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 KILIÇ\Downloads\"/>
    </mc:Choice>
  </mc:AlternateContent>
  <xr:revisionPtr revIDLastSave="0" documentId="8_{2EE10AB8-8AEA-4950-8549-7C0350F6675F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AKTIVIT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</sheets>
  <definedNames>
    <definedName name="_xlnm._FilterDatabase" localSheetId="7" hidden="1">AKTIVITE!$B$6:$Q$1006</definedName>
    <definedName name="_xlnm._FilterDatabase" localSheetId="11" hidden="1">AY_SONU!$B$6:$T$42</definedName>
    <definedName name="_xlnm._FilterDatabase" localSheetId="5" hidden="1">GELIR_GIDER!$B$6:$P$3006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4" hidden="1">TAHSILAT!$B$6:$N$2506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SISTEM!$F$23:$F$70</definedName>
    <definedName name="_xlnm.Print_Area" localSheetId="7">AKTIVITE!$A$1:$Q$106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GELIR_GIDER!$A$1:$P$106</definedName>
    <definedName name="_xlnm.Print_Area" localSheetId="10">HESAPLAR!$A$1:$K$18</definedName>
    <definedName name="_xlnm.Print_Area" localSheetId="9">MUSTERI_360!$A$1:$W$106</definedName>
    <definedName name="_xlnm.Print_Area" localSheetId="2">MUSTERILER!$A$1:$P$106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7">AKTIVITE!$6:$6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9">MUSTERI_360!$6:$6</definedName>
    <definedName name="_xlnm.Print_Titles" localSheetId="2">MUSTERILER!$6:$6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2" i="14" l="1"/>
  <c r="F72" i="14"/>
  <c r="E72" i="14"/>
  <c r="H71" i="14"/>
  <c r="H70" i="14"/>
  <c r="H69" i="14"/>
  <c r="F69" i="14"/>
  <c r="H68" i="14"/>
  <c r="F68" i="14"/>
  <c r="H67" i="14"/>
  <c r="H66" i="14"/>
  <c r="H65" i="14"/>
  <c r="H64" i="14"/>
  <c r="H63" i="14"/>
  <c r="H62" i="14"/>
  <c r="H61" i="14"/>
  <c r="F61" i="14"/>
  <c r="H60" i="14"/>
  <c r="H59" i="14"/>
  <c r="H58" i="14"/>
  <c r="H57" i="14"/>
  <c r="F57" i="14"/>
  <c r="H56" i="14"/>
  <c r="F56" i="14"/>
  <c r="E56" i="14"/>
  <c r="H55" i="14"/>
  <c r="F55" i="14"/>
  <c r="E55" i="14"/>
  <c r="H54" i="14"/>
  <c r="F54" i="14"/>
  <c r="H53" i="14"/>
  <c r="H52" i="14"/>
  <c r="H51" i="14"/>
  <c r="H50" i="14"/>
  <c r="H49" i="14"/>
  <c r="F49" i="14"/>
  <c r="H48" i="14"/>
  <c r="F48" i="14"/>
  <c r="H47" i="14"/>
  <c r="F47" i="14"/>
  <c r="H46" i="14"/>
  <c r="H45" i="14"/>
  <c r="H44" i="14"/>
  <c r="H43" i="14"/>
  <c r="H42" i="14"/>
  <c r="F42" i="14"/>
  <c r="H41" i="14"/>
  <c r="H40" i="14"/>
  <c r="H39" i="14"/>
  <c r="H38" i="14"/>
  <c r="H37" i="14"/>
  <c r="H36" i="14"/>
  <c r="E36" i="14"/>
  <c r="F36" i="14" s="1"/>
  <c r="H35" i="14"/>
  <c r="H34" i="14"/>
  <c r="E34" i="14"/>
  <c r="F34" i="14" s="1"/>
  <c r="H33" i="14"/>
  <c r="E33" i="14"/>
  <c r="F33" i="14" s="1"/>
  <c r="H32" i="14"/>
  <c r="H31" i="14"/>
  <c r="H30" i="14"/>
  <c r="H29" i="14"/>
  <c r="H28" i="14"/>
  <c r="F28" i="14"/>
  <c r="E28" i="14"/>
  <c r="H27" i="14"/>
  <c r="E27" i="14"/>
  <c r="F27" i="14" s="1"/>
  <c r="H26" i="14"/>
  <c r="E26" i="14"/>
  <c r="F26" i="14" s="1"/>
  <c r="H25" i="14"/>
  <c r="H24" i="14"/>
  <c r="H23" i="14"/>
  <c r="E23" i="14"/>
  <c r="F23" i="14" s="1"/>
  <c r="C17" i="14"/>
  <c r="F8" i="14"/>
  <c r="C4" i="14"/>
  <c r="B4" i="14"/>
  <c r="B34" i="13"/>
  <c r="K33" i="13"/>
  <c r="I33" i="13"/>
  <c r="K32" i="13"/>
  <c r="I32" i="13"/>
  <c r="K31" i="13"/>
  <c r="I31" i="13"/>
  <c r="K30" i="13"/>
  <c r="I30" i="13"/>
  <c r="K29" i="13"/>
  <c r="I29" i="13"/>
  <c r="K28" i="13"/>
  <c r="I28" i="13"/>
  <c r="K27" i="13"/>
  <c r="I27" i="13"/>
  <c r="K26" i="13"/>
  <c r="I26" i="13"/>
  <c r="K25" i="13"/>
  <c r="I25" i="13"/>
  <c r="K24" i="13"/>
  <c r="I24" i="13"/>
  <c r="K23" i="13"/>
  <c r="I23" i="13"/>
  <c r="K22" i="13"/>
  <c r="I22" i="13"/>
  <c r="K21" i="13"/>
  <c r="I21" i="13"/>
  <c r="K20" i="13"/>
  <c r="I20" i="13"/>
  <c r="K19" i="13"/>
  <c r="I19" i="13"/>
  <c r="K18" i="13"/>
  <c r="I18" i="13"/>
  <c r="K17" i="13"/>
  <c r="I17" i="13"/>
  <c r="K16" i="13"/>
  <c r="I16" i="13"/>
  <c r="K15" i="13"/>
  <c r="I15" i="13"/>
  <c r="K14" i="13"/>
  <c r="I14" i="13"/>
  <c r="B11" i="13"/>
  <c r="L10" i="13"/>
  <c r="I10" i="13"/>
  <c r="H10" i="13"/>
  <c r="G10" i="13"/>
  <c r="E10" i="13"/>
  <c r="L9" i="13"/>
  <c r="I9" i="13"/>
  <c r="H9" i="13"/>
  <c r="G9" i="13"/>
  <c r="E9" i="13"/>
  <c r="L8" i="13"/>
  <c r="H8" i="13"/>
  <c r="L7" i="13"/>
  <c r="H7" i="13"/>
  <c r="U5" i="13"/>
  <c r="U4" i="13"/>
  <c r="U6" i="13" s="1"/>
  <c r="H4" i="13"/>
  <c r="G4" i="13"/>
  <c r="F4" i="13"/>
  <c r="E4" i="13"/>
  <c r="D4" i="13"/>
  <c r="C4" i="13"/>
  <c r="B4" i="13"/>
  <c r="Z42" i="12"/>
  <c r="S42" i="12"/>
  <c r="K42" i="12"/>
  <c r="G42" i="12"/>
  <c r="E42" i="12"/>
  <c r="D42" i="12"/>
  <c r="S41" i="12"/>
  <c r="K41" i="12"/>
  <c r="G41" i="12"/>
  <c r="E41" i="12"/>
  <c r="D41" i="12"/>
  <c r="AB41" i="6" s="1"/>
  <c r="AA40" i="12"/>
  <c r="S40" i="12"/>
  <c r="K40" i="12"/>
  <c r="G40" i="12"/>
  <c r="E40" i="12"/>
  <c r="D40" i="12"/>
  <c r="AA39" i="12"/>
  <c r="S39" i="12"/>
  <c r="K39" i="12"/>
  <c r="G39" i="12"/>
  <c r="E39" i="12"/>
  <c r="D39" i="12"/>
  <c r="AB39" i="6" s="1"/>
  <c r="AA38" i="12"/>
  <c r="Z38" i="12"/>
  <c r="S38" i="12"/>
  <c r="K38" i="12"/>
  <c r="G38" i="12"/>
  <c r="E38" i="12"/>
  <c r="D38" i="12"/>
  <c r="AA37" i="12"/>
  <c r="Z37" i="12"/>
  <c r="S37" i="12"/>
  <c r="K37" i="12"/>
  <c r="G37" i="12"/>
  <c r="E37" i="12"/>
  <c r="D37" i="12"/>
  <c r="AA36" i="12"/>
  <c r="Z36" i="12"/>
  <c r="S36" i="12"/>
  <c r="K36" i="12"/>
  <c r="G36" i="12"/>
  <c r="E36" i="12"/>
  <c r="D36" i="12"/>
  <c r="AA35" i="12"/>
  <c r="Z35" i="12"/>
  <c r="S35" i="12"/>
  <c r="K35" i="12"/>
  <c r="G35" i="12"/>
  <c r="E35" i="12"/>
  <c r="D35" i="12"/>
  <c r="AA34" i="12"/>
  <c r="Z34" i="12"/>
  <c r="S34" i="12"/>
  <c r="K34" i="12"/>
  <c r="G34" i="12"/>
  <c r="E34" i="12"/>
  <c r="D34" i="12"/>
  <c r="AA33" i="12"/>
  <c r="Z33" i="12"/>
  <c r="S33" i="12"/>
  <c r="K33" i="12"/>
  <c r="G33" i="12"/>
  <c r="E33" i="12"/>
  <c r="D33" i="12"/>
  <c r="AA32" i="12"/>
  <c r="Z32" i="12"/>
  <c r="S32" i="12"/>
  <c r="K32" i="12"/>
  <c r="G32" i="12"/>
  <c r="E32" i="12"/>
  <c r="D32" i="12"/>
  <c r="AA31" i="12"/>
  <c r="Z31" i="12"/>
  <c r="S31" i="12"/>
  <c r="K31" i="12"/>
  <c r="G31" i="12"/>
  <c r="E31" i="12"/>
  <c r="F31" i="12" s="1"/>
  <c r="D31" i="12"/>
  <c r="AA30" i="12"/>
  <c r="Z30" i="12"/>
  <c r="S30" i="12"/>
  <c r="K30" i="12"/>
  <c r="G30" i="12"/>
  <c r="E30" i="12"/>
  <c r="D30" i="12"/>
  <c r="AA29" i="12"/>
  <c r="Z29" i="12"/>
  <c r="S29" i="12"/>
  <c r="K29" i="12"/>
  <c r="G29" i="12"/>
  <c r="E29" i="12"/>
  <c r="D29" i="12"/>
  <c r="AB29" i="6" s="1"/>
  <c r="AA28" i="12"/>
  <c r="Z28" i="12"/>
  <c r="S28" i="12"/>
  <c r="K28" i="12"/>
  <c r="G28" i="12"/>
  <c r="E28" i="12"/>
  <c r="D28" i="12"/>
  <c r="AA27" i="12"/>
  <c r="Z27" i="12"/>
  <c r="S27" i="12"/>
  <c r="K27" i="12"/>
  <c r="G27" i="12"/>
  <c r="E27" i="12"/>
  <c r="D27" i="12"/>
  <c r="AB27" i="6" s="1"/>
  <c r="AA26" i="12"/>
  <c r="Z26" i="12"/>
  <c r="S26" i="12"/>
  <c r="K26" i="12"/>
  <c r="G26" i="12"/>
  <c r="E26" i="12"/>
  <c r="D26" i="12"/>
  <c r="AA25" i="12"/>
  <c r="Z25" i="12"/>
  <c r="S25" i="12"/>
  <c r="K25" i="12"/>
  <c r="G25" i="12"/>
  <c r="E25" i="12"/>
  <c r="D25" i="12"/>
  <c r="AA24" i="12"/>
  <c r="Z24" i="12"/>
  <c r="S24" i="12"/>
  <c r="K24" i="12"/>
  <c r="G24" i="12"/>
  <c r="E24" i="12"/>
  <c r="D24" i="12"/>
  <c r="AA23" i="12"/>
  <c r="Z23" i="12"/>
  <c r="S23" i="12"/>
  <c r="K23" i="12"/>
  <c r="G23" i="12"/>
  <c r="E23" i="12"/>
  <c r="D23" i="12"/>
  <c r="AA22" i="12"/>
  <c r="Z22" i="12"/>
  <c r="S22" i="12"/>
  <c r="K22" i="12"/>
  <c r="G22" i="12"/>
  <c r="E22" i="12"/>
  <c r="D22" i="12"/>
  <c r="AA21" i="12"/>
  <c r="Z21" i="12"/>
  <c r="S21" i="12"/>
  <c r="K21" i="12"/>
  <c r="G21" i="12"/>
  <c r="E21" i="12"/>
  <c r="F21" i="12" s="1"/>
  <c r="D21" i="12"/>
  <c r="AA20" i="12"/>
  <c r="Z20" i="12"/>
  <c r="S20" i="12"/>
  <c r="K20" i="12"/>
  <c r="G20" i="12"/>
  <c r="E20" i="12"/>
  <c r="D20" i="12"/>
  <c r="AA19" i="12"/>
  <c r="Z19" i="12"/>
  <c r="S19" i="12"/>
  <c r="K19" i="12"/>
  <c r="G19" i="12"/>
  <c r="E19" i="12"/>
  <c r="D19" i="12"/>
  <c r="AA18" i="12"/>
  <c r="Z18" i="12"/>
  <c r="S18" i="12"/>
  <c r="K18" i="12"/>
  <c r="G18" i="12"/>
  <c r="E18" i="12"/>
  <c r="D18" i="12"/>
  <c r="AA17" i="12"/>
  <c r="Z17" i="12"/>
  <c r="S17" i="12"/>
  <c r="K17" i="12"/>
  <c r="G17" i="12"/>
  <c r="E17" i="12"/>
  <c r="D17" i="12"/>
  <c r="AA16" i="12"/>
  <c r="Z16" i="12"/>
  <c r="S16" i="12"/>
  <c r="K16" i="12"/>
  <c r="G16" i="12"/>
  <c r="E16" i="12"/>
  <c r="D16" i="12"/>
  <c r="AA15" i="12"/>
  <c r="Z15" i="12"/>
  <c r="S15" i="12"/>
  <c r="K15" i="12"/>
  <c r="G15" i="12"/>
  <c r="E15" i="12"/>
  <c r="D15" i="12"/>
  <c r="AA14" i="12"/>
  <c r="Z14" i="12"/>
  <c r="S14" i="12"/>
  <c r="K14" i="12"/>
  <c r="G14" i="12"/>
  <c r="E14" i="12"/>
  <c r="D14" i="12"/>
  <c r="AA13" i="12"/>
  <c r="Z13" i="12"/>
  <c r="K13" i="12"/>
  <c r="G13" i="12"/>
  <c r="E13" i="12"/>
  <c r="D13" i="12"/>
  <c r="AA12" i="12"/>
  <c r="Z12" i="12"/>
  <c r="K12" i="12"/>
  <c r="G12" i="12"/>
  <c r="E12" i="12"/>
  <c r="D12" i="12"/>
  <c r="AA11" i="12"/>
  <c r="Z11" i="12"/>
  <c r="K11" i="12"/>
  <c r="G11" i="12"/>
  <c r="E11" i="12"/>
  <c r="D11" i="12"/>
  <c r="AA10" i="12"/>
  <c r="Z10" i="12"/>
  <c r="K10" i="12"/>
  <c r="G10" i="12"/>
  <c r="E10" i="12"/>
  <c r="D10" i="12"/>
  <c r="AA9" i="12"/>
  <c r="Z9" i="12"/>
  <c r="K9" i="12"/>
  <c r="G9" i="12"/>
  <c r="E9" i="12"/>
  <c r="D9" i="12"/>
  <c r="AA8" i="12"/>
  <c r="Z8" i="12"/>
  <c r="K8" i="12"/>
  <c r="G8" i="12"/>
  <c r="E8" i="12"/>
  <c r="D8" i="12"/>
  <c r="AA7" i="12"/>
  <c r="Z7" i="12"/>
  <c r="K7" i="12"/>
  <c r="G7" i="12"/>
  <c r="E7" i="12"/>
  <c r="D7" i="12"/>
  <c r="AB7" i="6" s="1"/>
  <c r="F4" i="12"/>
  <c r="D4" i="12"/>
  <c r="C4" i="12"/>
  <c r="B4" i="12"/>
  <c r="K16" i="11"/>
  <c r="J16" i="11"/>
  <c r="I16" i="11"/>
  <c r="H16" i="11"/>
  <c r="G16" i="11"/>
  <c r="F16" i="11"/>
  <c r="K15" i="11"/>
  <c r="J15" i="11"/>
  <c r="I15" i="11"/>
  <c r="H15" i="11"/>
  <c r="G15" i="11"/>
  <c r="F15" i="11"/>
  <c r="K14" i="11"/>
  <c r="J14" i="11"/>
  <c r="I14" i="11"/>
  <c r="H14" i="11"/>
  <c r="G14" i="11"/>
  <c r="F14" i="11"/>
  <c r="K13" i="11"/>
  <c r="J13" i="11"/>
  <c r="I13" i="11"/>
  <c r="H13" i="11"/>
  <c r="G13" i="11"/>
  <c r="F13" i="11"/>
  <c r="K12" i="11"/>
  <c r="J12" i="11"/>
  <c r="I12" i="11"/>
  <c r="H12" i="11"/>
  <c r="G12" i="11"/>
  <c r="F12" i="11"/>
  <c r="J11" i="11"/>
  <c r="I11" i="11"/>
  <c r="H11" i="11"/>
  <c r="G11" i="11"/>
  <c r="F11" i="11"/>
  <c r="J10" i="11"/>
  <c r="I10" i="11"/>
  <c r="H10" i="11"/>
  <c r="G10" i="11"/>
  <c r="F10" i="11"/>
  <c r="J9" i="11"/>
  <c r="I9" i="11"/>
  <c r="H9" i="11"/>
  <c r="G9" i="11"/>
  <c r="F9" i="11"/>
  <c r="J8" i="11"/>
  <c r="I8" i="11"/>
  <c r="H8" i="11"/>
  <c r="G8" i="11"/>
  <c r="F8" i="11"/>
  <c r="J7" i="11"/>
  <c r="I7" i="11"/>
  <c r="H7" i="11"/>
  <c r="G7" i="11"/>
  <c r="F7" i="11"/>
  <c r="F4" i="11"/>
  <c r="D4" i="11"/>
  <c r="C4" i="11"/>
  <c r="B4" i="11"/>
  <c r="F4" i="10"/>
  <c r="D4" i="10"/>
  <c r="C4" i="10"/>
  <c r="B4" i="10"/>
  <c r="B313" i="9"/>
  <c r="P12" i="9"/>
  <c r="O12" i="9"/>
  <c r="B6" i="9"/>
  <c r="AD4" i="9"/>
  <c r="C4" i="9"/>
  <c r="B4" i="9"/>
  <c r="U1006" i="8"/>
  <c r="Q1006" i="8"/>
  <c r="P1006" i="8"/>
  <c r="D1006" i="8"/>
  <c r="B1006" i="8"/>
  <c r="U1005" i="8"/>
  <c r="Q1005" i="8"/>
  <c r="P1005" i="8"/>
  <c r="D1005" i="8"/>
  <c r="B1005" i="8"/>
  <c r="U1004" i="8"/>
  <c r="Q1004" i="8"/>
  <c r="P1004" i="8"/>
  <c r="D1004" i="8"/>
  <c r="B1004" i="8"/>
  <c r="U1003" i="8"/>
  <c r="Q1003" i="8"/>
  <c r="P1003" i="8"/>
  <c r="D1003" i="8"/>
  <c r="B1003" i="8"/>
  <c r="U1002" i="8"/>
  <c r="Q1002" i="8"/>
  <c r="P1002" i="8"/>
  <c r="D1002" i="8"/>
  <c r="B1002" i="8"/>
  <c r="U1001" i="8"/>
  <c r="Q1001" i="8"/>
  <c r="P1001" i="8"/>
  <c r="D1001" i="8"/>
  <c r="B1001" i="8"/>
  <c r="U1000" i="8"/>
  <c r="Q1000" i="8"/>
  <c r="P1000" i="8"/>
  <c r="D1000" i="8"/>
  <c r="B1000" i="8"/>
  <c r="U999" i="8"/>
  <c r="Q999" i="8"/>
  <c r="P999" i="8"/>
  <c r="D999" i="8"/>
  <c r="B999" i="8"/>
  <c r="U998" i="8"/>
  <c r="Q998" i="8"/>
  <c r="P998" i="8"/>
  <c r="D998" i="8"/>
  <c r="B998" i="8"/>
  <c r="U997" i="8"/>
  <c r="Q997" i="8"/>
  <c r="P997" i="8"/>
  <c r="D997" i="8"/>
  <c r="B997" i="8"/>
  <c r="U996" i="8"/>
  <c r="Q996" i="8"/>
  <c r="P996" i="8"/>
  <c r="D996" i="8"/>
  <c r="B996" i="8"/>
  <c r="U995" i="8"/>
  <c r="Q995" i="8"/>
  <c r="P995" i="8"/>
  <c r="D995" i="8"/>
  <c r="B995" i="8"/>
  <c r="U994" i="8"/>
  <c r="Q994" i="8"/>
  <c r="P994" i="8"/>
  <c r="D994" i="8"/>
  <c r="B994" i="8"/>
  <c r="U993" i="8"/>
  <c r="Q993" i="8"/>
  <c r="P993" i="8"/>
  <c r="D993" i="8"/>
  <c r="B993" i="8"/>
  <c r="U992" i="8"/>
  <c r="Q992" i="8"/>
  <c r="P992" i="8"/>
  <c r="D992" i="8"/>
  <c r="B992" i="8"/>
  <c r="U991" i="8"/>
  <c r="Q991" i="8"/>
  <c r="P991" i="8"/>
  <c r="D991" i="8"/>
  <c r="B991" i="8"/>
  <c r="U990" i="8"/>
  <c r="Q990" i="8"/>
  <c r="P990" i="8"/>
  <c r="D990" i="8"/>
  <c r="B990" i="8"/>
  <c r="U989" i="8"/>
  <c r="Q989" i="8"/>
  <c r="P989" i="8"/>
  <c r="D989" i="8"/>
  <c r="B989" i="8"/>
  <c r="U988" i="8"/>
  <c r="Q988" i="8"/>
  <c r="P988" i="8"/>
  <c r="D988" i="8"/>
  <c r="B988" i="8"/>
  <c r="U987" i="8"/>
  <c r="Q987" i="8"/>
  <c r="P987" i="8"/>
  <c r="D987" i="8"/>
  <c r="B987" i="8"/>
  <c r="U986" i="8"/>
  <c r="Q986" i="8"/>
  <c r="P986" i="8"/>
  <c r="D986" i="8"/>
  <c r="B986" i="8"/>
  <c r="U985" i="8"/>
  <c r="Q985" i="8"/>
  <c r="P985" i="8"/>
  <c r="D985" i="8"/>
  <c r="B985" i="8"/>
  <c r="U984" i="8"/>
  <c r="Q984" i="8"/>
  <c r="P984" i="8"/>
  <c r="D984" i="8"/>
  <c r="B984" i="8"/>
  <c r="U983" i="8"/>
  <c r="Q983" i="8"/>
  <c r="P983" i="8"/>
  <c r="D983" i="8"/>
  <c r="B983" i="8"/>
  <c r="U982" i="8"/>
  <c r="Q982" i="8"/>
  <c r="P982" i="8"/>
  <c r="D982" i="8"/>
  <c r="B982" i="8"/>
  <c r="U981" i="8"/>
  <c r="Q981" i="8"/>
  <c r="P981" i="8"/>
  <c r="D981" i="8"/>
  <c r="B981" i="8"/>
  <c r="U980" i="8"/>
  <c r="Q980" i="8"/>
  <c r="P980" i="8"/>
  <c r="D980" i="8"/>
  <c r="B980" i="8"/>
  <c r="U979" i="8"/>
  <c r="Q979" i="8"/>
  <c r="P979" i="8"/>
  <c r="D979" i="8"/>
  <c r="B979" i="8"/>
  <c r="U978" i="8"/>
  <c r="Q978" i="8"/>
  <c r="P978" i="8"/>
  <c r="D978" i="8"/>
  <c r="B978" i="8"/>
  <c r="U977" i="8"/>
  <c r="Q977" i="8"/>
  <c r="P977" i="8"/>
  <c r="D977" i="8"/>
  <c r="B977" i="8"/>
  <c r="U976" i="8"/>
  <c r="Q976" i="8"/>
  <c r="P976" i="8"/>
  <c r="D976" i="8"/>
  <c r="B976" i="8"/>
  <c r="U975" i="8"/>
  <c r="Q975" i="8"/>
  <c r="P975" i="8"/>
  <c r="D975" i="8"/>
  <c r="B975" i="8"/>
  <c r="U974" i="8"/>
  <c r="Q974" i="8"/>
  <c r="P974" i="8"/>
  <c r="D974" i="8"/>
  <c r="B974" i="8"/>
  <c r="U973" i="8"/>
  <c r="Q973" i="8"/>
  <c r="P973" i="8"/>
  <c r="D973" i="8"/>
  <c r="B973" i="8"/>
  <c r="U972" i="8"/>
  <c r="Q972" i="8"/>
  <c r="P972" i="8"/>
  <c r="D972" i="8"/>
  <c r="B972" i="8"/>
  <c r="U971" i="8"/>
  <c r="Q971" i="8"/>
  <c r="P971" i="8"/>
  <c r="D971" i="8"/>
  <c r="B971" i="8"/>
  <c r="U970" i="8"/>
  <c r="Q970" i="8"/>
  <c r="P970" i="8"/>
  <c r="D970" i="8"/>
  <c r="B970" i="8"/>
  <c r="U969" i="8"/>
  <c r="Q969" i="8"/>
  <c r="P969" i="8"/>
  <c r="D969" i="8"/>
  <c r="B969" i="8"/>
  <c r="U968" i="8"/>
  <c r="Q968" i="8"/>
  <c r="P968" i="8"/>
  <c r="D968" i="8"/>
  <c r="B968" i="8"/>
  <c r="U967" i="8"/>
  <c r="Q967" i="8"/>
  <c r="P967" i="8"/>
  <c r="D967" i="8"/>
  <c r="B967" i="8"/>
  <c r="U966" i="8"/>
  <c r="Q966" i="8"/>
  <c r="P966" i="8"/>
  <c r="D966" i="8"/>
  <c r="B966" i="8"/>
  <c r="U965" i="8"/>
  <c r="Q965" i="8"/>
  <c r="P965" i="8"/>
  <c r="D965" i="8"/>
  <c r="B965" i="8"/>
  <c r="U964" i="8"/>
  <c r="Q964" i="8"/>
  <c r="P964" i="8"/>
  <c r="D964" i="8"/>
  <c r="B964" i="8"/>
  <c r="U963" i="8"/>
  <c r="Q963" i="8"/>
  <c r="P963" i="8"/>
  <c r="D963" i="8"/>
  <c r="B963" i="8"/>
  <c r="U962" i="8"/>
  <c r="Q962" i="8"/>
  <c r="P962" i="8"/>
  <c r="D962" i="8"/>
  <c r="B962" i="8"/>
  <c r="U961" i="8"/>
  <c r="Q961" i="8"/>
  <c r="P961" i="8"/>
  <c r="D961" i="8"/>
  <c r="B961" i="8"/>
  <c r="U960" i="8"/>
  <c r="Q960" i="8"/>
  <c r="P960" i="8"/>
  <c r="D960" i="8"/>
  <c r="B960" i="8"/>
  <c r="U959" i="8"/>
  <c r="Q959" i="8"/>
  <c r="P959" i="8"/>
  <c r="D959" i="8"/>
  <c r="B959" i="8"/>
  <c r="U958" i="8"/>
  <c r="Q958" i="8"/>
  <c r="P958" i="8"/>
  <c r="D958" i="8"/>
  <c r="B958" i="8"/>
  <c r="U957" i="8"/>
  <c r="Q957" i="8"/>
  <c r="P957" i="8"/>
  <c r="D957" i="8"/>
  <c r="B957" i="8"/>
  <c r="U956" i="8"/>
  <c r="Q956" i="8"/>
  <c r="P956" i="8"/>
  <c r="D956" i="8"/>
  <c r="B956" i="8"/>
  <c r="U955" i="8"/>
  <c r="Q955" i="8"/>
  <c r="P955" i="8"/>
  <c r="D955" i="8"/>
  <c r="B955" i="8"/>
  <c r="U954" i="8"/>
  <c r="Q954" i="8"/>
  <c r="P954" i="8"/>
  <c r="D954" i="8"/>
  <c r="B954" i="8"/>
  <c r="U953" i="8"/>
  <c r="Q953" i="8"/>
  <c r="P953" i="8"/>
  <c r="D953" i="8"/>
  <c r="B953" i="8"/>
  <c r="U952" i="8"/>
  <c r="Q952" i="8"/>
  <c r="P952" i="8"/>
  <c r="D952" i="8"/>
  <c r="B952" i="8"/>
  <c r="U951" i="8"/>
  <c r="Q951" i="8"/>
  <c r="P951" i="8"/>
  <c r="D951" i="8"/>
  <c r="B951" i="8"/>
  <c r="U950" i="8"/>
  <c r="Q950" i="8"/>
  <c r="P950" i="8"/>
  <c r="D950" i="8"/>
  <c r="B950" i="8"/>
  <c r="U949" i="8"/>
  <c r="Q949" i="8"/>
  <c r="P949" i="8"/>
  <c r="D949" i="8"/>
  <c r="B949" i="8"/>
  <c r="U948" i="8"/>
  <c r="Q948" i="8"/>
  <c r="P948" i="8"/>
  <c r="D948" i="8"/>
  <c r="B948" i="8"/>
  <c r="U947" i="8"/>
  <c r="Q947" i="8"/>
  <c r="P947" i="8"/>
  <c r="D947" i="8"/>
  <c r="B947" i="8"/>
  <c r="U946" i="8"/>
  <c r="Q946" i="8"/>
  <c r="P946" i="8"/>
  <c r="D946" i="8"/>
  <c r="B946" i="8"/>
  <c r="U945" i="8"/>
  <c r="Q945" i="8"/>
  <c r="P945" i="8"/>
  <c r="D945" i="8"/>
  <c r="B945" i="8"/>
  <c r="U944" i="8"/>
  <c r="Q944" i="8"/>
  <c r="P944" i="8"/>
  <c r="D944" i="8"/>
  <c r="B944" i="8"/>
  <c r="U943" i="8"/>
  <c r="Q943" i="8"/>
  <c r="P943" i="8"/>
  <c r="D943" i="8"/>
  <c r="B943" i="8"/>
  <c r="U942" i="8"/>
  <c r="Q942" i="8"/>
  <c r="P942" i="8"/>
  <c r="D942" i="8"/>
  <c r="B942" i="8"/>
  <c r="U941" i="8"/>
  <c r="Q941" i="8"/>
  <c r="P941" i="8"/>
  <c r="D941" i="8"/>
  <c r="B941" i="8"/>
  <c r="U940" i="8"/>
  <c r="Q940" i="8"/>
  <c r="P940" i="8"/>
  <c r="D940" i="8"/>
  <c r="B940" i="8"/>
  <c r="U939" i="8"/>
  <c r="Q939" i="8"/>
  <c r="P939" i="8"/>
  <c r="D939" i="8"/>
  <c r="B939" i="8"/>
  <c r="U938" i="8"/>
  <c r="Q938" i="8"/>
  <c r="P938" i="8"/>
  <c r="D938" i="8"/>
  <c r="B938" i="8"/>
  <c r="U937" i="8"/>
  <c r="Q937" i="8"/>
  <c r="P937" i="8"/>
  <c r="D937" i="8"/>
  <c r="B937" i="8"/>
  <c r="U936" i="8"/>
  <c r="Q936" i="8"/>
  <c r="P936" i="8"/>
  <c r="D936" i="8"/>
  <c r="B936" i="8"/>
  <c r="U935" i="8"/>
  <c r="Q935" i="8"/>
  <c r="P935" i="8"/>
  <c r="D935" i="8"/>
  <c r="B935" i="8"/>
  <c r="U934" i="8"/>
  <c r="Q934" i="8"/>
  <c r="P934" i="8"/>
  <c r="D934" i="8"/>
  <c r="B934" i="8"/>
  <c r="U933" i="8"/>
  <c r="Q933" i="8"/>
  <c r="P933" i="8"/>
  <c r="D933" i="8"/>
  <c r="B933" i="8"/>
  <c r="U932" i="8"/>
  <c r="Q932" i="8"/>
  <c r="P932" i="8"/>
  <c r="D932" i="8"/>
  <c r="B932" i="8"/>
  <c r="U931" i="8"/>
  <c r="Q931" i="8"/>
  <c r="P931" i="8"/>
  <c r="D931" i="8"/>
  <c r="B931" i="8"/>
  <c r="U930" i="8"/>
  <c r="Q930" i="8"/>
  <c r="P930" i="8"/>
  <c r="D930" i="8"/>
  <c r="B930" i="8"/>
  <c r="U929" i="8"/>
  <c r="Q929" i="8"/>
  <c r="P929" i="8"/>
  <c r="D929" i="8"/>
  <c r="B929" i="8"/>
  <c r="U928" i="8"/>
  <c r="Q928" i="8"/>
  <c r="P928" i="8"/>
  <c r="D928" i="8"/>
  <c r="B928" i="8"/>
  <c r="U927" i="8"/>
  <c r="Q927" i="8"/>
  <c r="P927" i="8"/>
  <c r="D927" i="8"/>
  <c r="B927" i="8"/>
  <c r="U926" i="8"/>
  <c r="Q926" i="8"/>
  <c r="P926" i="8"/>
  <c r="D926" i="8"/>
  <c r="B926" i="8"/>
  <c r="U925" i="8"/>
  <c r="Q925" i="8"/>
  <c r="P925" i="8"/>
  <c r="D925" i="8"/>
  <c r="B925" i="8"/>
  <c r="U924" i="8"/>
  <c r="Q924" i="8"/>
  <c r="P924" i="8"/>
  <c r="D924" i="8"/>
  <c r="B924" i="8"/>
  <c r="U923" i="8"/>
  <c r="Q923" i="8"/>
  <c r="P923" i="8"/>
  <c r="D923" i="8"/>
  <c r="B923" i="8"/>
  <c r="U922" i="8"/>
  <c r="Q922" i="8"/>
  <c r="P922" i="8"/>
  <c r="D922" i="8"/>
  <c r="B922" i="8"/>
  <c r="U921" i="8"/>
  <c r="Q921" i="8"/>
  <c r="P921" i="8"/>
  <c r="D921" i="8"/>
  <c r="B921" i="8"/>
  <c r="U920" i="8"/>
  <c r="Q920" i="8"/>
  <c r="P920" i="8"/>
  <c r="D920" i="8"/>
  <c r="B920" i="8"/>
  <c r="U919" i="8"/>
  <c r="Q919" i="8"/>
  <c r="P919" i="8"/>
  <c r="D919" i="8"/>
  <c r="B919" i="8"/>
  <c r="U918" i="8"/>
  <c r="Q918" i="8"/>
  <c r="P918" i="8"/>
  <c r="D918" i="8"/>
  <c r="B918" i="8"/>
  <c r="U917" i="8"/>
  <c r="Q917" i="8"/>
  <c r="P917" i="8"/>
  <c r="D917" i="8"/>
  <c r="B917" i="8"/>
  <c r="U916" i="8"/>
  <c r="Q916" i="8"/>
  <c r="P916" i="8"/>
  <c r="D916" i="8"/>
  <c r="B916" i="8"/>
  <c r="U915" i="8"/>
  <c r="Q915" i="8"/>
  <c r="P915" i="8"/>
  <c r="D915" i="8"/>
  <c r="B915" i="8"/>
  <c r="U914" i="8"/>
  <c r="Q914" i="8"/>
  <c r="P914" i="8"/>
  <c r="D914" i="8"/>
  <c r="B914" i="8"/>
  <c r="U913" i="8"/>
  <c r="Q913" i="8"/>
  <c r="P913" i="8"/>
  <c r="D913" i="8"/>
  <c r="B913" i="8"/>
  <c r="U912" i="8"/>
  <c r="Q912" i="8"/>
  <c r="P912" i="8"/>
  <c r="D912" i="8"/>
  <c r="B912" i="8"/>
  <c r="U911" i="8"/>
  <c r="Q911" i="8"/>
  <c r="P911" i="8"/>
  <c r="D911" i="8"/>
  <c r="B911" i="8"/>
  <c r="U910" i="8"/>
  <c r="Q910" i="8"/>
  <c r="P910" i="8"/>
  <c r="D910" i="8"/>
  <c r="B910" i="8"/>
  <c r="U909" i="8"/>
  <c r="Q909" i="8"/>
  <c r="P909" i="8"/>
  <c r="D909" i="8"/>
  <c r="B909" i="8"/>
  <c r="U908" i="8"/>
  <c r="Q908" i="8"/>
  <c r="P908" i="8"/>
  <c r="D908" i="8"/>
  <c r="B908" i="8"/>
  <c r="U907" i="8"/>
  <c r="Q907" i="8"/>
  <c r="P907" i="8"/>
  <c r="D907" i="8"/>
  <c r="B907" i="8"/>
  <c r="U906" i="8"/>
  <c r="Q906" i="8"/>
  <c r="P906" i="8"/>
  <c r="D906" i="8"/>
  <c r="B906" i="8"/>
  <c r="U905" i="8"/>
  <c r="Q905" i="8"/>
  <c r="P905" i="8"/>
  <c r="D905" i="8"/>
  <c r="B905" i="8"/>
  <c r="U904" i="8"/>
  <c r="Q904" i="8"/>
  <c r="P904" i="8"/>
  <c r="D904" i="8"/>
  <c r="B904" i="8"/>
  <c r="U903" i="8"/>
  <c r="Q903" i="8"/>
  <c r="P903" i="8"/>
  <c r="D903" i="8"/>
  <c r="B903" i="8"/>
  <c r="U902" i="8"/>
  <c r="Q902" i="8"/>
  <c r="P902" i="8"/>
  <c r="D902" i="8"/>
  <c r="B902" i="8"/>
  <c r="U901" i="8"/>
  <c r="Q901" i="8"/>
  <c r="P901" i="8"/>
  <c r="D901" i="8"/>
  <c r="B901" i="8"/>
  <c r="U900" i="8"/>
  <c r="Q900" i="8"/>
  <c r="P900" i="8"/>
  <c r="D900" i="8"/>
  <c r="B900" i="8"/>
  <c r="U899" i="8"/>
  <c r="Q899" i="8"/>
  <c r="P899" i="8"/>
  <c r="D899" i="8"/>
  <c r="B899" i="8"/>
  <c r="U898" i="8"/>
  <c r="Q898" i="8"/>
  <c r="P898" i="8"/>
  <c r="D898" i="8"/>
  <c r="B898" i="8"/>
  <c r="U897" i="8"/>
  <c r="Q897" i="8"/>
  <c r="P897" i="8"/>
  <c r="D897" i="8"/>
  <c r="B897" i="8"/>
  <c r="U896" i="8"/>
  <c r="Q896" i="8"/>
  <c r="P896" i="8"/>
  <c r="D896" i="8"/>
  <c r="B896" i="8"/>
  <c r="U895" i="8"/>
  <c r="Q895" i="8"/>
  <c r="P895" i="8"/>
  <c r="D895" i="8"/>
  <c r="B895" i="8"/>
  <c r="U894" i="8"/>
  <c r="Q894" i="8"/>
  <c r="P894" i="8"/>
  <c r="D894" i="8"/>
  <c r="B894" i="8"/>
  <c r="U893" i="8"/>
  <c r="Q893" i="8"/>
  <c r="P893" i="8"/>
  <c r="D893" i="8"/>
  <c r="B893" i="8"/>
  <c r="U892" i="8"/>
  <c r="Q892" i="8"/>
  <c r="P892" i="8"/>
  <c r="D892" i="8"/>
  <c r="B892" i="8"/>
  <c r="U891" i="8"/>
  <c r="Q891" i="8"/>
  <c r="P891" i="8"/>
  <c r="D891" i="8"/>
  <c r="B891" i="8"/>
  <c r="U890" i="8"/>
  <c r="Q890" i="8"/>
  <c r="P890" i="8"/>
  <c r="D890" i="8"/>
  <c r="B890" i="8"/>
  <c r="U889" i="8"/>
  <c r="Q889" i="8"/>
  <c r="P889" i="8"/>
  <c r="D889" i="8"/>
  <c r="B889" i="8"/>
  <c r="U888" i="8"/>
  <c r="Q888" i="8"/>
  <c r="P888" i="8"/>
  <c r="D888" i="8"/>
  <c r="B888" i="8"/>
  <c r="U887" i="8"/>
  <c r="Q887" i="8"/>
  <c r="P887" i="8"/>
  <c r="D887" i="8"/>
  <c r="B887" i="8"/>
  <c r="U886" i="8"/>
  <c r="Q886" i="8"/>
  <c r="P886" i="8"/>
  <c r="D886" i="8"/>
  <c r="B886" i="8"/>
  <c r="U885" i="8"/>
  <c r="Q885" i="8"/>
  <c r="P885" i="8"/>
  <c r="D885" i="8"/>
  <c r="B885" i="8"/>
  <c r="U884" i="8"/>
  <c r="Q884" i="8"/>
  <c r="P884" i="8"/>
  <c r="D884" i="8"/>
  <c r="B884" i="8"/>
  <c r="U883" i="8"/>
  <c r="Q883" i="8"/>
  <c r="P883" i="8"/>
  <c r="D883" i="8"/>
  <c r="B883" i="8"/>
  <c r="U882" i="8"/>
  <c r="Q882" i="8"/>
  <c r="P882" i="8"/>
  <c r="D882" i="8"/>
  <c r="B882" i="8"/>
  <c r="U881" i="8"/>
  <c r="Q881" i="8"/>
  <c r="P881" i="8"/>
  <c r="D881" i="8"/>
  <c r="B881" i="8"/>
  <c r="U880" i="8"/>
  <c r="Q880" i="8"/>
  <c r="P880" i="8"/>
  <c r="D880" i="8"/>
  <c r="B880" i="8"/>
  <c r="U879" i="8"/>
  <c r="Q879" i="8"/>
  <c r="P879" i="8"/>
  <c r="D879" i="8"/>
  <c r="B879" i="8"/>
  <c r="U878" i="8"/>
  <c r="Q878" i="8"/>
  <c r="P878" i="8"/>
  <c r="D878" i="8"/>
  <c r="B878" i="8"/>
  <c r="U877" i="8"/>
  <c r="Q877" i="8"/>
  <c r="P877" i="8"/>
  <c r="D877" i="8"/>
  <c r="B877" i="8"/>
  <c r="U876" i="8"/>
  <c r="Q876" i="8"/>
  <c r="P876" i="8"/>
  <c r="D876" i="8"/>
  <c r="B876" i="8"/>
  <c r="U875" i="8"/>
  <c r="Q875" i="8"/>
  <c r="P875" i="8"/>
  <c r="D875" i="8"/>
  <c r="B875" i="8"/>
  <c r="U874" i="8"/>
  <c r="Q874" i="8"/>
  <c r="P874" i="8"/>
  <c r="D874" i="8"/>
  <c r="B874" i="8"/>
  <c r="U873" i="8"/>
  <c r="Q873" i="8"/>
  <c r="P873" i="8"/>
  <c r="D873" i="8"/>
  <c r="B873" i="8"/>
  <c r="U872" i="8"/>
  <c r="Q872" i="8"/>
  <c r="P872" i="8"/>
  <c r="D872" i="8"/>
  <c r="B872" i="8"/>
  <c r="U871" i="8"/>
  <c r="Q871" i="8"/>
  <c r="P871" i="8"/>
  <c r="D871" i="8"/>
  <c r="B871" i="8"/>
  <c r="U870" i="8"/>
  <c r="Q870" i="8"/>
  <c r="P870" i="8"/>
  <c r="D870" i="8"/>
  <c r="B870" i="8"/>
  <c r="U869" i="8"/>
  <c r="Q869" i="8"/>
  <c r="P869" i="8"/>
  <c r="D869" i="8"/>
  <c r="B869" i="8"/>
  <c r="U868" i="8"/>
  <c r="Q868" i="8"/>
  <c r="P868" i="8"/>
  <c r="D868" i="8"/>
  <c r="B868" i="8"/>
  <c r="U867" i="8"/>
  <c r="Q867" i="8"/>
  <c r="P867" i="8"/>
  <c r="D867" i="8"/>
  <c r="B867" i="8"/>
  <c r="U866" i="8"/>
  <c r="Q866" i="8"/>
  <c r="P866" i="8"/>
  <c r="D866" i="8"/>
  <c r="B866" i="8"/>
  <c r="U865" i="8"/>
  <c r="Q865" i="8"/>
  <c r="P865" i="8"/>
  <c r="D865" i="8"/>
  <c r="B865" i="8"/>
  <c r="U864" i="8"/>
  <c r="Q864" i="8"/>
  <c r="P864" i="8"/>
  <c r="D864" i="8"/>
  <c r="B864" i="8"/>
  <c r="U863" i="8"/>
  <c r="Q863" i="8"/>
  <c r="P863" i="8"/>
  <c r="D863" i="8"/>
  <c r="B863" i="8"/>
  <c r="U862" i="8"/>
  <c r="Q862" i="8"/>
  <c r="P862" i="8"/>
  <c r="D862" i="8"/>
  <c r="B862" i="8"/>
  <c r="U861" i="8"/>
  <c r="Q861" i="8"/>
  <c r="P861" i="8"/>
  <c r="D861" i="8"/>
  <c r="B861" i="8"/>
  <c r="U860" i="8"/>
  <c r="Q860" i="8"/>
  <c r="P860" i="8"/>
  <c r="D860" i="8"/>
  <c r="B860" i="8"/>
  <c r="U859" i="8"/>
  <c r="Q859" i="8"/>
  <c r="P859" i="8"/>
  <c r="D859" i="8"/>
  <c r="B859" i="8"/>
  <c r="U858" i="8"/>
  <c r="Q858" i="8"/>
  <c r="P858" i="8"/>
  <c r="D858" i="8"/>
  <c r="B858" i="8"/>
  <c r="U857" i="8"/>
  <c r="Q857" i="8"/>
  <c r="P857" i="8"/>
  <c r="D857" i="8"/>
  <c r="B857" i="8"/>
  <c r="U856" i="8"/>
  <c r="Q856" i="8"/>
  <c r="P856" i="8"/>
  <c r="D856" i="8"/>
  <c r="B856" i="8"/>
  <c r="U855" i="8"/>
  <c r="Q855" i="8"/>
  <c r="P855" i="8"/>
  <c r="D855" i="8"/>
  <c r="B855" i="8"/>
  <c r="U854" i="8"/>
  <c r="Q854" i="8"/>
  <c r="P854" i="8"/>
  <c r="D854" i="8"/>
  <c r="B854" i="8"/>
  <c r="U853" i="8"/>
  <c r="Q853" i="8"/>
  <c r="P853" i="8"/>
  <c r="D853" i="8"/>
  <c r="B853" i="8"/>
  <c r="U852" i="8"/>
  <c r="Q852" i="8"/>
  <c r="P852" i="8"/>
  <c r="D852" i="8"/>
  <c r="B852" i="8"/>
  <c r="U851" i="8"/>
  <c r="Q851" i="8"/>
  <c r="P851" i="8"/>
  <c r="D851" i="8"/>
  <c r="B851" i="8"/>
  <c r="U850" i="8"/>
  <c r="Q850" i="8"/>
  <c r="P850" i="8"/>
  <c r="D850" i="8"/>
  <c r="B850" i="8"/>
  <c r="U849" i="8"/>
  <c r="Q849" i="8"/>
  <c r="P849" i="8"/>
  <c r="D849" i="8"/>
  <c r="B849" i="8"/>
  <c r="U848" i="8"/>
  <c r="Q848" i="8"/>
  <c r="P848" i="8"/>
  <c r="D848" i="8"/>
  <c r="B848" i="8"/>
  <c r="U847" i="8"/>
  <c r="Q847" i="8"/>
  <c r="P847" i="8"/>
  <c r="D847" i="8"/>
  <c r="B847" i="8"/>
  <c r="U846" i="8"/>
  <c r="Q846" i="8"/>
  <c r="P846" i="8"/>
  <c r="D846" i="8"/>
  <c r="B846" i="8"/>
  <c r="U845" i="8"/>
  <c r="Q845" i="8"/>
  <c r="P845" i="8"/>
  <c r="D845" i="8"/>
  <c r="B845" i="8"/>
  <c r="U844" i="8"/>
  <c r="Q844" i="8"/>
  <c r="P844" i="8"/>
  <c r="D844" i="8"/>
  <c r="B844" i="8"/>
  <c r="U843" i="8"/>
  <c r="Q843" i="8"/>
  <c r="P843" i="8"/>
  <c r="D843" i="8"/>
  <c r="B843" i="8"/>
  <c r="U842" i="8"/>
  <c r="Q842" i="8"/>
  <c r="P842" i="8"/>
  <c r="D842" i="8"/>
  <c r="B842" i="8"/>
  <c r="U841" i="8"/>
  <c r="Q841" i="8"/>
  <c r="P841" i="8"/>
  <c r="D841" i="8"/>
  <c r="B841" i="8"/>
  <c r="U840" i="8"/>
  <c r="Q840" i="8"/>
  <c r="P840" i="8"/>
  <c r="D840" i="8"/>
  <c r="B840" i="8"/>
  <c r="U839" i="8"/>
  <c r="Q839" i="8"/>
  <c r="P839" i="8"/>
  <c r="D839" i="8"/>
  <c r="B839" i="8"/>
  <c r="U838" i="8"/>
  <c r="Q838" i="8"/>
  <c r="P838" i="8"/>
  <c r="D838" i="8"/>
  <c r="B838" i="8"/>
  <c r="U837" i="8"/>
  <c r="Q837" i="8"/>
  <c r="P837" i="8"/>
  <c r="D837" i="8"/>
  <c r="B837" i="8"/>
  <c r="U836" i="8"/>
  <c r="Q836" i="8"/>
  <c r="P836" i="8"/>
  <c r="D836" i="8"/>
  <c r="B836" i="8"/>
  <c r="U835" i="8"/>
  <c r="Q835" i="8"/>
  <c r="P835" i="8"/>
  <c r="D835" i="8"/>
  <c r="B835" i="8"/>
  <c r="U834" i="8"/>
  <c r="Q834" i="8"/>
  <c r="P834" i="8"/>
  <c r="D834" i="8"/>
  <c r="B834" i="8"/>
  <c r="U833" i="8"/>
  <c r="Q833" i="8"/>
  <c r="P833" i="8"/>
  <c r="D833" i="8"/>
  <c r="B833" i="8"/>
  <c r="U832" i="8"/>
  <c r="Q832" i="8"/>
  <c r="P832" i="8"/>
  <c r="D832" i="8"/>
  <c r="B832" i="8"/>
  <c r="U831" i="8"/>
  <c r="Q831" i="8"/>
  <c r="P831" i="8"/>
  <c r="D831" i="8"/>
  <c r="B831" i="8"/>
  <c r="U830" i="8"/>
  <c r="Q830" i="8"/>
  <c r="P830" i="8"/>
  <c r="D830" i="8"/>
  <c r="B830" i="8"/>
  <c r="U829" i="8"/>
  <c r="Q829" i="8"/>
  <c r="P829" i="8"/>
  <c r="D829" i="8"/>
  <c r="B829" i="8"/>
  <c r="U828" i="8"/>
  <c r="Q828" i="8"/>
  <c r="P828" i="8"/>
  <c r="D828" i="8"/>
  <c r="B828" i="8"/>
  <c r="U827" i="8"/>
  <c r="Q827" i="8"/>
  <c r="P827" i="8"/>
  <c r="D827" i="8"/>
  <c r="B827" i="8"/>
  <c r="U826" i="8"/>
  <c r="Q826" i="8"/>
  <c r="P826" i="8"/>
  <c r="D826" i="8"/>
  <c r="B826" i="8"/>
  <c r="U825" i="8"/>
  <c r="Q825" i="8"/>
  <c r="P825" i="8"/>
  <c r="D825" i="8"/>
  <c r="B825" i="8"/>
  <c r="U824" i="8"/>
  <c r="Q824" i="8"/>
  <c r="P824" i="8"/>
  <c r="D824" i="8"/>
  <c r="B824" i="8"/>
  <c r="U823" i="8"/>
  <c r="Q823" i="8"/>
  <c r="P823" i="8"/>
  <c r="D823" i="8"/>
  <c r="B823" i="8"/>
  <c r="U822" i="8"/>
  <c r="Q822" i="8"/>
  <c r="P822" i="8"/>
  <c r="D822" i="8"/>
  <c r="B822" i="8"/>
  <c r="U821" i="8"/>
  <c r="Q821" i="8"/>
  <c r="P821" i="8"/>
  <c r="D821" i="8"/>
  <c r="B821" i="8"/>
  <c r="U820" i="8"/>
  <c r="Q820" i="8"/>
  <c r="P820" i="8"/>
  <c r="D820" i="8"/>
  <c r="B820" i="8"/>
  <c r="U819" i="8"/>
  <c r="Q819" i="8"/>
  <c r="P819" i="8"/>
  <c r="D819" i="8"/>
  <c r="B819" i="8"/>
  <c r="U818" i="8"/>
  <c r="Q818" i="8"/>
  <c r="P818" i="8"/>
  <c r="D818" i="8"/>
  <c r="B818" i="8"/>
  <c r="U817" i="8"/>
  <c r="Q817" i="8"/>
  <c r="P817" i="8"/>
  <c r="D817" i="8"/>
  <c r="B817" i="8"/>
  <c r="U816" i="8"/>
  <c r="Q816" i="8"/>
  <c r="P816" i="8"/>
  <c r="D816" i="8"/>
  <c r="B816" i="8"/>
  <c r="U815" i="8"/>
  <c r="Q815" i="8"/>
  <c r="P815" i="8"/>
  <c r="D815" i="8"/>
  <c r="B815" i="8"/>
  <c r="U814" i="8"/>
  <c r="Q814" i="8"/>
  <c r="P814" i="8"/>
  <c r="D814" i="8"/>
  <c r="B814" i="8"/>
  <c r="U813" i="8"/>
  <c r="Q813" i="8"/>
  <c r="P813" i="8"/>
  <c r="D813" i="8"/>
  <c r="B813" i="8"/>
  <c r="U812" i="8"/>
  <c r="Q812" i="8"/>
  <c r="P812" i="8"/>
  <c r="D812" i="8"/>
  <c r="B812" i="8"/>
  <c r="U811" i="8"/>
  <c r="Q811" i="8"/>
  <c r="P811" i="8"/>
  <c r="D811" i="8"/>
  <c r="B811" i="8"/>
  <c r="U810" i="8"/>
  <c r="Q810" i="8"/>
  <c r="P810" i="8"/>
  <c r="D810" i="8"/>
  <c r="B810" i="8"/>
  <c r="U809" i="8"/>
  <c r="Q809" i="8"/>
  <c r="P809" i="8"/>
  <c r="D809" i="8"/>
  <c r="B809" i="8"/>
  <c r="U808" i="8"/>
  <c r="Q808" i="8"/>
  <c r="P808" i="8"/>
  <c r="D808" i="8"/>
  <c r="B808" i="8"/>
  <c r="U807" i="8"/>
  <c r="Q807" i="8"/>
  <c r="P807" i="8"/>
  <c r="D807" i="8"/>
  <c r="B807" i="8"/>
  <c r="U806" i="8"/>
  <c r="Q806" i="8"/>
  <c r="P806" i="8"/>
  <c r="D806" i="8"/>
  <c r="B806" i="8"/>
  <c r="U805" i="8"/>
  <c r="Q805" i="8"/>
  <c r="P805" i="8"/>
  <c r="D805" i="8"/>
  <c r="B805" i="8"/>
  <c r="U804" i="8"/>
  <c r="Q804" i="8"/>
  <c r="P804" i="8"/>
  <c r="D804" i="8"/>
  <c r="B804" i="8"/>
  <c r="U803" i="8"/>
  <c r="Q803" i="8"/>
  <c r="P803" i="8"/>
  <c r="D803" i="8"/>
  <c r="B803" i="8"/>
  <c r="U802" i="8"/>
  <c r="Q802" i="8"/>
  <c r="P802" i="8"/>
  <c r="D802" i="8"/>
  <c r="B802" i="8"/>
  <c r="U801" i="8"/>
  <c r="Q801" i="8"/>
  <c r="P801" i="8"/>
  <c r="D801" i="8"/>
  <c r="B801" i="8"/>
  <c r="U800" i="8"/>
  <c r="Q800" i="8"/>
  <c r="P800" i="8"/>
  <c r="D800" i="8"/>
  <c r="B800" i="8"/>
  <c r="U799" i="8"/>
  <c r="Q799" i="8"/>
  <c r="P799" i="8"/>
  <c r="D799" i="8"/>
  <c r="B799" i="8"/>
  <c r="U798" i="8"/>
  <c r="Q798" i="8"/>
  <c r="P798" i="8"/>
  <c r="D798" i="8"/>
  <c r="B798" i="8"/>
  <c r="U797" i="8"/>
  <c r="Q797" i="8"/>
  <c r="P797" i="8"/>
  <c r="D797" i="8"/>
  <c r="B797" i="8"/>
  <c r="U796" i="8"/>
  <c r="Q796" i="8"/>
  <c r="P796" i="8"/>
  <c r="D796" i="8"/>
  <c r="B796" i="8"/>
  <c r="U795" i="8"/>
  <c r="Q795" i="8"/>
  <c r="P795" i="8"/>
  <c r="D795" i="8"/>
  <c r="B795" i="8"/>
  <c r="U794" i="8"/>
  <c r="Q794" i="8"/>
  <c r="P794" i="8"/>
  <c r="D794" i="8"/>
  <c r="B794" i="8"/>
  <c r="U793" i="8"/>
  <c r="Q793" i="8"/>
  <c r="P793" i="8"/>
  <c r="D793" i="8"/>
  <c r="B793" i="8"/>
  <c r="U792" i="8"/>
  <c r="Q792" i="8"/>
  <c r="P792" i="8"/>
  <c r="D792" i="8"/>
  <c r="B792" i="8"/>
  <c r="U791" i="8"/>
  <c r="Q791" i="8"/>
  <c r="P791" i="8"/>
  <c r="D791" i="8"/>
  <c r="B791" i="8"/>
  <c r="U790" i="8"/>
  <c r="Q790" i="8"/>
  <c r="P790" i="8"/>
  <c r="D790" i="8"/>
  <c r="B790" i="8"/>
  <c r="U789" i="8"/>
  <c r="Q789" i="8"/>
  <c r="P789" i="8"/>
  <c r="D789" i="8"/>
  <c r="B789" i="8"/>
  <c r="U788" i="8"/>
  <c r="Q788" i="8"/>
  <c r="P788" i="8"/>
  <c r="D788" i="8"/>
  <c r="B788" i="8"/>
  <c r="U787" i="8"/>
  <c r="Q787" i="8"/>
  <c r="P787" i="8"/>
  <c r="D787" i="8"/>
  <c r="B787" i="8"/>
  <c r="U786" i="8"/>
  <c r="Q786" i="8"/>
  <c r="P786" i="8"/>
  <c r="D786" i="8"/>
  <c r="B786" i="8"/>
  <c r="U785" i="8"/>
  <c r="Q785" i="8"/>
  <c r="P785" i="8"/>
  <c r="D785" i="8"/>
  <c r="B785" i="8"/>
  <c r="U784" i="8"/>
  <c r="Q784" i="8"/>
  <c r="P784" i="8"/>
  <c r="D784" i="8"/>
  <c r="B784" i="8"/>
  <c r="U783" i="8"/>
  <c r="Q783" i="8"/>
  <c r="P783" i="8"/>
  <c r="D783" i="8"/>
  <c r="B783" i="8"/>
  <c r="U782" i="8"/>
  <c r="Q782" i="8"/>
  <c r="P782" i="8"/>
  <c r="D782" i="8"/>
  <c r="B782" i="8"/>
  <c r="U781" i="8"/>
  <c r="Q781" i="8"/>
  <c r="P781" i="8"/>
  <c r="D781" i="8"/>
  <c r="B781" i="8"/>
  <c r="U780" i="8"/>
  <c r="Q780" i="8"/>
  <c r="P780" i="8"/>
  <c r="D780" i="8"/>
  <c r="B780" i="8"/>
  <c r="U779" i="8"/>
  <c r="Q779" i="8"/>
  <c r="P779" i="8"/>
  <c r="D779" i="8"/>
  <c r="B779" i="8"/>
  <c r="U778" i="8"/>
  <c r="Q778" i="8"/>
  <c r="P778" i="8"/>
  <c r="D778" i="8"/>
  <c r="B778" i="8"/>
  <c r="U777" i="8"/>
  <c r="Q777" i="8"/>
  <c r="P777" i="8"/>
  <c r="D777" i="8"/>
  <c r="B777" i="8"/>
  <c r="U776" i="8"/>
  <c r="Q776" i="8"/>
  <c r="P776" i="8"/>
  <c r="D776" i="8"/>
  <c r="B776" i="8"/>
  <c r="U775" i="8"/>
  <c r="Q775" i="8"/>
  <c r="P775" i="8"/>
  <c r="D775" i="8"/>
  <c r="B775" i="8"/>
  <c r="U774" i="8"/>
  <c r="Q774" i="8"/>
  <c r="P774" i="8"/>
  <c r="D774" i="8"/>
  <c r="B774" i="8"/>
  <c r="U773" i="8"/>
  <c r="Q773" i="8"/>
  <c r="P773" i="8"/>
  <c r="D773" i="8"/>
  <c r="B773" i="8"/>
  <c r="U772" i="8"/>
  <c r="Q772" i="8"/>
  <c r="P772" i="8"/>
  <c r="D772" i="8"/>
  <c r="B772" i="8"/>
  <c r="U771" i="8"/>
  <c r="Q771" i="8"/>
  <c r="P771" i="8"/>
  <c r="D771" i="8"/>
  <c r="B771" i="8"/>
  <c r="U770" i="8"/>
  <c r="Q770" i="8"/>
  <c r="P770" i="8"/>
  <c r="D770" i="8"/>
  <c r="B770" i="8"/>
  <c r="U769" i="8"/>
  <c r="Q769" i="8"/>
  <c r="P769" i="8"/>
  <c r="D769" i="8"/>
  <c r="B769" i="8"/>
  <c r="U768" i="8"/>
  <c r="Q768" i="8"/>
  <c r="P768" i="8"/>
  <c r="D768" i="8"/>
  <c r="B768" i="8"/>
  <c r="U767" i="8"/>
  <c r="Q767" i="8"/>
  <c r="P767" i="8"/>
  <c r="D767" i="8"/>
  <c r="B767" i="8"/>
  <c r="U766" i="8"/>
  <c r="Q766" i="8"/>
  <c r="P766" i="8"/>
  <c r="D766" i="8"/>
  <c r="B766" i="8"/>
  <c r="U765" i="8"/>
  <c r="Q765" i="8"/>
  <c r="P765" i="8"/>
  <c r="D765" i="8"/>
  <c r="B765" i="8"/>
  <c r="U764" i="8"/>
  <c r="Q764" i="8"/>
  <c r="P764" i="8"/>
  <c r="D764" i="8"/>
  <c r="B764" i="8"/>
  <c r="U763" i="8"/>
  <c r="Q763" i="8"/>
  <c r="P763" i="8"/>
  <c r="D763" i="8"/>
  <c r="B763" i="8"/>
  <c r="U762" i="8"/>
  <c r="Q762" i="8"/>
  <c r="P762" i="8"/>
  <c r="D762" i="8"/>
  <c r="B762" i="8"/>
  <c r="U761" i="8"/>
  <c r="Q761" i="8"/>
  <c r="P761" i="8"/>
  <c r="D761" i="8"/>
  <c r="B761" i="8"/>
  <c r="U760" i="8"/>
  <c r="Q760" i="8"/>
  <c r="P760" i="8"/>
  <c r="D760" i="8"/>
  <c r="B760" i="8"/>
  <c r="U759" i="8"/>
  <c r="Q759" i="8"/>
  <c r="P759" i="8"/>
  <c r="D759" i="8"/>
  <c r="B759" i="8"/>
  <c r="U758" i="8"/>
  <c r="Q758" i="8"/>
  <c r="P758" i="8"/>
  <c r="D758" i="8"/>
  <c r="B758" i="8"/>
  <c r="U757" i="8"/>
  <c r="Q757" i="8"/>
  <c r="P757" i="8"/>
  <c r="D757" i="8"/>
  <c r="B757" i="8"/>
  <c r="U756" i="8"/>
  <c r="Q756" i="8"/>
  <c r="P756" i="8"/>
  <c r="D756" i="8"/>
  <c r="B756" i="8"/>
  <c r="U755" i="8"/>
  <c r="Q755" i="8"/>
  <c r="P755" i="8"/>
  <c r="D755" i="8"/>
  <c r="B755" i="8"/>
  <c r="U754" i="8"/>
  <c r="Q754" i="8"/>
  <c r="P754" i="8"/>
  <c r="D754" i="8"/>
  <c r="B754" i="8"/>
  <c r="U753" i="8"/>
  <c r="Q753" i="8"/>
  <c r="P753" i="8"/>
  <c r="D753" i="8"/>
  <c r="B753" i="8"/>
  <c r="U752" i="8"/>
  <c r="Q752" i="8"/>
  <c r="P752" i="8"/>
  <c r="D752" i="8"/>
  <c r="B752" i="8"/>
  <c r="U751" i="8"/>
  <c r="Q751" i="8"/>
  <c r="P751" i="8"/>
  <c r="D751" i="8"/>
  <c r="B751" i="8"/>
  <c r="U750" i="8"/>
  <c r="Q750" i="8"/>
  <c r="P750" i="8"/>
  <c r="D750" i="8"/>
  <c r="B750" i="8"/>
  <c r="U749" i="8"/>
  <c r="Q749" i="8"/>
  <c r="P749" i="8"/>
  <c r="D749" i="8"/>
  <c r="B749" i="8"/>
  <c r="U748" i="8"/>
  <c r="Q748" i="8"/>
  <c r="P748" i="8"/>
  <c r="D748" i="8"/>
  <c r="B748" i="8"/>
  <c r="U747" i="8"/>
  <c r="Q747" i="8"/>
  <c r="P747" i="8"/>
  <c r="D747" i="8"/>
  <c r="B747" i="8"/>
  <c r="U746" i="8"/>
  <c r="Q746" i="8"/>
  <c r="P746" i="8"/>
  <c r="D746" i="8"/>
  <c r="B746" i="8"/>
  <c r="U745" i="8"/>
  <c r="Q745" i="8"/>
  <c r="P745" i="8"/>
  <c r="D745" i="8"/>
  <c r="B745" i="8"/>
  <c r="U744" i="8"/>
  <c r="Q744" i="8"/>
  <c r="P744" i="8"/>
  <c r="D744" i="8"/>
  <c r="B744" i="8"/>
  <c r="U743" i="8"/>
  <c r="Q743" i="8"/>
  <c r="P743" i="8"/>
  <c r="D743" i="8"/>
  <c r="B743" i="8"/>
  <c r="U742" i="8"/>
  <c r="Q742" i="8"/>
  <c r="P742" i="8"/>
  <c r="D742" i="8"/>
  <c r="B742" i="8"/>
  <c r="U741" i="8"/>
  <c r="Q741" i="8"/>
  <c r="P741" i="8"/>
  <c r="D741" i="8"/>
  <c r="B741" i="8"/>
  <c r="U740" i="8"/>
  <c r="Q740" i="8"/>
  <c r="P740" i="8"/>
  <c r="D740" i="8"/>
  <c r="B740" i="8"/>
  <c r="U739" i="8"/>
  <c r="Q739" i="8"/>
  <c r="P739" i="8"/>
  <c r="D739" i="8"/>
  <c r="B739" i="8"/>
  <c r="U738" i="8"/>
  <c r="Q738" i="8"/>
  <c r="P738" i="8"/>
  <c r="D738" i="8"/>
  <c r="B738" i="8"/>
  <c r="U737" i="8"/>
  <c r="Q737" i="8"/>
  <c r="P737" i="8"/>
  <c r="D737" i="8"/>
  <c r="B737" i="8"/>
  <c r="U736" i="8"/>
  <c r="Q736" i="8"/>
  <c r="P736" i="8"/>
  <c r="D736" i="8"/>
  <c r="B736" i="8"/>
  <c r="U735" i="8"/>
  <c r="Q735" i="8"/>
  <c r="P735" i="8"/>
  <c r="D735" i="8"/>
  <c r="B735" i="8"/>
  <c r="U734" i="8"/>
  <c r="Q734" i="8"/>
  <c r="P734" i="8"/>
  <c r="D734" i="8"/>
  <c r="B734" i="8"/>
  <c r="U733" i="8"/>
  <c r="Q733" i="8"/>
  <c r="P733" i="8"/>
  <c r="D733" i="8"/>
  <c r="B733" i="8"/>
  <c r="U732" i="8"/>
  <c r="Q732" i="8"/>
  <c r="P732" i="8"/>
  <c r="D732" i="8"/>
  <c r="B732" i="8"/>
  <c r="U731" i="8"/>
  <c r="Q731" i="8"/>
  <c r="P731" i="8"/>
  <c r="D731" i="8"/>
  <c r="B731" i="8"/>
  <c r="U730" i="8"/>
  <c r="Q730" i="8"/>
  <c r="P730" i="8"/>
  <c r="D730" i="8"/>
  <c r="B730" i="8"/>
  <c r="U729" i="8"/>
  <c r="Q729" i="8"/>
  <c r="P729" i="8"/>
  <c r="D729" i="8"/>
  <c r="B729" i="8"/>
  <c r="U728" i="8"/>
  <c r="Q728" i="8"/>
  <c r="P728" i="8"/>
  <c r="D728" i="8"/>
  <c r="B728" i="8"/>
  <c r="U727" i="8"/>
  <c r="Q727" i="8"/>
  <c r="P727" i="8"/>
  <c r="D727" i="8"/>
  <c r="B727" i="8"/>
  <c r="U726" i="8"/>
  <c r="Q726" i="8"/>
  <c r="P726" i="8"/>
  <c r="D726" i="8"/>
  <c r="B726" i="8"/>
  <c r="U725" i="8"/>
  <c r="Q725" i="8"/>
  <c r="P725" i="8"/>
  <c r="D725" i="8"/>
  <c r="B725" i="8"/>
  <c r="U724" i="8"/>
  <c r="Q724" i="8"/>
  <c r="P724" i="8"/>
  <c r="D724" i="8"/>
  <c r="B724" i="8"/>
  <c r="U723" i="8"/>
  <c r="Q723" i="8"/>
  <c r="P723" i="8"/>
  <c r="D723" i="8"/>
  <c r="B723" i="8"/>
  <c r="U722" i="8"/>
  <c r="Q722" i="8"/>
  <c r="P722" i="8"/>
  <c r="D722" i="8"/>
  <c r="B722" i="8"/>
  <c r="U721" i="8"/>
  <c r="Q721" i="8"/>
  <c r="P721" i="8"/>
  <c r="D721" i="8"/>
  <c r="B721" i="8"/>
  <c r="U720" i="8"/>
  <c r="Q720" i="8"/>
  <c r="P720" i="8"/>
  <c r="D720" i="8"/>
  <c r="B720" i="8"/>
  <c r="U719" i="8"/>
  <c r="Q719" i="8"/>
  <c r="P719" i="8"/>
  <c r="D719" i="8"/>
  <c r="B719" i="8"/>
  <c r="U718" i="8"/>
  <c r="Q718" i="8"/>
  <c r="P718" i="8"/>
  <c r="D718" i="8"/>
  <c r="B718" i="8"/>
  <c r="U717" i="8"/>
  <c r="Q717" i="8"/>
  <c r="P717" i="8"/>
  <c r="D717" i="8"/>
  <c r="B717" i="8"/>
  <c r="U716" i="8"/>
  <c r="Q716" i="8"/>
  <c r="P716" i="8"/>
  <c r="D716" i="8"/>
  <c r="B716" i="8"/>
  <c r="U715" i="8"/>
  <c r="Q715" i="8"/>
  <c r="P715" i="8"/>
  <c r="D715" i="8"/>
  <c r="B715" i="8"/>
  <c r="U714" i="8"/>
  <c r="Q714" i="8"/>
  <c r="P714" i="8"/>
  <c r="D714" i="8"/>
  <c r="B714" i="8"/>
  <c r="U713" i="8"/>
  <c r="Q713" i="8"/>
  <c r="P713" i="8"/>
  <c r="D713" i="8"/>
  <c r="B713" i="8"/>
  <c r="U712" i="8"/>
  <c r="Q712" i="8"/>
  <c r="P712" i="8"/>
  <c r="D712" i="8"/>
  <c r="B712" i="8"/>
  <c r="U711" i="8"/>
  <c r="Q711" i="8"/>
  <c r="P711" i="8"/>
  <c r="D711" i="8"/>
  <c r="B711" i="8"/>
  <c r="U710" i="8"/>
  <c r="Q710" i="8"/>
  <c r="P710" i="8"/>
  <c r="D710" i="8"/>
  <c r="B710" i="8"/>
  <c r="U709" i="8"/>
  <c r="Q709" i="8"/>
  <c r="P709" i="8"/>
  <c r="D709" i="8"/>
  <c r="B709" i="8"/>
  <c r="U708" i="8"/>
  <c r="Q708" i="8"/>
  <c r="P708" i="8"/>
  <c r="D708" i="8"/>
  <c r="B708" i="8"/>
  <c r="U707" i="8"/>
  <c r="Q707" i="8"/>
  <c r="P707" i="8"/>
  <c r="D707" i="8"/>
  <c r="B707" i="8"/>
  <c r="U706" i="8"/>
  <c r="Q706" i="8"/>
  <c r="P706" i="8"/>
  <c r="D706" i="8"/>
  <c r="B706" i="8"/>
  <c r="U705" i="8"/>
  <c r="Q705" i="8"/>
  <c r="P705" i="8"/>
  <c r="D705" i="8"/>
  <c r="B705" i="8"/>
  <c r="U704" i="8"/>
  <c r="Q704" i="8"/>
  <c r="P704" i="8"/>
  <c r="D704" i="8"/>
  <c r="B704" i="8"/>
  <c r="U703" i="8"/>
  <c r="Q703" i="8"/>
  <c r="P703" i="8"/>
  <c r="D703" i="8"/>
  <c r="B703" i="8"/>
  <c r="U702" i="8"/>
  <c r="Q702" i="8"/>
  <c r="P702" i="8"/>
  <c r="D702" i="8"/>
  <c r="B702" i="8"/>
  <c r="U701" i="8"/>
  <c r="Q701" i="8"/>
  <c r="P701" i="8"/>
  <c r="D701" i="8"/>
  <c r="B701" i="8"/>
  <c r="U700" i="8"/>
  <c r="Q700" i="8"/>
  <c r="P700" i="8"/>
  <c r="D700" i="8"/>
  <c r="B700" i="8"/>
  <c r="U699" i="8"/>
  <c r="Q699" i="8"/>
  <c r="P699" i="8"/>
  <c r="D699" i="8"/>
  <c r="B699" i="8"/>
  <c r="U698" i="8"/>
  <c r="Q698" i="8"/>
  <c r="P698" i="8"/>
  <c r="D698" i="8"/>
  <c r="B698" i="8"/>
  <c r="U697" i="8"/>
  <c r="Q697" i="8"/>
  <c r="P697" i="8"/>
  <c r="D697" i="8"/>
  <c r="B697" i="8"/>
  <c r="U696" i="8"/>
  <c r="Q696" i="8"/>
  <c r="P696" i="8"/>
  <c r="D696" i="8"/>
  <c r="B696" i="8"/>
  <c r="U695" i="8"/>
  <c r="Q695" i="8"/>
  <c r="P695" i="8"/>
  <c r="D695" i="8"/>
  <c r="B695" i="8"/>
  <c r="U694" i="8"/>
  <c r="Q694" i="8"/>
  <c r="P694" i="8"/>
  <c r="D694" i="8"/>
  <c r="B694" i="8"/>
  <c r="U693" i="8"/>
  <c r="Q693" i="8"/>
  <c r="P693" i="8"/>
  <c r="D693" i="8"/>
  <c r="B693" i="8"/>
  <c r="U692" i="8"/>
  <c r="Q692" i="8"/>
  <c r="P692" i="8"/>
  <c r="D692" i="8"/>
  <c r="B692" i="8"/>
  <c r="U691" i="8"/>
  <c r="Q691" i="8"/>
  <c r="P691" i="8"/>
  <c r="D691" i="8"/>
  <c r="B691" i="8"/>
  <c r="U690" i="8"/>
  <c r="Q690" i="8"/>
  <c r="P690" i="8"/>
  <c r="D690" i="8"/>
  <c r="B690" i="8"/>
  <c r="U689" i="8"/>
  <c r="Q689" i="8"/>
  <c r="P689" i="8"/>
  <c r="D689" i="8"/>
  <c r="B689" i="8"/>
  <c r="U688" i="8"/>
  <c r="Q688" i="8"/>
  <c r="P688" i="8"/>
  <c r="D688" i="8"/>
  <c r="B688" i="8"/>
  <c r="U687" i="8"/>
  <c r="Q687" i="8"/>
  <c r="P687" i="8"/>
  <c r="D687" i="8"/>
  <c r="B687" i="8"/>
  <c r="U686" i="8"/>
  <c r="Q686" i="8"/>
  <c r="P686" i="8"/>
  <c r="D686" i="8"/>
  <c r="B686" i="8"/>
  <c r="U685" i="8"/>
  <c r="Q685" i="8"/>
  <c r="P685" i="8"/>
  <c r="D685" i="8"/>
  <c r="B685" i="8"/>
  <c r="U684" i="8"/>
  <c r="Q684" i="8"/>
  <c r="P684" i="8"/>
  <c r="D684" i="8"/>
  <c r="B684" i="8"/>
  <c r="U683" i="8"/>
  <c r="Q683" i="8"/>
  <c r="P683" i="8"/>
  <c r="D683" i="8"/>
  <c r="B683" i="8"/>
  <c r="U682" i="8"/>
  <c r="Q682" i="8"/>
  <c r="P682" i="8"/>
  <c r="D682" i="8"/>
  <c r="B682" i="8"/>
  <c r="U681" i="8"/>
  <c r="Q681" i="8"/>
  <c r="P681" i="8"/>
  <c r="D681" i="8"/>
  <c r="B681" i="8"/>
  <c r="U680" i="8"/>
  <c r="Q680" i="8"/>
  <c r="P680" i="8"/>
  <c r="D680" i="8"/>
  <c r="B680" i="8"/>
  <c r="U679" i="8"/>
  <c r="Q679" i="8"/>
  <c r="P679" i="8"/>
  <c r="D679" i="8"/>
  <c r="B679" i="8"/>
  <c r="U678" i="8"/>
  <c r="Q678" i="8"/>
  <c r="P678" i="8"/>
  <c r="D678" i="8"/>
  <c r="B678" i="8"/>
  <c r="U677" i="8"/>
  <c r="Q677" i="8"/>
  <c r="P677" i="8"/>
  <c r="D677" i="8"/>
  <c r="B677" i="8"/>
  <c r="U676" i="8"/>
  <c r="Q676" i="8"/>
  <c r="P676" i="8"/>
  <c r="D676" i="8"/>
  <c r="B676" i="8"/>
  <c r="U675" i="8"/>
  <c r="Q675" i="8"/>
  <c r="P675" i="8"/>
  <c r="D675" i="8"/>
  <c r="B675" i="8"/>
  <c r="U674" i="8"/>
  <c r="Q674" i="8"/>
  <c r="P674" i="8"/>
  <c r="D674" i="8"/>
  <c r="B674" i="8"/>
  <c r="U673" i="8"/>
  <c r="Q673" i="8"/>
  <c r="P673" i="8"/>
  <c r="D673" i="8"/>
  <c r="B673" i="8"/>
  <c r="U672" i="8"/>
  <c r="Q672" i="8"/>
  <c r="P672" i="8"/>
  <c r="D672" i="8"/>
  <c r="B672" i="8"/>
  <c r="U671" i="8"/>
  <c r="Q671" i="8"/>
  <c r="P671" i="8"/>
  <c r="D671" i="8"/>
  <c r="B671" i="8"/>
  <c r="U670" i="8"/>
  <c r="Q670" i="8"/>
  <c r="P670" i="8"/>
  <c r="D670" i="8"/>
  <c r="B670" i="8"/>
  <c r="U669" i="8"/>
  <c r="Q669" i="8"/>
  <c r="P669" i="8"/>
  <c r="D669" i="8"/>
  <c r="B669" i="8"/>
  <c r="U668" i="8"/>
  <c r="Q668" i="8"/>
  <c r="P668" i="8"/>
  <c r="D668" i="8"/>
  <c r="B668" i="8"/>
  <c r="U667" i="8"/>
  <c r="Q667" i="8"/>
  <c r="P667" i="8"/>
  <c r="D667" i="8"/>
  <c r="B667" i="8"/>
  <c r="U666" i="8"/>
  <c r="Q666" i="8"/>
  <c r="P666" i="8"/>
  <c r="D666" i="8"/>
  <c r="B666" i="8"/>
  <c r="U665" i="8"/>
  <c r="Q665" i="8"/>
  <c r="P665" i="8"/>
  <c r="D665" i="8"/>
  <c r="B665" i="8"/>
  <c r="U664" i="8"/>
  <c r="Q664" i="8"/>
  <c r="P664" i="8"/>
  <c r="D664" i="8"/>
  <c r="B664" i="8"/>
  <c r="U663" i="8"/>
  <c r="Q663" i="8"/>
  <c r="P663" i="8"/>
  <c r="D663" i="8"/>
  <c r="B663" i="8"/>
  <c r="U662" i="8"/>
  <c r="Q662" i="8"/>
  <c r="P662" i="8"/>
  <c r="D662" i="8"/>
  <c r="B662" i="8"/>
  <c r="U661" i="8"/>
  <c r="Q661" i="8"/>
  <c r="P661" i="8"/>
  <c r="D661" i="8"/>
  <c r="B661" i="8"/>
  <c r="U660" i="8"/>
  <c r="Q660" i="8"/>
  <c r="P660" i="8"/>
  <c r="D660" i="8"/>
  <c r="B660" i="8"/>
  <c r="U659" i="8"/>
  <c r="Q659" i="8"/>
  <c r="P659" i="8"/>
  <c r="D659" i="8"/>
  <c r="B659" i="8"/>
  <c r="U658" i="8"/>
  <c r="Q658" i="8"/>
  <c r="P658" i="8"/>
  <c r="D658" i="8"/>
  <c r="B658" i="8"/>
  <c r="U657" i="8"/>
  <c r="Q657" i="8"/>
  <c r="P657" i="8"/>
  <c r="D657" i="8"/>
  <c r="B657" i="8"/>
  <c r="U656" i="8"/>
  <c r="Q656" i="8"/>
  <c r="P656" i="8"/>
  <c r="D656" i="8"/>
  <c r="B656" i="8"/>
  <c r="U655" i="8"/>
  <c r="Q655" i="8"/>
  <c r="P655" i="8"/>
  <c r="D655" i="8"/>
  <c r="B655" i="8"/>
  <c r="U654" i="8"/>
  <c r="Q654" i="8"/>
  <c r="P654" i="8"/>
  <c r="D654" i="8"/>
  <c r="B654" i="8"/>
  <c r="U653" i="8"/>
  <c r="Q653" i="8"/>
  <c r="P653" i="8"/>
  <c r="D653" i="8"/>
  <c r="B653" i="8"/>
  <c r="U652" i="8"/>
  <c r="Q652" i="8"/>
  <c r="P652" i="8"/>
  <c r="D652" i="8"/>
  <c r="B652" i="8"/>
  <c r="U651" i="8"/>
  <c r="Q651" i="8"/>
  <c r="P651" i="8"/>
  <c r="D651" i="8"/>
  <c r="B651" i="8"/>
  <c r="U650" i="8"/>
  <c r="Q650" i="8"/>
  <c r="P650" i="8"/>
  <c r="D650" i="8"/>
  <c r="B650" i="8"/>
  <c r="U649" i="8"/>
  <c r="Q649" i="8"/>
  <c r="P649" i="8"/>
  <c r="D649" i="8"/>
  <c r="B649" i="8"/>
  <c r="U648" i="8"/>
  <c r="Q648" i="8"/>
  <c r="P648" i="8"/>
  <c r="D648" i="8"/>
  <c r="B648" i="8"/>
  <c r="U647" i="8"/>
  <c r="Q647" i="8"/>
  <c r="P647" i="8"/>
  <c r="D647" i="8"/>
  <c r="B647" i="8"/>
  <c r="U646" i="8"/>
  <c r="Q646" i="8"/>
  <c r="P646" i="8"/>
  <c r="D646" i="8"/>
  <c r="B646" i="8"/>
  <c r="U645" i="8"/>
  <c r="Q645" i="8"/>
  <c r="P645" i="8"/>
  <c r="D645" i="8"/>
  <c r="B645" i="8"/>
  <c r="U644" i="8"/>
  <c r="Q644" i="8"/>
  <c r="P644" i="8"/>
  <c r="D644" i="8"/>
  <c r="B644" i="8"/>
  <c r="U643" i="8"/>
  <c r="Q643" i="8"/>
  <c r="P643" i="8"/>
  <c r="D643" i="8"/>
  <c r="B643" i="8"/>
  <c r="U642" i="8"/>
  <c r="Q642" i="8"/>
  <c r="P642" i="8"/>
  <c r="D642" i="8"/>
  <c r="B642" i="8"/>
  <c r="U641" i="8"/>
  <c r="Q641" i="8"/>
  <c r="P641" i="8"/>
  <c r="D641" i="8"/>
  <c r="B641" i="8"/>
  <c r="U640" i="8"/>
  <c r="Q640" i="8"/>
  <c r="P640" i="8"/>
  <c r="D640" i="8"/>
  <c r="B640" i="8"/>
  <c r="U639" i="8"/>
  <c r="Q639" i="8"/>
  <c r="P639" i="8"/>
  <c r="D639" i="8"/>
  <c r="B639" i="8"/>
  <c r="U638" i="8"/>
  <c r="Q638" i="8"/>
  <c r="P638" i="8"/>
  <c r="D638" i="8"/>
  <c r="B638" i="8"/>
  <c r="U637" i="8"/>
  <c r="Q637" i="8"/>
  <c r="P637" i="8"/>
  <c r="D637" i="8"/>
  <c r="B637" i="8"/>
  <c r="U636" i="8"/>
  <c r="Q636" i="8"/>
  <c r="P636" i="8"/>
  <c r="D636" i="8"/>
  <c r="B636" i="8"/>
  <c r="U635" i="8"/>
  <c r="Q635" i="8"/>
  <c r="P635" i="8"/>
  <c r="D635" i="8"/>
  <c r="B635" i="8"/>
  <c r="U634" i="8"/>
  <c r="Q634" i="8"/>
  <c r="P634" i="8"/>
  <c r="D634" i="8"/>
  <c r="B634" i="8"/>
  <c r="U633" i="8"/>
  <c r="Q633" i="8"/>
  <c r="P633" i="8"/>
  <c r="D633" i="8"/>
  <c r="B633" i="8"/>
  <c r="U632" i="8"/>
  <c r="Q632" i="8"/>
  <c r="P632" i="8"/>
  <c r="D632" i="8"/>
  <c r="B632" i="8"/>
  <c r="U631" i="8"/>
  <c r="Q631" i="8"/>
  <c r="P631" i="8"/>
  <c r="D631" i="8"/>
  <c r="B631" i="8"/>
  <c r="U630" i="8"/>
  <c r="Q630" i="8"/>
  <c r="P630" i="8"/>
  <c r="D630" i="8"/>
  <c r="B630" i="8"/>
  <c r="U629" i="8"/>
  <c r="Q629" i="8"/>
  <c r="P629" i="8"/>
  <c r="D629" i="8"/>
  <c r="B629" i="8"/>
  <c r="U628" i="8"/>
  <c r="Q628" i="8"/>
  <c r="P628" i="8"/>
  <c r="D628" i="8"/>
  <c r="B628" i="8"/>
  <c r="U627" i="8"/>
  <c r="Q627" i="8"/>
  <c r="P627" i="8"/>
  <c r="D627" i="8"/>
  <c r="B627" i="8"/>
  <c r="U626" i="8"/>
  <c r="Q626" i="8"/>
  <c r="P626" i="8"/>
  <c r="D626" i="8"/>
  <c r="B626" i="8"/>
  <c r="U625" i="8"/>
  <c r="Q625" i="8"/>
  <c r="P625" i="8"/>
  <c r="D625" i="8"/>
  <c r="B625" i="8"/>
  <c r="U624" i="8"/>
  <c r="Q624" i="8"/>
  <c r="P624" i="8"/>
  <c r="D624" i="8"/>
  <c r="B624" i="8"/>
  <c r="U623" i="8"/>
  <c r="Q623" i="8"/>
  <c r="P623" i="8"/>
  <c r="D623" i="8"/>
  <c r="B623" i="8"/>
  <c r="U622" i="8"/>
  <c r="Q622" i="8"/>
  <c r="P622" i="8"/>
  <c r="D622" i="8"/>
  <c r="B622" i="8"/>
  <c r="U621" i="8"/>
  <c r="Q621" i="8"/>
  <c r="P621" i="8"/>
  <c r="D621" i="8"/>
  <c r="B621" i="8"/>
  <c r="U620" i="8"/>
  <c r="Q620" i="8"/>
  <c r="P620" i="8"/>
  <c r="D620" i="8"/>
  <c r="B620" i="8"/>
  <c r="U619" i="8"/>
  <c r="Q619" i="8"/>
  <c r="P619" i="8"/>
  <c r="D619" i="8"/>
  <c r="B619" i="8"/>
  <c r="U618" i="8"/>
  <c r="Q618" i="8"/>
  <c r="P618" i="8"/>
  <c r="D618" i="8"/>
  <c r="B618" i="8"/>
  <c r="U617" i="8"/>
  <c r="Q617" i="8"/>
  <c r="P617" i="8"/>
  <c r="D617" i="8"/>
  <c r="B617" i="8"/>
  <c r="U616" i="8"/>
  <c r="Q616" i="8"/>
  <c r="P616" i="8"/>
  <c r="D616" i="8"/>
  <c r="B616" i="8"/>
  <c r="U615" i="8"/>
  <c r="Q615" i="8"/>
  <c r="P615" i="8"/>
  <c r="D615" i="8"/>
  <c r="B615" i="8"/>
  <c r="U614" i="8"/>
  <c r="Q614" i="8"/>
  <c r="P614" i="8"/>
  <c r="D614" i="8"/>
  <c r="B614" i="8"/>
  <c r="U613" i="8"/>
  <c r="Q613" i="8"/>
  <c r="P613" i="8"/>
  <c r="D613" i="8"/>
  <c r="B613" i="8"/>
  <c r="U612" i="8"/>
  <c r="Q612" i="8"/>
  <c r="P612" i="8"/>
  <c r="D612" i="8"/>
  <c r="B612" i="8"/>
  <c r="U611" i="8"/>
  <c r="Q611" i="8"/>
  <c r="P611" i="8"/>
  <c r="D611" i="8"/>
  <c r="B611" i="8"/>
  <c r="U610" i="8"/>
  <c r="Q610" i="8"/>
  <c r="P610" i="8"/>
  <c r="D610" i="8"/>
  <c r="B610" i="8"/>
  <c r="U609" i="8"/>
  <c r="Q609" i="8"/>
  <c r="P609" i="8"/>
  <c r="D609" i="8"/>
  <c r="B609" i="8"/>
  <c r="U608" i="8"/>
  <c r="Q608" i="8"/>
  <c r="P608" i="8"/>
  <c r="D608" i="8"/>
  <c r="B608" i="8"/>
  <c r="U607" i="8"/>
  <c r="Q607" i="8"/>
  <c r="P607" i="8"/>
  <c r="D607" i="8"/>
  <c r="B607" i="8"/>
  <c r="U606" i="8"/>
  <c r="Q606" i="8"/>
  <c r="P606" i="8"/>
  <c r="D606" i="8"/>
  <c r="B606" i="8"/>
  <c r="U605" i="8"/>
  <c r="Q605" i="8"/>
  <c r="P605" i="8"/>
  <c r="D605" i="8"/>
  <c r="B605" i="8"/>
  <c r="U604" i="8"/>
  <c r="Q604" i="8"/>
  <c r="P604" i="8"/>
  <c r="D604" i="8"/>
  <c r="B604" i="8"/>
  <c r="U603" i="8"/>
  <c r="Q603" i="8"/>
  <c r="P603" i="8"/>
  <c r="D603" i="8"/>
  <c r="B603" i="8"/>
  <c r="U602" i="8"/>
  <c r="Q602" i="8"/>
  <c r="P602" i="8"/>
  <c r="D602" i="8"/>
  <c r="B602" i="8"/>
  <c r="U601" i="8"/>
  <c r="Q601" i="8"/>
  <c r="P601" i="8"/>
  <c r="D601" i="8"/>
  <c r="B601" i="8"/>
  <c r="U600" i="8"/>
  <c r="Q600" i="8"/>
  <c r="P600" i="8"/>
  <c r="D600" i="8"/>
  <c r="B600" i="8"/>
  <c r="U599" i="8"/>
  <c r="Q599" i="8"/>
  <c r="P599" i="8"/>
  <c r="D599" i="8"/>
  <c r="B599" i="8"/>
  <c r="U598" i="8"/>
  <c r="Q598" i="8"/>
  <c r="P598" i="8"/>
  <c r="D598" i="8"/>
  <c r="B598" i="8"/>
  <c r="U597" i="8"/>
  <c r="Q597" i="8"/>
  <c r="P597" i="8"/>
  <c r="D597" i="8"/>
  <c r="B597" i="8"/>
  <c r="U596" i="8"/>
  <c r="Q596" i="8"/>
  <c r="P596" i="8"/>
  <c r="D596" i="8"/>
  <c r="B596" i="8"/>
  <c r="U595" i="8"/>
  <c r="Q595" i="8"/>
  <c r="P595" i="8"/>
  <c r="D595" i="8"/>
  <c r="B595" i="8"/>
  <c r="U594" i="8"/>
  <c r="Q594" i="8"/>
  <c r="P594" i="8"/>
  <c r="D594" i="8"/>
  <c r="B594" i="8"/>
  <c r="U593" i="8"/>
  <c r="Q593" i="8"/>
  <c r="P593" i="8"/>
  <c r="D593" i="8"/>
  <c r="B593" i="8"/>
  <c r="U592" i="8"/>
  <c r="Q592" i="8"/>
  <c r="P592" i="8"/>
  <c r="D592" i="8"/>
  <c r="B592" i="8"/>
  <c r="U591" i="8"/>
  <c r="Q591" i="8"/>
  <c r="P591" i="8"/>
  <c r="D591" i="8"/>
  <c r="B591" i="8"/>
  <c r="U590" i="8"/>
  <c r="Q590" i="8"/>
  <c r="P590" i="8"/>
  <c r="D590" i="8"/>
  <c r="B590" i="8"/>
  <c r="U589" i="8"/>
  <c r="Q589" i="8"/>
  <c r="P589" i="8"/>
  <c r="D589" i="8"/>
  <c r="B589" i="8"/>
  <c r="U588" i="8"/>
  <c r="Q588" i="8"/>
  <c r="P588" i="8"/>
  <c r="D588" i="8"/>
  <c r="B588" i="8"/>
  <c r="U587" i="8"/>
  <c r="Q587" i="8"/>
  <c r="P587" i="8"/>
  <c r="D587" i="8"/>
  <c r="B587" i="8"/>
  <c r="U586" i="8"/>
  <c r="Q586" i="8"/>
  <c r="P586" i="8"/>
  <c r="D586" i="8"/>
  <c r="B586" i="8"/>
  <c r="U585" i="8"/>
  <c r="Q585" i="8"/>
  <c r="P585" i="8"/>
  <c r="D585" i="8"/>
  <c r="B585" i="8"/>
  <c r="U584" i="8"/>
  <c r="Q584" i="8"/>
  <c r="P584" i="8"/>
  <c r="D584" i="8"/>
  <c r="B584" i="8"/>
  <c r="U583" i="8"/>
  <c r="Q583" i="8"/>
  <c r="P583" i="8"/>
  <c r="D583" i="8"/>
  <c r="B583" i="8"/>
  <c r="U582" i="8"/>
  <c r="Q582" i="8"/>
  <c r="P582" i="8"/>
  <c r="D582" i="8"/>
  <c r="B582" i="8"/>
  <c r="U581" i="8"/>
  <c r="Q581" i="8"/>
  <c r="P581" i="8"/>
  <c r="D581" i="8"/>
  <c r="B581" i="8"/>
  <c r="U580" i="8"/>
  <c r="Q580" i="8"/>
  <c r="P580" i="8"/>
  <c r="D580" i="8"/>
  <c r="B580" i="8"/>
  <c r="U579" i="8"/>
  <c r="Q579" i="8"/>
  <c r="P579" i="8"/>
  <c r="D579" i="8"/>
  <c r="B579" i="8"/>
  <c r="U578" i="8"/>
  <c r="Q578" i="8"/>
  <c r="P578" i="8"/>
  <c r="D578" i="8"/>
  <c r="B578" i="8"/>
  <c r="U577" i="8"/>
  <c r="Q577" i="8"/>
  <c r="P577" i="8"/>
  <c r="D577" i="8"/>
  <c r="B577" i="8"/>
  <c r="U576" i="8"/>
  <c r="Q576" i="8"/>
  <c r="P576" i="8"/>
  <c r="D576" i="8"/>
  <c r="B576" i="8"/>
  <c r="U575" i="8"/>
  <c r="Q575" i="8"/>
  <c r="P575" i="8"/>
  <c r="D575" i="8"/>
  <c r="B575" i="8"/>
  <c r="U574" i="8"/>
  <c r="Q574" i="8"/>
  <c r="P574" i="8"/>
  <c r="D574" i="8"/>
  <c r="B574" i="8"/>
  <c r="U573" i="8"/>
  <c r="Q573" i="8"/>
  <c r="P573" i="8"/>
  <c r="D573" i="8"/>
  <c r="B573" i="8"/>
  <c r="U572" i="8"/>
  <c r="Q572" i="8"/>
  <c r="P572" i="8"/>
  <c r="D572" i="8"/>
  <c r="B572" i="8"/>
  <c r="U571" i="8"/>
  <c r="Q571" i="8"/>
  <c r="P571" i="8"/>
  <c r="D571" i="8"/>
  <c r="B571" i="8"/>
  <c r="U570" i="8"/>
  <c r="Q570" i="8"/>
  <c r="P570" i="8"/>
  <c r="D570" i="8"/>
  <c r="B570" i="8"/>
  <c r="U569" i="8"/>
  <c r="Q569" i="8"/>
  <c r="P569" i="8"/>
  <c r="D569" i="8"/>
  <c r="B569" i="8"/>
  <c r="U568" i="8"/>
  <c r="Q568" i="8"/>
  <c r="P568" i="8"/>
  <c r="D568" i="8"/>
  <c r="B568" i="8"/>
  <c r="U567" i="8"/>
  <c r="Q567" i="8"/>
  <c r="P567" i="8"/>
  <c r="D567" i="8"/>
  <c r="B567" i="8"/>
  <c r="U566" i="8"/>
  <c r="Q566" i="8"/>
  <c r="P566" i="8"/>
  <c r="D566" i="8"/>
  <c r="B566" i="8"/>
  <c r="U565" i="8"/>
  <c r="Q565" i="8"/>
  <c r="P565" i="8"/>
  <c r="D565" i="8"/>
  <c r="B565" i="8"/>
  <c r="U564" i="8"/>
  <c r="Q564" i="8"/>
  <c r="P564" i="8"/>
  <c r="D564" i="8"/>
  <c r="B564" i="8"/>
  <c r="U563" i="8"/>
  <c r="Q563" i="8"/>
  <c r="P563" i="8"/>
  <c r="D563" i="8"/>
  <c r="B563" i="8"/>
  <c r="U562" i="8"/>
  <c r="Q562" i="8"/>
  <c r="P562" i="8"/>
  <c r="D562" i="8"/>
  <c r="B562" i="8"/>
  <c r="U561" i="8"/>
  <c r="Q561" i="8"/>
  <c r="P561" i="8"/>
  <c r="D561" i="8"/>
  <c r="B561" i="8"/>
  <c r="U560" i="8"/>
  <c r="Q560" i="8"/>
  <c r="P560" i="8"/>
  <c r="D560" i="8"/>
  <c r="B560" i="8"/>
  <c r="U559" i="8"/>
  <c r="Q559" i="8"/>
  <c r="P559" i="8"/>
  <c r="D559" i="8"/>
  <c r="B559" i="8"/>
  <c r="U558" i="8"/>
  <c r="Q558" i="8"/>
  <c r="P558" i="8"/>
  <c r="D558" i="8"/>
  <c r="B558" i="8"/>
  <c r="U557" i="8"/>
  <c r="Q557" i="8"/>
  <c r="P557" i="8"/>
  <c r="D557" i="8"/>
  <c r="B557" i="8"/>
  <c r="U556" i="8"/>
  <c r="Q556" i="8"/>
  <c r="P556" i="8"/>
  <c r="D556" i="8"/>
  <c r="B556" i="8"/>
  <c r="U555" i="8"/>
  <c r="Q555" i="8"/>
  <c r="P555" i="8"/>
  <c r="D555" i="8"/>
  <c r="B555" i="8"/>
  <c r="U554" i="8"/>
  <c r="Q554" i="8"/>
  <c r="P554" i="8"/>
  <c r="D554" i="8"/>
  <c r="B554" i="8"/>
  <c r="U553" i="8"/>
  <c r="Q553" i="8"/>
  <c r="P553" i="8"/>
  <c r="D553" i="8"/>
  <c r="B553" i="8"/>
  <c r="U552" i="8"/>
  <c r="Q552" i="8"/>
  <c r="P552" i="8"/>
  <c r="D552" i="8"/>
  <c r="B552" i="8"/>
  <c r="U551" i="8"/>
  <c r="Q551" i="8"/>
  <c r="P551" i="8"/>
  <c r="D551" i="8"/>
  <c r="B551" i="8"/>
  <c r="U550" i="8"/>
  <c r="Q550" i="8"/>
  <c r="P550" i="8"/>
  <c r="D550" i="8"/>
  <c r="B550" i="8"/>
  <c r="U549" i="8"/>
  <c r="Q549" i="8"/>
  <c r="P549" i="8"/>
  <c r="D549" i="8"/>
  <c r="B549" i="8"/>
  <c r="U548" i="8"/>
  <c r="Q548" i="8"/>
  <c r="P548" i="8"/>
  <c r="D548" i="8"/>
  <c r="B548" i="8"/>
  <c r="U547" i="8"/>
  <c r="Q547" i="8"/>
  <c r="P547" i="8"/>
  <c r="D547" i="8"/>
  <c r="B547" i="8"/>
  <c r="U546" i="8"/>
  <c r="Q546" i="8"/>
  <c r="P546" i="8"/>
  <c r="D546" i="8"/>
  <c r="B546" i="8"/>
  <c r="U545" i="8"/>
  <c r="Q545" i="8"/>
  <c r="P545" i="8"/>
  <c r="D545" i="8"/>
  <c r="B545" i="8"/>
  <c r="U544" i="8"/>
  <c r="Q544" i="8"/>
  <c r="P544" i="8"/>
  <c r="D544" i="8"/>
  <c r="B544" i="8"/>
  <c r="U543" i="8"/>
  <c r="Q543" i="8"/>
  <c r="P543" i="8"/>
  <c r="D543" i="8"/>
  <c r="B543" i="8"/>
  <c r="U542" i="8"/>
  <c r="Q542" i="8"/>
  <c r="P542" i="8"/>
  <c r="D542" i="8"/>
  <c r="B542" i="8"/>
  <c r="U541" i="8"/>
  <c r="Q541" i="8"/>
  <c r="P541" i="8"/>
  <c r="D541" i="8"/>
  <c r="B541" i="8"/>
  <c r="U540" i="8"/>
  <c r="Q540" i="8"/>
  <c r="P540" i="8"/>
  <c r="D540" i="8"/>
  <c r="B540" i="8"/>
  <c r="U539" i="8"/>
  <c r="Q539" i="8"/>
  <c r="P539" i="8"/>
  <c r="D539" i="8"/>
  <c r="B539" i="8"/>
  <c r="U538" i="8"/>
  <c r="Q538" i="8"/>
  <c r="P538" i="8"/>
  <c r="D538" i="8"/>
  <c r="B538" i="8"/>
  <c r="U537" i="8"/>
  <c r="Q537" i="8"/>
  <c r="P537" i="8"/>
  <c r="D537" i="8"/>
  <c r="B537" i="8"/>
  <c r="U536" i="8"/>
  <c r="Q536" i="8"/>
  <c r="P536" i="8"/>
  <c r="D536" i="8"/>
  <c r="B536" i="8"/>
  <c r="U535" i="8"/>
  <c r="Q535" i="8"/>
  <c r="P535" i="8"/>
  <c r="D535" i="8"/>
  <c r="B535" i="8"/>
  <c r="U534" i="8"/>
  <c r="Q534" i="8"/>
  <c r="P534" i="8"/>
  <c r="D534" i="8"/>
  <c r="B534" i="8"/>
  <c r="U533" i="8"/>
  <c r="Q533" i="8"/>
  <c r="P533" i="8"/>
  <c r="D533" i="8"/>
  <c r="B533" i="8"/>
  <c r="U532" i="8"/>
  <c r="Q532" i="8"/>
  <c r="P532" i="8"/>
  <c r="D532" i="8"/>
  <c r="B532" i="8"/>
  <c r="U531" i="8"/>
  <c r="Q531" i="8"/>
  <c r="P531" i="8"/>
  <c r="D531" i="8"/>
  <c r="B531" i="8"/>
  <c r="U530" i="8"/>
  <c r="Q530" i="8"/>
  <c r="P530" i="8"/>
  <c r="D530" i="8"/>
  <c r="B530" i="8"/>
  <c r="U529" i="8"/>
  <c r="Q529" i="8"/>
  <c r="P529" i="8"/>
  <c r="D529" i="8"/>
  <c r="B529" i="8"/>
  <c r="U528" i="8"/>
  <c r="Q528" i="8"/>
  <c r="P528" i="8"/>
  <c r="D528" i="8"/>
  <c r="B528" i="8"/>
  <c r="U527" i="8"/>
  <c r="Q527" i="8"/>
  <c r="P527" i="8"/>
  <c r="D527" i="8"/>
  <c r="B527" i="8"/>
  <c r="U526" i="8"/>
  <c r="Q526" i="8"/>
  <c r="P526" i="8"/>
  <c r="D526" i="8"/>
  <c r="B526" i="8"/>
  <c r="U525" i="8"/>
  <c r="Q525" i="8"/>
  <c r="P525" i="8"/>
  <c r="D525" i="8"/>
  <c r="B525" i="8"/>
  <c r="U524" i="8"/>
  <c r="Q524" i="8"/>
  <c r="P524" i="8"/>
  <c r="D524" i="8"/>
  <c r="B524" i="8"/>
  <c r="U523" i="8"/>
  <c r="Q523" i="8"/>
  <c r="P523" i="8"/>
  <c r="D523" i="8"/>
  <c r="B523" i="8"/>
  <c r="U522" i="8"/>
  <c r="Q522" i="8"/>
  <c r="P522" i="8"/>
  <c r="D522" i="8"/>
  <c r="B522" i="8"/>
  <c r="U521" i="8"/>
  <c r="Q521" i="8"/>
  <c r="P521" i="8"/>
  <c r="D521" i="8"/>
  <c r="B521" i="8"/>
  <c r="U520" i="8"/>
  <c r="Q520" i="8"/>
  <c r="P520" i="8"/>
  <c r="D520" i="8"/>
  <c r="B520" i="8"/>
  <c r="U519" i="8"/>
  <c r="Q519" i="8"/>
  <c r="P519" i="8"/>
  <c r="D519" i="8"/>
  <c r="B519" i="8"/>
  <c r="U518" i="8"/>
  <c r="Q518" i="8"/>
  <c r="P518" i="8"/>
  <c r="D518" i="8"/>
  <c r="B518" i="8"/>
  <c r="U517" i="8"/>
  <c r="Q517" i="8"/>
  <c r="P517" i="8"/>
  <c r="D517" i="8"/>
  <c r="B517" i="8"/>
  <c r="U516" i="8"/>
  <c r="Q516" i="8"/>
  <c r="P516" i="8"/>
  <c r="D516" i="8"/>
  <c r="B516" i="8"/>
  <c r="U515" i="8"/>
  <c r="Q515" i="8"/>
  <c r="P515" i="8"/>
  <c r="D515" i="8"/>
  <c r="B515" i="8"/>
  <c r="U514" i="8"/>
  <c r="Q514" i="8"/>
  <c r="P514" i="8"/>
  <c r="D514" i="8"/>
  <c r="B514" i="8"/>
  <c r="U513" i="8"/>
  <c r="Q513" i="8"/>
  <c r="P513" i="8"/>
  <c r="D513" i="8"/>
  <c r="B513" i="8"/>
  <c r="U512" i="8"/>
  <c r="Q512" i="8"/>
  <c r="P512" i="8"/>
  <c r="D512" i="8"/>
  <c r="B512" i="8"/>
  <c r="U511" i="8"/>
  <c r="Q511" i="8"/>
  <c r="P511" i="8"/>
  <c r="D511" i="8"/>
  <c r="B511" i="8"/>
  <c r="U510" i="8"/>
  <c r="Q510" i="8"/>
  <c r="P510" i="8"/>
  <c r="D510" i="8"/>
  <c r="B510" i="8"/>
  <c r="U509" i="8"/>
  <c r="Q509" i="8"/>
  <c r="P509" i="8"/>
  <c r="D509" i="8"/>
  <c r="B509" i="8"/>
  <c r="U508" i="8"/>
  <c r="Q508" i="8"/>
  <c r="P508" i="8"/>
  <c r="D508" i="8"/>
  <c r="B508" i="8"/>
  <c r="U507" i="8"/>
  <c r="Q507" i="8"/>
  <c r="P507" i="8"/>
  <c r="D507" i="8"/>
  <c r="B507" i="8"/>
  <c r="U506" i="8"/>
  <c r="Q506" i="8"/>
  <c r="P506" i="8"/>
  <c r="D506" i="8"/>
  <c r="B506" i="8"/>
  <c r="U505" i="8"/>
  <c r="Q505" i="8"/>
  <c r="P505" i="8"/>
  <c r="D505" i="8"/>
  <c r="B505" i="8"/>
  <c r="U504" i="8"/>
  <c r="Q504" i="8"/>
  <c r="P504" i="8"/>
  <c r="D504" i="8"/>
  <c r="B504" i="8"/>
  <c r="U503" i="8"/>
  <c r="Q503" i="8"/>
  <c r="P503" i="8"/>
  <c r="D503" i="8"/>
  <c r="B503" i="8"/>
  <c r="U502" i="8"/>
  <c r="Q502" i="8"/>
  <c r="P502" i="8"/>
  <c r="D502" i="8"/>
  <c r="B502" i="8"/>
  <c r="U501" i="8"/>
  <c r="Q501" i="8"/>
  <c r="P501" i="8"/>
  <c r="D501" i="8"/>
  <c r="B501" i="8"/>
  <c r="U500" i="8"/>
  <c r="Q500" i="8"/>
  <c r="P500" i="8"/>
  <c r="D500" i="8"/>
  <c r="B500" i="8"/>
  <c r="U499" i="8"/>
  <c r="Q499" i="8"/>
  <c r="P499" i="8"/>
  <c r="D499" i="8"/>
  <c r="B499" i="8"/>
  <c r="U498" i="8"/>
  <c r="Q498" i="8"/>
  <c r="P498" i="8"/>
  <c r="D498" i="8"/>
  <c r="B498" i="8"/>
  <c r="U497" i="8"/>
  <c r="Q497" i="8"/>
  <c r="P497" i="8"/>
  <c r="D497" i="8"/>
  <c r="B497" i="8"/>
  <c r="U496" i="8"/>
  <c r="Q496" i="8"/>
  <c r="P496" i="8"/>
  <c r="D496" i="8"/>
  <c r="B496" i="8"/>
  <c r="U495" i="8"/>
  <c r="Q495" i="8"/>
  <c r="P495" i="8"/>
  <c r="D495" i="8"/>
  <c r="B495" i="8"/>
  <c r="U494" i="8"/>
  <c r="Q494" i="8"/>
  <c r="P494" i="8"/>
  <c r="D494" i="8"/>
  <c r="B494" i="8"/>
  <c r="U493" i="8"/>
  <c r="Q493" i="8"/>
  <c r="P493" i="8"/>
  <c r="D493" i="8"/>
  <c r="B493" i="8"/>
  <c r="U492" i="8"/>
  <c r="Q492" i="8"/>
  <c r="P492" i="8"/>
  <c r="D492" i="8"/>
  <c r="B492" i="8"/>
  <c r="U491" i="8"/>
  <c r="Q491" i="8"/>
  <c r="P491" i="8"/>
  <c r="D491" i="8"/>
  <c r="B491" i="8"/>
  <c r="U490" i="8"/>
  <c r="Q490" i="8"/>
  <c r="P490" i="8"/>
  <c r="D490" i="8"/>
  <c r="B490" i="8"/>
  <c r="U489" i="8"/>
  <c r="Q489" i="8"/>
  <c r="P489" i="8"/>
  <c r="D489" i="8"/>
  <c r="B489" i="8"/>
  <c r="U488" i="8"/>
  <c r="Q488" i="8"/>
  <c r="P488" i="8"/>
  <c r="D488" i="8"/>
  <c r="B488" i="8"/>
  <c r="U487" i="8"/>
  <c r="Q487" i="8"/>
  <c r="P487" i="8"/>
  <c r="D487" i="8"/>
  <c r="B487" i="8"/>
  <c r="U486" i="8"/>
  <c r="Q486" i="8"/>
  <c r="P486" i="8"/>
  <c r="D486" i="8"/>
  <c r="B486" i="8"/>
  <c r="U485" i="8"/>
  <c r="Q485" i="8"/>
  <c r="P485" i="8"/>
  <c r="D485" i="8"/>
  <c r="B485" i="8"/>
  <c r="U484" i="8"/>
  <c r="Q484" i="8"/>
  <c r="P484" i="8"/>
  <c r="D484" i="8"/>
  <c r="B484" i="8"/>
  <c r="U483" i="8"/>
  <c r="Q483" i="8"/>
  <c r="P483" i="8"/>
  <c r="D483" i="8"/>
  <c r="B483" i="8"/>
  <c r="U482" i="8"/>
  <c r="Q482" i="8"/>
  <c r="P482" i="8"/>
  <c r="D482" i="8"/>
  <c r="B482" i="8"/>
  <c r="U481" i="8"/>
  <c r="Q481" i="8"/>
  <c r="P481" i="8"/>
  <c r="D481" i="8"/>
  <c r="B481" i="8"/>
  <c r="U480" i="8"/>
  <c r="Q480" i="8"/>
  <c r="P480" i="8"/>
  <c r="D480" i="8"/>
  <c r="B480" i="8"/>
  <c r="U479" i="8"/>
  <c r="Q479" i="8"/>
  <c r="P479" i="8"/>
  <c r="D479" i="8"/>
  <c r="B479" i="8"/>
  <c r="U478" i="8"/>
  <c r="Q478" i="8"/>
  <c r="P478" i="8"/>
  <c r="D478" i="8"/>
  <c r="B478" i="8"/>
  <c r="U477" i="8"/>
  <c r="Q477" i="8"/>
  <c r="P477" i="8"/>
  <c r="D477" i="8"/>
  <c r="B477" i="8"/>
  <c r="U476" i="8"/>
  <c r="Q476" i="8"/>
  <c r="P476" i="8"/>
  <c r="D476" i="8"/>
  <c r="B476" i="8"/>
  <c r="U475" i="8"/>
  <c r="Q475" i="8"/>
  <c r="P475" i="8"/>
  <c r="D475" i="8"/>
  <c r="B475" i="8"/>
  <c r="U474" i="8"/>
  <c r="Q474" i="8"/>
  <c r="P474" i="8"/>
  <c r="D474" i="8"/>
  <c r="B474" i="8"/>
  <c r="U473" i="8"/>
  <c r="Q473" i="8"/>
  <c r="P473" i="8"/>
  <c r="D473" i="8"/>
  <c r="B473" i="8"/>
  <c r="U472" i="8"/>
  <c r="Q472" i="8"/>
  <c r="P472" i="8"/>
  <c r="D472" i="8"/>
  <c r="B472" i="8"/>
  <c r="U471" i="8"/>
  <c r="Q471" i="8"/>
  <c r="P471" i="8"/>
  <c r="D471" i="8"/>
  <c r="B471" i="8"/>
  <c r="U470" i="8"/>
  <c r="Q470" i="8"/>
  <c r="P470" i="8"/>
  <c r="D470" i="8"/>
  <c r="B470" i="8"/>
  <c r="U469" i="8"/>
  <c r="Q469" i="8"/>
  <c r="P469" i="8"/>
  <c r="D469" i="8"/>
  <c r="B469" i="8"/>
  <c r="U468" i="8"/>
  <c r="Q468" i="8"/>
  <c r="P468" i="8"/>
  <c r="D468" i="8"/>
  <c r="B468" i="8"/>
  <c r="U467" i="8"/>
  <c r="Q467" i="8"/>
  <c r="P467" i="8"/>
  <c r="D467" i="8"/>
  <c r="B467" i="8"/>
  <c r="U466" i="8"/>
  <c r="Q466" i="8"/>
  <c r="P466" i="8"/>
  <c r="D466" i="8"/>
  <c r="B466" i="8"/>
  <c r="U465" i="8"/>
  <c r="Q465" i="8"/>
  <c r="P465" i="8"/>
  <c r="D465" i="8"/>
  <c r="B465" i="8"/>
  <c r="U464" i="8"/>
  <c r="Q464" i="8"/>
  <c r="P464" i="8"/>
  <c r="D464" i="8"/>
  <c r="B464" i="8"/>
  <c r="U463" i="8"/>
  <c r="Q463" i="8"/>
  <c r="P463" i="8"/>
  <c r="D463" i="8"/>
  <c r="B463" i="8"/>
  <c r="U462" i="8"/>
  <c r="Q462" i="8"/>
  <c r="P462" i="8"/>
  <c r="D462" i="8"/>
  <c r="B462" i="8"/>
  <c r="U461" i="8"/>
  <c r="Q461" i="8"/>
  <c r="P461" i="8"/>
  <c r="D461" i="8"/>
  <c r="B461" i="8"/>
  <c r="U460" i="8"/>
  <c r="Q460" i="8"/>
  <c r="P460" i="8"/>
  <c r="D460" i="8"/>
  <c r="B460" i="8"/>
  <c r="U459" i="8"/>
  <c r="Q459" i="8"/>
  <c r="P459" i="8"/>
  <c r="D459" i="8"/>
  <c r="B459" i="8"/>
  <c r="U458" i="8"/>
  <c r="Q458" i="8"/>
  <c r="P458" i="8"/>
  <c r="D458" i="8"/>
  <c r="B458" i="8"/>
  <c r="U457" i="8"/>
  <c r="Q457" i="8"/>
  <c r="P457" i="8"/>
  <c r="D457" i="8"/>
  <c r="B457" i="8"/>
  <c r="U456" i="8"/>
  <c r="Q456" i="8"/>
  <c r="P456" i="8"/>
  <c r="D456" i="8"/>
  <c r="B456" i="8"/>
  <c r="U455" i="8"/>
  <c r="Q455" i="8"/>
  <c r="P455" i="8"/>
  <c r="D455" i="8"/>
  <c r="B455" i="8"/>
  <c r="U454" i="8"/>
  <c r="Q454" i="8"/>
  <c r="P454" i="8"/>
  <c r="D454" i="8"/>
  <c r="B454" i="8"/>
  <c r="U453" i="8"/>
  <c r="Q453" i="8"/>
  <c r="P453" i="8"/>
  <c r="D453" i="8"/>
  <c r="B453" i="8"/>
  <c r="U452" i="8"/>
  <c r="Q452" i="8"/>
  <c r="P452" i="8"/>
  <c r="D452" i="8"/>
  <c r="B452" i="8"/>
  <c r="U451" i="8"/>
  <c r="Q451" i="8"/>
  <c r="P451" i="8"/>
  <c r="D451" i="8"/>
  <c r="B451" i="8"/>
  <c r="U450" i="8"/>
  <c r="Q450" i="8"/>
  <c r="P450" i="8"/>
  <c r="D450" i="8"/>
  <c r="B450" i="8"/>
  <c r="U449" i="8"/>
  <c r="Q449" i="8"/>
  <c r="P449" i="8"/>
  <c r="D449" i="8"/>
  <c r="B449" i="8"/>
  <c r="U448" i="8"/>
  <c r="Q448" i="8"/>
  <c r="P448" i="8"/>
  <c r="D448" i="8"/>
  <c r="B448" i="8"/>
  <c r="U447" i="8"/>
  <c r="Q447" i="8"/>
  <c r="P447" i="8"/>
  <c r="D447" i="8"/>
  <c r="B447" i="8"/>
  <c r="U446" i="8"/>
  <c r="Q446" i="8"/>
  <c r="P446" i="8"/>
  <c r="D446" i="8"/>
  <c r="B446" i="8"/>
  <c r="U445" i="8"/>
  <c r="Q445" i="8"/>
  <c r="P445" i="8"/>
  <c r="D445" i="8"/>
  <c r="B445" i="8"/>
  <c r="U444" i="8"/>
  <c r="Q444" i="8"/>
  <c r="P444" i="8"/>
  <c r="D444" i="8"/>
  <c r="B444" i="8"/>
  <c r="U443" i="8"/>
  <c r="Q443" i="8"/>
  <c r="P443" i="8"/>
  <c r="D443" i="8"/>
  <c r="B443" i="8"/>
  <c r="U442" i="8"/>
  <c r="Q442" i="8"/>
  <c r="P442" i="8"/>
  <c r="D442" i="8"/>
  <c r="B442" i="8"/>
  <c r="U441" i="8"/>
  <c r="Q441" i="8"/>
  <c r="P441" i="8"/>
  <c r="D441" i="8"/>
  <c r="B441" i="8"/>
  <c r="U440" i="8"/>
  <c r="Q440" i="8"/>
  <c r="P440" i="8"/>
  <c r="D440" i="8"/>
  <c r="B440" i="8"/>
  <c r="U439" i="8"/>
  <c r="Q439" i="8"/>
  <c r="P439" i="8"/>
  <c r="D439" i="8"/>
  <c r="B439" i="8"/>
  <c r="U438" i="8"/>
  <c r="Q438" i="8"/>
  <c r="P438" i="8"/>
  <c r="D438" i="8"/>
  <c r="B438" i="8"/>
  <c r="U437" i="8"/>
  <c r="Q437" i="8"/>
  <c r="P437" i="8"/>
  <c r="D437" i="8"/>
  <c r="B437" i="8"/>
  <c r="U436" i="8"/>
  <c r="Q436" i="8"/>
  <c r="P436" i="8"/>
  <c r="D436" i="8"/>
  <c r="B436" i="8"/>
  <c r="U435" i="8"/>
  <c r="Q435" i="8"/>
  <c r="P435" i="8"/>
  <c r="D435" i="8"/>
  <c r="B435" i="8"/>
  <c r="U434" i="8"/>
  <c r="Q434" i="8"/>
  <c r="P434" i="8"/>
  <c r="D434" i="8"/>
  <c r="B434" i="8"/>
  <c r="U433" i="8"/>
  <c r="Q433" i="8"/>
  <c r="P433" i="8"/>
  <c r="D433" i="8"/>
  <c r="B433" i="8"/>
  <c r="U432" i="8"/>
  <c r="Q432" i="8"/>
  <c r="P432" i="8"/>
  <c r="D432" i="8"/>
  <c r="B432" i="8"/>
  <c r="U431" i="8"/>
  <c r="Q431" i="8"/>
  <c r="P431" i="8"/>
  <c r="D431" i="8"/>
  <c r="B431" i="8"/>
  <c r="U430" i="8"/>
  <c r="Q430" i="8"/>
  <c r="P430" i="8"/>
  <c r="D430" i="8"/>
  <c r="B430" i="8"/>
  <c r="U429" i="8"/>
  <c r="Q429" i="8"/>
  <c r="P429" i="8"/>
  <c r="D429" i="8"/>
  <c r="B429" i="8"/>
  <c r="U428" i="8"/>
  <c r="Q428" i="8"/>
  <c r="P428" i="8"/>
  <c r="D428" i="8"/>
  <c r="B428" i="8"/>
  <c r="U427" i="8"/>
  <c r="Q427" i="8"/>
  <c r="P427" i="8"/>
  <c r="D427" i="8"/>
  <c r="B427" i="8"/>
  <c r="U426" i="8"/>
  <c r="Q426" i="8"/>
  <c r="P426" i="8"/>
  <c r="D426" i="8"/>
  <c r="B426" i="8"/>
  <c r="U425" i="8"/>
  <c r="Q425" i="8"/>
  <c r="P425" i="8"/>
  <c r="D425" i="8"/>
  <c r="B425" i="8"/>
  <c r="U424" i="8"/>
  <c r="Q424" i="8"/>
  <c r="P424" i="8"/>
  <c r="D424" i="8"/>
  <c r="B424" i="8"/>
  <c r="U423" i="8"/>
  <c r="Q423" i="8"/>
  <c r="P423" i="8"/>
  <c r="D423" i="8"/>
  <c r="B423" i="8"/>
  <c r="U422" i="8"/>
  <c r="Q422" i="8"/>
  <c r="P422" i="8"/>
  <c r="D422" i="8"/>
  <c r="B422" i="8"/>
  <c r="U421" i="8"/>
  <c r="Q421" i="8"/>
  <c r="P421" i="8"/>
  <c r="D421" i="8"/>
  <c r="B421" i="8"/>
  <c r="U420" i="8"/>
  <c r="Q420" i="8"/>
  <c r="P420" i="8"/>
  <c r="D420" i="8"/>
  <c r="B420" i="8"/>
  <c r="U419" i="8"/>
  <c r="Q419" i="8"/>
  <c r="P419" i="8"/>
  <c r="D419" i="8"/>
  <c r="B419" i="8"/>
  <c r="U418" i="8"/>
  <c r="Q418" i="8"/>
  <c r="P418" i="8"/>
  <c r="D418" i="8"/>
  <c r="B418" i="8"/>
  <c r="U417" i="8"/>
  <c r="Q417" i="8"/>
  <c r="P417" i="8"/>
  <c r="D417" i="8"/>
  <c r="B417" i="8"/>
  <c r="U416" i="8"/>
  <c r="Q416" i="8"/>
  <c r="P416" i="8"/>
  <c r="D416" i="8"/>
  <c r="B416" i="8"/>
  <c r="U415" i="8"/>
  <c r="Q415" i="8"/>
  <c r="P415" i="8"/>
  <c r="D415" i="8"/>
  <c r="B415" i="8"/>
  <c r="U414" i="8"/>
  <c r="Q414" i="8"/>
  <c r="P414" i="8"/>
  <c r="D414" i="8"/>
  <c r="B414" i="8"/>
  <c r="U413" i="8"/>
  <c r="Q413" i="8"/>
  <c r="P413" i="8"/>
  <c r="D413" i="8"/>
  <c r="B413" i="8"/>
  <c r="U412" i="8"/>
  <c r="Q412" i="8"/>
  <c r="P412" i="8"/>
  <c r="D412" i="8"/>
  <c r="B412" i="8"/>
  <c r="U411" i="8"/>
  <c r="Q411" i="8"/>
  <c r="P411" i="8"/>
  <c r="D411" i="8"/>
  <c r="B411" i="8"/>
  <c r="U410" i="8"/>
  <c r="Q410" i="8"/>
  <c r="P410" i="8"/>
  <c r="D410" i="8"/>
  <c r="B410" i="8"/>
  <c r="U409" i="8"/>
  <c r="Q409" i="8"/>
  <c r="P409" i="8"/>
  <c r="D409" i="8"/>
  <c r="B409" i="8"/>
  <c r="U408" i="8"/>
  <c r="Q408" i="8"/>
  <c r="P408" i="8"/>
  <c r="D408" i="8"/>
  <c r="B408" i="8"/>
  <c r="U407" i="8"/>
  <c r="Q407" i="8"/>
  <c r="P407" i="8"/>
  <c r="D407" i="8"/>
  <c r="B407" i="8"/>
  <c r="U406" i="8"/>
  <c r="Q406" i="8"/>
  <c r="P406" i="8"/>
  <c r="D406" i="8"/>
  <c r="B406" i="8"/>
  <c r="U405" i="8"/>
  <c r="Q405" i="8"/>
  <c r="P405" i="8"/>
  <c r="D405" i="8"/>
  <c r="B405" i="8"/>
  <c r="U404" i="8"/>
  <c r="Q404" i="8"/>
  <c r="P404" i="8"/>
  <c r="D404" i="8"/>
  <c r="B404" i="8"/>
  <c r="U403" i="8"/>
  <c r="Q403" i="8"/>
  <c r="P403" i="8"/>
  <c r="D403" i="8"/>
  <c r="B403" i="8"/>
  <c r="U402" i="8"/>
  <c r="Q402" i="8"/>
  <c r="P402" i="8"/>
  <c r="D402" i="8"/>
  <c r="B402" i="8"/>
  <c r="U401" i="8"/>
  <c r="Q401" i="8"/>
  <c r="P401" i="8"/>
  <c r="D401" i="8"/>
  <c r="B401" i="8"/>
  <c r="U400" i="8"/>
  <c r="Q400" i="8"/>
  <c r="P400" i="8"/>
  <c r="D400" i="8"/>
  <c r="B400" i="8"/>
  <c r="U399" i="8"/>
  <c r="Q399" i="8"/>
  <c r="P399" i="8"/>
  <c r="D399" i="8"/>
  <c r="B399" i="8"/>
  <c r="U398" i="8"/>
  <c r="Q398" i="8"/>
  <c r="P398" i="8"/>
  <c r="D398" i="8"/>
  <c r="B398" i="8"/>
  <c r="U397" i="8"/>
  <c r="Q397" i="8"/>
  <c r="P397" i="8"/>
  <c r="D397" i="8"/>
  <c r="B397" i="8"/>
  <c r="U396" i="8"/>
  <c r="Q396" i="8"/>
  <c r="P396" i="8"/>
  <c r="D396" i="8"/>
  <c r="B396" i="8"/>
  <c r="U395" i="8"/>
  <c r="Q395" i="8"/>
  <c r="P395" i="8"/>
  <c r="D395" i="8"/>
  <c r="B395" i="8"/>
  <c r="U394" i="8"/>
  <c r="Q394" i="8"/>
  <c r="P394" i="8"/>
  <c r="D394" i="8"/>
  <c r="B394" i="8"/>
  <c r="U393" i="8"/>
  <c r="Q393" i="8"/>
  <c r="P393" i="8"/>
  <c r="D393" i="8"/>
  <c r="B393" i="8"/>
  <c r="U392" i="8"/>
  <c r="Q392" i="8"/>
  <c r="P392" i="8"/>
  <c r="D392" i="8"/>
  <c r="B392" i="8"/>
  <c r="U391" i="8"/>
  <c r="Q391" i="8"/>
  <c r="P391" i="8"/>
  <c r="D391" i="8"/>
  <c r="B391" i="8"/>
  <c r="U390" i="8"/>
  <c r="Q390" i="8"/>
  <c r="P390" i="8"/>
  <c r="D390" i="8"/>
  <c r="B390" i="8"/>
  <c r="U389" i="8"/>
  <c r="Q389" i="8"/>
  <c r="P389" i="8"/>
  <c r="D389" i="8"/>
  <c r="B389" i="8"/>
  <c r="U388" i="8"/>
  <c r="Q388" i="8"/>
  <c r="P388" i="8"/>
  <c r="D388" i="8"/>
  <c r="B388" i="8"/>
  <c r="U387" i="8"/>
  <c r="Q387" i="8"/>
  <c r="P387" i="8"/>
  <c r="D387" i="8"/>
  <c r="B387" i="8"/>
  <c r="U386" i="8"/>
  <c r="Q386" i="8"/>
  <c r="P386" i="8"/>
  <c r="D386" i="8"/>
  <c r="B386" i="8"/>
  <c r="U385" i="8"/>
  <c r="Q385" i="8"/>
  <c r="P385" i="8"/>
  <c r="D385" i="8"/>
  <c r="B385" i="8"/>
  <c r="U384" i="8"/>
  <c r="Q384" i="8"/>
  <c r="P384" i="8"/>
  <c r="D384" i="8"/>
  <c r="B384" i="8"/>
  <c r="U383" i="8"/>
  <c r="Q383" i="8"/>
  <c r="P383" i="8"/>
  <c r="D383" i="8"/>
  <c r="B383" i="8"/>
  <c r="U382" i="8"/>
  <c r="Q382" i="8"/>
  <c r="P382" i="8"/>
  <c r="D382" i="8"/>
  <c r="B382" i="8"/>
  <c r="U381" i="8"/>
  <c r="Q381" i="8"/>
  <c r="P381" i="8"/>
  <c r="D381" i="8"/>
  <c r="B381" i="8"/>
  <c r="U380" i="8"/>
  <c r="Q380" i="8"/>
  <c r="P380" i="8"/>
  <c r="D380" i="8"/>
  <c r="B380" i="8"/>
  <c r="U379" i="8"/>
  <c r="Q379" i="8"/>
  <c r="P379" i="8"/>
  <c r="D379" i="8"/>
  <c r="B379" i="8"/>
  <c r="U378" i="8"/>
  <c r="Q378" i="8"/>
  <c r="P378" i="8"/>
  <c r="D378" i="8"/>
  <c r="B378" i="8"/>
  <c r="U377" i="8"/>
  <c r="Q377" i="8"/>
  <c r="P377" i="8"/>
  <c r="D377" i="8"/>
  <c r="B377" i="8"/>
  <c r="U376" i="8"/>
  <c r="Q376" i="8"/>
  <c r="P376" i="8"/>
  <c r="D376" i="8"/>
  <c r="B376" i="8"/>
  <c r="U375" i="8"/>
  <c r="Q375" i="8"/>
  <c r="P375" i="8"/>
  <c r="D375" i="8"/>
  <c r="B375" i="8"/>
  <c r="U374" i="8"/>
  <c r="Q374" i="8"/>
  <c r="P374" i="8"/>
  <c r="D374" i="8"/>
  <c r="B374" i="8"/>
  <c r="U373" i="8"/>
  <c r="Q373" i="8"/>
  <c r="P373" i="8"/>
  <c r="D373" i="8"/>
  <c r="B373" i="8"/>
  <c r="U372" i="8"/>
  <c r="Q372" i="8"/>
  <c r="P372" i="8"/>
  <c r="D372" i="8"/>
  <c r="B372" i="8"/>
  <c r="U371" i="8"/>
  <c r="Q371" i="8"/>
  <c r="P371" i="8"/>
  <c r="D371" i="8"/>
  <c r="B371" i="8"/>
  <c r="U370" i="8"/>
  <c r="Q370" i="8"/>
  <c r="P370" i="8"/>
  <c r="D370" i="8"/>
  <c r="B370" i="8"/>
  <c r="U369" i="8"/>
  <c r="Q369" i="8"/>
  <c r="P369" i="8"/>
  <c r="D369" i="8"/>
  <c r="B369" i="8"/>
  <c r="U368" i="8"/>
  <c r="Q368" i="8"/>
  <c r="P368" i="8"/>
  <c r="D368" i="8"/>
  <c r="B368" i="8"/>
  <c r="U367" i="8"/>
  <c r="Q367" i="8"/>
  <c r="P367" i="8"/>
  <c r="D367" i="8"/>
  <c r="B367" i="8"/>
  <c r="U366" i="8"/>
  <c r="Q366" i="8"/>
  <c r="P366" i="8"/>
  <c r="D366" i="8"/>
  <c r="B366" i="8"/>
  <c r="U365" i="8"/>
  <c r="Q365" i="8"/>
  <c r="P365" i="8"/>
  <c r="D365" i="8"/>
  <c r="B365" i="8"/>
  <c r="U364" i="8"/>
  <c r="Q364" i="8"/>
  <c r="P364" i="8"/>
  <c r="D364" i="8"/>
  <c r="B364" i="8"/>
  <c r="U363" i="8"/>
  <c r="Q363" i="8"/>
  <c r="P363" i="8"/>
  <c r="D363" i="8"/>
  <c r="B363" i="8"/>
  <c r="U362" i="8"/>
  <c r="Q362" i="8"/>
  <c r="P362" i="8"/>
  <c r="D362" i="8"/>
  <c r="B362" i="8"/>
  <c r="U361" i="8"/>
  <c r="Q361" i="8"/>
  <c r="P361" i="8"/>
  <c r="D361" i="8"/>
  <c r="B361" i="8"/>
  <c r="U360" i="8"/>
  <c r="Q360" i="8"/>
  <c r="P360" i="8"/>
  <c r="D360" i="8"/>
  <c r="B360" i="8"/>
  <c r="U359" i="8"/>
  <c r="Q359" i="8"/>
  <c r="P359" i="8"/>
  <c r="D359" i="8"/>
  <c r="B359" i="8"/>
  <c r="U358" i="8"/>
  <c r="Q358" i="8"/>
  <c r="P358" i="8"/>
  <c r="D358" i="8"/>
  <c r="B358" i="8"/>
  <c r="U357" i="8"/>
  <c r="Q357" i="8"/>
  <c r="P357" i="8"/>
  <c r="D357" i="8"/>
  <c r="B357" i="8"/>
  <c r="U356" i="8"/>
  <c r="Q356" i="8"/>
  <c r="P356" i="8"/>
  <c r="D356" i="8"/>
  <c r="B356" i="8"/>
  <c r="U355" i="8"/>
  <c r="Q355" i="8"/>
  <c r="P355" i="8"/>
  <c r="D355" i="8"/>
  <c r="B355" i="8"/>
  <c r="U354" i="8"/>
  <c r="Q354" i="8"/>
  <c r="P354" i="8"/>
  <c r="D354" i="8"/>
  <c r="B354" i="8"/>
  <c r="U353" i="8"/>
  <c r="Q353" i="8"/>
  <c r="P353" i="8"/>
  <c r="D353" i="8"/>
  <c r="B353" i="8"/>
  <c r="U352" i="8"/>
  <c r="Q352" i="8"/>
  <c r="P352" i="8"/>
  <c r="D352" i="8"/>
  <c r="B352" i="8"/>
  <c r="U351" i="8"/>
  <c r="Q351" i="8"/>
  <c r="P351" i="8"/>
  <c r="D351" i="8"/>
  <c r="B351" i="8"/>
  <c r="U350" i="8"/>
  <c r="Q350" i="8"/>
  <c r="P350" i="8"/>
  <c r="D350" i="8"/>
  <c r="B350" i="8"/>
  <c r="U349" i="8"/>
  <c r="Q349" i="8"/>
  <c r="P349" i="8"/>
  <c r="D349" i="8"/>
  <c r="B349" i="8"/>
  <c r="U348" i="8"/>
  <c r="Q348" i="8"/>
  <c r="P348" i="8"/>
  <c r="D348" i="8"/>
  <c r="B348" i="8"/>
  <c r="U347" i="8"/>
  <c r="Q347" i="8"/>
  <c r="P347" i="8"/>
  <c r="D347" i="8"/>
  <c r="B347" i="8"/>
  <c r="U346" i="8"/>
  <c r="Q346" i="8"/>
  <c r="P346" i="8"/>
  <c r="D346" i="8"/>
  <c r="B346" i="8"/>
  <c r="U345" i="8"/>
  <c r="Q345" i="8"/>
  <c r="P345" i="8"/>
  <c r="D345" i="8"/>
  <c r="B345" i="8"/>
  <c r="U344" i="8"/>
  <c r="Q344" i="8"/>
  <c r="P344" i="8"/>
  <c r="D344" i="8"/>
  <c r="B344" i="8"/>
  <c r="U343" i="8"/>
  <c r="Q343" i="8"/>
  <c r="P343" i="8"/>
  <c r="D343" i="8"/>
  <c r="B343" i="8"/>
  <c r="U342" i="8"/>
  <c r="Q342" i="8"/>
  <c r="P342" i="8"/>
  <c r="D342" i="8"/>
  <c r="B342" i="8"/>
  <c r="U341" i="8"/>
  <c r="Q341" i="8"/>
  <c r="P341" i="8"/>
  <c r="D341" i="8"/>
  <c r="B341" i="8"/>
  <c r="U340" i="8"/>
  <c r="Q340" i="8"/>
  <c r="P340" i="8"/>
  <c r="D340" i="8"/>
  <c r="B340" i="8"/>
  <c r="U339" i="8"/>
  <c r="Q339" i="8"/>
  <c r="P339" i="8"/>
  <c r="D339" i="8"/>
  <c r="B339" i="8"/>
  <c r="U338" i="8"/>
  <c r="Q338" i="8"/>
  <c r="P338" i="8"/>
  <c r="D338" i="8"/>
  <c r="B338" i="8"/>
  <c r="U337" i="8"/>
  <c r="Q337" i="8"/>
  <c r="P337" i="8"/>
  <c r="D337" i="8"/>
  <c r="B337" i="8"/>
  <c r="U336" i="8"/>
  <c r="Q336" i="8"/>
  <c r="P336" i="8"/>
  <c r="D336" i="8"/>
  <c r="B336" i="8"/>
  <c r="U335" i="8"/>
  <c r="Q335" i="8"/>
  <c r="P335" i="8"/>
  <c r="D335" i="8"/>
  <c r="B335" i="8"/>
  <c r="U334" i="8"/>
  <c r="Q334" i="8"/>
  <c r="P334" i="8"/>
  <c r="D334" i="8"/>
  <c r="B334" i="8"/>
  <c r="U333" i="8"/>
  <c r="Q333" i="8"/>
  <c r="P333" i="8"/>
  <c r="D333" i="8"/>
  <c r="B333" i="8"/>
  <c r="U332" i="8"/>
  <c r="Q332" i="8"/>
  <c r="P332" i="8"/>
  <c r="D332" i="8"/>
  <c r="B332" i="8"/>
  <c r="U331" i="8"/>
  <c r="Q331" i="8"/>
  <c r="P331" i="8"/>
  <c r="D331" i="8"/>
  <c r="B331" i="8"/>
  <c r="U330" i="8"/>
  <c r="Q330" i="8"/>
  <c r="P330" i="8"/>
  <c r="D330" i="8"/>
  <c r="B330" i="8"/>
  <c r="U329" i="8"/>
  <c r="Q329" i="8"/>
  <c r="P329" i="8"/>
  <c r="D329" i="8"/>
  <c r="B329" i="8"/>
  <c r="U328" i="8"/>
  <c r="Q328" i="8"/>
  <c r="P328" i="8"/>
  <c r="D328" i="8"/>
  <c r="B328" i="8"/>
  <c r="U327" i="8"/>
  <c r="Q327" i="8"/>
  <c r="P327" i="8"/>
  <c r="D327" i="8"/>
  <c r="B327" i="8"/>
  <c r="U326" i="8"/>
  <c r="Q326" i="8"/>
  <c r="P326" i="8"/>
  <c r="D326" i="8"/>
  <c r="B326" i="8"/>
  <c r="U325" i="8"/>
  <c r="Q325" i="8"/>
  <c r="P325" i="8"/>
  <c r="D325" i="8"/>
  <c r="B325" i="8"/>
  <c r="U324" i="8"/>
  <c r="Q324" i="8"/>
  <c r="P324" i="8"/>
  <c r="D324" i="8"/>
  <c r="B324" i="8"/>
  <c r="U323" i="8"/>
  <c r="Q323" i="8"/>
  <c r="P323" i="8"/>
  <c r="D323" i="8"/>
  <c r="B323" i="8"/>
  <c r="U322" i="8"/>
  <c r="Q322" i="8"/>
  <c r="P322" i="8"/>
  <c r="D322" i="8"/>
  <c r="B322" i="8"/>
  <c r="U321" i="8"/>
  <c r="Q321" i="8"/>
  <c r="P321" i="8"/>
  <c r="D321" i="8"/>
  <c r="B321" i="8"/>
  <c r="U320" i="8"/>
  <c r="Q320" i="8"/>
  <c r="P320" i="8"/>
  <c r="D320" i="8"/>
  <c r="B320" i="8"/>
  <c r="U319" i="8"/>
  <c r="Q319" i="8"/>
  <c r="P319" i="8"/>
  <c r="D319" i="8"/>
  <c r="B319" i="8"/>
  <c r="U318" i="8"/>
  <c r="Q318" i="8"/>
  <c r="P318" i="8"/>
  <c r="D318" i="8"/>
  <c r="B318" i="8"/>
  <c r="U317" i="8"/>
  <c r="Q317" i="8"/>
  <c r="P317" i="8"/>
  <c r="D317" i="8"/>
  <c r="B317" i="8"/>
  <c r="U316" i="8"/>
  <c r="Q316" i="8"/>
  <c r="P316" i="8"/>
  <c r="D316" i="8"/>
  <c r="B316" i="8"/>
  <c r="U315" i="8"/>
  <c r="Q315" i="8"/>
  <c r="P315" i="8"/>
  <c r="D315" i="8"/>
  <c r="B315" i="8"/>
  <c r="U314" i="8"/>
  <c r="Q314" i="8"/>
  <c r="P314" i="8"/>
  <c r="D314" i="8"/>
  <c r="B314" i="8"/>
  <c r="U313" i="8"/>
  <c r="Q313" i="8"/>
  <c r="P313" i="8"/>
  <c r="D313" i="8"/>
  <c r="B313" i="8"/>
  <c r="U312" i="8"/>
  <c r="Q312" i="8"/>
  <c r="P312" i="8"/>
  <c r="D312" i="8"/>
  <c r="B312" i="8"/>
  <c r="U311" i="8"/>
  <c r="Q311" i="8"/>
  <c r="P311" i="8"/>
  <c r="D311" i="8"/>
  <c r="B311" i="8"/>
  <c r="U310" i="8"/>
  <c r="Q310" i="8"/>
  <c r="P310" i="8"/>
  <c r="D310" i="8"/>
  <c r="B310" i="8"/>
  <c r="U309" i="8"/>
  <c r="Q309" i="8"/>
  <c r="P309" i="8"/>
  <c r="D309" i="8"/>
  <c r="B309" i="8"/>
  <c r="U308" i="8"/>
  <c r="Q308" i="8"/>
  <c r="P308" i="8"/>
  <c r="D308" i="8"/>
  <c r="B308" i="8"/>
  <c r="U307" i="8"/>
  <c r="Q307" i="8"/>
  <c r="P307" i="8"/>
  <c r="D307" i="8"/>
  <c r="B307" i="8"/>
  <c r="U306" i="8"/>
  <c r="Q306" i="8"/>
  <c r="P306" i="8"/>
  <c r="D306" i="8"/>
  <c r="B306" i="8"/>
  <c r="U305" i="8"/>
  <c r="Q305" i="8"/>
  <c r="P305" i="8"/>
  <c r="D305" i="8"/>
  <c r="B305" i="8"/>
  <c r="U304" i="8"/>
  <c r="Q304" i="8"/>
  <c r="P304" i="8"/>
  <c r="D304" i="8"/>
  <c r="B304" i="8"/>
  <c r="U303" i="8"/>
  <c r="Q303" i="8"/>
  <c r="P303" i="8"/>
  <c r="D303" i="8"/>
  <c r="B303" i="8"/>
  <c r="U302" i="8"/>
  <c r="Q302" i="8"/>
  <c r="P302" i="8"/>
  <c r="D302" i="8"/>
  <c r="B302" i="8"/>
  <c r="U301" i="8"/>
  <c r="Q301" i="8"/>
  <c r="P301" i="8"/>
  <c r="D301" i="8"/>
  <c r="B301" i="8"/>
  <c r="U300" i="8"/>
  <c r="Q300" i="8"/>
  <c r="P300" i="8"/>
  <c r="D300" i="8"/>
  <c r="B300" i="8"/>
  <c r="U299" i="8"/>
  <c r="Q299" i="8"/>
  <c r="P299" i="8"/>
  <c r="D299" i="8"/>
  <c r="B299" i="8"/>
  <c r="U298" i="8"/>
  <c r="Q298" i="8"/>
  <c r="P298" i="8"/>
  <c r="D298" i="8"/>
  <c r="B298" i="8"/>
  <c r="U297" i="8"/>
  <c r="Q297" i="8"/>
  <c r="P297" i="8"/>
  <c r="D297" i="8"/>
  <c r="B297" i="8"/>
  <c r="U296" i="8"/>
  <c r="Q296" i="8"/>
  <c r="P296" i="8"/>
  <c r="D296" i="8"/>
  <c r="B296" i="8"/>
  <c r="U295" i="8"/>
  <c r="Q295" i="8"/>
  <c r="P295" i="8"/>
  <c r="D295" i="8"/>
  <c r="B295" i="8"/>
  <c r="U294" i="8"/>
  <c r="Q294" i="8"/>
  <c r="P294" i="8"/>
  <c r="D294" i="8"/>
  <c r="B294" i="8"/>
  <c r="U293" i="8"/>
  <c r="Q293" i="8"/>
  <c r="P293" i="8"/>
  <c r="D293" i="8"/>
  <c r="B293" i="8"/>
  <c r="U292" i="8"/>
  <c r="Q292" i="8"/>
  <c r="P292" i="8"/>
  <c r="D292" i="8"/>
  <c r="B292" i="8"/>
  <c r="U291" i="8"/>
  <c r="Q291" i="8"/>
  <c r="P291" i="8"/>
  <c r="D291" i="8"/>
  <c r="B291" i="8"/>
  <c r="U290" i="8"/>
  <c r="Q290" i="8"/>
  <c r="P290" i="8"/>
  <c r="D290" i="8"/>
  <c r="B290" i="8"/>
  <c r="U289" i="8"/>
  <c r="Q289" i="8"/>
  <c r="P289" i="8"/>
  <c r="D289" i="8"/>
  <c r="B289" i="8"/>
  <c r="U288" i="8"/>
  <c r="Q288" i="8"/>
  <c r="P288" i="8"/>
  <c r="D288" i="8"/>
  <c r="B288" i="8"/>
  <c r="U287" i="8"/>
  <c r="Q287" i="8"/>
  <c r="P287" i="8"/>
  <c r="D287" i="8"/>
  <c r="B287" i="8"/>
  <c r="U286" i="8"/>
  <c r="Q286" i="8"/>
  <c r="P286" i="8"/>
  <c r="D286" i="8"/>
  <c r="B286" i="8"/>
  <c r="U285" i="8"/>
  <c r="Q285" i="8"/>
  <c r="P285" i="8"/>
  <c r="D285" i="8"/>
  <c r="B285" i="8"/>
  <c r="U284" i="8"/>
  <c r="Q284" i="8"/>
  <c r="P284" i="8"/>
  <c r="D284" i="8"/>
  <c r="B284" i="8"/>
  <c r="U283" i="8"/>
  <c r="Q283" i="8"/>
  <c r="P283" i="8"/>
  <c r="D283" i="8"/>
  <c r="B283" i="8"/>
  <c r="U282" i="8"/>
  <c r="Q282" i="8"/>
  <c r="P282" i="8"/>
  <c r="D282" i="8"/>
  <c r="B282" i="8"/>
  <c r="U281" i="8"/>
  <c r="Q281" i="8"/>
  <c r="P281" i="8"/>
  <c r="D281" i="8"/>
  <c r="B281" i="8"/>
  <c r="U280" i="8"/>
  <c r="Q280" i="8"/>
  <c r="P280" i="8"/>
  <c r="D280" i="8"/>
  <c r="B280" i="8"/>
  <c r="U279" i="8"/>
  <c r="Q279" i="8"/>
  <c r="P279" i="8"/>
  <c r="D279" i="8"/>
  <c r="B279" i="8"/>
  <c r="U278" i="8"/>
  <c r="Q278" i="8"/>
  <c r="P278" i="8"/>
  <c r="D278" i="8"/>
  <c r="B278" i="8"/>
  <c r="U277" i="8"/>
  <c r="Q277" i="8"/>
  <c r="P277" i="8"/>
  <c r="D277" i="8"/>
  <c r="B277" i="8"/>
  <c r="U276" i="8"/>
  <c r="Q276" i="8"/>
  <c r="P276" i="8"/>
  <c r="D276" i="8"/>
  <c r="B276" i="8"/>
  <c r="U275" i="8"/>
  <c r="Q275" i="8"/>
  <c r="P275" i="8"/>
  <c r="D275" i="8"/>
  <c r="B275" i="8"/>
  <c r="U274" i="8"/>
  <c r="Q274" i="8"/>
  <c r="P274" i="8"/>
  <c r="D274" i="8"/>
  <c r="B274" i="8"/>
  <c r="U273" i="8"/>
  <c r="Q273" i="8"/>
  <c r="P273" i="8"/>
  <c r="D273" i="8"/>
  <c r="B273" i="8"/>
  <c r="U272" i="8"/>
  <c r="Q272" i="8"/>
  <c r="P272" i="8"/>
  <c r="D272" i="8"/>
  <c r="B272" i="8"/>
  <c r="U271" i="8"/>
  <c r="Q271" i="8"/>
  <c r="P271" i="8"/>
  <c r="D271" i="8"/>
  <c r="B271" i="8"/>
  <c r="U270" i="8"/>
  <c r="Q270" i="8"/>
  <c r="P270" i="8"/>
  <c r="D270" i="8"/>
  <c r="B270" i="8"/>
  <c r="U269" i="8"/>
  <c r="Q269" i="8"/>
  <c r="P269" i="8"/>
  <c r="D269" i="8"/>
  <c r="B269" i="8"/>
  <c r="U268" i="8"/>
  <c r="Q268" i="8"/>
  <c r="P268" i="8"/>
  <c r="D268" i="8"/>
  <c r="B268" i="8"/>
  <c r="U267" i="8"/>
  <c r="Q267" i="8"/>
  <c r="P267" i="8"/>
  <c r="D267" i="8"/>
  <c r="B267" i="8"/>
  <c r="U266" i="8"/>
  <c r="Q266" i="8"/>
  <c r="P266" i="8"/>
  <c r="D266" i="8"/>
  <c r="B266" i="8"/>
  <c r="U265" i="8"/>
  <c r="Q265" i="8"/>
  <c r="P265" i="8"/>
  <c r="D265" i="8"/>
  <c r="B265" i="8"/>
  <c r="U264" i="8"/>
  <c r="Q264" i="8"/>
  <c r="P264" i="8"/>
  <c r="D264" i="8"/>
  <c r="B264" i="8"/>
  <c r="U263" i="8"/>
  <c r="Q263" i="8"/>
  <c r="P263" i="8"/>
  <c r="D263" i="8"/>
  <c r="B263" i="8"/>
  <c r="U262" i="8"/>
  <c r="Q262" i="8"/>
  <c r="P262" i="8"/>
  <c r="D262" i="8"/>
  <c r="B262" i="8"/>
  <c r="U261" i="8"/>
  <c r="Q261" i="8"/>
  <c r="P261" i="8"/>
  <c r="D261" i="8"/>
  <c r="B261" i="8"/>
  <c r="U260" i="8"/>
  <c r="Q260" i="8"/>
  <c r="P260" i="8"/>
  <c r="D260" i="8"/>
  <c r="B260" i="8"/>
  <c r="U259" i="8"/>
  <c r="Q259" i="8"/>
  <c r="P259" i="8"/>
  <c r="D259" i="8"/>
  <c r="B259" i="8"/>
  <c r="U258" i="8"/>
  <c r="Q258" i="8"/>
  <c r="P258" i="8"/>
  <c r="D258" i="8"/>
  <c r="B258" i="8"/>
  <c r="U257" i="8"/>
  <c r="Q257" i="8"/>
  <c r="P257" i="8"/>
  <c r="D257" i="8"/>
  <c r="B257" i="8"/>
  <c r="U256" i="8"/>
  <c r="Q256" i="8"/>
  <c r="P256" i="8"/>
  <c r="D256" i="8"/>
  <c r="B256" i="8"/>
  <c r="U255" i="8"/>
  <c r="Q255" i="8"/>
  <c r="P255" i="8"/>
  <c r="D255" i="8"/>
  <c r="B255" i="8"/>
  <c r="U254" i="8"/>
  <c r="Q254" i="8"/>
  <c r="P254" i="8"/>
  <c r="D254" i="8"/>
  <c r="B254" i="8"/>
  <c r="U253" i="8"/>
  <c r="Q253" i="8"/>
  <c r="P253" i="8"/>
  <c r="D253" i="8"/>
  <c r="B253" i="8"/>
  <c r="U252" i="8"/>
  <c r="Q252" i="8"/>
  <c r="P252" i="8"/>
  <c r="D252" i="8"/>
  <c r="B252" i="8"/>
  <c r="U251" i="8"/>
  <c r="Q251" i="8"/>
  <c r="P251" i="8"/>
  <c r="D251" i="8"/>
  <c r="B251" i="8"/>
  <c r="U250" i="8"/>
  <c r="Q250" i="8"/>
  <c r="P250" i="8"/>
  <c r="D250" i="8"/>
  <c r="B250" i="8"/>
  <c r="U249" i="8"/>
  <c r="Q249" i="8"/>
  <c r="P249" i="8"/>
  <c r="D249" i="8"/>
  <c r="B249" i="8"/>
  <c r="U248" i="8"/>
  <c r="Q248" i="8"/>
  <c r="P248" i="8"/>
  <c r="D248" i="8"/>
  <c r="B248" i="8"/>
  <c r="U247" i="8"/>
  <c r="Q247" i="8"/>
  <c r="P247" i="8"/>
  <c r="D247" i="8"/>
  <c r="B247" i="8"/>
  <c r="U246" i="8"/>
  <c r="Q246" i="8"/>
  <c r="P246" i="8"/>
  <c r="D246" i="8"/>
  <c r="B246" i="8"/>
  <c r="U245" i="8"/>
  <c r="Q245" i="8"/>
  <c r="P245" i="8"/>
  <c r="D245" i="8"/>
  <c r="B245" i="8"/>
  <c r="U244" i="8"/>
  <c r="Q244" i="8"/>
  <c r="P244" i="8"/>
  <c r="D244" i="8"/>
  <c r="B244" i="8"/>
  <c r="U243" i="8"/>
  <c r="Q243" i="8"/>
  <c r="P243" i="8"/>
  <c r="D243" i="8"/>
  <c r="B243" i="8"/>
  <c r="U242" i="8"/>
  <c r="Q242" i="8"/>
  <c r="P242" i="8"/>
  <c r="D242" i="8"/>
  <c r="B242" i="8"/>
  <c r="U241" i="8"/>
  <c r="Q241" i="8"/>
  <c r="P241" i="8"/>
  <c r="D241" i="8"/>
  <c r="B241" i="8"/>
  <c r="U240" i="8"/>
  <c r="Q240" i="8"/>
  <c r="P240" i="8"/>
  <c r="D240" i="8"/>
  <c r="B240" i="8"/>
  <c r="U239" i="8"/>
  <c r="Q239" i="8"/>
  <c r="P239" i="8"/>
  <c r="D239" i="8"/>
  <c r="B239" i="8"/>
  <c r="U238" i="8"/>
  <c r="Q238" i="8"/>
  <c r="P238" i="8"/>
  <c r="D238" i="8"/>
  <c r="B238" i="8"/>
  <c r="U237" i="8"/>
  <c r="Q237" i="8"/>
  <c r="P237" i="8"/>
  <c r="D237" i="8"/>
  <c r="B237" i="8"/>
  <c r="U236" i="8"/>
  <c r="Q236" i="8"/>
  <c r="P236" i="8"/>
  <c r="D236" i="8"/>
  <c r="B236" i="8"/>
  <c r="U235" i="8"/>
  <c r="Q235" i="8"/>
  <c r="P235" i="8"/>
  <c r="D235" i="8"/>
  <c r="B235" i="8"/>
  <c r="U234" i="8"/>
  <c r="Q234" i="8"/>
  <c r="P234" i="8"/>
  <c r="D234" i="8"/>
  <c r="B234" i="8"/>
  <c r="U233" i="8"/>
  <c r="Q233" i="8"/>
  <c r="P233" i="8"/>
  <c r="D233" i="8"/>
  <c r="B233" i="8"/>
  <c r="U232" i="8"/>
  <c r="Q232" i="8"/>
  <c r="P232" i="8"/>
  <c r="D232" i="8"/>
  <c r="B232" i="8"/>
  <c r="U231" i="8"/>
  <c r="Q231" i="8"/>
  <c r="P231" i="8"/>
  <c r="D231" i="8"/>
  <c r="B231" i="8"/>
  <c r="U230" i="8"/>
  <c r="Q230" i="8"/>
  <c r="P230" i="8"/>
  <c r="D230" i="8"/>
  <c r="B230" i="8"/>
  <c r="U229" i="8"/>
  <c r="Q229" i="8"/>
  <c r="P229" i="8"/>
  <c r="D229" i="8"/>
  <c r="B229" i="8"/>
  <c r="U228" i="8"/>
  <c r="Q228" i="8"/>
  <c r="P228" i="8"/>
  <c r="D228" i="8"/>
  <c r="B228" i="8"/>
  <c r="U227" i="8"/>
  <c r="Q227" i="8"/>
  <c r="P227" i="8"/>
  <c r="D227" i="8"/>
  <c r="B227" i="8"/>
  <c r="U226" i="8"/>
  <c r="Q226" i="8"/>
  <c r="P226" i="8"/>
  <c r="D226" i="8"/>
  <c r="B226" i="8"/>
  <c r="U225" i="8"/>
  <c r="Q225" i="8"/>
  <c r="P225" i="8"/>
  <c r="D225" i="8"/>
  <c r="B225" i="8"/>
  <c r="U224" i="8"/>
  <c r="Q224" i="8"/>
  <c r="P224" i="8"/>
  <c r="D224" i="8"/>
  <c r="B224" i="8"/>
  <c r="U223" i="8"/>
  <c r="Q223" i="8"/>
  <c r="P223" i="8"/>
  <c r="D223" i="8"/>
  <c r="B223" i="8"/>
  <c r="U222" i="8"/>
  <c r="Q222" i="8"/>
  <c r="P222" i="8"/>
  <c r="D222" i="8"/>
  <c r="B222" i="8"/>
  <c r="U221" i="8"/>
  <c r="Q221" i="8"/>
  <c r="P221" i="8"/>
  <c r="D221" i="8"/>
  <c r="B221" i="8"/>
  <c r="U220" i="8"/>
  <c r="Q220" i="8"/>
  <c r="P220" i="8"/>
  <c r="D220" i="8"/>
  <c r="B220" i="8"/>
  <c r="U219" i="8"/>
  <c r="Q219" i="8"/>
  <c r="P219" i="8"/>
  <c r="D219" i="8"/>
  <c r="B219" i="8"/>
  <c r="U218" i="8"/>
  <c r="Q218" i="8"/>
  <c r="P218" i="8"/>
  <c r="D218" i="8"/>
  <c r="B218" i="8"/>
  <c r="U217" i="8"/>
  <c r="Q217" i="8"/>
  <c r="P217" i="8"/>
  <c r="D217" i="8"/>
  <c r="B217" i="8"/>
  <c r="U216" i="8"/>
  <c r="Q216" i="8"/>
  <c r="P216" i="8"/>
  <c r="D216" i="8"/>
  <c r="B216" i="8"/>
  <c r="U215" i="8"/>
  <c r="Q215" i="8"/>
  <c r="P215" i="8"/>
  <c r="D215" i="8"/>
  <c r="B215" i="8"/>
  <c r="U214" i="8"/>
  <c r="Q214" i="8"/>
  <c r="P214" i="8"/>
  <c r="D214" i="8"/>
  <c r="B214" i="8"/>
  <c r="U213" i="8"/>
  <c r="Q213" i="8"/>
  <c r="P213" i="8"/>
  <c r="D213" i="8"/>
  <c r="B213" i="8"/>
  <c r="U212" i="8"/>
  <c r="Q212" i="8"/>
  <c r="P212" i="8"/>
  <c r="D212" i="8"/>
  <c r="B212" i="8"/>
  <c r="U211" i="8"/>
  <c r="Q211" i="8"/>
  <c r="P211" i="8"/>
  <c r="D211" i="8"/>
  <c r="B211" i="8"/>
  <c r="U210" i="8"/>
  <c r="Q210" i="8"/>
  <c r="P210" i="8"/>
  <c r="D210" i="8"/>
  <c r="B210" i="8"/>
  <c r="U209" i="8"/>
  <c r="Q209" i="8"/>
  <c r="P209" i="8"/>
  <c r="D209" i="8"/>
  <c r="B209" i="8"/>
  <c r="U208" i="8"/>
  <c r="Q208" i="8"/>
  <c r="P208" i="8"/>
  <c r="D208" i="8"/>
  <c r="B208" i="8"/>
  <c r="U207" i="8"/>
  <c r="Q207" i="8"/>
  <c r="P207" i="8"/>
  <c r="D207" i="8"/>
  <c r="B207" i="8"/>
  <c r="U206" i="8"/>
  <c r="Q206" i="8"/>
  <c r="P206" i="8"/>
  <c r="D206" i="8"/>
  <c r="B206" i="8"/>
  <c r="U205" i="8"/>
  <c r="Q205" i="8"/>
  <c r="P205" i="8"/>
  <c r="D205" i="8"/>
  <c r="B205" i="8"/>
  <c r="U204" i="8"/>
  <c r="Q204" i="8"/>
  <c r="P204" i="8"/>
  <c r="D204" i="8"/>
  <c r="B204" i="8"/>
  <c r="U203" i="8"/>
  <c r="Q203" i="8"/>
  <c r="P203" i="8"/>
  <c r="D203" i="8"/>
  <c r="B203" i="8"/>
  <c r="U202" i="8"/>
  <c r="Q202" i="8"/>
  <c r="P202" i="8"/>
  <c r="D202" i="8"/>
  <c r="B202" i="8"/>
  <c r="U201" i="8"/>
  <c r="Q201" i="8"/>
  <c r="P201" i="8"/>
  <c r="D201" i="8"/>
  <c r="B201" i="8"/>
  <c r="U200" i="8"/>
  <c r="Q200" i="8"/>
  <c r="P200" i="8"/>
  <c r="D200" i="8"/>
  <c r="B200" i="8"/>
  <c r="U199" i="8"/>
  <c r="Q199" i="8"/>
  <c r="P199" i="8"/>
  <c r="D199" i="8"/>
  <c r="B199" i="8"/>
  <c r="U198" i="8"/>
  <c r="Q198" i="8"/>
  <c r="P198" i="8"/>
  <c r="D198" i="8"/>
  <c r="B198" i="8"/>
  <c r="U197" i="8"/>
  <c r="Q197" i="8"/>
  <c r="P197" i="8"/>
  <c r="D197" i="8"/>
  <c r="B197" i="8"/>
  <c r="U196" i="8"/>
  <c r="Q196" i="8"/>
  <c r="P196" i="8"/>
  <c r="D196" i="8"/>
  <c r="B196" i="8"/>
  <c r="U195" i="8"/>
  <c r="Q195" i="8"/>
  <c r="P195" i="8"/>
  <c r="D195" i="8"/>
  <c r="B195" i="8"/>
  <c r="U194" i="8"/>
  <c r="Q194" i="8"/>
  <c r="P194" i="8"/>
  <c r="D194" i="8"/>
  <c r="B194" i="8"/>
  <c r="U193" i="8"/>
  <c r="Q193" i="8"/>
  <c r="P193" i="8"/>
  <c r="D193" i="8"/>
  <c r="B193" i="8"/>
  <c r="U192" i="8"/>
  <c r="Q192" i="8"/>
  <c r="P192" i="8"/>
  <c r="D192" i="8"/>
  <c r="B192" i="8"/>
  <c r="U191" i="8"/>
  <c r="Q191" i="8"/>
  <c r="P191" i="8"/>
  <c r="D191" i="8"/>
  <c r="B191" i="8"/>
  <c r="U190" i="8"/>
  <c r="Q190" i="8"/>
  <c r="P190" i="8"/>
  <c r="D190" i="8"/>
  <c r="B190" i="8"/>
  <c r="U189" i="8"/>
  <c r="Q189" i="8"/>
  <c r="P189" i="8"/>
  <c r="D189" i="8"/>
  <c r="B189" i="8"/>
  <c r="U188" i="8"/>
  <c r="Q188" i="8"/>
  <c r="P188" i="8"/>
  <c r="D188" i="8"/>
  <c r="B188" i="8"/>
  <c r="U187" i="8"/>
  <c r="Q187" i="8"/>
  <c r="P187" i="8"/>
  <c r="D187" i="8"/>
  <c r="B187" i="8"/>
  <c r="U186" i="8"/>
  <c r="Q186" i="8"/>
  <c r="P186" i="8"/>
  <c r="D186" i="8"/>
  <c r="B186" i="8"/>
  <c r="U185" i="8"/>
  <c r="Q185" i="8"/>
  <c r="P185" i="8"/>
  <c r="D185" i="8"/>
  <c r="B185" i="8"/>
  <c r="U184" i="8"/>
  <c r="Q184" i="8"/>
  <c r="P184" i="8"/>
  <c r="D184" i="8"/>
  <c r="B184" i="8"/>
  <c r="U183" i="8"/>
  <c r="Q183" i="8"/>
  <c r="P183" i="8"/>
  <c r="D183" i="8"/>
  <c r="B183" i="8"/>
  <c r="U182" i="8"/>
  <c r="Q182" i="8"/>
  <c r="P182" i="8"/>
  <c r="D182" i="8"/>
  <c r="B182" i="8"/>
  <c r="U181" i="8"/>
  <c r="Q181" i="8"/>
  <c r="P181" i="8"/>
  <c r="D181" i="8"/>
  <c r="B181" i="8"/>
  <c r="U180" i="8"/>
  <c r="Q180" i="8"/>
  <c r="P180" i="8"/>
  <c r="D180" i="8"/>
  <c r="B180" i="8"/>
  <c r="U179" i="8"/>
  <c r="Q179" i="8"/>
  <c r="P179" i="8"/>
  <c r="D179" i="8"/>
  <c r="B179" i="8"/>
  <c r="U178" i="8"/>
  <c r="Q178" i="8"/>
  <c r="P178" i="8"/>
  <c r="D178" i="8"/>
  <c r="B178" i="8"/>
  <c r="U177" i="8"/>
  <c r="Q177" i="8"/>
  <c r="P177" i="8"/>
  <c r="D177" i="8"/>
  <c r="B177" i="8"/>
  <c r="U176" i="8"/>
  <c r="Q176" i="8"/>
  <c r="P176" i="8"/>
  <c r="D176" i="8"/>
  <c r="B176" i="8"/>
  <c r="U175" i="8"/>
  <c r="Q175" i="8"/>
  <c r="P175" i="8"/>
  <c r="D175" i="8"/>
  <c r="B175" i="8"/>
  <c r="U174" i="8"/>
  <c r="Q174" i="8"/>
  <c r="P174" i="8"/>
  <c r="D174" i="8"/>
  <c r="B174" i="8"/>
  <c r="U173" i="8"/>
  <c r="Q173" i="8"/>
  <c r="P173" i="8"/>
  <c r="D173" i="8"/>
  <c r="B173" i="8"/>
  <c r="U172" i="8"/>
  <c r="Q172" i="8"/>
  <c r="P172" i="8"/>
  <c r="D172" i="8"/>
  <c r="B172" i="8"/>
  <c r="U171" i="8"/>
  <c r="Q171" i="8"/>
  <c r="P171" i="8"/>
  <c r="D171" i="8"/>
  <c r="B171" i="8"/>
  <c r="U170" i="8"/>
  <c r="Q170" i="8"/>
  <c r="P170" i="8"/>
  <c r="D170" i="8"/>
  <c r="B170" i="8"/>
  <c r="U169" i="8"/>
  <c r="Q169" i="8"/>
  <c r="P169" i="8"/>
  <c r="D169" i="8"/>
  <c r="B169" i="8"/>
  <c r="U168" i="8"/>
  <c r="Q168" i="8"/>
  <c r="P168" i="8"/>
  <c r="D168" i="8"/>
  <c r="B168" i="8"/>
  <c r="U167" i="8"/>
  <c r="Q167" i="8"/>
  <c r="P167" i="8"/>
  <c r="D167" i="8"/>
  <c r="B167" i="8"/>
  <c r="U166" i="8"/>
  <c r="Q166" i="8"/>
  <c r="P166" i="8"/>
  <c r="D166" i="8"/>
  <c r="B166" i="8"/>
  <c r="U165" i="8"/>
  <c r="Q165" i="8"/>
  <c r="P165" i="8"/>
  <c r="D165" i="8"/>
  <c r="B165" i="8"/>
  <c r="U164" i="8"/>
  <c r="Q164" i="8"/>
  <c r="P164" i="8"/>
  <c r="D164" i="8"/>
  <c r="B164" i="8"/>
  <c r="U163" i="8"/>
  <c r="Q163" i="8"/>
  <c r="P163" i="8"/>
  <c r="D163" i="8"/>
  <c r="B163" i="8"/>
  <c r="U162" i="8"/>
  <c r="Q162" i="8"/>
  <c r="P162" i="8"/>
  <c r="D162" i="8"/>
  <c r="B162" i="8"/>
  <c r="U161" i="8"/>
  <c r="Q161" i="8"/>
  <c r="P161" i="8"/>
  <c r="D161" i="8"/>
  <c r="B161" i="8"/>
  <c r="U160" i="8"/>
  <c r="Q160" i="8"/>
  <c r="P160" i="8"/>
  <c r="D160" i="8"/>
  <c r="B160" i="8"/>
  <c r="U159" i="8"/>
  <c r="Q159" i="8"/>
  <c r="P159" i="8"/>
  <c r="D159" i="8"/>
  <c r="B159" i="8"/>
  <c r="U158" i="8"/>
  <c r="Q158" i="8"/>
  <c r="P158" i="8"/>
  <c r="D158" i="8"/>
  <c r="B158" i="8"/>
  <c r="U157" i="8"/>
  <c r="Q157" i="8"/>
  <c r="P157" i="8"/>
  <c r="D157" i="8"/>
  <c r="B157" i="8"/>
  <c r="U156" i="8"/>
  <c r="Q156" i="8"/>
  <c r="P156" i="8"/>
  <c r="D156" i="8"/>
  <c r="B156" i="8"/>
  <c r="U155" i="8"/>
  <c r="Q155" i="8"/>
  <c r="P155" i="8"/>
  <c r="D155" i="8"/>
  <c r="B155" i="8"/>
  <c r="U154" i="8"/>
  <c r="Q154" i="8"/>
  <c r="P154" i="8"/>
  <c r="D154" i="8"/>
  <c r="B154" i="8"/>
  <c r="U153" i="8"/>
  <c r="Q153" i="8"/>
  <c r="P153" i="8"/>
  <c r="D153" i="8"/>
  <c r="B153" i="8"/>
  <c r="U152" i="8"/>
  <c r="Q152" i="8"/>
  <c r="P152" i="8"/>
  <c r="D152" i="8"/>
  <c r="B152" i="8"/>
  <c r="U151" i="8"/>
  <c r="Q151" i="8"/>
  <c r="P151" i="8"/>
  <c r="D151" i="8"/>
  <c r="B151" i="8"/>
  <c r="U150" i="8"/>
  <c r="Q150" i="8"/>
  <c r="P150" i="8"/>
  <c r="D150" i="8"/>
  <c r="B150" i="8"/>
  <c r="U149" i="8"/>
  <c r="Q149" i="8"/>
  <c r="P149" i="8"/>
  <c r="D149" i="8"/>
  <c r="B149" i="8"/>
  <c r="U148" i="8"/>
  <c r="Q148" i="8"/>
  <c r="P148" i="8"/>
  <c r="D148" i="8"/>
  <c r="B148" i="8"/>
  <c r="U147" i="8"/>
  <c r="Q147" i="8"/>
  <c r="P147" i="8"/>
  <c r="D147" i="8"/>
  <c r="B147" i="8"/>
  <c r="U146" i="8"/>
  <c r="Q146" i="8"/>
  <c r="P146" i="8"/>
  <c r="D146" i="8"/>
  <c r="B146" i="8"/>
  <c r="U145" i="8"/>
  <c r="Q145" i="8"/>
  <c r="P145" i="8"/>
  <c r="D145" i="8"/>
  <c r="B145" i="8"/>
  <c r="U144" i="8"/>
  <c r="Q144" i="8"/>
  <c r="P144" i="8"/>
  <c r="D144" i="8"/>
  <c r="B144" i="8"/>
  <c r="U143" i="8"/>
  <c r="Q143" i="8"/>
  <c r="P143" i="8"/>
  <c r="D143" i="8"/>
  <c r="B143" i="8"/>
  <c r="U142" i="8"/>
  <c r="Q142" i="8"/>
  <c r="P142" i="8"/>
  <c r="D142" i="8"/>
  <c r="B142" i="8"/>
  <c r="U141" i="8"/>
  <c r="Q141" i="8"/>
  <c r="P141" i="8"/>
  <c r="D141" i="8"/>
  <c r="B141" i="8"/>
  <c r="U140" i="8"/>
  <c r="Q140" i="8"/>
  <c r="P140" i="8"/>
  <c r="D140" i="8"/>
  <c r="B140" i="8"/>
  <c r="U139" i="8"/>
  <c r="Q139" i="8"/>
  <c r="P139" i="8"/>
  <c r="D139" i="8"/>
  <c r="B139" i="8"/>
  <c r="U138" i="8"/>
  <c r="Q138" i="8"/>
  <c r="P138" i="8"/>
  <c r="D138" i="8"/>
  <c r="B138" i="8"/>
  <c r="U137" i="8"/>
  <c r="Q137" i="8"/>
  <c r="P137" i="8"/>
  <c r="D137" i="8"/>
  <c r="B137" i="8"/>
  <c r="U136" i="8"/>
  <c r="Q136" i="8"/>
  <c r="P136" i="8"/>
  <c r="D136" i="8"/>
  <c r="B136" i="8"/>
  <c r="U135" i="8"/>
  <c r="Q135" i="8"/>
  <c r="P135" i="8"/>
  <c r="D135" i="8"/>
  <c r="B135" i="8"/>
  <c r="U134" i="8"/>
  <c r="Q134" i="8"/>
  <c r="P134" i="8"/>
  <c r="D134" i="8"/>
  <c r="B134" i="8"/>
  <c r="U133" i="8"/>
  <c r="Q133" i="8"/>
  <c r="P133" i="8"/>
  <c r="D133" i="8"/>
  <c r="B133" i="8"/>
  <c r="U132" i="8"/>
  <c r="Q132" i="8"/>
  <c r="P132" i="8"/>
  <c r="D132" i="8"/>
  <c r="B132" i="8"/>
  <c r="U131" i="8"/>
  <c r="Q131" i="8"/>
  <c r="P131" i="8"/>
  <c r="D131" i="8"/>
  <c r="B131" i="8"/>
  <c r="U130" i="8"/>
  <c r="Q130" i="8"/>
  <c r="P130" i="8"/>
  <c r="D130" i="8"/>
  <c r="B130" i="8"/>
  <c r="U129" i="8"/>
  <c r="Q129" i="8"/>
  <c r="P129" i="8"/>
  <c r="D129" i="8"/>
  <c r="B129" i="8"/>
  <c r="U128" i="8"/>
  <c r="Q128" i="8"/>
  <c r="P128" i="8"/>
  <c r="D128" i="8"/>
  <c r="B128" i="8"/>
  <c r="U127" i="8"/>
  <c r="Q127" i="8"/>
  <c r="P127" i="8"/>
  <c r="D127" i="8"/>
  <c r="B127" i="8"/>
  <c r="U126" i="8"/>
  <c r="Q126" i="8"/>
  <c r="P126" i="8"/>
  <c r="D126" i="8"/>
  <c r="B126" i="8"/>
  <c r="U125" i="8"/>
  <c r="Q125" i="8"/>
  <c r="P125" i="8"/>
  <c r="D125" i="8"/>
  <c r="B125" i="8"/>
  <c r="U124" i="8"/>
  <c r="Q124" i="8"/>
  <c r="P124" i="8"/>
  <c r="D124" i="8"/>
  <c r="B124" i="8"/>
  <c r="U123" i="8"/>
  <c r="Q123" i="8"/>
  <c r="P123" i="8"/>
  <c r="D123" i="8"/>
  <c r="B123" i="8"/>
  <c r="U122" i="8"/>
  <c r="Q122" i="8"/>
  <c r="P122" i="8"/>
  <c r="D122" i="8"/>
  <c r="B122" i="8"/>
  <c r="U121" i="8"/>
  <c r="Q121" i="8"/>
  <c r="P121" i="8"/>
  <c r="D121" i="8"/>
  <c r="B121" i="8"/>
  <c r="U120" i="8"/>
  <c r="Q120" i="8"/>
  <c r="P120" i="8"/>
  <c r="D120" i="8"/>
  <c r="B120" i="8"/>
  <c r="U119" i="8"/>
  <c r="Q119" i="8"/>
  <c r="P119" i="8"/>
  <c r="D119" i="8"/>
  <c r="B119" i="8"/>
  <c r="U118" i="8"/>
  <c r="Q118" i="8"/>
  <c r="P118" i="8"/>
  <c r="D118" i="8"/>
  <c r="B118" i="8"/>
  <c r="U117" i="8"/>
  <c r="Q117" i="8"/>
  <c r="P117" i="8"/>
  <c r="D117" i="8"/>
  <c r="B117" i="8"/>
  <c r="U116" i="8"/>
  <c r="Q116" i="8"/>
  <c r="P116" i="8"/>
  <c r="D116" i="8"/>
  <c r="B116" i="8"/>
  <c r="U115" i="8"/>
  <c r="Q115" i="8"/>
  <c r="P115" i="8"/>
  <c r="D115" i="8"/>
  <c r="B115" i="8"/>
  <c r="U114" i="8"/>
  <c r="Q114" i="8"/>
  <c r="P114" i="8"/>
  <c r="D114" i="8"/>
  <c r="B114" i="8"/>
  <c r="U113" i="8"/>
  <c r="Q113" i="8"/>
  <c r="P113" i="8"/>
  <c r="D113" i="8"/>
  <c r="B113" i="8"/>
  <c r="U112" i="8"/>
  <c r="Q112" i="8"/>
  <c r="P112" i="8"/>
  <c r="D112" i="8"/>
  <c r="B112" i="8"/>
  <c r="U111" i="8"/>
  <c r="Q111" i="8"/>
  <c r="P111" i="8"/>
  <c r="D111" i="8"/>
  <c r="B111" i="8"/>
  <c r="U110" i="8"/>
  <c r="Q110" i="8"/>
  <c r="P110" i="8"/>
  <c r="D110" i="8"/>
  <c r="B110" i="8"/>
  <c r="U109" i="8"/>
  <c r="Q109" i="8"/>
  <c r="P109" i="8"/>
  <c r="D109" i="8"/>
  <c r="B109" i="8"/>
  <c r="U108" i="8"/>
  <c r="Q108" i="8"/>
  <c r="P108" i="8"/>
  <c r="D108" i="8"/>
  <c r="B108" i="8"/>
  <c r="U107" i="8"/>
  <c r="Q107" i="8"/>
  <c r="P107" i="8"/>
  <c r="D107" i="8"/>
  <c r="B107" i="8"/>
  <c r="U106" i="8"/>
  <c r="Q106" i="8"/>
  <c r="P106" i="8"/>
  <c r="D106" i="8"/>
  <c r="B106" i="8"/>
  <c r="U105" i="8"/>
  <c r="Q105" i="8"/>
  <c r="P105" i="8"/>
  <c r="D105" i="8"/>
  <c r="B105" i="8"/>
  <c r="U104" i="8"/>
  <c r="Q104" i="8"/>
  <c r="P104" i="8"/>
  <c r="D104" i="8"/>
  <c r="B104" i="8"/>
  <c r="U103" i="8"/>
  <c r="Q103" i="8"/>
  <c r="P103" i="8"/>
  <c r="D103" i="8"/>
  <c r="B103" i="8"/>
  <c r="U102" i="8"/>
  <c r="Q102" i="8"/>
  <c r="P102" i="8"/>
  <c r="D102" i="8"/>
  <c r="B102" i="8"/>
  <c r="U101" i="8"/>
  <c r="Q101" i="8"/>
  <c r="P101" i="8"/>
  <c r="D101" i="8"/>
  <c r="B101" i="8"/>
  <c r="U100" i="8"/>
  <c r="Q100" i="8"/>
  <c r="P100" i="8"/>
  <c r="D100" i="8"/>
  <c r="B100" i="8"/>
  <c r="U99" i="8"/>
  <c r="Q99" i="8"/>
  <c r="P99" i="8"/>
  <c r="D99" i="8"/>
  <c r="B99" i="8"/>
  <c r="U98" i="8"/>
  <c r="Q98" i="8"/>
  <c r="P98" i="8"/>
  <c r="D98" i="8"/>
  <c r="B98" i="8"/>
  <c r="U97" i="8"/>
  <c r="Q97" i="8"/>
  <c r="P97" i="8"/>
  <c r="D97" i="8"/>
  <c r="B97" i="8"/>
  <c r="U96" i="8"/>
  <c r="Q96" i="8"/>
  <c r="P96" i="8"/>
  <c r="D96" i="8"/>
  <c r="B96" i="8"/>
  <c r="U95" i="8"/>
  <c r="Q95" i="8"/>
  <c r="P95" i="8"/>
  <c r="D95" i="8"/>
  <c r="B95" i="8"/>
  <c r="U94" i="8"/>
  <c r="Q94" i="8"/>
  <c r="P94" i="8"/>
  <c r="D94" i="8"/>
  <c r="B94" i="8"/>
  <c r="U93" i="8"/>
  <c r="Q93" i="8"/>
  <c r="P93" i="8"/>
  <c r="D93" i="8"/>
  <c r="B93" i="8"/>
  <c r="U92" i="8"/>
  <c r="Q92" i="8"/>
  <c r="P92" i="8"/>
  <c r="D92" i="8"/>
  <c r="B92" i="8"/>
  <c r="U91" i="8"/>
  <c r="Q91" i="8"/>
  <c r="P91" i="8"/>
  <c r="D91" i="8"/>
  <c r="B91" i="8"/>
  <c r="U90" i="8"/>
  <c r="Q90" i="8"/>
  <c r="P90" i="8"/>
  <c r="D90" i="8"/>
  <c r="B90" i="8"/>
  <c r="U89" i="8"/>
  <c r="Q89" i="8"/>
  <c r="P89" i="8"/>
  <c r="D89" i="8"/>
  <c r="B89" i="8"/>
  <c r="U88" i="8"/>
  <c r="Q88" i="8"/>
  <c r="P88" i="8"/>
  <c r="D88" i="8"/>
  <c r="B88" i="8"/>
  <c r="U87" i="8"/>
  <c r="Q87" i="8"/>
  <c r="P87" i="8"/>
  <c r="D87" i="8"/>
  <c r="B87" i="8"/>
  <c r="U86" i="8"/>
  <c r="Q86" i="8"/>
  <c r="P86" i="8"/>
  <c r="D86" i="8"/>
  <c r="B86" i="8"/>
  <c r="U85" i="8"/>
  <c r="Q85" i="8"/>
  <c r="P85" i="8"/>
  <c r="D85" i="8"/>
  <c r="B85" i="8"/>
  <c r="U84" i="8"/>
  <c r="Q84" i="8"/>
  <c r="P84" i="8"/>
  <c r="D84" i="8"/>
  <c r="B84" i="8"/>
  <c r="U83" i="8"/>
  <c r="Q83" i="8"/>
  <c r="P83" i="8"/>
  <c r="D83" i="8"/>
  <c r="B83" i="8"/>
  <c r="U82" i="8"/>
  <c r="Q82" i="8"/>
  <c r="P82" i="8"/>
  <c r="D82" i="8"/>
  <c r="B82" i="8"/>
  <c r="U81" i="8"/>
  <c r="Q81" i="8"/>
  <c r="P81" i="8"/>
  <c r="D81" i="8"/>
  <c r="B81" i="8"/>
  <c r="U80" i="8"/>
  <c r="Q80" i="8"/>
  <c r="P80" i="8"/>
  <c r="D80" i="8"/>
  <c r="B80" i="8"/>
  <c r="U79" i="8"/>
  <c r="Q79" i="8"/>
  <c r="P79" i="8"/>
  <c r="D79" i="8"/>
  <c r="B79" i="8"/>
  <c r="U78" i="8"/>
  <c r="Q78" i="8"/>
  <c r="P78" i="8"/>
  <c r="D78" i="8"/>
  <c r="B78" i="8"/>
  <c r="U77" i="8"/>
  <c r="Q77" i="8"/>
  <c r="P77" i="8"/>
  <c r="D77" i="8"/>
  <c r="B77" i="8"/>
  <c r="U76" i="8"/>
  <c r="Q76" i="8"/>
  <c r="P76" i="8"/>
  <c r="D76" i="8"/>
  <c r="B76" i="8"/>
  <c r="U75" i="8"/>
  <c r="Q75" i="8"/>
  <c r="P75" i="8"/>
  <c r="D75" i="8"/>
  <c r="B75" i="8"/>
  <c r="U74" i="8"/>
  <c r="Q74" i="8"/>
  <c r="P74" i="8"/>
  <c r="D74" i="8"/>
  <c r="B74" i="8"/>
  <c r="U73" i="8"/>
  <c r="Q73" i="8"/>
  <c r="P73" i="8"/>
  <c r="D73" i="8"/>
  <c r="B73" i="8"/>
  <c r="U72" i="8"/>
  <c r="Q72" i="8"/>
  <c r="P72" i="8"/>
  <c r="D72" i="8"/>
  <c r="B72" i="8"/>
  <c r="U71" i="8"/>
  <c r="Q71" i="8"/>
  <c r="P71" i="8"/>
  <c r="D71" i="8"/>
  <c r="B71" i="8"/>
  <c r="U70" i="8"/>
  <c r="Q70" i="8"/>
  <c r="P70" i="8"/>
  <c r="D70" i="8"/>
  <c r="B70" i="8"/>
  <c r="U69" i="8"/>
  <c r="Q69" i="8"/>
  <c r="P69" i="8"/>
  <c r="D69" i="8"/>
  <c r="B69" i="8"/>
  <c r="U68" i="8"/>
  <c r="Q68" i="8"/>
  <c r="P68" i="8"/>
  <c r="D68" i="8"/>
  <c r="B68" i="8"/>
  <c r="U67" i="8"/>
  <c r="Q67" i="8"/>
  <c r="P67" i="8"/>
  <c r="D67" i="8"/>
  <c r="B67" i="8"/>
  <c r="U66" i="8"/>
  <c r="Q66" i="8"/>
  <c r="P66" i="8"/>
  <c r="D66" i="8"/>
  <c r="B66" i="8"/>
  <c r="U65" i="8"/>
  <c r="Q65" i="8"/>
  <c r="P65" i="8"/>
  <c r="D65" i="8"/>
  <c r="B65" i="8"/>
  <c r="U64" i="8"/>
  <c r="Q64" i="8"/>
  <c r="P64" i="8"/>
  <c r="D64" i="8"/>
  <c r="B64" i="8"/>
  <c r="U63" i="8"/>
  <c r="Q63" i="8"/>
  <c r="P63" i="8"/>
  <c r="D63" i="8"/>
  <c r="B63" i="8"/>
  <c r="U62" i="8"/>
  <c r="Q62" i="8"/>
  <c r="P62" i="8"/>
  <c r="D62" i="8"/>
  <c r="B62" i="8"/>
  <c r="U61" i="8"/>
  <c r="Q61" i="8"/>
  <c r="P61" i="8"/>
  <c r="D61" i="8"/>
  <c r="B61" i="8"/>
  <c r="U60" i="8"/>
  <c r="Q60" i="8"/>
  <c r="P60" i="8"/>
  <c r="D60" i="8"/>
  <c r="B60" i="8"/>
  <c r="U59" i="8"/>
  <c r="Q59" i="8"/>
  <c r="P59" i="8"/>
  <c r="D59" i="8"/>
  <c r="B59" i="8"/>
  <c r="U58" i="8"/>
  <c r="Q58" i="8"/>
  <c r="P58" i="8"/>
  <c r="D58" i="8"/>
  <c r="B58" i="8"/>
  <c r="U57" i="8"/>
  <c r="Q57" i="8"/>
  <c r="P57" i="8"/>
  <c r="D57" i="8"/>
  <c r="B57" i="8"/>
  <c r="U56" i="8"/>
  <c r="Q56" i="8"/>
  <c r="P56" i="8"/>
  <c r="D56" i="8"/>
  <c r="B56" i="8"/>
  <c r="U55" i="8"/>
  <c r="Q55" i="8"/>
  <c r="P55" i="8"/>
  <c r="D55" i="8"/>
  <c r="B55" i="8"/>
  <c r="U54" i="8"/>
  <c r="Q54" i="8"/>
  <c r="P54" i="8"/>
  <c r="D54" i="8"/>
  <c r="B54" i="8"/>
  <c r="U53" i="8"/>
  <c r="Q53" i="8"/>
  <c r="P53" i="8"/>
  <c r="D53" i="8"/>
  <c r="B53" i="8"/>
  <c r="U52" i="8"/>
  <c r="Q52" i="8"/>
  <c r="P52" i="8"/>
  <c r="D52" i="8"/>
  <c r="B52" i="8"/>
  <c r="U51" i="8"/>
  <c r="Q51" i="8"/>
  <c r="P51" i="8"/>
  <c r="D51" i="8"/>
  <c r="B51" i="8"/>
  <c r="U50" i="8"/>
  <c r="Q50" i="8"/>
  <c r="P50" i="8"/>
  <c r="D50" i="8"/>
  <c r="B50" i="8"/>
  <c r="U49" i="8"/>
  <c r="Q49" i="8"/>
  <c r="P49" i="8"/>
  <c r="D49" i="8"/>
  <c r="B49" i="8"/>
  <c r="U48" i="8"/>
  <c r="Q48" i="8"/>
  <c r="P48" i="8"/>
  <c r="D48" i="8"/>
  <c r="B48" i="8"/>
  <c r="U47" i="8"/>
  <c r="Q47" i="8"/>
  <c r="P47" i="8"/>
  <c r="D47" i="8"/>
  <c r="B47" i="8"/>
  <c r="U46" i="8"/>
  <c r="Q46" i="8"/>
  <c r="P46" i="8"/>
  <c r="D46" i="8"/>
  <c r="B46" i="8"/>
  <c r="U45" i="8"/>
  <c r="Q45" i="8"/>
  <c r="P45" i="8"/>
  <c r="D45" i="8"/>
  <c r="B45" i="8"/>
  <c r="U44" i="8"/>
  <c r="Q44" i="8"/>
  <c r="P44" i="8"/>
  <c r="D44" i="8"/>
  <c r="B44" i="8"/>
  <c r="U43" i="8"/>
  <c r="Q43" i="8"/>
  <c r="P43" i="8"/>
  <c r="D43" i="8"/>
  <c r="B43" i="8"/>
  <c r="U42" i="8"/>
  <c r="Q42" i="8"/>
  <c r="P42" i="8"/>
  <c r="D42" i="8"/>
  <c r="B42" i="8"/>
  <c r="U41" i="8"/>
  <c r="Q41" i="8"/>
  <c r="P41" i="8"/>
  <c r="D41" i="8"/>
  <c r="B41" i="8"/>
  <c r="U40" i="8"/>
  <c r="Q40" i="8"/>
  <c r="P40" i="8"/>
  <c r="D40" i="8"/>
  <c r="B40" i="8"/>
  <c r="U39" i="8"/>
  <c r="Q39" i="8"/>
  <c r="P39" i="8"/>
  <c r="D39" i="8"/>
  <c r="B39" i="8"/>
  <c r="U38" i="8"/>
  <c r="Q38" i="8"/>
  <c r="P38" i="8"/>
  <c r="D38" i="8"/>
  <c r="B38" i="8"/>
  <c r="U37" i="8"/>
  <c r="Q37" i="8"/>
  <c r="P37" i="8"/>
  <c r="D37" i="8"/>
  <c r="B37" i="8"/>
  <c r="U36" i="8"/>
  <c r="Q36" i="8"/>
  <c r="P36" i="8"/>
  <c r="D36" i="8"/>
  <c r="B36" i="8"/>
  <c r="U35" i="8"/>
  <c r="Q35" i="8"/>
  <c r="P35" i="8"/>
  <c r="D35" i="8"/>
  <c r="B35" i="8"/>
  <c r="U34" i="8"/>
  <c r="Q34" i="8"/>
  <c r="P34" i="8"/>
  <c r="D34" i="8"/>
  <c r="B34" i="8"/>
  <c r="U33" i="8"/>
  <c r="Q33" i="8"/>
  <c r="P33" i="8"/>
  <c r="D33" i="8"/>
  <c r="B33" i="8"/>
  <c r="U32" i="8"/>
  <c r="Q32" i="8"/>
  <c r="P32" i="8"/>
  <c r="D32" i="8"/>
  <c r="B32" i="8"/>
  <c r="U31" i="8"/>
  <c r="Q31" i="8"/>
  <c r="P31" i="8"/>
  <c r="D31" i="8"/>
  <c r="B31" i="8"/>
  <c r="U30" i="8"/>
  <c r="Q30" i="8"/>
  <c r="P30" i="8"/>
  <c r="D30" i="8"/>
  <c r="B30" i="8"/>
  <c r="U29" i="8"/>
  <c r="Q29" i="8"/>
  <c r="P29" i="8"/>
  <c r="D29" i="8"/>
  <c r="B29" i="8"/>
  <c r="U28" i="8"/>
  <c r="Q28" i="8"/>
  <c r="P28" i="8"/>
  <c r="D28" i="8"/>
  <c r="B28" i="8"/>
  <c r="U27" i="8"/>
  <c r="Q27" i="8"/>
  <c r="P27" i="8"/>
  <c r="D27" i="8"/>
  <c r="B27" i="8"/>
  <c r="U26" i="8"/>
  <c r="Q26" i="8"/>
  <c r="P26" i="8"/>
  <c r="D26" i="8"/>
  <c r="B26" i="8"/>
  <c r="U25" i="8"/>
  <c r="Q25" i="8"/>
  <c r="P25" i="8"/>
  <c r="D25" i="8"/>
  <c r="B25" i="8"/>
  <c r="U24" i="8"/>
  <c r="Q24" i="8"/>
  <c r="P24" i="8"/>
  <c r="D24" i="8"/>
  <c r="B24" i="8"/>
  <c r="U23" i="8"/>
  <c r="Q23" i="8"/>
  <c r="P23" i="8"/>
  <c r="D23" i="8"/>
  <c r="B23" i="8"/>
  <c r="U22" i="8"/>
  <c r="Q22" i="8"/>
  <c r="P22" i="8"/>
  <c r="D22" i="8"/>
  <c r="B22" i="8"/>
  <c r="U21" i="8"/>
  <c r="Q21" i="8"/>
  <c r="P21" i="8"/>
  <c r="D21" i="8"/>
  <c r="B21" i="8"/>
  <c r="U20" i="8"/>
  <c r="Q20" i="8"/>
  <c r="P20" i="8"/>
  <c r="D20" i="8"/>
  <c r="B20" i="8"/>
  <c r="U19" i="8"/>
  <c r="Q19" i="8"/>
  <c r="P19" i="8"/>
  <c r="D19" i="8"/>
  <c r="B19" i="8"/>
  <c r="U18" i="8"/>
  <c r="Q18" i="8"/>
  <c r="P18" i="8"/>
  <c r="D18" i="8"/>
  <c r="B18" i="8"/>
  <c r="U17" i="8"/>
  <c r="Q17" i="8"/>
  <c r="P17" i="8"/>
  <c r="D17" i="8"/>
  <c r="B17" i="8"/>
  <c r="U16" i="8"/>
  <c r="Q16" i="8"/>
  <c r="P16" i="8"/>
  <c r="D16" i="8"/>
  <c r="B16" i="8"/>
  <c r="U15" i="8"/>
  <c r="Q15" i="8"/>
  <c r="P15" i="8"/>
  <c r="D15" i="8"/>
  <c r="B15" i="8"/>
  <c r="U14" i="8"/>
  <c r="Q14" i="8"/>
  <c r="P14" i="8"/>
  <c r="D14" i="8"/>
  <c r="B14" i="8"/>
  <c r="U13" i="8"/>
  <c r="Q13" i="8"/>
  <c r="P13" i="8"/>
  <c r="D13" i="8"/>
  <c r="B13" i="8"/>
  <c r="U12" i="8"/>
  <c r="Q12" i="8"/>
  <c r="P12" i="8"/>
  <c r="D12" i="8"/>
  <c r="B12" i="8"/>
  <c r="U11" i="8"/>
  <c r="Q11" i="8"/>
  <c r="P11" i="8"/>
  <c r="D11" i="8"/>
  <c r="B11" i="8"/>
  <c r="U10" i="8"/>
  <c r="Q10" i="8"/>
  <c r="P10" i="8"/>
  <c r="D10" i="8"/>
  <c r="B10" i="8"/>
  <c r="U9" i="8"/>
  <c r="Q9" i="8"/>
  <c r="P9" i="8"/>
  <c r="D9" i="8"/>
  <c r="B9" i="8"/>
  <c r="U8" i="8"/>
  <c r="Q8" i="8"/>
  <c r="P8" i="8"/>
  <c r="D8" i="8"/>
  <c r="B8" i="8"/>
  <c r="U7" i="8"/>
  <c r="Q7" i="8"/>
  <c r="P7" i="8"/>
  <c r="D7" i="8"/>
  <c r="B7" i="8"/>
  <c r="D4" i="8"/>
  <c r="C4" i="8"/>
  <c r="B4" i="8"/>
  <c r="J406" i="7"/>
  <c r="B406" i="7"/>
  <c r="J405" i="7"/>
  <c r="B405" i="7"/>
  <c r="J404" i="7"/>
  <c r="B404" i="7"/>
  <c r="J403" i="7"/>
  <c r="B403" i="7"/>
  <c r="J402" i="7"/>
  <c r="B402" i="7"/>
  <c r="J401" i="7"/>
  <c r="B401" i="7"/>
  <c r="J400" i="7"/>
  <c r="B400" i="7"/>
  <c r="J399" i="7"/>
  <c r="B399" i="7"/>
  <c r="J398" i="7"/>
  <c r="B398" i="7"/>
  <c r="J397" i="7"/>
  <c r="B397" i="7"/>
  <c r="J396" i="7"/>
  <c r="B396" i="7"/>
  <c r="J395" i="7"/>
  <c r="B395" i="7"/>
  <c r="J394" i="7"/>
  <c r="B394" i="7"/>
  <c r="J393" i="7"/>
  <c r="B393" i="7"/>
  <c r="J392" i="7"/>
  <c r="B392" i="7"/>
  <c r="J391" i="7"/>
  <c r="B391" i="7"/>
  <c r="J390" i="7"/>
  <c r="B390" i="7"/>
  <c r="J389" i="7"/>
  <c r="B389" i="7"/>
  <c r="J388" i="7"/>
  <c r="B388" i="7"/>
  <c r="J387" i="7"/>
  <c r="B387" i="7"/>
  <c r="J386" i="7"/>
  <c r="B386" i="7"/>
  <c r="J385" i="7"/>
  <c r="B385" i="7"/>
  <c r="J384" i="7"/>
  <c r="B384" i="7"/>
  <c r="J383" i="7"/>
  <c r="B383" i="7"/>
  <c r="J382" i="7"/>
  <c r="B382" i="7"/>
  <c r="J381" i="7"/>
  <c r="B381" i="7"/>
  <c r="J380" i="7"/>
  <c r="B380" i="7"/>
  <c r="J379" i="7"/>
  <c r="B379" i="7"/>
  <c r="J378" i="7"/>
  <c r="B378" i="7"/>
  <c r="J377" i="7"/>
  <c r="B377" i="7"/>
  <c r="J376" i="7"/>
  <c r="B376" i="7"/>
  <c r="J375" i="7"/>
  <c r="B375" i="7"/>
  <c r="J374" i="7"/>
  <c r="B374" i="7"/>
  <c r="J373" i="7"/>
  <c r="B373" i="7"/>
  <c r="J372" i="7"/>
  <c r="B372" i="7"/>
  <c r="J371" i="7"/>
  <c r="B371" i="7"/>
  <c r="J370" i="7"/>
  <c r="B370" i="7"/>
  <c r="J369" i="7"/>
  <c r="B369" i="7"/>
  <c r="J368" i="7"/>
  <c r="B368" i="7"/>
  <c r="J367" i="7"/>
  <c r="B367" i="7"/>
  <c r="J366" i="7"/>
  <c r="B366" i="7"/>
  <c r="J365" i="7"/>
  <c r="B365" i="7"/>
  <c r="J364" i="7"/>
  <c r="B364" i="7"/>
  <c r="J363" i="7"/>
  <c r="B363" i="7"/>
  <c r="J362" i="7"/>
  <c r="B362" i="7"/>
  <c r="J361" i="7"/>
  <c r="B361" i="7"/>
  <c r="J360" i="7"/>
  <c r="B360" i="7"/>
  <c r="J359" i="7"/>
  <c r="B359" i="7"/>
  <c r="J358" i="7"/>
  <c r="B358" i="7"/>
  <c r="J357" i="7"/>
  <c r="B357" i="7"/>
  <c r="J356" i="7"/>
  <c r="B356" i="7"/>
  <c r="J355" i="7"/>
  <c r="B355" i="7"/>
  <c r="J354" i="7"/>
  <c r="B354" i="7"/>
  <c r="J353" i="7"/>
  <c r="B353" i="7"/>
  <c r="J352" i="7"/>
  <c r="B352" i="7"/>
  <c r="J351" i="7"/>
  <c r="B351" i="7"/>
  <c r="J350" i="7"/>
  <c r="B350" i="7"/>
  <c r="J349" i="7"/>
  <c r="B349" i="7"/>
  <c r="J348" i="7"/>
  <c r="B348" i="7"/>
  <c r="J347" i="7"/>
  <c r="B347" i="7"/>
  <c r="J346" i="7"/>
  <c r="B346" i="7"/>
  <c r="J345" i="7"/>
  <c r="B345" i="7"/>
  <c r="J344" i="7"/>
  <c r="B344" i="7"/>
  <c r="J343" i="7"/>
  <c r="B343" i="7"/>
  <c r="J342" i="7"/>
  <c r="B342" i="7"/>
  <c r="J341" i="7"/>
  <c r="B341" i="7"/>
  <c r="J340" i="7"/>
  <c r="B340" i="7"/>
  <c r="J339" i="7"/>
  <c r="B339" i="7"/>
  <c r="J338" i="7"/>
  <c r="B338" i="7"/>
  <c r="J337" i="7"/>
  <c r="B337" i="7"/>
  <c r="J336" i="7"/>
  <c r="B336" i="7"/>
  <c r="J335" i="7"/>
  <c r="B335" i="7"/>
  <c r="J334" i="7"/>
  <c r="B334" i="7"/>
  <c r="J333" i="7"/>
  <c r="B333" i="7"/>
  <c r="J332" i="7"/>
  <c r="B332" i="7"/>
  <c r="J331" i="7"/>
  <c r="B331" i="7"/>
  <c r="J330" i="7"/>
  <c r="B330" i="7"/>
  <c r="J329" i="7"/>
  <c r="B329" i="7"/>
  <c r="J328" i="7"/>
  <c r="B328" i="7"/>
  <c r="J327" i="7"/>
  <c r="B327" i="7"/>
  <c r="J326" i="7"/>
  <c r="B326" i="7"/>
  <c r="J325" i="7"/>
  <c r="B325" i="7"/>
  <c r="J324" i="7"/>
  <c r="B324" i="7"/>
  <c r="J323" i="7"/>
  <c r="B323" i="7"/>
  <c r="J322" i="7"/>
  <c r="B322" i="7"/>
  <c r="J321" i="7"/>
  <c r="B321" i="7"/>
  <c r="J320" i="7"/>
  <c r="B320" i="7"/>
  <c r="J319" i="7"/>
  <c r="B319" i="7"/>
  <c r="J318" i="7"/>
  <c r="B318" i="7"/>
  <c r="J317" i="7"/>
  <c r="B317" i="7"/>
  <c r="J316" i="7"/>
  <c r="B316" i="7"/>
  <c r="J315" i="7"/>
  <c r="B315" i="7"/>
  <c r="J314" i="7"/>
  <c r="B314" i="7"/>
  <c r="J313" i="7"/>
  <c r="B313" i="7"/>
  <c r="J312" i="7"/>
  <c r="B312" i="7"/>
  <c r="J311" i="7"/>
  <c r="B311" i="7"/>
  <c r="J310" i="7"/>
  <c r="B310" i="7"/>
  <c r="J309" i="7"/>
  <c r="B309" i="7"/>
  <c r="J308" i="7"/>
  <c r="B308" i="7"/>
  <c r="J307" i="7"/>
  <c r="B307" i="7"/>
  <c r="J306" i="7"/>
  <c r="B306" i="7"/>
  <c r="J305" i="7"/>
  <c r="B305" i="7"/>
  <c r="J304" i="7"/>
  <c r="B304" i="7"/>
  <c r="J303" i="7"/>
  <c r="B303" i="7"/>
  <c r="J302" i="7"/>
  <c r="B302" i="7"/>
  <c r="J301" i="7"/>
  <c r="B301" i="7"/>
  <c r="J300" i="7"/>
  <c r="B300" i="7"/>
  <c r="J299" i="7"/>
  <c r="B299" i="7"/>
  <c r="J298" i="7"/>
  <c r="B298" i="7"/>
  <c r="J297" i="7"/>
  <c r="B297" i="7"/>
  <c r="J296" i="7"/>
  <c r="B296" i="7"/>
  <c r="J295" i="7"/>
  <c r="B295" i="7"/>
  <c r="J294" i="7"/>
  <c r="B294" i="7"/>
  <c r="J293" i="7"/>
  <c r="B293" i="7"/>
  <c r="J292" i="7"/>
  <c r="B292" i="7"/>
  <c r="J291" i="7"/>
  <c r="B291" i="7"/>
  <c r="J290" i="7"/>
  <c r="B290" i="7"/>
  <c r="J289" i="7"/>
  <c r="B289" i="7"/>
  <c r="J288" i="7"/>
  <c r="B288" i="7"/>
  <c r="J287" i="7"/>
  <c r="B287" i="7"/>
  <c r="J286" i="7"/>
  <c r="B286" i="7"/>
  <c r="J285" i="7"/>
  <c r="B285" i="7"/>
  <c r="J284" i="7"/>
  <c r="B284" i="7"/>
  <c r="J283" i="7"/>
  <c r="B283" i="7"/>
  <c r="J282" i="7"/>
  <c r="B282" i="7"/>
  <c r="J281" i="7"/>
  <c r="B281" i="7"/>
  <c r="J280" i="7"/>
  <c r="B280" i="7"/>
  <c r="J279" i="7"/>
  <c r="B279" i="7"/>
  <c r="J278" i="7"/>
  <c r="B278" i="7"/>
  <c r="J277" i="7"/>
  <c r="B277" i="7"/>
  <c r="J276" i="7"/>
  <c r="B276" i="7"/>
  <c r="J275" i="7"/>
  <c r="B275" i="7"/>
  <c r="J274" i="7"/>
  <c r="B274" i="7"/>
  <c r="J273" i="7"/>
  <c r="B273" i="7"/>
  <c r="J272" i="7"/>
  <c r="B272" i="7"/>
  <c r="J271" i="7"/>
  <c r="B271" i="7"/>
  <c r="J270" i="7"/>
  <c r="B270" i="7"/>
  <c r="J269" i="7"/>
  <c r="B269" i="7"/>
  <c r="J268" i="7"/>
  <c r="B268" i="7"/>
  <c r="J267" i="7"/>
  <c r="B267" i="7"/>
  <c r="J266" i="7"/>
  <c r="B266" i="7"/>
  <c r="J265" i="7"/>
  <c r="B265" i="7"/>
  <c r="J264" i="7"/>
  <c r="B264" i="7"/>
  <c r="J263" i="7"/>
  <c r="B263" i="7"/>
  <c r="J262" i="7"/>
  <c r="B262" i="7"/>
  <c r="J261" i="7"/>
  <c r="B261" i="7"/>
  <c r="J260" i="7"/>
  <c r="B260" i="7"/>
  <c r="J259" i="7"/>
  <c r="B259" i="7"/>
  <c r="J258" i="7"/>
  <c r="B258" i="7"/>
  <c r="J257" i="7"/>
  <c r="B257" i="7"/>
  <c r="J256" i="7"/>
  <c r="B256" i="7"/>
  <c r="J255" i="7"/>
  <c r="B255" i="7"/>
  <c r="J254" i="7"/>
  <c r="B254" i="7"/>
  <c r="J253" i="7"/>
  <c r="B253" i="7"/>
  <c r="J252" i="7"/>
  <c r="B252" i="7"/>
  <c r="J251" i="7"/>
  <c r="B251" i="7"/>
  <c r="J250" i="7"/>
  <c r="B250" i="7"/>
  <c r="J249" i="7"/>
  <c r="B249" i="7"/>
  <c r="J248" i="7"/>
  <c r="B248" i="7"/>
  <c r="J247" i="7"/>
  <c r="B247" i="7"/>
  <c r="J246" i="7"/>
  <c r="B246" i="7"/>
  <c r="J245" i="7"/>
  <c r="B245" i="7"/>
  <c r="J244" i="7"/>
  <c r="B244" i="7"/>
  <c r="J243" i="7"/>
  <c r="B243" i="7"/>
  <c r="J242" i="7"/>
  <c r="B242" i="7"/>
  <c r="J241" i="7"/>
  <c r="B241" i="7"/>
  <c r="J240" i="7"/>
  <c r="B240" i="7"/>
  <c r="J239" i="7"/>
  <c r="B239" i="7"/>
  <c r="J238" i="7"/>
  <c r="B238" i="7"/>
  <c r="J237" i="7"/>
  <c r="B237" i="7"/>
  <c r="J236" i="7"/>
  <c r="B236" i="7"/>
  <c r="J235" i="7"/>
  <c r="B235" i="7"/>
  <c r="J234" i="7"/>
  <c r="B234" i="7"/>
  <c r="J233" i="7"/>
  <c r="B233" i="7"/>
  <c r="J232" i="7"/>
  <c r="B232" i="7"/>
  <c r="J231" i="7"/>
  <c r="B231" i="7"/>
  <c r="J230" i="7"/>
  <c r="B230" i="7"/>
  <c r="J229" i="7"/>
  <c r="B229" i="7"/>
  <c r="J228" i="7"/>
  <c r="B228" i="7"/>
  <c r="J227" i="7"/>
  <c r="B227" i="7"/>
  <c r="J226" i="7"/>
  <c r="B226" i="7"/>
  <c r="J225" i="7"/>
  <c r="B225" i="7"/>
  <c r="J224" i="7"/>
  <c r="B224" i="7"/>
  <c r="J223" i="7"/>
  <c r="B223" i="7"/>
  <c r="J222" i="7"/>
  <c r="B222" i="7"/>
  <c r="J221" i="7"/>
  <c r="B221" i="7"/>
  <c r="J220" i="7"/>
  <c r="B220" i="7"/>
  <c r="J219" i="7"/>
  <c r="B219" i="7"/>
  <c r="J218" i="7"/>
  <c r="B218" i="7"/>
  <c r="J217" i="7"/>
  <c r="B217" i="7"/>
  <c r="J216" i="7"/>
  <c r="B216" i="7"/>
  <c r="J215" i="7"/>
  <c r="B215" i="7"/>
  <c r="J214" i="7"/>
  <c r="B214" i="7"/>
  <c r="J213" i="7"/>
  <c r="B213" i="7"/>
  <c r="J212" i="7"/>
  <c r="B212" i="7"/>
  <c r="J211" i="7"/>
  <c r="B211" i="7"/>
  <c r="J210" i="7"/>
  <c r="B210" i="7"/>
  <c r="J209" i="7"/>
  <c r="B209" i="7"/>
  <c r="J208" i="7"/>
  <c r="B208" i="7"/>
  <c r="J207" i="7"/>
  <c r="B207" i="7"/>
  <c r="J206" i="7"/>
  <c r="B206" i="7"/>
  <c r="J205" i="7"/>
  <c r="B205" i="7"/>
  <c r="J204" i="7"/>
  <c r="B204" i="7"/>
  <c r="J203" i="7"/>
  <c r="B203" i="7"/>
  <c r="J202" i="7"/>
  <c r="B202" i="7"/>
  <c r="J201" i="7"/>
  <c r="B201" i="7"/>
  <c r="J200" i="7"/>
  <c r="B200" i="7"/>
  <c r="J199" i="7"/>
  <c r="B199" i="7"/>
  <c r="J198" i="7"/>
  <c r="B198" i="7"/>
  <c r="J197" i="7"/>
  <c r="B197" i="7"/>
  <c r="J196" i="7"/>
  <c r="B196" i="7"/>
  <c r="J195" i="7"/>
  <c r="B195" i="7"/>
  <c r="J194" i="7"/>
  <c r="B194" i="7"/>
  <c r="J193" i="7"/>
  <c r="B193" i="7"/>
  <c r="J192" i="7"/>
  <c r="B192" i="7"/>
  <c r="J191" i="7"/>
  <c r="B191" i="7"/>
  <c r="J190" i="7"/>
  <c r="B190" i="7"/>
  <c r="J189" i="7"/>
  <c r="B189" i="7"/>
  <c r="J188" i="7"/>
  <c r="B188" i="7"/>
  <c r="J187" i="7"/>
  <c r="B187" i="7"/>
  <c r="J186" i="7"/>
  <c r="B186" i="7"/>
  <c r="J185" i="7"/>
  <c r="B185" i="7"/>
  <c r="J184" i="7"/>
  <c r="B184" i="7"/>
  <c r="J183" i="7"/>
  <c r="B183" i="7"/>
  <c r="J182" i="7"/>
  <c r="B182" i="7"/>
  <c r="J181" i="7"/>
  <c r="B181" i="7"/>
  <c r="J180" i="7"/>
  <c r="B180" i="7"/>
  <c r="J179" i="7"/>
  <c r="B179" i="7"/>
  <c r="J178" i="7"/>
  <c r="B178" i="7"/>
  <c r="J177" i="7"/>
  <c r="B177" i="7"/>
  <c r="J176" i="7"/>
  <c r="B176" i="7"/>
  <c r="J175" i="7"/>
  <c r="B175" i="7"/>
  <c r="J174" i="7"/>
  <c r="B174" i="7"/>
  <c r="J173" i="7"/>
  <c r="B173" i="7"/>
  <c r="J172" i="7"/>
  <c r="B172" i="7"/>
  <c r="J171" i="7"/>
  <c r="B171" i="7"/>
  <c r="J170" i="7"/>
  <c r="B170" i="7"/>
  <c r="J169" i="7"/>
  <c r="B169" i="7"/>
  <c r="J168" i="7"/>
  <c r="B168" i="7"/>
  <c r="J167" i="7"/>
  <c r="B167" i="7"/>
  <c r="J166" i="7"/>
  <c r="B166" i="7"/>
  <c r="J165" i="7"/>
  <c r="B165" i="7"/>
  <c r="J164" i="7"/>
  <c r="B164" i="7"/>
  <c r="J163" i="7"/>
  <c r="B163" i="7"/>
  <c r="J162" i="7"/>
  <c r="B162" i="7"/>
  <c r="J161" i="7"/>
  <c r="B161" i="7"/>
  <c r="J160" i="7"/>
  <c r="B160" i="7"/>
  <c r="J159" i="7"/>
  <c r="B159" i="7"/>
  <c r="J158" i="7"/>
  <c r="B158" i="7"/>
  <c r="J157" i="7"/>
  <c r="B157" i="7"/>
  <c r="J156" i="7"/>
  <c r="B156" i="7"/>
  <c r="J155" i="7"/>
  <c r="B155" i="7"/>
  <c r="J154" i="7"/>
  <c r="B154" i="7"/>
  <c r="J153" i="7"/>
  <c r="B153" i="7"/>
  <c r="J152" i="7"/>
  <c r="B152" i="7"/>
  <c r="J151" i="7"/>
  <c r="B151" i="7"/>
  <c r="J150" i="7"/>
  <c r="B150" i="7"/>
  <c r="J149" i="7"/>
  <c r="B149" i="7"/>
  <c r="J148" i="7"/>
  <c r="B148" i="7"/>
  <c r="J147" i="7"/>
  <c r="B147" i="7"/>
  <c r="J146" i="7"/>
  <c r="B146" i="7"/>
  <c r="J145" i="7"/>
  <c r="B145" i="7"/>
  <c r="J144" i="7"/>
  <c r="B144" i="7"/>
  <c r="J143" i="7"/>
  <c r="B143" i="7"/>
  <c r="J142" i="7"/>
  <c r="B142" i="7"/>
  <c r="J141" i="7"/>
  <c r="B141" i="7"/>
  <c r="J140" i="7"/>
  <c r="B140" i="7"/>
  <c r="J139" i="7"/>
  <c r="B139" i="7"/>
  <c r="J138" i="7"/>
  <c r="B138" i="7"/>
  <c r="J137" i="7"/>
  <c r="B137" i="7"/>
  <c r="J136" i="7"/>
  <c r="B136" i="7"/>
  <c r="J135" i="7"/>
  <c r="B135" i="7"/>
  <c r="J134" i="7"/>
  <c r="B134" i="7"/>
  <c r="J133" i="7"/>
  <c r="B133" i="7"/>
  <c r="J132" i="7"/>
  <c r="B132" i="7"/>
  <c r="J131" i="7"/>
  <c r="B131" i="7"/>
  <c r="J130" i="7"/>
  <c r="B130" i="7"/>
  <c r="J129" i="7"/>
  <c r="B129" i="7"/>
  <c r="J128" i="7"/>
  <c r="B128" i="7"/>
  <c r="J127" i="7"/>
  <c r="B127" i="7"/>
  <c r="J126" i="7"/>
  <c r="B126" i="7"/>
  <c r="J125" i="7"/>
  <c r="B125" i="7"/>
  <c r="J124" i="7"/>
  <c r="B124" i="7"/>
  <c r="J123" i="7"/>
  <c r="B123" i="7"/>
  <c r="J122" i="7"/>
  <c r="B122" i="7"/>
  <c r="J121" i="7"/>
  <c r="B121" i="7"/>
  <c r="J120" i="7"/>
  <c r="B120" i="7"/>
  <c r="J119" i="7"/>
  <c r="B119" i="7"/>
  <c r="J118" i="7"/>
  <c r="B118" i="7"/>
  <c r="J117" i="7"/>
  <c r="B117" i="7"/>
  <c r="J116" i="7"/>
  <c r="B116" i="7"/>
  <c r="J115" i="7"/>
  <c r="B115" i="7"/>
  <c r="J114" i="7"/>
  <c r="B114" i="7"/>
  <c r="J113" i="7"/>
  <c r="B113" i="7"/>
  <c r="J112" i="7"/>
  <c r="B112" i="7"/>
  <c r="J111" i="7"/>
  <c r="B111" i="7"/>
  <c r="J110" i="7"/>
  <c r="B110" i="7"/>
  <c r="J109" i="7"/>
  <c r="B109" i="7"/>
  <c r="J108" i="7"/>
  <c r="B108" i="7"/>
  <c r="J107" i="7"/>
  <c r="B107" i="7"/>
  <c r="J106" i="7"/>
  <c r="B106" i="7"/>
  <c r="J105" i="7"/>
  <c r="B105" i="7"/>
  <c r="J104" i="7"/>
  <c r="B104" i="7"/>
  <c r="J103" i="7"/>
  <c r="B103" i="7"/>
  <c r="J102" i="7"/>
  <c r="B102" i="7"/>
  <c r="J101" i="7"/>
  <c r="B101" i="7"/>
  <c r="J100" i="7"/>
  <c r="B100" i="7"/>
  <c r="J99" i="7"/>
  <c r="B99" i="7"/>
  <c r="J98" i="7"/>
  <c r="B98" i="7"/>
  <c r="J97" i="7"/>
  <c r="B97" i="7"/>
  <c r="J96" i="7"/>
  <c r="B96" i="7"/>
  <c r="J95" i="7"/>
  <c r="B95" i="7"/>
  <c r="J94" i="7"/>
  <c r="B94" i="7"/>
  <c r="J93" i="7"/>
  <c r="B93" i="7"/>
  <c r="J92" i="7"/>
  <c r="B92" i="7"/>
  <c r="J91" i="7"/>
  <c r="B91" i="7"/>
  <c r="J90" i="7"/>
  <c r="B90" i="7"/>
  <c r="J89" i="7"/>
  <c r="B89" i="7"/>
  <c r="J88" i="7"/>
  <c r="B88" i="7"/>
  <c r="J87" i="7"/>
  <c r="B87" i="7"/>
  <c r="J86" i="7"/>
  <c r="B86" i="7"/>
  <c r="J85" i="7"/>
  <c r="B85" i="7"/>
  <c r="J84" i="7"/>
  <c r="B84" i="7"/>
  <c r="J83" i="7"/>
  <c r="B83" i="7"/>
  <c r="J82" i="7"/>
  <c r="B82" i="7"/>
  <c r="J81" i="7"/>
  <c r="B81" i="7"/>
  <c r="J80" i="7"/>
  <c r="B80" i="7"/>
  <c r="J79" i="7"/>
  <c r="B79" i="7"/>
  <c r="J78" i="7"/>
  <c r="B78" i="7"/>
  <c r="J77" i="7"/>
  <c r="B77" i="7"/>
  <c r="J76" i="7"/>
  <c r="B76" i="7"/>
  <c r="J75" i="7"/>
  <c r="B75" i="7"/>
  <c r="J74" i="7"/>
  <c r="B74" i="7"/>
  <c r="J73" i="7"/>
  <c r="B73" i="7"/>
  <c r="J72" i="7"/>
  <c r="B72" i="7"/>
  <c r="J71" i="7"/>
  <c r="B71" i="7"/>
  <c r="J70" i="7"/>
  <c r="B70" i="7"/>
  <c r="J69" i="7"/>
  <c r="B69" i="7"/>
  <c r="J68" i="7"/>
  <c r="B68" i="7"/>
  <c r="J67" i="7"/>
  <c r="B67" i="7"/>
  <c r="J66" i="7"/>
  <c r="B66" i="7"/>
  <c r="J65" i="7"/>
  <c r="B65" i="7"/>
  <c r="J64" i="7"/>
  <c r="B64" i="7"/>
  <c r="J63" i="7"/>
  <c r="B63" i="7"/>
  <c r="J62" i="7"/>
  <c r="B62" i="7"/>
  <c r="J61" i="7"/>
  <c r="B61" i="7"/>
  <c r="J60" i="7"/>
  <c r="B60" i="7"/>
  <c r="J59" i="7"/>
  <c r="B59" i="7"/>
  <c r="J58" i="7"/>
  <c r="B58" i="7"/>
  <c r="J57" i="7"/>
  <c r="B57" i="7"/>
  <c r="J56" i="7"/>
  <c r="B56" i="7"/>
  <c r="J55" i="7"/>
  <c r="B55" i="7"/>
  <c r="J54" i="7"/>
  <c r="B54" i="7"/>
  <c r="J53" i="7"/>
  <c r="B53" i="7"/>
  <c r="J52" i="7"/>
  <c r="B52" i="7"/>
  <c r="J51" i="7"/>
  <c r="B51" i="7"/>
  <c r="J50" i="7"/>
  <c r="B50" i="7"/>
  <c r="J49" i="7"/>
  <c r="B49" i="7"/>
  <c r="J48" i="7"/>
  <c r="B48" i="7"/>
  <c r="J47" i="7"/>
  <c r="B47" i="7"/>
  <c r="J46" i="7"/>
  <c r="B46" i="7"/>
  <c r="J45" i="7"/>
  <c r="B45" i="7"/>
  <c r="J44" i="7"/>
  <c r="B44" i="7"/>
  <c r="J43" i="7"/>
  <c r="B43" i="7"/>
  <c r="J42" i="7"/>
  <c r="B42" i="7"/>
  <c r="J41" i="7"/>
  <c r="B41" i="7"/>
  <c r="J40" i="7"/>
  <c r="B40" i="7"/>
  <c r="J39" i="7"/>
  <c r="B39" i="7"/>
  <c r="J38" i="7"/>
  <c r="B38" i="7"/>
  <c r="J37" i="7"/>
  <c r="B37" i="7"/>
  <c r="J36" i="7"/>
  <c r="B36" i="7"/>
  <c r="J35" i="7"/>
  <c r="B35" i="7"/>
  <c r="J34" i="7"/>
  <c r="B34" i="7"/>
  <c r="J33" i="7"/>
  <c r="B33" i="7"/>
  <c r="J32" i="7"/>
  <c r="B32" i="7"/>
  <c r="J31" i="7"/>
  <c r="B31" i="7"/>
  <c r="J30" i="7"/>
  <c r="B30" i="7"/>
  <c r="J29" i="7"/>
  <c r="B29" i="7"/>
  <c r="J28" i="7"/>
  <c r="B28" i="7"/>
  <c r="J27" i="7"/>
  <c r="B27" i="7"/>
  <c r="J26" i="7"/>
  <c r="B26" i="7"/>
  <c r="J25" i="7"/>
  <c r="B25" i="7"/>
  <c r="J24" i="7"/>
  <c r="B24" i="7"/>
  <c r="J23" i="7"/>
  <c r="B23" i="7"/>
  <c r="J22" i="7"/>
  <c r="B22" i="7"/>
  <c r="J21" i="7"/>
  <c r="B21" i="7"/>
  <c r="J20" i="7"/>
  <c r="B20" i="7"/>
  <c r="J19" i="7"/>
  <c r="B19" i="7"/>
  <c r="J18" i="7"/>
  <c r="B18" i="7"/>
  <c r="J17" i="7"/>
  <c r="B17" i="7"/>
  <c r="J16" i="7"/>
  <c r="B16" i="7"/>
  <c r="J15" i="7"/>
  <c r="B15" i="7"/>
  <c r="J14" i="7"/>
  <c r="B14" i="7"/>
  <c r="J13" i="7"/>
  <c r="B13" i="7"/>
  <c r="J12" i="7"/>
  <c r="B12" i="7"/>
  <c r="J11" i="7"/>
  <c r="B11" i="7"/>
  <c r="J10" i="7"/>
  <c r="B10" i="7"/>
  <c r="J9" i="7"/>
  <c r="B9" i="7"/>
  <c r="J8" i="7"/>
  <c r="B8" i="7"/>
  <c r="J7" i="7"/>
  <c r="B7" i="7"/>
  <c r="F5" i="7"/>
  <c r="D4" i="7"/>
  <c r="C4" i="7"/>
  <c r="B4" i="7"/>
  <c r="AE3006" i="6"/>
  <c r="AD3006" i="6"/>
  <c r="W3006" i="6"/>
  <c r="U3006" i="6"/>
  <c r="T3006" i="6"/>
  <c r="V3006" i="6" s="1"/>
  <c r="S3006" i="6"/>
  <c r="P3006" i="6"/>
  <c r="O3006" i="6"/>
  <c r="N3006" i="6"/>
  <c r="M3006" i="6"/>
  <c r="B3006" i="6"/>
  <c r="AE3005" i="6"/>
  <c r="AD3005" i="6"/>
  <c r="W3005" i="6"/>
  <c r="V3005" i="6"/>
  <c r="T3005" i="6"/>
  <c r="U3005" i="6" s="1"/>
  <c r="S3005" i="6"/>
  <c r="P3005" i="6"/>
  <c r="O3005" i="6"/>
  <c r="N3005" i="6"/>
  <c r="M3005" i="6"/>
  <c r="B3005" i="6"/>
  <c r="AE3004" i="6"/>
  <c r="AD3004" i="6"/>
  <c r="W3004" i="6"/>
  <c r="T3004" i="6"/>
  <c r="V3004" i="6" s="1"/>
  <c r="S3004" i="6"/>
  <c r="P3004" i="6"/>
  <c r="O3004" i="6"/>
  <c r="N3004" i="6"/>
  <c r="M3004" i="6"/>
  <c r="B3004" i="6"/>
  <c r="AE3003" i="6"/>
  <c r="AD3003" i="6"/>
  <c r="W3003" i="6"/>
  <c r="U3003" i="6"/>
  <c r="T3003" i="6"/>
  <c r="V3003" i="6" s="1"/>
  <c r="S3003" i="6"/>
  <c r="P3003" i="6"/>
  <c r="O3003" i="6"/>
  <c r="N3003" i="6"/>
  <c r="M3003" i="6"/>
  <c r="B3003" i="6"/>
  <c r="AE3002" i="6"/>
  <c r="AD3002" i="6"/>
  <c r="W3002" i="6"/>
  <c r="V3002" i="6"/>
  <c r="T3002" i="6"/>
  <c r="U3002" i="6" s="1"/>
  <c r="S3002" i="6"/>
  <c r="P3002" i="6"/>
  <c r="O3002" i="6"/>
  <c r="N3002" i="6"/>
  <c r="M3002" i="6"/>
  <c r="B3002" i="6"/>
  <c r="AE3001" i="6"/>
  <c r="AD3001" i="6"/>
  <c r="W3001" i="6"/>
  <c r="T3001" i="6"/>
  <c r="V3001" i="6" s="1"/>
  <c r="S3001" i="6"/>
  <c r="P3001" i="6"/>
  <c r="O3001" i="6"/>
  <c r="N3001" i="6"/>
  <c r="M3001" i="6"/>
  <c r="B3001" i="6"/>
  <c r="AE3000" i="6"/>
  <c r="AD3000" i="6"/>
  <c r="W3000" i="6"/>
  <c r="V3000" i="6"/>
  <c r="T3000" i="6"/>
  <c r="U3000" i="6" s="1"/>
  <c r="S3000" i="6"/>
  <c r="P3000" i="6"/>
  <c r="O3000" i="6"/>
  <c r="N3000" i="6"/>
  <c r="M3000" i="6"/>
  <c r="B3000" i="6"/>
  <c r="AE2999" i="6"/>
  <c r="AD2999" i="6"/>
  <c r="W2999" i="6"/>
  <c r="T2999" i="6"/>
  <c r="V2999" i="6" s="1"/>
  <c r="S2999" i="6"/>
  <c r="P2999" i="6"/>
  <c r="O2999" i="6"/>
  <c r="N2999" i="6"/>
  <c r="M2999" i="6"/>
  <c r="B2999" i="6"/>
  <c r="AE2998" i="6"/>
  <c r="AD2998" i="6"/>
  <c r="W2998" i="6"/>
  <c r="U2998" i="6"/>
  <c r="T2998" i="6"/>
  <c r="V2998" i="6" s="1"/>
  <c r="S2998" i="6"/>
  <c r="P2998" i="6"/>
  <c r="O2998" i="6"/>
  <c r="N2998" i="6"/>
  <c r="M2998" i="6"/>
  <c r="B2998" i="6"/>
  <c r="AE2997" i="6"/>
  <c r="AD2997" i="6"/>
  <c r="W2997" i="6"/>
  <c r="T2997" i="6"/>
  <c r="U2997" i="6" s="1"/>
  <c r="S2997" i="6"/>
  <c r="P2997" i="6"/>
  <c r="O2997" i="6"/>
  <c r="N2997" i="6"/>
  <c r="M2997" i="6"/>
  <c r="B2997" i="6"/>
  <c r="AE2996" i="6"/>
  <c r="AD2996" i="6"/>
  <c r="W2996" i="6"/>
  <c r="U2996" i="6"/>
  <c r="T2996" i="6"/>
  <c r="V2996" i="6" s="1"/>
  <c r="S2996" i="6"/>
  <c r="P2996" i="6"/>
  <c r="O2996" i="6"/>
  <c r="N2996" i="6"/>
  <c r="M2996" i="6"/>
  <c r="B2996" i="6"/>
  <c r="AE2995" i="6"/>
  <c r="AD2995" i="6"/>
  <c r="W2995" i="6"/>
  <c r="V2995" i="6"/>
  <c r="T2995" i="6"/>
  <c r="U2995" i="6" s="1"/>
  <c r="S2995" i="6"/>
  <c r="P2995" i="6"/>
  <c r="O2995" i="6"/>
  <c r="N2995" i="6"/>
  <c r="M2995" i="6"/>
  <c r="B2995" i="6"/>
  <c r="AE2994" i="6"/>
  <c r="AD2994" i="6"/>
  <c r="W2994" i="6"/>
  <c r="T2994" i="6"/>
  <c r="V2994" i="6" s="1"/>
  <c r="S2994" i="6"/>
  <c r="P2994" i="6"/>
  <c r="O2994" i="6"/>
  <c r="N2994" i="6"/>
  <c r="M2994" i="6"/>
  <c r="B2994" i="6"/>
  <c r="AE2993" i="6"/>
  <c r="AD2993" i="6"/>
  <c r="W2993" i="6"/>
  <c r="U2993" i="6"/>
  <c r="T2993" i="6"/>
  <c r="V2993" i="6" s="1"/>
  <c r="S2993" i="6"/>
  <c r="P2993" i="6"/>
  <c r="O2993" i="6"/>
  <c r="N2993" i="6"/>
  <c r="M2993" i="6"/>
  <c r="B2993" i="6"/>
  <c r="AE2992" i="6"/>
  <c r="AD2992" i="6"/>
  <c r="W2992" i="6"/>
  <c r="V2992" i="6"/>
  <c r="T2992" i="6"/>
  <c r="U2992" i="6" s="1"/>
  <c r="S2992" i="6"/>
  <c r="P2992" i="6"/>
  <c r="O2992" i="6"/>
  <c r="N2992" i="6"/>
  <c r="M2992" i="6"/>
  <c r="B2992" i="6"/>
  <c r="AE2991" i="6"/>
  <c r="AD2991" i="6"/>
  <c r="W2991" i="6"/>
  <c r="T2991" i="6"/>
  <c r="V2991" i="6" s="1"/>
  <c r="S2991" i="6"/>
  <c r="P2991" i="6"/>
  <c r="O2991" i="6"/>
  <c r="N2991" i="6"/>
  <c r="M2991" i="6"/>
  <c r="B2991" i="6"/>
  <c r="AE2990" i="6"/>
  <c r="AD2990" i="6"/>
  <c r="W2990" i="6"/>
  <c r="V2990" i="6"/>
  <c r="T2990" i="6"/>
  <c r="U2990" i="6" s="1"/>
  <c r="S2990" i="6"/>
  <c r="P2990" i="6"/>
  <c r="O2990" i="6"/>
  <c r="N2990" i="6"/>
  <c r="M2990" i="6"/>
  <c r="B2990" i="6"/>
  <c r="AE2989" i="6"/>
  <c r="AD2989" i="6"/>
  <c r="W2989" i="6"/>
  <c r="T2989" i="6"/>
  <c r="V2989" i="6" s="1"/>
  <c r="S2989" i="6"/>
  <c r="P2989" i="6"/>
  <c r="O2989" i="6"/>
  <c r="N2989" i="6"/>
  <c r="M2989" i="6"/>
  <c r="B2989" i="6"/>
  <c r="AE2988" i="6"/>
  <c r="AD2988" i="6"/>
  <c r="W2988" i="6"/>
  <c r="U2988" i="6"/>
  <c r="T2988" i="6"/>
  <c r="V2988" i="6" s="1"/>
  <c r="S2988" i="6"/>
  <c r="P2988" i="6"/>
  <c r="O2988" i="6"/>
  <c r="N2988" i="6"/>
  <c r="M2988" i="6"/>
  <c r="B2988" i="6"/>
  <c r="AE2987" i="6"/>
  <c r="AD2987" i="6"/>
  <c r="W2987" i="6"/>
  <c r="T2987" i="6"/>
  <c r="U2987" i="6" s="1"/>
  <c r="S2987" i="6"/>
  <c r="P2987" i="6"/>
  <c r="O2987" i="6"/>
  <c r="N2987" i="6"/>
  <c r="M2987" i="6"/>
  <c r="B2987" i="6"/>
  <c r="AE2986" i="6"/>
  <c r="AD2986" i="6"/>
  <c r="W2986" i="6"/>
  <c r="U2986" i="6"/>
  <c r="T2986" i="6"/>
  <c r="V2986" i="6" s="1"/>
  <c r="S2986" i="6"/>
  <c r="P2986" i="6"/>
  <c r="O2986" i="6"/>
  <c r="N2986" i="6"/>
  <c r="M2986" i="6"/>
  <c r="B2986" i="6"/>
  <c r="AE2985" i="6"/>
  <c r="AD2985" i="6"/>
  <c r="W2985" i="6"/>
  <c r="V2985" i="6"/>
  <c r="T2985" i="6"/>
  <c r="U2985" i="6" s="1"/>
  <c r="S2985" i="6"/>
  <c r="P2985" i="6"/>
  <c r="O2985" i="6"/>
  <c r="N2985" i="6"/>
  <c r="M2985" i="6"/>
  <c r="B2985" i="6"/>
  <c r="AE2984" i="6"/>
  <c r="AD2984" i="6"/>
  <c r="W2984" i="6"/>
  <c r="T2984" i="6"/>
  <c r="V2984" i="6" s="1"/>
  <c r="S2984" i="6"/>
  <c r="P2984" i="6"/>
  <c r="O2984" i="6"/>
  <c r="N2984" i="6"/>
  <c r="M2984" i="6"/>
  <c r="B2984" i="6"/>
  <c r="AE2983" i="6"/>
  <c r="AD2983" i="6"/>
  <c r="W2983" i="6"/>
  <c r="U2983" i="6"/>
  <c r="T2983" i="6"/>
  <c r="V2983" i="6" s="1"/>
  <c r="S2983" i="6"/>
  <c r="P2983" i="6"/>
  <c r="O2983" i="6"/>
  <c r="N2983" i="6"/>
  <c r="M2983" i="6"/>
  <c r="B2983" i="6"/>
  <c r="AE2982" i="6"/>
  <c r="AD2982" i="6"/>
  <c r="W2982" i="6"/>
  <c r="V2982" i="6"/>
  <c r="T2982" i="6"/>
  <c r="U2982" i="6" s="1"/>
  <c r="S2982" i="6"/>
  <c r="P2982" i="6"/>
  <c r="O2982" i="6"/>
  <c r="N2982" i="6"/>
  <c r="M2982" i="6"/>
  <c r="B2982" i="6"/>
  <c r="AE2981" i="6"/>
  <c r="AD2981" i="6"/>
  <c r="W2981" i="6"/>
  <c r="T2981" i="6"/>
  <c r="V2981" i="6" s="1"/>
  <c r="S2981" i="6"/>
  <c r="P2981" i="6"/>
  <c r="O2981" i="6"/>
  <c r="N2981" i="6"/>
  <c r="M2981" i="6"/>
  <c r="B2981" i="6"/>
  <c r="AE2980" i="6"/>
  <c r="AD2980" i="6"/>
  <c r="W2980" i="6"/>
  <c r="V2980" i="6"/>
  <c r="T2980" i="6"/>
  <c r="U2980" i="6" s="1"/>
  <c r="S2980" i="6"/>
  <c r="P2980" i="6"/>
  <c r="O2980" i="6"/>
  <c r="N2980" i="6"/>
  <c r="M2980" i="6"/>
  <c r="B2980" i="6"/>
  <c r="AE2979" i="6"/>
  <c r="AD2979" i="6"/>
  <c r="W2979" i="6"/>
  <c r="T2979" i="6"/>
  <c r="V2979" i="6" s="1"/>
  <c r="S2979" i="6"/>
  <c r="P2979" i="6"/>
  <c r="O2979" i="6"/>
  <c r="N2979" i="6"/>
  <c r="M2979" i="6"/>
  <c r="B2979" i="6"/>
  <c r="AE2978" i="6"/>
  <c r="AD2978" i="6"/>
  <c r="W2978" i="6"/>
  <c r="U2978" i="6"/>
  <c r="T2978" i="6"/>
  <c r="V2978" i="6" s="1"/>
  <c r="S2978" i="6"/>
  <c r="P2978" i="6"/>
  <c r="O2978" i="6"/>
  <c r="N2978" i="6"/>
  <c r="M2978" i="6"/>
  <c r="B2978" i="6"/>
  <c r="AE2977" i="6"/>
  <c r="AD2977" i="6"/>
  <c r="W2977" i="6"/>
  <c r="T2977" i="6"/>
  <c r="U2977" i="6" s="1"/>
  <c r="S2977" i="6"/>
  <c r="P2977" i="6"/>
  <c r="O2977" i="6"/>
  <c r="N2977" i="6"/>
  <c r="M2977" i="6"/>
  <c r="B2977" i="6"/>
  <c r="AE2976" i="6"/>
  <c r="AD2976" i="6"/>
  <c r="W2976" i="6"/>
  <c r="U2976" i="6"/>
  <c r="T2976" i="6"/>
  <c r="V2976" i="6" s="1"/>
  <c r="S2976" i="6"/>
  <c r="P2976" i="6"/>
  <c r="O2976" i="6"/>
  <c r="N2976" i="6"/>
  <c r="M2976" i="6"/>
  <c r="B2976" i="6"/>
  <c r="AE2975" i="6"/>
  <c r="AD2975" i="6"/>
  <c r="W2975" i="6"/>
  <c r="V2975" i="6"/>
  <c r="T2975" i="6"/>
  <c r="U2975" i="6" s="1"/>
  <c r="S2975" i="6"/>
  <c r="P2975" i="6"/>
  <c r="O2975" i="6"/>
  <c r="N2975" i="6"/>
  <c r="M2975" i="6"/>
  <c r="B2975" i="6"/>
  <c r="AE2974" i="6"/>
  <c r="AD2974" i="6"/>
  <c r="W2974" i="6"/>
  <c r="T2974" i="6"/>
  <c r="V2974" i="6" s="1"/>
  <c r="S2974" i="6"/>
  <c r="P2974" i="6"/>
  <c r="O2974" i="6"/>
  <c r="N2974" i="6"/>
  <c r="M2974" i="6"/>
  <c r="B2974" i="6"/>
  <c r="AE2973" i="6"/>
  <c r="AD2973" i="6"/>
  <c r="W2973" i="6"/>
  <c r="U2973" i="6"/>
  <c r="T2973" i="6"/>
  <c r="V2973" i="6" s="1"/>
  <c r="S2973" i="6"/>
  <c r="P2973" i="6"/>
  <c r="O2973" i="6"/>
  <c r="N2973" i="6"/>
  <c r="M2973" i="6"/>
  <c r="B2973" i="6"/>
  <c r="AE2972" i="6"/>
  <c r="AD2972" i="6"/>
  <c r="W2972" i="6"/>
  <c r="V2972" i="6"/>
  <c r="T2972" i="6"/>
  <c r="U2972" i="6" s="1"/>
  <c r="S2972" i="6"/>
  <c r="P2972" i="6"/>
  <c r="O2972" i="6"/>
  <c r="N2972" i="6"/>
  <c r="M2972" i="6"/>
  <c r="B2972" i="6"/>
  <c r="AE2971" i="6"/>
  <c r="AD2971" i="6"/>
  <c r="W2971" i="6"/>
  <c r="T2971" i="6"/>
  <c r="V2971" i="6" s="1"/>
  <c r="S2971" i="6"/>
  <c r="P2971" i="6"/>
  <c r="O2971" i="6"/>
  <c r="N2971" i="6"/>
  <c r="M2971" i="6"/>
  <c r="B2971" i="6"/>
  <c r="AE2970" i="6"/>
  <c r="AD2970" i="6"/>
  <c r="W2970" i="6"/>
  <c r="V2970" i="6"/>
  <c r="T2970" i="6"/>
  <c r="U2970" i="6" s="1"/>
  <c r="S2970" i="6"/>
  <c r="P2970" i="6"/>
  <c r="O2970" i="6"/>
  <c r="N2970" i="6"/>
  <c r="M2970" i="6"/>
  <c r="B2970" i="6"/>
  <c r="AE2969" i="6"/>
  <c r="AD2969" i="6"/>
  <c r="W2969" i="6"/>
  <c r="T2969" i="6"/>
  <c r="V2969" i="6" s="1"/>
  <c r="S2969" i="6"/>
  <c r="P2969" i="6"/>
  <c r="O2969" i="6"/>
  <c r="N2969" i="6"/>
  <c r="M2969" i="6"/>
  <c r="B2969" i="6"/>
  <c r="AE2968" i="6"/>
  <c r="AD2968" i="6"/>
  <c r="W2968" i="6"/>
  <c r="U2968" i="6"/>
  <c r="T2968" i="6"/>
  <c r="V2968" i="6" s="1"/>
  <c r="S2968" i="6"/>
  <c r="P2968" i="6"/>
  <c r="O2968" i="6"/>
  <c r="N2968" i="6"/>
  <c r="M2968" i="6"/>
  <c r="B2968" i="6"/>
  <c r="AE2967" i="6"/>
  <c r="AD2967" i="6"/>
  <c r="W2967" i="6"/>
  <c r="T2967" i="6"/>
  <c r="U2967" i="6" s="1"/>
  <c r="S2967" i="6"/>
  <c r="P2967" i="6"/>
  <c r="O2967" i="6"/>
  <c r="N2967" i="6"/>
  <c r="M2967" i="6"/>
  <c r="B2967" i="6"/>
  <c r="AE2966" i="6"/>
  <c r="AD2966" i="6"/>
  <c r="W2966" i="6"/>
  <c r="U2966" i="6"/>
  <c r="T2966" i="6"/>
  <c r="V2966" i="6" s="1"/>
  <c r="S2966" i="6"/>
  <c r="P2966" i="6"/>
  <c r="O2966" i="6"/>
  <c r="N2966" i="6"/>
  <c r="M2966" i="6"/>
  <c r="B2966" i="6"/>
  <c r="AE2965" i="6"/>
  <c r="AD2965" i="6"/>
  <c r="W2965" i="6"/>
  <c r="V2965" i="6"/>
  <c r="T2965" i="6"/>
  <c r="U2965" i="6" s="1"/>
  <c r="S2965" i="6"/>
  <c r="P2965" i="6"/>
  <c r="O2965" i="6"/>
  <c r="N2965" i="6"/>
  <c r="M2965" i="6"/>
  <c r="B2965" i="6"/>
  <c r="AE2964" i="6"/>
  <c r="AD2964" i="6"/>
  <c r="W2964" i="6"/>
  <c r="T2964" i="6"/>
  <c r="V2964" i="6" s="1"/>
  <c r="S2964" i="6"/>
  <c r="P2964" i="6"/>
  <c r="O2964" i="6"/>
  <c r="N2964" i="6"/>
  <c r="M2964" i="6"/>
  <c r="B2964" i="6"/>
  <c r="AE2963" i="6"/>
  <c r="AD2963" i="6"/>
  <c r="W2963" i="6"/>
  <c r="U2963" i="6"/>
  <c r="T2963" i="6"/>
  <c r="V2963" i="6" s="1"/>
  <c r="S2963" i="6"/>
  <c r="P2963" i="6"/>
  <c r="O2963" i="6"/>
  <c r="N2963" i="6"/>
  <c r="M2963" i="6"/>
  <c r="B2963" i="6"/>
  <c r="AE2962" i="6"/>
  <c r="AD2962" i="6"/>
  <c r="W2962" i="6"/>
  <c r="V2962" i="6"/>
  <c r="T2962" i="6"/>
  <c r="U2962" i="6" s="1"/>
  <c r="S2962" i="6"/>
  <c r="P2962" i="6"/>
  <c r="O2962" i="6"/>
  <c r="N2962" i="6"/>
  <c r="M2962" i="6"/>
  <c r="B2962" i="6"/>
  <c r="AE2961" i="6"/>
  <c r="AD2961" i="6"/>
  <c r="W2961" i="6"/>
  <c r="T2961" i="6"/>
  <c r="V2961" i="6" s="1"/>
  <c r="S2961" i="6"/>
  <c r="P2961" i="6"/>
  <c r="O2961" i="6"/>
  <c r="N2961" i="6"/>
  <c r="M2961" i="6"/>
  <c r="B2961" i="6"/>
  <c r="AE2960" i="6"/>
  <c r="AD2960" i="6"/>
  <c r="W2960" i="6"/>
  <c r="V2960" i="6"/>
  <c r="T2960" i="6"/>
  <c r="U2960" i="6" s="1"/>
  <c r="S2960" i="6"/>
  <c r="P2960" i="6"/>
  <c r="O2960" i="6"/>
  <c r="N2960" i="6"/>
  <c r="M2960" i="6"/>
  <c r="B2960" i="6"/>
  <c r="AE2959" i="6"/>
  <c r="AD2959" i="6"/>
  <c r="W2959" i="6"/>
  <c r="T2959" i="6"/>
  <c r="V2959" i="6" s="1"/>
  <c r="S2959" i="6"/>
  <c r="P2959" i="6"/>
  <c r="O2959" i="6"/>
  <c r="N2959" i="6"/>
  <c r="M2959" i="6"/>
  <c r="B2959" i="6"/>
  <c r="AE2958" i="6"/>
  <c r="AD2958" i="6"/>
  <c r="W2958" i="6"/>
  <c r="U2958" i="6"/>
  <c r="T2958" i="6"/>
  <c r="V2958" i="6" s="1"/>
  <c r="S2958" i="6"/>
  <c r="P2958" i="6"/>
  <c r="O2958" i="6"/>
  <c r="N2958" i="6"/>
  <c r="M2958" i="6"/>
  <c r="B2958" i="6"/>
  <c r="AE2957" i="6"/>
  <c r="AD2957" i="6"/>
  <c r="W2957" i="6"/>
  <c r="T2957" i="6"/>
  <c r="U2957" i="6" s="1"/>
  <c r="S2957" i="6"/>
  <c r="P2957" i="6"/>
  <c r="O2957" i="6"/>
  <c r="N2957" i="6"/>
  <c r="M2957" i="6"/>
  <c r="B2957" i="6"/>
  <c r="AE2956" i="6"/>
  <c r="AD2956" i="6"/>
  <c r="W2956" i="6"/>
  <c r="U2956" i="6"/>
  <c r="T2956" i="6"/>
  <c r="V2956" i="6" s="1"/>
  <c r="S2956" i="6"/>
  <c r="P2956" i="6"/>
  <c r="O2956" i="6"/>
  <c r="N2956" i="6"/>
  <c r="M2956" i="6"/>
  <c r="B2956" i="6"/>
  <c r="AE2955" i="6"/>
  <c r="AD2955" i="6"/>
  <c r="W2955" i="6"/>
  <c r="V2955" i="6"/>
  <c r="T2955" i="6"/>
  <c r="U2955" i="6" s="1"/>
  <c r="S2955" i="6"/>
  <c r="P2955" i="6"/>
  <c r="O2955" i="6"/>
  <c r="N2955" i="6"/>
  <c r="M2955" i="6"/>
  <c r="B2955" i="6"/>
  <c r="AE2954" i="6"/>
  <c r="AD2954" i="6"/>
  <c r="W2954" i="6"/>
  <c r="T2954" i="6"/>
  <c r="V2954" i="6" s="1"/>
  <c r="S2954" i="6"/>
  <c r="P2954" i="6"/>
  <c r="O2954" i="6"/>
  <c r="N2954" i="6"/>
  <c r="M2954" i="6"/>
  <c r="B2954" i="6"/>
  <c r="AE2953" i="6"/>
  <c r="AD2953" i="6"/>
  <c r="W2953" i="6"/>
  <c r="U2953" i="6"/>
  <c r="T2953" i="6"/>
  <c r="V2953" i="6" s="1"/>
  <c r="S2953" i="6"/>
  <c r="P2953" i="6"/>
  <c r="O2953" i="6"/>
  <c r="N2953" i="6"/>
  <c r="M2953" i="6"/>
  <c r="B2953" i="6"/>
  <c r="AE2952" i="6"/>
  <c r="AD2952" i="6"/>
  <c r="W2952" i="6"/>
  <c r="V2952" i="6"/>
  <c r="T2952" i="6"/>
  <c r="U2952" i="6" s="1"/>
  <c r="S2952" i="6"/>
  <c r="P2952" i="6"/>
  <c r="O2952" i="6"/>
  <c r="N2952" i="6"/>
  <c r="M2952" i="6"/>
  <c r="B2952" i="6"/>
  <c r="AE2951" i="6"/>
  <c r="AD2951" i="6"/>
  <c r="W2951" i="6"/>
  <c r="T2951" i="6"/>
  <c r="V2951" i="6" s="1"/>
  <c r="S2951" i="6"/>
  <c r="P2951" i="6"/>
  <c r="O2951" i="6"/>
  <c r="N2951" i="6"/>
  <c r="M2951" i="6"/>
  <c r="B2951" i="6"/>
  <c r="AE2950" i="6"/>
  <c r="AD2950" i="6"/>
  <c r="W2950" i="6"/>
  <c r="V2950" i="6"/>
  <c r="T2950" i="6"/>
  <c r="U2950" i="6" s="1"/>
  <c r="S2950" i="6"/>
  <c r="P2950" i="6"/>
  <c r="O2950" i="6"/>
  <c r="N2950" i="6"/>
  <c r="M2950" i="6"/>
  <c r="B2950" i="6"/>
  <c r="AE2949" i="6"/>
  <c r="AD2949" i="6"/>
  <c r="W2949" i="6"/>
  <c r="T2949" i="6"/>
  <c r="V2949" i="6" s="1"/>
  <c r="S2949" i="6"/>
  <c r="P2949" i="6"/>
  <c r="O2949" i="6"/>
  <c r="N2949" i="6"/>
  <c r="M2949" i="6"/>
  <c r="B2949" i="6"/>
  <c r="AE2948" i="6"/>
  <c r="AD2948" i="6"/>
  <c r="W2948" i="6"/>
  <c r="U2948" i="6"/>
  <c r="T2948" i="6"/>
  <c r="V2948" i="6" s="1"/>
  <c r="S2948" i="6"/>
  <c r="P2948" i="6"/>
  <c r="O2948" i="6"/>
  <c r="N2948" i="6"/>
  <c r="M2948" i="6"/>
  <c r="B2948" i="6"/>
  <c r="AE2947" i="6"/>
  <c r="AD2947" i="6"/>
  <c r="W2947" i="6"/>
  <c r="T2947" i="6"/>
  <c r="U2947" i="6" s="1"/>
  <c r="S2947" i="6"/>
  <c r="P2947" i="6"/>
  <c r="O2947" i="6"/>
  <c r="N2947" i="6"/>
  <c r="M2947" i="6"/>
  <c r="B2947" i="6"/>
  <c r="AE2946" i="6"/>
  <c r="AD2946" i="6"/>
  <c r="W2946" i="6"/>
  <c r="U2946" i="6"/>
  <c r="T2946" i="6"/>
  <c r="V2946" i="6" s="1"/>
  <c r="S2946" i="6"/>
  <c r="P2946" i="6"/>
  <c r="O2946" i="6"/>
  <c r="N2946" i="6"/>
  <c r="M2946" i="6"/>
  <c r="B2946" i="6"/>
  <c r="AE2945" i="6"/>
  <c r="AD2945" i="6"/>
  <c r="W2945" i="6"/>
  <c r="V2945" i="6"/>
  <c r="T2945" i="6"/>
  <c r="U2945" i="6" s="1"/>
  <c r="S2945" i="6"/>
  <c r="P2945" i="6"/>
  <c r="O2945" i="6"/>
  <c r="N2945" i="6"/>
  <c r="M2945" i="6"/>
  <c r="B2945" i="6"/>
  <c r="AE2944" i="6"/>
  <c r="AD2944" i="6"/>
  <c r="W2944" i="6"/>
  <c r="T2944" i="6"/>
  <c r="V2944" i="6" s="1"/>
  <c r="S2944" i="6"/>
  <c r="P2944" i="6"/>
  <c r="O2944" i="6"/>
  <c r="N2944" i="6"/>
  <c r="M2944" i="6"/>
  <c r="B2944" i="6"/>
  <c r="AE2943" i="6"/>
  <c r="AD2943" i="6"/>
  <c r="W2943" i="6"/>
  <c r="U2943" i="6"/>
  <c r="T2943" i="6"/>
  <c r="V2943" i="6" s="1"/>
  <c r="S2943" i="6"/>
  <c r="P2943" i="6"/>
  <c r="O2943" i="6"/>
  <c r="N2943" i="6"/>
  <c r="M2943" i="6"/>
  <c r="B2943" i="6"/>
  <c r="AE2942" i="6"/>
  <c r="AD2942" i="6"/>
  <c r="W2942" i="6"/>
  <c r="V2942" i="6"/>
  <c r="T2942" i="6"/>
  <c r="U2942" i="6" s="1"/>
  <c r="S2942" i="6"/>
  <c r="P2942" i="6"/>
  <c r="O2942" i="6"/>
  <c r="N2942" i="6"/>
  <c r="M2942" i="6"/>
  <c r="B2942" i="6"/>
  <c r="AE2941" i="6"/>
  <c r="AD2941" i="6"/>
  <c r="W2941" i="6"/>
  <c r="T2941" i="6"/>
  <c r="V2941" i="6" s="1"/>
  <c r="S2941" i="6"/>
  <c r="P2941" i="6"/>
  <c r="O2941" i="6"/>
  <c r="N2941" i="6"/>
  <c r="M2941" i="6"/>
  <c r="B2941" i="6"/>
  <c r="AE2940" i="6"/>
  <c r="AD2940" i="6"/>
  <c r="W2940" i="6"/>
  <c r="V2940" i="6"/>
  <c r="T2940" i="6"/>
  <c r="U2940" i="6" s="1"/>
  <c r="S2940" i="6"/>
  <c r="P2940" i="6"/>
  <c r="O2940" i="6"/>
  <c r="N2940" i="6"/>
  <c r="M2940" i="6"/>
  <c r="B2940" i="6"/>
  <c r="AE2939" i="6"/>
  <c r="AD2939" i="6"/>
  <c r="W2939" i="6"/>
  <c r="T2939" i="6"/>
  <c r="V2939" i="6" s="1"/>
  <c r="S2939" i="6"/>
  <c r="P2939" i="6"/>
  <c r="O2939" i="6"/>
  <c r="N2939" i="6"/>
  <c r="M2939" i="6"/>
  <c r="B2939" i="6"/>
  <c r="AE2938" i="6"/>
  <c r="AD2938" i="6"/>
  <c r="W2938" i="6"/>
  <c r="U2938" i="6"/>
  <c r="T2938" i="6"/>
  <c r="V2938" i="6" s="1"/>
  <c r="S2938" i="6"/>
  <c r="P2938" i="6"/>
  <c r="O2938" i="6"/>
  <c r="N2938" i="6"/>
  <c r="M2938" i="6"/>
  <c r="B2938" i="6"/>
  <c r="AE2937" i="6"/>
  <c r="AD2937" i="6"/>
  <c r="W2937" i="6"/>
  <c r="T2937" i="6"/>
  <c r="U2937" i="6" s="1"/>
  <c r="S2937" i="6"/>
  <c r="P2937" i="6"/>
  <c r="O2937" i="6"/>
  <c r="N2937" i="6"/>
  <c r="M2937" i="6"/>
  <c r="B2937" i="6"/>
  <c r="AE2936" i="6"/>
  <c r="AD2936" i="6"/>
  <c r="W2936" i="6"/>
  <c r="U2936" i="6"/>
  <c r="T2936" i="6"/>
  <c r="V2936" i="6" s="1"/>
  <c r="S2936" i="6"/>
  <c r="P2936" i="6"/>
  <c r="O2936" i="6"/>
  <c r="N2936" i="6"/>
  <c r="M2936" i="6"/>
  <c r="B2936" i="6"/>
  <c r="AE2935" i="6"/>
  <c r="AD2935" i="6"/>
  <c r="W2935" i="6"/>
  <c r="V2935" i="6"/>
  <c r="T2935" i="6"/>
  <c r="U2935" i="6" s="1"/>
  <c r="S2935" i="6"/>
  <c r="P2935" i="6"/>
  <c r="O2935" i="6"/>
  <c r="N2935" i="6"/>
  <c r="M2935" i="6"/>
  <c r="B2935" i="6"/>
  <c r="AE2934" i="6"/>
  <c r="AD2934" i="6"/>
  <c r="W2934" i="6"/>
  <c r="T2934" i="6"/>
  <c r="V2934" i="6" s="1"/>
  <c r="S2934" i="6"/>
  <c r="P2934" i="6"/>
  <c r="O2934" i="6"/>
  <c r="N2934" i="6"/>
  <c r="M2934" i="6"/>
  <c r="B2934" i="6"/>
  <c r="AE2933" i="6"/>
  <c r="AD2933" i="6"/>
  <c r="W2933" i="6"/>
  <c r="U2933" i="6"/>
  <c r="T2933" i="6"/>
  <c r="V2933" i="6" s="1"/>
  <c r="S2933" i="6"/>
  <c r="P2933" i="6"/>
  <c r="O2933" i="6"/>
  <c r="N2933" i="6"/>
  <c r="M2933" i="6"/>
  <c r="B2933" i="6"/>
  <c r="AE2932" i="6"/>
  <c r="AD2932" i="6"/>
  <c r="W2932" i="6"/>
  <c r="V2932" i="6"/>
  <c r="T2932" i="6"/>
  <c r="U2932" i="6" s="1"/>
  <c r="S2932" i="6"/>
  <c r="P2932" i="6"/>
  <c r="O2932" i="6"/>
  <c r="N2932" i="6"/>
  <c r="M2932" i="6"/>
  <c r="B2932" i="6"/>
  <c r="AE2931" i="6"/>
  <c r="AD2931" i="6"/>
  <c r="W2931" i="6"/>
  <c r="T2931" i="6"/>
  <c r="V2931" i="6" s="1"/>
  <c r="S2931" i="6"/>
  <c r="P2931" i="6"/>
  <c r="O2931" i="6"/>
  <c r="N2931" i="6"/>
  <c r="M2931" i="6"/>
  <c r="B2931" i="6"/>
  <c r="AE2930" i="6"/>
  <c r="AD2930" i="6"/>
  <c r="W2930" i="6"/>
  <c r="V2930" i="6"/>
  <c r="T2930" i="6"/>
  <c r="U2930" i="6" s="1"/>
  <c r="S2930" i="6"/>
  <c r="P2930" i="6"/>
  <c r="O2930" i="6"/>
  <c r="N2930" i="6"/>
  <c r="M2930" i="6"/>
  <c r="B2930" i="6"/>
  <c r="AE2929" i="6"/>
  <c r="AD2929" i="6"/>
  <c r="W2929" i="6"/>
  <c r="T2929" i="6"/>
  <c r="V2929" i="6" s="1"/>
  <c r="S2929" i="6"/>
  <c r="P2929" i="6"/>
  <c r="O2929" i="6"/>
  <c r="N2929" i="6"/>
  <c r="M2929" i="6"/>
  <c r="B2929" i="6"/>
  <c r="AE2928" i="6"/>
  <c r="AD2928" i="6"/>
  <c r="W2928" i="6"/>
  <c r="U2928" i="6"/>
  <c r="T2928" i="6"/>
  <c r="V2928" i="6" s="1"/>
  <c r="S2928" i="6"/>
  <c r="P2928" i="6"/>
  <c r="O2928" i="6"/>
  <c r="N2928" i="6"/>
  <c r="M2928" i="6"/>
  <c r="B2928" i="6"/>
  <c r="AE2927" i="6"/>
  <c r="AD2927" i="6"/>
  <c r="W2927" i="6"/>
  <c r="T2927" i="6"/>
  <c r="U2927" i="6" s="1"/>
  <c r="S2927" i="6"/>
  <c r="P2927" i="6"/>
  <c r="O2927" i="6"/>
  <c r="N2927" i="6"/>
  <c r="M2927" i="6"/>
  <c r="B2927" i="6"/>
  <c r="AE2926" i="6"/>
  <c r="AD2926" i="6"/>
  <c r="W2926" i="6"/>
  <c r="U2926" i="6"/>
  <c r="T2926" i="6"/>
  <c r="V2926" i="6" s="1"/>
  <c r="S2926" i="6"/>
  <c r="P2926" i="6"/>
  <c r="O2926" i="6"/>
  <c r="N2926" i="6"/>
  <c r="M2926" i="6"/>
  <c r="B2926" i="6"/>
  <c r="AE2925" i="6"/>
  <c r="AD2925" i="6"/>
  <c r="W2925" i="6"/>
  <c r="V2925" i="6"/>
  <c r="T2925" i="6"/>
  <c r="U2925" i="6" s="1"/>
  <c r="S2925" i="6"/>
  <c r="P2925" i="6"/>
  <c r="O2925" i="6"/>
  <c r="N2925" i="6"/>
  <c r="M2925" i="6"/>
  <c r="B2925" i="6"/>
  <c r="AE2924" i="6"/>
  <c r="AD2924" i="6"/>
  <c r="W2924" i="6"/>
  <c r="T2924" i="6"/>
  <c r="V2924" i="6" s="1"/>
  <c r="S2924" i="6"/>
  <c r="P2924" i="6"/>
  <c r="O2924" i="6"/>
  <c r="N2924" i="6"/>
  <c r="M2924" i="6"/>
  <c r="B2924" i="6"/>
  <c r="AE2923" i="6"/>
  <c r="AD2923" i="6"/>
  <c r="W2923" i="6"/>
  <c r="U2923" i="6"/>
  <c r="T2923" i="6"/>
  <c r="V2923" i="6" s="1"/>
  <c r="S2923" i="6"/>
  <c r="P2923" i="6"/>
  <c r="O2923" i="6"/>
  <c r="N2923" i="6"/>
  <c r="M2923" i="6"/>
  <c r="B2923" i="6"/>
  <c r="AE2922" i="6"/>
  <c r="AD2922" i="6"/>
  <c r="W2922" i="6"/>
  <c r="V2922" i="6"/>
  <c r="T2922" i="6"/>
  <c r="U2922" i="6" s="1"/>
  <c r="S2922" i="6"/>
  <c r="P2922" i="6"/>
  <c r="O2922" i="6"/>
  <c r="N2922" i="6"/>
  <c r="M2922" i="6"/>
  <c r="B2922" i="6"/>
  <c r="AE2921" i="6"/>
  <c r="AD2921" i="6"/>
  <c r="W2921" i="6"/>
  <c r="T2921" i="6"/>
  <c r="V2921" i="6" s="1"/>
  <c r="S2921" i="6"/>
  <c r="P2921" i="6"/>
  <c r="O2921" i="6"/>
  <c r="N2921" i="6"/>
  <c r="M2921" i="6"/>
  <c r="B2921" i="6"/>
  <c r="AE2920" i="6"/>
  <c r="AD2920" i="6"/>
  <c r="W2920" i="6"/>
  <c r="V2920" i="6"/>
  <c r="T2920" i="6"/>
  <c r="U2920" i="6" s="1"/>
  <c r="S2920" i="6"/>
  <c r="P2920" i="6"/>
  <c r="O2920" i="6"/>
  <c r="N2920" i="6"/>
  <c r="M2920" i="6"/>
  <c r="B2920" i="6"/>
  <c r="AE2919" i="6"/>
  <c r="AD2919" i="6"/>
  <c r="W2919" i="6"/>
  <c r="T2919" i="6"/>
  <c r="V2919" i="6" s="1"/>
  <c r="S2919" i="6"/>
  <c r="P2919" i="6"/>
  <c r="O2919" i="6"/>
  <c r="N2919" i="6"/>
  <c r="M2919" i="6"/>
  <c r="B2919" i="6"/>
  <c r="AE2918" i="6"/>
  <c r="AD2918" i="6"/>
  <c r="W2918" i="6"/>
  <c r="U2918" i="6"/>
  <c r="T2918" i="6"/>
  <c r="V2918" i="6" s="1"/>
  <c r="S2918" i="6"/>
  <c r="P2918" i="6"/>
  <c r="O2918" i="6"/>
  <c r="N2918" i="6"/>
  <c r="M2918" i="6"/>
  <c r="B2918" i="6"/>
  <c r="AE2917" i="6"/>
  <c r="AD2917" i="6"/>
  <c r="W2917" i="6"/>
  <c r="T2917" i="6"/>
  <c r="U2917" i="6" s="1"/>
  <c r="S2917" i="6"/>
  <c r="P2917" i="6"/>
  <c r="O2917" i="6"/>
  <c r="N2917" i="6"/>
  <c r="M2917" i="6"/>
  <c r="B2917" i="6"/>
  <c r="AE2916" i="6"/>
  <c r="AD2916" i="6"/>
  <c r="W2916" i="6"/>
  <c r="U2916" i="6"/>
  <c r="T2916" i="6"/>
  <c r="V2916" i="6" s="1"/>
  <c r="S2916" i="6"/>
  <c r="P2916" i="6"/>
  <c r="O2916" i="6"/>
  <c r="N2916" i="6"/>
  <c r="M2916" i="6"/>
  <c r="B2916" i="6"/>
  <c r="AE2915" i="6"/>
  <c r="AD2915" i="6"/>
  <c r="W2915" i="6"/>
  <c r="V2915" i="6"/>
  <c r="T2915" i="6"/>
  <c r="U2915" i="6" s="1"/>
  <c r="S2915" i="6"/>
  <c r="P2915" i="6"/>
  <c r="O2915" i="6"/>
  <c r="N2915" i="6"/>
  <c r="M2915" i="6"/>
  <c r="B2915" i="6"/>
  <c r="AE2914" i="6"/>
  <c r="AD2914" i="6"/>
  <c r="W2914" i="6"/>
  <c r="T2914" i="6"/>
  <c r="V2914" i="6" s="1"/>
  <c r="S2914" i="6"/>
  <c r="P2914" i="6"/>
  <c r="O2914" i="6"/>
  <c r="N2914" i="6"/>
  <c r="M2914" i="6"/>
  <c r="B2914" i="6"/>
  <c r="AE2913" i="6"/>
  <c r="AD2913" i="6"/>
  <c r="W2913" i="6"/>
  <c r="U2913" i="6"/>
  <c r="T2913" i="6"/>
  <c r="V2913" i="6" s="1"/>
  <c r="S2913" i="6"/>
  <c r="P2913" i="6"/>
  <c r="O2913" i="6"/>
  <c r="N2913" i="6"/>
  <c r="M2913" i="6"/>
  <c r="B2913" i="6"/>
  <c r="AE2912" i="6"/>
  <c r="AD2912" i="6"/>
  <c r="W2912" i="6"/>
  <c r="V2912" i="6"/>
  <c r="T2912" i="6"/>
  <c r="U2912" i="6" s="1"/>
  <c r="S2912" i="6"/>
  <c r="P2912" i="6"/>
  <c r="O2912" i="6"/>
  <c r="N2912" i="6"/>
  <c r="M2912" i="6"/>
  <c r="B2912" i="6"/>
  <c r="AE2911" i="6"/>
  <c r="AD2911" i="6"/>
  <c r="W2911" i="6"/>
  <c r="T2911" i="6"/>
  <c r="V2911" i="6" s="1"/>
  <c r="S2911" i="6"/>
  <c r="P2911" i="6"/>
  <c r="O2911" i="6"/>
  <c r="N2911" i="6"/>
  <c r="M2911" i="6"/>
  <c r="B2911" i="6"/>
  <c r="AE2910" i="6"/>
  <c r="AD2910" i="6"/>
  <c r="W2910" i="6"/>
  <c r="V2910" i="6"/>
  <c r="T2910" i="6"/>
  <c r="U2910" i="6" s="1"/>
  <c r="S2910" i="6"/>
  <c r="P2910" i="6"/>
  <c r="O2910" i="6"/>
  <c r="N2910" i="6"/>
  <c r="M2910" i="6"/>
  <c r="B2910" i="6"/>
  <c r="AE2909" i="6"/>
  <c r="AD2909" i="6"/>
  <c r="W2909" i="6"/>
  <c r="T2909" i="6"/>
  <c r="V2909" i="6" s="1"/>
  <c r="S2909" i="6"/>
  <c r="P2909" i="6"/>
  <c r="O2909" i="6"/>
  <c r="N2909" i="6"/>
  <c r="M2909" i="6"/>
  <c r="B2909" i="6"/>
  <c r="AE2908" i="6"/>
  <c r="AD2908" i="6"/>
  <c r="W2908" i="6"/>
  <c r="U2908" i="6"/>
  <c r="T2908" i="6"/>
  <c r="V2908" i="6" s="1"/>
  <c r="S2908" i="6"/>
  <c r="P2908" i="6"/>
  <c r="O2908" i="6"/>
  <c r="N2908" i="6"/>
  <c r="M2908" i="6"/>
  <c r="B2908" i="6"/>
  <c r="AE2907" i="6"/>
  <c r="AD2907" i="6"/>
  <c r="W2907" i="6"/>
  <c r="T2907" i="6"/>
  <c r="U2907" i="6" s="1"/>
  <c r="S2907" i="6"/>
  <c r="P2907" i="6"/>
  <c r="O2907" i="6"/>
  <c r="N2907" i="6"/>
  <c r="M2907" i="6"/>
  <c r="B2907" i="6"/>
  <c r="AE2906" i="6"/>
  <c r="AD2906" i="6"/>
  <c r="W2906" i="6"/>
  <c r="U2906" i="6"/>
  <c r="T2906" i="6"/>
  <c r="V2906" i="6" s="1"/>
  <c r="S2906" i="6"/>
  <c r="P2906" i="6"/>
  <c r="O2906" i="6"/>
  <c r="N2906" i="6"/>
  <c r="M2906" i="6"/>
  <c r="B2906" i="6"/>
  <c r="AE2905" i="6"/>
  <c r="AD2905" i="6"/>
  <c r="W2905" i="6"/>
  <c r="V2905" i="6"/>
  <c r="T2905" i="6"/>
  <c r="U2905" i="6" s="1"/>
  <c r="S2905" i="6"/>
  <c r="P2905" i="6"/>
  <c r="O2905" i="6"/>
  <c r="N2905" i="6"/>
  <c r="M2905" i="6"/>
  <c r="B2905" i="6"/>
  <c r="AE2904" i="6"/>
  <c r="AD2904" i="6"/>
  <c r="W2904" i="6"/>
  <c r="T2904" i="6"/>
  <c r="V2904" i="6" s="1"/>
  <c r="S2904" i="6"/>
  <c r="P2904" i="6"/>
  <c r="O2904" i="6"/>
  <c r="N2904" i="6"/>
  <c r="M2904" i="6"/>
  <c r="B2904" i="6"/>
  <c r="AE2903" i="6"/>
  <c r="AD2903" i="6"/>
  <c r="W2903" i="6"/>
  <c r="U2903" i="6"/>
  <c r="T2903" i="6"/>
  <c r="V2903" i="6" s="1"/>
  <c r="S2903" i="6"/>
  <c r="P2903" i="6"/>
  <c r="O2903" i="6"/>
  <c r="N2903" i="6"/>
  <c r="M2903" i="6"/>
  <c r="B2903" i="6"/>
  <c r="AE2902" i="6"/>
  <c r="AD2902" i="6"/>
  <c r="W2902" i="6"/>
  <c r="V2902" i="6"/>
  <c r="T2902" i="6"/>
  <c r="U2902" i="6" s="1"/>
  <c r="S2902" i="6"/>
  <c r="P2902" i="6"/>
  <c r="O2902" i="6"/>
  <c r="N2902" i="6"/>
  <c r="M2902" i="6"/>
  <c r="B2902" i="6"/>
  <c r="AE2901" i="6"/>
  <c r="AD2901" i="6"/>
  <c r="W2901" i="6"/>
  <c r="T2901" i="6"/>
  <c r="V2901" i="6" s="1"/>
  <c r="S2901" i="6"/>
  <c r="P2901" i="6"/>
  <c r="O2901" i="6"/>
  <c r="N2901" i="6"/>
  <c r="M2901" i="6"/>
  <c r="B2901" i="6"/>
  <c r="AE2900" i="6"/>
  <c r="AD2900" i="6"/>
  <c r="W2900" i="6"/>
  <c r="V2900" i="6"/>
  <c r="T2900" i="6"/>
  <c r="U2900" i="6" s="1"/>
  <c r="S2900" i="6"/>
  <c r="P2900" i="6"/>
  <c r="O2900" i="6"/>
  <c r="N2900" i="6"/>
  <c r="M2900" i="6"/>
  <c r="B2900" i="6"/>
  <c r="AE2899" i="6"/>
  <c r="AD2899" i="6"/>
  <c r="W2899" i="6"/>
  <c r="T2899" i="6"/>
  <c r="V2899" i="6" s="1"/>
  <c r="S2899" i="6"/>
  <c r="P2899" i="6"/>
  <c r="O2899" i="6"/>
  <c r="N2899" i="6"/>
  <c r="M2899" i="6"/>
  <c r="B2899" i="6"/>
  <c r="AE2898" i="6"/>
  <c r="AD2898" i="6"/>
  <c r="W2898" i="6"/>
  <c r="U2898" i="6"/>
  <c r="T2898" i="6"/>
  <c r="V2898" i="6" s="1"/>
  <c r="S2898" i="6"/>
  <c r="P2898" i="6"/>
  <c r="O2898" i="6"/>
  <c r="N2898" i="6"/>
  <c r="M2898" i="6"/>
  <c r="B2898" i="6"/>
  <c r="AE2897" i="6"/>
  <c r="AD2897" i="6"/>
  <c r="W2897" i="6"/>
  <c r="T2897" i="6"/>
  <c r="U2897" i="6" s="1"/>
  <c r="S2897" i="6"/>
  <c r="P2897" i="6"/>
  <c r="O2897" i="6"/>
  <c r="N2897" i="6"/>
  <c r="M2897" i="6"/>
  <c r="B2897" i="6"/>
  <c r="AE2896" i="6"/>
  <c r="AD2896" i="6"/>
  <c r="W2896" i="6"/>
  <c r="U2896" i="6"/>
  <c r="T2896" i="6"/>
  <c r="V2896" i="6" s="1"/>
  <c r="S2896" i="6"/>
  <c r="P2896" i="6"/>
  <c r="O2896" i="6"/>
  <c r="N2896" i="6"/>
  <c r="M2896" i="6"/>
  <c r="B2896" i="6"/>
  <c r="AE2895" i="6"/>
  <c r="AD2895" i="6"/>
  <c r="W2895" i="6"/>
  <c r="V2895" i="6"/>
  <c r="T2895" i="6"/>
  <c r="U2895" i="6" s="1"/>
  <c r="S2895" i="6"/>
  <c r="P2895" i="6"/>
  <c r="O2895" i="6"/>
  <c r="N2895" i="6"/>
  <c r="M2895" i="6"/>
  <c r="B2895" i="6"/>
  <c r="AE2894" i="6"/>
  <c r="AD2894" i="6"/>
  <c r="W2894" i="6"/>
  <c r="T2894" i="6"/>
  <c r="V2894" i="6" s="1"/>
  <c r="S2894" i="6"/>
  <c r="P2894" i="6"/>
  <c r="O2894" i="6"/>
  <c r="N2894" i="6"/>
  <c r="M2894" i="6"/>
  <c r="B2894" i="6"/>
  <c r="AE2893" i="6"/>
  <c r="AD2893" i="6"/>
  <c r="W2893" i="6"/>
  <c r="U2893" i="6"/>
  <c r="T2893" i="6"/>
  <c r="V2893" i="6" s="1"/>
  <c r="S2893" i="6"/>
  <c r="P2893" i="6"/>
  <c r="O2893" i="6"/>
  <c r="N2893" i="6"/>
  <c r="M2893" i="6"/>
  <c r="B2893" i="6"/>
  <c r="AE2892" i="6"/>
  <c r="AD2892" i="6"/>
  <c r="W2892" i="6"/>
  <c r="V2892" i="6"/>
  <c r="T2892" i="6"/>
  <c r="U2892" i="6" s="1"/>
  <c r="S2892" i="6"/>
  <c r="P2892" i="6"/>
  <c r="O2892" i="6"/>
  <c r="N2892" i="6"/>
  <c r="M2892" i="6"/>
  <c r="B2892" i="6"/>
  <c r="AE2891" i="6"/>
  <c r="AD2891" i="6"/>
  <c r="W2891" i="6"/>
  <c r="T2891" i="6"/>
  <c r="V2891" i="6" s="1"/>
  <c r="S2891" i="6"/>
  <c r="P2891" i="6"/>
  <c r="O2891" i="6"/>
  <c r="N2891" i="6"/>
  <c r="M2891" i="6"/>
  <c r="B2891" i="6"/>
  <c r="AE2890" i="6"/>
  <c r="AD2890" i="6"/>
  <c r="W2890" i="6"/>
  <c r="V2890" i="6"/>
  <c r="T2890" i="6"/>
  <c r="U2890" i="6" s="1"/>
  <c r="S2890" i="6"/>
  <c r="P2890" i="6"/>
  <c r="O2890" i="6"/>
  <c r="N2890" i="6"/>
  <c r="M2890" i="6"/>
  <c r="B2890" i="6"/>
  <c r="AE2889" i="6"/>
  <c r="AD2889" i="6"/>
  <c r="W2889" i="6"/>
  <c r="T2889" i="6"/>
  <c r="V2889" i="6" s="1"/>
  <c r="S2889" i="6"/>
  <c r="P2889" i="6"/>
  <c r="O2889" i="6"/>
  <c r="N2889" i="6"/>
  <c r="M2889" i="6"/>
  <c r="B2889" i="6"/>
  <c r="AE2888" i="6"/>
  <c r="AD2888" i="6"/>
  <c r="W2888" i="6"/>
  <c r="T2888" i="6"/>
  <c r="V2888" i="6" s="1"/>
  <c r="S2888" i="6"/>
  <c r="P2888" i="6"/>
  <c r="O2888" i="6"/>
  <c r="N2888" i="6"/>
  <c r="M2888" i="6"/>
  <c r="B2888" i="6"/>
  <c r="AE2887" i="6"/>
  <c r="AD2887" i="6"/>
  <c r="W2887" i="6"/>
  <c r="U2887" i="6"/>
  <c r="T2887" i="6"/>
  <c r="V2887" i="6" s="1"/>
  <c r="S2887" i="6"/>
  <c r="P2887" i="6"/>
  <c r="O2887" i="6"/>
  <c r="N2887" i="6"/>
  <c r="M2887" i="6"/>
  <c r="B2887" i="6"/>
  <c r="AE2886" i="6"/>
  <c r="AD2886" i="6"/>
  <c r="W2886" i="6"/>
  <c r="U2886" i="6"/>
  <c r="T2886" i="6"/>
  <c r="V2886" i="6" s="1"/>
  <c r="S2886" i="6"/>
  <c r="P2886" i="6"/>
  <c r="O2886" i="6"/>
  <c r="N2886" i="6"/>
  <c r="M2886" i="6"/>
  <c r="B2886" i="6"/>
  <c r="AE2885" i="6"/>
  <c r="AD2885" i="6"/>
  <c r="W2885" i="6"/>
  <c r="V2885" i="6"/>
  <c r="T2885" i="6"/>
  <c r="U2885" i="6" s="1"/>
  <c r="S2885" i="6"/>
  <c r="P2885" i="6"/>
  <c r="O2885" i="6"/>
  <c r="N2885" i="6"/>
  <c r="M2885" i="6"/>
  <c r="B2885" i="6"/>
  <c r="AE2884" i="6"/>
  <c r="AD2884" i="6"/>
  <c r="W2884" i="6"/>
  <c r="T2884" i="6"/>
  <c r="V2884" i="6" s="1"/>
  <c r="S2884" i="6"/>
  <c r="P2884" i="6"/>
  <c r="O2884" i="6"/>
  <c r="N2884" i="6"/>
  <c r="M2884" i="6"/>
  <c r="B2884" i="6"/>
  <c r="AE2883" i="6"/>
  <c r="AD2883" i="6"/>
  <c r="W2883" i="6"/>
  <c r="T2883" i="6"/>
  <c r="V2883" i="6" s="1"/>
  <c r="S2883" i="6"/>
  <c r="P2883" i="6"/>
  <c r="O2883" i="6"/>
  <c r="N2883" i="6"/>
  <c r="M2883" i="6"/>
  <c r="B2883" i="6"/>
  <c r="AE2882" i="6"/>
  <c r="AD2882" i="6"/>
  <c r="W2882" i="6"/>
  <c r="T2882" i="6"/>
  <c r="V2882" i="6" s="1"/>
  <c r="S2882" i="6"/>
  <c r="P2882" i="6"/>
  <c r="O2882" i="6"/>
  <c r="N2882" i="6"/>
  <c r="M2882" i="6"/>
  <c r="B2882" i="6"/>
  <c r="AE2881" i="6"/>
  <c r="AD2881" i="6"/>
  <c r="W2881" i="6"/>
  <c r="V2881" i="6"/>
  <c r="T2881" i="6"/>
  <c r="U2881" i="6" s="1"/>
  <c r="S2881" i="6"/>
  <c r="P2881" i="6"/>
  <c r="O2881" i="6"/>
  <c r="N2881" i="6"/>
  <c r="M2881" i="6"/>
  <c r="B2881" i="6"/>
  <c r="AE2880" i="6"/>
  <c r="AD2880" i="6"/>
  <c r="W2880" i="6"/>
  <c r="V2880" i="6"/>
  <c r="T2880" i="6"/>
  <c r="U2880" i="6" s="1"/>
  <c r="S2880" i="6"/>
  <c r="P2880" i="6"/>
  <c r="O2880" i="6"/>
  <c r="N2880" i="6"/>
  <c r="M2880" i="6"/>
  <c r="B2880" i="6"/>
  <c r="AE2879" i="6"/>
  <c r="AD2879" i="6"/>
  <c r="W2879" i="6"/>
  <c r="T2879" i="6"/>
  <c r="V2879" i="6" s="1"/>
  <c r="S2879" i="6"/>
  <c r="P2879" i="6"/>
  <c r="O2879" i="6"/>
  <c r="N2879" i="6"/>
  <c r="M2879" i="6"/>
  <c r="B2879" i="6"/>
  <c r="AE2878" i="6"/>
  <c r="AD2878" i="6"/>
  <c r="W2878" i="6"/>
  <c r="U2878" i="6"/>
  <c r="T2878" i="6"/>
  <c r="V2878" i="6" s="1"/>
  <c r="S2878" i="6"/>
  <c r="P2878" i="6"/>
  <c r="O2878" i="6"/>
  <c r="N2878" i="6"/>
  <c r="M2878" i="6"/>
  <c r="B2878" i="6"/>
  <c r="AE2877" i="6"/>
  <c r="AD2877" i="6"/>
  <c r="W2877" i="6"/>
  <c r="U2877" i="6"/>
  <c r="T2877" i="6"/>
  <c r="V2877" i="6" s="1"/>
  <c r="S2877" i="6"/>
  <c r="P2877" i="6"/>
  <c r="O2877" i="6"/>
  <c r="N2877" i="6"/>
  <c r="M2877" i="6"/>
  <c r="B2877" i="6"/>
  <c r="AE2876" i="6"/>
  <c r="AD2876" i="6"/>
  <c r="W2876" i="6"/>
  <c r="V2876" i="6"/>
  <c r="T2876" i="6"/>
  <c r="U2876" i="6" s="1"/>
  <c r="S2876" i="6"/>
  <c r="P2876" i="6"/>
  <c r="O2876" i="6"/>
  <c r="N2876" i="6"/>
  <c r="M2876" i="6"/>
  <c r="B2876" i="6"/>
  <c r="AE2875" i="6"/>
  <c r="AD2875" i="6"/>
  <c r="W2875" i="6"/>
  <c r="V2875" i="6"/>
  <c r="T2875" i="6"/>
  <c r="U2875" i="6" s="1"/>
  <c r="S2875" i="6"/>
  <c r="P2875" i="6"/>
  <c r="O2875" i="6"/>
  <c r="N2875" i="6"/>
  <c r="M2875" i="6"/>
  <c r="B2875" i="6"/>
  <c r="AE2874" i="6"/>
  <c r="AD2874" i="6"/>
  <c r="W2874" i="6"/>
  <c r="T2874" i="6"/>
  <c r="V2874" i="6" s="1"/>
  <c r="S2874" i="6"/>
  <c r="P2874" i="6"/>
  <c r="O2874" i="6"/>
  <c r="N2874" i="6"/>
  <c r="M2874" i="6"/>
  <c r="B2874" i="6"/>
  <c r="AE2873" i="6"/>
  <c r="AD2873" i="6"/>
  <c r="W2873" i="6"/>
  <c r="T2873" i="6"/>
  <c r="V2873" i="6" s="1"/>
  <c r="S2873" i="6"/>
  <c r="P2873" i="6"/>
  <c r="O2873" i="6"/>
  <c r="N2873" i="6"/>
  <c r="M2873" i="6"/>
  <c r="B2873" i="6"/>
  <c r="AE2872" i="6"/>
  <c r="AD2872" i="6"/>
  <c r="W2872" i="6"/>
  <c r="V2872" i="6"/>
  <c r="T2872" i="6"/>
  <c r="U2872" i="6" s="1"/>
  <c r="S2872" i="6"/>
  <c r="P2872" i="6"/>
  <c r="O2872" i="6"/>
  <c r="N2872" i="6"/>
  <c r="M2872" i="6"/>
  <c r="B2872" i="6"/>
  <c r="AE2871" i="6"/>
  <c r="AD2871" i="6"/>
  <c r="W2871" i="6"/>
  <c r="U2871" i="6"/>
  <c r="T2871" i="6"/>
  <c r="V2871" i="6" s="1"/>
  <c r="S2871" i="6"/>
  <c r="P2871" i="6"/>
  <c r="O2871" i="6"/>
  <c r="N2871" i="6"/>
  <c r="M2871" i="6"/>
  <c r="B2871" i="6"/>
  <c r="AE2870" i="6"/>
  <c r="AD2870" i="6"/>
  <c r="W2870" i="6"/>
  <c r="V2870" i="6"/>
  <c r="T2870" i="6"/>
  <c r="U2870" i="6" s="1"/>
  <c r="S2870" i="6"/>
  <c r="P2870" i="6"/>
  <c r="O2870" i="6"/>
  <c r="N2870" i="6"/>
  <c r="M2870" i="6"/>
  <c r="B2870" i="6"/>
  <c r="AE2869" i="6"/>
  <c r="AD2869" i="6"/>
  <c r="W2869" i="6"/>
  <c r="T2869" i="6"/>
  <c r="V2869" i="6" s="1"/>
  <c r="S2869" i="6"/>
  <c r="P2869" i="6"/>
  <c r="O2869" i="6"/>
  <c r="N2869" i="6"/>
  <c r="M2869" i="6"/>
  <c r="B2869" i="6"/>
  <c r="AE2868" i="6"/>
  <c r="AD2868" i="6"/>
  <c r="W2868" i="6"/>
  <c r="U2868" i="6"/>
  <c r="T2868" i="6"/>
  <c r="V2868" i="6" s="1"/>
  <c r="S2868" i="6"/>
  <c r="P2868" i="6"/>
  <c r="O2868" i="6"/>
  <c r="N2868" i="6"/>
  <c r="M2868" i="6"/>
  <c r="B2868" i="6"/>
  <c r="AE2867" i="6"/>
  <c r="AD2867" i="6"/>
  <c r="W2867" i="6"/>
  <c r="V2867" i="6"/>
  <c r="T2867" i="6"/>
  <c r="U2867" i="6" s="1"/>
  <c r="S2867" i="6"/>
  <c r="P2867" i="6"/>
  <c r="O2867" i="6"/>
  <c r="N2867" i="6"/>
  <c r="M2867" i="6"/>
  <c r="B2867" i="6"/>
  <c r="AE2866" i="6"/>
  <c r="AD2866" i="6"/>
  <c r="W2866" i="6"/>
  <c r="T2866" i="6"/>
  <c r="V2866" i="6" s="1"/>
  <c r="S2866" i="6"/>
  <c r="P2866" i="6"/>
  <c r="O2866" i="6"/>
  <c r="N2866" i="6"/>
  <c r="M2866" i="6"/>
  <c r="B2866" i="6"/>
  <c r="AE2865" i="6"/>
  <c r="AD2865" i="6"/>
  <c r="W2865" i="6"/>
  <c r="V2865" i="6"/>
  <c r="T2865" i="6"/>
  <c r="U2865" i="6" s="1"/>
  <c r="S2865" i="6"/>
  <c r="P2865" i="6"/>
  <c r="O2865" i="6"/>
  <c r="N2865" i="6"/>
  <c r="M2865" i="6"/>
  <c r="B2865" i="6"/>
  <c r="AE2864" i="6"/>
  <c r="AD2864" i="6"/>
  <c r="W2864" i="6"/>
  <c r="T2864" i="6"/>
  <c r="V2864" i="6" s="1"/>
  <c r="S2864" i="6"/>
  <c r="P2864" i="6"/>
  <c r="O2864" i="6"/>
  <c r="N2864" i="6"/>
  <c r="M2864" i="6"/>
  <c r="B2864" i="6"/>
  <c r="AE2863" i="6"/>
  <c r="AD2863" i="6"/>
  <c r="W2863" i="6"/>
  <c r="T2863" i="6"/>
  <c r="V2863" i="6" s="1"/>
  <c r="S2863" i="6"/>
  <c r="P2863" i="6"/>
  <c r="O2863" i="6"/>
  <c r="N2863" i="6"/>
  <c r="M2863" i="6"/>
  <c r="B2863" i="6"/>
  <c r="AE2862" i="6"/>
  <c r="AD2862" i="6"/>
  <c r="W2862" i="6"/>
  <c r="U2862" i="6"/>
  <c r="T2862" i="6"/>
  <c r="V2862" i="6" s="1"/>
  <c r="S2862" i="6"/>
  <c r="P2862" i="6"/>
  <c r="O2862" i="6"/>
  <c r="N2862" i="6"/>
  <c r="M2862" i="6"/>
  <c r="B2862" i="6"/>
  <c r="AE2861" i="6"/>
  <c r="AD2861" i="6"/>
  <c r="W2861" i="6"/>
  <c r="U2861" i="6"/>
  <c r="T2861" i="6"/>
  <c r="V2861" i="6" s="1"/>
  <c r="S2861" i="6"/>
  <c r="P2861" i="6"/>
  <c r="O2861" i="6"/>
  <c r="N2861" i="6"/>
  <c r="M2861" i="6"/>
  <c r="B2861" i="6"/>
  <c r="AE2860" i="6"/>
  <c r="AD2860" i="6"/>
  <c r="W2860" i="6"/>
  <c r="V2860" i="6"/>
  <c r="T2860" i="6"/>
  <c r="U2860" i="6" s="1"/>
  <c r="S2860" i="6"/>
  <c r="P2860" i="6"/>
  <c r="O2860" i="6"/>
  <c r="N2860" i="6"/>
  <c r="M2860" i="6"/>
  <c r="B2860" i="6"/>
  <c r="AE2859" i="6"/>
  <c r="AD2859" i="6"/>
  <c r="W2859" i="6"/>
  <c r="T2859" i="6"/>
  <c r="V2859" i="6" s="1"/>
  <c r="S2859" i="6"/>
  <c r="P2859" i="6"/>
  <c r="O2859" i="6"/>
  <c r="N2859" i="6"/>
  <c r="M2859" i="6"/>
  <c r="B2859" i="6"/>
  <c r="AE2858" i="6"/>
  <c r="AD2858" i="6"/>
  <c r="W2858" i="6"/>
  <c r="T2858" i="6"/>
  <c r="V2858" i="6" s="1"/>
  <c r="S2858" i="6"/>
  <c r="P2858" i="6"/>
  <c r="O2858" i="6"/>
  <c r="N2858" i="6"/>
  <c r="M2858" i="6"/>
  <c r="B2858" i="6"/>
  <c r="AE2857" i="6"/>
  <c r="AD2857" i="6"/>
  <c r="W2857" i="6"/>
  <c r="T2857" i="6"/>
  <c r="V2857" i="6" s="1"/>
  <c r="S2857" i="6"/>
  <c r="P2857" i="6"/>
  <c r="O2857" i="6"/>
  <c r="N2857" i="6"/>
  <c r="M2857" i="6"/>
  <c r="B2857" i="6"/>
  <c r="AE2856" i="6"/>
  <c r="AD2856" i="6"/>
  <c r="W2856" i="6"/>
  <c r="V2856" i="6"/>
  <c r="T2856" i="6"/>
  <c r="U2856" i="6" s="1"/>
  <c r="S2856" i="6"/>
  <c r="P2856" i="6"/>
  <c r="O2856" i="6"/>
  <c r="N2856" i="6"/>
  <c r="M2856" i="6"/>
  <c r="B2856" i="6"/>
  <c r="AE2855" i="6"/>
  <c r="AD2855" i="6"/>
  <c r="W2855" i="6"/>
  <c r="V2855" i="6"/>
  <c r="T2855" i="6"/>
  <c r="U2855" i="6" s="1"/>
  <c r="S2855" i="6"/>
  <c r="P2855" i="6"/>
  <c r="O2855" i="6"/>
  <c r="N2855" i="6"/>
  <c r="M2855" i="6"/>
  <c r="B2855" i="6"/>
  <c r="AE2854" i="6"/>
  <c r="AD2854" i="6"/>
  <c r="W2854" i="6"/>
  <c r="T2854" i="6"/>
  <c r="V2854" i="6" s="1"/>
  <c r="S2854" i="6"/>
  <c r="P2854" i="6"/>
  <c r="O2854" i="6"/>
  <c r="N2854" i="6"/>
  <c r="M2854" i="6"/>
  <c r="B2854" i="6"/>
  <c r="AE2853" i="6"/>
  <c r="AD2853" i="6"/>
  <c r="W2853" i="6"/>
  <c r="U2853" i="6"/>
  <c r="T2853" i="6"/>
  <c r="V2853" i="6" s="1"/>
  <c r="S2853" i="6"/>
  <c r="P2853" i="6"/>
  <c r="O2853" i="6"/>
  <c r="N2853" i="6"/>
  <c r="M2853" i="6"/>
  <c r="B2853" i="6"/>
  <c r="AE2852" i="6"/>
  <c r="AD2852" i="6"/>
  <c r="W2852" i="6"/>
  <c r="U2852" i="6"/>
  <c r="T2852" i="6"/>
  <c r="V2852" i="6" s="1"/>
  <c r="S2852" i="6"/>
  <c r="P2852" i="6"/>
  <c r="O2852" i="6"/>
  <c r="N2852" i="6"/>
  <c r="M2852" i="6"/>
  <c r="B2852" i="6"/>
  <c r="AE2851" i="6"/>
  <c r="AD2851" i="6"/>
  <c r="W2851" i="6"/>
  <c r="V2851" i="6"/>
  <c r="T2851" i="6"/>
  <c r="U2851" i="6" s="1"/>
  <c r="S2851" i="6"/>
  <c r="P2851" i="6"/>
  <c r="O2851" i="6"/>
  <c r="N2851" i="6"/>
  <c r="M2851" i="6"/>
  <c r="B2851" i="6"/>
  <c r="AE2850" i="6"/>
  <c r="AD2850" i="6"/>
  <c r="W2850" i="6"/>
  <c r="V2850" i="6"/>
  <c r="T2850" i="6"/>
  <c r="U2850" i="6" s="1"/>
  <c r="S2850" i="6"/>
  <c r="P2850" i="6"/>
  <c r="O2850" i="6"/>
  <c r="N2850" i="6"/>
  <c r="M2850" i="6"/>
  <c r="B2850" i="6"/>
  <c r="AE2849" i="6"/>
  <c r="AD2849" i="6"/>
  <c r="W2849" i="6"/>
  <c r="T2849" i="6"/>
  <c r="V2849" i="6" s="1"/>
  <c r="S2849" i="6"/>
  <c r="P2849" i="6"/>
  <c r="O2849" i="6"/>
  <c r="N2849" i="6"/>
  <c r="M2849" i="6"/>
  <c r="B2849" i="6"/>
  <c r="AE2848" i="6"/>
  <c r="AD2848" i="6"/>
  <c r="W2848" i="6"/>
  <c r="T2848" i="6"/>
  <c r="V2848" i="6" s="1"/>
  <c r="S2848" i="6"/>
  <c r="P2848" i="6"/>
  <c r="O2848" i="6"/>
  <c r="N2848" i="6"/>
  <c r="M2848" i="6"/>
  <c r="B2848" i="6"/>
  <c r="AE2847" i="6"/>
  <c r="AD2847" i="6"/>
  <c r="W2847" i="6"/>
  <c r="V2847" i="6"/>
  <c r="T2847" i="6"/>
  <c r="U2847" i="6" s="1"/>
  <c r="S2847" i="6"/>
  <c r="P2847" i="6"/>
  <c r="O2847" i="6"/>
  <c r="N2847" i="6"/>
  <c r="M2847" i="6"/>
  <c r="B2847" i="6"/>
  <c r="AE2846" i="6"/>
  <c r="AD2846" i="6"/>
  <c r="W2846" i="6"/>
  <c r="U2846" i="6"/>
  <c r="T2846" i="6"/>
  <c r="V2846" i="6" s="1"/>
  <c r="S2846" i="6"/>
  <c r="P2846" i="6"/>
  <c r="O2846" i="6"/>
  <c r="N2846" i="6"/>
  <c r="M2846" i="6"/>
  <c r="B2846" i="6"/>
  <c r="AE2845" i="6"/>
  <c r="AD2845" i="6"/>
  <c r="W2845" i="6"/>
  <c r="V2845" i="6"/>
  <c r="T2845" i="6"/>
  <c r="U2845" i="6" s="1"/>
  <c r="S2845" i="6"/>
  <c r="P2845" i="6"/>
  <c r="O2845" i="6"/>
  <c r="N2845" i="6"/>
  <c r="M2845" i="6"/>
  <c r="B2845" i="6"/>
  <c r="AE2844" i="6"/>
  <c r="AD2844" i="6"/>
  <c r="W2844" i="6"/>
  <c r="T2844" i="6"/>
  <c r="V2844" i="6" s="1"/>
  <c r="S2844" i="6"/>
  <c r="P2844" i="6"/>
  <c r="O2844" i="6"/>
  <c r="N2844" i="6"/>
  <c r="M2844" i="6"/>
  <c r="B2844" i="6"/>
  <c r="AE2843" i="6"/>
  <c r="AD2843" i="6"/>
  <c r="W2843" i="6"/>
  <c r="U2843" i="6"/>
  <c r="T2843" i="6"/>
  <c r="V2843" i="6" s="1"/>
  <c r="S2843" i="6"/>
  <c r="P2843" i="6"/>
  <c r="O2843" i="6"/>
  <c r="N2843" i="6"/>
  <c r="M2843" i="6"/>
  <c r="B2843" i="6"/>
  <c r="AE2842" i="6"/>
  <c r="AD2842" i="6"/>
  <c r="W2842" i="6"/>
  <c r="V2842" i="6"/>
  <c r="T2842" i="6"/>
  <c r="U2842" i="6" s="1"/>
  <c r="S2842" i="6"/>
  <c r="P2842" i="6"/>
  <c r="O2842" i="6"/>
  <c r="N2842" i="6"/>
  <c r="M2842" i="6"/>
  <c r="B2842" i="6"/>
  <c r="AE2841" i="6"/>
  <c r="AD2841" i="6"/>
  <c r="W2841" i="6"/>
  <c r="T2841" i="6"/>
  <c r="V2841" i="6" s="1"/>
  <c r="S2841" i="6"/>
  <c r="P2841" i="6"/>
  <c r="O2841" i="6"/>
  <c r="N2841" i="6"/>
  <c r="M2841" i="6"/>
  <c r="B2841" i="6"/>
  <c r="AE2840" i="6"/>
  <c r="AD2840" i="6"/>
  <c r="W2840" i="6"/>
  <c r="V2840" i="6"/>
  <c r="T2840" i="6"/>
  <c r="U2840" i="6" s="1"/>
  <c r="S2840" i="6"/>
  <c r="P2840" i="6"/>
  <c r="O2840" i="6"/>
  <c r="N2840" i="6"/>
  <c r="M2840" i="6"/>
  <c r="B2840" i="6"/>
  <c r="AE2839" i="6"/>
  <c r="AD2839" i="6"/>
  <c r="W2839" i="6"/>
  <c r="T2839" i="6"/>
  <c r="V2839" i="6" s="1"/>
  <c r="S2839" i="6"/>
  <c r="P2839" i="6"/>
  <c r="O2839" i="6"/>
  <c r="N2839" i="6"/>
  <c r="M2839" i="6"/>
  <c r="B2839" i="6"/>
  <c r="AE2838" i="6"/>
  <c r="AD2838" i="6"/>
  <c r="W2838" i="6"/>
  <c r="T2838" i="6"/>
  <c r="V2838" i="6" s="1"/>
  <c r="S2838" i="6"/>
  <c r="P2838" i="6"/>
  <c r="O2838" i="6"/>
  <c r="N2838" i="6"/>
  <c r="M2838" i="6"/>
  <c r="B2838" i="6"/>
  <c r="AE2837" i="6"/>
  <c r="AD2837" i="6"/>
  <c r="W2837" i="6"/>
  <c r="U2837" i="6"/>
  <c r="T2837" i="6"/>
  <c r="V2837" i="6" s="1"/>
  <c r="S2837" i="6"/>
  <c r="P2837" i="6"/>
  <c r="O2837" i="6"/>
  <c r="N2837" i="6"/>
  <c r="M2837" i="6"/>
  <c r="B2837" i="6"/>
  <c r="AE2836" i="6"/>
  <c r="AD2836" i="6"/>
  <c r="W2836" i="6"/>
  <c r="U2836" i="6"/>
  <c r="T2836" i="6"/>
  <c r="V2836" i="6" s="1"/>
  <c r="S2836" i="6"/>
  <c r="P2836" i="6"/>
  <c r="O2836" i="6"/>
  <c r="N2836" i="6"/>
  <c r="M2836" i="6"/>
  <c r="B2836" i="6"/>
  <c r="AE2835" i="6"/>
  <c r="AD2835" i="6"/>
  <c r="W2835" i="6"/>
  <c r="V2835" i="6"/>
  <c r="T2835" i="6"/>
  <c r="U2835" i="6" s="1"/>
  <c r="S2835" i="6"/>
  <c r="P2835" i="6"/>
  <c r="O2835" i="6"/>
  <c r="N2835" i="6"/>
  <c r="M2835" i="6"/>
  <c r="B2835" i="6"/>
  <c r="AE2834" i="6"/>
  <c r="AD2834" i="6"/>
  <c r="W2834" i="6"/>
  <c r="T2834" i="6"/>
  <c r="V2834" i="6" s="1"/>
  <c r="S2834" i="6"/>
  <c r="P2834" i="6"/>
  <c r="O2834" i="6"/>
  <c r="N2834" i="6"/>
  <c r="M2834" i="6"/>
  <c r="B2834" i="6"/>
  <c r="AE2833" i="6"/>
  <c r="AD2833" i="6"/>
  <c r="W2833" i="6"/>
  <c r="T2833" i="6"/>
  <c r="V2833" i="6" s="1"/>
  <c r="S2833" i="6"/>
  <c r="P2833" i="6"/>
  <c r="O2833" i="6"/>
  <c r="N2833" i="6"/>
  <c r="M2833" i="6"/>
  <c r="B2833" i="6"/>
  <c r="AE2832" i="6"/>
  <c r="AD2832" i="6"/>
  <c r="W2832" i="6"/>
  <c r="T2832" i="6"/>
  <c r="V2832" i="6" s="1"/>
  <c r="S2832" i="6"/>
  <c r="P2832" i="6"/>
  <c r="O2832" i="6"/>
  <c r="N2832" i="6"/>
  <c r="M2832" i="6"/>
  <c r="B2832" i="6"/>
  <c r="AE2831" i="6"/>
  <c r="AD2831" i="6"/>
  <c r="W2831" i="6"/>
  <c r="V2831" i="6"/>
  <c r="T2831" i="6"/>
  <c r="U2831" i="6" s="1"/>
  <c r="S2831" i="6"/>
  <c r="P2831" i="6"/>
  <c r="O2831" i="6"/>
  <c r="N2831" i="6"/>
  <c r="M2831" i="6"/>
  <c r="B2831" i="6"/>
  <c r="AE2830" i="6"/>
  <c r="AD2830" i="6"/>
  <c r="W2830" i="6"/>
  <c r="V2830" i="6"/>
  <c r="T2830" i="6"/>
  <c r="U2830" i="6" s="1"/>
  <c r="S2830" i="6"/>
  <c r="P2830" i="6"/>
  <c r="O2830" i="6"/>
  <c r="N2830" i="6"/>
  <c r="M2830" i="6"/>
  <c r="B2830" i="6"/>
  <c r="AE2829" i="6"/>
  <c r="AD2829" i="6"/>
  <c r="W2829" i="6"/>
  <c r="T2829" i="6"/>
  <c r="V2829" i="6" s="1"/>
  <c r="S2829" i="6"/>
  <c r="P2829" i="6"/>
  <c r="O2829" i="6"/>
  <c r="N2829" i="6"/>
  <c r="M2829" i="6"/>
  <c r="B2829" i="6"/>
  <c r="AE2828" i="6"/>
  <c r="AD2828" i="6"/>
  <c r="W2828" i="6"/>
  <c r="U2828" i="6"/>
  <c r="T2828" i="6"/>
  <c r="V2828" i="6" s="1"/>
  <c r="S2828" i="6"/>
  <c r="P2828" i="6"/>
  <c r="O2828" i="6"/>
  <c r="N2828" i="6"/>
  <c r="M2828" i="6"/>
  <c r="B2828" i="6"/>
  <c r="AE2827" i="6"/>
  <c r="AD2827" i="6"/>
  <c r="W2827" i="6"/>
  <c r="U2827" i="6"/>
  <c r="T2827" i="6"/>
  <c r="V2827" i="6" s="1"/>
  <c r="S2827" i="6"/>
  <c r="P2827" i="6"/>
  <c r="O2827" i="6"/>
  <c r="N2827" i="6"/>
  <c r="M2827" i="6"/>
  <c r="B2827" i="6"/>
  <c r="AE2826" i="6"/>
  <c r="AD2826" i="6"/>
  <c r="W2826" i="6"/>
  <c r="T2826" i="6"/>
  <c r="V2826" i="6" s="1"/>
  <c r="S2826" i="6"/>
  <c r="P2826" i="6"/>
  <c r="O2826" i="6"/>
  <c r="N2826" i="6"/>
  <c r="M2826" i="6"/>
  <c r="B2826" i="6"/>
  <c r="AE2825" i="6"/>
  <c r="AD2825" i="6"/>
  <c r="W2825" i="6"/>
  <c r="V2825" i="6"/>
  <c r="T2825" i="6"/>
  <c r="U2825" i="6" s="1"/>
  <c r="S2825" i="6"/>
  <c r="P2825" i="6"/>
  <c r="O2825" i="6"/>
  <c r="N2825" i="6"/>
  <c r="M2825" i="6"/>
  <c r="B2825" i="6"/>
  <c r="AE2824" i="6"/>
  <c r="AD2824" i="6"/>
  <c r="W2824" i="6"/>
  <c r="T2824" i="6"/>
  <c r="V2824" i="6" s="1"/>
  <c r="S2824" i="6"/>
  <c r="P2824" i="6"/>
  <c r="O2824" i="6"/>
  <c r="N2824" i="6"/>
  <c r="M2824" i="6"/>
  <c r="B2824" i="6"/>
  <c r="AE2823" i="6"/>
  <c r="AD2823" i="6"/>
  <c r="W2823" i="6"/>
  <c r="T2823" i="6"/>
  <c r="V2823" i="6" s="1"/>
  <c r="S2823" i="6"/>
  <c r="P2823" i="6"/>
  <c r="O2823" i="6"/>
  <c r="N2823" i="6"/>
  <c r="M2823" i="6"/>
  <c r="B2823" i="6"/>
  <c r="AE2822" i="6"/>
  <c r="AD2822" i="6"/>
  <c r="W2822" i="6"/>
  <c r="V2822" i="6"/>
  <c r="T2822" i="6"/>
  <c r="U2822" i="6" s="1"/>
  <c r="S2822" i="6"/>
  <c r="P2822" i="6"/>
  <c r="O2822" i="6"/>
  <c r="N2822" i="6"/>
  <c r="M2822" i="6"/>
  <c r="B2822" i="6"/>
  <c r="AE2821" i="6"/>
  <c r="AD2821" i="6"/>
  <c r="W2821" i="6"/>
  <c r="U2821" i="6"/>
  <c r="T2821" i="6"/>
  <c r="V2821" i="6" s="1"/>
  <c r="S2821" i="6"/>
  <c r="P2821" i="6"/>
  <c r="O2821" i="6"/>
  <c r="N2821" i="6"/>
  <c r="M2821" i="6"/>
  <c r="B2821" i="6"/>
  <c r="AE2820" i="6"/>
  <c r="AD2820" i="6"/>
  <c r="W2820" i="6"/>
  <c r="V2820" i="6"/>
  <c r="T2820" i="6"/>
  <c r="U2820" i="6" s="1"/>
  <c r="S2820" i="6"/>
  <c r="P2820" i="6"/>
  <c r="O2820" i="6"/>
  <c r="N2820" i="6"/>
  <c r="M2820" i="6"/>
  <c r="B2820" i="6"/>
  <c r="AE2819" i="6"/>
  <c r="AD2819" i="6"/>
  <c r="W2819" i="6"/>
  <c r="T2819" i="6"/>
  <c r="V2819" i="6" s="1"/>
  <c r="S2819" i="6"/>
  <c r="P2819" i="6"/>
  <c r="O2819" i="6"/>
  <c r="N2819" i="6"/>
  <c r="M2819" i="6"/>
  <c r="B2819" i="6"/>
  <c r="AE2818" i="6"/>
  <c r="AD2818" i="6"/>
  <c r="W2818" i="6"/>
  <c r="U2818" i="6"/>
  <c r="T2818" i="6"/>
  <c r="V2818" i="6" s="1"/>
  <c r="S2818" i="6"/>
  <c r="P2818" i="6"/>
  <c r="O2818" i="6"/>
  <c r="N2818" i="6"/>
  <c r="M2818" i="6"/>
  <c r="B2818" i="6"/>
  <c r="AE2817" i="6"/>
  <c r="AD2817" i="6"/>
  <c r="W2817" i="6"/>
  <c r="T2817" i="6"/>
  <c r="V2817" i="6" s="1"/>
  <c r="S2817" i="6"/>
  <c r="P2817" i="6"/>
  <c r="O2817" i="6"/>
  <c r="N2817" i="6"/>
  <c r="M2817" i="6"/>
  <c r="B2817" i="6"/>
  <c r="AE2816" i="6"/>
  <c r="AD2816" i="6"/>
  <c r="W2816" i="6"/>
  <c r="T2816" i="6"/>
  <c r="V2816" i="6" s="1"/>
  <c r="S2816" i="6"/>
  <c r="P2816" i="6"/>
  <c r="O2816" i="6"/>
  <c r="N2816" i="6"/>
  <c r="M2816" i="6"/>
  <c r="B2816" i="6"/>
  <c r="AE2815" i="6"/>
  <c r="AD2815" i="6"/>
  <c r="W2815" i="6"/>
  <c r="V2815" i="6"/>
  <c r="T2815" i="6"/>
  <c r="U2815" i="6" s="1"/>
  <c r="S2815" i="6"/>
  <c r="P2815" i="6"/>
  <c r="O2815" i="6"/>
  <c r="N2815" i="6"/>
  <c r="M2815" i="6"/>
  <c r="B2815" i="6"/>
  <c r="AE2814" i="6"/>
  <c r="AD2814" i="6"/>
  <c r="W2814" i="6"/>
  <c r="T2814" i="6"/>
  <c r="V2814" i="6" s="1"/>
  <c r="S2814" i="6"/>
  <c r="P2814" i="6"/>
  <c r="O2814" i="6"/>
  <c r="N2814" i="6"/>
  <c r="M2814" i="6"/>
  <c r="B2814" i="6"/>
  <c r="AE2813" i="6"/>
  <c r="AD2813" i="6"/>
  <c r="W2813" i="6"/>
  <c r="T2813" i="6"/>
  <c r="V2813" i="6" s="1"/>
  <c r="S2813" i="6"/>
  <c r="P2813" i="6"/>
  <c r="O2813" i="6"/>
  <c r="N2813" i="6"/>
  <c r="M2813" i="6"/>
  <c r="B2813" i="6"/>
  <c r="AE2812" i="6"/>
  <c r="AD2812" i="6"/>
  <c r="W2812" i="6"/>
  <c r="U2812" i="6"/>
  <c r="T2812" i="6"/>
  <c r="V2812" i="6" s="1"/>
  <c r="S2812" i="6"/>
  <c r="P2812" i="6"/>
  <c r="O2812" i="6"/>
  <c r="N2812" i="6"/>
  <c r="M2812" i="6"/>
  <c r="B2812" i="6"/>
  <c r="AE2811" i="6"/>
  <c r="AD2811" i="6"/>
  <c r="W2811" i="6"/>
  <c r="U2811" i="6"/>
  <c r="T2811" i="6"/>
  <c r="V2811" i="6" s="1"/>
  <c r="S2811" i="6"/>
  <c r="P2811" i="6"/>
  <c r="O2811" i="6"/>
  <c r="N2811" i="6"/>
  <c r="M2811" i="6"/>
  <c r="B2811" i="6"/>
  <c r="AE2810" i="6"/>
  <c r="AD2810" i="6"/>
  <c r="W2810" i="6"/>
  <c r="V2810" i="6"/>
  <c r="T2810" i="6"/>
  <c r="U2810" i="6" s="1"/>
  <c r="S2810" i="6"/>
  <c r="P2810" i="6"/>
  <c r="O2810" i="6"/>
  <c r="N2810" i="6"/>
  <c r="M2810" i="6"/>
  <c r="B2810" i="6"/>
  <c r="AE2809" i="6"/>
  <c r="AD2809" i="6"/>
  <c r="W2809" i="6"/>
  <c r="T2809" i="6"/>
  <c r="V2809" i="6" s="1"/>
  <c r="S2809" i="6"/>
  <c r="P2809" i="6"/>
  <c r="O2809" i="6"/>
  <c r="N2809" i="6"/>
  <c r="M2809" i="6"/>
  <c r="B2809" i="6"/>
  <c r="AE2808" i="6"/>
  <c r="AD2808" i="6"/>
  <c r="W2808" i="6"/>
  <c r="T2808" i="6"/>
  <c r="V2808" i="6" s="1"/>
  <c r="S2808" i="6"/>
  <c r="P2808" i="6"/>
  <c r="O2808" i="6"/>
  <c r="N2808" i="6"/>
  <c r="M2808" i="6"/>
  <c r="B2808" i="6"/>
  <c r="AE2807" i="6"/>
  <c r="AD2807" i="6"/>
  <c r="W2807" i="6"/>
  <c r="T2807" i="6"/>
  <c r="V2807" i="6" s="1"/>
  <c r="S2807" i="6"/>
  <c r="P2807" i="6"/>
  <c r="O2807" i="6"/>
  <c r="N2807" i="6"/>
  <c r="M2807" i="6"/>
  <c r="B2807" i="6"/>
  <c r="AE2806" i="6"/>
  <c r="AD2806" i="6"/>
  <c r="W2806" i="6"/>
  <c r="V2806" i="6"/>
  <c r="T2806" i="6"/>
  <c r="U2806" i="6" s="1"/>
  <c r="S2806" i="6"/>
  <c r="P2806" i="6"/>
  <c r="O2806" i="6"/>
  <c r="N2806" i="6"/>
  <c r="M2806" i="6"/>
  <c r="B2806" i="6"/>
  <c r="AE2805" i="6"/>
  <c r="AD2805" i="6"/>
  <c r="W2805" i="6"/>
  <c r="V2805" i="6"/>
  <c r="U2805" i="6"/>
  <c r="T2805" i="6"/>
  <c r="S2805" i="6"/>
  <c r="P2805" i="6"/>
  <c r="O2805" i="6"/>
  <c r="N2805" i="6"/>
  <c r="M2805" i="6"/>
  <c r="B2805" i="6"/>
  <c r="AE2804" i="6"/>
  <c r="AD2804" i="6"/>
  <c r="W2804" i="6"/>
  <c r="T2804" i="6"/>
  <c r="V2804" i="6" s="1"/>
  <c r="S2804" i="6"/>
  <c r="P2804" i="6"/>
  <c r="O2804" i="6"/>
  <c r="N2804" i="6"/>
  <c r="M2804" i="6"/>
  <c r="B2804" i="6"/>
  <c r="AE2803" i="6"/>
  <c r="AD2803" i="6"/>
  <c r="W2803" i="6"/>
  <c r="T2803" i="6"/>
  <c r="V2803" i="6" s="1"/>
  <c r="S2803" i="6"/>
  <c r="P2803" i="6"/>
  <c r="O2803" i="6"/>
  <c r="N2803" i="6"/>
  <c r="M2803" i="6"/>
  <c r="B2803" i="6"/>
  <c r="AE2802" i="6"/>
  <c r="AD2802" i="6"/>
  <c r="W2802" i="6"/>
  <c r="V2802" i="6"/>
  <c r="U2802" i="6"/>
  <c r="T2802" i="6"/>
  <c r="S2802" i="6"/>
  <c r="P2802" i="6"/>
  <c r="O2802" i="6"/>
  <c r="N2802" i="6"/>
  <c r="M2802" i="6"/>
  <c r="B2802" i="6"/>
  <c r="AE2801" i="6"/>
  <c r="AD2801" i="6"/>
  <c r="W2801" i="6"/>
  <c r="T2801" i="6"/>
  <c r="V2801" i="6" s="1"/>
  <c r="S2801" i="6"/>
  <c r="P2801" i="6"/>
  <c r="O2801" i="6"/>
  <c r="N2801" i="6"/>
  <c r="M2801" i="6"/>
  <c r="B2801" i="6"/>
  <c r="AE2800" i="6"/>
  <c r="AD2800" i="6"/>
  <c r="W2800" i="6"/>
  <c r="V2800" i="6"/>
  <c r="U2800" i="6"/>
  <c r="T2800" i="6"/>
  <c r="S2800" i="6"/>
  <c r="P2800" i="6"/>
  <c r="O2800" i="6"/>
  <c r="N2800" i="6"/>
  <c r="M2800" i="6"/>
  <c r="B2800" i="6"/>
  <c r="AE2799" i="6"/>
  <c r="AD2799" i="6"/>
  <c r="W2799" i="6"/>
  <c r="T2799" i="6"/>
  <c r="V2799" i="6" s="1"/>
  <c r="S2799" i="6"/>
  <c r="P2799" i="6"/>
  <c r="O2799" i="6"/>
  <c r="N2799" i="6"/>
  <c r="M2799" i="6"/>
  <c r="B2799" i="6"/>
  <c r="AE2798" i="6"/>
  <c r="AD2798" i="6"/>
  <c r="W2798" i="6"/>
  <c r="T2798" i="6"/>
  <c r="V2798" i="6" s="1"/>
  <c r="S2798" i="6"/>
  <c r="P2798" i="6"/>
  <c r="O2798" i="6"/>
  <c r="N2798" i="6"/>
  <c r="M2798" i="6"/>
  <c r="B2798" i="6"/>
  <c r="AE2797" i="6"/>
  <c r="AD2797" i="6"/>
  <c r="W2797" i="6"/>
  <c r="U2797" i="6"/>
  <c r="T2797" i="6"/>
  <c r="V2797" i="6" s="1"/>
  <c r="S2797" i="6"/>
  <c r="P2797" i="6"/>
  <c r="O2797" i="6"/>
  <c r="N2797" i="6"/>
  <c r="M2797" i="6"/>
  <c r="B2797" i="6"/>
  <c r="AE2796" i="6"/>
  <c r="AD2796" i="6"/>
  <c r="W2796" i="6"/>
  <c r="U2796" i="6"/>
  <c r="T2796" i="6"/>
  <c r="V2796" i="6" s="1"/>
  <c r="S2796" i="6"/>
  <c r="P2796" i="6"/>
  <c r="O2796" i="6"/>
  <c r="N2796" i="6"/>
  <c r="M2796" i="6"/>
  <c r="B2796" i="6"/>
  <c r="AE2795" i="6"/>
  <c r="AD2795" i="6"/>
  <c r="W2795" i="6"/>
  <c r="V2795" i="6"/>
  <c r="U2795" i="6"/>
  <c r="T2795" i="6"/>
  <c r="S2795" i="6"/>
  <c r="P2795" i="6"/>
  <c r="O2795" i="6"/>
  <c r="N2795" i="6"/>
  <c r="M2795" i="6"/>
  <c r="B2795" i="6"/>
  <c r="AE2794" i="6"/>
  <c r="AD2794" i="6"/>
  <c r="W2794" i="6"/>
  <c r="T2794" i="6"/>
  <c r="V2794" i="6" s="1"/>
  <c r="S2794" i="6"/>
  <c r="P2794" i="6"/>
  <c r="O2794" i="6"/>
  <c r="N2794" i="6"/>
  <c r="M2794" i="6"/>
  <c r="B2794" i="6"/>
  <c r="AE2793" i="6"/>
  <c r="AD2793" i="6"/>
  <c r="W2793" i="6"/>
  <c r="T2793" i="6"/>
  <c r="V2793" i="6" s="1"/>
  <c r="S2793" i="6"/>
  <c r="P2793" i="6"/>
  <c r="O2793" i="6"/>
  <c r="N2793" i="6"/>
  <c r="M2793" i="6"/>
  <c r="B2793" i="6"/>
  <c r="AE2792" i="6"/>
  <c r="AD2792" i="6"/>
  <c r="W2792" i="6"/>
  <c r="V2792" i="6"/>
  <c r="U2792" i="6"/>
  <c r="T2792" i="6"/>
  <c r="S2792" i="6"/>
  <c r="P2792" i="6"/>
  <c r="O2792" i="6"/>
  <c r="N2792" i="6"/>
  <c r="M2792" i="6"/>
  <c r="B2792" i="6"/>
  <c r="AE2791" i="6"/>
  <c r="AD2791" i="6"/>
  <c r="W2791" i="6"/>
  <c r="T2791" i="6"/>
  <c r="U2791" i="6" s="1"/>
  <c r="S2791" i="6"/>
  <c r="P2791" i="6"/>
  <c r="O2791" i="6"/>
  <c r="N2791" i="6"/>
  <c r="M2791" i="6"/>
  <c r="B2791" i="6"/>
  <c r="AE2790" i="6"/>
  <c r="AD2790" i="6"/>
  <c r="W2790" i="6"/>
  <c r="V2790" i="6"/>
  <c r="U2790" i="6"/>
  <c r="T2790" i="6"/>
  <c r="S2790" i="6"/>
  <c r="P2790" i="6"/>
  <c r="O2790" i="6"/>
  <c r="N2790" i="6"/>
  <c r="M2790" i="6"/>
  <c r="B2790" i="6"/>
  <c r="AE2789" i="6"/>
  <c r="AD2789" i="6"/>
  <c r="W2789" i="6"/>
  <c r="T2789" i="6"/>
  <c r="V2789" i="6" s="1"/>
  <c r="S2789" i="6"/>
  <c r="P2789" i="6"/>
  <c r="O2789" i="6"/>
  <c r="N2789" i="6"/>
  <c r="M2789" i="6"/>
  <c r="B2789" i="6"/>
  <c r="AE2788" i="6"/>
  <c r="AD2788" i="6"/>
  <c r="W2788" i="6"/>
  <c r="U2788" i="6"/>
  <c r="T2788" i="6"/>
  <c r="V2788" i="6" s="1"/>
  <c r="S2788" i="6"/>
  <c r="P2788" i="6"/>
  <c r="O2788" i="6"/>
  <c r="N2788" i="6"/>
  <c r="M2788" i="6"/>
  <c r="B2788" i="6"/>
  <c r="AE2787" i="6"/>
  <c r="AD2787" i="6"/>
  <c r="W2787" i="6"/>
  <c r="V2787" i="6"/>
  <c r="T2787" i="6"/>
  <c r="U2787" i="6" s="1"/>
  <c r="S2787" i="6"/>
  <c r="P2787" i="6"/>
  <c r="O2787" i="6"/>
  <c r="N2787" i="6"/>
  <c r="M2787" i="6"/>
  <c r="B2787" i="6"/>
  <c r="AE2786" i="6"/>
  <c r="AD2786" i="6"/>
  <c r="W2786" i="6"/>
  <c r="T2786" i="6"/>
  <c r="V2786" i="6" s="1"/>
  <c r="S2786" i="6"/>
  <c r="P2786" i="6"/>
  <c r="O2786" i="6"/>
  <c r="N2786" i="6"/>
  <c r="M2786" i="6"/>
  <c r="B2786" i="6"/>
  <c r="AE2785" i="6"/>
  <c r="AD2785" i="6"/>
  <c r="W2785" i="6"/>
  <c r="V2785" i="6"/>
  <c r="U2785" i="6"/>
  <c r="T2785" i="6"/>
  <c r="S2785" i="6"/>
  <c r="P2785" i="6"/>
  <c r="O2785" i="6"/>
  <c r="N2785" i="6"/>
  <c r="M2785" i="6"/>
  <c r="B2785" i="6"/>
  <c r="AE2784" i="6"/>
  <c r="AD2784" i="6"/>
  <c r="W2784" i="6"/>
  <c r="T2784" i="6"/>
  <c r="V2784" i="6" s="1"/>
  <c r="S2784" i="6"/>
  <c r="P2784" i="6"/>
  <c r="O2784" i="6"/>
  <c r="N2784" i="6"/>
  <c r="M2784" i="6"/>
  <c r="B2784" i="6"/>
  <c r="AE2783" i="6"/>
  <c r="AD2783" i="6"/>
  <c r="W2783" i="6"/>
  <c r="T2783" i="6"/>
  <c r="V2783" i="6" s="1"/>
  <c r="S2783" i="6"/>
  <c r="P2783" i="6"/>
  <c r="O2783" i="6"/>
  <c r="N2783" i="6"/>
  <c r="M2783" i="6"/>
  <c r="B2783" i="6"/>
  <c r="AE2782" i="6"/>
  <c r="AD2782" i="6"/>
  <c r="W2782" i="6"/>
  <c r="T2782" i="6"/>
  <c r="V2782" i="6" s="1"/>
  <c r="S2782" i="6"/>
  <c r="P2782" i="6"/>
  <c r="O2782" i="6"/>
  <c r="N2782" i="6"/>
  <c r="M2782" i="6"/>
  <c r="B2782" i="6"/>
  <c r="AE2781" i="6"/>
  <c r="AD2781" i="6"/>
  <c r="W2781" i="6"/>
  <c r="V2781" i="6"/>
  <c r="U2781" i="6"/>
  <c r="T2781" i="6"/>
  <c r="S2781" i="6"/>
  <c r="P2781" i="6"/>
  <c r="O2781" i="6"/>
  <c r="N2781" i="6"/>
  <c r="M2781" i="6"/>
  <c r="B2781" i="6"/>
  <c r="AE2780" i="6"/>
  <c r="AD2780" i="6"/>
  <c r="W2780" i="6"/>
  <c r="V2780" i="6"/>
  <c r="U2780" i="6"/>
  <c r="T2780" i="6"/>
  <c r="S2780" i="6"/>
  <c r="P2780" i="6"/>
  <c r="O2780" i="6"/>
  <c r="N2780" i="6"/>
  <c r="M2780" i="6"/>
  <c r="B2780" i="6"/>
  <c r="AE2779" i="6"/>
  <c r="AD2779" i="6"/>
  <c r="W2779" i="6"/>
  <c r="T2779" i="6"/>
  <c r="V2779" i="6" s="1"/>
  <c r="S2779" i="6"/>
  <c r="P2779" i="6"/>
  <c r="O2779" i="6"/>
  <c r="N2779" i="6"/>
  <c r="M2779" i="6"/>
  <c r="B2779" i="6"/>
  <c r="AE2778" i="6"/>
  <c r="AD2778" i="6"/>
  <c r="W2778" i="6"/>
  <c r="T2778" i="6"/>
  <c r="V2778" i="6" s="1"/>
  <c r="S2778" i="6"/>
  <c r="P2778" i="6"/>
  <c r="O2778" i="6"/>
  <c r="N2778" i="6"/>
  <c r="M2778" i="6"/>
  <c r="B2778" i="6"/>
  <c r="AE2777" i="6"/>
  <c r="AD2777" i="6"/>
  <c r="W2777" i="6"/>
  <c r="V2777" i="6"/>
  <c r="T2777" i="6"/>
  <c r="U2777" i="6" s="1"/>
  <c r="S2777" i="6"/>
  <c r="P2777" i="6"/>
  <c r="O2777" i="6"/>
  <c r="N2777" i="6"/>
  <c r="M2777" i="6"/>
  <c r="B2777" i="6"/>
  <c r="AE2776" i="6"/>
  <c r="AD2776" i="6"/>
  <c r="W2776" i="6"/>
  <c r="U2776" i="6"/>
  <c r="T2776" i="6"/>
  <c r="V2776" i="6" s="1"/>
  <c r="S2776" i="6"/>
  <c r="P2776" i="6"/>
  <c r="O2776" i="6"/>
  <c r="N2776" i="6"/>
  <c r="M2776" i="6"/>
  <c r="B2776" i="6"/>
  <c r="AE2775" i="6"/>
  <c r="AD2775" i="6"/>
  <c r="W2775" i="6"/>
  <c r="V2775" i="6"/>
  <c r="U2775" i="6"/>
  <c r="T2775" i="6"/>
  <c r="S2775" i="6"/>
  <c r="P2775" i="6"/>
  <c r="O2775" i="6"/>
  <c r="N2775" i="6"/>
  <c r="M2775" i="6"/>
  <c r="B2775" i="6"/>
  <c r="AE2774" i="6"/>
  <c r="AD2774" i="6"/>
  <c r="W2774" i="6"/>
  <c r="T2774" i="6"/>
  <c r="V2774" i="6" s="1"/>
  <c r="S2774" i="6"/>
  <c r="P2774" i="6"/>
  <c r="O2774" i="6"/>
  <c r="N2774" i="6"/>
  <c r="M2774" i="6"/>
  <c r="B2774" i="6"/>
  <c r="AE2773" i="6"/>
  <c r="AD2773" i="6"/>
  <c r="W2773" i="6"/>
  <c r="U2773" i="6"/>
  <c r="T2773" i="6"/>
  <c r="V2773" i="6" s="1"/>
  <c r="S2773" i="6"/>
  <c r="P2773" i="6"/>
  <c r="O2773" i="6"/>
  <c r="N2773" i="6"/>
  <c r="M2773" i="6"/>
  <c r="B2773" i="6"/>
  <c r="AE2772" i="6"/>
  <c r="AD2772" i="6"/>
  <c r="W2772" i="6"/>
  <c r="T2772" i="6"/>
  <c r="V2772" i="6" s="1"/>
  <c r="S2772" i="6"/>
  <c r="P2772" i="6"/>
  <c r="O2772" i="6"/>
  <c r="N2772" i="6"/>
  <c r="M2772" i="6"/>
  <c r="B2772" i="6"/>
  <c r="AE2771" i="6"/>
  <c r="AD2771" i="6"/>
  <c r="W2771" i="6"/>
  <c r="V2771" i="6"/>
  <c r="U2771" i="6"/>
  <c r="T2771" i="6"/>
  <c r="S2771" i="6"/>
  <c r="P2771" i="6"/>
  <c r="O2771" i="6"/>
  <c r="N2771" i="6"/>
  <c r="M2771" i="6"/>
  <c r="B2771" i="6"/>
  <c r="AE2770" i="6"/>
  <c r="AD2770" i="6"/>
  <c r="W2770" i="6"/>
  <c r="V2770" i="6"/>
  <c r="U2770" i="6"/>
  <c r="T2770" i="6"/>
  <c r="S2770" i="6"/>
  <c r="P2770" i="6"/>
  <c r="O2770" i="6"/>
  <c r="N2770" i="6"/>
  <c r="M2770" i="6"/>
  <c r="B2770" i="6"/>
  <c r="AE2769" i="6"/>
  <c r="AD2769" i="6"/>
  <c r="W2769" i="6"/>
  <c r="T2769" i="6"/>
  <c r="V2769" i="6" s="1"/>
  <c r="S2769" i="6"/>
  <c r="P2769" i="6"/>
  <c r="O2769" i="6"/>
  <c r="N2769" i="6"/>
  <c r="M2769" i="6"/>
  <c r="B2769" i="6"/>
  <c r="AE2768" i="6"/>
  <c r="AD2768" i="6"/>
  <c r="W2768" i="6"/>
  <c r="U2768" i="6"/>
  <c r="T2768" i="6"/>
  <c r="V2768" i="6" s="1"/>
  <c r="S2768" i="6"/>
  <c r="P2768" i="6"/>
  <c r="O2768" i="6"/>
  <c r="N2768" i="6"/>
  <c r="M2768" i="6"/>
  <c r="B2768" i="6"/>
  <c r="AE2767" i="6"/>
  <c r="AD2767" i="6"/>
  <c r="W2767" i="6"/>
  <c r="U2767" i="6"/>
  <c r="T2767" i="6"/>
  <c r="V2767" i="6" s="1"/>
  <c r="S2767" i="6"/>
  <c r="P2767" i="6"/>
  <c r="O2767" i="6"/>
  <c r="N2767" i="6"/>
  <c r="M2767" i="6"/>
  <c r="B2767" i="6"/>
  <c r="AE2766" i="6"/>
  <c r="AD2766" i="6"/>
  <c r="W2766" i="6"/>
  <c r="V2766" i="6"/>
  <c r="T2766" i="6"/>
  <c r="U2766" i="6" s="1"/>
  <c r="S2766" i="6"/>
  <c r="P2766" i="6"/>
  <c r="O2766" i="6"/>
  <c r="N2766" i="6"/>
  <c r="M2766" i="6"/>
  <c r="B2766" i="6"/>
  <c r="AE2765" i="6"/>
  <c r="AD2765" i="6"/>
  <c r="W2765" i="6"/>
  <c r="V2765" i="6"/>
  <c r="U2765" i="6"/>
  <c r="T2765" i="6"/>
  <c r="S2765" i="6"/>
  <c r="P2765" i="6"/>
  <c r="O2765" i="6"/>
  <c r="N2765" i="6"/>
  <c r="M2765" i="6"/>
  <c r="B2765" i="6"/>
  <c r="AE2764" i="6"/>
  <c r="AD2764" i="6"/>
  <c r="W2764" i="6"/>
  <c r="T2764" i="6"/>
  <c r="V2764" i="6" s="1"/>
  <c r="S2764" i="6"/>
  <c r="P2764" i="6"/>
  <c r="O2764" i="6"/>
  <c r="N2764" i="6"/>
  <c r="M2764" i="6"/>
  <c r="B2764" i="6"/>
  <c r="AE2763" i="6"/>
  <c r="AD2763" i="6"/>
  <c r="W2763" i="6"/>
  <c r="U2763" i="6"/>
  <c r="T2763" i="6"/>
  <c r="V2763" i="6" s="1"/>
  <c r="S2763" i="6"/>
  <c r="P2763" i="6"/>
  <c r="O2763" i="6"/>
  <c r="N2763" i="6"/>
  <c r="M2763" i="6"/>
  <c r="B2763" i="6"/>
  <c r="AE2762" i="6"/>
  <c r="AD2762" i="6"/>
  <c r="W2762" i="6"/>
  <c r="T2762" i="6"/>
  <c r="U2762" i="6" s="1"/>
  <c r="S2762" i="6"/>
  <c r="P2762" i="6"/>
  <c r="O2762" i="6"/>
  <c r="N2762" i="6"/>
  <c r="M2762" i="6"/>
  <c r="B2762" i="6"/>
  <c r="AE2761" i="6"/>
  <c r="AD2761" i="6"/>
  <c r="W2761" i="6"/>
  <c r="T2761" i="6"/>
  <c r="V2761" i="6" s="1"/>
  <c r="S2761" i="6"/>
  <c r="P2761" i="6"/>
  <c r="O2761" i="6"/>
  <c r="N2761" i="6"/>
  <c r="M2761" i="6"/>
  <c r="B2761" i="6"/>
  <c r="AE2760" i="6"/>
  <c r="AD2760" i="6"/>
  <c r="W2760" i="6"/>
  <c r="V2760" i="6"/>
  <c r="U2760" i="6"/>
  <c r="T2760" i="6"/>
  <c r="S2760" i="6"/>
  <c r="P2760" i="6"/>
  <c r="O2760" i="6"/>
  <c r="N2760" i="6"/>
  <c r="M2760" i="6"/>
  <c r="B2760" i="6"/>
  <c r="AE2759" i="6"/>
  <c r="AD2759" i="6"/>
  <c r="W2759" i="6"/>
  <c r="T2759" i="6"/>
  <c r="V2759" i="6" s="1"/>
  <c r="S2759" i="6"/>
  <c r="P2759" i="6"/>
  <c r="O2759" i="6"/>
  <c r="N2759" i="6"/>
  <c r="M2759" i="6"/>
  <c r="B2759" i="6"/>
  <c r="AE2758" i="6"/>
  <c r="AD2758" i="6"/>
  <c r="W2758" i="6"/>
  <c r="T2758" i="6"/>
  <c r="V2758" i="6" s="1"/>
  <c r="S2758" i="6"/>
  <c r="P2758" i="6"/>
  <c r="O2758" i="6"/>
  <c r="N2758" i="6"/>
  <c r="M2758" i="6"/>
  <c r="B2758" i="6"/>
  <c r="AE2757" i="6"/>
  <c r="AD2757" i="6"/>
  <c r="W2757" i="6"/>
  <c r="T2757" i="6"/>
  <c r="V2757" i="6" s="1"/>
  <c r="S2757" i="6"/>
  <c r="P2757" i="6"/>
  <c r="O2757" i="6"/>
  <c r="N2757" i="6"/>
  <c r="M2757" i="6"/>
  <c r="B2757" i="6"/>
  <c r="AE2756" i="6"/>
  <c r="AD2756" i="6"/>
  <c r="W2756" i="6"/>
  <c r="V2756" i="6"/>
  <c r="T2756" i="6"/>
  <c r="U2756" i="6" s="1"/>
  <c r="S2756" i="6"/>
  <c r="P2756" i="6"/>
  <c r="O2756" i="6"/>
  <c r="N2756" i="6"/>
  <c r="M2756" i="6"/>
  <c r="B2756" i="6"/>
  <c r="AE2755" i="6"/>
  <c r="AD2755" i="6"/>
  <c r="W2755" i="6"/>
  <c r="V2755" i="6"/>
  <c r="U2755" i="6"/>
  <c r="T2755" i="6"/>
  <c r="S2755" i="6"/>
  <c r="P2755" i="6"/>
  <c r="O2755" i="6"/>
  <c r="N2755" i="6"/>
  <c r="M2755" i="6"/>
  <c r="B2755" i="6"/>
  <c r="AE2754" i="6"/>
  <c r="AD2754" i="6"/>
  <c r="W2754" i="6"/>
  <c r="T2754" i="6"/>
  <c r="V2754" i="6" s="1"/>
  <c r="S2754" i="6"/>
  <c r="P2754" i="6"/>
  <c r="O2754" i="6"/>
  <c r="N2754" i="6"/>
  <c r="M2754" i="6"/>
  <c r="B2754" i="6"/>
  <c r="AE2753" i="6"/>
  <c r="AD2753" i="6"/>
  <c r="W2753" i="6"/>
  <c r="T2753" i="6"/>
  <c r="V2753" i="6" s="1"/>
  <c r="S2753" i="6"/>
  <c r="P2753" i="6"/>
  <c r="O2753" i="6"/>
  <c r="N2753" i="6"/>
  <c r="M2753" i="6"/>
  <c r="B2753" i="6"/>
  <c r="AE2752" i="6"/>
  <c r="AD2752" i="6"/>
  <c r="W2752" i="6"/>
  <c r="V2752" i="6"/>
  <c r="T2752" i="6"/>
  <c r="U2752" i="6" s="1"/>
  <c r="S2752" i="6"/>
  <c r="P2752" i="6"/>
  <c r="O2752" i="6"/>
  <c r="N2752" i="6"/>
  <c r="M2752" i="6"/>
  <c r="B2752" i="6"/>
  <c r="AE2751" i="6"/>
  <c r="AD2751" i="6"/>
  <c r="W2751" i="6"/>
  <c r="T2751" i="6"/>
  <c r="V2751" i="6" s="1"/>
  <c r="S2751" i="6"/>
  <c r="P2751" i="6"/>
  <c r="O2751" i="6"/>
  <c r="N2751" i="6"/>
  <c r="M2751" i="6"/>
  <c r="B2751" i="6"/>
  <c r="AE2750" i="6"/>
  <c r="AD2750" i="6"/>
  <c r="W2750" i="6"/>
  <c r="V2750" i="6"/>
  <c r="U2750" i="6"/>
  <c r="T2750" i="6"/>
  <c r="S2750" i="6"/>
  <c r="P2750" i="6"/>
  <c r="O2750" i="6"/>
  <c r="N2750" i="6"/>
  <c r="M2750" i="6"/>
  <c r="B2750" i="6"/>
  <c r="AE2749" i="6"/>
  <c r="AD2749" i="6"/>
  <c r="W2749" i="6"/>
  <c r="T2749" i="6"/>
  <c r="V2749" i="6" s="1"/>
  <c r="S2749" i="6"/>
  <c r="P2749" i="6"/>
  <c r="O2749" i="6"/>
  <c r="N2749" i="6"/>
  <c r="M2749" i="6"/>
  <c r="B2749" i="6"/>
  <c r="AE2748" i="6"/>
  <c r="AD2748" i="6"/>
  <c r="W2748" i="6"/>
  <c r="T2748" i="6"/>
  <c r="V2748" i="6" s="1"/>
  <c r="S2748" i="6"/>
  <c r="P2748" i="6"/>
  <c r="O2748" i="6"/>
  <c r="N2748" i="6"/>
  <c r="M2748" i="6"/>
  <c r="B2748" i="6"/>
  <c r="AE2747" i="6"/>
  <c r="AD2747" i="6"/>
  <c r="W2747" i="6"/>
  <c r="U2747" i="6"/>
  <c r="T2747" i="6"/>
  <c r="V2747" i="6" s="1"/>
  <c r="S2747" i="6"/>
  <c r="P2747" i="6"/>
  <c r="O2747" i="6"/>
  <c r="N2747" i="6"/>
  <c r="M2747" i="6"/>
  <c r="B2747" i="6"/>
  <c r="AE2746" i="6"/>
  <c r="AD2746" i="6"/>
  <c r="W2746" i="6"/>
  <c r="U2746" i="6"/>
  <c r="T2746" i="6"/>
  <c r="V2746" i="6" s="1"/>
  <c r="S2746" i="6"/>
  <c r="P2746" i="6"/>
  <c r="O2746" i="6"/>
  <c r="N2746" i="6"/>
  <c r="M2746" i="6"/>
  <c r="B2746" i="6"/>
  <c r="AE2745" i="6"/>
  <c r="AD2745" i="6"/>
  <c r="W2745" i="6"/>
  <c r="V2745" i="6"/>
  <c r="U2745" i="6"/>
  <c r="T2745" i="6"/>
  <c r="S2745" i="6"/>
  <c r="P2745" i="6"/>
  <c r="O2745" i="6"/>
  <c r="N2745" i="6"/>
  <c r="M2745" i="6"/>
  <c r="B2745" i="6"/>
  <c r="AE2744" i="6"/>
  <c r="AD2744" i="6"/>
  <c r="W2744" i="6"/>
  <c r="T2744" i="6"/>
  <c r="V2744" i="6" s="1"/>
  <c r="S2744" i="6"/>
  <c r="P2744" i="6"/>
  <c r="O2744" i="6"/>
  <c r="N2744" i="6"/>
  <c r="M2744" i="6"/>
  <c r="B2744" i="6"/>
  <c r="AE2743" i="6"/>
  <c r="AD2743" i="6"/>
  <c r="W2743" i="6"/>
  <c r="T2743" i="6"/>
  <c r="V2743" i="6" s="1"/>
  <c r="S2743" i="6"/>
  <c r="P2743" i="6"/>
  <c r="O2743" i="6"/>
  <c r="N2743" i="6"/>
  <c r="M2743" i="6"/>
  <c r="B2743" i="6"/>
  <c r="AE2742" i="6"/>
  <c r="AD2742" i="6"/>
  <c r="W2742" i="6"/>
  <c r="V2742" i="6"/>
  <c r="U2742" i="6"/>
  <c r="T2742" i="6"/>
  <c r="S2742" i="6"/>
  <c r="P2742" i="6"/>
  <c r="O2742" i="6"/>
  <c r="N2742" i="6"/>
  <c r="M2742" i="6"/>
  <c r="B2742" i="6"/>
  <c r="AE2741" i="6"/>
  <c r="AD2741" i="6"/>
  <c r="W2741" i="6"/>
  <c r="T2741" i="6"/>
  <c r="U2741" i="6" s="1"/>
  <c r="S2741" i="6"/>
  <c r="P2741" i="6"/>
  <c r="O2741" i="6"/>
  <c r="N2741" i="6"/>
  <c r="M2741" i="6"/>
  <c r="B2741" i="6"/>
  <c r="AE2740" i="6"/>
  <c r="AD2740" i="6"/>
  <c r="W2740" i="6"/>
  <c r="V2740" i="6"/>
  <c r="U2740" i="6"/>
  <c r="T2740" i="6"/>
  <c r="S2740" i="6"/>
  <c r="P2740" i="6"/>
  <c r="O2740" i="6"/>
  <c r="N2740" i="6"/>
  <c r="M2740" i="6"/>
  <c r="B2740" i="6"/>
  <c r="AE2739" i="6"/>
  <c r="AD2739" i="6"/>
  <c r="W2739" i="6"/>
  <c r="T2739" i="6"/>
  <c r="V2739" i="6" s="1"/>
  <c r="S2739" i="6"/>
  <c r="P2739" i="6"/>
  <c r="O2739" i="6"/>
  <c r="N2739" i="6"/>
  <c r="M2739" i="6"/>
  <c r="B2739" i="6"/>
  <c r="AE2738" i="6"/>
  <c r="AD2738" i="6"/>
  <c r="W2738" i="6"/>
  <c r="U2738" i="6"/>
  <c r="T2738" i="6"/>
  <c r="V2738" i="6" s="1"/>
  <c r="S2738" i="6"/>
  <c r="P2738" i="6"/>
  <c r="O2738" i="6"/>
  <c r="N2738" i="6"/>
  <c r="M2738" i="6"/>
  <c r="B2738" i="6"/>
  <c r="AE2737" i="6"/>
  <c r="AD2737" i="6"/>
  <c r="W2737" i="6"/>
  <c r="V2737" i="6"/>
  <c r="T2737" i="6"/>
  <c r="U2737" i="6" s="1"/>
  <c r="S2737" i="6"/>
  <c r="P2737" i="6"/>
  <c r="O2737" i="6"/>
  <c r="N2737" i="6"/>
  <c r="M2737" i="6"/>
  <c r="B2737" i="6"/>
  <c r="AE2736" i="6"/>
  <c r="AD2736" i="6"/>
  <c r="W2736" i="6"/>
  <c r="T2736" i="6"/>
  <c r="V2736" i="6" s="1"/>
  <c r="S2736" i="6"/>
  <c r="P2736" i="6"/>
  <c r="O2736" i="6"/>
  <c r="N2736" i="6"/>
  <c r="M2736" i="6"/>
  <c r="B2736" i="6"/>
  <c r="AE2735" i="6"/>
  <c r="AD2735" i="6"/>
  <c r="W2735" i="6"/>
  <c r="V2735" i="6"/>
  <c r="U2735" i="6"/>
  <c r="T2735" i="6"/>
  <c r="S2735" i="6"/>
  <c r="P2735" i="6"/>
  <c r="O2735" i="6"/>
  <c r="N2735" i="6"/>
  <c r="M2735" i="6"/>
  <c r="B2735" i="6"/>
  <c r="AE2734" i="6"/>
  <c r="AD2734" i="6"/>
  <c r="W2734" i="6"/>
  <c r="T2734" i="6"/>
  <c r="V2734" i="6" s="1"/>
  <c r="S2734" i="6"/>
  <c r="P2734" i="6"/>
  <c r="O2734" i="6"/>
  <c r="N2734" i="6"/>
  <c r="M2734" i="6"/>
  <c r="B2734" i="6"/>
  <c r="AE2733" i="6"/>
  <c r="AD2733" i="6"/>
  <c r="W2733" i="6"/>
  <c r="T2733" i="6"/>
  <c r="V2733" i="6" s="1"/>
  <c r="S2733" i="6"/>
  <c r="P2733" i="6"/>
  <c r="O2733" i="6"/>
  <c r="N2733" i="6"/>
  <c r="M2733" i="6"/>
  <c r="B2733" i="6"/>
  <c r="AE2732" i="6"/>
  <c r="AD2732" i="6"/>
  <c r="W2732" i="6"/>
  <c r="T2732" i="6"/>
  <c r="V2732" i="6" s="1"/>
  <c r="S2732" i="6"/>
  <c r="P2732" i="6"/>
  <c r="O2732" i="6"/>
  <c r="N2732" i="6"/>
  <c r="M2732" i="6"/>
  <c r="B2732" i="6"/>
  <c r="AE2731" i="6"/>
  <c r="AD2731" i="6"/>
  <c r="W2731" i="6"/>
  <c r="V2731" i="6"/>
  <c r="U2731" i="6"/>
  <c r="T2731" i="6"/>
  <c r="S2731" i="6"/>
  <c r="P2731" i="6"/>
  <c r="O2731" i="6"/>
  <c r="N2731" i="6"/>
  <c r="M2731" i="6"/>
  <c r="B2731" i="6"/>
  <c r="AE2730" i="6"/>
  <c r="AD2730" i="6"/>
  <c r="W2730" i="6"/>
  <c r="V2730" i="6"/>
  <c r="U2730" i="6"/>
  <c r="T2730" i="6"/>
  <c r="S2730" i="6"/>
  <c r="P2730" i="6"/>
  <c r="O2730" i="6"/>
  <c r="N2730" i="6"/>
  <c r="M2730" i="6"/>
  <c r="B2730" i="6"/>
  <c r="AE2729" i="6"/>
  <c r="AD2729" i="6"/>
  <c r="W2729" i="6"/>
  <c r="T2729" i="6"/>
  <c r="V2729" i="6" s="1"/>
  <c r="S2729" i="6"/>
  <c r="P2729" i="6"/>
  <c r="O2729" i="6"/>
  <c r="N2729" i="6"/>
  <c r="M2729" i="6"/>
  <c r="B2729" i="6"/>
  <c r="AE2728" i="6"/>
  <c r="AD2728" i="6"/>
  <c r="W2728" i="6"/>
  <c r="T2728" i="6"/>
  <c r="V2728" i="6" s="1"/>
  <c r="S2728" i="6"/>
  <c r="P2728" i="6"/>
  <c r="O2728" i="6"/>
  <c r="N2728" i="6"/>
  <c r="M2728" i="6"/>
  <c r="B2728" i="6"/>
  <c r="AE2727" i="6"/>
  <c r="AD2727" i="6"/>
  <c r="W2727" i="6"/>
  <c r="V2727" i="6"/>
  <c r="T2727" i="6"/>
  <c r="U2727" i="6" s="1"/>
  <c r="S2727" i="6"/>
  <c r="P2727" i="6"/>
  <c r="O2727" i="6"/>
  <c r="N2727" i="6"/>
  <c r="M2727" i="6"/>
  <c r="B2727" i="6"/>
  <c r="AE2726" i="6"/>
  <c r="AD2726" i="6"/>
  <c r="W2726" i="6"/>
  <c r="U2726" i="6"/>
  <c r="T2726" i="6"/>
  <c r="V2726" i="6" s="1"/>
  <c r="S2726" i="6"/>
  <c r="P2726" i="6"/>
  <c r="O2726" i="6"/>
  <c r="N2726" i="6"/>
  <c r="M2726" i="6"/>
  <c r="B2726" i="6"/>
  <c r="AE2725" i="6"/>
  <c r="AD2725" i="6"/>
  <c r="W2725" i="6"/>
  <c r="V2725" i="6"/>
  <c r="U2725" i="6"/>
  <c r="T2725" i="6"/>
  <c r="S2725" i="6"/>
  <c r="P2725" i="6"/>
  <c r="O2725" i="6"/>
  <c r="N2725" i="6"/>
  <c r="M2725" i="6"/>
  <c r="B2725" i="6"/>
  <c r="AE2724" i="6"/>
  <c r="AD2724" i="6"/>
  <c r="W2724" i="6"/>
  <c r="T2724" i="6"/>
  <c r="V2724" i="6" s="1"/>
  <c r="S2724" i="6"/>
  <c r="P2724" i="6"/>
  <c r="O2724" i="6"/>
  <c r="N2724" i="6"/>
  <c r="M2724" i="6"/>
  <c r="B2724" i="6"/>
  <c r="AE2723" i="6"/>
  <c r="AD2723" i="6"/>
  <c r="W2723" i="6"/>
  <c r="U2723" i="6"/>
  <c r="T2723" i="6"/>
  <c r="V2723" i="6" s="1"/>
  <c r="S2723" i="6"/>
  <c r="P2723" i="6"/>
  <c r="O2723" i="6"/>
  <c r="N2723" i="6"/>
  <c r="M2723" i="6"/>
  <c r="B2723" i="6"/>
  <c r="AE2722" i="6"/>
  <c r="AD2722" i="6"/>
  <c r="W2722" i="6"/>
  <c r="T2722" i="6"/>
  <c r="V2722" i="6" s="1"/>
  <c r="S2722" i="6"/>
  <c r="P2722" i="6"/>
  <c r="O2722" i="6"/>
  <c r="N2722" i="6"/>
  <c r="M2722" i="6"/>
  <c r="B2722" i="6"/>
  <c r="AE2721" i="6"/>
  <c r="AD2721" i="6"/>
  <c r="W2721" i="6"/>
  <c r="V2721" i="6"/>
  <c r="U2721" i="6"/>
  <c r="T2721" i="6"/>
  <c r="S2721" i="6"/>
  <c r="P2721" i="6"/>
  <c r="O2721" i="6"/>
  <c r="N2721" i="6"/>
  <c r="M2721" i="6"/>
  <c r="B2721" i="6"/>
  <c r="AE2720" i="6"/>
  <c r="AD2720" i="6"/>
  <c r="W2720" i="6"/>
  <c r="V2720" i="6"/>
  <c r="U2720" i="6"/>
  <c r="T2720" i="6"/>
  <c r="S2720" i="6"/>
  <c r="P2720" i="6"/>
  <c r="O2720" i="6"/>
  <c r="N2720" i="6"/>
  <c r="M2720" i="6"/>
  <c r="B2720" i="6"/>
  <c r="AE2719" i="6"/>
  <c r="AD2719" i="6"/>
  <c r="W2719" i="6"/>
  <c r="T2719" i="6"/>
  <c r="V2719" i="6" s="1"/>
  <c r="S2719" i="6"/>
  <c r="P2719" i="6"/>
  <c r="O2719" i="6"/>
  <c r="N2719" i="6"/>
  <c r="M2719" i="6"/>
  <c r="B2719" i="6"/>
  <c r="AE2718" i="6"/>
  <c r="AD2718" i="6"/>
  <c r="W2718" i="6"/>
  <c r="U2718" i="6"/>
  <c r="T2718" i="6"/>
  <c r="V2718" i="6" s="1"/>
  <c r="S2718" i="6"/>
  <c r="P2718" i="6"/>
  <c r="O2718" i="6"/>
  <c r="N2718" i="6"/>
  <c r="M2718" i="6"/>
  <c r="B2718" i="6"/>
  <c r="AE2717" i="6"/>
  <c r="AD2717" i="6"/>
  <c r="W2717" i="6"/>
  <c r="U2717" i="6"/>
  <c r="T2717" i="6"/>
  <c r="V2717" i="6" s="1"/>
  <c r="S2717" i="6"/>
  <c r="P2717" i="6"/>
  <c r="O2717" i="6"/>
  <c r="N2717" i="6"/>
  <c r="M2717" i="6"/>
  <c r="B2717" i="6"/>
  <c r="AE2716" i="6"/>
  <c r="AD2716" i="6"/>
  <c r="W2716" i="6"/>
  <c r="V2716" i="6"/>
  <c r="T2716" i="6"/>
  <c r="U2716" i="6" s="1"/>
  <c r="S2716" i="6"/>
  <c r="P2716" i="6"/>
  <c r="O2716" i="6"/>
  <c r="N2716" i="6"/>
  <c r="M2716" i="6"/>
  <c r="B2716" i="6"/>
  <c r="AE2715" i="6"/>
  <c r="AD2715" i="6"/>
  <c r="W2715" i="6"/>
  <c r="V2715" i="6"/>
  <c r="U2715" i="6"/>
  <c r="T2715" i="6"/>
  <c r="S2715" i="6"/>
  <c r="P2715" i="6"/>
  <c r="O2715" i="6"/>
  <c r="N2715" i="6"/>
  <c r="M2715" i="6"/>
  <c r="B2715" i="6"/>
  <c r="AE2714" i="6"/>
  <c r="AD2714" i="6"/>
  <c r="W2714" i="6"/>
  <c r="T2714" i="6"/>
  <c r="V2714" i="6" s="1"/>
  <c r="S2714" i="6"/>
  <c r="P2714" i="6"/>
  <c r="O2714" i="6"/>
  <c r="N2714" i="6"/>
  <c r="M2714" i="6"/>
  <c r="B2714" i="6"/>
  <c r="AE2713" i="6"/>
  <c r="AD2713" i="6"/>
  <c r="W2713" i="6"/>
  <c r="U2713" i="6"/>
  <c r="T2713" i="6"/>
  <c r="V2713" i="6" s="1"/>
  <c r="S2713" i="6"/>
  <c r="P2713" i="6"/>
  <c r="O2713" i="6"/>
  <c r="N2713" i="6"/>
  <c r="M2713" i="6"/>
  <c r="B2713" i="6"/>
  <c r="AE2712" i="6"/>
  <c r="AD2712" i="6"/>
  <c r="W2712" i="6"/>
  <c r="T2712" i="6"/>
  <c r="U2712" i="6" s="1"/>
  <c r="S2712" i="6"/>
  <c r="P2712" i="6"/>
  <c r="O2712" i="6"/>
  <c r="N2712" i="6"/>
  <c r="M2712" i="6"/>
  <c r="B2712" i="6"/>
  <c r="AE2711" i="6"/>
  <c r="AD2711" i="6"/>
  <c r="W2711" i="6"/>
  <c r="T2711" i="6"/>
  <c r="V2711" i="6" s="1"/>
  <c r="S2711" i="6"/>
  <c r="P2711" i="6"/>
  <c r="O2711" i="6"/>
  <c r="N2711" i="6"/>
  <c r="M2711" i="6"/>
  <c r="B2711" i="6"/>
  <c r="AE2710" i="6"/>
  <c r="AD2710" i="6"/>
  <c r="W2710" i="6"/>
  <c r="V2710" i="6"/>
  <c r="U2710" i="6"/>
  <c r="T2710" i="6"/>
  <c r="S2710" i="6"/>
  <c r="P2710" i="6"/>
  <c r="O2710" i="6"/>
  <c r="N2710" i="6"/>
  <c r="M2710" i="6"/>
  <c r="B2710" i="6"/>
  <c r="AE2709" i="6"/>
  <c r="AD2709" i="6"/>
  <c r="W2709" i="6"/>
  <c r="T2709" i="6"/>
  <c r="V2709" i="6" s="1"/>
  <c r="S2709" i="6"/>
  <c r="P2709" i="6"/>
  <c r="O2709" i="6"/>
  <c r="N2709" i="6"/>
  <c r="M2709" i="6"/>
  <c r="B2709" i="6"/>
  <c r="AE2708" i="6"/>
  <c r="AD2708" i="6"/>
  <c r="W2708" i="6"/>
  <c r="T2708" i="6"/>
  <c r="V2708" i="6" s="1"/>
  <c r="S2708" i="6"/>
  <c r="P2708" i="6"/>
  <c r="O2708" i="6"/>
  <c r="N2708" i="6"/>
  <c r="M2708" i="6"/>
  <c r="B2708" i="6"/>
  <c r="AE2707" i="6"/>
  <c r="AD2707" i="6"/>
  <c r="W2707" i="6"/>
  <c r="T2707" i="6"/>
  <c r="V2707" i="6" s="1"/>
  <c r="S2707" i="6"/>
  <c r="P2707" i="6"/>
  <c r="O2707" i="6"/>
  <c r="N2707" i="6"/>
  <c r="M2707" i="6"/>
  <c r="B2707" i="6"/>
  <c r="AE2706" i="6"/>
  <c r="AD2706" i="6"/>
  <c r="W2706" i="6"/>
  <c r="V2706" i="6"/>
  <c r="T2706" i="6"/>
  <c r="U2706" i="6" s="1"/>
  <c r="S2706" i="6"/>
  <c r="P2706" i="6"/>
  <c r="O2706" i="6"/>
  <c r="N2706" i="6"/>
  <c r="M2706" i="6"/>
  <c r="B2706" i="6"/>
  <c r="AE2705" i="6"/>
  <c r="AD2705" i="6"/>
  <c r="W2705" i="6"/>
  <c r="V2705" i="6"/>
  <c r="U2705" i="6"/>
  <c r="T2705" i="6"/>
  <c r="S2705" i="6"/>
  <c r="P2705" i="6"/>
  <c r="O2705" i="6"/>
  <c r="N2705" i="6"/>
  <c r="M2705" i="6"/>
  <c r="B2705" i="6"/>
  <c r="AE2704" i="6"/>
  <c r="AD2704" i="6"/>
  <c r="W2704" i="6"/>
  <c r="T2704" i="6"/>
  <c r="V2704" i="6" s="1"/>
  <c r="S2704" i="6"/>
  <c r="P2704" i="6"/>
  <c r="O2704" i="6"/>
  <c r="N2704" i="6"/>
  <c r="M2704" i="6"/>
  <c r="B2704" i="6"/>
  <c r="AE2703" i="6"/>
  <c r="AD2703" i="6"/>
  <c r="W2703" i="6"/>
  <c r="T2703" i="6"/>
  <c r="V2703" i="6" s="1"/>
  <c r="S2703" i="6"/>
  <c r="P2703" i="6"/>
  <c r="O2703" i="6"/>
  <c r="N2703" i="6"/>
  <c r="M2703" i="6"/>
  <c r="B2703" i="6"/>
  <c r="AE2702" i="6"/>
  <c r="AD2702" i="6"/>
  <c r="W2702" i="6"/>
  <c r="V2702" i="6"/>
  <c r="T2702" i="6"/>
  <c r="U2702" i="6" s="1"/>
  <c r="S2702" i="6"/>
  <c r="P2702" i="6"/>
  <c r="O2702" i="6"/>
  <c r="N2702" i="6"/>
  <c r="M2702" i="6"/>
  <c r="B2702" i="6"/>
  <c r="AE2701" i="6"/>
  <c r="AD2701" i="6"/>
  <c r="W2701" i="6"/>
  <c r="T2701" i="6"/>
  <c r="V2701" i="6" s="1"/>
  <c r="S2701" i="6"/>
  <c r="P2701" i="6"/>
  <c r="O2701" i="6"/>
  <c r="N2701" i="6"/>
  <c r="M2701" i="6"/>
  <c r="B2701" i="6"/>
  <c r="AE2700" i="6"/>
  <c r="AD2700" i="6"/>
  <c r="W2700" i="6"/>
  <c r="V2700" i="6"/>
  <c r="U2700" i="6"/>
  <c r="T2700" i="6"/>
  <c r="S2700" i="6"/>
  <c r="P2700" i="6"/>
  <c r="O2700" i="6"/>
  <c r="N2700" i="6"/>
  <c r="M2700" i="6"/>
  <c r="B2700" i="6"/>
  <c r="AE2699" i="6"/>
  <c r="AD2699" i="6"/>
  <c r="W2699" i="6"/>
  <c r="T2699" i="6"/>
  <c r="V2699" i="6" s="1"/>
  <c r="S2699" i="6"/>
  <c r="P2699" i="6"/>
  <c r="O2699" i="6"/>
  <c r="N2699" i="6"/>
  <c r="M2699" i="6"/>
  <c r="B2699" i="6"/>
  <c r="AE2698" i="6"/>
  <c r="AD2698" i="6"/>
  <c r="W2698" i="6"/>
  <c r="T2698" i="6"/>
  <c r="V2698" i="6" s="1"/>
  <c r="S2698" i="6"/>
  <c r="P2698" i="6"/>
  <c r="O2698" i="6"/>
  <c r="N2698" i="6"/>
  <c r="M2698" i="6"/>
  <c r="B2698" i="6"/>
  <c r="AE2697" i="6"/>
  <c r="AD2697" i="6"/>
  <c r="W2697" i="6"/>
  <c r="U2697" i="6"/>
  <c r="T2697" i="6"/>
  <c r="V2697" i="6" s="1"/>
  <c r="S2697" i="6"/>
  <c r="P2697" i="6"/>
  <c r="O2697" i="6"/>
  <c r="N2697" i="6"/>
  <c r="M2697" i="6"/>
  <c r="B2697" i="6"/>
  <c r="AE2696" i="6"/>
  <c r="AD2696" i="6"/>
  <c r="W2696" i="6"/>
  <c r="U2696" i="6"/>
  <c r="T2696" i="6"/>
  <c r="V2696" i="6" s="1"/>
  <c r="S2696" i="6"/>
  <c r="P2696" i="6"/>
  <c r="O2696" i="6"/>
  <c r="N2696" i="6"/>
  <c r="M2696" i="6"/>
  <c r="B2696" i="6"/>
  <c r="AE2695" i="6"/>
  <c r="AD2695" i="6"/>
  <c r="W2695" i="6"/>
  <c r="V2695" i="6"/>
  <c r="U2695" i="6"/>
  <c r="T2695" i="6"/>
  <c r="S2695" i="6"/>
  <c r="P2695" i="6"/>
  <c r="O2695" i="6"/>
  <c r="N2695" i="6"/>
  <c r="M2695" i="6"/>
  <c r="B2695" i="6"/>
  <c r="AE2694" i="6"/>
  <c r="AD2694" i="6"/>
  <c r="W2694" i="6"/>
  <c r="T2694" i="6"/>
  <c r="V2694" i="6" s="1"/>
  <c r="S2694" i="6"/>
  <c r="P2694" i="6"/>
  <c r="O2694" i="6"/>
  <c r="N2694" i="6"/>
  <c r="M2694" i="6"/>
  <c r="B2694" i="6"/>
  <c r="AE2693" i="6"/>
  <c r="AD2693" i="6"/>
  <c r="W2693" i="6"/>
  <c r="T2693" i="6"/>
  <c r="V2693" i="6" s="1"/>
  <c r="S2693" i="6"/>
  <c r="P2693" i="6"/>
  <c r="O2693" i="6"/>
  <c r="N2693" i="6"/>
  <c r="M2693" i="6"/>
  <c r="B2693" i="6"/>
  <c r="AE2692" i="6"/>
  <c r="AD2692" i="6"/>
  <c r="W2692" i="6"/>
  <c r="V2692" i="6"/>
  <c r="U2692" i="6"/>
  <c r="T2692" i="6"/>
  <c r="S2692" i="6"/>
  <c r="P2692" i="6"/>
  <c r="O2692" i="6"/>
  <c r="N2692" i="6"/>
  <c r="M2692" i="6"/>
  <c r="B2692" i="6"/>
  <c r="AE2691" i="6"/>
  <c r="AD2691" i="6"/>
  <c r="W2691" i="6"/>
  <c r="T2691" i="6"/>
  <c r="U2691" i="6" s="1"/>
  <c r="S2691" i="6"/>
  <c r="P2691" i="6"/>
  <c r="O2691" i="6"/>
  <c r="N2691" i="6"/>
  <c r="M2691" i="6"/>
  <c r="B2691" i="6"/>
  <c r="AE2690" i="6"/>
  <c r="AD2690" i="6"/>
  <c r="W2690" i="6"/>
  <c r="V2690" i="6"/>
  <c r="U2690" i="6"/>
  <c r="T2690" i="6"/>
  <c r="S2690" i="6"/>
  <c r="P2690" i="6"/>
  <c r="O2690" i="6"/>
  <c r="N2690" i="6"/>
  <c r="M2690" i="6"/>
  <c r="B2690" i="6"/>
  <c r="AE2689" i="6"/>
  <c r="AD2689" i="6"/>
  <c r="W2689" i="6"/>
  <c r="T2689" i="6"/>
  <c r="V2689" i="6" s="1"/>
  <c r="S2689" i="6"/>
  <c r="P2689" i="6"/>
  <c r="O2689" i="6"/>
  <c r="N2689" i="6"/>
  <c r="M2689" i="6"/>
  <c r="B2689" i="6"/>
  <c r="AE2688" i="6"/>
  <c r="AD2688" i="6"/>
  <c r="W2688" i="6"/>
  <c r="U2688" i="6"/>
  <c r="T2688" i="6"/>
  <c r="V2688" i="6" s="1"/>
  <c r="S2688" i="6"/>
  <c r="P2688" i="6"/>
  <c r="O2688" i="6"/>
  <c r="N2688" i="6"/>
  <c r="M2688" i="6"/>
  <c r="B2688" i="6"/>
  <c r="AE2687" i="6"/>
  <c r="AD2687" i="6"/>
  <c r="W2687" i="6"/>
  <c r="T2687" i="6"/>
  <c r="V2687" i="6" s="1"/>
  <c r="S2687" i="6"/>
  <c r="P2687" i="6"/>
  <c r="O2687" i="6"/>
  <c r="N2687" i="6"/>
  <c r="M2687" i="6"/>
  <c r="B2687" i="6"/>
  <c r="AE2686" i="6"/>
  <c r="AD2686" i="6"/>
  <c r="W2686" i="6"/>
  <c r="T2686" i="6"/>
  <c r="V2686" i="6" s="1"/>
  <c r="S2686" i="6"/>
  <c r="P2686" i="6"/>
  <c r="O2686" i="6"/>
  <c r="N2686" i="6"/>
  <c r="M2686" i="6"/>
  <c r="B2686" i="6"/>
  <c r="AE2685" i="6"/>
  <c r="AD2685" i="6"/>
  <c r="W2685" i="6"/>
  <c r="V2685" i="6"/>
  <c r="U2685" i="6"/>
  <c r="T2685" i="6"/>
  <c r="S2685" i="6"/>
  <c r="P2685" i="6"/>
  <c r="O2685" i="6"/>
  <c r="N2685" i="6"/>
  <c r="M2685" i="6"/>
  <c r="B2685" i="6"/>
  <c r="AE2684" i="6"/>
  <c r="AD2684" i="6"/>
  <c r="W2684" i="6"/>
  <c r="T2684" i="6"/>
  <c r="V2684" i="6" s="1"/>
  <c r="S2684" i="6"/>
  <c r="P2684" i="6"/>
  <c r="O2684" i="6"/>
  <c r="N2684" i="6"/>
  <c r="M2684" i="6"/>
  <c r="B2684" i="6"/>
  <c r="AE2683" i="6"/>
  <c r="AD2683" i="6"/>
  <c r="W2683" i="6"/>
  <c r="T2683" i="6"/>
  <c r="V2683" i="6" s="1"/>
  <c r="S2683" i="6"/>
  <c r="P2683" i="6"/>
  <c r="O2683" i="6"/>
  <c r="N2683" i="6"/>
  <c r="M2683" i="6"/>
  <c r="B2683" i="6"/>
  <c r="AE2682" i="6"/>
  <c r="AD2682" i="6"/>
  <c r="W2682" i="6"/>
  <c r="T2682" i="6"/>
  <c r="V2682" i="6" s="1"/>
  <c r="S2682" i="6"/>
  <c r="P2682" i="6"/>
  <c r="O2682" i="6"/>
  <c r="N2682" i="6"/>
  <c r="M2682" i="6"/>
  <c r="B2682" i="6"/>
  <c r="AE2681" i="6"/>
  <c r="AD2681" i="6"/>
  <c r="W2681" i="6"/>
  <c r="V2681" i="6"/>
  <c r="U2681" i="6"/>
  <c r="T2681" i="6"/>
  <c r="S2681" i="6"/>
  <c r="P2681" i="6"/>
  <c r="O2681" i="6"/>
  <c r="N2681" i="6"/>
  <c r="M2681" i="6"/>
  <c r="B2681" i="6"/>
  <c r="AE2680" i="6"/>
  <c r="AD2680" i="6"/>
  <c r="W2680" i="6"/>
  <c r="V2680" i="6"/>
  <c r="U2680" i="6"/>
  <c r="T2680" i="6"/>
  <c r="S2680" i="6"/>
  <c r="P2680" i="6"/>
  <c r="O2680" i="6"/>
  <c r="N2680" i="6"/>
  <c r="M2680" i="6"/>
  <c r="B2680" i="6"/>
  <c r="AE2679" i="6"/>
  <c r="AD2679" i="6"/>
  <c r="W2679" i="6"/>
  <c r="T2679" i="6"/>
  <c r="V2679" i="6" s="1"/>
  <c r="S2679" i="6"/>
  <c r="P2679" i="6"/>
  <c r="O2679" i="6"/>
  <c r="N2679" i="6"/>
  <c r="M2679" i="6"/>
  <c r="B2679" i="6"/>
  <c r="AE2678" i="6"/>
  <c r="AD2678" i="6"/>
  <c r="W2678" i="6"/>
  <c r="T2678" i="6"/>
  <c r="V2678" i="6" s="1"/>
  <c r="S2678" i="6"/>
  <c r="P2678" i="6"/>
  <c r="O2678" i="6"/>
  <c r="N2678" i="6"/>
  <c r="M2678" i="6"/>
  <c r="B2678" i="6"/>
  <c r="AE2677" i="6"/>
  <c r="AD2677" i="6"/>
  <c r="W2677" i="6"/>
  <c r="V2677" i="6"/>
  <c r="T2677" i="6"/>
  <c r="U2677" i="6" s="1"/>
  <c r="S2677" i="6"/>
  <c r="P2677" i="6"/>
  <c r="O2677" i="6"/>
  <c r="N2677" i="6"/>
  <c r="M2677" i="6"/>
  <c r="B2677" i="6"/>
  <c r="AE2676" i="6"/>
  <c r="AD2676" i="6"/>
  <c r="W2676" i="6"/>
  <c r="U2676" i="6"/>
  <c r="T2676" i="6"/>
  <c r="V2676" i="6" s="1"/>
  <c r="S2676" i="6"/>
  <c r="P2676" i="6"/>
  <c r="O2676" i="6"/>
  <c r="N2676" i="6"/>
  <c r="M2676" i="6"/>
  <c r="B2676" i="6"/>
  <c r="AE2675" i="6"/>
  <c r="AD2675" i="6"/>
  <c r="W2675" i="6"/>
  <c r="V2675" i="6"/>
  <c r="U2675" i="6"/>
  <c r="T2675" i="6"/>
  <c r="S2675" i="6"/>
  <c r="P2675" i="6"/>
  <c r="O2675" i="6"/>
  <c r="N2675" i="6"/>
  <c r="M2675" i="6"/>
  <c r="B2675" i="6"/>
  <c r="AE2674" i="6"/>
  <c r="AD2674" i="6"/>
  <c r="W2674" i="6"/>
  <c r="T2674" i="6"/>
  <c r="V2674" i="6" s="1"/>
  <c r="S2674" i="6"/>
  <c r="P2674" i="6"/>
  <c r="O2674" i="6"/>
  <c r="N2674" i="6"/>
  <c r="M2674" i="6"/>
  <c r="B2674" i="6"/>
  <c r="AE2673" i="6"/>
  <c r="AD2673" i="6"/>
  <c r="W2673" i="6"/>
  <c r="U2673" i="6"/>
  <c r="T2673" i="6"/>
  <c r="V2673" i="6" s="1"/>
  <c r="S2673" i="6"/>
  <c r="P2673" i="6"/>
  <c r="O2673" i="6"/>
  <c r="N2673" i="6"/>
  <c r="M2673" i="6"/>
  <c r="B2673" i="6"/>
  <c r="AE2672" i="6"/>
  <c r="AD2672" i="6"/>
  <c r="W2672" i="6"/>
  <c r="T2672" i="6"/>
  <c r="V2672" i="6" s="1"/>
  <c r="S2672" i="6"/>
  <c r="P2672" i="6"/>
  <c r="O2672" i="6"/>
  <c r="N2672" i="6"/>
  <c r="M2672" i="6"/>
  <c r="B2672" i="6"/>
  <c r="AE2671" i="6"/>
  <c r="AD2671" i="6"/>
  <c r="W2671" i="6"/>
  <c r="V2671" i="6"/>
  <c r="U2671" i="6"/>
  <c r="T2671" i="6"/>
  <c r="S2671" i="6"/>
  <c r="P2671" i="6"/>
  <c r="O2671" i="6"/>
  <c r="N2671" i="6"/>
  <c r="M2671" i="6"/>
  <c r="B2671" i="6"/>
  <c r="AE2670" i="6"/>
  <c r="AD2670" i="6"/>
  <c r="W2670" i="6"/>
  <c r="V2670" i="6"/>
  <c r="U2670" i="6"/>
  <c r="T2670" i="6"/>
  <c r="S2670" i="6"/>
  <c r="P2670" i="6"/>
  <c r="O2670" i="6"/>
  <c r="N2670" i="6"/>
  <c r="M2670" i="6"/>
  <c r="B2670" i="6"/>
  <c r="AE2669" i="6"/>
  <c r="AD2669" i="6"/>
  <c r="W2669" i="6"/>
  <c r="T2669" i="6"/>
  <c r="V2669" i="6" s="1"/>
  <c r="S2669" i="6"/>
  <c r="P2669" i="6"/>
  <c r="O2669" i="6"/>
  <c r="N2669" i="6"/>
  <c r="M2669" i="6"/>
  <c r="B2669" i="6"/>
  <c r="AE2668" i="6"/>
  <c r="AD2668" i="6"/>
  <c r="W2668" i="6"/>
  <c r="U2668" i="6"/>
  <c r="T2668" i="6"/>
  <c r="V2668" i="6" s="1"/>
  <c r="S2668" i="6"/>
  <c r="P2668" i="6"/>
  <c r="O2668" i="6"/>
  <c r="N2668" i="6"/>
  <c r="M2668" i="6"/>
  <c r="B2668" i="6"/>
  <c r="AE2667" i="6"/>
  <c r="AD2667" i="6"/>
  <c r="W2667" i="6"/>
  <c r="U2667" i="6"/>
  <c r="T2667" i="6"/>
  <c r="V2667" i="6" s="1"/>
  <c r="S2667" i="6"/>
  <c r="P2667" i="6"/>
  <c r="O2667" i="6"/>
  <c r="N2667" i="6"/>
  <c r="M2667" i="6"/>
  <c r="B2667" i="6"/>
  <c r="AE2666" i="6"/>
  <c r="AD2666" i="6"/>
  <c r="W2666" i="6"/>
  <c r="V2666" i="6"/>
  <c r="T2666" i="6"/>
  <c r="U2666" i="6" s="1"/>
  <c r="S2666" i="6"/>
  <c r="P2666" i="6"/>
  <c r="O2666" i="6"/>
  <c r="N2666" i="6"/>
  <c r="M2666" i="6"/>
  <c r="B2666" i="6"/>
  <c r="AE2665" i="6"/>
  <c r="AD2665" i="6"/>
  <c r="W2665" i="6"/>
  <c r="V2665" i="6"/>
  <c r="T2665" i="6"/>
  <c r="U2665" i="6" s="1"/>
  <c r="S2665" i="6"/>
  <c r="P2665" i="6"/>
  <c r="O2665" i="6"/>
  <c r="N2665" i="6"/>
  <c r="M2665" i="6"/>
  <c r="B2665" i="6"/>
  <c r="AE2664" i="6"/>
  <c r="AD2664" i="6"/>
  <c r="W2664" i="6"/>
  <c r="T2664" i="6"/>
  <c r="V2664" i="6" s="1"/>
  <c r="S2664" i="6"/>
  <c r="P2664" i="6"/>
  <c r="O2664" i="6"/>
  <c r="N2664" i="6"/>
  <c r="M2664" i="6"/>
  <c r="B2664" i="6"/>
  <c r="AE2663" i="6"/>
  <c r="AD2663" i="6"/>
  <c r="W2663" i="6"/>
  <c r="T2663" i="6"/>
  <c r="V2663" i="6" s="1"/>
  <c r="S2663" i="6"/>
  <c r="P2663" i="6"/>
  <c r="O2663" i="6"/>
  <c r="N2663" i="6"/>
  <c r="M2663" i="6"/>
  <c r="B2663" i="6"/>
  <c r="AE2662" i="6"/>
  <c r="AD2662" i="6"/>
  <c r="W2662" i="6"/>
  <c r="V2662" i="6"/>
  <c r="T2662" i="6"/>
  <c r="U2662" i="6" s="1"/>
  <c r="S2662" i="6"/>
  <c r="P2662" i="6"/>
  <c r="O2662" i="6"/>
  <c r="N2662" i="6"/>
  <c r="M2662" i="6"/>
  <c r="B2662" i="6"/>
  <c r="AE2661" i="6"/>
  <c r="AD2661" i="6"/>
  <c r="W2661" i="6"/>
  <c r="U2661" i="6"/>
  <c r="T2661" i="6"/>
  <c r="V2661" i="6" s="1"/>
  <c r="S2661" i="6"/>
  <c r="P2661" i="6"/>
  <c r="O2661" i="6"/>
  <c r="N2661" i="6"/>
  <c r="M2661" i="6"/>
  <c r="B2661" i="6"/>
  <c r="AE2660" i="6"/>
  <c r="AD2660" i="6"/>
  <c r="W2660" i="6"/>
  <c r="V2660" i="6"/>
  <c r="T2660" i="6"/>
  <c r="U2660" i="6" s="1"/>
  <c r="S2660" i="6"/>
  <c r="P2660" i="6"/>
  <c r="O2660" i="6"/>
  <c r="N2660" i="6"/>
  <c r="M2660" i="6"/>
  <c r="B2660" i="6"/>
  <c r="AE2659" i="6"/>
  <c r="AD2659" i="6"/>
  <c r="W2659" i="6"/>
  <c r="T2659" i="6"/>
  <c r="V2659" i="6" s="1"/>
  <c r="S2659" i="6"/>
  <c r="P2659" i="6"/>
  <c r="O2659" i="6"/>
  <c r="N2659" i="6"/>
  <c r="M2659" i="6"/>
  <c r="B2659" i="6"/>
  <c r="AE2658" i="6"/>
  <c r="AD2658" i="6"/>
  <c r="W2658" i="6"/>
  <c r="U2658" i="6"/>
  <c r="T2658" i="6"/>
  <c r="V2658" i="6" s="1"/>
  <c r="S2658" i="6"/>
  <c r="P2658" i="6"/>
  <c r="O2658" i="6"/>
  <c r="N2658" i="6"/>
  <c r="M2658" i="6"/>
  <c r="B2658" i="6"/>
  <c r="AE2657" i="6"/>
  <c r="AD2657" i="6"/>
  <c r="W2657" i="6"/>
  <c r="V2657" i="6"/>
  <c r="T2657" i="6"/>
  <c r="U2657" i="6" s="1"/>
  <c r="S2657" i="6"/>
  <c r="P2657" i="6"/>
  <c r="O2657" i="6"/>
  <c r="N2657" i="6"/>
  <c r="M2657" i="6"/>
  <c r="B2657" i="6"/>
  <c r="AE2656" i="6"/>
  <c r="AD2656" i="6"/>
  <c r="W2656" i="6"/>
  <c r="T2656" i="6"/>
  <c r="V2656" i="6" s="1"/>
  <c r="S2656" i="6"/>
  <c r="P2656" i="6"/>
  <c r="O2656" i="6"/>
  <c r="N2656" i="6"/>
  <c r="M2656" i="6"/>
  <c r="B2656" i="6"/>
  <c r="AE2655" i="6"/>
  <c r="AD2655" i="6"/>
  <c r="W2655" i="6"/>
  <c r="V2655" i="6"/>
  <c r="T2655" i="6"/>
  <c r="U2655" i="6" s="1"/>
  <c r="S2655" i="6"/>
  <c r="P2655" i="6"/>
  <c r="O2655" i="6"/>
  <c r="N2655" i="6"/>
  <c r="M2655" i="6"/>
  <c r="B2655" i="6"/>
  <c r="AE2654" i="6"/>
  <c r="AD2654" i="6"/>
  <c r="W2654" i="6"/>
  <c r="T2654" i="6"/>
  <c r="V2654" i="6" s="1"/>
  <c r="S2654" i="6"/>
  <c r="P2654" i="6"/>
  <c r="O2654" i="6"/>
  <c r="N2654" i="6"/>
  <c r="M2654" i="6"/>
  <c r="B2654" i="6"/>
  <c r="AE2653" i="6"/>
  <c r="AD2653" i="6"/>
  <c r="W2653" i="6"/>
  <c r="T2653" i="6"/>
  <c r="V2653" i="6" s="1"/>
  <c r="S2653" i="6"/>
  <c r="P2653" i="6"/>
  <c r="O2653" i="6"/>
  <c r="N2653" i="6"/>
  <c r="M2653" i="6"/>
  <c r="B2653" i="6"/>
  <c r="AE2652" i="6"/>
  <c r="AD2652" i="6"/>
  <c r="W2652" i="6"/>
  <c r="U2652" i="6"/>
  <c r="T2652" i="6"/>
  <c r="V2652" i="6" s="1"/>
  <c r="S2652" i="6"/>
  <c r="P2652" i="6"/>
  <c r="O2652" i="6"/>
  <c r="N2652" i="6"/>
  <c r="M2652" i="6"/>
  <c r="B2652" i="6"/>
  <c r="AE2651" i="6"/>
  <c r="AD2651" i="6"/>
  <c r="W2651" i="6"/>
  <c r="U2651" i="6"/>
  <c r="T2651" i="6"/>
  <c r="V2651" i="6" s="1"/>
  <c r="S2651" i="6"/>
  <c r="P2651" i="6"/>
  <c r="O2651" i="6"/>
  <c r="N2651" i="6"/>
  <c r="M2651" i="6"/>
  <c r="B2651" i="6"/>
  <c r="AE2650" i="6"/>
  <c r="AD2650" i="6"/>
  <c r="W2650" i="6"/>
  <c r="V2650" i="6"/>
  <c r="U2650" i="6"/>
  <c r="T2650" i="6"/>
  <c r="S2650" i="6"/>
  <c r="P2650" i="6"/>
  <c r="O2650" i="6"/>
  <c r="N2650" i="6"/>
  <c r="M2650" i="6"/>
  <c r="B2650" i="6"/>
  <c r="AE2649" i="6"/>
  <c r="AD2649" i="6"/>
  <c r="W2649" i="6"/>
  <c r="T2649" i="6"/>
  <c r="V2649" i="6" s="1"/>
  <c r="S2649" i="6"/>
  <c r="P2649" i="6"/>
  <c r="O2649" i="6"/>
  <c r="N2649" i="6"/>
  <c r="M2649" i="6"/>
  <c r="B2649" i="6"/>
  <c r="AE2648" i="6"/>
  <c r="AD2648" i="6"/>
  <c r="W2648" i="6"/>
  <c r="T2648" i="6"/>
  <c r="V2648" i="6" s="1"/>
  <c r="S2648" i="6"/>
  <c r="P2648" i="6"/>
  <c r="O2648" i="6"/>
  <c r="N2648" i="6"/>
  <c r="M2648" i="6"/>
  <c r="B2648" i="6"/>
  <c r="AE2647" i="6"/>
  <c r="AD2647" i="6"/>
  <c r="W2647" i="6"/>
  <c r="V2647" i="6"/>
  <c r="U2647" i="6"/>
  <c r="T2647" i="6"/>
  <c r="S2647" i="6"/>
  <c r="P2647" i="6"/>
  <c r="O2647" i="6"/>
  <c r="N2647" i="6"/>
  <c r="M2647" i="6"/>
  <c r="B2647" i="6"/>
  <c r="AE2646" i="6"/>
  <c r="AD2646" i="6"/>
  <c r="W2646" i="6"/>
  <c r="T2646" i="6"/>
  <c r="U2646" i="6" s="1"/>
  <c r="S2646" i="6"/>
  <c r="P2646" i="6"/>
  <c r="O2646" i="6"/>
  <c r="N2646" i="6"/>
  <c r="M2646" i="6"/>
  <c r="B2646" i="6"/>
  <c r="AE2645" i="6"/>
  <c r="AD2645" i="6"/>
  <c r="W2645" i="6"/>
  <c r="V2645" i="6"/>
  <c r="U2645" i="6"/>
  <c r="T2645" i="6"/>
  <c r="S2645" i="6"/>
  <c r="P2645" i="6"/>
  <c r="O2645" i="6"/>
  <c r="N2645" i="6"/>
  <c r="M2645" i="6"/>
  <c r="B2645" i="6"/>
  <c r="AE2644" i="6"/>
  <c r="AD2644" i="6"/>
  <c r="W2644" i="6"/>
  <c r="T2644" i="6"/>
  <c r="V2644" i="6" s="1"/>
  <c r="S2644" i="6"/>
  <c r="P2644" i="6"/>
  <c r="O2644" i="6"/>
  <c r="N2644" i="6"/>
  <c r="M2644" i="6"/>
  <c r="B2644" i="6"/>
  <c r="AE2643" i="6"/>
  <c r="AD2643" i="6"/>
  <c r="W2643" i="6"/>
  <c r="U2643" i="6"/>
  <c r="T2643" i="6"/>
  <c r="V2643" i="6" s="1"/>
  <c r="S2643" i="6"/>
  <c r="P2643" i="6"/>
  <c r="O2643" i="6"/>
  <c r="N2643" i="6"/>
  <c r="M2643" i="6"/>
  <c r="B2643" i="6"/>
  <c r="AE2642" i="6"/>
  <c r="AD2642" i="6"/>
  <c r="W2642" i="6"/>
  <c r="V2642" i="6"/>
  <c r="T2642" i="6"/>
  <c r="U2642" i="6" s="1"/>
  <c r="S2642" i="6"/>
  <c r="P2642" i="6"/>
  <c r="O2642" i="6"/>
  <c r="N2642" i="6"/>
  <c r="M2642" i="6"/>
  <c r="B2642" i="6"/>
  <c r="AE2641" i="6"/>
  <c r="AD2641" i="6"/>
  <c r="W2641" i="6"/>
  <c r="T2641" i="6"/>
  <c r="V2641" i="6" s="1"/>
  <c r="S2641" i="6"/>
  <c r="P2641" i="6"/>
  <c r="O2641" i="6"/>
  <c r="N2641" i="6"/>
  <c r="M2641" i="6"/>
  <c r="B2641" i="6"/>
  <c r="AE2640" i="6"/>
  <c r="AD2640" i="6"/>
  <c r="W2640" i="6"/>
  <c r="V2640" i="6"/>
  <c r="T2640" i="6"/>
  <c r="U2640" i="6" s="1"/>
  <c r="S2640" i="6"/>
  <c r="P2640" i="6"/>
  <c r="O2640" i="6"/>
  <c r="N2640" i="6"/>
  <c r="M2640" i="6"/>
  <c r="B2640" i="6"/>
  <c r="AE2639" i="6"/>
  <c r="AD2639" i="6"/>
  <c r="W2639" i="6"/>
  <c r="T2639" i="6"/>
  <c r="V2639" i="6" s="1"/>
  <c r="S2639" i="6"/>
  <c r="P2639" i="6"/>
  <c r="O2639" i="6"/>
  <c r="N2639" i="6"/>
  <c r="M2639" i="6"/>
  <c r="B2639" i="6"/>
  <c r="AE2638" i="6"/>
  <c r="AD2638" i="6"/>
  <c r="W2638" i="6"/>
  <c r="T2638" i="6"/>
  <c r="V2638" i="6" s="1"/>
  <c r="S2638" i="6"/>
  <c r="P2638" i="6"/>
  <c r="O2638" i="6"/>
  <c r="N2638" i="6"/>
  <c r="M2638" i="6"/>
  <c r="B2638" i="6"/>
  <c r="AE2637" i="6"/>
  <c r="AD2637" i="6"/>
  <c r="W2637" i="6"/>
  <c r="U2637" i="6"/>
  <c r="T2637" i="6"/>
  <c r="V2637" i="6" s="1"/>
  <c r="S2637" i="6"/>
  <c r="P2637" i="6"/>
  <c r="O2637" i="6"/>
  <c r="N2637" i="6"/>
  <c r="M2637" i="6"/>
  <c r="B2637" i="6"/>
  <c r="AE2636" i="6"/>
  <c r="AD2636" i="6"/>
  <c r="W2636" i="6"/>
  <c r="U2636" i="6"/>
  <c r="T2636" i="6"/>
  <c r="V2636" i="6" s="1"/>
  <c r="S2636" i="6"/>
  <c r="P2636" i="6"/>
  <c r="O2636" i="6"/>
  <c r="N2636" i="6"/>
  <c r="M2636" i="6"/>
  <c r="B2636" i="6"/>
  <c r="AE2635" i="6"/>
  <c r="AD2635" i="6"/>
  <c r="W2635" i="6"/>
  <c r="V2635" i="6"/>
  <c r="U2635" i="6"/>
  <c r="T2635" i="6"/>
  <c r="S2635" i="6"/>
  <c r="P2635" i="6"/>
  <c r="O2635" i="6"/>
  <c r="N2635" i="6"/>
  <c r="M2635" i="6"/>
  <c r="B2635" i="6"/>
  <c r="AE2634" i="6"/>
  <c r="AD2634" i="6"/>
  <c r="W2634" i="6"/>
  <c r="T2634" i="6"/>
  <c r="V2634" i="6" s="1"/>
  <c r="S2634" i="6"/>
  <c r="P2634" i="6"/>
  <c r="O2634" i="6"/>
  <c r="N2634" i="6"/>
  <c r="M2634" i="6"/>
  <c r="B2634" i="6"/>
  <c r="AE2633" i="6"/>
  <c r="AD2633" i="6"/>
  <c r="W2633" i="6"/>
  <c r="T2633" i="6"/>
  <c r="V2633" i="6" s="1"/>
  <c r="S2633" i="6"/>
  <c r="P2633" i="6"/>
  <c r="O2633" i="6"/>
  <c r="N2633" i="6"/>
  <c r="M2633" i="6"/>
  <c r="B2633" i="6"/>
  <c r="AE2632" i="6"/>
  <c r="AD2632" i="6"/>
  <c r="W2632" i="6"/>
  <c r="V2632" i="6"/>
  <c r="U2632" i="6"/>
  <c r="T2632" i="6"/>
  <c r="S2632" i="6"/>
  <c r="P2632" i="6"/>
  <c r="O2632" i="6"/>
  <c r="N2632" i="6"/>
  <c r="M2632" i="6"/>
  <c r="B2632" i="6"/>
  <c r="AE2631" i="6"/>
  <c r="AD2631" i="6"/>
  <c r="W2631" i="6"/>
  <c r="T2631" i="6"/>
  <c r="U2631" i="6" s="1"/>
  <c r="S2631" i="6"/>
  <c r="P2631" i="6"/>
  <c r="O2631" i="6"/>
  <c r="N2631" i="6"/>
  <c r="M2631" i="6"/>
  <c r="B2631" i="6"/>
  <c r="AE2630" i="6"/>
  <c r="AD2630" i="6"/>
  <c r="W2630" i="6"/>
  <c r="V2630" i="6"/>
  <c r="U2630" i="6"/>
  <c r="T2630" i="6"/>
  <c r="S2630" i="6"/>
  <c r="P2630" i="6"/>
  <c r="O2630" i="6"/>
  <c r="N2630" i="6"/>
  <c r="M2630" i="6"/>
  <c r="B2630" i="6"/>
  <c r="AE2629" i="6"/>
  <c r="AD2629" i="6"/>
  <c r="W2629" i="6"/>
  <c r="T2629" i="6"/>
  <c r="V2629" i="6" s="1"/>
  <c r="S2629" i="6"/>
  <c r="P2629" i="6"/>
  <c r="O2629" i="6"/>
  <c r="N2629" i="6"/>
  <c r="M2629" i="6"/>
  <c r="B2629" i="6"/>
  <c r="AE2628" i="6"/>
  <c r="AD2628" i="6"/>
  <c r="W2628" i="6"/>
  <c r="U2628" i="6"/>
  <c r="T2628" i="6"/>
  <c r="V2628" i="6" s="1"/>
  <c r="S2628" i="6"/>
  <c r="P2628" i="6"/>
  <c r="O2628" i="6"/>
  <c r="N2628" i="6"/>
  <c r="M2628" i="6"/>
  <c r="B2628" i="6"/>
  <c r="AE2627" i="6"/>
  <c r="AD2627" i="6"/>
  <c r="W2627" i="6"/>
  <c r="V2627" i="6"/>
  <c r="T2627" i="6"/>
  <c r="U2627" i="6" s="1"/>
  <c r="S2627" i="6"/>
  <c r="P2627" i="6"/>
  <c r="O2627" i="6"/>
  <c r="N2627" i="6"/>
  <c r="M2627" i="6"/>
  <c r="B2627" i="6"/>
  <c r="AE2626" i="6"/>
  <c r="AD2626" i="6"/>
  <c r="W2626" i="6"/>
  <c r="T2626" i="6"/>
  <c r="V2626" i="6" s="1"/>
  <c r="S2626" i="6"/>
  <c r="P2626" i="6"/>
  <c r="O2626" i="6"/>
  <c r="N2626" i="6"/>
  <c r="M2626" i="6"/>
  <c r="B2626" i="6"/>
  <c r="AE2625" i="6"/>
  <c r="AD2625" i="6"/>
  <c r="W2625" i="6"/>
  <c r="V2625" i="6"/>
  <c r="U2625" i="6"/>
  <c r="T2625" i="6"/>
  <c r="S2625" i="6"/>
  <c r="P2625" i="6"/>
  <c r="O2625" i="6"/>
  <c r="N2625" i="6"/>
  <c r="M2625" i="6"/>
  <c r="B2625" i="6"/>
  <c r="AE2624" i="6"/>
  <c r="AD2624" i="6"/>
  <c r="W2624" i="6"/>
  <c r="T2624" i="6"/>
  <c r="V2624" i="6" s="1"/>
  <c r="S2624" i="6"/>
  <c r="P2624" i="6"/>
  <c r="O2624" i="6"/>
  <c r="N2624" i="6"/>
  <c r="M2624" i="6"/>
  <c r="B2624" i="6"/>
  <c r="AE2623" i="6"/>
  <c r="AD2623" i="6"/>
  <c r="W2623" i="6"/>
  <c r="T2623" i="6"/>
  <c r="V2623" i="6" s="1"/>
  <c r="S2623" i="6"/>
  <c r="P2623" i="6"/>
  <c r="O2623" i="6"/>
  <c r="N2623" i="6"/>
  <c r="M2623" i="6"/>
  <c r="B2623" i="6"/>
  <c r="AE2622" i="6"/>
  <c r="AD2622" i="6"/>
  <c r="W2622" i="6"/>
  <c r="T2622" i="6"/>
  <c r="V2622" i="6" s="1"/>
  <c r="S2622" i="6"/>
  <c r="P2622" i="6"/>
  <c r="O2622" i="6"/>
  <c r="N2622" i="6"/>
  <c r="M2622" i="6"/>
  <c r="B2622" i="6"/>
  <c r="AE2621" i="6"/>
  <c r="AD2621" i="6"/>
  <c r="W2621" i="6"/>
  <c r="V2621" i="6"/>
  <c r="U2621" i="6"/>
  <c r="T2621" i="6"/>
  <c r="S2621" i="6"/>
  <c r="P2621" i="6"/>
  <c r="O2621" i="6"/>
  <c r="N2621" i="6"/>
  <c r="M2621" i="6"/>
  <c r="B2621" i="6"/>
  <c r="AE2620" i="6"/>
  <c r="AD2620" i="6"/>
  <c r="W2620" i="6"/>
  <c r="V2620" i="6"/>
  <c r="U2620" i="6"/>
  <c r="T2620" i="6"/>
  <c r="S2620" i="6"/>
  <c r="P2620" i="6"/>
  <c r="O2620" i="6"/>
  <c r="N2620" i="6"/>
  <c r="M2620" i="6"/>
  <c r="B2620" i="6"/>
  <c r="AE2619" i="6"/>
  <c r="AD2619" i="6"/>
  <c r="W2619" i="6"/>
  <c r="T2619" i="6"/>
  <c r="V2619" i="6" s="1"/>
  <c r="S2619" i="6"/>
  <c r="P2619" i="6"/>
  <c r="O2619" i="6"/>
  <c r="N2619" i="6"/>
  <c r="M2619" i="6"/>
  <c r="B2619" i="6"/>
  <c r="AE2618" i="6"/>
  <c r="AD2618" i="6"/>
  <c r="W2618" i="6"/>
  <c r="T2618" i="6"/>
  <c r="V2618" i="6" s="1"/>
  <c r="S2618" i="6"/>
  <c r="P2618" i="6"/>
  <c r="O2618" i="6"/>
  <c r="N2618" i="6"/>
  <c r="M2618" i="6"/>
  <c r="B2618" i="6"/>
  <c r="AE2617" i="6"/>
  <c r="AD2617" i="6"/>
  <c r="W2617" i="6"/>
  <c r="V2617" i="6"/>
  <c r="T2617" i="6"/>
  <c r="U2617" i="6" s="1"/>
  <c r="S2617" i="6"/>
  <c r="P2617" i="6"/>
  <c r="O2617" i="6"/>
  <c r="N2617" i="6"/>
  <c r="M2617" i="6"/>
  <c r="B2617" i="6"/>
  <c r="AE2616" i="6"/>
  <c r="AD2616" i="6"/>
  <c r="W2616" i="6"/>
  <c r="U2616" i="6"/>
  <c r="T2616" i="6"/>
  <c r="V2616" i="6" s="1"/>
  <c r="S2616" i="6"/>
  <c r="P2616" i="6"/>
  <c r="O2616" i="6"/>
  <c r="N2616" i="6"/>
  <c r="M2616" i="6"/>
  <c r="B2616" i="6"/>
  <c r="AE2615" i="6"/>
  <c r="AD2615" i="6"/>
  <c r="W2615" i="6"/>
  <c r="V2615" i="6"/>
  <c r="U2615" i="6"/>
  <c r="T2615" i="6"/>
  <c r="S2615" i="6"/>
  <c r="P2615" i="6"/>
  <c r="O2615" i="6"/>
  <c r="N2615" i="6"/>
  <c r="M2615" i="6"/>
  <c r="B2615" i="6"/>
  <c r="AE2614" i="6"/>
  <c r="AD2614" i="6"/>
  <c r="W2614" i="6"/>
  <c r="T2614" i="6"/>
  <c r="V2614" i="6" s="1"/>
  <c r="S2614" i="6"/>
  <c r="P2614" i="6"/>
  <c r="O2614" i="6"/>
  <c r="N2614" i="6"/>
  <c r="M2614" i="6"/>
  <c r="B2614" i="6"/>
  <c r="AE2613" i="6"/>
  <c r="AD2613" i="6"/>
  <c r="W2613" i="6"/>
  <c r="U2613" i="6"/>
  <c r="T2613" i="6"/>
  <c r="V2613" i="6" s="1"/>
  <c r="S2613" i="6"/>
  <c r="P2613" i="6"/>
  <c r="O2613" i="6"/>
  <c r="N2613" i="6"/>
  <c r="M2613" i="6"/>
  <c r="B2613" i="6"/>
  <c r="AE2612" i="6"/>
  <c r="AD2612" i="6"/>
  <c r="W2612" i="6"/>
  <c r="T2612" i="6"/>
  <c r="V2612" i="6" s="1"/>
  <c r="S2612" i="6"/>
  <c r="P2612" i="6"/>
  <c r="O2612" i="6"/>
  <c r="N2612" i="6"/>
  <c r="M2612" i="6"/>
  <c r="B2612" i="6"/>
  <c r="AE2611" i="6"/>
  <c r="AD2611" i="6"/>
  <c r="W2611" i="6"/>
  <c r="V2611" i="6"/>
  <c r="U2611" i="6"/>
  <c r="T2611" i="6"/>
  <c r="S2611" i="6"/>
  <c r="P2611" i="6"/>
  <c r="O2611" i="6"/>
  <c r="N2611" i="6"/>
  <c r="M2611" i="6"/>
  <c r="B2611" i="6"/>
  <c r="AE2610" i="6"/>
  <c r="AD2610" i="6"/>
  <c r="W2610" i="6"/>
  <c r="V2610" i="6"/>
  <c r="U2610" i="6"/>
  <c r="T2610" i="6"/>
  <c r="S2610" i="6"/>
  <c r="P2610" i="6"/>
  <c r="O2610" i="6"/>
  <c r="N2610" i="6"/>
  <c r="M2610" i="6"/>
  <c r="B2610" i="6"/>
  <c r="AE2609" i="6"/>
  <c r="AD2609" i="6"/>
  <c r="W2609" i="6"/>
  <c r="T2609" i="6"/>
  <c r="V2609" i="6" s="1"/>
  <c r="S2609" i="6"/>
  <c r="P2609" i="6"/>
  <c r="O2609" i="6"/>
  <c r="N2609" i="6"/>
  <c r="M2609" i="6"/>
  <c r="B2609" i="6"/>
  <c r="AE2608" i="6"/>
  <c r="AD2608" i="6"/>
  <c r="W2608" i="6"/>
  <c r="U2608" i="6"/>
  <c r="T2608" i="6"/>
  <c r="V2608" i="6" s="1"/>
  <c r="S2608" i="6"/>
  <c r="P2608" i="6"/>
  <c r="O2608" i="6"/>
  <c r="N2608" i="6"/>
  <c r="M2608" i="6"/>
  <c r="B2608" i="6"/>
  <c r="AE2607" i="6"/>
  <c r="AD2607" i="6"/>
  <c r="W2607" i="6"/>
  <c r="U2607" i="6"/>
  <c r="T2607" i="6"/>
  <c r="V2607" i="6" s="1"/>
  <c r="S2607" i="6"/>
  <c r="P2607" i="6"/>
  <c r="O2607" i="6"/>
  <c r="N2607" i="6"/>
  <c r="M2607" i="6"/>
  <c r="B2607" i="6"/>
  <c r="AE2606" i="6"/>
  <c r="AD2606" i="6"/>
  <c r="W2606" i="6"/>
  <c r="V2606" i="6"/>
  <c r="T2606" i="6"/>
  <c r="U2606" i="6" s="1"/>
  <c r="S2606" i="6"/>
  <c r="P2606" i="6"/>
  <c r="O2606" i="6"/>
  <c r="N2606" i="6"/>
  <c r="M2606" i="6"/>
  <c r="B2606" i="6"/>
  <c r="AE2605" i="6"/>
  <c r="AD2605" i="6"/>
  <c r="W2605" i="6"/>
  <c r="V2605" i="6"/>
  <c r="U2605" i="6"/>
  <c r="T2605" i="6"/>
  <c r="S2605" i="6"/>
  <c r="P2605" i="6"/>
  <c r="O2605" i="6"/>
  <c r="N2605" i="6"/>
  <c r="M2605" i="6"/>
  <c r="B2605" i="6"/>
  <c r="AE2604" i="6"/>
  <c r="AD2604" i="6"/>
  <c r="W2604" i="6"/>
  <c r="T2604" i="6"/>
  <c r="V2604" i="6" s="1"/>
  <c r="S2604" i="6"/>
  <c r="P2604" i="6"/>
  <c r="O2604" i="6"/>
  <c r="N2604" i="6"/>
  <c r="M2604" i="6"/>
  <c r="B2604" i="6"/>
  <c r="AE2603" i="6"/>
  <c r="AD2603" i="6"/>
  <c r="W2603" i="6"/>
  <c r="U2603" i="6"/>
  <c r="T2603" i="6"/>
  <c r="V2603" i="6" s="1"/>
  <c r="S2603" i="6"/>
  <c r="P2603" i="6"/>
  <c r="O2603" i="6"/>
  <c r="N2603" i="6"/>
  <c r="M2603" i="6"/>
  <c r="B2603" i="6"/>
  <c r="AE2602" i="6"/>
  <c r="AD2602" i="6"/>
  <c r="W2602" i="6"/>
  <c r="T2602" i="6"/>
  <c r="U2602" i="6" s="1"/>
  <c r="S2602" i="6"/>
  <c r="P2602" i="6"/>
  <c r="O2602" i="6"/>
  <c r="N2602" i="6"/>
  <c r="M2602" i="6"/>
  <c r="B2602" i="6"/>
  <c r="AE2601" i="6"/>
  <c r="AD2601" i="6"/>
  <c r="W2601" i="6"/>
  <c r="T2601" i="6"/>
  <c r="V2601" i="6" s="1"/>
  <c r="S2601" i="6"/>
  <c r="P2601" i="6"/>
  <c r="O2601" i="6"/>
  <c r="N2601" i="6"/>
  <c r="M2601" i="6"/>
  <c r="B2601" i="6"/>
  <c r="AE2600" i="6"/>
  <c r="AD2600" i="6"/>
  <c r="W2600" i="6"/>
  <c r="V2600" i="6"/>
  <c r="U2600" i="6"/>
  <c r="T2600" i="6"/>
  <c r="S2600" i="6"/>
  <c r="P2600" i="6"/>
  <c r="O2600" i="6"/>
  <c r="N2600" i="6"/>
  <c r="M2600" i="6"/>
  <c r="B2600" i="6"/>
  <c r="AE2599" i="6"/>
  <c r="AD2599" i="6"/>
  <c r="W2599" i="6"/>
  <c r="T2599" i="6"/>
  <c r="V2599" i="6" s="1"/>
  <c r="S2599" i="6"/>
  <c r="P2599" i="6"/>
  <c r="O2599" i="6"/>
  <c r="N2599" i="6"/>
  <c r="M2599" i="6"/>
  <c r="B2599" i="6"/>
  <c r="AE2598" i="6"/>
  <c r="AD2598" i="6"/>
  <c r="W2598" i="6"/>
  <c r="T2598" i="6"/>
  <c r="V2598" i="6" s="1"/>
  <c r="S2598" i="6"/>
  <c r="P2598" i="6"/>
  <c r="O2598" i="6"/>
  <c r="N2598" i="6"/>
  <c r="M2598" i="6"/>
  <c r="B2598" i="6"/>
  <c r="AE2597" i="6"/>
  <c r="AD2597" i="6"/>
  <c r="W2597" i="6"/>
  <c r="T2597" i="6"/>
  <c r="V2597" i="6" s="1"/>
  <c r="S2597" i="6"/>
  <c r="P2597" i="6"/>
  <c r="O2597" i="6"/>
  <c r="N2597" i="6"/>
  <c r="M2597" i="6"/>
  <c r="B2597" i="6"/>
  <c r="AE2596" i="6"/>
  <c r="AD2596" i="6"/>
  <c r="W2596" i="6"/>
  <c r="V2596" i="6"/>
  <c r="T2596" i="6"/>
  <c r="U2596" i="6" s="1"/>
  <c r="S2596" i="6"/>
  <c r="P2596" i="6"/>
  <c r="O2596" i="6"/>
  <c r="N2596" i="6"/>
  <c r="M2596" i="6"/>
  <c r="B2596" i="6"/>
  <c r="AE2595" i="6"/>
  <c r="AD2595" i="6"/>
  <c r="W2595" i="6"/>
  <c r="V2595" i="6"/>
  <c r="U2595" i="6"/>
  <c r="T2595" i="6"/>
  <c r="S2595" i="6"/>
  <c r="P2595" i="6"/>
  <c r="O2595" i="6"/>
  <c r="N2595" i="6"/>
  <c r="M2595" i="6"/>
  <c r="B2595" i="6"/>
  <c r="AE2594" i="6"/>
  <c r="AD2594" i="6"/>
  <c r="W2594" i="6"/>
  <c r="T2594" i="6"/>
  <c r="V2594" i="6" s="1"/>
  <c r="S2594" i="6"/>
  <c r="P2594" i="6"/>
  <c r="O2594" i="6"/>
  <c r="N2594" i="6"/>
  <c r="M2594" i="6"/>
  <c r="B2594" i="6"/>
  <c r="AE2593" i="6"/>
  <c r="AD2593" i="6"/>
  <c r="W2593" i="6"/>
  <c r="T2593" i="6"/>
  <c r="V2593" i="6" s="1"/>
  <c r="S2593" i="6"/>
  <c r="P2593" i="6"/>
  <c r="O2593" i="6"/>
  <c r="N2593" i="6"/>
  <c r="M2593" i="6"/>
  <c r="B2593" i="6"/>
  <c r="AE2592" i="6"/>
  <c r="AD2592" i="6"/>
  <c r="W2592" i="6"/>
  <c r="V2592" i="6"/>
  <c r="U2592" i="6"/>
  <c r="T2592" i="6"/>
  <c r="S2592" i="6"/>
  <c r="P2592" i="6"/>
  <c r="O2592" i="6"/>
  <c r="N2592" i="6"/>
  <c r="M2592" i="6"/>
  <c r="B2592" i="6"/>
  <c r="AE2591" i="6"/>
  <c r="AD2591" i="6"/>
  <c r="W2591" i="6"/>
  <c r="T2591" i="6"/>
  <c r="V2591" i="6" s="1"/>
  <c r="S2591" i="6"/>
  <c r="P2591" i="6"/>
  <c r="O2591" i="6"/>
  <c r="N2591" i="6"/>
  <c r="M2591" i="6"/>
  <c r="B2591" i="6"/>
  <c r="AE2590" i="6"/>
  <c r="AD2590" i="6"/>
  <c r="W2590" i="6"/>
  <c r="V2590" i="6"/>
  <c r="U2590" i="6"/>
  <c r="T2590" i="6"/>
  <c r="S2590" i="6"/>
  <c r="P2590" i="6"/>
  <c r="O2590" i="6"/>
  <c r="N2590" i="6"/>
  <c r="M2590" i="6"/>
  <c r="B2590" i="6"/>
  <c r="AE2589" i="6"/>
  <c r="AD2589" i="6"/>
  <c r="W2589" i="6"/>
  <c r="T2589" i="6"/>
  <c r="V2589" i="6" s="1"/>
  <c r="S2589" i="6"/>
  <c r="P2589" i="6"/>
  <c r="O2589" i="6"/>
  <c r="N2589" i="6"/>
  <c r="M2589" i="6"/>
  <c r="B2589" i="6"/>
  <c r="AE2588" i="6"/>
  <c r="AD2588" i="6"/>
  <c r="W2588" i="6"/>
  <c r="T2588" i="6"/>
  <c r="V2588" i="6" s="1"/>
  <c r="S2588" i="6"/>
  <c r="P2588" i="6"/>
  <c r="O2588" i="6"/>
  <c r="N2588" i="6"/>
  <c r="M2588" i="6"/>
  <c r="B2588" i="6"/>
  <c r="AE2587" i="6"/>
  <c r="AD2587" i="6"/>
  <c r="W2587" i="6"/>
  <c r="U2587" i="6"/>
  <c r="T2587" i="6"/>
  <c r="V2587" i="6" s="1"/>
  <c r="S2587" i="6"/>
  <c r="P2587" i="6"/>
  <c r="O2587" i="6"/>
  <c r="N2587" i="6"/>
  <c r="M2587" i="6"/>
  <c r="B2587" i="6"/>
  <c r="AE2586" i="6"/>
  <c r="AD2586" i="6"/>
  <c r="W2586" i="6"/>
  <c r="U2586" i="6"/>
  <c r="T2586" i="6"/>
  <c r="V2586" i="6" s="1"/>
  <c r="S2586" i="6"/>
  <c r="P2586" i="6"/>
  <c r="O2586" i="6"/>
  <c r="N2586" i="6"/>
  <c r="M2586" i="6"/>
  <c r="B2586" i="6"/>
  <c r="AE2585" i="6"/>
  <c r="AD2585" i="6"/>
  <c r="W2585" i="6"/>
  <c r="V2585" i="6"/>
  <c r="U2585" i="6"/>
  <c r="T2585" i="6"/>
  <c r="S2585" i="6"/>
  <c r="P2585" i="6"/>
  <c r="O2585" i="6"/>
  <c r="N2585" i="6"/>
  <c r="M2585" i="6"/>
  <c r="B2585" i="6"/>
  <c r="AE2584" i="6"/>
  <c r="AD2584" i="6"/>
  <c r="W2584" i="6"/>
  <c r="T2584" i="6"/>
  <c r="V2584" i="6" s="1"/>
  <c r="S2584" i="6"/>
  <c r="P2584" i="6"/>
  <c r="O2584" i="6"/>
  <c r="N2584" i="6"/>
  <c r="M2584" i="6"/>
  <c r="B2584" i="6"/>
  <c r="AE2583" i="6"/>
  <c r="AD2583" i="6"/>
  <c r="W2583" i="6"/>
  <c r="T2583" i="6"/>
  <c r="V2583" i="6" s="1"/>
  <c r="S2583" i="6"/>
  <c r="P2583" i="6"/>
  <c r="O2583" i="6"/>
  <c r="N2583" i="6"/>
  <c r="M2583" i="6"/>
  <c r="B2583" i="6"/>
  <c r="AE2582" i="6"/>
  <c r="AD2582" i="6"/>
  <c r="W2582" i="6"/>
  <c r="V2582" i="6"/>
  <c r="U2582" i="6"/>
  <c r="T2582" i="6"/>
  <c r="S2582" i="6"/>
  <c r="P2582" i="6"/>
  <c r="O2582" i="6"/>
  <c r="N2582" i="6"/>
  <c r="M2582" i="6"/>
  <c r="B2582" i="6"/>
  <c r="AE2581" i="6"/>
  <c r="AD2581" i="6"/>
  <c r="W2581" i="6"/>
  <c r="T2581" i="6"/>
  <c r="U2581" i="6" s="1"/>
  <c r="S2581" i="6"/>
  <c r="P2581" i="6"/>
  <c r="O2581" i="6"/>
  <c r="N2581" i="6"/>
  <c r="M2581" i="6"/>
  <c r="B2581" i="6"/>
  <c r="AE2580" i="6"/>
  <c r="AD2580" i="6"/>
  <c r="W2580" i="6"/>
  <c r="V2580" i="6"/>
  <c r="U2580" i="6"/>
  <c r="T2580" i="6"/>
  <c r="S2580" i="6"/>
  <c r="P2580" i="6"/>
  <c r="O2580" i="6"/>
  <c r="N2580" i="6"/>
  <c r="M2580" i="6"/>
  <c r="B2580" i="6"/>
  <c r="AE2579" i="6"/>
  <c r="AD2579" i="6"/>
  <c r="W2579" i="6"/>
  <c r="T2579" i="6"/>
  <c r="V2579" i="6" s="1"/>
  <c r="S2579" i="6"/>
  <c r="P2579" i="6"/>
  <c r="O2579" i="6"/>
  <c r="N2579" i="6"/>
  <c r="M2579" i="6"/>
  <c r="B2579" i="6"/>
  <c r="AE2578" i="6"/>
  <c r="AD2578" i="6"/>
  <c r="W2578" i="6"/>
  <c r="U2578" i="6"/>
  <c r="T2578" i="6"/>
  <c r="V2578" i="6" s="1"/>
  <c r="S2578" i="6"/>
  <c r="P2578" i="6"/>
  <c r="O2578" i="6"/>
  <c r="N2578" i="6"/>
  <c r="M2578" i="6"/>
  <c r="B2578" i="6"/>
  <c r="AE2577" i="6"/>
  <c r="AD2577" i="6"/>
  <c r="W2577" i="6"/>
  <c r="V2577" i="6"/>
  <c r="T2577" i="6"/>
  <c r="U2577" i="6" s="1"/>
  <c r="S2577" i="6"/>
  <c r="P2577" i="6"/>
  <c r="O2577" i="6"/>
  <c r="N2577" i="6"/>
  <c r="M2577" i="6"/>
  <c r="B2577" i="6"/>
  <c r="AE2576" i="6"/>
  <c r="AD2576" i="6"/>
  <c r="W2576" i="6"/>
  <c r="T2576" i="6"/>
  <c r="V2576" i="6" s="1"/>
  <c r="S2576" i="6"/>
  <c r="P2576" i="6"/>
  <c r="O2576" i="6"/>
  <c r="N2576" i="6"/>
  <c r="M2576" i="6"/>
  <c r="B2576" i="6"/>
  <c r="AE2575" i="6"/>
  <c r="AD2575" i="6"/>
  <c r="W2575" i="6"/>
  <c r="V2575" i="6"/>
  <c r="U2575" i="6"/>
  <c r="T2575" i="6"/>
  <c r="S2575" i="6"/>
  <c r="P2575" i="6"/>
  <c r="O2575" i="6"/>
  <c r="N2575" i="6"/>
  <c r="M2575" i="6"/>
  <c r="B2575" i="6"/>
  <c r="AE2574" i="6"/>
  <c r="AD2574" i="6"/>
  <c r="W2574" i="6"/>
  <c r="T2574" i="6"/>
  <c r="V2574" i="6" s="1"/>
  <c r="S2574" i="6"/>
  <c r="P2574" i="6"/>
  <c r="O2574" i="6"/>
  <c r="N2574" i="6"/>
  <c r="M2574" i="6"/>
  <c r="B2574" i="6"/>
  <c r="AE2573" i="6"/>
  <c r="AD2573" i="6"/>
  <c r="W2573" i="6"/>
  <c r="T2573" i="6"/>
  <c r="V2573" i="6" s="1"/>
  <c r="S2573" i="6"/>
  <c r="P2573" i="6"/>
  <c r="O2573" i="6"/>
  <c r="N2573" i="6"/>
  <c r="M2573" i="6"/>
  <c r="B2573" i="6"/>
  <c r="AE2572" i="6"/>
  <c r="AD2572" i="6"/>
  <c r="W2572" i="6"/>
  <c r="T2572" i="6"/>
  <c r="V2572" i="6" s="1"/>
  <c r="S2572" i="6"/>
  <c r="P2572" i="6"/>
  <c r="O2572" i="6"/>
  <c r="N2572" i="6"/>
  <c r="M2572" i="6"/>
  <c r="B2572" i="6"/>
  <c r="AE2571" i="6"/>
  <c r="AD2571" i="6"/>
  <c r="W2571" i="6"/>
  <c r="V2571" i="6"/>
  <c r="U2571" i="6"/>
  <c r="T2571" i="6"/>
  <c r="S2571" i="6"/>
  <c r="P2571" i="6"/>
  <c r="O2571" i="6"/>
  <c r="N2571" i="6"/>
  <c r="M2571" i="6"/>
  <c r="B2571" i="6"/>
  <c r="AE2570" i="6"/>
  <c r="AD2570" i="6"/>
  <c r="W2570" i="6"/>
  <c r="V2570" i="6"/>
  <c r="U2570" i="6"/>
  <c r="T2570" i="6"/>
  <c r="S2570" i="6"/>
  <c r="P2570" i="6"/>
  <c r="O2570" i="6"/>
  <c r="N2570" i="6"/>
  <c r="M2570" i="6"/>
  <c r="B2570" i="6"/>
  <c r="AE2569" i="6"/>
  <c r="AD2569" i="6"/>
  <c r="W2569" i="6"/>
  <c r="T2569" i="6"/>
  <c r="V2569" i="6" s="1"/>
  <c r="S2569" i="6"/>
  <c r="P2569" i="6"/>
  <c r="O2569" i="6"/>
  <c r="N2569" i="6"/>
  <c r="M2569" i="6"/>
  <c r="B2569" i="6"/>
  <c r="AE2568" i="6"/>
  <c r="AD2568" i="6"/>
  <c r="W2568" i="6"/>
  <c r="T2568" i="6"/>
  <c r="V2568" i="6" s="1"/>
  <c r="S2568" i="6"/>
  <c r="P2568" i="6"/>
  <c r="O2568" i="6"/>
  <c r="N2568" i="6"/>
  <c r="M2568" i="6"/>
  <c r="B2568" i="6"/>
  <c r="AE2567" i="6"/>
  <c r="AD2567" i="6"/>
  <c r="W2567" i="6"/>
  <c r="V2567" i="6"/>
  <c r="T2567" i="6"/>
  <c r="U2567" i="6" s="1"/>
  <c r="S2567" i="6"/>
  <c r="P2567" i="6"/>
  <c r="O2567" i="6"/>
  <c r="N2567" i="6"/>
  <c r="M2567" i="6"/>
  <c r="B2567" i="6"/>
  <c r="AE2566" i="6"/>
  <c r="AD2566" i="6"/>
  <c r="W2566" i="6"/>
  <c r="U2566" i="6"/>
  <c r="T2566" i="6"/>
  <c r="V2566" i="6" s="1"/>
  <c r="S2566" i="6"/>
  <c r="P2566" i="6"/>
  <c r="O2566" i="6"/>
  <c r="N2566" i="6"/>
  <c r="M2566" i="6"/>
  <c r="B2566" i="6"/>
  <c r="AE2565" i="6"/>
  <c r="AD2565" i="6"/>
  <c r="W2565" i="6"/>
  <c r="V2565" i="6"/>
  <c r="U2565" i="6"/>
  <c r="T2565" i="6"/>
  <c r="S2565" i="6"/>
  <c r="P2565" i="6"/>
  <c r="O2565" i="6"/>
  <c r="N2565" i="6"/>
  <c r="M2565" i="6"/>
  <c r="B2565" i="6"/>
  <c r="AE2564" i="6"/>
  <c r="AD2564" i="6"/>
  <c r="W2564" i="6"/>
  <c r="T2564" i="6"/>
  <c r="V2564" i="6" s="1"/>
  <c r="S2564" i="6"/>
  <c r="P2564" i="6"/>
  <c r="O2564" i="6"/>
  <c r="N2564" i="6"/>
  <c r="M2564" i="6"/>
  <c r="B2564" i="6"/>
  <c r="AE2563" i="6"/>
  <c r="AD2563" i="6"/>
  <c r="W2563" i="6"/>
  <c r="U2563" i="6"/>
  <c r="T2563" i="6"/>
  <c r="V2563" i="6" s="1"/>
  <c r="S2563" i="6"/>
  <c r="P2563" i="6"/>
  <c r="O2563" i="6"/>
  <c r="N2563" i="6"/>
  <c r="M2563" i="6"/>
  <c r="B2563" i="6"/>
  <c r="AE2562" i="6"/>
  <c r="AD2562" i="6"/>
  <c r="W2562" i="6"/>
  <c r="T2562" i="6"/>
  <c r="V2562" i="6" s="1"/>
  <c r="S2562" i="6"/>
  <c r="P2562" i="6"/>
  <c r="O2562" i="6"/>
  <c r="N2562" i="6"/>
  <c r="M2562" i="6"/>
  <c r="B2562" i="6"/>
  <c r="AE2561" i="6"/>
  <c r="AD2561" i="6"/>
  <c r="W2561" i="6"/>
  <c r="V2561" i="6"/>
  <c r="U2561" i="6"/>
  <c r="T2561" i="6"/>
  <c r="S2561" i="6"/>
  <c r="P2561" i="6"/>
  <c r="O2561" i="6"/>
  <c r="N2561" i="6"/>
  <c r="M2561" i="6"/>
  <c r="B2561" i="6"/>
  <c r="AE2560" i="6"/>
  <c r="AD2560" i="6"/>
  <c r="W2560" i="6"/>
  <c r="V2560" i="6"/>
  <c r="U2560" i="6"/>
  <c r="T2560" i="6"/>
  <c r="S2560" i="6"/>
  <c r="P2560" i="6"/>
  <c r="O2560" i="6"/>
  <c r="N2560" i="6"/>
  <c r="M2560" i="6"/>
  <c r="B2560" i="6"/>
  <c r="AE2559" i="6"/>
  <c r="AD2559" i="6"/>
  <c r="W2559" i="6"/>
  <c r="T2559" i="6"/>
  <c r="V2559" i="6" s="1"/>
  <c r="S2559" i="6"/>
  <c r="P2559" i="6"/>
  <c r="O2559" i="6"/>
  <c r="N2559" i="6"/>
  <c r="M2559" i="6"/>
  <c r="B2559" i="6"/>
  <c r="AE2558" i="6"/>
  <c r="AD2558" i="6"/>
  <c r="W2558" i="6"/>
  <c r="U2558" i="6"/>
  <c r="T2558" i="6"/>
  <c r="V2558" i="6" s="1"/>
  <c r="S2558" i="6"/>
  <c r="P2558" i="6"/>
  <c r="O2558" i="6"/>
  <c r="N2558" i="6"/>
  <c r="M2558" i="6"/>
  <c r="B2558" i="6"/>
  <c r="AE2557" i="6"/>
  <c r="AD2557" i="6"/>
  <c r="W2557" i="6"/>
  <c r="U2557" i="6"/>
  <c r="T2557" i="6"/>
  <c r="V2557" i="6" s="1"/>
  <c r="S2557" i="6"/>
  <c r="P2557" i="6"/>
  <c r="O2557" i="6"/>
  <c r="N2557" i="6"/>
  <c r="M2557" i="6"/>
  <c r="B2557" i="6"/>
  <c r="AE2556" i="6"/>
  <c r="AD2556" i="6"/>
  <c r="W2556" i="6"/>
  <c r="V2556" i="6"/>
  <c r="T2556" i="6"/>
  <c r="U2556" i="6" s="1"/>
  <c r="S2556" i="6"/>
  <c r="P2556" i="6"/>
  <c r="O2556" i="6"/>
  <c r="N2556" i="6"/>
  <c r="M2556" i="6"/>
  <c r="B2556" i="6"/>
  <c r="AE2555" i="6"/>
  <c r="AD2555" i="6"/>
  <c r="W2555" i="6"/>
  <c r="V2555" i="6"/>
  <c r="U2555" i="6"/>
  <c r="T2555" i="6"/>
  <c r="S2555" i="6"/>
  <c r="P2555" i="6"/>
  <c r="O2555" i="6"/>
  <c r="N2555" i="6"/>
  <c r="M2555" i="6"/>
  <c r="B2555" i="6"/>
  <c r="AE2554" i="6"/>
  <c r="AD2554" i="6"/>
  <c r="W2554" i="6"/>
  <c r="T2554" i="6"/>
  <c r="V2554" i="6" s="1"/>
  <c r="S2554" i="6"/>
  <c r="P2554" i="6"/>
  <c r="O2554" i="6"/>
  <c r="N2554" i="6"/>
  <c r="M2554" i="6"/>
  <c r="B2554" i="6"/>
  <c r="AE2553" i="6"/>
  <c r="AD2553" i="6"/>
  <c r="W2553" i="6"/>
  <c r="U2553" i="6"/>
  <c r="T2553" i="6"/>
  <c r="V2553" i="6" s="1"/>
  <c r="S2553" i="6"/>
  <c r="P2553" i="6"/>
  <c r="O2553" i="6"/>
  <c r="N2553" i="6"/>
  <c r="M2553" i="6"/>
  <c r="B2553" i="6"/>
  <c r="AE2552" i="6"/>
  <c r="AD2552" i="6"/>
  <c r="W2552" i="6"/>
  <c r="T2552" i="6"/>
  <c r="U2552" i="6" s="1"/>
  <c r="S2552" i="6"/>
  <c r="P2552" i="6"/>
  <c r="O2552" i="6"/>
  <c r="N2552" i="6"/>
  <c r="M2552" i="6"/>
  <c r="B2552" i="6"/>
  <c r="AE2551" i="6"/>
  <c r="AD2551" i="6"/>
  <c r="W2551" i="6"/>
  <c r="T2551" i="6"/>
  <c r="V2551" i="6" s="1"/>
  <c r="S2551" i="6"/>
  <c r="P2551" i="6"/>
  <c r="O2551" i="6"/>
  <c r="N2551" i="6"/>
  <c r="M2551" i="6"/>
  <c r="B2551" i="6"/>
  <c r="AE2550" i="6"/>
  <c r="AD2550" i="6"/>
  <c r="W2550" i="6"/>
  <c r="V2550" i="6"/>
  <c r="U2550" i="6"/>
  <c r="T2550" i="6"/>
  <c r="S2550" i="6"/>
  <c r="P2550" i="6"/>
  <c r="O2550" i="6"/>
  <c r="N2550" i="6"/>
  <c r="M2550" i="6"/>
  <c r="B2550" i="6"/>
  <c r="AE2549" i="6"/>
  <c r="AD2549" i="6"/>
  <c r="W2549" i="6"/>
  <c r="T2549" i="6"/>
  <c r="V2549" i="6" s="1"/>
  <c r="S2549" i="6"/>
  <c r="P2549" i="6"/>
  <c r="O2549" i="6"/>
  <c r="N2549" i="6"/>
  <c r="M2549" i="6"/>
  <c r="B2549" i="6"/>
  <c r="AE2548" i="6"/>
  <c r="AD2548" i="6"/>
  <c r="W2548" i="6"/>
  <c r="T2548" i="6"/>
  <c r="V2548" i="6" s="1"/>
  <c r="S2548" i="6"/>
  <c r="P2548" i="6"/>
  <c r="O2548" i="6"/>
  <c r="N2548" i="6"/>
  <c r="M2548" i="6"/>
  <c r="B2548" i="6"/>
  <c r="AE2547" i="6"/>
  <c r="AD2547" i="6"/>
  <c r="W2547" i="6"/>
  <c r="T2547" i="6"/>
  <c r="V2547" i="6" s="1"/>
  <c r="S2547" i="6"/>
  <c r="P2547" i="6"/>
  <c r="O2547" i="6"/>
  <c r="N2547" i="6"/>
  <c r="M2547" i="6"/>
  <c r="B2547" i="6"/>
  <c r="AE2546" i="6"/>
  <c r="AD2546" i="6"/>
  <c r="W2546" i="6"/>
  <c r="V2546" i="6"/>
  <c r="T2546" i="6"/>
  <c r="U2546" i="6" s="1"/>
  <c r="S2546" i="6"/>
  <c r="P2546" i="6"/>
  <c r="O2546" i="6"/>
  <c r="N2546" i="6"/>
  <c r="M2546" i="6"/>
  <c r="B2546" i="6"/>
  <c r="AE2545" i="6"/>
  <c r="AD2545" i="6"/>
  <c r="W2545" i="6"/>
  <c r="V2545" i="6"/>
  <c r="U2545" i="6"/>
  <c r="T2545" i="6"/>
  <c r="S2545" i="6"/>
  <c r="P2545" i="6"/>
  <c r="O2545" i="6"/>
  <c r="N2545" i="6"/>
  <c r="M2545" i="6"/>
  <c r="B2545" i="6"/>
  <c r="AE2544" i="6"/>
  <c r="AD2544" i="6"/>
  <c r="W2544" i="6"/>
  <c r="T2544" i="6"/>
  <c r="V2544" i="6" s="1"/>
  <c r="S2544" i="6"/>
  <c r="P2544" i="6"/>
  <c r="O2544" i="6"/>
  <c r="N2544" i="6"/>
  <c r="M2544" i="6"/>
  <c r="B2544" i="6"/>
  <c r="AE2543" i="6"/>
  <c r="AD2543" i="6"/>
  <c r="W2543" i="6"/>
  <c r="T2543" i="6"/>
  <c r="V2543" i="6" s="1"/>
  <c r="S2543" i="6"/>
  <c r="P2543" i="6"/>
  <c r="O2543" i="6"/>
  <c r="N2543" i="6"/>
  <c r="M2543" i="6"/>
  <c r="B2543" i="6"/>
  <c r="AE2542" i="6"/>
  <c r="AD2542" i="6"/>
  <c r="W2542" i="6"/>
  <c r="V2542" i="6"/>
  <c r="U2542" i="6"/>
  <c r="T2542" i="6"/>
  <c r="S2542" i="6"/>
  <c r="P2542" i="6"/>
  <c r="O2542" i="6"/>
  <c r="N2542" i="6"/>
  <c r="M2542" i="6"/>
  <c r="B2542" i="6"/>
  <c r="AE2541" i="6"/>
  <c r="AD2541" i="6"/>
  <c r="W2541" i="6"/>
  <c r="T2541" i="6"/>
  <c r="V2541" i="6" s="1"/>
  <c r="S2541" i="6"/>
  <c r="P2541" i="6"/>
  <c r="O2541" i="6"/>
  <c r="N2541" i="6"/>
  <c r="M2541" i="6"/>
  <c r="B2541" i="6"/>
  <c r="AE2540" i="6"/>
  <c r="AD2540" i="6"/>
  <c r="W2540" i="6"/>
  <c r="V2540" i="6"/>
  <c r="U2540" i="6"/>
  <c r="T2540" i="6"/>
  <c r="S2540" i="6"/>
  <c r="P2540" i="6"/>
  <c r="O2540" i="6"/>
  <c r="N2540" i="6"/>
  <c r="M2540" i="6"/>
  <c r="B2540" i="6"/>
  <c r="AE2539" i="6"/>
  <c r="AD2539" i="6"/>
  <c r="W2539" i="6"/>
  <c r="T2539" i="6"/>
  <c r="V2539" i="6" s="1"/>
  <c r="S2539" i="6"/>
  <c r="P2539" i="6"/>
  <c r="O2539" i="6"/>
  <c r="N2539" i="6"/>
  <c r="M2539" i="6"/>
  <c r="B2539" i="6"/>
  <c r="AE2538" i="6"/>
  <c r="AD2538" i="6"/>
  <c r="W2538" i="6"/>
  <c r="T2538" i="6"/>
  <c r="V2538" i="6" s="1"/>
  <c r="S2538" i="6"/>
  <c r="P2538" i="6"/>
  <c r="O2538" i="6"/>
  <c r="N2538" i="6"/>
  <c r="M2538" i="6"/>
  <c r="B2538" i="6"/>
  <c r="AE2537" i="6"/>
  <c r="AD2537" i="6"/>
  <c r="W2537" i="6"/>
  <c r="U2537" i="6"/>
  <c r="T2537" i="6"/>
  <c r="V2537" i="6" s="1"/>
  <c r="S2537" i="6"/>
  <c r="P2537" i="6"/>
  <c r="O2537" i="6"/>
  <c r="N2537" i="6"/>
  <c r="M2537" i="6"/>
  <c r="B2537" i="6"/>
  <c r="AE2536" i="6"/>
  <c r="AD2536" i="6"/>
  <c r="W2536" i="6"/>
  <c r="U2536" i="6"/>
  <c r="T2536" i="6"/>
  <c r="V2536" i="6" s="1"/>
  <c r="S2536" i="6"/>
  <c r="P2536" i="6"/>
  <c r="O2536" i="6"/>
  <c r="N2536" i="6"/>
  <c r="M2536" i="6"/>
  <c r="B2536" i="6"/>
  <c r="AE2535" i="6"/>
  <c r="AD2535" i="6"/>
  <c r="W2535" i="6"/>
  <c r="V2535" i="6"/>
  <c r="U2535" i="6"/>
  <c r="T2535" i="6"/>
  <c r="S2535" i="6"/>
  <c r="P2535" i="6"/>
  <c r="O2535" i="6"/>
  <c r="N2535" i="6"/>
  <c r="M2535" i="6"/>
  <c r="B2535" i="6"/>
  <c r="AE2534" i="6"/>
  <c r="AD2534" i="6"/>
  <c r="W2534" i="6"/>
  <c r="T2534" i="6"/>
  <c r="V2534" i="6" s="1"/>
  <c r="S2534" i="6"/>
  <c r="P2534" i="6"/>
  <c r="O2534" i="6"/>
  <c r="N2534" i="6"/>
  <c r="M2534" i="6"/>
  <c r="B2534" i="6"/>
  <c r="AE2533" i="6"/>
  <c r="AD2533" i="6"/>
  <c r="W2533" i="6"/>
  <c r="T2533" i="6"/>
  <c r="V2533" i="6" s="1"/>
  <c r="S2533" i="6"/>
  <c r="P2533" i="6"/>
  <c r="O2533" i="6"/>
  <c r="N2533" i="6"/>
  <c r="M2533" i="6"/>
  <c r="B2533" i="6"/>
  <c r="AE2532" i="6"/>
  <c r="AD2532" i="6"/>
  <c r="W2532" i="6"/>
  <c r="V2532" i="6"/>
  <c r="U2532" i="6"/>
  <c r="T2532" i="6"/>
  <c r="S2532" i="6"/>
  <c r="P2532" i="6"/>
  <c r="O2532" i="6"/>
  <c r="N2532" i="6"/>
  <c r="M2532" i="6"/>
  <c r="B2532" i="6"/>
  <c r="AE2531" i="6"/>
  <c r="AD2531" i="6"/>
  <c r="W2531" i="6"/>
  <c r="T2531" i="6"/>
  <c r="U2531" i="6" s="1"/>
  <c r="S2531" i="6"/>
  <c r="P2531" i="6"/>
  <c r="O2531" i="6"/>
  <c r="N2531" i="6"/>
  <c r="M2531" i="6"/>
  <c r="B2531" i="6"/>
  <c r="AE2530" i="6"/>
  <c r="AD2530" i="6"/>
  <c r="W2530" i="6"/>
  <c r="V2530" i="6"/>
  <c r="U2530" i="6"/>
  <c r="T2530" i="6"/>
  <c r="S2530" i="6"/>
  <c r="P2530" i="6"/>
  <c r="O2530" i="6"/>
  <c r="N2530" i="6"/>
  <c r="M2530" i="6"/>
  <c r="B2530" i="6"/>
  <c r="AE2529" i="6"/>
  <c r="AD2529" i="6"/>
  <c r="W2529" i="6"/>
  <c r="T2529" i="6"/>
  <c r="V2529" i="6" s="1"/>
  <c r="S2529" i="6"/>
  <c r="P2529" i="6"/>
  <c r="O2529" i="6"/>
  <c r="N2529" i="6"/>
  <c r="M2529" i="6"/>
  <c r="B2529" i="6"/>
  <c r="AE2528" i="6"/>
  <c r="AD2528" i="6"/>
  <c r="W2528" i="6"/>
  <c r="U2528" i="6"/>
  <c r="T2528" i="6"/>
  <c r="V2528" i="6" s="1"/>
  <c r="S2528" i="6"/>
  <c r="P2528" i="6"/>
  <c r="O2528" i="6"/>
  <c r="N2528" i="6"/>
  <c r="M2528" i="6"/>
  <c r="B2528" i="6"/>
  <c r="AE2527" i="6"/>
  <c r="AD2527" i="6"/>
  <c r="W2527" i="6"/>
  <c r="V2527" i="6"/>
  <c r="T2527" i="6"/>
  <c r="U2527" i="6" s="1"/>
  <c r="S2527" i="6"/>
  <c r="P2527" i="6"/>
  <c r="O2527" i="6"/>
  <c r="N2527" i="6"/>
  <c r="M2527" i="6"/>
  <c r="B2527" i="6"/>
  <c r="AE2526" i="6"/>
  <c r="AD2526" i="6"/>
  <c r="W2526" i="6"/>
  <c r="T2526" i="6"/>
  <c r="V2526" i="6" s="1"/>
  <c r="S2526" i="6"/>
  <c r="P2526" i="6"/>
  <c r="O2526" i="6"/>
  <c r="N2526" i="6"/>
  <c r="M2526" i="6"/>
  <c r="B2526" i="6"/>
  <c r="AE2525" i="6"/>
  <c r="AD2525" i="6"/>
  <c r="W2525" i="6"/>
  <c r="V2525" i="6"/>
  <c r="U2525" i="6"/>
  <c r="T2525" i="6"/>
  <c r="S2525" i="6"/>
  <c r="P2525" i="6"/>
  <c r="O2525" i="6"/>
  <c r="N2525" i="6"/>
  <c r="M2525" i="6"/>
  <c r="B2525" i="6"/>
  <c r="AE2524" i="6"/>
  <c r="AD2524" i="6"/>
  <c r="W2524" i="6"/>
  <c r="T2524" i="6"/>
  <c r="V2524" i="6" s="1"/>
  <c r="S2524" i="6"/>
  <c r="P2524" i="6"/>
  <c r="O2524" i="6"/>
  <c r="N2524" i="6"/>
  <c r="M2524" i="6"/>
  <c r="B2524" i="6"/>
  <c r="AE2523" i="6"/>
  <c r="AD2523" i="6"/>
  <c r="W2523" i="6"/>
  <c r="T2523" i="6"/>
  <c r="V2523" i="6" s="1"/>
  <c r="S2523" i="6"/>
  <c r="P2523" i="6"/>
  <c r="O2523" i="6"/>
  <c r="N2523" i="6"/>
  <c r="M2523" i="6"/>
  <c r="B2523" i="6"/>
  <c r="AE2522" i="6"/>
  <c r="AD2522" i="6"/>
  <c r="W2522" i="6"/>
  <c r="T2522" i="6"/>
  <c r="V2522" i="6" s="1"/>
  <c r="S2522" i="6"/>
  <c r="P2522" i="6"/>
  <c r="O2522" i="6"/>
  <c r="N2522" i="6"/>
  <c r="M2522" i="6"/>
  <c r="B2522" i="6"/>
  <c r="AE2521" i="6"/>
  <c r="AD2521" i="6"/>
  <c r="W2521" i="6"/>
  <c r="V2521" i="6"/>
  <c r="U2521" i="6"/>
  <c r="T2521" i="6"/>
  <c r="S2521" i="6"/>
  <c r="P2521" i="6"/>
  <c r="O2521" i="6"/>
  <c r="N2521" i="6"/>
  <c r="M2521" i="6"/>
  <c r="B2521" i="6"/>
  <c r="AE2520" i="6"/>
  <c r="AD2520" i="6"/>
  <c r="W2520" i="6"/>
  <c r="V2520" i="6"/>
  <c r="U2520" i="6"/>
  <c r="T2520" i="6"/>
  <c r="S2520" i="6"/>
  <c r="P2520" i="6"/>
  <c r="O2520" i="6"/>
  <c r="N2520" i="6"/>
  <c r="M2520" i="6"/>
  <c r="B2520" i="6"/>
  <c r="AE2519" i="6"/>
  <c r="AD2519" i="6"/>
  <c r="W2519" i="6"/>
  <c r="T2519" i="6"/>
  <c r="V2519" i="6" s="1"/>
  <c r="S2519" i="6"/>
  <c r="P2519" i="6"/>
  <c r="O2519" i="6"/>
  <c r="N2519" i="6"/>
  <c r="M2519" i="6"/>
  <c r="B2519" i="6"/>
  <c r="AE2518" i="6"/>
  <c r="AD2518" i="6"/>
  <c r="W2518" i="6"/>
  <c r="T2518" i="6"/>
  <c r="V2518" i="6" s="1"/>
  <c r="S2518" i="6"/>
  <c r="P2518" i="6"/>
  <c r="O2518" i="6"/>
  <c r="N2518" i="6"/>
  <c r="M2518" i="6"/>
  <c r="B2518" i="6"/>
  <c r="AE2517" i="6"/>
  <c r="AD2517" i="6"/>
  <c r="W2517" i="6"/>
  <c r="V2517" i="6"/>
  <c r="T2517" i="6"/>
  <c r="U2517" i="6" s="1"/>
  <c r="S2517" i="6"/>
  <c r="P2517" i="6"/>
  <c r="O2517" i="6"/>
  <c r="N2517" i="6"/>
  <c r="M2517" i="6"/>
  <c r="B2517" i="6"/>
  <c r="AE2516" i="6"/>
  <c r="AD2516" i="6"/>
  <c r="W2516" i="6"/>
  <c r="U2516" i="6"/>
  <c r="T2516" i="6"/>
  <c r="V2516" i="6" s="1"/>
  <c r="S2516" i="6"/>
  <c r="P2516" i="6"/>
  <c r="O2516" i="6"/>
  <c r="N2516" i="6"/>
  <c r="M2516" i="6"/>
  <c r="B2516" i="6"/>
  <c r="AE2515" i="6"/>
  <c r="AD2515" i="6"/>
  <c r="W2515" i="6"/>
  <c r="V2515" i="6"/>
  <c r="U2515" i="6"/>
  <c r="T2515" i="6"/>
  <c r="S2515" i="6"/>
  <c r="P2515" i="6"/>
  <c r="O2515" i="6"/>
  <c r="N2515" i="6"/>
  <c r="M2515" i="6"/>
  <c r="B2515" i="6"/>
  <c r="AE2514" i="6"/>
  <c r="AD2514" i="6"/>
  <c r="W2514" i="6"/>
  <c r="T2514" i="6"/>
  <c r="V2514" i="6" s="1"/>
  <c r="S2514" i="6"/>
  <c r="P2514" i="6"/>
  <c r="O2514" i="6"/>
  <c r="N2514" i="6"/>
  <c r="M2514" i="6"/>
  <c r="B2514" i="6"/>
  <c r="AE2513" i="6"/>
  <c r="AD2513" i="6"/>
  <c r="W2513" i="6"/>
  <c r="U2513" i="6"/>
  <c r="T2513" i="6"/>
  <c r="V2513" i="6" s="1"/>
  <c r="S2513" i="6"/>
  <c r="P2513" i="6"/>
  <c r="O2513" i="6"/>
  <c r="N2513" i="6"/>
  <c r="M2513" i="6"/>
  <c r="B2513" i="6"/>
  <c r="AE2512" i="6"/>
  <c r="AD2512" i="6"/>
  <c r="W2512" i="6"/>
  <c r="T2512" i="6"/>
  <c r="V2512" i="6" s="1"/>
  <c r="S2512" i="6"/>
  <c r="P2512" i="6"/>
  <c r="O2512" i="6"/>
  <c r="N2512" i="6"/>
  <c r="M2512" i="6"/>
  <c r="B2512" i="6"/>
  <c r="AE2511" i="6"/>
  <c r="AD2511" i="6"/>
  <c r="W2511" i="6"/>
  <c r="V2511" i="6"/>
  <c r="U2511" i="6"/>
  <c r="T2511" i="6"/>
  <c r="S2511" i="6"/>
  <c r="P2511" i="6"/>
  <c r="O2511" i="6"/>
  <c r="N2511" i="6"/>
  <c r="M2511" i="6"/>
  <c r="B2511" i="6"/>
  <c r="AE2510" i="6"/>
  <c r="AD2510" i="6"/>
  <c r="W2510" i="6"/>
  <c r="V2510" i="6"/>
  <c r="U2510" i="6"/>
  <c r="T2510" i="6"/>
  <c r="S2510" i="6"/>
  <c r="P2510" i="6"/>
  <c r="O2510" i="6"/>
  <c r="N2510" i="6"/>
  <c r="M2510" i="6"/>
  <c r="B2510" i="6"/>
  <c r="AE2509" i="6"/>
  <c r="AD2509" i="6"/>
  <c r="W2509" i="6"/>
  <c r="T2509" i="6"/>
  <c r="V2509" i="6" s="1"/>
  <c r="S2509" i="6"/>
  <c r="P2509" i="6"/>
  <c r="O2509" i="6"/>
  <c r="N2509" i="6"/>
  <c r="M2509" i="6"/>
  <c r="B2509" i="6"/>
  <c r="AE2508" i="6"/>
  <c r="AD2508" i="6"/>
  <c r="W2508" i="6"/>
  <c r="U2508" i="6"/>
  <c r="T2508" i="6"/>
  <c r="V2508" i="6" s="1"/>
  <c r="S2508" i="6"/>
  <c r="P2508" i="6"/>
  <c r="O2508" i="6"/>
  <c r="N2508" i="6"/>
  <c r="M2508" i="6"/>
  <c r="B2508" i="6"/>
  <c r="AE2507" i="6"/>
  <c r="AD2507" i="6"/>
  <c r="W2507" i="6"/>
  <c r="U2507" i="6"/>
  <c r="T2507" i="6"/>
  <c r="V2507" i="6" s="1"/>
  <c r="S2507" i="6"/>
  <c r="P2507" i="6"/>
  <c r="O2507" i="6"/>
  <c r="N2507" i="6"/>
  <c r="M2507" i="6"/>
  <c r="B2507" i="6"/>
  <c r="AE2506" i="6"/>
  <c r="AD2506" i="6"/>
  <c r="W2506" i="6"/>
  <c r="V2506" i="6"/>
  <c r="T2506" i="6"/>
  <c r="U2506" i="6" s="1"/>
  <c r="S2506" i="6"/>
  <c r="P2506" i="6"/>
  <c r="O2506" i="6"/>
  <c r="N2506" i="6"/>
  <c r="M2506" i="6"/>
  <c r="B2506" i="6"/>
  <c r="AE2505" i="6"/>
  <c r="AD2505" i="6"/>
  <c r="W2505" i="6"/>
  <c r="V2505" i="6"/>
  <c r="U2505" i="6"/>
  <c r="T2505" i="6"/>
  <c r="S2505" i="6"/>
  <c r="P2505" i="6"/>
  <c r="O2505" i="6"/>
  <c r="N2505" i="6"/>
  <c r="M2505" i="6"/>
  <c r="B2505" i="6"/>
  <c r="AE2504" i="6"/>
  <c r="AD2504" i="6"/>
  <c r="W2504" i="6"/>
  <c r="T2504" i="6"/>
  <c r="V2504" i="6" s="1"/>
  <c r="S2504" i="6"/>
  <c r="P2504" i="6"/>
  <c r="O2504" i="6"/>
  <c r="N2504" i="6"/>
  <c r="M2504" i="6"/>
  <c r="B2504" i="6"/>
  <c r="AE2503" i="6"/>
  <c r="AD2503" i="6"/>
  <c r="W2503" i="6"/>
  <c r="U2503" i="6"/>
  <c r="T2503" i="6"/>
  <c r="V2503" i="6" s="1"/>
  <c r="S2503" i="6"/>
  <c r="P2503" i="6"/>
  <c r="O2503" i="6"/>
  <c r="N2503" i="6"/>
  <c r="M2503" i="6"/>
  <c r="B2503" i="6"/>
  <c r="AE2502" i="6"/>
  <c r="AD2502" i="6"/>
  <c r="W2502" i="6"/>
  <c r="T2502" i="6"/>
  <c r="U2502" i="6" s="1"/>
  <c r="S2502" i="6"/>
  <c r="P2502" i="6"/>
  <c r="O2502" i="6"/>
  <c r="N2502" i="6"/>
  <c r="M2502" i="6"/>
  <c r="B2502" i="6"/>
  <c r="AE2501" i="6"/>
  <c r="AD2501" i="6"/>
  <c r="W2501" i="6"/>
  <c r="T2501" i="6"/>
  <c r="V2501" i="6" s="1"/>
  <c r="S2501" i="6"/>
  <c r="P2501" i="6"/>
  <c r="O2501" i="6"/>
  <c r="N2501" i="6"/>
  <c r="M2501" i="6"/>
  <c r="B2501" i="6"/>
  <c r="AE2500" i="6"/>
  <c r="AD2500" i="6"/>
  <c r="W2500" i="6"/>
  <c r="V2500" i="6"/>
  <c r="U2500" i="6"/>
  <c r="T2500" i="6"/>
  <c r="S2500" i="6"/>
  <c r="P2500" i="6"/>
  <c r="O2500" i="6"/>
  <c r="N2500" i="6"/>
  <c r="M2500" i="6"/>
  <c r="B2500" i="6"/>
  <c r="AE2499" i="6"/>
  <c r="AD2499" i="6"/>
  <c r="W2499" i="6"/>
  <c r="T2499" i="6"/>
  <c r="V2499" i="6" s="1"/>
  <c r="S2499" i="6"/>
  <c r="P2499" i="6"/>
  <c r="O2499" i="6"/>
  <c r="N2499" i="6"/>
  <c r="M2499" i="6"/>
  <c r="B2499" i="6"/>
  <c r="AE2498" i="6"/>
  <c r="AD2498" i="6"/>
  <c r="W2498" i="6"/>
  <c r="T2498" i="6"/>
  <c r="V2498" i="6" s="1"/>
  <c r="S2498" i="6"/>
  <c r="P2498" i="6"/>
  <c r="O2498" i="6"/>
  <c r="N2498" i="6"/>
  <c r="M2498" i="6"/>
  <c r="B2498" i="6"/>
  <c r="AE2497" i="6"/>
  <c r="AD2497" i="6"/>
  <c r="W2497" i="6"/>
  <c r="T2497" i="6"/>
  <c r="V2497" i="6" s="1"/>
  <c r="S2497" i="6"/>
  <c r="P2497" i="6"/>
  <c r="O2497" i="6"/>
  <c r="N2497" i="6"/>
  <c r="M2497" i="6"/>
  <c r="B2497" i="6"/>
  <c r="AE2496" i="6"/>
  <c r="AD2496" i="6"/>
  <c r="W2496" i="6"/>
  <c r="V2496" i="6"/>
  <c r="T2496" i="6"/>
  <c r="U2496" i="6" s="1"/>
  <c r="S2496" i="6"/>
  <c r="P2496" i="6"/>
  <c r="O2496" i="6"/>
  <c r="N2496" i="6"/>
  <c r="M2496" i="6"/>
  <c r="B2496" i="6"/>
  <c r="AE2495" i="6"/>
  <c r="AD2495" i="6"/>
  <c r="W2495" i="6"/>
  <c r="V2495" i="6"/>
  <c r="U2495" i="6"/>
  <c r="T2495" i="6"/>
  <c r="S2495" i="6"/>
  <c r="P2495" i="6"/>
  <c r="O2495" i="6"/>
  <c r="N2495" i="6"/>
  <c r="M2495" i="6"/>
  <c r="B2495" i="6"/>
  <c r="AE2494" i="6"/>
  <c r="AD2494" i="6"/>
  <c r="W2494" i="6"/>
  <c r="T2494" i="6"/>
  <c r="V2494" i="6" s="1"/>
  <c r="S2494" i="6"/>
  <c r="P2494" i="6"/>
  <c r="O2494" i="6"/>
  <c r="N2494" i="6"/>
  <c r="M2494" i="6"/>
  <c r="B2494" i="6"/>
  <c r="AE2493" i="6"/>
  <c r="AD2493" i="6"/>
  <c r="W2493" i="6"/>
  <c r="T2493" i="6"/>
  <c r="V2493" i="6" s="1"/>
  <c r="S2493" i="6"/>
  <c r="P2493" i="6"/>
  <c r="O2493" i="6"/>
  <c r="N2493" i="6"/>
  <c r="M2493" i="6"/>
  <c r="B2493" i="6"/>
  <c r="AE2492" i="6"/>
  <c r="AD2492" i="6"/>
  <c r="W2492" i="6"/>
  <c r="V2492" i="6"/>
  <c r="U2492" i="6"/>
  <c r="T2492" i="6"/>
  <c r="S2492" i="6"/>
  <c r="P2492" i="6"/>
  <c r="O2492" i="6"/>
  <c r="N2492" i="6"/>
  <c r="M2492" i="6"/>
  <c r="B2492" i="6"/>
  <c r="AE2491" i="6"/>
  <c r="AD2491" i="6"/>
  <c r="W2491" i="6"/>
  <c r="T2491" i="6"/>
  <c r="V2491" i="6" s="1"/>
  <c r="S2491" i="6"/>
  <c r="P2491" i="6"/>
  <c r="O2491" i="6"/>
  <c r="N2491" i="6"/>
  <c r="M2491" i="6"/>
  <c r="B2491" i="6"/>
  <c r="AE2490" i="6"/>
  <c r="AD2490" i="6"/>
  <c r="W2490" i="6"/>
  <c r="V2490" i="6"/>
  <c r="U2490" i="6"/>
  <c r="T2490" i="6"/>
  <c r="S2490" i="6"/>
  <c r="P2490" i="6"/>
  <c r="O2490" i="6"/>
  <c r="N2490" i="6"/>
  <c r="M2490" i="6"/>
  <c r="B2490" i="6"/>
  <c r="AE2489" i="6"/>
  <c r="AD2489" i="6"/>
  <c r="W2489" i="6"/>
  <c r="T2489" i="6"/>
  <c r="V2489" i="6" s="1"/>
  <c r="S2489" i="6"/>
  <c r="P2489" i="6"/>
  <c r="O2489" i="6"/>
  <c r="N2489" i="6"/>
  <c r="M2489" i="6"/>
  <c r="B2489" i="6"/>
  <c r="AE2488" i="6"/>
  <c r="AD2488" i="6"/>
  <c r="W2488" i="6"/>
  <c r="T2488" i="6"/>
  <c r="V2488" i="6" s="1"/>
  <c r="S2488" i="6"/>
  <c r="P2488" i="6"/>
  <c r="O2488" i="6"/>
  <c r="N2488" i="6"/>
  <c r="M2488" i="6"/>
  <c r="B2488" i="6"/>
  <c r="AE2487" i="6"/>
  <c r="AD2487" i="6"/>
  <c r="W2487" i="6"/>
  <c r="U2487" i="6"/>
  <c r="T2487" i="6"/>
  <c r="V2487" i="6" s="1"/>
  <c r="S2487" i="6"/>
  <c r="P2487" i="6"/>
  <c r="O2487" i="6"/>
  <c r="N2487" i="6"/>
  <c r="M2487" i="6"/>
  <c r="B2487" i="6"/>
  <c r="AE2486" i="6"/>
  <c r="AD2486" i="6"/>
  <c r="W2486" i="6"/>
  <c r="U2486" i="6"/>
  <c r="T2486" i="6"/>
  <c r="V2486" i="6" s="1"/>
  <c r="S2486" i="6"/>
  <c r="P2486" i="6"/>
  <c r="O2486" i="6"/>
  <c r="N2486" i="6"/>
  <c r="M2486" i="6"/>
  <c r="B2486" i="6"/>
  <c r="AE2485" i="6"/>
  <c r="AD2485" i="6"/>
  <c r="W2485" i="6"/>
  <c r="V2485" i="6"/>
  <c r="U2485" i="6"/>
  <c r="T2485" i="6"/>
  <c r="S2485" i="6"/>
  <c r="P2485" i="6"/>
  <c r="O2485" i="6"/>
  <c r="N2485" i="6"/>
  <c r="M2485" i="6"/>
  <c r="B2485" i="6"/>
  <c r="AE2484" i="6"/>
  <c r="AD2484" i="6"/>
  <c r="W2484" i="6"/>
  <c r="T2484" i="6"/>
  <c r="V2484" i="6" s="1"/>
  <c r="S2484" i="6"/>
  <c r="P2484" i="6"/>
  <c r="O2484" i="6"/>
  <c r="N2484" i="6"/>
  <c r="M2484" i="6"/>
  <c r="B2484" i="6"/>
  <c r="AE2483" i="6"/>
  <c r="AD2483" i="6"/>
  <c r="W2483" i="6"/>
  <c r="T2483" i="6"/>
  <c r="V2483" i="6" s="1"/>
  <c r="S2483" i="6"/>
  <c r="P2483" i="6"/>
  <c r="O2483" i="6"/>
  <c r="N2483" i="6"/>
  <c r="M2483" i="6"/>
  <c r="B2483" i="6"/>
  <c r="AE2482" i="6"/>
  <c r="AD2482" i="6"/>
  <c r="W2482" i="6"/>
  <c r="V2482" i="6"/>
  <c r="U2482" i="6"/>
  <c r="T2482" i="6"/>
  <c r="S2482" i="6"/>
  <c r="P2482" i="6"/>
  <c r="O2482" i="6"/>
  <c r="N2482" i="6"/>
  <c r="M2482" i="6"/>
  <c r="B2482" i="6"/>
  <c r="AE2481" i="6"/>
  <c r="AD2481" i="6"/>
  <c r="W2481" i="6"/>
  <c r="T2481" i="6"/>
  <c r="U2481" i="6" s="1"/>
  <c r="S2481" i="6"/>
  <c r="P2481" i="6"/>
  <c r="O2481" i="6"/>
  <c r="N2481" i="6"/>
  <c r="M2481" i="6"/>
  <c r="B2481" i="6"/>
  <c r="AE2480" i="6"/>
  <c r="AD2480" i="6"/>
  <c r="W2480" i="6"/>
  <c r="V2480" i="6"/>
  <c r="U2480" i="6"/>
  <c r="T2480" i="6"/>
  <c r="S2480" i="6"/>
  <c r="P2480" i="6"/>
  <c r="O2480" i="6"/>
  <c r="N2480" i="6"/>
  <c r="M2480" i="6"/>
  <c r="B2480" i="6"/>
  <c r="AE2479" i="6"/>
  <c r="AD2479" i="6"/>
  <c r="W2479" i="6"/>
  <c r="T2479" i="6"/>
  <c r="V2479" i="6" s="1"/>
  <c r="S2479" i="6"/>
  <c r="P2479" i="6"/>
  <c r="O2479" i="6"/>
  <c r="N2479" i="6"/>
  <c r="M2479" i="6"/>
  <c r="B2479" i="6"/>
  <c r="AE2478" i="6"/>
  <c r="AD2478" i="6"/>
  <c r="W2478" i="6"/>
  <c r="U2478" i="6"/>
  <c r="T2478" i="6"/>
  <c r="V2478" i="6" s="1"/>
  <c r="S2478" i="6"/>
  <c r="P2478" i="6"/>
  <c r="O2478" i="6"/>
  <c r="N2478" i="6"/>
  <c r="M2478" i="6"/>
  <c r="B2478" i="6"/>
  <c r="AE2477" i="6"/>
  <c r="AD2477" i="6"/>
  <c r="W2477" i="6"/>
  <c r="V2477" i="6"/>
  <c r="T2477" i="6"/>
  <c r="U2477" i="6" s="1"/>
  <c r="S2477" i="6"/>
  <c r="P2477" i="6"/>
  <c r="O2477" i="6"/>
  <c r="N2477" i="6"/>
  <c r="M2477" i="6"/>
  <c r="B2477" i="6"/>
  <c r="AE2476" i="6"/>
  <c r="AD2476" i="6"/>
  <c r="W2476" i="6"/>
  <c r="T2476" i="6"/>
  <c r="V2476" i="6" s="1"/>
  <c r="S2476" i="6"/>
  <c r="P2476" i="6"/>
  <c r="O2476" i="6"/>
  <c r="N2476" i="6"/>
  <c r="M2476" i="6"/>
  <c r="B2476" i="6"/>
  <c r="AE2475" i="6"/>
  <c r="AD2475" i="6"/>
  <c r="W2475" i="6"/>
  <c r="V2475" i="6"/>
  <c r="U2475" i="6"/>
  <c r="T2475" i="6"/>
  <c r="S2475" i="6"/>
  <c r="P2475" i="6"/>
  <c r="O2475" i="6"/>
  <c r="N2475" i="6"/>
  <c r="M2475" i="6"/>
  <c r="B2475" i="6"/>
  <c r="AE2474" i="6"/>
  <c r="AD2474" i="6"/>
  <c r="W2474" i="6"/>
  <c r="T2474" i="6"/>
  <c r="V2474" i="6" s="1"/>
  <c r="S2474" i="6"/>
  <c r="P2474" i="6"/>
  <c r="O2474" i="6"/>
  <c r="N2474" i="6"/>
  <c r="M2474" i="6"/>
  <c r="B2474" i="6"/>
  <c r="AE2473" i="6"/>
  <c r="AD2473" i="6"/>
  <c r="W2473" i="6"/>
  <c r="T2473" i="6"/>
  <c r="V2473" i="6" s="1"/>
  <c r="S2473" i="6"/>
  <c r="P2473" i="6"/>
  <c r="O2473" i="6"/>
  <c r="N2473" i="6"/>
  <c r="M2473" i="6"/>
  <c r="B2473" i="6"/>
  <c r="AE2472" i="6"/>
  <c r="AD2472" i="6"/>
  <c r="W2472" i="6"/>
  <c r="T2472" i="6"/>
  <c r="V2472" i="6" s="1"/>
  <c r="S2472" i="6"/>
  <c r="P2472" i="6"/>
  <c r="O2472" i="6"/>
  <c r="N2472" i="6"/>
  <c r="M2472" i="6"/>
  <c r="B2472" i="6"/>
  <c r="AE2471" i="6"/>
  <c r="AD2471" i="6"/>
  <c r="W2471" i="6"/>
  <c r="V2471" i="6"/>
  <c r="U2471" i="6"/>
  <c r="T2471" i="6"/>
  <c r="S2471" i="6"/>
  <c r="P2471" i="6"/>
  <c r="O2471" i="6"/>
  <c r="N2471" i="6"/>
  <c r="M2471" i="6"/>
  <c r="B2471" i="6"/>
  <c r="AE2470" i="6"/>
  <c r="AD2470" i="6"/>
  <c r="W2470" i="6"/>
  <c r="V2470" i="6"/>
  <c r="U2470" i="6"/>
  <c r="T2470" i="6"/>
  <c r="S2470" i="6"/>
  <c r="P2470" i="6"/>
  <c r="O2470" i="6"/>
  <c r="N2470" i="6"/>
  <c r="M2470" i="6"/>
  <c r="B2470" i="6"/>
  <c r="AE2469" i="6"/>
  <c r="AD2469" i="6"/>
  <c r="W2469" i="6"/>
  <c r="T2469" i="6"/>
  <c r="V2469" i="6" s="1"/>
  <c r="S2469" i="6"/>
  <c r="P2469" i="6"/>
  <c r="O2469" i="6"/>
  <c r="N2469" i="6"/>
  <c r="M2469" i="6"/>
  <c r="B2469" i="6"/>
  <c r="AE2468" i="6"/>
  <c r="AD2468" i="6"/>
  <c r="W2468" i="6"/>
  <c r="T2468" i="6"/>
  <c r="V2468" i="6" s="1"/>
  <c r="S2468" i="6"/>
  <c r="P2468" i="6"/>
  <c r="O2468" i="6"/>
  <c r="N2468" i="6"/>
  <c r="M2468" i="6"/>
  <c r="B2468" i="6"/>
  <c r="AE2467" i="6"/>
  <c r="AD2467" i="6"/>
  <c r="W2467" i="6"/>
  <c r="V2467" i="6"/>
  <c r="T2467" i="6"/>
  <c r="U2467" i="6" s="1"/>
  <c r="S2467" i="6"/>
  <c r="P2467" i="6"/>
  <c r="O2467" i="6"/>
  <c r="N2467" i="6"/>
  <c r="M2467" i="6"/>
  <c r="B2467" i="6"/>
  <c r="AE2466" i="6"/>
  <c r="AD2466" i="6"/>
  <c r="W2466" i="6"/>
  <c r="U2466" i="6"/>
  <c r="T2466" i="6"/>
  <c r="V2466" i="6" s="1"/>
  <c r="S2466" i="6"/>
  <c r="P2466" i="6"/>
  <c r="O2466" i="6"/>
  <c r="N2466" i="6"/>
  <c r="M2466" i="6"/>
  <c r="B2466" i="6"/>
  <c r="AE2465" i="6"/>
  <c r="AD2465" i="6"/>
  <c r="W2465" i="6"/>
  <c r="V2465" i="6"/>
  <c r="U2465" i="6"/>
  <c r="T2465" i="6"/>
  <c r="S2465" i="6"/>
  <c r="P2465" i="6"/>
  <c r="O2465" i="6"/>
  <c r="N2465" i="6"/>
  <c r="M2465" i="6"/>
  <c r="B2465" i="6"/>
  <c r="AE2464" i="6"/>
  <c r="AD2464" i="6"/>
  <c r="W2464" i="6"/>
  <c r="T2464" i="6"/>
  <c r="V2464" i="6" s="1"/>
  <c r="S2464" i="6"/>
  <c r="P2464" i="6"/>
  <c r="O2464" i="6"/>
  <c r="N2464" i="6"/>
  <c r="M2464" i="6"/>
  <c r="B2464" i="6"/>
  <c r="AE2463" i="6"/>
  <c r="AD2463" i="6"/>
  <c r="W2463" i="6"/>
  <c r="U2463" i="6"/>
  <c r="T2463" i="6"/>
  <c r="V2463" i="6" s="1"/>
  <c r="S2463" i="6"/>
  <c r="P2463" i="6"/>
  <c r="O2463" i="6"/>
  <c r="N2463" i="6"/>
  <c r="M2463" i="6"/>
  <c r="B2463" i="6"/>
  <c r="AE2462" i="6"/>
  <c r="AD2462" i="6"/>
  <c r="W2462" i="6"/>
  <c r="T2462" i="6"/>
  <c r="V2462" i="6" s="1"/>
  <c r="S2462" i="6"/>
  <c r="P2462" i="6"/>
  <c r="O2462" i="6"/>
  <c r="N2462" i="6"/>
  <c r="M2462" i="6"/>
  <c r="B2462" i="6"/>
  <c r="AE2461" i="6"/>
  <c r="AD2461" i="6"/>
  <c r="W2461" i="6"/>
  <c r="V2461" i="6"/>
  <c r="U2461" i="6"/>
  <c r="T2461" i="6"/>
  <c r="S2461" i="6"/>
  <c r="P2461" i="6"/>
  <c r="O2461" i="6"/>
  <c r="N2461" i="6"/>
  <c r="M2461" i="6"/>
  <c r="B2461" i="6"/>
  <c r="AE2460" i="6"/>
  <c r="AD2460" i="6"/>
  <c r="W2460" i="6"/>
  <c r="V2460" i="6"/>
  <c r="U2460" i="6"/>
  <c r="T2460" i="6"/>
  <c r="S2460" i="6"/>
  <c r="P2460" i="6"/>
  <c r="O2460" i="6"/>
  <c r="N2460" i="6"/>
  <c r="M2460" i="6"/>
  <c r="B2460" i="6"/>
  <c r="AE2459" i="6"/>
  <c r="AD2459" i="6"/>
  <c r="W2459" i="6"/>
  <c r="T2459" i="6"/>
  <c r="V2459" i="6" s="1"/>
  <c r="S2459" i="6"/>
  <c r="P2459" i="6"/>
  <c r="O2459" i="6"/>
  <c r="N2459" i="6"/>
  <c r="M2459" i="6"/>
  <c r="B2459" i="6"/>
  <c r="AE2458" i="6"/>
  <c r="AD2458" i="6"/>
  <c r="W2458" i="6"/>
  <c r="U2458" i="6"/>
  <c r="T2458" i="6"/>
  <c r="V2458" i="6" s="1"/>
  <c r="S2458" i="6"/>
  <c r="P2458" i="6"/>
  <c r="O2458" i="6"/>
  <c r="N2458" i="6"/>
  <c r="M2458" i="6"/>
  <c r="B2458" i="6"/>
  <c r="AE2457" i="6"/>
  <c r="AD2457" i="6"/>
  <c r="W2457" i="6"/>
  <c r="U2457" i="6"/>
  <c r="T2457" i="6"/>
  <c r="V2457" i="6" s="1"/>
  <c r="S2457" i="6"/>
  <c r="P2457" i="6"/>
  <c r="O2457" i="6"/>
  <c r="N2457" i="6"/>
  <c r="M2457" i="6"/>
  <c r="B2457" i="6"/>
  <c r="AE2456" i="6"/>
  <c r="AD2456" i="6"/>
  <c r="W2456" i="6"/>
  <c r="V2456" i="6"/>
  <c r="T2456" i="6"/>
  <c r="U2456" i="6" s="1"/>
  <c r="S2456" i="6"/>
  <c r="P2456" i="6"/>
  <c r="O2456" i="6"/>
  <c r="N2456" i="6"/>
  <c r="M2456" i="6"/>
  <c r="B2456" i="6"/>
  <c r="AE2455" i="6"/>
  <c r="AD2455" i="6"/>
  <c r="W2455" i="6"/>
  <c r="V2455" i="6"/>
  <c r="U2455" i="6"/>
  <c r="T2455" i="6"/>
  <c r="S2455" i="6"/>
  <c r="P2455" i="6"/>
  <c r="O2455" i="6"/>
  <c r="N2455" i="6"/>
  <c r="M2455" i="6"/>
  <c r="B2455" i="6"/>
  <c r="AE2454" i="6"/>
  <c r="AD2454" i="6"/>
  <c r="W2454" i="6"/>
  <c r="T2454" i="6"/>
  <c r="V2454" i="6" s="1"/>
  <c r="S2454" i="6"/>
  <c r="P2454" i="6"/>
  <c r="O2454" i="6"/>
  <c r="N2454" i="6"/>
  <c r="M2454" i="6"/>
  <c r="B2454" i="6"/>
  <c r="AE2453" i="6"/>
  <c r="AD2453" i="6"/>
  <c r="W2453" i="6"/>
  <c r="U2453" i="6"/>
  <c r="T2453" i="6"/>
  <c r="V2453" i="6" s="1"/>
  <c r="S2453" i="6"/>
  <c r="P2453" i="6"/>
  <c r="O2453" i="6"/>
  <c r="N2453" i="6"/>
  <c r="M2453" i="6"/>
  <c r="B2453" i="6"/>
  <c r="AE2452" i="6"/>
  <c r="AD2452" i="6"/>
  <c r="W2452" i="6"/>
  <c r="T2452" i="6"/>
  <c r="U2452" i="6" s="1"/>
  <c r="S2452" i="6"/>
  <c r="P2452" i="6"/>
  <c r="O2452" i="6"/>
  <c r="N2452" i="6"/>
  <c r="M2452" i="6"/>
  <c r="B2452" i="6"/>
  <c r="AE2451" i="6"/>
  <c r="AD2451" i="6"/>
  <c r="W2451" i="6"/>
  <c r="T2451" i="6"/>
  <c r="V2451" i="6" s="1"/>
  <c r="S2451" i="6"/>
  <c r="P2451" i="6"/>
  <c r="O2451" i="6"/>
  <c r="N2451" i="6"/>
  <c r="M2451" i="6"/>
  <c r="B2451" i="6"/>
  <c r="AE2450" i="6"/>
  <c r="AD2450" i="6"/>
  <c r="W2450" i="6"/>
  <c r="V2450" i="6"/>
  <c r="U2450" i="6"/>
  <c r="T2450" i="6"/>
  <c r="S2450" i="6"/>
  <c r="P2450" i="6"/>
  <c r="O2450" i="6"/>
  <c r="N2450" i="6"/>
  <c r="M2450" i="6"/>
  <c r="B2450" i="6"/>
  <c r="AE2449" i="6"/>
  <c r="AD2449" i="6"/>
  <c r="W2449" i="6"/>
  <c r="T2449" i="6"/>
  <c r="V2449" i="6" s="1"/>
  <c r="S2449" i="6"/>
  <c r="P2449" i="6"/>
  <c r="O2449" i="6"/>
  <c r="N2449" i="6"/>
  <c r="M2449" i="6"/>
  <c r="B2449" i="6"/>
  <c r="AE2448" i="6"/>
  <c r="AD2448" i="6"/>
  <c r="W2448" i="6"/>
  <c r="T2448" i="6"/>
  <c r="V2448" i="6" s="1"/>
  <c r="S2448" i="6"/>
  <c r="P2448" i="6"/>
  <c r="O2448" i="6"/>
  <c r="N2448" i="6"/>
  <c r="M2448" i="6"/>
  <c r="B2448" i="6"/>
  <c r="AE2447" i="6"/>
  <c r="AD2447" i="6"/>
  <c r="W2447" i="6"/>
  <c r="T2447" i="6"/>
  <c r="V2447" i="6" s="1"/>
  <c r="S2447" i="6"/>
  <c r="P2447" i="6"/>
  <c r="O2447" i="6"/>
  <c r="N2447" i="6"/>
  <c r="M2447" i="6"/>
  <c r="B2447" i="6"/>
  <c r="AE2446" i="6"/>
  <c r="AD2446" i="6"/>
  <c r="W2446" i="6"/>
  <c r="V2446" i="6"/>
  <c r="T2446" i="6"/>
  <c r="U2446" i="6" s="1"/>
  <c r="S2446" i="6"/>
  <c r="P2446" i="6"/>
  <c r="O2446" i="6"/>
  <c r="N2446" i="6"/>
  <c r="M2446" i="6"/>
  <c r="B2446" i="6"/>
  <c r="AE2445" i="6"/>
  <c r="AD2445" i="6"/>
  <c r="W2445" i="6"/>
  <c r="V2445" i="6"/>
  <c r="U2445" i="6"/>
  <c r="T2445" i="6"/>
  <c r="S2445" i="6"/>
  <c r="P2445" i="6"/>
  <c r="O2445" i="6"/>
  <c r="N2445" i="6"/>
  <c r="M2445" i="6"/>
  <c r="B2445" i="6"/>
  <c r="AE2444" i="6"/>
  <c r="AD2444" i="6"/>
  <c r="W2444" i="6"/>
  <c r="T2444" i="6"/>
  <c r="V2444" i="6" s="1"/>
  <c r="S2444" i="6"/>
  <c r="P2444" i="6"/>
  <c r="O2444" i="6"/>
  <c r="N2444" i="6"/>
  <c r="M2444" i="6"/>
  <c r="B2444" i="6"/>
  <c r="AE2443" i="6"/>
  <c r="AD2443" i="6"/>
  <c r="W2443" i="6"/>
  <c r="T2443" i="6"/>
  <c r="V2443" i="6" s="1"/>
  <c r="S2443" i="6"/>
  <c r="P2443" i="6"/>
  <c r="O2443" i="6"/>
  <c r="N2443" i="6"/>
  <c r="M2443" i="6"/>
  <c r="B2443" i="6"/>
  <c r="AE2442" i="6"/>
  <c r="AD2442" i="6"/>
  <c r="W2442" i="6"/>
  <c r="V2442" i="6"/>
  <c r="U2442" i="6"/>
  <c r="T2442" i="6"/>
  <c r="S2442" i="6"/>
  <c r="P2442" i="6"/>
  <c r="O2442" i="6"/>
  <c r="N2442" i="6"/>
  <c r="M2442" i="6"/>
  <c r="B2442" i="6"/>
  <c r="AE2441" i="6"/>
  <c r="AD2441" i="6"/>
  <c r="W2441" i="6"/>
  <c r="T2441" i="6"/>
  <c r="V2441" i="6" s="1"/>
  <c r="S2441" i="6"/>
  <c r="P2441" i="6"/>
  <c r="O2441" i="6"/>
  <c r="N2441" i="6"/>
  <c r="M2441" i="6"/>
  <c r="B2441" i="6"/>
  <c r="AE2440" i="6"/>
  <c r="AD2440" i="6"/>
  <c r="W2440" i="6"/>
  <c r="V2440" i="6"/>
  <c r="U2440" i="6"/>
  <c r="T2440" i="6"/>
  <c r="S2440" i="6"/>
  <c r="P2440" i="6"/>
  <c r="O2440" i="6"/>
  <c r="N2440" i="6"/>
  <c r="M2440" i="6"/>
  <c r="B2440" i="6"/>
  <c r="AE2439" i="6"/>
  <c r="AD2439" i="6"/>
  <c r="W2439" i="6"/>
  <c r="T2439" i="6"/>
  <c r="V2439" i="6" s="1"/>
  <c r="S2439" i="6"/>
  <c r="P2439" i="6"/>
  <c r="O2439" i="6"/>
  <c r="N2439" i="6"/>
  <c r="M2439" i="6"/>
  <c r="B2439" i="6"/>
  <c r="AE2438" i="6"/>
  <c r="AD2438" i="6"/>
  <c r="W2438" i="6"/>
  <c r="T2438" i="6"/>
  <c r="V2438" i="6" s="1"/>
  <c r="S2438" i="6"/>
  <c r="P2438" i="6"/>
  <c r="O2438" i="6"/>
  <c r="N2438" i="6"/>
  <c r="M2438" i="6"/>
  <c r="B2438" i="6"/>
  <c r="AE2437" i="6"/>
  <c r="AD2437" i="6"/>
  <c r="W2437" i="6"/>
  <c r="U2437" i="6"/>
  <c r="T2437" i="6"/>
  <c r="V2437" i="6" s="1"/>
  <c r="S2437" i="6"/>
  <c r="P2437" i="6"/>
  <c r="O2437" i="6"/>
  <c r="N2437" i="6"/>
  <c r="M2437" i="6"/>
  <c r="B2437" i="6"/>
  <c r="AE2436" i="6"/>
  <c r="AD2436" i="6"/>
  <c r="W2436" i="6"/>
  <c r="U2436" i="6"/>
  <c r="T2436" i="6"/>
  <c r="V2436" i="6" s="1"/>
  <c r="S2436" i="6"/>
  <c r="P2436" i="6"/>
  <c r="O2436" i="6"/>
  <c r="N2436" i="6"/>
  <c r="M2436" i="6"/>
  <c r="B2436" i="6"/>
  <c r="AE2435" i="6"/>
  <c r="AD2435" i="6"/>
  <c r="W2435" i="6"/>
  <c r="V2435" i="6"/>
  <c r="U2435" i="6"/>
  <c r="T2435" i="6"/>
  <c r="S2435" i="6"/>
  <c r="P2435" i="6"/>
  <c r="O2435" i="6"/>
  <c r="N2435" i="6"/>
  <c r="M2435" i="6"/>
  <c r="B2435" i="6"/>
  <c r="AE2434" i="6"/>
  <c r="AD2434" i="6"/>
  <c r="W2434" i="6"/>
  <c r="T2434" i="6"/>
  <c r="V2434" i="6" s="1"/>
  <c r="S2434" i="6"/>
  <c r="P2434" i="6"/>
  <c r="O2434" i="6"/>
  <c r="N2434" i="6"/>
  <c r="M2434" i="6"/>
  <c r="B2434" i="6"/>
  <c r="AE2433" i="6"/>
  <c r="AD2433" i="6"/>
  <c r="W2433" i="6"/>
  <c r="T2433" i="6"/>
  <c r="V2433" i="6" s="1"/>
  <c r="S2433" i="6"/>
  <c r="P2433" i="6"/>
  <c r="O2433" i="6"/>
  <c r="N2433" i="6"/>
  <c r="M2433" i="6"/>
  <c r="B2433" i="6"/>
  <c r="AE2432" i="6"/>
  <c r="AD2432" i="6"/>
  <c r="W2432" i="6"/>
  <c r="V2432" i="6"/>
  <c r="U2432" i="6"/>
  <c r="T2432" i="6"/>
  <c r="S2432" i="6"/>
  <c r="P2432" i="6"/>
  <c r="O2432" i="6"/>
  <c r="N2432" i="6"/>
  <c r="M2432" i="6"/>
  <c r="B2432" i="6"/>
  <c r="AE2431" i="6"/>
  <c r="AD2431" i="6"/>
  <c r="W2431" i="6"/>
  <c r="T2431" i="6"/>
  <c r="U2431" i="6" s="1"/>
  <c r="S2431" i="6"/>
  <c r="P2431" i="6"/>
  <c r="O2431" i="6"/>
  <c r="N2431" i="6"/>
  <c r="M2431" i="6"/>
  <c r="B2431" i="6"/>
  <c r="AE2430" i="6"/>
  <c r="AD2430" i="6"/>
  <c r="W2430" i="6"/>
  <c r="V2430" i="6"/>
  <c r="U2430" i="6"/>
  <c r="T2430" i="6"/>
  <c r="S2430" i="6"/>
  <c r="P2430" i="6"/>
  <c r="O2430" i="6"/>
  <c r="N2430" i="6"/>
  <c r="M2430" i="6"/>
  <c r="B2430" i="6"/>
  <c r="AE2429" i="6"/>
  <c r="AD2429" i="6"/>
  <c r="W2429" i="6"/>
  <c r="T2429" i="6"/>
  <c r="V2429" i="6" s="1"/>
  <c r="S2429" i="6"/>
  <c r="P2429" i="6"/>
  <c r="O2429" i="6"/>
  <c r="N2429" i="6"/>
  <c r="M2429" i="6"/>
  <c r="B2429" i="6"/>
  <c r="AE2428" i="6"/>
  <c r="AD2428" i="6"/>
  <c r="W2428" i="6"/>
  <c r="U2428" i="6"/>
  <c r="T2428" i="6"/>
  <c r="V2428" i="6" s="1"/>
  <c r="S2428" i="6"/>
  <c r="P2428" i="6"/>
  <c r="O2428" i="6"/>
  <c r="N2428" i="6"/>
  <c r="M2428" i="6"/>
  <c r="B2428" i="6"/>
  <c r="AE2427" i="6"/>
  <c r="AD2427" i="6"/>
  <c r="W2427" i="6"/>
  <c r="V2427" i="6"/>
  <c r="T2427" i="6"/>
  <c r="U2427" i="6" s="1"/>
  <c r="S2427" i="6"/>
  <c r="P2427" i="6"/>
  <c r="O2427" i="6"/>
  <c r="N2427" i="6"/>
  <c r="M2427" i="6"/>
  <c r="B2427" i="6"/>
  <c r="AE2426" i="6"/>
  <c r="AD2426" i="6"/>
  <c r="W2426" i="6"/>
  <c r="T2426" i="6"/>
  <c r="V2426" i="6" s="1"/>
  <c r="S2426" i="6"/>
  <c r="P2426" i="6"/>
  <c r="O2426" i="6"/>
  <c r="N2426" i="6"/>
  <c r="M2426" i="6"/>
  <c r="B2426" i="6"/>
  <c r="AE2425" i="6"/>
  <c r="AD2425" i="6"/>
  <c r="W2425" i="6"/>
  <c r="V2425" i="6"/>
  <c r="U2425" i="6"/>
  <c r="T2425" i="6"/>
  <c r="S2425" i="6"/>
  <c r="P2425" i="6"/>
  <c r="O2425" i="6"/>
  <c r="N2425" i="6"/>
  <c r="M2425" i="6"/>
  <c r="B2425" i="6"/>
  <c r="AE2424" i="6"/>
  <c r="AD2424" i="6"/>
  <c r="W2424" i="6"/>
  <c r="T2424" i="6"/>
  <c r="V2424" i="6" s="1"/>
  <c r="S2424" i="6"/>
  <c r="P2424" i="6"/>
  <c r="O2424" i="6"/>
  <c r="N2424" i="6"/>
  <c r="M2424" i="6"/>
  <c r="B2424" i="6"/>
  <c r="AE2423" i="6"/>
  <c r="AD2423" i="6"/>
  <c r="W2423" i="6"/>
  <c r="T2423" i="6"/>
  <c r="V2423" i="6" s="1"/>
  <c r="S2423" i="6"/>
  <c r="P2423" i="6"/>
  <c r="O2423" i="6"/>
  <c r="N2423" i="6"/>
  <c r="M2423" i="6"/>
  <c r="B2423" i="6"/>
  <c r="AE2422" i="6"/>
  <c r="AD2422" i="6"/>
  <c r="W2422" i="6"/>
  <c r="T2422" i="6"/>
  <c r="V2422" i="6" s="1"/>
  <c r="S2422" i="6"/>
  <c r="P2422" i="6"/>
  <c r="O2422" i="6"/>
  <c r="N2422" i="6"/>
  <c r="M2422" i="6"/>
  <c r="B2422" i="6"/>
  <c r="AE2421" i="6"/>
  <c r="AD2421" i="6"/>
  <c r="W2421" i="6"/>
  <c r="V2421" i="6"/>
  <c r="U2421" i="6"/>
  <c r="T2421" i="6"/>
  <c r="S2421" i="6"/>
  <c r="P2421" i="6"/>
  <c r="O2421" i="6"/>
  <c r="N2421" i="6"/>
  <c r="M2421" i="6"/>
  <c r="B2421" i="6"/>
  <c r="AE2420" i="6"/>
  <c r="AD2420" i="6"/>
  <c r="W2420" i="6"/>
  <c r="V2420" i="6"/>
  <c r="U2420" i="6"/>
  <c r="T2420" i="6"/>
  <c r="S2420" i="6"/>
  <c r="P2420" i="6"/>
  <c r="O2420" i="6"/>
  <c r="N2420" i="6"/>
  <c r="M2420" i="6"/>
  <c r="B2420" i="6"/>
  <c r="AE2419" i="6"/>
  <c r="AD2419" i="6"/>
  <c r="W2419" i="6"/>
  <c r="T2419" i="6"/>
  <c r="V2419" i="6" s="1"/>
  <c r="S2419" i="6"/>
  <c r="P2419" i="6"/>
  <c r="O2419" i="6"/>
  <c r="N2419" i="6"/>
  <c r="M2419" i="6"/>
  <c r="B2419" i="6"/>
  <c r="AE2418" i="6"/>
  <c r="AD2418" i="6"/>
  <c r="W2418" i="6"/>
  <c r="T2418" i="6"/>
  <c r="V2418" i="6" s="1"/>
  <c r="S2418" i="6"/>
  <c r="P2418" i="6"/>
  <c r="O2418" i="6"/>
  <c r="N2418" i="6"/>
  <c r="M2418" i="6"/>
  <c r="B2418" i="6"/>
  <c r="AE2417" i="6"/>
  <c r="AD2417" i="6"/>
  <c r="W2417" i="6"/>
  <c r="V2417" i="6"/>
  <c r="T2417" i="6"/>
  <c r="U2417" i="6" s="1"/>
  <c r="S2417" i="6"/>
  <c r="P2417" i="6"/>
  <c r="O2417" i="6"/>
  <c r="N2417" i="6"/>
  <c r="M2417" i="6"/>
  <c r="B2417" i="6"/>
  <c r="AE2416" i="6"/>
  <c r="AD2416" i="6"/>
  <c r="W2416" i="6"/>
  <c r="U2416" i="6"/>
  <c r="T2416" i="6"/>
  <c r="V2416" i="6" s="1"/>
  <c r="S2416" i="6"/>
  <c r="P2416" i="6"/>
  <c r="O2416" i="6"/>
  <c r="N2416" i="6"/>
  <c r="M2416" i="6"/>
  <c r="B2416" i="6"/>
  <c r="AE2415" i="6"/>
  <c r="AD2415" i="6"/>
  <c r="W2415" i="6"/>
  <c r="V2415" i="6"/>
  <c r="U2415" i="6"/>
  <c r="T2415" i="6"/>
  <c r="S2415" i="6"/>
  <c r="P2415" i="6"/>
  <c r="O2415" i="6"/>
  <c r="N2415" i="6"/>
  <c r="M2415" i="6"/>
  <c r="B2415" i="6"/>
  <c r="AE2414" i="6"/>
  <c r="AD2414" i="6"/>
  <c r="W2414" i="6"/>
  <c r="T2414" i="6"/>
  <c r="V2414" i="6" s="1"/>
  <c r="S2414" i="6"/>
  <c r="P2414" i="6"/>
  <c r="O2414" i="6"/>
  <c r="N2414" i="6"/>
  <c r="M2414" i="6"/>
  <c r="B2414" i="6"/>
  <c r="AE2413" i="6"/>
  <c r="AD2413" i="6"/>
  <c r="W2413" i="6"/>
  <c r="U2413" i="6"/>
  <c r="T2413" i="6"/>
  <c r="V2413" i="6" s="1"/>
  <c r="S2413" i="6"/>
  <c r="P2413" i="6"/>
  <c r="O2413" i="6"/>
  <c r="N2413" i="6"/>
  <c r="M2413" i="6"/>
  <c r="B2413" i="6"/>
  <c r="AE2412" i="6"/>
  <c r="AD2412" i="6"/>
  <c r="W2412" i="6"/>
  <c r="T2412" i="6"/>
  <c r="V2412" i="6" s="1"/>
  <c r="S2412" i="6"/>
  <c r="P2412" i="6"/>
  <c r="O2412" i="6"/>
  <c r="N2412" i="6"/>
  <c r="M2412" i="6"/>
  <c r="B2412" i="6"/>
  <c r="AE2411" i="6"/>
  <c r="AD2411" i="6"/>
  <c r="W2411" i="6"/>
  <c r="V2411" i="6"/>
  <c r="U2411" i="6"/>
  <c r="T2411" i="6"/>
  <c r="S2411" i="6"/>
  <c r="P2411" i="6"/>
  <c r="O2411" i="6"/>
  <c r="N2411" i="6"/>
  <c r="M2411" i="6"/>
  <c r="B2411" i="6"/>
  <c r="AE2410" i="6"/>
  <c r="AD2410" i="6"/>
  <c r="W2410" i="6"/>
  <c r="V2410" i="6"/>
  <c r="U2410" i="6"/>
  <c r="T2410" i="6"/>
  <c r="S2410" i="6"/>
  <c r="P2410" i="6"/>
  <c r="O2410" i="6"/>
  <c r="N2410" i="6"/>
  <c r="M2410" i="6"/>
  <c r="B2410" i="6"/>
  <c r="AE2409" i="6"/>
  <c r="AD2409" i="6"/>
  <c r="W2409" i="6"/>
  <c r="T2409" i="6"/>
  <c r="V2409" i="6" s="1"/>
  <c r="S2409" i="6"/>
  <c r="P2409" i="6"/>
  <c r="O2409" i="6"/>
  <c r="N2409" i="6"/>
  <c r="M2409" i="6"/>
  <c r="B2409" i="6"/>
  <c r="AE2408" i="6"/>
  <c r="AD2408" i="6"/>
  <c r="W2408" i="6"/>
  <c r="U2408" i="6"/>
  <c r="T2408" i="6"/>
  <c r="V2408" i="6" s="1"/>
  <c r="S2408" i="6"/>
  <c r="P2408" i="6"/>
  <c r="O2408" i="6"/>
  <c r="N2408" i="6"/>
  <c r="M2408" i="6"/>
  <c r="B2408" i="6"/>
  <c r="AE2407" i="6"/>
  <c r="AD2407" i="6"/>
  <c r="W2407" i="6"/>
  <c r="U2407" i="6"/>
  <c r="T2407" i="6"/>
  <c r="V2407" i="6" s="1"/>
  <c r="S2407" i="6"/>
  <c r="P2407" i="6"/>
  <c r="O2407" i="6"/>
  <c r="N2407" i="6"/>
  <c r="M2407" i="6"/>
  <c r="B2407" i="6"/>
  <c r="AE2406" i="6"/>
  <c r="AD2406" i="6"/>
  <c r="W2406" i="6"/>
  <c r="V2406" i="6"/>
  <c r="T2406" i="6"/>
  <c r="U2406" i="6" s="1"/>
  <c r="S2406" i="6"/>
  <c r="P2406" i="6"/>
  <c r="O2406" i="6"/>
  <c r="N2406" i="6"/>
  <c r="M2406" i="6"/>
  <c r="B2406" i="6"/>
  <c r="AE2405" i="6"/>
  <c r="AD2405" i="6"/>
  <c r="W2405" i="6"/>
  <c r="V2405" i="6"/>
  <c r="U2405" i="6"/>
  <c r="T2405" i="6"/>
  <c r="S2405" i="6"/>
  <c r="P2405" i="6"/>
  <c r="O2405" i="6"/>
  <c r="N2405" i="6"/>
  <c r="M2405" i="6"/>
  <c r="B2405" i="6"/>
  <c r="AE2404" i="6"/>
  <c r="AD2404" i="6"/>
  <c r="W2404" i="6"/>
  <c r="T2404" i="6"/>
  <c r="V2404" i="6" s="1"/>
  <c r="S2404" i="6"/>
  <c r="P2404" i="6"/>
  <c r="O2404" i="6"/>
  <c r="N2404" i="6"/>
  <c r="M2404" i="6"/>
  <c r="B2404" i="6"/>
  <c r="AE2403" i="6"/>
  <c r="AD2403" i="6"/>
  <c r="W2403" i="6"/>
  <c r="U2403" i="6"/>
  <c r="T2403" i="6"/>
  <c r="V2403" i="6" s="1"/>
  <c r="S2403" i="6"/>
  <c r="P2403" i="6"/>
  <c r="O2403" i="6"/>
  <c r="N2403" i="6"/>
  <c r="M2403" i="6"/>
  <c r="B2403" i="6"/>
  <c r="AE2402" i="6"/>
  <c r="AD2402" i="6"/>
  <c r="W2402" i="6"/>
  <c r="T2402" i="6"/>
  <c r="U2402" i="6" s="1"/>
  <c r="S2402" i="6"/>
  <c r="P2402" i="6"/>
  <c r="O2402" i="6"/>
  <c r="N2402" i="6"/>
  <c r="M2402" i="6"/>
  <c r="B2402" i="6"/>
  <c r="AE2401" i="6"/>
  <c r="AD2401" i="6"/>
  <c r="W2401" i="6"/>
  <c r="T2401" i="6"/>
  <c r="V2401" i="6" s="1"/>
  <c r="S2401" i="6"/>
  <c r="P2401" i="6"/>
  <c r="O2401" i="6"/>
  <c r="N2401" i="6"/>
  <c r="M2401" i="6"/>
  <c r="B2401" i="6"/>
  <c r="AE2400" i="6"/>
  <c r="AD2400" i="6"/>
  <c r="W2400" i="6"/>
  <c r="V2400" i="6"/>
  <c r="U2400" i="6"/>
  <c r="T2400" i="6"/>
  <c r="S2400" i="6"/>
  <c r="P2400" i="6"/>
  <c r="O2400" i="6"/>
  <c r="N2400" i="6"/>
  <c r="M2400" i="6"/>
  <c r="B2400" i="6"/>
  <c r="AE2399" i="6"/>
  <c r="AD2399" i="6"/>
  <c r="W2399" i="6"/>
  <c r="T2399" i="6"/>
  <c r="V2399" i="6" s="1"/>
  <c r="S2399" i="6"/>
  <c r="P2399" i="6"/>
  <c r="O2399" i="6"/>
  <c r="N2399" i="6"/>
  <c r="M2399" i="6"/>
  <c r="B2399" i="6"/>
  <c r="AE2398" i="6"/>
  <c r="AD2398" i="6"/>
  <c r="W2398" i="6"/>
  <c r="T2398" i="6"/>
  <c r="V2398" i="6" s="1"/>
  <c r="S2398" i="6"/>
  <c r="P2398" i="6"/>
  <c r="O2398" i="6"/>
  <c r="N2398" i="6"/>
  <c r="M2398" i="6"/>
  <c r="B2398" i="6"/>
  <c r="AE2397" i="6"/>
  <c r="AD2397" i="6"/>
  <c r="W2397" i="6"/>
  <c r="T2397" i="6"/>
  <c r="V2397" i="6" s="1"/>
  <c r="S2397" i="6"/>
  <c r="P2397" i="6"/>
  <c r="O2397" i="6"/>
  <c r="N2397" i="6"/>
  <c r="M2397" i="6"/>
  <c r="B2397" i="6"/>
  <c r="AE2396" i="6"/>
  <c r="AD2396" i="6"/>
  <c r="W2396" i="6"/>
  <c r="V2396" i="6"/>
  <c r="T2396" i="6"/>
  <c r="U2396" i="6" s="1"/>
  <c r="S2396" i="6"/>
  <c r="P2396" i="6"/>
  <c r="O2396" i="6"/>
  <c r="N2396" i="6"/>
  <c r="M2396" i="6"/>
  <c r="B2396" i="6"/>
  <c r="AE2395" i="6"/>
  <c r="AD2395" i="6"/>
  <c r="W2395" i="6"/>
  <c r="V2395" i="6"/>
  <c r="U2395" i="6"/>
  <c r="T2395" i="6"/>
  <c r="S2395" i="6"/>
  <c r="P2395" i="6"/>
  <c r="O2395" i="6"/>
  <c r="N2395" i="6"/>
  <c r="M2395" i="6"/>
  <c r="B2395" i="6"/>
  <c r="AE2394" i="6"/>
  <c r="AD2394" i="6"/>
  <c r="W2394" i="6"/>
  <c r="T2394" i="6"/>
  <c r="V2394" i="6" s="1"/>
  <c r="S2394" i="6"/>
  <c r="P2394" i="6"/>
  <c r="O2394" i="6"/>
  <c r="N2394" i="6"/>
  <c r="M2394" i="6"/>
  <c r="B2394" i="6"/>
  <c r="AE2393" i="6"/>
  <c r="AD2393" i="6"/>
  <c r="W2393" i="6"/>
  <c r="T2393" i="6"/>
  <c r="V2393" i="6" s="1"/>
  <c r="S2393" i="6"/>
  <c r="P2393" i="6"/>
  <c r="O2393" i="6"/>
  <c r="N2393" i="6"/>
  <c r="M2393" i="6"/>
  <c r="B2393" i="6"/>
  <c r="AE2392" i="6"/>
  <c r="AD2392" i="6"/>
  <c r="W2392" i="6"/>
  <c r="V2392" i="6"/>
  <c r="U2392" i="6"/>
  <c r="T2392" i="6"/>
  <c r="S2392" i="6"/>
  <c r="P2392" i="6"/>
  <c r="O2392" i="6"/>
  <c r="N2392" i="6"/>
  <c r="M2392" i="6"/>
  <c r="B2392" i="6"/>
  <c r="AE2391" i="6"/>
  <c r="AD2391" i="6"/>
  <c r="W2391" i="6"/>
  <c r="T2391" i="6"/>
  <c r="V2391" i="6" s="1"/>
  <c r="S2391" i="6"/>
  <c r="P2391" i="6"/>
  <c r="O2391" i="6"/>
  <c r="N2391" i="6"/>
  <c r="M2391" i="6"/>
  <c r="B2391" i="6"/>
  <c r="AE2390" i="6"/>
  <c r="AD2390" i="6"/>
  <c r="W2390" i="6"/>
  <c r="V2390" i="6"/>
  <c r="U2390" i="6"/>
  <c r="T2390" i="6"/>
  <c r="S2390" i="6"/>
  <c r="P2390" i="6"/>
  <c r="O2390" i="6"/>
  <c r="N2390" i="6"/>
  <c r="M2390" i="6"/>
  <c r="B2390" i="6"/>
  <c r="AE2389" i="6"/>
  <c r="AD2389" i="6"/>
  <c r="W2389" i="6"/>
  <c r="T2389" i="6"/>
  <c r="V2389" i="6" s="1"/>
  <c r="S2389" i="6"/>
  <c r="P2389" i="6"/>
  <c r="O2389" i="6"/>
  <c r="N2389" i="6"/>
  <c r="M2389" i="6"/>
  <c r="B2389" i="6"/>
  <c r="AE2388" i="6"/>
  <c r="AD2388" i="6"/>
  <c r="W2388" i="6"/>
  <c r="T2388" i="6"/>
  <c r="V2388" i="6" s="1"/>
  <c r="S2388" i="6"/>
  <c r="P2388" i="6"/>
  <c r="O2388" i="6"/>
  <c r="N2388" i="6"/>
  <c r="M2388" i="6"/>
  <c r="B2388" i="6"/>
  <c r="AE2387" i="6"/>
  <c r="AD2387" i="6"/>
  <c r="W2387" i="6"/>
  <c r="U2387" i="6"/>
  <c r="T2387" i="6"/>
  <c r="V2387" i="6" s="1"/>
  <c r="S2387" i="6"/>
  <c r="P2387" i="6"/>
  <c r="O2387" i="6"/>
  <c r="N2387" i="6"/>
  <c r="M2387" i="6"/>
  <c r="B2387" i="6"/>
  <c r="AE2386" i="6"/>
  <c r="AD2386" i="6"/>
  <c r="W2386" i="6"/>
  <c r="U2386" i="6"/>
  <c r="T2386" i="6"/>
  <c r="V2386" i="6" s="1"/>
  <c r="S2386" i="6"/>
  <c r="P2386" i="6"/>
  <c r="O2386" i="6"/>
  <c r="N2386" i="6"/>
  <c r="M2386" i="6"/>
  <c r="B2386" i="6"/>
  <c r="AE2385" i="6"/>
  <c r="AD2385" i="6"/>
  <c r="W2385" i="6"/>
  <c r="V2385" i="6"/>
  <c r="U2385" i="6"/>
  <c r="T2385" i="6"/>
  <c r="S2385" i="6"/>
  <c r="P2385" i="6"/>
  <c r="O2385" i="6"/>
  <c r="N2385" i="6"/>
  <c r="M2385" i="6"/>
  <c r="B2385" i="6"/>
  <c r="AE2384" i="6"/>
  <c r="AD2384" i="6"/>
  <c r="W2384" i="6"/>
  <c r="T2384" i="6"/>
  <c r="V2384" i="6" s="1"/>
  <c r="S2384" i="6"/>
  <c r="P2384" i="6"/>
  <c r="O2384" i="6"/>
  <c r="N2384" i="6"/>
  <c r="M2384" i="6"/>
  <c r="B2384" i="6"/>
  <c r="AE2383" i="6"/>
  <c r="AD2383" i="6"/>
  <c r="W2383" i="6"/>
  <c r="T2383" i="6"/>
  <c r="V2383" i="6" s="1"/>
  <c r="S2383" i="6"/>
  <c r="P2383" i="6"/>
  <c r="O2383" i="6"/>
  <c r="N2383" i="6"/>
  <c r="M2383" i="6"/>
  <c r="B2383" i="6"/>
  <c r="AE2382" i="6"/>
  <c r="AD2382" i="6"/>
  <c r="W2382" i="6"/>
  <c r="V2382" i="6"/>
  <c r="U2382" i="6"/>
  <c r="T2382" i="6"/>
  <c r="S2382" i="6"/>
  <c r="P2382" i="6"/>
  <c r="O2382" i="6"/>
  <c r="N2382" i="6"/>
  <c r="M2382" i="6"/>
  <c r="B2382" i="6"/>
  <c r="AE2381" i="6"/>
  <c r="AD2381" i="6"/>
  <c r="W2381" i="6"/>
  <c r="T2381" i="6"/>
  <c r="U2381" i="6" s="1"/>
  <c r="S2381" i="6"/>
  <c r="P2381" i="6"/>
  <c r="O2381" i="6"/>
  <c r="N2381" i="6"/>
  <c r="M2381" i="6"/>
  <c r="B2381" i="6"/>
  <c r="AE2380" i="6"/>
  <c r="AD2380" i="6"/>
  <c r="W2380" i="6"/>
  <c r="V2380" i="6"/>
  <c r="U2380" i="6"/>
  <c r="T2380" i="6"/>
  <c r="S2380" i="6"/>
  <c r="P2380" i="6"/>
  <c r="O2380" i="6"/>
  <c r="N2380" i="6"/>
  <c r="M2380" i="6"/>
  <c r="B2380" i="6"/>
  <c r="AE2379" i="6"/>
  <c r="AD2379" i="6"/>
  <c r="W2379" i="6"/>
  <c r="T2379" i="6"/>
  <c r="V2379" i="6" s="1"/>
  <c r="S2379" i="6"/>
  <c r="P2379" i="6"/>
  <c r="O2379" i="6"/>
  <c r="N2379" i="6"/>
  <c r="M2379" i="6"/>
  <c r="B2379" i="6"/>
  <c r="AE2378" i="6"/>
  <c r="AD2378" i="6"/>
  <c r="W2378" i="6"/>
  <c r="U2378" i="6"/>
  <c r="T2378" i="6"/>
  <c r="V2378" i="6" s="1"/>
  <c r="S2378" i="6"/>
  <c r="P2378" i="6"/>
  <c r="O2378" i="6"/>
  <c r="N2378" i="6"/>
  <c r="M2378" i="6"/>
  <c r="B2378" i="6"/>
  <c r="AE2377" i="6"/>
  <c r="AD2377" i="6"/>
  <c r="W2377" i="6"/>
  <c r="V2377" i="6"/>
  <c r="T2377" i="6"/>
  <c r="U2377" i="6" s="1"/>
  <c r="S2377" i="6"/>
  <c r="P2377" i="6"/>
  <c r="O2377" i="6"/>
  <c r="N2377" i="6"/>
  <c r="M2377" i="6"/>
  <c r="B2377" i="6"/>
  <c r="AE2376" i="6"/>
  <c r="AD2376" i="6"/>
  <c r="W2376" i="6"/>
  <c r="T2376" i="6"/>
  <c r="V2376" i="6" s="1"/>
  <c r="S2376" i="6"/>
  <c r="P2376" i="6"/>
  <c r="O2376" i="6"/>
  <c r="N2376" i="6"/>
  <c r="M2376" i="6"/>
  <c r="B2376" i="6"/>
  <c r="AE2375" i="6"/>
  <c r="AD2375" i="6"/>
  <c r="W2375" i="6"/>
  <c r="V2375" i="6"/>
  <c r="U2375" i="6"/>
  <c r="T2375" i="6"/>
  <c r="S2375" i="6"/>
  <c r="P2375" i="6"/>
  <c r="O2375" i="6"/>
  <c r="N2375" i="6"/>
  <c r="M2375" i="6"/>
  <c r="B2375" i="6"/>
  <c r="AE2374" i="6"/>
  <c r="AD2374" i="6"/>
  <c r="W2374" i="6"/>
  <c r="T2374" i="6"/>
  <c r="V2374" i="6" s="1"/>
  <c r="S2374" i="6"/>
  <c r="P2374" i="6"/>
  <c r="O2374" i="6"/>
  <c r="N2374" i="6"/>
  <c r="M2374" i="6"/>
  <c r="B2374" i="6"/>
  <c r="AE2373" i="6"/>
  <c r="AD2373" i="6"/>
  <c r="W2373" i="6"/>
  <c r="T2373" i="6"/>
  <c r="V2373" i="6" s="1"/>
  <c r="S2373" i="6"/>
  <c r="P2373" i="6"/>
  <c r="O2373" i="6"/>
  <c r="N2373" i="6"/>
  <c r="M2373" i="6"/>
  <c r="B2373" i="6"/>
  <c r="AE2372" i="6"/>
  <c r="AD2372" i="6"/>
  <c r="W2372" i="6"/>
  <c r="T2372" i="6"/>
  <c r="V2372" i="6" s="1"/>
  <c r="S2372" i="6"/>
  <c r="P2372" i="6"/>
  <c r="O2372" i="6"/>
  <c r="N2372" i="6"/>
  <c r="M2372" i="6"/>
  <c r="B2372" i="6"/>
  <c r="AE2371" i="6"/>
  <c r="AD2371" i="6"/>
  <c r="W2371" i="6"/>
  <c r="V2371" i="6"/>
  <c r="U2371" i="6"/>
  <c r="T2371" i="6"/>
  <c r="S2371" i="6"/>
  <c r="P2371" i="6"/>
  <c r="O2371" i="6"/>
  <c r="N2371" i="6"/>
  <c r="M2371" i="6"/>
  <c r="B2371" i="6"/>
  <c r="AE2370" i="6"/>
  <c r="AD2370" i="6"/>
  <c r="W2370" i="6"/>
  <c r="V2370" i="6"/>
  <c r="U2370" i="6"/>
  <c r="T2370" i="6"/>
  <c r="S2370" i="6"/>
  <c r="P2370" i="6"/>
  <c r="O2370" i="6"/>
  <c r="N2370" i="6"/>
  <c r="M2370" i="6"/>
  <c r="B2370" i="6"/>
  <c r="AE2369" i="6"/>
  <c r="AD2369" i="6"/>
  <c r="W2369" i="6"/>
  <c r="T2369" i="6"/>
  <c r="V2369" i="6" s="1"/>
  <c r="S2369" i="6"/>
  <c r="P2369" i="6"/>
  <c r="O2369" i="6"/>
  <c r="N2369" i="6"/>
  <c r="M2369" i="6"/>
  <c r="B2369" i="6"/>
  <c r="AE2368" i="6"/>
  <c r="AD2368" i="6"/>
  <c r="W2368" i="6"/>
  <c r="T2368" i="6"/>
  <c r="V2368" i="6" s="1"/>
  <c r="S2368" i="6"/>
  <c r="P2368" i="6"/>
  <c r="O2368" i="6"/>
  <c r="N2368" i="6"/>
  <c r="M2368" i="6"/>
  <c r="B2368" i="6"/>
  <c r="AE2367" i="6"/>
  <c r="AD2367" i="6"/>
  <c r="W2367" i="6"/>
  <c r="V2367" i="6"/>
  <c r="T2367" i="6"/>
  <c r="U2367" i="6" s="1"/>
  <c r="S2367" i="6"/>
  <c r="P2367" i="6"/>
  <c r="O2367" i="6"/>
  <c r="N2367" i="6"/>
  <c r="M2367" i="6"/>
  <c r="B2367" i="6"/>
  <c r="AE2366" i="6"/>
  <c r="AD2366" i="6"/>
  <c r="W2366" i="6"/>
  <c r="U2366" i="6"/>
  <c r="T2366" i="6"/>
  <c r="V2366" i="6" s="1"/>
  <c r="S2366" i="6"/>
  <c r="P2366" i="6"/>
  <c r="O2366" i="6"/>
  <c r="N2366" i="6"/>
  <c r="M2366" i="6"/>
  <c r="B2366" i="6"/>
  <c r="AE2365" i="6"/>
  <c r="AD2365" i="6"/>
  <c r="W2365" i="6"/>
  <c r="V2365" i="6"/>
  <c r="U2365" i="6"/>
  <c r="T2365" i="6"/>
  <c r="S2365" i="6"/>
  <c r="P2365" i="6"/>
  <c r="O2365" i="6"/>
  <c r="N2365" i="6"/>
  <c r="M2365" i="6"/>
  <c r="B2365" i="6"/>
  <c r="AE2364" i="6"/>
  <c r="AD2364" i="6"/>
  <c r="W2364" i="6"/>
  <c r="T2364" i="6"/>
  <c r="V2364" i="6" s="1"/>
  <c r="S2364" i="6"/>
  <c r="P2364" i="6"/>
  <c r="O2364" i="6"/>
  <c r="N2364" i="6"/>
  <c r="M2364" i="6"/>
  <c r="B2364" i="6"/>
  <c r="AE2363" i="6"/>
  <c r="AD2363" i="6"/>
  <c r="W2363" i="6"/>
  <c r="U2363" i="6"/>
  <c r="T2363" i="6"/>
  <c r="V2363" i="6" s="1"/>
  <c r="S2363" i="6"/>
  <c r="P2363" i="6"/>
  <c r="O2363" i="6"/>
  <c r="N2363" i="6"/>
  <c r="M2363" i="6"/>
  <c r="B2363" i="6"/>
  <c r="AE2362" i="6"/>
  <c r="AD2362" i="6"/>
  <c r="W2362" i="6"/>
  <c r="T2362" i="6"/>
  <c r="V2362" i="6" s="1"/>
  <c r="S2362" i="6"/>
  <c r="P2362" i="6"/>
  <c r="O2362" i="6"/>
  <c r="N2362" i="6"/>
  <c r="M2362" i="6"/>
  <c r="B2362" i="6"/>
  <c r="AE2361" i="6"/>
  <c r="AD2361" i="6"/>
  <c r="W2361" i="6"/>
  <c r="V2361" i="6"/>
  <c r="U2361" i="6"/>
  <c r="T2361" i="6"/>
  <c r="S2361" i="6"/>
  <c r="P2361" i="6"/>
  <c r="O2361" i="6"/>
  <c r="N2361" i="6"/>
  <c r="M2361" i="6"/>
  <c r="B2361" i="6"/>
  <c r="AE2360" i="6"/>
  <c r="AD2360" i="6"/>
  <c r="W2360" i="6"/>
  <c r="V2360" i="6"/>
  <c r="U2360" i="6"/>
  <c r="T2360" i="6"/>
  <c r="S2360" i="6"/>
  <c r="P2360" i="6"/>
  <c r="O2360" i="6"/>
  <c r="N2360" i="6"/>
  <c r="M2360" i="6"/>
  <c r="B2360" i="6"/>
  <c r="AE2359" i="6"/>
  <c r="AD2359" i="6"/>
  <c r="W2359" i="6"/>
  <c r="T2359" i="6"/>
  <c r="V2359" i="6" s="1"/>
  <c r="S2359" i="6"/>
  <c r="P2359" i="6"/>
  <c r="O2359" i="6"/>
  <c r="N2359" i="6"/>
  <c r="M2359" i="6"/>
  <c r="B2359" i="6"/>
  <c r="AE2358" i="6"/>
  <c r="AD2358" i="6"/>
  <c r="W2358" i="6"/>
  <c r="U2358" i="6"/>
  <c r="T2358" i="6"/>
  <c r="V2358" i="6" s="1"/>
  <c r="S2358" i="6"/>
  <c r="P2358" i="6"/>
  <c r="O2358" i="6"/>
  <c r="N2358" i="6"/>
  <c r="M2358" i="6"/>
  <c r="B2358" i="6"/>
  <c r="AE2357" i="6"/>
  <c r="AD2357" i="6"/>
  <c r="W2357" i="6"/>
  <c r="U2357" i="6"/>
  <c r="T2357" i="6"/>
  <c r="V2357" i="6" s="1"/>
  <c r="S2357" i="6"/>
  <c r="P2357" i="6"/>
  <c r="O2357" i="6"/>
  <c r="N2357" i="6"/>
  <c r="M2357" i="6"/>
  <c r="B2357" i="6"/>
  <c r="AE2356" i="6"/>
  <c r="AD2356" i="6"/>
  <c r="W2356" i="6"/>
  <c r="V2356" i="6"/>
  <c r="T2356" i="6"/>
  <c r="U2356" i="6" s="1"/>
  <c r="S2356" i="6"/>
  <c r="P2356" i="6"/>
  <c r="O2356" i="6"/>
  <c r="N2356" i="6"/>
  <c r="M2356" i="6"/>
  <c r="B2356" i="6"/>
  <c r="AE2355" i="6"/>
  <c r="AD2355" i="6"/>
  <c r="W2355" i="6"/>
  <c r="V2355" i="6"/>
  <c r="U2355" i="6"/>
  <c r="T2355" i="6"/>
  <c r="S2355" i="6"/>
  <c r="P2355" i="6"/>
  <c r="O2355" i="6"/>
  <c r="N2355" i="6"/>
  <c r="M2355" i="6"/>
  <c r="B2355" i="6"/>
  <c r="AE2354" i="6"/>
  <c r="AD2354" i="6"/>
  <c r="W2354" i="6"/>
  <c r="T2354" i="6"/>
  <c r="V2354" i="6" s="1"/>
  <c r="S2354" i="6"/>
  <c r="P2354" i="6"/>
  <c r="O2354" i="6"/>
  <c r="N2354" i="6"/>
  <c r="M2354" i="6"/>
  <c r="B2354" i="6"/>
  <c r="AE2353" i="6"/>
  <c r="AD2353" i="6"/>
  <c r="W2353" i="6"/>
  <c r="U2353" i="6"/>
  <c r="T2353" i="6"/>
  <c r="V2353" i="6" s="1"/>
  <c r="S2353" i="6"/>
  <c r="P2353" i="6"/>
  <c r="O2353" i="6"/>
  <c r="N2353" i="6"/>
  <c r="M2353" i="6"/>
  <c r="B2353" i="6"/>
  <c r="AE2352" i="6"/>
  <c r="AD2352" i="6"/>
  <c r="W2352" i="6"/>
  <c r="T2352" i="6"/>
  <c r="U2352" i="6" s="1"/>
  <c r="S2352" i="6"/>
  <c r="P2352" i="6"/>
  <c r="O2352" i="6"/>
  <c r="N2352" i="6"/>
  <c r="M2352" i="6"/>
  <c r="B2352" i="6"/>
  <c r="AE2351" i="6"/>
  <c r="AD2351" i="6"/>
  <c r="W2351" i="6"/>
  <c r="T2351" i="6"/>
  <c r="V2351" i="6" s="1"/>
  <c r="S2351" i="6"/>
  <c r="P2351" i="6"/>
  <c r="O2351" i="6"/>
  <c r="N2351" i="6"/>
  <c r="M2351" i="6"/>
  <c r="B2351" i="6"/>
  <c r="AE2350" i="6"/>
  <c r="AD2350" i="6"/>
  <c r="W2350" i="6"/>
  <c r="V2350" i="6"/>
  <c r="U2350" i="6"/>
  <c r="T2350" i="6"/>
  <c r="S2350" i="6"/>
  <c r="P2350" i="6"/>
  <c r="O2350" i="6"/>
  <c r="N2350" i="6"/>
  <c r="M2350" i="6"/>
  <c r="B2350" i="6"/>
  <c r="AE2349" i="6"/>
  <c r="AD2349" i="6"/>
  <c r="W2349" i="6"/>
  <c r="T2349" i="6"/>
  <c r="V2349" i="6" s="1"/>
  <c r="S2349" i="6"/>
  <c r="P2349" i="6"/>
  <c r="O2349" i="6"/>
  <c r="N2349" i="6"/>
  <c r="M2349" i="6"/>
  <c r="B2349" i="6"/>
  <c r="AE2348" i="6"/>
  <c r="AD2348" i="6"/>
  <c r="W2348" i="6"/>
  <c r="T2348" i="6"/>
  <c r="V2348" i="6" s="1"/>
  <c r="S2348" i="6"/>
  <c r="P2348" i="6"/>
  <c r="O2348" i="6"/>
  <c r="N2348" i="6"/>
  <c r="M2348" i="6"/>
  <c r="B2348" i="6"/>
  <c r="AE2347" i="6"/>
  <c r="AD2347" i="6"/>
  <c r="W2347" i="6"/>
  <c r="T2347" i="6"/>
  <c r="V2347" i="6" s="1"/>
  <c r="S2347" i="6"/>
  <c r="P2347" i="6"/>
  <c r="O2347" i="6"/>
  <c r="N2347" i="6"/>
  <c r="M2347" i="6"/>
  <c r="B2347" i="6"/>
  <c r="AE2346" i="6"/>
  <c r="AD2346" i="6"/>
  <c r="W2346" i="6"/>
  <c r="V2346" i="6"/>
  <c r="U2346" i="6"/>
  <c r="T2346" i="6"/>
  <c r="S2346" i="6"/>
  <c r="P2346" i="6"/>
  <c r="O2346" i="6"/>
  <c r="N2346" i="6"/>
  <c r="M2346" i="6"/>
  <c r="B2346" i="6"/>
  <c r="AE2345" i="6"/>
  <c r="AD2345" i="6"/>
  <c r="W2345" i="6"/>
  <c r="V2345" i="6"/>
  <c r="U2345" i="6"/>
  <c r="T2345" i="6"/>
  <c r="S2345" i="6"/>
  <c r="P2345" i="6"/>
  <c r="O2345" i="6"/>
  <c r="N2345" i="6"/>
  <c r="M2345" i="6"/>
  <c r="B2345" i="6"/>
  <c r="AE2344" i="6"/>
  <c r="AD2344" i="6"/>
  <c r="W2344" i="6"/>
  <c r="T2344" i="6"/>
  <c r="V2344" i="6" s="1"/>
  <c r="S2344" i="6"/>
  <c r="P2344" i="6"/>
  <c r="O2344" i="6"/>
  <c r="N2344" i="6"/>
  <c r="M2344" i="6"/>
  <c r="B2344" i="6"/>
  <c r="AE2343" i="6"/>
  <c r="AD2343" i="6"/>
  <c r="W2343" i="6"/>
  <c r="T2343" i="6"/>
  <c r="V2343" i="6" s="1"/>
  <c r="S2343" i="6"/>
  <c r="P2343" i="6"/>
  <c r="O2343" i="6"/>
  <c r="N2343" i="6"/>
  <c r="M2343" i="6"/>
  <c r="B2343" i="6"/>
  <c r="AE2342" i="6"/>
  <c r="AD2342" i="6"/>
  <c r="W2342" i="6"/>
  <c r="V2342" i="6"/>
  <c r="U2342" i="6"/>
  <c r="T2342" i="6"/>
  <c r="S2342" i="6"/>
  <c r="P2342" i="6"/>
  <c r="O2342" i="6"/>
  <c r="N2342" i="6"/>
  <c r="M2342" i="6"/>
  <c r="B2342" i="6"/>
  <c r="AE2341" i="6"/>
  <c r="AD2341" i="6"/>
  <c r="W2341" i="6"/>
  <c r="T2341" i="6"/>
  <c r="V2341" i="6" s="1"/>
  <c r="S2341" i="6"/>
  <c r="P2341" i="6"/>
  <c r="O2341" i="6"/>
  <c r="N2341" i="6"/>
  <c r="M2341" i="6"/>
  <c r="B2341" i="6"/>
  <c r="AE2340" i="6"/>
  <c r="AD2340" i="6"/>
  <c r="W2340" i="6"/>
  <c r="V2340" i="6"/>
  <c r="U2340" i="6"/>
  <c r="T2340" i="6"/>
  <c r="S2340" i="6"/>
  <c r="P2340" i="6"/>
  <c r="O2340" i="6"/>
  <c r="N2340" i="6"/>
  <c r="M2340" i="6"/>
  <c r="B2340" i="6"/>
  <c r="AE2339" i="6"/>
  <c r="AD2339" i="6"/>
  <c r="W2339" i="6"/>
  <c r="T2339" i="6"/>
  <c r="V2339" i="6" s="1"/>
  <c r="S2339" i="6"/>
  <c r="P2339" i="6"/>
  <c r="O2339" i="6"/>
  <c r="N2339" i="6"/>
  <c r="M2339" i="6"/>
  <c r="B2339" i="6"/>
  <c r="AE2338" i="6"/>
  <c r="AD2338" i="6"/>
  <c r="W2338" i="6"/>
  <c r="T2338" i="6"/>
  <c r="V2338" i="6" s="1"/>
  <c r="S2338" i="6"/>
  <c r="P2338" i="6"/>
  <c r="O2338" i="6"/>
  <c r="N2338" i="6"/>
  <c r="M2338" i="6"/>
  <c r="B2338" i="6"/>
  <c r="AE2337" i="6"/>
  <c r="AD2337" i="6"/>
  <c r="W2337" i="6"/>
  <c r="U2337" i="6"/>
  <c r="T2337" i="6"/>
  <c r="V2337" i="6" s="1"/>
  <c r="S2337" i="6"/>
  <c r="P2337" i="6"/>
  <c r="O2337" i="6"/>
  <c r="N2337" i="6"/>
  <c r="M2337" i="6"/>
  <c r="B2337" i="6"/>
  <c r="AE2336" i="6"/>
  <c r="AD2336" i="6"/>
  <c r="W2336" i="6"/>
  <c r="U2336" i="6"/>
  <c r="T2336" i="6"/>
  <c r="V2336" i="6" s="1"/>
  <c r="S2336" i="6"/>
  <c r="P2336" i="6"/>
  <c r="O2336" i="6"/>
  <c r="N2336" i="6"/>
  <c r="M2336" i="6"/>
  <c r="B2336" i="6"/>
  <c r="AE2335" i="6"/>
  <c r="AD2335" i="6"/>
  <c r="W2335" i="6"/>
  <c r="V2335" i="6"/>
  <c r="U2335" i="6"/>
  <c r="T2335" i="6"/>
  <c r="S2335" i="6"/>
  <c r="P2335" i="6"/>
  <c r="O2335" i="6"/>
  <c r="N2335" i="6"/>
  <c r="M2335" i="6"/>
  <c r="B2335" i="6"/>
  <c r="AE2334" i="6"/>
  <c r="AD2334" i="6"/>
  <c r="W2334" i="6"/>
  <c r="T2334" i="6"/>
  <c r="V2334" i="6" s="1"/>
  <c r="S2334" i="6"/>
  <c r="P2334" i="6"/>
  <c r="O2334" i="6"/>
  <c r="N2334" i="6"/>
  <c r="M2334" i="6"/>
  <c r="B2334" i="6"/>
  <c r="AE2333" i="6"/>
  <c r="AD2333" i="6"/>
  <c r="W2333" i="6"/>
  <c r="T2333" i="6"/>
  <c r="V2333" i="6" s="1"/>
  <c r="S2333" i="6"/>
  <c r="P2333" i="6"/>
  <c r="O2333" i="6"/>
  <c r="N2333" i="6"/>
  <c r="M2333" i="6"/>
  <c r="B2333" i="6"/>
  <c r="AE2332" i="6"/>
  <c r="AD2332" i="6"/>
  <c r="W2332" i="6"/>
  <c r="V2332" i="6"/>
  <c r="U2332" i="6"/>
  <c r="T2332" i="6"/>
  <c r="S2332" i="6"/>
  <c r="P2332" i="6"/>
  <c r="O2332" i="6"/>
  <c r="N2332" i="6"/>
  <c r="M2332" i="6"/>
  <c r="B2332" i="6"/>
  <c r="AE2331" i="6"/>
  <c r="AD2331" i="6"/>
  <c r="W2331" i="6"/>
  <c r="T2331" i="6"/>
  <c r="U2331" i="6" s="1"/>
  <c r="S2331" i="6"/>
  <c r="P2331" i="6"/>
  <c r="O2331" i="6"/>
  <c r="N2331" i="6"/>
  <c r="M2331" i="6"/>
  <c r="B2331" i="6"/>
  <c r="AE2330" i="6"/>
  <c r="AD2330" i="6"/>
  <c r="W2330" i="6"/>
  <c r="V2330" i="6"/>
  <c r="U2330" i="6"/>
  <c r="T2330" i="6"/>
  <c r="S2330" i="6"/>
  <c r="P2330" i="6"/>
  <c r="O2330" i="6"/>
  <c r="N2330" i="6"/>
  <c r="M2330" i="6"/>
  <c r="B2330" i="6"/>
  <c r="AE2329" i="6"/>
  <c r="AD2329" i="6"/>
  <c r="W2329" i="6"/>
  <c r="T2329" i="6"/>
  <c r="V2329" i="6" s="1"/>
  <c r="S2329" i="6"/>
  <c r="P2329" i="6"/>
  <c r="O2329" i="6"/>
  <c r="N2329" i="6"/>
  <c r="M2329" i="6"/>
  <c r="B2329" i="6"/>
  <c r="AE2328" i="6"/>
  <c r="AD2328" i="6"/>
  <c r="W2328" i="6"/>
  <c r="U2328" i="6"/>
  <c r="T2328" i="6"/>
  <c r="V2328" i="6" s="1"/>
  <c r="S2328" i="6"/>
  <c r="P2328" i="6"/>
  <c r="O2328" i="6"/>
  <c r="N2328" i="6"/>
  <c r="M2328" i="6"/>
  <c r="B2328" i="6"/>
  <c r="AE2327" i="6"/>
  <c r="AD2327" i="6"/>
  <c r="W2327" i="6"/>
  <c r="V2327" i="6"/>
  <c r="T2327" i="6"/>
  <c r="U2327" i="6" s="1"/>
  <c r="S2327" i="6"/>
  <c r="P2327" i="6"/>
  <c r="O2327" i="6"/>
  <c r="N2327" i="6"/>
  <c r="M2327" i="6"/>
  <c r="B2327" i="6"/>
  <c r="AE2326" i="6"/>
  <c r="AD2326" i="6"/>
  <c r="W2326" i="6"/>
  <c r="T2326" i="6"/>
  <c r="V2326" i="6" s="1"/>
  <c r="S2326" i="6"/>
  <c r="P2326" i="6"/>
  <c r="O2326" i="6"/>
  <c r="N2326" i="6"/>
  <c r="M2326" i="6"/>
  <c r="B2326" i="6"/>
  <c r="AE2325" i="6"/>
  <c r="AD2325" i="6"/>
  <c r="W2325" i="6"/>
  <c r="V2325" i="6"/>
  <c r="U2325" i="6"/>
  <c r="T2325" i="6"/>
  <c r="S2325" i="6"/>
  <c r="P2325" i="6"/>
  <c r="O2325" i="6"/>
  <c r="N2325" i="6"/>
  <c r="M2325" i="6"/>
  <c r="B2325" i="6"/>
  <c r="AE2324" i="6"/>
  <c r="AD2324" i="6"/>
  <c r="W2324" i="6"/>
  <c r="T2324" i="6"/>
  <c r="V2324" i="6" s="1"/>
  <c r="S2324" i="6"/>
  <c r="P2324" i="6"/>
  <c r="O2324" i="6"/>
  <c r="N2324" i="6"/>
  <c r="M2324" i="6"/>
  <c r="B2324" i="6"/>
  <c r="AE2323" i="6"/>
  <c r="AD2323" i="6"/>
  <c r="W2323" i="6"/>
  <c r="T2323" i="6"/>
  <c r="V2323" i="6" s="1"/>
  <c r="S2323" i="6"/>
  <c r="P2323" i="6"/>
  <c r="O2323" i="6"/>
  <c r="N2323" i="6"/>
  <c r="M2323" i="6"/>
  <c r="B2323" i="6"/>
  <c r="AE2322" i="6"/>
  <c r="AD2322" i="6"/>
  <c r="W2322" i="6"/>
  <c r="T2322" i="6"/>
  <c r="V2322" i="6" s="1"/>
  <c r="S2322" i="6"/>
  <c r="P2322" i="6"/>
  <c r="O2322" i="6"/>
  <c r="N2322" i="6"/>
  <c r="M2322" i="6"/>
  <c r="B2322" i="6"/>
  <c r="AE2321" i="6"/>
  <c r="AD2321" i="6"/>
  <c r="W2321" i="6"/>
  <c r="V2321" i="6"/>
  <c r="U2321" i="6"/>
  <c r="T2321" i="6"/>
  <c r="S2321" i="6"/>
  <c r="P2321" i="6"/>
  <c r="O2321" i="6"/>
  <c r="N2321" i="6"/>
  <c r="M2321" i="6"/>
  <c r="B2321" i="6"/>
  <c r="AE2320" i="6"/>
  <c r="AD2320" i="6"/>
  <c r="W2320" i="6"/>
  <c r="V2320" i="6"/>
  <c r="U2320" i="6"/>
  <c r="T2320" i="6"/>
  <c r="S2320" i="6"/>
  <c r="P2320" i="6"/>
  <c r="O2320" i="6"/>
  <c r="N2320" i="6"/>
  <c r="M2320" i="6"/>
  <c r="B2320" i="6"/>
  <c r="AE2319" i="6"/>
  <c r="AD2319" i="6"/>
  <c r="W2319" i="6"/>
  <c r="T2319" i="6"/>
  <c r="V2319" i="6" s="1"/>
  <c r="S2319" i="6"/>
  <c r="P2319" i="6"/>
  <c r="O2319" i="6"/>
  <c r="N2319" i="6"/>
  <c r="M2319" i="6"/>
  <c r="B2319" i="6"/>
  <c r="AE2318" i="6"/>
  <c r="AD2318" i="6"/>
  <c r="W2318" i="6"/>
  <c r="T2318" i="6"/>
  <c r="V2318" i="6" s="1"/>
  <c r="S2318" i="6"/>
  <c r="P2318" i="6"/>
  <c r="O2318" i="6"/>
  <c r="N2318" i="6"/>
  <c r="M2318" i="6"/>
  <c r="B2318" i="6"/>
  <c r="AE2317" i="6"/>
  <c r="AD2317" i="6"/>
  <c r="W2317" i="6"/>
  <c r="V2317" i="6"/>
  <c r="T2317" i="6"/>
  <c r="U2317" i="6" s="1"/>
  <c r="S2317" i="6"/>
  <c r="P2317" i="6"/>
  <c r="O2317" i="6"/>
  <c r="N2317" i="6"/>
  <c r="M2317" i="6"/>
  <c r="B2317" i="6"/>
  <c r="AE2316" i="6"/>
  <c r="AD2316" i="6"/>
  <c r="W2316" i="6"/>
  <c r="U2316" i="6"/>
  <c r="T2316" i="6"/>
  <c r="V2316" i="6" s="1"/>
  <c r="S2316" i="6"/>
  <c r="P2316" i="6"/>
  <c r="O2316" i="6"/>
  <c r="N2316" i="6"/>
  <c r="M2316" i="6"/>
  <c r="B2316" i="6"/>
  <c r="AE2315" i="6"/>
  <c r="AD2315" i="6"/>
  <c r="W2315" i="6"/>
  <c r="V2315" i="6"/>
  <c r="U2315" i="6"/>
  <c r="T2315" i="6"/>
  <c r="S2315" i="6"/>
  <c r="P2315" i="6"/>
  <c r="O2315" i="6"/>
  <c r="N2315" i="6"/>
  <c r="M2315" i="6"/>
  <c r="B2315" i="6"/>
  <c r="AE2314" i="6"/>
  <c r="AD2314" i="6"/>
  <c r="W2314" i="6"/>
  <c r="T2314" i="6"/>
  <c r="V2314" i="6" s="1"/>
  <c r="S2314" i="6"/>
  <c r="P2314" i="6"/>
  <c r="O2314" i="6"/>
  <c r="N2314" i="6"/>
  <c r="M2314" i="6"/>
  <c r="B2314" i="6"/>
  <c r="AE2313" i="6"/>
  <c r="AD2313" i="6"/>
  <c r="W2313" i="6"/>
  <c r="U2313" i="6"/>
  <c r="T2313" i="6"/>
  <c r="V2313" i="6" s="1"/>
  <c r="S2313" i="6"/>
  <c r="P2313" i="6"/>
  <c r="O2313" i="6"/>
  <c r="N2313" i="6"/>
  <c r="M2313" i="6"/>
  <c r="B2313" i="6"/>
  <c r="AE2312" i="6"/>
  <c r="AD2312" i="6"/>
  <c r="W2312" i="6"/>
  <c r="T2312" i="6"/>
  <c r="V2312" i="6" s="1"/>
  <c r="S2312" i="6"/>
  <c r="P2312" i="6"/>
  <c r="O2312" i="6"/>
  <c r="N2312" i="6"/>
  <c r="M2312" i="6"/>
  <c r="B2312" i="6"/>
  <c r="AE2311" i="6"/>
  <c r="AD2311" i="6"/>
  <c r="W2311" i="6"/>
  <c r="V2311" i="6"/>
  <c r="U2311" i="6"/>
  <c r="T2311" i="6"/>
  <c r="S2311" i="6"/>
  <c r="P2311" i="6"/>
  <c r="O2311" i="6"/>
  <c r="N2311" i="6"/>
  <c r="M2311" i="6"/>
  <c r="B2311" i="6"/>
  <c r="AE2310" i="6"/>
  <c r="AD2310" i="6"/>
  <c r="W2310" i="6"/>
  <c r="V2310" i="6"/>
  <c r="U2310" i="6"/>
  <c r="T2310" i="6"/>
  <c r="S2310" i="6"/>
  <c r="P2310" i="6"/>
  <c r="O2310" i="6"/>
  <c r="N2310" i="6"/>
  <c r="M2310" i="6"/>
  <c r="B2310" i="6"/>
  <c r="AE2309" i="6"/>
  <c r="AD2309" i="6"/>
  <c r="W2309" i="6"/>
  <c r="T2309" i="6"/>
  <c r="V2309" i="6" s="1"/>
  <c r="S2309" i="6"/>
  <c r="P2309" i="6"/>
  <c r="O2309" i="6"/>
  <c r="N2309" i="6"/>
  <c r="M2309" i="6"/>
  <c r="B2309" i="6"/>
  <c r="AE2308" i="6"/>
  <c r="AD2308" i="6"/>
  <c r="W2308" i="6"/>
  <c r="U2308" i="6"/>
  <c r="T2308" i="6"/>
  <c r="V2308" i="6" s="1"/>
  <c r="S2308" i="6"/>
  <c r="P2308" i="6"/>
  <c r="O2308" i="6"/>
  <c r="N2308" i="6"/>
  <c r="M2308" i="6"/>
  <c r="B2308" i="6"/>
  <c r="AE2307" i="6"/>
  <c r="AD2307" i="6"/>
  <c r="W2307" i="6"/>
  <c r="U2307" i="6"/>
  <c r="T2307" i="6"/>
  <c r="V2307" i="6" s="1"/>
  <c r="S2307" i="6"/>
  <c r="P2307" i="6"/>
  <c r="O2307" i="6"/>
  <c r="N2307" i="6"/>
  <c r="M2307" i="6"/>
  <c r="B2307" i="6"/>
  <c r="AE2306" i="6"/>
  <c r="AD2306" i="6"/>
  <c r="W2306" i="6"/>
  <c r="V2306" i="6"/>
  <c r="T2306" i="6"/>
  <c r="U2306" i="6" s="1"/>
  <c r="S2306" i="6"/>
  <c r="P2306" i="6"/>
  <c r="O2306" i="6"/>
  <c r="N2306" i="6"/>
  <c r="M2306" i="6"/>
  <c r="B2306" i="6"/>
  <c r="AE2305" i="6"/>
  <c r="AD2305" i="6"/>
  <c r="W2305" i="6"/>
  <c r="V2305" i="6"/>
  <c r="U2305" i="6"/>
  <c r="T2305" i="6"/>
  <c r="S2305" i="6"/>
  <c r="P2305" i="6"/>
  <c r="O2305" i="6"/>
  <c r="N2305" i="6"/>
  <c r="M2305" i="6"/>
  <c r="B2305" i="6"/>
  <c r="AE2304" i="6"/>
  <c r="AD2304" i="6"/>
  <c r="W2304" i="6"/>
  <c r="T2304" i="6"/>
  <c r="V2304" i="6" s="1"/>
  <c r="S2304" i="6"/>
  <c r="P2304" i="6"/>
  <c r="O2304" i="6"/>
  <c r="N2304" i="6"/>
  <c r="M2304" i="6"/>
  <c r="B2304" i="6"/>
  <c r="AE2303" i="6"/>
  <c r="AD2303" i="6"/>
  <c r="W2303" i="6"/>
  <c r="U2303" i="6"/>
  <c r="T2303" i="6"/>
  <c r="V2303" i="6" s="1"/>
  <c r="S2303" i="6"/>
  <c r="P2303" i="6"/>
  <c r="O2303" i="6"/>
  <c r="N2303" i="6"/>
  <c r="M2303" i="6"/>
  <c r="B2303" i="6"/>
  <c r="AE2302" i="6"/>
  <c r="AD2302" i="6"/>
  <c r="W2302" i="6"/>
  <c r="T2302" i="6"/>
  <c r="U2302" i="6" s="1"/>
  <c r="S2302" i="6"/>
  <c r="P2302" i="6"/>
  <c r="O2302" i="6"/>
  <c r="N2302" i="6"/>
  <c r="M2302" i="6"/>
  <c r="B2302" i="6"/>
  <c r="AE2301" i="6"/>
  <c r="AD2301" i="6"/>
  <c r="W2301" i="6"/>
  <c r="T2301" i="6"/>
  <c r="V2301" i="6" s="1"/>
  <c r="S2301" i="6"/>
  <c r="P2301" i="6"/>
  <c r="O2301" i="6"/>
  <c r="N2301" i="6"/>
  <c r="M2301" i="6"/>
  <c r="B2301" i="6"/>
  <c r="AE2300" i="6"/>
  <c r="AD2300" i="6"/>
  <c r="W2300" i="6"/>
  <c r="V2300" i="6"/>
  <c r="U2300" i="6"/>
  <c r="T2300" i="6"/>
  <c r="S2300" i="6"/>
  <c r="P2300" i="6"/>
  <c r="O2300" i="6"/>
  <c r="N2300" i="6"/>
  <c r="M2300" i="6"/>
  <c r="B2300" i="6"/>
  <c r="AE2299" i="6"/>
  <c r="AD2299" i="6"/>
  <c r="W2299" i="6"/>
  <c r="T2299" i="6"/>
  <c r="V2299" i="6" s="1"/>
  <c r="S2299" i="6"/>
  <c r="P2299" i="6"/>
  <c r="O2299" i="6"/>
  <c r="N2299" i="6"/>
  <c r="M2299" i="6"/>
  <c r="B2299" i="6"/>
  <c r="AE2298" i="6"/>
  <c r="AD2298" i="6"/>
  <c r="W2298" i="6"/>
  <c r="T2298" i="6"/>
  <c r="V2298" i="6" s="1"/>
  <c r="S2298" i="6"/>
  <c r="P2298" i="6"/>
  <c r="O2298" i="6"/>
  <c r="N2298" i="6"/>
  <c r="M2298" i="6"/>
  <c r="B2298" i="6"/>
  <c r="AE2297" i="6"/>
  <c r="AD2297" i="6"/>
  <c r="W2297" i="6"/>
  <c r="T2297" i="6"/>
  <c r="V2297" i="6" s="1"/>
  <c r="S2297" i="6"/>
  <c r="P2297" i="6"/>
  <c r="O2297" i="6"/>
  <c r="N2297" i="6"/>
  <c r="M2297" i="6"/>
  <c r="B2297" i="6"/>
  <c r="AE2296" i="6"/>
  <c r="AD2296" i="6"/>
  <c r="W2296" i="6"/>
  <c r="V2296" i="6"/>
  <c r="U2296" i="6"/>
  <c r="T2296" i="6"/>
  <c r="S2296" i="6"/>
  <c r="P2296" i="6"/>
  <c r="O2296" i="6"/>
  <c r="N2296" i="6"/>
  <c r="M2296" i="6"/>
  <c r="B2296" i="6"/>
  <c r="AE2295" i="6"/>
  <c r="AD2295" i="6"/>
  <c r="W2295" i="6"/>
  <c r="V2295" i="6"/>
  <c r="U2295" i="6"/>
  <c r="T2295" i="6"/>
  <c r="S2295" i="6"/>
  <c r="P2295" i="6"/>
  <c r="O2295" i="6"/>
  <c r="N2295" i="6"/>
  <c r="M2295" i="6"/>
  <c r="B2295" i="6"/>
  <c r="AE2294" i="6"/>
  <c r="AD2294" i="6"/>
  <c r="W2294" i="6"/>
  <c r="T2294" i="6"/>
  <c r="V2294" i="6" s="1"/>
  <c r="S2294" i="6"/>
  <c r="P2294" i="6"/>
  <c r="O2294" i="6"/>
  <c r="N2294" i="6"/>
  <c r="M2294" i="6"/>
  <c r="B2294" i="6"/>
  <c r="AE2293" i="6"/>
  <c r="AD2293" i="6"/>
  <c r="W2293" i="6"/>
  <c r="T2293" i="6"/>
  <c r="V2293" i="6" s="1"/>
  <c r="S2293" i="6"/>
  <c r="P2293" i="6"/>
  <c r="O2293" i="6"/>
  <c r="N2293" i="6"/>
  <c r="M2293" i="6"/>
  <c r="B2293" i="6"/>
  <c r="AE2292" i="6"/>
  <c r="AD2292" i="6"/>
  <c r="W2292" i="6"/>
  <c r="V2292" i="6"/>
  <c r="U2292" i="6"/>
  <c r="T2292" i="6"/>
  <c r="S2292" i="6"/>
  <c r="P2292" i="6"/>
  <c r="O2292" i="6"/>
  <c r="N2292" i="6"/>
  <c r="M2292" i="6"/>
  <c r="B2292" i="6"/>
  <c r="AE2291" i="6"/>
  <c r="AD2291" i="6"/>
  <c r="W2291" i="6"/>
  <c r="T2291" i="6"/>
  <c r="V2291" i="6" s="1"/>
  <c r="S2291" i="6"/>
  <c r="P2291" i="6"/>
  <c r="O2291" i="6"/>
  <c r="N2291" i="6"/>
  <c r="M2291" i="6"/>
  <c r="B2291" i="6"/>
  <c r="AE2290" i="6"/>
  <c r="AD2290" i="6"/>
  <c r="W2290" i="6"/>
  <c r="V2290" i="6"/>
  <c r="U2290" i="6"/>
  <c r="T2290" i="6"/>
  <c r="S2290" i="6"/>
  <c r="P2290" i="6"/>
  <c r="O2290" i="6"/>
  <c r="N2290" i="6"/>
  <c r="M2290" i="6"/>
  <c r="B2290" i="6"/>
  <c r="AE2289" i="6"/>
  <c r="AD2289" i="6"/>
  <c r="W2289" i="6"/>
  <c r="T2289" i="6"/>
  <c r="V2289" i="6" s="1"/>
  <c r="S2289" i="6"/>
  <c r="P2289" i="6"/>
  <c r="O2289" i="6"/>
  <c r="N2289" i="6"/>
  <c r="M2289" i="6"/>
  <c r="B2289" i="6"/>
  <c r="AE2288" i="6"/>
  <c r="AD2288" i="6"/>
  <c r="W2288" i="6"/>
  <c r="T2288" i="6"/>
  <c r="V2288" i="6" s="1"/>
  <c r="S2288" i="6"/>
  <c r="P2288" i="6"/>
  <c r="O2288" i="6"/>
  <c r="N2288" i="6"/>
  <c r="M2288" i="6"/>
  <c r="B2288" i="6"/>
  <c r="AE2287" i="6"/>
  <c r="AD2287" i="6"/>
  <c r="W2287" i="6"/>
  <c r="U2287" i="6"/>
  <c r="T2287" i="6"/>
  <c r="V2287" i="6" s="1"/>
  <c r="S2287" i="6"/>
  <c r="P2287" i="6"/>
  <c r="O2287" i="6"/>
  <c r="N2287" i="6"/>
  <c r="M2287" i="6"/>
  <c r="B2287" i="6"/>
  <c r="AE2286" i="6"/>
  <c r="AD2286" i="6"/>
  <c r="W2286" i="6"/>
  <c r="U2286" i="6"/>
  <c r="T2286" i="6"/>
  <c r="V2286" i="6" s="1"/>
  <c r="S2286" i="6"/>
  <c r="P2286" i="6"/>
  <c r="O2286" i="6"/>
  <c r="N2286" i="6"/>
  <c r="M2286" i="6"/>
  <c r="B2286" i="6"/>
  <c r="AE2285" i="6"/>
  <c r="AD2285" i="6"/>
  <c r="W2285" i="6"/>
  <c r="V2285" i="6"/>
  <c r="U2285" i="6"/>
  <c r="T2285" i="6"/>
  <c r="S2285" i="6"/>
  <c r="P2285" i="6"/>
  <c r="O2285" i="6"/>
  <c r="N2285" i="6"/>
  <c r="M2285" i="6"/>
  <c r="B2285" i="6"/>
  <c r="AE2284" i="6"/>
  <c r="AD2284" i="6"/>
  <c r="W2284" i="6"/>
  <c r="T2284" i="6"/>
  <c r="V2284" i="6" s="1"/>
  <c r="S2284" i="6"/>
  <c r="P2284" i="6"/>
  <c r="O2284" i="6"/>
  <c r="N2284" i="6"/>
  <c r="M2284" i="6"/>
  <c r="B2284" i="6"/>
  <c r="AE2283" i="6"/>
  <c r="AD2283" i="6"/>
  <c r="W2283" i="6"/>
  <c r="T2283" i="6"/>
  <c r="V2283" i="6" s="1"/>
  <c r="S2283" i="6"/>
  <c r="P2283" i="6"/>
  <c r="O2283" i="6"/>
  <c r="N2283" i="6"/>
  <c r="M2283" i="6"/>
  <c r="B2283" i="6"/>
  <c r="AE2282" i="6"/>
  <c r="AD2282" i="6"/>
  <c r="W2282" i="6"/>
  <c r="V2282" i="6"/>
  <c r="U2282" i="6"/>
  <c r="T2282" i="6"/>
  <c r="S2282" i="6"/>
  <c r="P2282" i="6"/>
  <c r="O2282" i="6"/>
  <c r="N2282" i="6"/>
  <c r="M2282" i="6"/>
  <c r="B2282" i="6"/>
  <c r="AE2281" i="6"/>
  <c r="AD2281" i="6"/>
  <c r="W2281" i="6"/>
  <c r="T2281" i="6"/>
  <c r="U2281" i="6" s="1"/>
  <c r="S2281" i="6"/>
  <c r="P2281" i="6"/>
  <c r="O2281" i="6"/>
  <c r="N2281" i="6"/>
  <c r="M2281" i="6"/>
  <c r="B2281" i="6"/>
  <c r="AE2280" i="6"/>
  <c r="AD2280" i="6"/>
  <c r="W2280" i="6"/>
  <c r="V2280" i="6"/>
  <c r="U2280" i="6"/>
  <c r="T2280" i="6"/>
  <c r="S2280" i="6"/>
  <c r="P2280" i="6"/>
  <c r="O2280" i="6"/>
  <c r="N2280" i="6"/>
  <c r="M2280" i="6"/>
  <c r="B2280" i="6"/>
  <c r="AE2279" i="6"/>
  <c r="AD2279" i="6"/>
  <c r="W2279" i="6"/>
  <c r="T2279" i="6"/>
  <c r="V2279" i="6" s="1"/>
  <c r="S2279" i="6"/>
  <c r="P2279" i="6"/>
  <c r="O2279" i="6"/>
  <c r="N2279" i="6"/>
  <c r="M2279" i="6"/>
  <c r="B2279" i="6"/>
  <c r="AE2278" i="6"/>
  <c r="AD2278" i="6"/>
  <c r="W2278" i="6"/>
  <c r="U2278" i="6"/>
  <c r="T2278" i="6"/>
  <c r="V2278" i="6" s="1"/>
  <c r="S2278" i="6"/>
  <c r="P2278" i="6"/>
  <c r="O2278" i="6"/>
  <c r="N2278" i="6"/>
  <c r="M2278" i="6"/>
  <c r="B2278" i="6"/>
  <c r="AE2277" i="6"/>
  <c r="AD2277" i="6"/>
  <c r="W2277" i="6"/>
  <c r="T2277" i="6"/>
  <c r="V2277" i="6" s="1"/>
  <c r="S2277" i="6"/>
  <c r="P2277" i="6"/>
  <c r="O2277" i="6"/>
  <c r="N2277" i="6"/>
  <c r="M2277" i="6"/>
  <c r="B2277" i="6"/>
  <c r="AE2276" i="6"/>
  <c r="AD2276" i="6"/>
  <c r="W2276" i="6"/>
  <c r="T2276" i="6"/>
  <c r="V2276" i="6" s="1"/>
  <c r="S2276" i="6"/>
  <c r="P2276" i="6"/>
  <c r="O2276" i="6"/>
  <c r="N2276" i="6"/>
  <c r="M2276" i="6"/>
  <c r="B2276" i="6"/>
  <c r="AE2275" i="6"/>
  <c r="AD2275" i="6"/>
  <c r="W2275" i="6"/>
  <c r="V2275" i="6"/>
  <c r="U2275" i="6"/>
  <c r="T2275" i="6"/>
  <c r="S2275" i="6"/>
  <c r="P2275" i="6"/>
  <c r="O2275" i="6"/>
  <c r="N2275" i="6"/>
  <c r="M2275" i="6"/>
  <c r="B2275" i="6"/>
  <c r="AE2274" i="6"/>
  <c r="AD2274" i="6"/>
  <c r="W2274" i="6"/>
  <c r="T2274" i="6"/>
  <c r="V2274" i="6" s="1"/>
  <c r="S2274" i="6"/>
  <c r="P2274" i="6"/>
  <c r="O2274" i="6"/>
  <c r="N2274" i="6"/>
  <c r="M2274" i="6"/>
  <c r="B2274" i="6"/>
  <c r="AE2273" i="6"/>
  <c r="AD2273" i="6"/>
  <c r="W2273" i="6"/>
  <c r="T2273" i="6"/>
  <c r="V2273" i="6" s="1"/>
  <c r="S2273" i="6"/>
  <c r="P2273" i="6"/>
  <c r="O2273" i="6"/>
  <c r="N2273" i="6"/>
  <c r="M2273" i="6"/>
  <c r="B2273" i="6"/>
  <c r="AE2272" i="6"/>
  <c r="AD2272" i="6"/>
  <c r="W2272" i="6"/>
  <c r="T2272" i="6"/>
  <c r="V2272" i="6" s="1"/>
  <c r="S2272" i="6"/>
  <c r="P2272" i="6"/>
  <c r="O2272" i="6"/>
  <c r="N2272" i="6"/>
  <c r="M2272" i="6"/>
  <c r="B2272" i="6"/>
  <c r="AE2271" i="6"/>
  <c r="AD2271" i="6"/>
  <c r="W2271" i="6"/>
  <c r="V2271" i="6"/>
  <c r="U2271" i="6"/>
  <c r="T2271" i="6"/>
  <c r="S2271" i="6"/>
  <c r="P2271" i="6"/>
  <c r="O2271" i="6"/>
  <c r="N2271" i="6"/>
  <c r="M2271" i="6"/>
  <c r="B2271" i="6"/>
  <c r="AE2270" i="6"/>
  <c r="AD2270" i="6"/>
  <c r="W2270" i="6"/>
  <c r="V2270" i="6"/>
  <c r="U2270" i="6"/>
  <c r="T2270" i="6"/>
  <c r="S2270" i="6"/>
  <c r="P2270" i="6"/>
  <c r="O2270" i="6"/>
  <c r="N2270" i="6"/>
  <c r="M2270" i="6"/>
  <c r="B2270" i="6"/>
  <c r="AE2269" i="6"/>
  <c r="AD2269" i="6"/>
  <c r="W2269" i="6"/>
  <c r="T2269" i="6"/>
  <c r="V2269" i="6" s="1"/>
  <c r="S2269" i="6"/>
  <c r="P2269" i="6"/>
  <c r="O2269" i="6"/>
  <c r="N2269" i="6"/>
  <c r="M2269" i="6"/>
  <c r="B2269" i="6"/>
  <c r="AE2268" i="6"/>
  <c r="AD2268" i="6"/>
  <c r="W2268" i="6"/>
  <c r="T2268" i="6"/>
  <c r="V2268" i="6" s="1"/>
  <c r="S2268" i="6"/>
  <c r="P2268" i="6"/>
  <c r="O2268" i="6"/>
  <c r="N2268" i="6"/>
  <c r="M2268" i="6"/>
  <c r="B2268" i="6"/>
  <c r="AE2267" i="6"/>
  <c r="AD2267" i="6"/>
  <c r="W2267" i="6"/>
  <c r="V2267" i="6"/>
  <c r="T2267" i="6"/>
  <c r="U2267" i="6" s="1"/>
  <c r="S2267" i="6"/>
  <c r="P2267" i="6"/>
  <c r="O2267" i="6"/>
  <c r="N2267" i="6"/>
  <c r="M2267" i="6"/>
  <c r="B2267" i="6"/>
  <c r="AE2266" i="6"/>
  <c r="AD2266" i="6"/>
  <c r="W2266" i="6"/>
  <c r="U2266" i="6"/>
  <c r="T2266" i="6"/>
  <c r="V2266" i="6" s="1"/>
  <c r="S2266" i="6"/>
  <c r="P2266" i="6"/>
  <c r="O2266" i="6"/>
  <c r="N2266" i="6"/>
  <c r="M2266" i="6"/>
  <c r="B2266" i="6"/>
  <c r="AE2265" i="6"/>
  <c r="AD2265" i="6"/>
  <c r="W2265" i="6"/>
  <c r="V2265" i="6"/>
  <c r="U2265" i="6"/>
  <c r="T2265" i="6"/>
  <c r="S2265" i="6"/>
  <c r="P2265" i="6"/>
  <c r="O2265" i="6"/>
  <c r="N2265" i="6"/>
  <c r="M2265" i="6"/>
  <c r="B2265" i="6"/>
  <c r="AE2264" i="6"/>
  <c r="AD2264" i="6"/>
  <c r="W2264" i="6"/>
  <c r="T2264" i="6"/>
  <c r="V2264" i="6" s="1"/>
  <c r="S2264" i="6"/>
  <c r="P2264" i="6"/>
  <c r="O2264" i="6"/>
  <c r="N2264" i="6"/>
  <c r="M2264" i="6"/>
  <c r="B2264" i="6"/>
  <c r="AE2263" i="6"/>
  <c r="AD2263" i="6"/>
  <c r="W2263" i="6"/>
  <c r="U2263" i="6"/>
  <c r="T2263" i="6"/>
  <c r="V2263" i="6" s="1"/>
  <c r="S2263" i="6"/>
  <c r="P2263" i="6"/>
  <c r="O2263" i="6"/>
  <c r="N2263" i="6"/>
  <c r="M2263" i="6"/>
  <c r="B2263" i="6"/>
  <c r="AE2262" i="6"/>
  <c r="AD2262" i="6"/>
  <c r="W2262" i="6"/>
  <c r="T2262" i="6"/>
  <c r="V2262" i="6" s="1"/>
  <c r="S2262" i="6"/>
  <c r="P2262" i="6"/>
  <c r="O2262" i="6"/>
  <c r="N2262" i="6"/>
  <c r="M2262" i="6"/>
  <c r="B2262" i="6"/>
  <c r="AE2261" i="6"/>
  <c r="AD2261" i="6"/>
  <c r="W2261" i="6"/>
  <c r="V2261" i="6"/>
  <c r="U2261" i="6"/>
  <c r="T2261" i="6"/>
  <c r="S2261" i="6"/>
  <c r="P2261" i="6"/>
  <c r="O2261" i="6"/>
  <c r="N2261" i="6"/>
  <c r="M2261" i="6"/>
  <c r="B2261" i="6"/>
  <c r="AE2260" i="6"/>
  <c r="AD2260" i="6"/>
  <c r="W2260" i="6"/>
  <c r="V2260" i="6"/>
  <c r="U2260" i="6"/>
  <c r="T2260" i="6"/>
  <c r="S2260" i="6"/>
  <c r="P2260" i="6"/>
  <c r="O2260" i="6"/>
  <c r="N2260" i="6"/>
  <c r="M2260" i="6"/>
  <c r="B2260" i="6"/>
  <c r="AE2259" i="6"/>
  <c r="AD2259" i="6"/>
  <c r="W2259" i="6"/>
  <c r="T2259" i="6"/>
  <c r="V2259" i="6" s="1"/>
  <c r="S2259" i="6"/>
  <c r="P2259" i="6"/>
  <c r="O2259" i="6"/>
  <c r="N2259" i="6"/>
  <c r="M2259" i="6"/>
  <c r="B2259" i="6"/>
  <c r="AE2258" i="6"/>
  <c r="AD2258" i="6"/>
  <c r="W2258" i="6"/>
  <c r="U2258" i="6"/>
  <c r="T2258" i="6"/>
  <c r="V2258" i="6" s="1"/>
  <c r="S2258" i="6"/>
  <c r="P2258" i="6"/>
  <c r="O2258" i="6"/>
  <c r="N2258" i="6"/>
  <c r="M2258" i="6"/>
  <c r="B2258" i="6"/>
  <c r="AE2257" i="6"/>
  <c r="AD2257" i="6"/>
  <c r="W2257" i="6"/>
  <c r="U2257" i="6"/>
  <c r="T2257" i="6"/>
  <c r="V2257" i="6" s="1"/>
  <c r="S2257" i="6"/>
  <c r="P2257" i="6"/>
  <c r="O2257" i="6"/>
  <c r="N2257" i="6"/>
  <c r="M2257" i="6"/>
  <c r="B2257" i="6"/>
  <c r="AE2256" i="6"/>
  <c r="AD2256" i="6"/>
  <c r="W2256" i="6"/>
  <c r="V2256" i="6"/>
  <c r="T2256" i="6"/>
  <c r="U2256" i="6" s="1"/>
  <c r="S2256" i="6"/>
  <c r="P2256" i="6"/>
  <c r="O2256" i="6"/>
  <c r="N2256" i="6"/>
  <c r="M2256" i="6"/>
  <c r="B2256" i="6"/>
  <c r="AE2255" i="6"/>
  <c r="AD2255" i="6"/>
  <c r="W2255" i="6"/>
  <c r="V2255" i="6"/>
  <c r="U2255" i="6"/>
  <c r="T2255" i="6"/>
  <c r="S2255" i="6"/>
  <c r="P2255" i="6"/>
  <c r="O2255" i="6"/>
  <c r="N2255" i="6"/>
  <c r="M2255" i="6"/>
  <c r="B2255" i="6"/>
  <c r="AE2254" i="6"/>
  <c r="AD2254" i="6"/>
  <c r="W2254" i="6"/>
  <c r="T2254" i="6"/>
  <c r="V2254" i="6" s="1"/>
  <c r="S2254" i="6"/>
  <c r="P2254" i="6"/>
  <c r="O2254" i="6"/>
  <c r="N2254" i="6"/>
  <c r="M2254" i="6"/>
  <c r="B2254" i="6"/>
  <c r="AE2253" i="6"/>
  <c r="AD2253" i="6"/>
  <c r="W2253" i="6"/>
  <c r="U2253" i="6"/>
  <c r="T2253" i="6"/>
  <c r="V2253" i="6" s="1"/>
  <c r="S2253" i="6"/>
  <c r="P2253" i="6"/>
  <c r="O2253" i="6"/>
  <c r="N2253" i="6"/>
  <c r="M2253" i="6"/>
  <c r="B2253" i="6"/>
  <c r="AE2252" i="6"/>
  <c r="AD2252" i="6"/>
  <c r="W2252" i="6"/>
  <c r="T2252" i="6"/>
  <c r="U2252" i="6" s="1"/>
  <c r="S2252" i="6"/>
  <c r="P2252" i="6"/>
  <c r="O2252" i="6"/>
  <c r="N2252" i="6"/>
  <c r="M2252" i="6"/>
  <c r="B2252" i="6"/>
  <c r="AE2251" i="6"/>
  <c r="AD2251" i="6"/>
  <c r="W2251" i="6"/>
  <c r="T2251" i="6"/>
  <c r="V2251" i="6" s="1"/>
  <c r="S2251" i="6"/>
  <c r="P2251" i="6"/>
  <c r="O2251" i="6"/>
  <c r="N2251" i="6"/>
  <c r="M2251" i="6"/>
  <c r="B2251" i="6"/>
  <c r="AE2250" i="6"/>
  <c r="AD2250" i="6"/>
  <c r="W2250" i="6"/>
  <c r="V2250" i="6"/>
  <c r="U2250" i="6"/>
  <c r="T2250" i="6"/>
  <c r="S2250" i="6"/>
  <c r="P2250" i="6"/>
  <c r="O2250" i="6"/>
  <c r="N2250" i="6"/>
  <c r="M2250" i="6"/>
  <c r="B2250" i="6"/>
  <c r="AE2249" i="6"/>
  <c r="AD2249" i="6"/>
  <c r="W2249" i="6"/>
  <c r="T2249" i="6"/>
  <c r="V2249" i="6" s="1"/>
  <c r="S2249" i="6"/>
  <c r="P2249" i="6"/>
  <c r="O2249" i="6"/>
  <c r="N2249" i="6"/>
  <c r="M2249" i="6"/>
  <c r="B2249" i="6"/>
  <c r="AE2248" i="6"/>
  <c r="AD2248" i="6"/>
  <c r="W2248" i="6"/>
  <c r="T2248" i="6"/>
  <c r="V2248" i="6" s="1"/>
  <c r="S2248" i="6"/>
  <c r="P2248" i="6"/>
  <c r="O2248" i="6"/>
  <c r="N2248" i="6"/>
  <c r="M2248" i="6"/>
  <c r="B2248" i="6"/>
  <c r="AE2247" i="6"/>
  <c r="AD2247" i="6"/>
  <c r="W2247" i="6"/>
  <c r="T2247" i="6"/>
  <c r="S2247" i="6"/>
  <c r="P2247" i="6"/>
  <c r="O2247" i="6"/>
  <c r="N2247" i="6"/>
  <c r="M2247" i="6"/>
  <c r="B2247" i="6"/>
  <c r="AE2246" i="6"/>
  <c r="AD2246" i="6"/>
  <c r="W2246" i="6"/>
  <c r="V2246" i="6"/>
  <c r="U2246" i="6"/>
  <c r="T2246" i="6"/>
  <c r="S2246" i="6"/>
  <c r="P2246" i="6"/>
  <c r="O2246" i="6"/>
  <c r="N2246" i="6"/>
  <c r="M2246" i="6"/>
  <c r="B2246" i="6"/>
  <c r="AE2245" i="6"/>
  <c r="AD2245" i="6"/>
  <c r="W2245" i="6"/>
  <c r="V2245" i="6"/>
  <c r="U2245" i="6"/>
  <c r="T2245" i="6"/>
  <c r="S2245" i="6"/>
  <c r="P2245" i="6"/>
  <c r="O2245" i="6"/>
  <c r="N2245" i="6"/>
  <c r="M2245" i="6"/>
  <c r="B2245" i="6"/>
  <c r="AE2244" i="6"/>
  <c r="AD2244" i="6"/>
  <c r="W2244" i="6"/>
  <c r="T2244" i="6"/>
  <c r="V2244" i="6" s="1"/>
  <c r="S2244" i="6"/>
  <c r="P2244" i="6"/>
  <c r="O2244" i="6"/>
  <c r="N2244" i="6"/>
  <c r="M2244" i="6"/>
  <c r="B2244" i="6"/>
  <c r="AE2243" i="6"/>
  <c r="AD2243" i="6"/>
  <c r="W2243" i="6"/>
  <c r="T2243" i="6"/>
  <c r="V2243" i="6" s="1"/>
  <c r="S2243" i="6"/>
  <c r="P2243" i="6"/>
  <c r="O2243" i="6"/>
  <c r="N2243" i="6"/>
  <c r="M2243" i="6"/>
  <c r="B2243" i="6"/>
  <c r="AE2242" i="6"/>
  <c r="AD2242" i="6"/>
  <c r="W2242" i="6"/>
  <c r="V2242" i="6"/>
  <c r="U2242" i="6"/>
  <c r="T2242" i="6"/>
  <c r="S2242" i="6"/>
  <c r="P2242" i="6"/>
  <c r="O2242" i="6"/>
  <c r="N2242" i="6"/>
  <c r="M2242" i="6"/>
  <c r="B2242" i="6"/>
  <c r="AE2241" i="6"/>
  <c r="AD2241" i="6"/>
  <c r="W2241" i="6"/>
  <c r="T2241" i="6"/>
  <c r="V2241" i="6" s="1"/>
  <c r="S2241" i="6"/>
  <c r="P2241" i="6"/>
  <c r="O2241" i="6"/>
  <c r="N2241" i="6"/>
  <c r="M2241" i="6"/>
  <c r="B2241" i="6"/>
  <c r="AE2240" i="6"/>
  <c r="AD2240" i="6"/>
  <c r="W2240" i="6"/>
  <c r="V2240" i="6"/>
  <c r="U2240" i="6"/>
  <c r="T2240" i="6"/>
  <c r="S2240" i="6"/>
  <c r="P2240" i="6"/>
  <c r="O2240" i="6"/>
  <c r="N2240" i="6"/>
  <c r="M2240" i="6"/>
  <c r="B2240" i="6"/>
  <c r="AE2239" i="6"/>
  <c r="AD2239" i="6"/>
  <c r="W2239" i="6"/>
  <c r="T2239" i="6"/>
  <c r="V2239" i="6" s="1"/>
  <c r="S2239" i="6"/>
  <c r="P2239" i="6"/>
  <c r="O2239" i="6"/>
  <c r="N2239" i="6"/>
  <c r="M2239" i="6"/>
  <c r="B2239" i="6"/>
  <c r="AE2238" i="6"/>
  <c r="AD2238" i="6"/>
  <c r="W2238" i="6"/>
  <c r="U2238" i="6"/>
  <c r="T2238" i="6"/>
  <c r="V2238" i="6" s="1"/>
  <c r="S2238" i="6"/>
  <c r="P2238" i="6"/>
  <c r="O2238" i="6"/>
  <c r="N2238" i="6"/>
  <c r="M2238" i="6"/>
  <c r="B2238" i="6"/>
  <c r="AE2237" i="6"/>
  <c r="AD2237" i="6"/>
  <c r="W2237" i="6"/>
  <c r="U2237" i="6"/>
  <c r="T2237" i="6"/>
  <c r="V2237" i="6" s="1"/>
  <c r="S2237" i="6"/>
  <c r="P2237" i="6"/>
  <c r="O2237" i="6"/>
  <c r="N2237" i="6"/>
  <c r="M2237" i="6"/>
  <c r="B2237" i="6"/>
  <c r="AE2236" i="6"/>
  <c r="AD2236" i="6"/>
  <c r="W2236" i="6"/>
  <c r="U2236" i="6"/>
  <c r="T2236" i="6"/>
  <c r="V2236" i="6" s="1"/>
  <c r="S2236" i="6"/>
  <c r="P2236" i="6"/>
  <c r="O2236" i="6"/>
  <c r="N2236" i="6"/>
  <c r="M2236" i="6"/>
  <c r="B2236" i="6"/>
  <c r="AE2235" i="6"/>
  <c r="AD2235" i="6"/>
  <c r="W2235" i="6"/>
  <c r="V2235" i="6"/>
  <c r="U2235" i="6"/>
  <c r="T2235" i="6"/>
  <c r="S2235" i="6"/>
  <c r="P2235" i="6"/>
  <c r="O2235" i="6"/>
  <c r="N2235" i="6"/>
  <c r="M2235" i="6"/>
  <c r="B2235" i="6"/>
  <c r="AE2234" i="6"/>
  <c r="AD2234" i="6"/>
  <c r="W2234" i="6"/>
  <c r="T2234" i="6"/>
  <c r="V2234" i="6" s="1"/>
  <c r="S2234" i="6"/>
  <c r="P2234" i="6"/>
  <c r="O2234" i="6"/>
  <c r="N2234" i="6"/>
  <c r="M2234" i="6"/>
  <c r="B2234" i="6"/>
  <c r="AE2233" i="6"/>
  <c r="AD2233" i="6"/>
  <c r="W2233" i="6"/>
  <c r="T2233" i="6"/>
  <c r="V2233" i="6" s="1"/>
  <c r="S2233" i="6"/>
  <c r="P2233" i="6"/>
  <c r="O2233" i="6"/>
  <c r="N2233" i="6"/>
  <c r="M2233" i="6"/>
  <c r="B2233" i="6"/>
  <c r="AE2232" i="6"/>
  <c r="AD2232" i="6"/>
  <c r="W2232" i="6"/>
  <c r="V2232" i="6"/>
  <c r="U2232" i="6"/>
  <c r="T2232" i="6"/>
  <c r="S2232" i="6"/>
  <c r="P2232" i="6"/>
  <c r="O2232" i="6"/>
  <c r="N2232" i="6"/>
  <c r="M2232" i="6"/>
  <c r="B2232" i="6"/>
  <c r="AE2231" i="6"/>
  <c r="AD2231" i="6"/>
  <c r="W2231" i="6"/>
  <c r="T2231" i="6"/>
  <c r="U2231" i="6" s="1"/>
  <c r="S2231" i="6"/>
  <c r="P2231" i="6"/>
  <c r="O2231" i="6"/>
  <c r="N2231" i="6"/>
  <c r="M2231" i="6"/>
  <c r="B2231" i="6"/>
  <c r="AE2230" i="6"/>
  <c r="AD2230" i="6"/>
  <c r="W2230" i="6"/>
  <c r="V2230" i="6"/>
  <c r="U2230" i="6"/>
  <c r="T2230" i="6"/>
  <c r="S2230" i="6"/>
  <c r="P2230" i="6"/>
  <c r="O2230" i="6"/>
  <c r="N2230" i="6"/>
  <c r="M2230" i="6"/>
  <c r="B2230" i="6"/>
  <c r="AE2229" i="6"/>
  <c r="AD2229" i="6"/>
  <c r="W2229" i="6"/>
  <c r="T2229" i="6"/>
  <c r="V2229" i="6" s="1"/>
  <c r="S2229" i="6"/>
  <c r="P2229" i="6"/>
  <c r="O2229" i="6"/>
  <c r="N2229" i="6"/>
  <c r="M2229" i="6"/>
  <c r="B2229" i="6"/>
  <c r="AE2228" i="6"/>
  <c r="AD2228" i="6"/>
  <c r="W2228" i="6"/>
  <c r="U2228" i="6"/>
  <c r="T2228" i="6"/>
  <c r="V2228" i="6" s="1"/>
  <c r="S2228" i="6"/>
  <c r="P2228" i="6"/>
  <c r="O2228" i="6"/>
  <c r="N2228" i="6"/>
  <c r="M2228" i="6"/>
  <c r="B2228" i="6"/>
  <c r="AE2227" i="6"/>
  <c r="AD2227" i="6"/>
  <c r="W2227" i="6"/>
  <c r="V2227" i="6"/>
  <c r="T2227" i="6"/>
  <c r="U2227" i="6" s="1"/>
  <c r="S2227" i="6"/>
  <c r="P2227" i="6"/>
  <c r="O2227" i="6"/>
  <c r="N2227" i="6"/>
  <c r="M2227" i="6"/>
  <c r="B2227" i="6"/>
  <c r="AE2226" i="6"/>
  <c r="AD2226" i="6"/>
  <c r="W2226" i="6"/>
  <c r="T2226" i="6"/>
  <c r="S2226" i="6"/>
  <c r="P2226" i="6"/>
  <c r="O2226" i="6"/>
  <c r="N2226" i="6"/>
  <c r="M2226" i="6"/>
  <c r="B2226" i="6"/>
  <c r="AE2225" i="6"/>
  <c r="AD2225" i="6"/>
  <c r="W2225" i="6"/>
  <c r="V2225" i="6"/>
  <c r="U2225" i="6"/>
  <c r="T2225" i="6"/>
  <c r="S2225" i="6"/>
  <c r="P2225" i="6"/>
  <c r="O2225" i="6"/>
  <c r="N2225" i="6"/>
  <c r="M2225" i="6"/>
  <c r="B2225" i="6"/>
  <c r="AE2224" i="6"/>
  <c r="AD2224" i="6"/>
  <c r="W2224" i="6"/>
  <c r="T2224" i="6"/>
  <c r="V2224" i="6" s="1"/>
  <c r="S2224" i="6"/>
  <c r="P2224" i="6"/>
  <c r="O2224" i="6"/>
  <c r="N2224" i="6"/>
  <c r="M2224" i="6"/>
  <c r="B2224" i="6"/>
  <c r="AE2223" i="6"/>
  <c r="AD2223" i="6"/>
  <c r="W2223" i="6"/>
  <c r="T2223" i="6"/>
  <c r="V2223" i="6" s="1"/>
  <c r="S2223" i="6"/>
  <c r="P2223" i="6"/>
  <c r="O2223" i="6"/>
  <c r="N2223" i="6"/>
  <c r="M2223" i="6"/>
  <c r="B2223" i="6"/>
  <c r="AE2222" i="6"/>
  <c r="AD2222" i="6"/>
  <c r="W2222" i="6"/>
  <c r="T2222" i="6"/>
  <c r="V2222" i="6" s="1"/>
  <c r="S2222" i="6"/>
  <c r="P2222" i="6"/>
  <c r="O2222" i="6"/>
  <c r="N2222" i="6"/>
  <c r="M2222" i="6"/>
  <c r="B2222" i="6"/>
  <c r="AE2221" i="6"/>
  <c r="AD2221" i="6"/>
  <c r="W2221" i="6"/>
  <c r="V2221" i="6"/>
  <c r="U2221" i="6"/>
  <c r="T2221" i="6"/>
  <c r="S2221" i="6"/>
  <c r="P2221" i="6"/>
  <c r="O2221" i="6"/>
  <c r="N2221" i="6"/>
  <c r="M2221" i="6"/>
  <c r="B2221" i="6"/>
  <c r="AE2220" i="6"/>
  <c r="AD2220" i="6"/>
  <c r="W2220" i="6"/>
  <c r="V2220" i="6"/>
  <c r="U2220" i="6"/>
  <c r="T2220" i="6"/>
  <c r="S2220" i="6"/>
  <c r="P2220" i="6"/>
  <c r="O2220" i="6"/>
  <c r="N2220" i="6"/>
  <c r="M2220" i="6"/>
  <c r="B2220" i="6"/>
  <c r="AE2219" i="6"/>
  <c r="AD2219" i="6"/>
  <c r="W2219" i="6"/>
  <c r="T2219" i="6"/>
  <c r="V2219" i="6" s="1"/>
  <c r="S2219" i="6"/>
  <c r="P2219" i="6"/>
  <c r="O2219" i="6"/>
  <c r="N2219" i="6"/>
  <c r="M2219" i="6"/>
  <c r="B2219" i="6"/>
  <c r="AE2218" i="6"/>
  <c r="AD2218" i="6"/>
  <c r="W2218" i="6"/>
  <c r="T2218" i="6"/>
  <c r="S2218" i="6"/>
  <c r="P2218" i="6"/>
  <c r="O2218" i="6"/>
  <c r="N2218" i="6"/>
  <c r="M2218" i="6"/>
  <c r="B2218" i="6"/>
  <c r="AE2217" i="6"/>
  <c r="AD2217" i="6"/>
  <c r="W2217" i="6"/>
  <c r="V2217" i="6"/>
  <c r="T2217" i="6"/>
  <c r="U2217" i="6" s="1"/>
  <c r="S2217" i="6"/>
  <c r="P2217" i="6"/>
  <c r="O2217" i="6"/>
  <c r="N2217" i="6"/>
  <c r="M2217" i="6"/>
  <c r="B2217" i="6"/>
  <c r="AE2216" i="6"/>
  <c r="AD2216" i="6"/>
  <c r="W2216" i="6"/>
  <c r="U2216" i="6"/>
  <c r="T2216" i="6"/>
  <c r="V2216" i="6" s="1"/>
  <c r="S2216" i="6"/>
  <c r="P2216" i="6"/>
  <c r="O2216" i="6"/>
  <c r="N2216" i="6"/>
  <c r="M2216" i="6"/>
  <c r="B2216" i="6"/>
  <c r="AE2215" i="6"/>
  <c r="AD2215" i="6"/>
  <c r="W2215" i="6"/>
  <c r="V2215" i="6"/>
  <c r="U2215" i="6"/>
  <c r="T2215" i="6"/>
  <c r="S2215" i="6"/>
  <c r="P2215" i="6"/>
  <c r="O2215" i="6"/>
  <c r="N2215" i="6"/>
  <c r="M2215" i="6"/>
  <c r="B2215" i="6"/>
  <c r="AE2214" i="6"/>
  <c r="AD2214" i="6"/>
  <c r="W2214" i="6"/>
  <c r="T2214" i="6"/>
  <c r="V2214" i="6" s="1"/>
  <c r="S2214" i="6"/>
  <c r="P2214" i="6"/>
  <c r="O2214" i="6"/>
  <c r="N2214" i="6"/>
  <c r="M2214" i="6"/>
  <c r="B2214" i="6"/>
  <c r="AE2213" i="6"/>
  <c r="AD2213" i="6"/>
  <c r="W2213" i="6"/>
  <c r="U2213" i="6"/>
  <c r="T2213" i="6"/>
  <c r="V2213" i="6" s="1"/>
  <c r="S2213" i="6"/>
  <c r="P2213" i="6"/>
  <c r="O2213" i="6"/>
  <c r="N2213" i="6"/>
  <c r="M2213" i="6"/>
  <c r="B2213" i="6"/>
  <c r="AE2212" i="6"/>
  <c r="AD2212" i="6"/>
  <c r="W2212" i="6"/>
  <c r="T2212" i="6"/>
  <c r="V2212" i="6" s="1"/>
  <c r="S2212" i="6"/>
  <c r="P2212" i="6"/>
  <c r="O2212" i="6"/>
  <c r="N2212" i="6"/>
  <c r="M2212" i="6"/>
  <c r="B2212" i="6"/>
  <c r="AE2211" i="6"/>
  <c r="AD2211" i="6"/>
  <c r="W2211" i="6"/>
  <c r="V2211" i="6"/>
  <c r="U2211" i="6"/>
  <c r="T2211" i="6"/>
  <c r="S2211" i="6"/>
  <c r="P2211" i="6"/>
  <c r="O2211" i="6"/>
  <c r="N2211" i="6"/>
  <c r="M2211" i="6"/>
  <c r="B2211" i="6"/>
  <c r="AE2210" i="6"/>
  <c r="AD2210" i="6"/>
  <c r="W2210" i="6"/>
  <c r="V2210" i="6"/>
  <c r="U2210" i="6"/>
  <c r="T2210" i="6"/>
  <c r="S2210" i="6"/>
  <c r="P2210" i="6"/>
  <c r="O2210" i="6"/>
  <c r="N2210" i="6"/>
  <c r="M2210" i="6"/>
  <c r="B2210" i="6"/>
  <c r="AE2209" i="6"/>
  <c r="AD2209" i="6"/>
  <c r="W2209" i="6"/>
  <c r="T2209" i="6"/>
  <c r="V2209" i="6" s="1"/>
  <c r="S2209" i="6"/>
  <c r="P2209" i="6"/>
  <c r="O2209" i="6"/>
  <c r="N2209" i="6"/>
  <c r="M2209" i="6"/>
  <c r="B2209" i="6"/>
  <c r="AE2208" i="6"/>
  <c r="AD2208" i="6"/>
  <c r="W2208" i="6"/>
  <c r="U2208" i="6"/>
  <c r="T2208" i="6"/>
  <c r="V2208" i="6" s="1"/>
  <c r="S2208" i="6"/>
  <c r="P2208" i="6"/>
  <c r="O2208" i="6"/>
  <c r="N2208" i="6"/>
  <c r="M2208" i="6"/>
  <c r="B2208" i="6"/>
  <c r="AE2207" i="6"/>
  <c r="AD2207" i="6"/>
  <c r="W2207" i="6"/>
  <c r="U2207" i="6"/>
  <c r="T2207" i="6"/>
  <c r="V2207" i="6" s="1"/>
  <c r="S2207" i="6"/>
  <c r="P2207" i="6"/>
  <c r="O2207" i="6"/>
  <c r="N2207" i="6"/>
  <c r="M2207" i="6"/>
  <c r="B2207" i="6"/>
  <c r="AE2206" i="6"/>
  <c r="AD2206" i="6"/>
  <c r="W2206" i="6"/>
  <c r="V2206" i="6"/>
  <c r="T2206" i="6"/>
  <c r="U2206" i="6" s="1"/>
  <c r="S2206" i="6"/>
  <c r="P2206" i="6"/>
  <c r="O2206" i="6"/>
  <c r="N2206" i="6"/>
  <c r="M2206" i="6"/>
  <c r="B2206" i="6"/>
  <c r="AE2205" i="6"/>
  <c r="AD2205" i="6"/>
  <c r="W2205" i="6"/>
  <c r="V2205" i="6"/>
  <c r="U2205" i="6"/>
  <c r="T2205" i="6"/>
  <c r="S2205" i="6"/>
  <c r="P2205" i="6"/>
  <c r="O2205" i="6"/>
  <c r="N2205" i="6"/>
  <c r="M2205" i="6"/>
  <c r="B2205" i="6"/>
  <c r="AE2204" i="6"/>
  <c r="AD2204" i="6"/>
  <c r="W2204" i="6"/>
  <c r="T2204" i="6"/>
  <c r="V2204" i="6" s="1"/>
  <c r="S2204" i="6"/>
  <c r="P2204" i="6"/>
  <c r="O2204" i="6"/>
  <c r="N2204" i="6"/>
  <c r="M2204" i="6"/>
  <c r="B2204" i="6"/>
  <c r="AE2203" i="6"/>
  <c r="AD2203" i="6"/>
  <c r="W2203" i="6"/>
  <c r="U2203" i="6"/>
  <c r="T2203" i="6"/>
  <c r="V2203" i="6" s="1"/>
  <c r="S2203" i="6"/>
  <c r="P2203" i="6"/>
  <c r="O2203" i="6"/>
  <c r="N2203" i="6"/>
  <c r="M2203" i="6"/>
  <c r="B2203" i="6"/>
  <c r="AE2202" i="6"/>
  <c r="AD2202" i="6"/>
  <c r="W2202" i="6"/>
  <c r="T2202" i="6"/>
  <c r="U2202" i="6" s="1"/>
  <c r="S2202" i="6"/>
  <c r="P2202" i="6"/>
  <c r="O2202" i="6"/>
  <c r="N2202" i="6"/>
  <c r="M2202" i="6"/>
  <c r="B2202" i="6"/>
  <c r="AE2201" i="6"/>
  <c r="AD2201" i="6"/>
  <c r="W2201" i="6"/>
  <c r="T2201" i="6"/>
  <c r="V2201" i="6" s="1"/>
  <c r="S2201" i="6"/>
  <c r="P2201" i="6"/>
  <c r="O2201" i="6"/>
  <c r="N2201" i="6"/>
  <c r="M2201" i="6"/>
  <c r="B2201" i="6"/>
  <c r="AE2200" i="6"/>
  <c r="AD2200" i="6"/>
  <c r="W2200" i="6"/>
  <c r="V2200" i="6"/>
  <c r="U2200" i="6"/>
  <c r="T2200" i="6"/>
  <c r="S2200" i="6"/>
  <c r="P2200" i="6"/>
  <c r="O2200" i="6"/>
  <c r="N2200" i="6"/>
  <c r="M2200" i="6"/>
  <c r="B2200" i="6"/>
  <c r="AE2199" i="6"/>
  <c r="AD2199" i="6"/>
  <c r="W2199" i="6"/>
  <c r="T2199" i="6"/>
  <c r="V2199" i="6" s="1"/>
  <c r="S2199" i="6"/>
  <c r="P2199" i="6"/>
  <c r="O2199" i="6"/>
  <c r="N2199" i="6"/>
  <c r="M2199" i="6"/>
  <c r="B2199" i="6"/>
  <c r="AE2198" i="6"/>
  <c r="AD2198" i="6"/>
  <c r="W2198" i="6"/>
  <c r="T2198" i="6"/>
  <c r="V2198" i="6" s="1"/>
  <c r="S2198" i="6"/>
  <c r="P2198" i="6"/>
  <c r="O2198" i="6"/>
  <c r="N2198" i="6"/>
  <c r="M2198" i="6"/>
  <c r="B2198" i="6"/>
  <c r="AE2197" i="6"/>
  <c r="AD2197" i="6"/>
  <c r="W2197" i="6"/>
  <c r="T2197" i="6"/>
  <c r="S2197" i="6"/>
  <c r="P2197" i="6"/>
  <c r="O2197" i="6"/>
  <c r="N2197" i="6"/>
  <c r="M2197" i="6"/>
  <c r="B2197" i="6"/>
  <c r="AE2196" i="6"/>
  <c r="AD2196" i="6"/>
  <c r="W2196" i="6"/>
  <c r="V2196" i="6"/>
  <c r="T2196" i="6"/>
  <c r="U2196" i="6" s="1"/>
  <c r="S2196" i="6"/>
  <c r="P2196" i="6"/>
  <c r="O2196" i="6"/>
  <c r="N2196" i="6"/>
  <c r="M2196" i="6"/>
  <c r="B2196" i="6"/>
  <c r="AE2195" i="6"/>
  <c r="AD2195" i="6"/>
  <c r="W2195" i="6"/>
  <c r="V2195" i="6"/>
  <c r="U2195" i="6"/>
  <c r="T2195" i="6"/>
  <c r="S2195" i="6"/>
  <c r="P2195" i="6"/>
  <c r="O2195" i="6"/>
  <c r="N2195" i="6"/>
  <c r="M2195" i="6"/>
  <c r="B2195" i="6"/>
  <c r="AE2194" i="6"/>
  <c r="AD2194" i="6"/>
  <c r="W2194" i="6"/>
  <c r="T2194" i="6"/>
  <c r="V2194" i="6" s="1"/>
  <c r="S2194" i="6"/>
  <c r="P2194" i="6"/>
  <c r="O2194" i="6"/>
  <c r="N2194" i="6"/>
  <c r="M2194" i="6"/>
  <c r="B2194" i="6"/>
  <c r="AE2193" i="6"/>
  <c r="AD2193" i="6"/>
  <c r="W2193" i="6"/>
  <c r="T2193" i="6"/>
  <c r="V2193" i="6" s="1"/>
  <c r="S2193" i="6"/>
  <c r="P2193" i="6"/>
  <c r="O2193" i="6"/>
  <c r="N2193" i="6"/>
  <c r="M2193" i="6"/>
  <c r="B2193" i="6"/>
  <c r="AE2192" i="6"/>
  <c r="AD2192" i="6"/>
  <c r="W2192" i="6"/>
  <c r="V2192" i="6"/>
  <c r="T2192" i="6"/>
  <c r="U2192" i="6" s="1"/>
  <c r="S2192" i="6"/>
  <c r="P2192" i="6"/>
  <c r="O2192" i="6"/>
  <c r="N2192" i="6"/>
  <c r="M2192" i="6"/>
  <c r="B2192" i="6"/>
  <c r="AE2191" i="6"/>
  <c r="AD2191" i="6"/>
  <c r="W2191" i="6"/>
  <c r="T2191" i="6"/>
  <c r="V2191" i="6" s="1"/>
  <c r="S2191" i="6"/>
  <c r="P2191" i="6"/>
  <c r="O2191" i="6"/>
  <c r="N2191" i="6"/>
  <c r="M2191" i="6"/>
  <c r="B2191" i="6"/>
  <c r="AE2190" i="6"/>
  <c r="AD2190" i="6"/>
  <c r="W2190" i="6"/>
  <c r="V2190" i="6"/>
  <c r="U2190" i="6"/>
  <c r="T2190" i="6"/>
  <c r="S2190" i="6"/>
  <c r="P2190" i="6"/>
  <c r="O2190" i="6"/>
  <c r="N2190" i="6"/>
  <c r="M2190" i="6"/>
  <c r="B2190" i="6"/>
  <c r="AE2189" i="6"/>
  <c r="AD2189" i="6"/>
  <c r="W2189" i="6"/>
  <c r="T2189" i="6"/>
  <c r="V2189" i="6" s="1"/>
  <c r="S2189" i="6"/>
  <c r="P2189" i="6"/>
  <c r="O2189" i="6"/>
  <c r="N2189" i="6"/>
  <c r="M2189" i="6"/>
  <c r="B2189" i="6"/>
  <c r="AE2188" i="6"/>
  <c r="AD2188" i="6"/>
  <c r="W2188" i="6"/>
  <c r="T2188" i="6"/>
  <c r="V2188" i="6" s="1"/>
  <c r="S2188" i="6"/>
  <c r="P2188" i="6"/>
  <c r="O2188" i="6"/>
  <c r="N2188" i="6"/>
  <c r="M2188" i="6"/>
  <c r="B2188" i="6"/>
  <c r="AE2187" i="6"/>
  <c r="AD2187" i="6"/>
  <c r="W2187" i="6"/>
  <c r="U2187" i="6"/>
  <c r="T2187" i="6"/>
  <c r="V2187" i="6" s="1"/>
  <c r="S2187" i="6"/>
  <c r="P2187" i="6"/>
  <c r="O2187" i="6"/>
  <c r="N2187" i="6"/>
  <c r="M2187" i="6"/>
  <c r="B2187" i="6"/>
  <c r="AE2186" i="6"/>
  <c r="AD2186" i="6"/>
  <c r="W2186" i="6"/>
  <c r="U2186" i="6"/>
  <c r="T2186" i="6"/>
  <c r="V2186" i="6" s="1"/>
  <c r="S2186" i="6"/>
  <c r="P2186" i="6"/>
  <c r="O2186" i="6"/>
  <c r="N2186" i="6"/>
  <c r="M2186" i="6"/>
  <c r="B2186" i="6"/>
  <c r="AE2185" i="6"/>
  <c r="AD2185" i="6"/>
  <c r="W2185" i="6"/>
  <c r="V2185" i="6"/>
  <c r="U2185" i="6"/>
  <c r="T2185" i="6"/>
  <c r="S2185" i="6"/>
  <c r="P2185" i="6"/>
  <c r="O2185" i="6"/>
  <c r="N2185" i="6"/>
  <c r="M2185" i="6"/>
  <c r="B2185" i="6"/>
  <c r="AE2184" i="6"/>
  <c r="AD2184" i="6"/>
  <c r="W2184" i="6"/>
  <c r="T2184" i="6"/>
  <c r="V2184" i="6" s="1"/>
  <c r="S2184" i="6"/>
  <c r="P2184" i="6"/>
  <c r="O2184" i="6"/>
  <c r="N2184" i="6"/>
  <c r="M2184" i="6"/>
  <c r="B2184" i="6"/>
  <c r="AE2183" i="6"/>
  <c r="AD2183" i="6"/>
  <c r="W2183" i="6"/>
  <c r="T2183" i="6"/>
  <c r="V2183" i="6" s="1"/>
  <c r="S2183" i="6"/>
  <c r="P2183" i="6"/>
  <c r="O2183" i="6"/>
  <c r="N2183" i="6"/>
  <c r="M2183" i="6"/>
  <c r="B2183" i="6"/>
  <c r="AE2182" i="6"/>
  <c r="AD2182" i="6"/>
  <c r="W2182" i="6"/>
  <c r="V2182" i="6"/>
  <c r="U2182" i="6"/>
  <c r="T2182" i="6"/>
  <c r="S2182" i="6"/>
  <c r="P2182" i="6"/>
  <c r="O2182" i="6"/>
  <c r="N2182" i="6"/>
  <c r="M2182" i="6"/>
  <c r="B2182" i="6"/>
  <c r="AE2181" i="6"/>
  <c r="AD2181" i="6"/>
  <c r="W2181" i="6"/>
  <c r="T2181" i="6"/>
  <c r="U2181" i="6" s="1"/>
  <c r="S2181" i="6"/>
  <c r="P2181" i="6"/>
  <c r="O2181" i="6"/>
  <c r="N2181" i="6"/>
  <c r="M2181" i="6"/>
  <c r="B2181" i="6"/>
  <c r="AE2180" i="6"/>
  <c r="AD2180" i="6"/>
  <c r="W2180" i="6"/>
  <c r="V2180" i="6"/>
  <c r="U2180" i="6"/>
  <c r="T2180" i="6"/>
  <c r="S2180" i="6"/>
  <c r="P2180" i="6"/>
  <c r="O2180" i="6"/>
  <c r="N2180" i="6"/>
  <c r="M2180" i="6"/>
  <c r="B2180" i="6"/>
  <c r="AE2179" i="6"/>
  <c r="AD2179" i="6"/>
  <c r="W2179" i="6"/>
  <c r="T2179" i="6"/>
  <c r="V2179" i="6" s="1"/>
  <c r="S2179" i="6"/>
  <c r="P2179" i="6"/>
  <c r="O2179" i="6"/>
  <c r="N2179" i="6"/>
  <c r="M2179" i="6"/>
  <c r="B2179" i="6"/>
  <c r="AE2178" i="6"/>
  <c r="AD2178" i="6"/>
  <c r="W2178" i="6"/>
  <c r="U2178" i="6"/>
  <c r="T2178" i="6"/>
  <c r="V2178" i="6" s="1"/>
  <c r="S2178" i="6"/>
  <c r="P2178" i="6"/>
  <c r="O2178" i="6"/>
  <c r="N2178" i="6"/>
  <c r="M2178" i="6"/>
  <c r="B2178" i="6"/>
  <c r="AE2177" i="6"/>
  <c r="AD2177" i="6"/>
  <c r="W2177" i="6"/>
  <c r="T2177" i="6"/>
  <c r="V2177" i="6" s="1"/>
  <c r="S2177" i="6"/>
  <c r="P2177" i="6"/>
  <c r="O2177" i="6"/>
  <c r="N2177" i="6"/>
  <c r="M2177" i="6"/>
  <c r="B2177" i="6"/>
  <c r="AE2176" i="6"/>
  <c r="AD2176" i="6"/>
  <c r="W2176" i="6"/>
  <c r="T2176" i="6"/>
  <c r="S2176" i="6"/>
  <c r="P2176" i="6"/>
  <c r="O2176" i="6"/>
  <c r="N2176" i="6"/>
  <c r="M2176" i="6"/>
  <c r="B2176" i="6"/>
  <c r="AE2175" i="6"/>
  <c r="AD2175" i="6"/>
  <c r="W2175" i="6"/>
  <c r="V2175" i="6"/>
  <c r="U2175" i="6"/>
  <c r="T2175" i="6"/>
  <c r="S2175" i="6"/>
  <c r="P2175" i="6"/>
  <c r="O2175" i="6"/>
  <c r="N2175" i="6"/>
  <c r="M2175" i="6"/>
  <c r="B2175" i="6"/>
  <c r="AE2174" i="6"/>
  <c r="AD2174" i="6"/>
  <c r="W2174" i="6"/>
  <c r="T2174" i="6"/>
  <c r="V2174" i="6" s="1"/>
  <c r="S2174" i="6"/>
  <c r="P2174" i="6"/>
  <c r="O2174" i="6"/>
  <c r="N2174" i="6"/>
  <c r="M2174" i="6"/>
  <c r="B2174" i="6"/>
  <c r="AE2173" i="6"/>
  <c r="AD2173" i="6"/>
  <c r="W2173" i="6"/>
  <c r="T2173" i="6"/>
  <c r="V2173" i="6" s="1"/>
  <c r="S2173" i="6"/>
  <c r="P2173" i="6"/>
  <c r="O2173" i="6"/>
  <c r="N2173" i="6"/>
  <c r="M2173" i="6"/>
  <c r="B2173" i="6"/>
  <c r="AE2172" i="6"/>
  <c r="AD2172" i="6"/>
  <c r="W2172" i="6"/>
  <c r="T2172" i="6"/>
  <c r="V2172" i="6" s="1"/>
  <c r="S2172" i="6"/>
  <c r="P2172" i="6"/>
  <c r="O2172" i="6"/>
  <c r="N2172" i="6"/>
  <c r="M2172" i="6"/>
  <c r="B2172" i="6"/>
  <c r="AE2171" i="6"/>
  <c r="AD2171" i="6"/>
  <c r="W2171" i="6"/>
  <c r="V2171" i="6"/>
  <c r="T2171" i="6"/>
  <c r="U2171" i="6" s="1"/>
  <c r="S2171" i="6"/>
  <c r="P2171" i="6"/>
  <c r="O2171" i="6"/>
  <c r="N2171" i="6"/>
  <c r="M2171" i="6"/>
  <c r="B2171" i="6"/>
  <c r="AE2170" i="6"/>
  <c r="AD2170" i="6"/>
  <c r="W2170" i="6"/>
  <c r="V2170" i="6"/>
  <c r="U2170" i="6"/>
  <c r="T2170" i="6"/>
  <c r="S2170" i="6"/>
  <c r="P2170" i="6"/>
  <c r="O2170" i="6"/>
  <c r="N2170" i="6"/>
  <c r="M2170" i="6"/>
  <c r="B2170" i="6"/>
  <c r="AE2169" i="6"/>
  <c r="AD2169" i="6"/>
  <c r="W2169" i="6"/>
  <c r="T2169" i="6"/>
  <c r="V2169" i="6" s="1"/>
  <c r="S2169" i="6"/>
  <c r="P2169" i="6"/>
  <c r="O2169" i="6"/>
  <c r="N2169" i="6"/>
  <c r="M2169" i="6"/>
  <c r="B2169" i="6"/>
  <c r="AE2168" i="6"/>
  <c r="AD2168" i="6"/>
  <c r="W2168" i="6"/>
  <c r="T2168" i="6"/>
  <c r="S2168" i="6"/>
  <c r="P2168" i="6"/>
  <c r="O2168" i="6"/>
  <c r="N2168" i="6"/>
  <c r="M2168" i="6"/>
  <c r="B2168" i="6"/>
  <c r="AE2167" i="6"/>
  <c r="AD2167" i="6"/>
  <c r="W2167" i="6"/>
  <c r="V2167" i="6"/>
  <c r="T2167" i="6"/>
  <c r="U2167" i="6" s="1"/>
  <c r="S2167" i="6"/>
  <c r="P2167" i="6"/>
  <c r="O2167" i="6"/>
  <c r="N2167" i="6"/>
  <c r="M2167" i="6"/>
  <c r="B2167" i="6"/>
  <c r="AE2166" i="6"/>
  <c r="AD2166" i="6"/>
  <c r="W2166" i="6"/>
  <c r="U2166" i="6"/>
  <c r="T2166" i="6"/>
  <c r="V2166" i="6" s="1"/>
  <c r="S2166" i="6"/>
  <c r="P2166" i="6"/>
  <c r="O2166" i="6"/>
  <c r="N2166" i="6"/>
  <c r="M2166" i="6"/>
  <c r="B2166" i="6"/>
  <c r="AE2165" i="6"/>
  <c r="AD2165" i="6"/>
  <c r="W2165" i="6"/>
  <c r="V2165" i="6"/>
  <c r="U2165" i="6"/>
  <c r="T2165" i="6"/>
  <c r="S2165" i="6"/>
  <c r="P2165" i="6"/>
  <c r="O2165" i="6"/>
  <c r="N2165" i="6"/>
  <c r="M2165" i="6"/>
  <c r="B2165" i="6"/>
  <c r="AE2164" i="6"/>
  <c r="AD2164" i="6"/>
  <c r="W2164" i="6"/>
  <c r="T2164" i="6"/>
  <c r="V2164" i="6" s="1"/>
  <c r="S2164" i="6"/>
  <c r="P2164" i="6"/>
  <c r="O2164" i="6"/>
  <c r="N2164" i="6"/>
  <c r="M2164" i="6"/>
  <c r="B2164" i="6"/>
  <c r="AE2163" i="6"/>
  <c r="AD2163" i="6"/>
  <c r="W2163" i="6"/>
  <c r="T2163" i="6"/>
  <c r="V2163" i="6" s="1"/>
  <c r="S2163" i="6"/>
  <c r="P2163" i="6"/>
  <c r="O2163" i="6"/>
  <c r="N2163" i="6"/>
  <c r="M2163" i="6"/>
  <c r="B2163" i="6"/>
  <c r="AE2162" i="6"/>
  <c r="AD2162" i="6"/>
  <c r="W2162" i="6"/>
  <c r="T2162" i="6"/>
  <c r="V2162" i="6" s="1"/>
  <c r="S2162" i="6"/>
  <c r="P2162" i="6"/>
  <c r="O2162" i="6"/>
  <c r="N2162" i="6"/>
  <c r="M2162" i="6"/>
  <c r="B2162" i="6"/>
  <c r="AE2161" i="6"/>
  <c r="AD2161" i="6"/>
  <c r="W2161" i="6"/>
  <c r="V2161" i="6"/>
  <c r="U2161" i="6"/>
  <c r="T2161" i="6"/>
  <c r="S2161" i="6"/>
  <c r="P2161" i="6"/>
  <c r="O2161" i="6"/>
  <c r="N2161" i="6"/>
  <c r="M2161" i="6"/>
  <c r="B2161" i="6"/>
  <c r="AE2160" i="6"/>
  <c r="AD2160" i="6"/>
  <c r="W2160" i="6"/>
  <c r="V2160" i="6"/>
  <c r="U2160" i="6"/>
  <c r="T2160" i="6"/>
  <c r="S2160" i="6"/>
  <c r="P2160" i="6"/>
  <c r="O2160" i="6"/>
  <c r="N2160" i="6"/>
  <c r="M2160" i="6"/>
  <c r="B2160" i="6"/>
  <c r="AE2159" i="6"/>
  <c r="AD2159" i="6"/>
  <c r="W2159" i="6"/>
  <c r="T2159" i="6"/>
  <c r="V2159" i="6" s="1"/>
  <c r="S2159" i="6"/>
  <c r="P2159" i="6"/>
  <c r="O2159" i="6"/>
  <c r="N2159" i="6"/>
  <c r="M2159" i="6"/>
  <c r="B2159" i="6"/>
  <c r="AE2158" i="6"/>
  <c r="AD2158" i="6"/>
  <c r="W2158" i="6"/>
  <c r="U2158" i="6"/>
  <c r="T2158" i="6"/>
  <c r="V2158" i="6" s="1"/>
  <c r="S2158" i="6"/>
  <c r="P2158" i="6"/>
  <c r="O2158" i="6"/>
  <c r="N2158" i="6"/>
  <c r="M2158" i="6"/>
  <c r="B2158" i="6"/>
  <c r="AE2157" i="6"/>
  <c r="AD2157" i="6"/>
  <c r="W2157" i="6"/>
  <c r="U2157" i="6"/>
  <c r="T2157" i="6"/>
  <c r="V2157" i="6" s="1"/>
  <c r="S2157" i="6"/>
  <c r="P2157" i="6"/>
  <c r="O2157" i="6"/>
  <c r="N2157" i="6"/>
  <c r="M2157" i="6"/>
  <c r="B2157" i="6"/>
  <c r="AE2156" i="6"/>
  <c r="AD2156" i="6"/>
  <c r="W2156" i="6"/>
  <c r="V2156" i="6"/>
  <c r="U2156" i="6"/>
  <c r="T2156" i="6"/>
  <c r="S2156" i="6"/>
  <c r="P2156" i="6"/>
  <c r="O2156" i="6"/>
  <c r="N2156" i="6"/>
  <c r="M2156" i="6"/>
  <c r="B2156" i="6"/>
  <c r="AE2155" i="6"/>
  <c r="AD2155" i="6"/>
  <c r="W2155" i="6"/>
  <c r="V2155" i="6"/>
  <c r="U2155" i="6"/>
  <c r="T2155" i="6"/>
  <c r="S2155" i="6"/>
  <c r="P2155" i="6"/>
  <c r="O2155" i="6"/>
  <c r="N2155" i="6"/>
  <c r="M2155" i="6"/>
  <c r="B2155" i="6"/>
  <c r="AE2154" i="6"/>
  <c r="AD2154" i="6"/>
  <c r="W2154" i="6"/>
  <c r="T2154" i="6"/>
  <c r="V2154" i="6" s="1"/>
  <c r="S2154" i="6"/>
  <c r="P2154" i="6"/>
  <c r="O2154" i="6"/>
  <c r="N2154" i="6"/>
  <c r="M2154" i="6"/>
  <c r="B2154" i="6"/>
  <c r="AE2153" i="6"/>
  <c r="AD2153" i="6"/>
  <c r="W2153" i="6"/>
  <c r="U2153" i="6"/>
  <c r="T2153" i="6"/>
  <c r="V2153" i="6" s="1"/>
  <c r="S2153" i="6"/>
  <c r="P2153" i="6"/>
  <c r="O2153" i="6"/>
  <c r="N2153" i="6"/>
  <c r="M2153" i="6"/>
  <c r="B2153" i="6"/>
  <c r="AE2152" i="6"/>
  <c r="AD2152" i="6"/>
  <c r="W2152" i="6"/>
  <c r="T2152" i="6"/>
  <c r="U2152" i="6" s="1"/>
  <c r="S2152" i="6"/>
  <c r="P2152" i="6"/>
  <c r="O2152" i="6"/>
  <c r="N2152" i="6"/>
  <c r="M2152" i="6"/>
  <c r="B2152" i="6"/>
  <c r="AE2151" i="6"/>
  <c r="AD2151" i="6"/>
  <c r="W2151" i="6"/>
  <c r="T2151" i="6"/>
  <c r="V2151" i="6" s="1"/>
  <c r="S2151" i="6"/>
  <c r="P2151" i="6"/>
  <c r="O2151" i="6"/>
  <c r="N2151" i="6"/>
  <c r="M2151" i="6"/>
  <c r="B2151" i="6"/>
  <c r="AE2150" i="6"/>
  <c r="AD2150" i="6"/>
  <c r="W2150" i="6"/>
  <c r="V2150" i="6"/>
  <c r="U2150" i="6"/>
  <c r="T2150" i="6"/>
  <c r="S2150" i="6"/>
  <c r="P2150" i="6"/>
  <c r="O2150" i="6"/>
  <c r="N2150" i="6"/>
  <c r="M2150" i="6"/>
  <c r="B2150" i="6"/>
  <c r="AE2149" i="6"/>
  <c r="AD2149" i="6"/>
  <c r="W2149" i="6"/>
  <c r="T2149" i="6"/>
  <c r="V2149" i="6" s="1"/>
  <c r="S2149" i="6"/>
  <c r="P2149" i="6"/>
  <c r="O2149" i="6"/>
  <c r="N2149" i="6"/>
  <c r="M2149" i="6"/>
  <c r="B2149" i="6"/>
  <c r="AE2148" i="6"/>
  <c r="AD2148" i="6"/>
  <c r="W2148" i="6"/>
  <c r="U2148" i="6"/>
  <c r="T2148" i="6"/>
  <c r="V2148" i="6" s="1"/>
  <c r="S2148" i="6"/>
  <c r="P2148" i="6"/>
  <c r="O2148" i="6"/>
  <c r="N2148" i="6"/>
  <c r="M2148" i="6"/>
  <c r="B2148" i="6"/>
  <c r="AE2147" i="6"/>
  <c r="AD2147" i="6"/>
  <c r="W2147" i="6"/>
  <c r="T2147" i="6"/>
  <c r="S2147" i="6"/>
  <c r="P2147" i="6"/>
  <c r="O2147" i="6"/>
  <c r="N2147" i="6"/>
  <c r="M2147" i="6"/>
  <c r="B2147" i="6"/>
  <c r="AE2146" i="6"/>
  <c r="AD2146" i="6"/>
  <c r="W2146" i="6"/>
  <c r="V2146" i="6"/>
  <c r="T2146" i="6"/>
  <c r="U2146" i="6" s="1"/>
  <c r="S2146" i="6"/>
  <c r="P2146" i="6"/>
  <c r="O2146" i="6"/>
  <c r="N2146" i="6"/>
  <c r="M2146" i="6"/>
  <c r="B2146" i="6"/>
  <c r="AE2145" i="6"/>
  <c r="AD2145" i="6"/>
  <c r="W2145" i="6"/>
  <c r="V2145" i="6"/>
  <c r="U2145" i="6"/>
  <c r="T2145" i="6"/>
  <c r="S2145" i="6"/>
  <c r="P2145" i="6"/>
  <c r="O2145" i="6"/>
  <c r="N2145" i="6"/>
  <c r="M2145" i="6"/>
  <c r="B2145" i="6"/>
  <c r="AE2144" i="6"/>
  <c r="AD2144" i="6"/>
  <c r="W2144" i="6"/>
  <c r="T2144" i="6"/>
  <c r="V2144" i="6" s="1"/>
  <c r="S2144" i="6"/>
  <c r="P2144" i="6"/>
  <c r="O2144" i="6"/>
  <c r="N2144" i="6"/>
  <c r="M2144" i="6"/>
  <c r="B2144" i="6"/>
  <c r="AE2143" i="6"/>
  <c r="AD2143" i="6"/>
  <c r="W2143" i="6"/>
  <c r="T2143" i="6"/>
  <c r="V2143" i="6" s="1"/>
  <c r="S2143" i="6"/>
  <c r="P2143" i="6"/>
  <c r="O2143" i="6"/>
  <c r="N2143" i="6"/>
  <c r="M2143" i="6"/>
  <c r="B2143" i="6"/>
  <c r="AE2142" i="6"/>
  <c r="AD2142" i="6"/>
  <c r="W2142" i="6"/>
  <c r="V2142" i="6"/>
  <c r="T2142" i="6"/>
  <c r="U2142" i="6" s="1"/>
  <c r="S2142" i="6"/>
  <c r="P2142" i="6"/>
  <c r="O2142" i="6"/>
  <c r="N2142" i="6"/>
  <c r="M2142" i="6"/>
  <c r="B2142" i="6"/>
  <c r="AE2141" i="6"/>
  <c r="AD2141" i="6"/>
  <c r="W2141" i="6"/>
  <c r="T2141" i="6"/>
  <c r="V2141" i="6" s="1"/>
  <c r="S2141" i="6"/>
  <c r="P2141" i="6"/>
  <c r="O2141" i="6"/>
  <c r="N2141" i="6"/>
  <c r="M2141" i="6"/>
  <c r="B2141" i="6"/>
  <c r="AE2140" i="6"/>
  <c r="AD2140" i="6"/>
  <c r="W2140" i="6"/>
  <c r="V2140" i="6"/>
  <c r="U2140" i="6"/>
  <c r="T2140" i="6"/>
  <c r="S2140" i="6"/>
  <c r="P2140" i="6"/>
  <c r="O2140" i="6"/>
  <c r="N2140" i="6"/>
  <c r="M2140" i="6"/>
  <c r="B2140" i="6"/>
  <c r="AE2139" i="6"/>
  <c r="AD2139" i="6"/>
  <c r="W2139" i="6"/>
  <c r="T2139" i="6"/>
  <c r="V2139" i="6" s="1"/>
  <c r="S2139" i="6"/>
  <c r="P2139" i="6"/>
  <c r="O2139" i="6"/>
  <c r="N2139" i="6"/>
  <c r="M2139" i="6"/>
  <c r="B2139" i="6"/>
  <c r="AE2138" i="6"/>
  <c r="AD2138" i="6"/>
  <c r="W2138" i="6"/>
  <c r="U2138" i="6"/>
  <c r="T2138" i="6"/>
  <c r="V2138" i="6" s="1"/>
  <c r="S2138" i="6"/>
  <c r="P2138" i="6"/>
  <c r="O2138" i="6"/>
  <c r="N2138" i="6"/>
  <c r="M2138" i="6"/>
  <c r="B2138" i="6"/>
  <c r="AE2137" i="6"/>
  <c r="AD2137" i="6"/>
  <c r="W2137" i="6"/>
  <c r="U2137" i="6"/>
  <c r="T2137" i="6"/>
  <c r="V2137" i="6" s="1"/>
  <c r="S2137" i="6"/>
  <c r="P2137" i="6"/>
  <c r="O2137" i="6"/>
  <c r="N2137" i="6"/>
  <c r="M2137" i="6"/>
  <c r="B2137" i="6"/>
  <c r="AE2136" i="6"/>
  <c r="AD2136" i="6"/>
  <c r="W2136" i="6"/>
  <c r="U2136" i="6"/>
  <c r="T2136" i="6"/>
  <c r="V2136" i="6" s="1"/>
  <c r="S2136" i="6"/>
  <c r="P2136" i="6"/>
  <c r="O2136" i="6"/>
  <c r="N2136" i="6"/>
  <c r="M2136" i="6"/>
  <c r="B2136" i="6"/>
  <c r="AE2135" i="6"/>
  <c r="AD2135" i="6"/>
  <c r="W2135" i="6"/>
  <c r="V2135" i="6"/>
  <c r="U2135" i="6"/>
  <c r="T2135" i="6"/>
  <c r="S2135" i="6"/>
  <c r="P2135" i="6"/>
  <c r="O2135" i="6"/>
  <c r="N2135" i="6"/>
  <c r="M2135" i="6"/>
  <c r="B2135" i="6"/>
  <c r="AE2134" i="6"/>
  <c r="AD2134" i="6"/>
  <c r="W2134" i="6"/>
  <c r="T2134" i="6"/>
  <c r="V2134" i="6" s="1"/>
  <c r="S2134" i="6"/>
  <c r="P2134" i="6"/>
  <c r="O2134" i="6"/>
  <c r="N2134" i="6"/>
  <c r="M2134" i="6"/>
  <c r="B2134" i="6"/>
  <c r="AE2133" i="6"/>
  <c r="AD2133" i="6"/>
  <c r="W2133" i="6"/>
  <c r="T2133" i="6"/>
  <c r="V2133" i="6" s="1"/>
  <c r="S2133" i="6"/>
  <c r="P2133" i="6"/>
  <c r="O2133" i="6"/>
  <c r="N2133" i="6"/>
  <c r="M2133" i="6"/>
  <c r="B2133" i="6"/>
  <c r="AE2132" i="6"/>
  <c r="AD2132" i="6"/>
  <c r="W2132" i="6"/>
  <c r="V2132" i="6"/>
  <c r="U2132" i="6"/>
  <c r="T2132" i="6"/>
  <c r="S2132" i="6"/>
  <c r="P2132" i="6"/>
  <c r="O2132" i="6"/>
  <c r="N2132" i="6"/>
  <c r="M2132" i="6"/>
  <c r="B2132" i="6"/>
  <c r="AE2131" i="6"/>
  <c r="AD2131" i="6"/>
  <c r="W2131" i="6"/>
  <c r="T2131" i="6"/>
  <c r="U2131" i="6" s="1"/>
  <c r="S2131" i="6"/>
  <c r="P2131" i="6"/>
  <c r="O2131" i="6"/>
  <c r="N2131" i="6"/>
  <c r="M2131" i="6"/>
  <c r="B2131" i="6"/>
  <c r="AE2130" i="6"/>
  <c r="AD2130" i="6"/>
  <c r="W2130" i="6"/>
  <c r="V2130" i="6"/>
  <c r="U2130" i="6"/>
  <c r="T2130" i="6"/>
  <c r="S2130" i="6"/>
  <c r="P2130" i="6"/>
  <c r="O2130" i="6"/>
  <c r="N2130" i="6"/>
  <c r="M2130" i="6"/>
  <c r="B2130" i="6"/>
  <c r="AE2129" i="6"/>
  <c r="AD2129" i="6"/>
  <c r="W2129" i="6"/>
  <c r="T2129" i="6"/>
  <c r="V2129" i="6" s="1"/>
  <c r="S2129" i="6"/>
  <c r="P2129" i="6"/>
  <c r="O2129" i="6"/>
  <c r="N2129" i="6"/>
  <c r="M2129" i="6"/>
  <c r="B2129" i="6"/>
  <c r="AE2128" i="6"/>
  <c r="AD2128" i="6"/>
  <c r="W2128" i="6"/>
  <c r="U2128" i="6"/>
  <c r="T2128" i="6"/>
  <c r="V2128" i="6" s="1"/>
  <c r="S2128" i="6"/>
  <c r="P2128" i="6"/>
  <c r="O2128" i="6"/>
  <c r="N2128" i="6"/>
  <c r="M2128" i="6"/>
  <c r="B2128" i="6"/>
  <c r="AE2127" i="6"/>
  <c r="AD2127" i="6"/>
  <c r="W2127" i="6"/>
  <c r="T2127" i="6"/>
  <c r="V2127" i="6" s="1"/>
  <c r="S2127" i="6"/>
  <c r="P2127" i="6"/>
  <c r="O2127" i="6"/>
  <c r="N2127" i="6"/>
  <c r="M2127" i="6"/>
  <c r="B2127" i="6"/>
  <c r="AE2126" i="6"/>
  <c r="AD2126" i="6"/>
  <c r="W2126" i="6"/>
  <c r="T2126" i="6"/>
  <c r="S2126" i="6"/>
  <c r="P2126" i="6"/>
  <c r="O2126" i="6"/>
  <c r="N2126" i="6"/>
  <c r="M2126" i="6"/>
  <c r="B2126" i="6"/>
  <c r="AE2125" i="6"/>
  <c r="AD2125" i="6"/>
  <c r="W2125" i="6"/>
  <c r="V2125" i="6"/>
  <c r="U2125" i="6"/>
  <c r="T2125" i="6"/>
  <c r="S2125" i="6"/>
  <c r="P2125" i="6"/>
  <c r="O2125" i="6"/>
  <c r="N2125" i="6"/>
  <c r="M2125" i="6"/>
  <c r="B2125" i="6"/>
  <c r="AE2124" i="6"/>
  <c r="AD2124" i="6"/>
  <c r="W2124" i="6"/>
  <c r="T2124" i="6"/>
  <c r="V2124" i="6" s="1"/>
  <c r="S2124" i="6"/>
  <c r="P2124" i="6"/>
  <c r="O2124" i="6"/>
  <c r="N2124" i="6"/>
  <c r="M2124" i="6"/>
  <c r="B2124" i="6"/>
  <c r="AE2123" i="6"/>
  <c r="AD2123" i="6"/>
  <c r="W2123" i="6"/>
  <c r="T2123" i="6"/>
  <c r="V2123" i="6" s="1"/>
  <c r="S2123" i="6"/>
  <c r="P2123" i="6"/>
  <c r="O2123" i="6"/>
  <c r="N2123" i="6"/>
  <c r="M2123" i="6"/>
  <c r="B2123" i="6"/>
  <c r="AE2122" i="6"/>
  <c r="AD2122" i="6"/>
  <c r="W2122" i="6"/>
  <c r="T2122" i="6"/>
  <c r="V2122" i="6" s="1"/>
  <c r="S2122" i="6"/>
  <c r="P2122" i="6"/>
  <c r="O2122" i="6"/>
  <c r="N2122" i="6"/>
  <c r="M2122" i="6"/>
  <c r="B2122" i="6"/>
  <c r="AE2121" i="6"/>
  <c r="AD2121" i="6"/>
  <c r="W2121" i="6"/>
  <c r="V2121" i="6"/>
  <c r="T2121" i="6"/>
  <c r="U2121" i="6" s="1"/>
  <c r="S2121" i="6"/>
  <c r="P2121" i="6"/>
  <c r="O2121" i="6"/>
  <c r="N2121" i="6"/>
  <c r="M2121" i="6"/>
  <c r="B2121" i="6"/>
  <c r="AE2120" i="6"/>
  <c r="AD2120" i="6"/>
  <c r="W2120" i="6"/>
  <c r="V2120" i="6"/>
  <c r="U2120" i="6"/>
  <c r="T2120" i="6"/>
  <c r="S2120" i="6"/>
  <c r="P2120" i="6"/>
  <c r="O2120" i="6"/>
  <c r="N2120" i="6"/>
  <c r="M2120" i="6"/>
  <c r="B2120" i="6"/>
  <c r="AE2119" i="6"/>
  <c r="AD2119" i="6"/>
  <c r="W2119" i="6"/>
  <c r="T2119" i="6"/>
  <c r="V2119" i="6" s="1"/>
  <c r="S2119" i="6"/>
  <c r="P2119" i="6"/>
  <c r="O2119" i="6"/>
  <c r="N2119" i="6"/>
  <c r="M2119" i="6"/>
  <c r="B2119" i="6"/>
  <c r="AE2118" i="6"/>
  <c r="AD2118" i="6"/>
  <c r="W2118" i="6"/>
  <c r="T2118" i="6"/>
  <c r="S2118" i="6"/>
  <c r="P2118" i="6"/>
  <c r="O2118" i="6"/>
  <c r="N2118" i="6"/>
  <c r="M2118" i="6"/>
  <c r="B2118" i="6"/>
  <c r="AE2117" i="6"/>
  <c r="AD2117" i="6"/>
  <c r="W2117" i="6"/>
  <c r="V2117" i="6"/>
  <c r="T2117" i="6"/>
  <c r="U2117" i="6" s="1"/>
  <c r="S2117" i="6"/>
  <c r="P2117" i="6"/>
  <c r="O2117" i="6"/>
  <c r="N2117" i="6"/>
  <c r="M2117" i="6"/>
  <c r="B2117" i="6"/>
  <c r="AE2116" i="6"/>
  <c r="AD2116" i="6"/>
  <c r="W2116" i="6"/>
  <c r="U2116" i="6"/>
  <c r="T2116" i="6"/>
  <c r="V2116" i="6" s="1"/>
  <c r="S2116" i="6"/>
  <c r="P2116" i="6"/>
  <c r="O2116" i="6"/>
  <c r="N2116" i="6"/>
  <c r="M2116" i="6"/>
  <c r="B2116" i="6"/>
  <c r="AE2115" i="6"/>
  <c r="AD2115" i="6"/>
  <c r="W2115" i="6"/>
  <c r="V2115" i="6"/>
  <c r="U2115" i="6"/>
  <c r="T2115" i="6"/>
  <c r="S2115" i="6"/>
  <c r="P2115" i="6"/>
  <c r="O2115" i="6"/>
  <c r="N2115" i="6"/>
  <c r="M2115" i="6"/>
  <c r="B2115" i="6"/>
  <c r="AE2114" i="6"/>
  <c r="AD2114" i="6"/>
  <c r="W2114" i="6"/>
  <c r="T2114" i="6"/>
  <c r="V2114" i="6" s="1"/>
  <c r="S2114" i="6"/>
  <c r="P2114" i="6"/>
  <c r="O2114" i="6"/>
  <c r="N2114" i="6"/>
  <c r="M2114" i="6"/>
  <c r="B2114" i="6"/>
  <c r="AE2113" i="6"/>
  <c r="AD2113" i="6"/>
  <c r="W2113" i="6"/>
  <c r="T2113" i="6"/>
  <c r="V2113" i="6" s="1"/>
  <c r="S2113" i="6"/>
  <c r="P2113" i="6"/>
  <c r="O2113" i="6"/>
  <c r="N2113" i="6"/>
  <c r="M2113" i="6"/>
  <c r="B2113" i="6"/>
  <c r="AE2112" i="6"/>
  <c r="AD2112" i="6"/>
  <c r="W2112" i="6"/>
  <c r="T2112" i="6"/>
  <c r="V2112" i="6" s="1"/>
  <c r="S2112" i="6"/>
  <c r="P2112" i="6"/>
  <c r="O2112" i="6"/>
  <c r="N2112" i="6"/>
  <c r="M2112" i="6"/>
  <c r="B2112" i="6"/>
  <c r="AE2111" i="6"/>
  <c r="AD2111" i="6"/>
  <c r="W2111" i="6"/>
  <c r="V2111" i="6"/>
  <c r="U2111" i="6"/>
  <c r="T2111" i="6"/>
  <c r="S2111" i="6"/>
  <c r="P2111" i="6"/>
  <c r="O2111" i="6"/>
  <c r="N2111" i="6"/>
  <c r="M2111" i="6"/>
  <c r="B2111" i="6"/>
  <c r="AE2110" i="6"/>
  <c r="AD2110" i="6"/>
  <c r="W2110" i="6"/>
  <c r="V2110" i="6"/>
  <c r="U2110" i="6"/>
  <c r="T2110" i="6"/>
  <c r="S2110" i="6"/>
  <c r="P2110" i="6"/>
  <c r="O2110" i="6"/>
  <c r="N2110" i="6"/>
  <c r="M2110" i="6"/>
  <c r="B2110" i="6"/>
  <c r="AE2109" i="6"/>
  <c r="AD2109" i="6"/>
  <c r="W2109" i="6"/>
  <c r="T2109" i="6"/>
  <c r="V2109" i="6" s="1"/>
  <c r="S2109" i="6"/>
  <c r="P2109" i="6"/>
  <c r="O2109" i="6"/>
  <c r="N2109" i="6"/>
  <c r="M2109" i="6"/>
  <c r="B2109" i="6"/>
  <c r="AE2108" i="6"/>
  <c r="AD2108" i="6"/>
  <c r="W2108" i="6"/>
  <c r="U2108" i="6"/>
  <c r="T2108" i="6"/>
  <c r="V2108" i="6" s="1"/>
  <c r="S2108" i="6"/>
  <c r="P2108" i="6"/>
  <c r="O2108" i="6"/>
  <c r="N2108" i="6"/>
  <c r="M2108" i="6"/>
  <c r="B2108" i="6"/>
  <c r="AE2107" i="6"/>
  <c r="AD2107" i="6"/>
  <c r="W2107" i="6"/>
  <c r="U2107" i="6"/>
  <c r="T2107" i="6"/>
  <c r="V2107" i="6" s="1"/>
  <c r="S2107" i="6"/>
  <c r="P2107" i="6"/>
  <c r="O2107" i="6"/>
  <c r="N2107" i="6"/>
  <c r="M2107" i="6"/>
  <c r="B2107" i="6"/>
  <c r="AE2106" i="6"/>
  <c r="AD2106" i="6"/>
  <c r="W2106" i="6"/>
  <c r="T2106" i="6"/>
  <c r="V2106" i="6" s="1"/>
  <c r="S2106" i="6"/>
  <c r="P2106" i="6"/>
  <c r="O2106" i="6"/>
  <c r="N2106" i="6"/>
  <c r="M2106" i="6"/>
  <c r="B2106" i="6"/>
  <c r="AE2105" i="6"/>
  <c r="AD2105" i="6"/>
  <c r="W2105" i="6"/>
  <c r="V2105" i="6"/>
  <c r="U2105" i="6"/>
  <c r="T2105" i="6"/>
  <c r="S2105" i="6"/>
  <c r="P2105" i="6"/>
  <c r="O2105" i="6"/>
  <c r="N2105" i="6"/>
  <c r="M2105" i="6"/>
  <c r="B2105" i="6"/>
  <c r="AE2104" i="6"/>
  <c r="AD2104" i="6"/>
  <c r="W2104" i="6"/>
  <c r="T2104" i="6"/>
  <c r="V2104" i="6" s="1"/>
  <c r="S2104" i="6"/>
  <c r="P2104" i="6"/>
  <c r="O2104" i="6"/>
  <c r="N2104" i="6"/>
  <c r="M2104" i="6"/>
  <c r="B2104" i="6"/>
  <c r="AE2103" i="6"/>
  <c r="AD2103" i="6"/>
  <c r="W2103" i="6"/>
  <c r="U2103" i="6"/>
  <c r="T2103" i="6"/>
  <c r="V2103" i="6" s="1"/>
  <c r="S2103" i="6"/>
  <c r="P2103" i="6"/>
  <c r="O2103" i="6"/>
  <c r="N2103" i="6"/>
  <c r="M2103" i="6"/>
  <c r="B2103" i="6"/>
  <c r="AE2102" i="6"/>
  <c r="AD2102" i="6"/>
  <c r="W2102" i="6"/>
  <c r="T2102" i="6"/>
  <c r="U2102" i="6" s="1"/>
  <c r="S2102" i="6"/>
  <c r="P2102" i="6"/>
  <c r="O2102" i="6"/>
  <c r="N2102" i="6"/>
  <c r="M2102" i="6"/>
  <c r="B2102" i="6"/>
  <c r="AE2101" i="6"/>
  <c r="AD2101" i="6"/>
  <c r="W2101" i="6"/>
  <c r="T2101" i="6"/>
  <c r="V2101" i="6" s="1"/>
  <c r="S2101" i="6"/>
  <c r="P2101" i="6"/>
  <c r="O2101" i="6"/>
  <c r="N2101" i="6"/>
  <c r="M2101" i="6"/>
  <c r="B2101" i="6"/>
  <c r="AE2100" i="6"/>
  <c r="AD2100" i="6"/>
  <c r="W2100" i="6"/>
  <c r="V2100" i="6"/>
  <c r="U2100" i="6"/>
  <c r="T2100" i="6"/>
  <c r="S2100" i="6"/>
  <c r="P2100" i="6"/>
  <c r="O2100" i="6"/>
  <c r="N2100" i="6"/>
  <c r="M2100" i="6"/>
  <c r="B2100" i="6"/>
  <c r="AE2099" i="6"/>
  <c r="AD2099" i="6"/>
  <c r="W2099" i="6"/>
  <c r="T2099" i="6"/>
  <c r="V2099" i="6" s="1"/>
  <c r="S2099" i="6"/>
  <c r="P2099" i="6"/>
  <c r="O2099" i="6"/>
  <c r="N2099" i="6"/>
  <c r="M2099" i="6"/>
  <c r="B2099" i="6"/>
  <c r="AE2098" i="6"/>
  <c r="AD2098" i="6"/>
  <c r="W2098" i="6"/>
  <c r="T2098" i="6"/>
  <c r="V2098" i="6" s="1"/>
  <c r="S2098" i="6"/>
  <c r="P2098" i="6"/>
  <c r="O2098" i="6"/>
  <c r="N2098" i="6"/>
  <c r="M2098" i="6"/>
  <c r="B2098" i="6"/>
  <c r="AE2097" i="6"/>
  <c r="AD2097" i="6"/>
  <c r="W2097" i="6"/>
  <c r="T2097" i="6"/>
  <c r="S2097" i="6"/>
  <c r="P2097" i="6"/>
  <c r="O2097" i="6"/>
  <c r="N2097" i="6"/>
  <c r="M2097" i="6"/>
  <c r="B2097" i="6"/>
  <c r="AE2096" i="6"/>
  <c r="AD2096" i="6"/>
  <c r="W2096" i="6"/>
  <c r="V2096" i="6"/>
  <c r="U2096" i="6"/>
  <c r="T2096" i="6"/>
  <c r="S2096" i="6"/>
  <c r="P2096" i="6"/>
  <c r="O2096" i="6"/>
  <c r="N2096" i="6"/>
  <c r="M2096" i="6"/>
  <c r="B2096" i="6"/>
  <c r="AE2095" i="6"/>
  <c r="AD2095" i="6"/>
  <c r="W2095" i="6"/>
  <c r="V2095" i="6"/>
  <c r="U2095" i="6"/>
  <c r="T2095" i="6"/>
  <c r="S2095" i="6"/>
  <c r="P2095" i="6"/>
  <c r="O2095" i="6"/>
  <c r="N2095" i="6"/>
  <c r="M2095" i="6"/>
  <c r="B2095" i="6"/>
  <c r="AE2094" i="6"/>
  <c r="AD2094" i="6"/>
  <c r="W2094" i="6"/>
  <c r="T2094" i="6"/>
  <c r="V2094" i="6" s="1"/>
  <c r="S2094" i="6"/>
  <c r="P2094" i="6"/>
  <c r="O2094" i="6"/>
  <c r="N2094" i="6"/>
  <c r="M2094" i="6"/>
  <c r="B2094" i="6"/>
  <c r="AE2093" i="6"/>
  <c r="AD2093" i="6"/>
  <c r="W2093" i="6"/>
  <c r="T2093" i="6"/>
  <c r="V2093" i="6" s="1"/>
  <c r="S2093" i="6"/>
  <c r="P2093" i="6"/>
  <c r="O2093" i="6"/>
  <c r="N2093" i="6"/>
  <c r="M2093" i="6"/>
  <c r="B2093" i="6"/>
  <c r="AE2092" i="6"/>
  <c r="AD2092" i="6"/>
  <c r="W2092" i="6"/>
  <c r="V2092" i="6"/>
  <c r="T2092" i="6"/>
  <c r="U2092" i="6" s="1"/>
  <c r="S2092" i="6"/>
  <c r="P2092" i="6"/>
  <c r="O2092" i="6"/>
  <c r="N2092" i="6"/>
  <c r="M2092" i="6"/>
  <c r="B2092" i="6"/>
  <c r="AE2091" i="6"/>
  <c r="AD2091" i="6"/>
  <c r="W2091" i="6"/>
  <c r="T2091" i="6"/>
  <c r="V2091" i="6" s="1"/>
  <c r="S2091" i="6"/>
  <c r="P2091" i="6"/>
  <c r="O2091" i="6"/>
  <c r="N2091" i="6"/>
  <c r="M2091" i="6"/>
  <c r="B2091" i="6"/>
  <c r="AE2090" i="6"/>
  <c r="AD2090" i="6"/>
  <c r="W2090" i="6"/>
  <c r="V2090" i="6"/>
  <c r="U2090" i="6"/>
  <c r="T2090" i="6"/>
  <c r="S2090" i="6"/>
  <c r="P2090" i="6"/>
  <c r="O2090" i="6"/>
  <c r="N2090" i="6"/>
  <c r="M2090" i="6"/>
  <c r="B2090" i="6"/>
  <c r="AE2089" i="6"/>
  <c r="AD2089" i="6"/>
  <c r="W2089" i="6"/>
  <c r="T2089" i="6"/>
  <c r="V2089" i="6" s="1"/>
  <c r="S2089" i="6"/>
  <c r="P2089" i="6"/>
  <c r="O2089" i="6"/>
  <c r="N2089" i="6"/>
  <c r="M2089" i="6"/>
  <c r="B2089" i="6"/>
  <c r="AE2088" i="6"/>
  <c r="AD2088" i="6"/>
  <c r="W2088" i="6"/>
  <c r="T2088" i="6"/>
  <c r="V2088" i="6" s="1"/>
  <c r="S2088" i="6"/>
  <c r="P2088" i="6"/>
  <c r="O2088" i="6"/>
  <c r="N2088" i="6"/>
  <c r="M2088" i="6"/>
  <c r="B2088" i="6"/>
  <c r="AE2087" i="6"/>
  <c r="AD2087" i="6"/>
  <c r="W2087" i="6"/>
  <c r="U2087" i="6"/>
  <c r="T2087" i="6"/>
  <c r="V2087" i="6" s="1"/>
  <c r="S2087" i="6"/>
  <c r="P2087" i="6"/>
  <c r="O2087" i="6"/>
  <c r="N2087" i="6"/>
  <c r="M2087" i="6"/>
  <c r="B2087" i="6"/>
  <c r="AE2086" i="6"/>
  <c r="AD2086" i="6"/>
  <c r="W2086" i="6"/>
  <c r="U2086" i="6"/>
  <c r="T2086" i="6"/>
  <c r="V2086" i="6" s="1"/>
  <c r="S2086" i="6"/>
  <c r="P2086" i="6"/>
  <c r="O2086" i="6"/>
  <c r="N2086" i="6"/>
  <c r="M2086" i="6"/>
  <c r="B2086" i="6"/>
  <c r="AE2085" i="6"/>
  <c r="AD2085" i="6"/>
  <c r="W2085" i="6"/>
  <c r="V2085" i="6"/>
  <c r="U2085" i="6"/>
  <c r="T2085" i="6"/>
  <c r="S2085" i="6"/>
  <c r="P2085" i="6"/>
  <c r="O2085" i="6"/>
  <c r="N2085" i="6"/>
  <c r="M2085" i="6"/>
  <c r="B2085" i="6"/>
  <c r="AE2084" i="6"/>
  <c r="AD2084" i="6"/>
  <c r="W2084" i="6"/>
  <c r="T2084" i="6"/>
  <c r="V2084" i="6" s="1"/>
  <c r="S2084" i="6"/>
  <c r="P2084" i="6"/>
  <c r="O2084" i="6"/>
  <c r="N2084" i="6"/>
  <c r="M2084" i="6"/>
  <c r="B2084" i="6"/>
  <c r="AE2083" i="6"/>
  <c r="AD2083" i="6"/>
  <c r="W2083" i="6"/>
  <c r="T2083" i="6"/>
  <c r="V2083" i="6" s="1"/>
  <c r="S2083" i="6"/>
  <c r="P2083" i="6"/>
  <c r="O2083" i="6"/>
  <c r="N2083" i="6"/>
  <c r="M2083" i="6"/>
  <c r="B2083" i="6"/>
  <c r="AE2082" i="6"/>
  <c r="AD2082" i="6"/>
  <c r="W2082" i="6"/>
  <c r="V2082" i="6"/>
  <c r="U2082" i="6"/>
  <c r="T2082" i="6"/>
  <c r="S2082" i="6"/>
  <c r="P2082" i="6"/>
  <c r="O2082" i="6"/>
  <c r="N2082" i="6"/>
  <c r="M2082" i="6"/>
  <c r="B2082" i="6"/>
  <c r="AE2081" i="6"/>
  <c r="AD2081" i="6"/>
  <c r="W2081" i="6"/>
  <c r="T2081" i="6"/>
  <c r="U2081" i="6" s="1"/>
  <c r="S2081" i="6"/>
  <c r="P2081" i="6"/>
  <c r="O2081" i="6"/>
  <c r="N2081" i="6"/>
  <c r="M2081" i="6"/>
  <c r="B2081" i="6"/>
  <c r="AE2080" i="6"/>
  <c r="AD2080" i="6"/>
  <c r="W2080" i="6"/>
  <c r="V2080" i="6"/>
  <c r="U2080" i="6"/>
  <c r="T2080" i="6"/>
  <c r="S2080" i="6"/>
  <c r="P2080" i="6"/>
  <c r="O2080" i="6"/>
  <c r="N2080" i="6"/>
  <c r="M2080" i="6"/>
  <c r="B2080" i="6"/>
  <c r="AE2079" i="6"/>
  <c r="AD2079" i="6"/>
  <c r="W2079" i="6"/>
  <c r="T2079" i="6"/>
  <c r="V2079" i="6" s="1"/>
  <c r="S2079" i="6"/>
  <c r="P2079" i="6"/>
  <c r="O2079" i="6"/>
  <c r="N2079" i="6"/>
  <c r="M2079" i="6"/>
  <c r="B2079" i="6"/>
  <c r="AE2078" i="6"/>
  <c r="AD2078" i="6"/>
  <c r="W2078" i="6"/>
  <c r="U2078" i="6"/>
  <c r="T2078" i="6"/>
  <c r="V2078" i="6" s="1"/>
  <c r="S2078" i="6"/>
  <c r="P2078" i="6"/>
  <c r="O2078" i="6"/>
  <c r="N2078" i="6"/>
  <c r="M2078" i="6"/>
  <c r="B2078" i="6"/>
  <c r="AE2077" i="6"/>
  <c r="AD2077" i="6"/>
  <c r="W2077" i="6"/>
  <c r="T2077" i="6"/>
  <c r="V2077" i="6" s="1"/>
  <c r="S2077" i="6"/>
  <c r="P2077" i="6"/>
  <c r="O2077" i="6"/>
  <c r="N2077" i="6"/>
  <c r="M2077" i="6"/>
  <c r="B2077" i="6"/>
  <c r="AE2076" i="6"/>
  <c r="AD2076" i="6"/>
  <c r="W2076" i="6"/>
  <c r="T2076" i="6"/>
  <c r="S2076" i="6"/>
  <c r="P2076" i="6"/>
  <c r="O2076" i="6"/>
  <c r="N2076" i="6"/>
  <c r="M2076" i="6"/>
  <c r="B2076" i="6"/>
  <c r="AE2075" i="6"/>
  <c r="AD2075" i="6"/>
  <c r="W2075" i="6"/>
  <c r="V2075" i="6"/>
  <c r="U2075" i="6"/>
  <c r="T2075" i="6"/>
  <c r="S2075" i="6"/>
  <c r="P2075" i="6"/>
  <c r="O2075" i="6"/>
  <c r="N2075" i="6"/>
  <c r="M2075" i="6"/>
  <c r="B2075" i="6"/>
  <c r="AE2074" i="6"/>
  <c r="AD2074" i="6"/>
  <c r="W2074" i="6"/>
  <c r="T2074" i="6"/>
  <c r="V2074" i="6" s="1"/>
  <c r="S2074" i="6"/>
  <c r="P2074" i="6"/>
  <c r="O2074" i="6"/>
  <c r="N2074" i="6"/>
  <c r="M2074" i="6"/>
  <c r="B2074" i="6"/>
  <c r="AE2073" i="6"/>
  <c r="AD2073" i="6"/>
  <c r="W2073" i="6"/>
  <c r="T2073" i="6"/>
  <c r="V2073" i="6" s="1"/>
  <c r="S2073" i="6"/>
  <c r="P2073" i="6"/>
  <c r="O2073" i="6"/>
  <c r="N2073" i="6"/>
  <c r="M2073" i="6"/>
  <c r="B2073" i="6"/>
  <c r="AE2072" i="6"/>
  <c r="AD2072" i="6"/>
  <c r="W2072" i="6"/>
  <c r="T2072" i="6"/>
  <c r="V2072" i="6" s="1"/>
  <c r="S2072" i="6"/>
  <c r="P2072" i="6"/>
  <c r="O2072" i="6"/>
  <c r="N2072" i="6"/>
  <c r="M2072" i="6"/>
  <c r="B2072" i="6"/>
  <c r="AE2071" i="6"/>
  <c r="AD2071" i="6"/>
  <c r="W2071" i="6"/>
  <c r="V2071" i="6"/>
  <c r="T2071" i="6"/>
  <c r="U2071" i="6" s="1"/>
  <c r="S2071" i="6"/>
  <c r="P2071" i="6"/>
  <c r="O2071" i="6"/>
  <c r="N2071" i="6"/>
  <c r="M2071" i="6"/>
  <c r="B2071" i="6"/>
  <c r="AE2070" i="6"/>
  <c r="AD2070" i="6"/>
  <c r="W2070" i="6"/>
  <c r="V2070" i="6"/>
  <c r="U2070" i="6"/>
  <c r="T2070" i="6"/>
  <c r="S2070" i="6"/>
  <c r="P2070" i="6"/>
  <c r="O2070" i="6"/>
  <c r="N2070" i="6"/>
  <c r="M2070" i="6"/>
  <c r="B2070" i="6"/>
  <c r="AE2069" i="6"/>
  <c r="AD2069" i="6"/>
  <c r="W2069" i="6"/>
  <c r="T2069" i="6"/>
  <c r="V2069" i="6" s="1"/>
  <c r="S2069" i="6"/>
  <c r="P2069" i="6"/>
  <c r="O2069" i="6"/>
  <c r="N2069" i="6"/>
  <c r="M2069" i="6"/>
  <c r="B2069" i="6"/>
  <c r="AE2068" i="6"/>
  <c r="AD2068" i="6"/>
  <c r="W2068" i="6"/>
  <c r="T2068" i="6"/>
  <c r="S2068" i="6"/>
  <c r="P2068" i="6"/>
  <c r="O2068" i="6"/>
  <c r="N2068" i="6"/>
  <c r="M2068" i="6"/>
  <c r="B2068" i="6"/>
  <c r="AE2067" i="6"/>
  <c r="AD2067" i="6"/>
  <c r="W2067" i="6"/>
  <c r="V2067" i="6"/>
  <c r="T2067" i="6"/>
  <c r="U2067" i="6" s="1"/>
  <c r="S2067" i="6"/>
  <c r="P2067" i="6"/>
  <c r="O2067" i="6"/>
  <c r="N2067" i="6"/>
  <c r="M2067" i="6"/>
  <c r="B2067" i="6"/>
  <c r="AE2066" i="6"/>
  <c r="AD2066" i="6"/>
  <c r="W2066" i="6"/>
  <c r="U2066" i="6"/>
  <c r="T2066" i="6"/>
  <c r="V2066" i="6" s="1"/>
  <c r="S2066" i="6"/>
  <c r="P2066" i="6"/>
  <c r="O2066" i="6"/>
  <c r="N2066" i="6"/>
  <c r="M2066" i="6"/>
  <c r="B2066" i="6"/>
  <c r="AE2065" i="6"/>
  <c r="AD2065" i="6"/>
  <c r="W2065" i="6"/>
  <c r="V2065" i="6"/>
  <c r="U2065" i="6"/>
  <c r="T2065" i="6"/>
  <c r="S2065" i="6"/>
  <c r="P2065" i="6"/>
  <c r="O2065" i="6"/>
  <c r="N2065" i="6"/>
  <c r="M2065" i="6"/>
  <c r="B2065" i="6"/>
  <c r="AE2064" i="6"/>
  <c r="AD2064" i="6"/>
  <c r="W2064" i="6"/>
  <c r="T2064" i="6"/>
  <c r="V2064" i="6" s="1"/>
  <c r="S2064" i="6"/>
  <c r="P2064" i="6"/>
  <c r="O2064" i="6"/>
  <c r="N2064" i="6"/>
  <c r="M2064" i="6"/>
  <c r="B2064" i="6"/>
  <c r="AE2063" i="6"/>
  <c r="AD2063" i="6"/>
  <c r="W2063" i="6"/>
  <c r="T2063" i="6"/>
  <c r="V2063" i="6" s="1"/>
  <c r="S2063" i="6"/>
  <c r="P2063" i="6"/>
  <c r="O2063" i="6"/>
  <c r="N2063" i="6"/>
  <c r="M2063" i="6"/>
  <c r="B2063" i="6"/>
  <c r="AE2062" i="6"/>
  <c r="AD2062" i="6"/>
  <c r="W2062" i="6"/>
  <c r="T2062" i="6"/>
  <c r="V2062" i="6" s="1"/>
  <c r="S2062" i="6"/>
  <c r="P2062" i="6"/>
  <c r="O2062" i="6"/>
  <c r="N2062" i="6"/>
  <c r="M2062" i="6"/>
  <c r="B2062" i="6"/>
  <c r="AE2061" i="6"/>
  <c r="AD2061" i="6"/>
  <c r="W2061" i="6"/>
  <c r="V2061" i="6"/>
  <c r="U2061" i="6"/>
  <c r="T2061" i="6"/>
  <c r="S2061" i="6"/>
  <c r="P2061" i="6"/>
  <c r="O2061" i="6"/>
  <c r="N2061" i="6"/>
  <c r="M2061" i="6"/>
  <c r="B2061" i="6"/>
  <c r="AE2060" i="6"/>
  <c r="AD2060" i="6"/>
  <c r="W2060" i="6"/>
  <c r="V2060" i="6"/>
  <c r="U2060" i="6"/>
  <c r="T2060" i="6"/>
  <c r="S2060" i="6"/>
  <c r="P2060" i="6"/>
  <c r="O2060" i="6"/>
  <c r="N2060" i="6"/>
  <c r="M2060" i="6"/>
  <c r="B2060" i="6"/>
  <c r="AE2059" i="6"/>
  <c r="AD2059" i="6"/>
  <c r="W2059" i="6"/>
  <c r="T2059" i="6"/>
  <c r="V2059" i="6" s="1"/>
  <c r="S2059" i="6"/>
  <c r="P2059" i="6"/>
  <c r="O2059" i="6"/>
  <c r="N2059" i="6"/>
  <c r="M2059" i="6"/>
  <c r="B2059" i="6"/>
  <c r="AE2058" i="6"/>
  <c r="AD2058" i="6"/>
  <c r="W2058" i="6"/>
  <c r="U2058" i="6"/>
  <c r="T2058" i="6"/>
  <c r="V2058" i="6" s="1"/>
  <c r="S2058" i="6"/>
  <c r="P2058" i="6"/>
  <c r="O2058" i="6"/>
  <c r="N2058" i="6"/>
  <c r="M2058" i="6"/>
  <c r="B2058" i="6"/>
  <c r="AE2057" i="6"/>
  <c r="AD2057" i="6"/>
  <c r="W2057" i="6"/>
  <c r="U2057" i="6"/>
  <c r="T2057" i="6"/>
  <c r="V2057" i="6" s="1"/>
  <c r="S2057" i="6"/>
  <c r="P2057" i="6"/>
  <c r="O2057" i="6"/>
  <c r="N2057" i="6"/>
  <c r="M2057" i="6"/>
  <c r="B2057" i="6"/>
  <c r="AE2056" i="6"/>
  <c r="AD2056" i="6"/>
  <c r="W2056" i="6"/>
  <c r="V2056" i="6"/>
  <c r="U2056" i="6"/>
  <c r="T2056" i="6"/>
  <c r="S2056" i="6"/>
  <c r="P2056" i="6"/>
  <c r="O2056" i="6"/>
  <c r="N2056" i="6"/>
  <c r="M2056" i="6"/>
  <c r="B2056" i="6"/>
  <c r="AE2055" i="6"/>
  <c r="AD2055" i="6"/>
  <c r="W2055" i="6"/>
  <c r="V2055" i="6"/>
  <c r="U2055" i="6"/>
  <c r="T2055" i="6"/>
  <c r="S2055" i="6"/>
  <c r="P2055" i="6"/>
  <c r="O2055" i="6"/>
  <c r="N2055" i="6"/>
  <c r="M2055" i="6"/>
  <c r="B2055" i="6"/>
  <c r="AE2054" i="6"/>
  <c r="AD2054" i="6"/>
  <c r="W2054" i="6"/>
  <c r="T2054" i="6"/>
  <c r="V2054" i="6" s="1"/>
  <c r="S2054" i="6"/>
  <c r="P2054" i="6"/>
  <c r="O2054" i="6"/>
  <c r="N2054" i="6"/>
  <c r="M2054" i="6"/>
  <c r="B2054" i="6"/>
  <c r="AE2053" i="6"/>
  <c r="AD2053" i="6"/>
  <c r="W2053" i="6"/>
  <c r="U2053" i="6"/>
  <c r="T2053" i="6"/>
  <c r="V2053" i="6" s="1"/>
  <c r="S2053" i="6"/>
  <c r="P2053" i="6"/>
  <c r="O2053" i="6"/>
  <c r="N2053" i="6"/>
  <c r="M2053" i="6"/>
  <c r="B2053" i="6"/>
  <c r="AE2052" i="6"/>
  <c r="AD2052" i="6"/>
  <c r="W2052" i="6"/>
  <c r="T2052" i="6"/>
  <c r="U2052" i="6" s="1"/>
  <c r="S2052" i="6"/>
  <c r="P2052" i="6"/>
  <c r="O2052" i="6"/>
  <c r="N2052" i="6"/>
  <c r="M2052" i="6"/>
  <c r="B2052" i="6"/>
  <c r="AE2051" i="6"/>
  <c r="AD2051" i="6"/>
  <c r="W2051" i="6"/>
  <c r="T2051" i="6"/>
  <c r="V2051" i="6" s="1"/>
  <c r="S2051" i="6"/>
  <c r="P2051" i="6"/>
  <c r="O2051" i="6"/>
  <c r="N2051" i="6"/>
  <c r="M2051" i="6"/>
  <c r="B2051" i="6"/>
  <c r="AE2050" i="6"/>
  <c r="AD2050" i="6"/>
  <c r="W2050" i="6"/>
  <c r="V2050" i="6"/>
  <c r="U2050" i="6"/>
  <c r="T2050" i="6"/>
  <c r="S2050" i="6"/>
  <c r="P2050" i="6"/>
  <c r="O2050" i="6"/>
  <c r="N2050" i="6"/>
  <c r="M2050" i="6"/>
  <c r="B2050" i="6"/>
  <c r="AE2049" i="6"/>
  <c r="AD2049" i="6"/>
  <c r="W2049" i="6"/>
  <c r="T2049" i="6"/>
  <c r="V2049" i="6" s="1"/>
  <c r="S2049" i="6"/>
  <c r="P2049" i="6"/>
  <c r="O2049" i="6"/>
  <c r="N2049" i="6"/>
  <c r="M2049" i="6"/>
  <c r="B2049" i="6"/>
  <c r="AE2048" i="6"/>
  <c r="AD2048" i="6"/>
  <c r="W2048" i="6"/>
  <c r="T2048" i="6"/>
  <c r="V2048" i="6" s="1"/>
  <c r="S2048" i="6"/>
  <c r="P2048" i="6"/>
  <c r="O2048" i="6"/>
  <c r="N2048" i="6"/>
  <c r="M2048" i="6"/>
  <c r="B2048" i="6"/>
  <c r="AE2047" i="6"/>
  <c r="AD2047" i="6"/>
  <c r="W2047" i="6"/>
  <c r="T2047" i="6"/>
  <c r="S2047" i="6"/>
  <c r="P2047" i="6"/>
  <c r="O2047" i="6"/>
  <c r="N2047" i="6"/>
  <c r="M2047" i="6"/>
  <c r="B2047" i="6"/>
  <c r="AE2046" i="6"/>
  <c r="AD2046" i="6"/>
  <c r="W2046" i="6"/>
  <c r="V2046" i="6"/>
  <c r="U2046" i="6"/>
  <c r="T2046" i="6"/>
  <c r="S2046" i="6"/>
  <c r="P2046" i="6"/>
  <c r="O2046" i="6"/>
  <c r="N2046" i="6"/>
  <c r="M2046" i="6"/>
  <c r="B2046" i="6"/>
  <c r="AE2045" i="6"/>
  <c r="AD2045" i="6"/>
  <c r="W2045" i="6"/>
  <c r="V2045" i="6"/>
  <c r="U2045" i="6"/>
  <c r="T2045" i="6"/>
  <c r="S2045" i="6"/>
  <c r="P2045" i="6"/>
  <c r="O2045" i="6"/>
  <c r="N2045" i="6"/>
  <c r="M2045" i="6"/>
  <c r="B2045" i="6"/>
  <c r="AE2044" i="6"/>
  <c r="AD2044" i="6"/>
  <c r="W2044" i="6"/>
  <c r="T2044" i="6"/>
  <c r="V2044" i="6" s="1"/>
  <c r="S2044" i="6"/>
  <c r="P2044" i="6"/>
  <c r="O2044" i="6"/>
  <c r="N2044" i="6"/>
  <c r="M2044" i="6"/>
  <c r="B2044" i="6"/>
  <c r="AE2043" i="6"/>
  <c r="AD2043" i="6"/>
  <c r="W2043" i="6"/>
  <c r="T2043" i="6"/>
  <c r="V2043" i="6" s="1"/>
  <c r="S2043" i="6"/>
  <c r="P2043" i="6"/>
  <c r="O2043" i="6"/>
  <c r="N2043" i="6"/>
  <c r="M2043" i="6"/>
  <c r="B2043" i="6"/>
  <c r="AE2042" i="6"/>
  <c r="AD2042" i="6"/>
  <c r="W2042" i="6"/>
  <c r="V2042" i="6"/>
  <c r="T2042" i="6"/>
  <c r="U2042" i="6" s="1"/>
  <c r="S2042" i="6"/>
  <c r="P2042" i="6"/>
  <c r="O2042" i="6"/>
  <c r="N2042" i="6"/>
  <c r="M2042" i="6"/>
  <c r="B2042" i="6"/>
  <c r="AE2041" i="6"/>
  <c r="AD2041" i="6"/>
  <c r="W2041" i="6"/>
  <c r="T2041" i="6"/>
  <c r="V2041" i="6" s="1"/>
  <c r="S2041" i="6"/>
  <c r="P2041" i="6"/>
  <c r="O2041" i="6"/>
  <c r="N2041" i="6"/>
  <c r="M2041" i="6"/>
  <c r="B2041" i="6"/>
  <c r="AE2040" i="6"/>
  <c r="AD2040" i="6"/>
  <c r="W2040" i="6"/>
  <c r="V2040" i="6"/>
  <c r="U2040" i="6"/>
  <c r="T2040" i="6"/>
  <c r="S2040" i="6"/>
  <c r="P2040" i="6"/>
  <c r="O2040" i="6"/>
  <c r="N2040" i="6"/>
  <c r="M2040" i="6"/>
  <c r="B2040" i="6"/>
  <c r="AE2039" i="6"/>
  <c r="AD2039" i="6"/>
  <c r="W2039" i="6"/>
  <c r="T2039" i="6"/>
  <c r="V2039" i="6" s="1"/>
  <c r="S2039" i="6"/>
  <c r="P2039" i="6"/>
  <c r="O2039" i="6"/>
  <c r="N2039" i="6"/>
  <c r="M2039" i="6"/>
  <c r="B2039" i="6"/>
  <c r="AE2038" i="6"/>
  <c r="AD2038" i="6"/>
  <c r="W2038" i="6"/>
  <c r="U2038" i="6"/>
  <c r="T2038" i="6"/>
  <c r="V2038" i="6" s="1"/>
  <c r="S2038" i="6"/>
  <c r="P2038" i="6"/>
  <c r="O2038" i="6"/>
  <c r="N2038" i="6"/>
  <c r="M2038" i="6"/>
  <c r="B2038" i="6"/>
  <c r="AE2037" i="6"/>
  <c r="AD2037" i="6"/>
  <c r="W2037" i="6"/>
  <c r="U2037" i="6"/>
  <c r="T2037" i="6"/>
  <c r="V2037" i="6" s="1"/>
  <c r="S2037" i="6"/>
  <c r="P2037" i="6"/>
  <c r="O2037" i="6"/>
  <c r="N2037" i="6"/>
  <c r="M2037" i="6"/>
  <c r="B2037" i="6"/>
  <c r="AE2036" i="6"/>
  <c r="AD2036" i="6"/>
  <c r="W2036" i="6"/>
  <c r="U2036" i="6"/>
  <c r="T2036" i="6"/>
  <c r="V2036" i="6" s="1"/>
  <c r="S2036" i="6"/>
  <c r="P2036" i="6"/>
  <c r="O2036" i="6"/>
  <c r="N2036" i="6"/>
  <c r="M2036" i="6"/>
  <c r="B2036" i="6"/>
  <c r="AE2035" i="6"/>
  <c r="AD2035" i="6"/>
  <c r="W2035" i="6"/>
  <c r="V2035" i="6"/>
  <c r="U2035" i="6"/>
  <c r="T2035" i="6"/>
  <c r="S2035" i="6"/>
  <c r="P2035" i="6"/>
  <c r="O2035" i="6"/>
  <c r="N2035" i="6"/>
  <c r="M2035" i="6"/>
  <c r="B2035" i="6"/>
  <c r="AE2034" i="6"/>
  <c r="AD2034" i="6"/>
  <c r="W2034" i="6"/>
  <c r="T2034" i="6"/>
  <c r="V2034" i="6" s="1"/>
  <c r="S2034" i="6"/>
  <c r="P2034" i="6"/>
  <c r="O2034" i="6"/>
  <c r="N2034" i="6"/>
  <c r="M2034" i="6"/>
  <c r="B2034" i="6"/>
  <c r="AE2033" i="6"/>
  <c r="AD2033" i="6"/>
  <c r="W2033" i="6"/>
  <c r="T2033" i="6"/>
  <c r="V2033" i="6" s="1"/>
  <c r="S2033" i="6"/>
  <c r="P2033" i="6"/>
  <c r="O2033" i="6"/>
  <c r="N2033" i="6"/>
  <c r="M2033" i="6"/>
  <c r="B2033" i="6"/>
  <c r="AE2032" i="6"/>
  <c r="AD2032" i="6"/>
  <c r="W2032" i="6"/>
  <c r="V2032" i="6"/>
  <c r="U2032" i="6"/>
  <c r="T2032" i="6"/>
  <c r="S2032" i="6"/>
  <c r="P2032" i="6"/>
  <c r="O2032" i="6"/>
  <c r="N2032" i="6"/>
  <c r="M2032" i="6"/>
  <c r="B2032" i="6"/>
  <c r="AE2031" i="6"/>
  <c r="AD2031" i="6"/>
  <c r="W2031" i="6"/>
  <c r="T2031" i="6"/>
  <c r="U2031" i="6" s="1"/>
  <c r="S2031" i="6"/>
  <c r="P2031" i="6"/>
  <c r="O2031" i="6"/>
  <c r="N2031" i="6"/>
  <c r="M2031" i="6"/>
  <c r="B2031" i="6"/>
  <c r="AE2030" i="6"/>
  <c r="AD2030" i="6"/>
  <c r="W2030" i="6"/>
  <c r="V2030" i="6"/>
  <c r="U2030" i="6"/>
  <c r="T2030" i="6"/>
  <c r="S2030" i="6"/>
  <c r="P2030" i="6"/>
  <c r="O2030" i="6"/>
  <c r="N2030" i="6"/>
  <c r="M2030" i="6"/>
  <c r="B2030" i="6"/>
  <c r="AE2029" i="6"/>
  <c r="AD2029" i="6"/>
  <c r="W2029" i="6"/>
  <c r="T2029" i="6"/>
  <c r="V2029" i="6" s="1"/>
  <c r="S2029" i="6"/>
  <c r="P2029" i="6"/>
  <c r="O2029" i="6"/>
  <c r="N2029" i="6"/>
  <c r="M2029" i="6"/>
  <c r="B2029" i="6"/>
  <c r="AE2028" i="6"/>
  <c r="AD2028" i="6"/>
  <c r="W2028" i="6"/>
  <c r="U2028" i="6"/>
  <c r="T2028" i="6"/>
  <c r="V2028" i="6" s="1"/>
  <c r="S2028" i="6"/>
  <c r="P2028" i="6"/>
  <c r="O2028" i="6"/>
  <c r="N2028" i="6"/>
  <c r="M2028" i="6"/>
  <c r="B2028" i="6"/>
  <c r="AE2027" i="6"/>
  <c r="AD2027" i="6"/>
  <c r="W2027" i="6"/>
  <c r="T2027" i="6"/>
  <c r="V2027" i="6" s="1"/>
  <c r="S2027" i="6"/>
  <c r="P2027" i="6"/>
  <c r="O2027" i="6"/>
  <c r="N2027" i="6"/>
  <c r="M2027" i="6"/>
  <c r="B2027" i="6"/>
  <c r="AE2026" i="6"/>
  <c r="AD2026" i="6"/>
  <c r="W2026" i="6"/>
  <c r="T2026" i="6"/>
  <c r="S2026" i="6"/>
  <c r="P2026" i="6"/>
  <c r="O2026" i="6"/>
  <c r="N2026" i="6"/>
  <c r="M2026" i="6"/>
  <c r="B2026" i="6"/>
  <c r="AE2025" i="6"/>
  <c r="AD2025" i="6"/>
  <c r="W2025" i="6"/>
  <c r="V2025" i="6"/>
  <c r="U2025" i="6"/>
  <c r="T2025" i="6"/>
  <c r="S2025" i="6"/>
  <c r="P2025" i="6"/>
  <c r="O2025" i="6"/>
  <c r="N2025" i="6"/>
  <c r="M2025" i="6"/>
  <c r="B2025" i="6"/>
  <c r="AE2024" i="6"/>
  <c r="AD2024" i="6"/>
  <c r="W2024" i="6"/>
  <c r="T2024" i="6"/>
  <c r="V2024" i="6" s="1"/>
  <c r="S2024" i="6"/>
  <c r="P2024" i="6"/>
  <c r="O2024" i="6"/>
  <c r="N2024" i="6"/>
  <c r="M2024" i="6"/>
  <c r="B2024" i="6"/>
  <c r="AE2023" i="6"/>
  <c r="AD2023" i="6"/>
  <c r="W2023" i="6"/>
  <c r="T2023" i="6"/>
  <c r="V2023" i="6" s="1"/>
  <c r="S2023" i="6"/>
  <c r="P2023" i="6"/>
  <c r="O2023" i="6"/>
  <c r="N2023" i="6"/>
  <c r="M2023" i="6"/>
  <c r="B2023" i="6"/>
  <c r="AE2022" i="6"/>
  <c r="AD2022" i="6"/>
  <c r="W2022" i="6"/>
  <c r="T2022" i="6"/>
  <c r="V2022" i="6" s="1"/>
  <c r="S2022" i="6"/>
  <c r="P2022" i="6"/>
  <c r="O2022" i="6"/>
  <c r="N2022" i="6"/>
  <c r="M2022" i="6"/>
  <c r="B2022" i="6"/>
  <c r="AE2021" i="6"/>
  <c r="AD2021" i="6"/>
  <c r="W2021" i="6"/>
  <c r="V2021" i="6"/>
  <c r="T2021" i="6"/>
  <c r="U2021" i="6" s="1"/>
  <c r="S2021" i="6"/>
  <c r="P2021" i="6"/>
  <c r="O2021" i="6"/>
  <c r="N2021" i="6"/>
  <c r="M2021" i="6"/>
  <c r="B2021" i="6"/>
  <c r="AE2020" i="6"/>
  <c r="AD2020" i="6"/>
  <c r="W2020" i="6"/>
  <c r="V2020" i="6"/>
  <c r="U2020" i="6"/>
  <c r="T2020" i="6"/>
  <c r="S2020" i="6"/>
  <c r="P2020" i="6"/>
  <c r="O2020" i="6"/>
  <c r="N2020" i="6"/>
  <c r="M2020" i="6"/>
  <c r="B2020" i="6"/>
  <c r="AE2019" i="6"/>
  <c r="AD2019" i="6"/>
  <c r="W2019" i="6"/>
  <c r="T2019" i="6"/>
  <c r="V2019" i="6" s="1"/>
  <c r="S2019" i="6"/>
  <c r="P2019" i="6"/>
  <c r="O2019" i="6"/>
  <c r="N2019" i="6"/>
  <c r="M2019" i="6"/>
  <c r="B2019" i="6"/>
  <c r="AE2018" i="6"/>
  <c r="AD2018" i="6"/>
  <c r="W2018" i="6"/>
  <c r="T2018" i="6"/>
  <c r="S2018" i="6"/>
  <c r="P2018" i="6"/>
  <c r="O2018" i="6"/>
  <c r="N2018" i="6"/>
  <c r="M2018" i="6"/>
  <c r="B2018" i="6"/>
  <c r="AE2017" i="6"/>
  <c r="AD2017" i="6"/>
  <c r="W2017" i="6"/>
  <c r="V2017" i="6"/>
  <c r="T2017" i="6"/>
  <c r="U2017" i="6" s="1"/>
  <c r="S2017" i="6"/>
  <c r="P2017" i="6"/>
  <c r="O2017" i="6"/>
  <c r="N2017" i="6"/>
  <c r="M2017" i="6"/>
  <c r="B2017" i="6"/>
  <c r="AE2016" i="6"/>
  <c r="AD2016" i="6"/>
  <c r="W2016" i="6"/>
  <c r="U2016" i="6"/>
  <c r="T2016" i="6"/>
  <c r="V2016" i="6" s="1"/>
  <c r="S2016" i="6"/>
  <c r="P2016" i="6"/>
  <c r="O2016" i="6"/>
  <c r="N2016" i="6"/>
  <c r="M2016" i="6"/>
  <c r="B2016" i="6"/>
  <c r="AE2015" i="6"/>
  <c r="AD2015" i="6"/>
  <c r="W2015" i="6"/>
  <c r="V2015" i="6"/>
  <c r="U2015" i="6"/>
  <c r="T2015" i="6"/>
  <c r="S2015" i="6"/>
  <c r="P2015" i="6"/>
  <c r="O2015" i="6"/>
  <c r="N2015" i="6"/>
  <c r="M2015" i="6"/>
  <c r="B2015" i="6"/>
  <c r="AE2014" i="6"/>
  <c r="AD2014" i="6"/>
  <c r="W2014" i="6"/>
  <c r="T2014" i="6"/>
  <c r="V2014" i="6" s="1"/>
  <c r="S2014" i="6"/>
  <c r="P2014" i="6"/>
  <c r="O2014" i="6"/>
  <c r="N2014" i="6"/>
  <c r="M2014" i="6"/>
  <c r="B2014" i="6"/>
  <c r="AE2013" i="6"/>
  <c r="AD2013" i="6"/>
  <c r="W2013" i="6"/>
  <c r="T2013" i="6"/>
  <c r="V2013" i="6" s="1"/>
  <c r="S2013" i="6"/>
  <c r="P2013" i="6"/>
  <c r="O2013" i="6"/>
  <c r="N2013" i="6"/>
  <c r="M2013" i="6"/>
  <c r="B2013" i="6"/>
  <c r="AE2012" i="6"/>
  <c r="AD2012" i="6"/>
  <c r="W2012" i="6"/>
  <c r="T2012" i="6"/>
  <c r="V2012" i="6" s="1"/>
  <c r="S2012" i="6"/>
  <c r="P2012" i="6"/>
  <c r="O2012" i="6"/>
  <c r="N2012" i="6"/>
  <c r="M2012" i="6"/>
  <c r="B2012" i="6"/>
  <c r="AE2011" i="6"/>
  <c r="AD2011" i="6"/>
  <c r="W2011" i="6"/>
  <c r="V2011" i="6"/>
  <c r="U2011" i="6"/>
  <c r="T2011" i="6"/>
  <c r="S2011" i="6"/>
  <c r="P2011" i="6"/>
  <c r="O2011" i="6"/>
  <c r="N2011" i="6"/>
  <c r="M2011" i="6"/>
  <c r="B2011" i="6"/>
  <c r="AE2010" i="6"/>
  <c r="AD2010" i="6"/>
  <c r="W2010" i="6"/>
  <c r="V2010" i="6"/>
  <c r="U2010" i="6"/>
  <c r="T2010" i="6"/>
  <c r="S2010" i="6"/>
  <c r="P2010" i="6"/>
  <c r="O2010" i="6"/>
  <c r="N2010" i="6"/>
  <c r="M2010" i="6"/>
  <c r="B2010" i="6"/>
  <c r="AE2009" i="6"/>
  <c r="AD2009" i="6"/>
  <c r="W2009" i="6"/>
  <c r="T2009" i="6"/>
  <c r="V2009" i="6" s="1"/>
  <c r="S2009" i="6"/>
  <c r="P2009" i="6"/>
  <c r="O2009" i="6"/>
  <c r="N2009" i="6"/>
  <c r="M2009" i="6"/>
  <c r="B2009" i="6"/>
  <c r="AE2008" i="6"/>
  <c r="AD2008" i="6"/>
  <c r="W2008" i="6"/>
  <c r="U2008" i="6"/>
  <c r="T2008" i="6"/>
  <c r="V2008" i="6" s="1"/>
  <c r="S2008" i="6"/>
  <c r="P2008" i="6"/>
  <c r="O2008" i="6"/>
  <c r="N2008" i="6"/>
  <c r="M2008" i="6"/>
  <c r="B2008" i="6"/>
  <c r="AE2007" i="6"/>
  <c r="AD2007" i="6"/>
  <c r="W2007" i="6"/>
  <c r="U2007" i="6"/>
  <c r="T2007" i="6"/>
  <c r="V2007" i="6" s="1"/>
  <c r="S2007" i="6"/>
  <c r="P2007" i="6"/>
  <c r="O2007" i="6"/>
  <c r="N2007" i="6"/>
  <c r="M2007" i="6"/>
  <c r="B2007" i="6"/>
  <c r="AE2006" i="6"/>
  <c r="AD2006" i="6"/>
  <c r="W2006" i="6"/>
  <c r="T2006" i="6"/>
  <c r="V2006" i="6" s="1"/>
  <c r="S2006" i="6"/>
  <c r="P2006" i="6"/>
  <c r="O2006" i="6"/>
  <c r="N2006" i="6"/>
  <c r="M2006" i="6"/>
  <c r="B2006" i="6"/>
  <c r="AE2005" i="6"/>
  <c r="AD2005" i="6"/>
  <c r="W2005" i="6"/>
  <c r="V2005" i="6"/>
  <c r="U2005" i="6"/>
  <c r="T2005" i="6"/>
  <c r="S2005" i="6"/>
  <c r="P2005" i="6"/>
  <c r="O2005" i="6"/>
  <c r="N2005" i="6"/>
  <c r="M2005" i="6"/>
  <c r="B2005" i="6"/>
  <c r="AE2004" i="6"/>
  <c r="AD2004" i="6"/>
  <c r="W2004" i="6"/>
  <c r="T2004" i="6"/>
  <c r="V2004" i="6" s="1"/>
  <c r="S2004" i="6"/>
  <c r="P2004" i="6"/>
  <c r="O2004" i="6"/>
  <c r="N2004" i="6"/>
  <c r="M2004" i="6"/>
  <c r="B2004" i="6"/>
  <c r="AE2003" i="6"/>
  <c r="AD2003" i="6"/>
  <c r="W2003" i="6"/>
  <c r="U2003" i="6"/>
  <c r="T2003" i="6"/>
  <c r="V2003" i="6" s="1"/>
  <c r="S2003" i="6"/>
  <c r="P2003" i="6"/>
  <c r="O2003" i="6"/>
  <c r="N2003" i="6"/>
  <c r="M2003" i="6"/>
  <c r="B2003" i="6"/>
  <c r="AE2002" i="6"/>
  <c r="AD2002" i="6"/>
  <c r="W2002" i="6"/>
  <c r="T2002" i="6"/>
  <c r="U2002" i="6" s="1"/>
  <c r="S2002" i="6"/>
  <c r="P2002" i="6"/>
  <c r="O2002" i="6"/>
  <c r="N2002" i="6"/>
  <c r="M2002" i="6"/>
  <c r="B2002" i="6"/>
  <c r="AE2001" i="6"/>
  <c r="AD2001" i="6"/>
  <c r="W2001" i="6"/>
  <c r="T2001" i="6"/>
  <c r="V2001" i="6" s="1"/>
  <c r="S2001" i="6"/>
  <c r="P2001" i="6"/>
  <c r="O2001" i="6"/>
  <c r="N2001" i="6"/>
  <c r="M2001" i="6"/>
  <c r="B2001" i="6"/>
  <c r="AE2000" i="6"/>
  <c r="AD2000" i="6"/>
  <c r="W2000" i="6"/>
  <c r="V2000" i="6"/>
  <c r="U2000" i="6"/>
  <c r="T2000" i="6"/>
  <c r="S2000" i="6"/>
  <c r="P2000" i="6"/>
  <c r="O2000" i="6"/>
  <c r="N2000" i="6"/>
  <c r="M2000" i="6"/>
  <c r="B2000" i="6"/>
  <c r="AE1999" i="6"/>
  <c r="AD1999" i="6"/>
  <c r="W1999" i="6"/>
  <c r="T1999" i="6"/>
  <c r="V1999" i="6" s="1"/>
  <c r="S1999" i="6"/>
  <c r="P1999" i="6"/>
  <c r="O1999" i="6"/>
  <c r="N1999" i="6"/>
  <c r="M1999" i="6"/>
  <c r="B1999" i="6"/>
  <c r="AE1998" i="6"/>
  <c r="AD1998" i="6"/>
  <c r="W1998" i="6"/>
  <c r="T1998" i="6"/>
  <c r="V1998" i="6" s="1"/>
  <c r="S1998" i="6"/>
  <c r="P1998" i="6"/>
  <c r="O1998" i="6"/>
  <c r="N1998" i="6"/>
  <c r="M1998" i="6"/>
  <c r="B1998" i="6"/>
  <c r="AE1997" i="6"/>
  <c r="AD1997" i="6"/>
  <c r="W1997" i="6"/>
  <c r="T1997" i="6"/>
  <c r="S1997" i="6"/>
  <c r="P1997" i="6"/>
  <c r="O1997" i="6"/>
  <c r="N1997" i="6"/>
  <c r="M1997" i="6"/>
  <c r="B1997" i="6"/>
  <c r="AE1996" i="6"/>
  <c r="AD1996" i="6"/>
  <c r="W1996" i="6"/>
  <c r="V1996" i="6"/>
  <c r="T1996" i="6"/>
  <c r="U1996" i="6" s="1"/>
  <c r="S1996" i="6"/>
  <c r="P1996" i="6"/>
  <c r="O1996" i="6"/>
  <c r="N1996" i="6"/>
  <c r="M1996" i="6"/>
  <c r="B1996" i="6"/>
  <c r="AE1995" i="6"/>
  <c r="AD1995" i="6"/>
  <c r="W1995" i="6"/>
  <c r="V1995" i="6"/>
  <c r="U1995" i="6"/>
  <c r="T1995" i="6"/>
  <c r="S1995" i="6"/>
  <c r="P1995" i="6"/>
  <c r="O1995" i="6"/>
  <c r="N1995" i="6"/>
  <c r="M1995" i="6"/>
  <c r="B1995" i="6"/>
  <c r="AE1994" i="6"/>
  <c r="AD1994" i="6"/>
  <c r="W1994" i="6"/>
  <c r="T1994" i="6"/>
  <c r="V1994" i="6" s="1"/>
  <c r="S1994" i="6"/>
  <c r="P1994" i="6"/>
  <c r="O1994" i="6"/>
  <c r="N1994" i="6"/>
  <c r="M1994" i="6"/>
  <c r="B1994" i="6"/>
  <c r="AE1993" i="6"/>
  <c r="AD1993" i="6"/>
  <c r="W1993" i="6"/>
  <c r="T1993" i="6"/>
  <c r="V1993" i="6" s="1"/>
  <c r="S1993" i="6"/>
  <c r="P1993" i="6"/>
  <c r="O1993" i="6"/>
  <c r="N1993" i="6"/>
  <c r="M1993" i="6"/>
  <c r="B1993" i="6"/>
  <c r="AE1992" i="6"/>
  <c r="AD1992" i="6"/>
  <c r="W1992" i="6"/>
  <c r="V1992" i="6"/>
  <c r="T1992" i="6"/>
  <c r="U1992" i="6" s="1"/>
  <c r="S1992" i="6"/>
  <c r="P1992" i="6"/>
  <c r="O1992" i="6"/>
  <c r="N1992" i="6"/>
  <c r="M1992" i="6"/>
  <c r="B1992" i="6"/>
  <c r="AE1991" i="6"/>
  <c r="AD1991" i="6"/>
  <c r="W1991" i="6"/>
  <c r="U1991" i="6"/>
  <c r="T1991" i="6"/>
  <c r="V1991" i="6" s="1"/>
  <c r="S1991" i="6"/>
  <c r="P1991" i="6"/>
  <c r="O1991" i="6"/>
  <c r="N1991" i="6"/>
  <c r="M1991" i="6"/>
  <c r="B1991" i="6"/>
  <c r="AE1990" i="6"/>
  <c r="AD1990" i="6"/>
  <c r="W1990" i="6"/>
  <c r="V1990" i="6"/>
  <c r="U1990" i="6"/>
  <c r="T1990" i="6"/>
  <c r="S1990" i="6"/>
  <c r="P1990" i="6"/>
  <c r="O1990" i="6"/>
  <c r="N1990" i="6"/>
  <c r="M1990" i="6"/>
  <c r="B1990" i="6"/>
  <c r="AE1989" i="6"/>
  <c r="AD1989" i="6"/>
  <c r="W1989" i="6"/>
  <c r="T1989" i="6"/>
  <c r="V1989" i="6" s="1"/>
  <c r="S1989" i="6"/>
  <c r="P1989" i="6"/>
  <c r="O1989" i="6"/>
  <c r="N1989" i="6"/>
  <c r="M1989" i="6"/>
  <c r="B1989" i="6"/>
  <c r="AE1988" i="6"/>
  <c r="AD1988" i="6"/>
  <c r="W1988" i="6"/>
  <c r="T1988" i="6"/>
  <c r="V1988" i="6" s="1"/>
  <c r="S1988" i="6"/>
  <c r="P1988" i="6"/>
  <c r="O1988" i="6"/>
  <c r="N1988" i="6"/>
  <c r="M1988" i="6"/>
  <c r="B1988" i="6"/>
  <c r="AE1987" i="6"/>
  <c r="AD1987" i="6"/>
  <c r="W1987" i="6"/>
  <c r="U1987" i="6"/>
  <c r="T1987" i="6"/>
  <c r="V1987" i="6" s="1"/>
  <c r="S1987" i="6"/>
  <c r="P1987" i="6"/>
  <c r="O1987" i="6"/>
  <c r="N1987" i="6"/>
  <c r="M1987" i="6"/>
  <c r="B1987" i="6"/>
  <c r="AE1986" i="6"/>
  <c r="AD1986" i="6"/>
  <c r="W1986" i="6"/>
  <c r="U1986" i="6"/>
  <c r="T1986" i="6"/>
  <c r="V1986" i="6" s="1"/>
  <c r="S1986" i="6"/>
  <c r="P1986" i="6"/>
  <c r="O1986" i="6"/>
  <c r="N1986" i="6"/>
  <c r="M1986" i="6"/>
  <c r="B1986" i="6"/>
  <c r="AE1985" i="6"/>
  <c r="AD1985" i="6"/>
  <c r="W1985" i="6"/>
  <c r="V1985" i="6"/>
  <c r="U1985" i="6"/>
  <c r="T1985" i="6"/>
  <c r="S1985" i="6"/>
  <c r="P1985" i="6"/>
  <c r="O1985" i="6"/>
  <c r="N1985" i="6"/>
  <c r="M1985" i="6"/>
  <c r="B1985" i="6"/>
  <c r="AE1984" i="6"/>
  <c r="AD1984" i="6"/>
  <c r="W1984" i="6"/>
  <c r="T1984" i="6"/>
  <c r="V1984" i="6" s="1"/>
  <c r="S1984" i="6"/>
  <c r="P1984" i="6"/>
  <c r="O1984" i="6"/>
  <c r="N1984" i="6"/>
  <c r="M1984" i="6"/>
  <c r="B1984" i="6"/>
  <c r="AE1983" i="6"/>
  <c r="AD1983" i="6"/>
  <c r="W1983" i="6"/>
  <c r="T1983" i="6"/>
  <c r="V1983" i="6" s="1"/>
  <c r="S1983" i="6"/>
  <c r="P1983" i="6"/>
  <c r="O1983" i="6"/>
  <c r="N1983" i="6"/>
  <c r="M1983" i="6"/>
  <c r="B1983" i="6"/>
  <c r="AE1982" i="6"/>
  <c r="AD1982" i="6"/>
  <c r="W1982" i="6"/>
  <c r="V1982" i="6"/>
  <c r="U1982" i="6"/>
  <c r="T1982" i="6"/>
  <c r="S1982" i="6"/>
  <c r="P1982" i="6"/>
  <c r="O1982" i="6"/>
  <c r="N1982" i="6"/>
  <c r="M1982" i="6"/>
  <c r="B1982" i="6"/>
  <c r="AE1981" i="6"/>
  <c r="AD1981" i="6"/>
  <c r="W1981" i="6"/>
  <c r="T1981" i="6"/>
  <c r="U1981" i="6" s="1"/>
  <c r="S1981" i="6"/>
  <c r="P1981" i="6"/>
  <c r="O1981" i="6"/>
  <c r="N1981" i="6"/>
  <c r="M1981" i="6"/>
  <c r="B1981" i="6"/>
  <c r="AE1980" i="6"/>
  <c r="AD1980" i="6"/>
  <c r="W1980" i="6"/>
  <c r="V1980" i="6"/>
  <c r="U1980" i="6"/>
  <c r="T1980" i="6"/>
  <c r="S1980" i="6"/>
  <c r="P1980" i="6"/>
  <c r="O1980" i="6"/>
  <c r="N1980" i="6"/>
  <c r="M1980" i="6"/>
  <c r="B1980" i="6"/>
  <c r="AE1979" i="6"/>
  <c r="AD1979" i="6"/>
  <c r="W1979" i="6"/>
  <c r="T1979" i="6"/>
  <c r="V1979" i="6" s="1"/>
  <c r="S1979" i="6"/>
  <c r="P1979" i="6"/>
  <c r="O1979" i="6"/>
  <c r="N1979" i="6"/>
  <c r="M1979" i="6"/>
  <c r="B1979" i="6"/>
  <c r="AE1978" i="6"/>
  <c r="AD1978" i="6"/>
  <c r="W1978" i="6"/>
  <c r="U1978" i="6"/>
  <c r="T1978" i="6"/>
  <c r="V1978" i="6" s="1"/>
  <c r="S1978" i="6"/>
  <c r="P1978" i="6"/>
  <c r="O1978" i="6"/>
  <c r="N1978" i="6"/>
  <c r="M1978" i="6"/>
  <c r="B1978" i="6"/>
  <c r="AE1977" i="6"/>
  <c r="AD1977" i="6"/>
  <c r="W1977" i="6"/>
  <c r="T1977" i="6"/>
  <c r="V1977" i="6" s="1"/>
  <c r="S1977" i="6"/>
  <c r="P1977" i="6"/>
  <c r="O1977" i="6"/>
  <c r="N1977" i="6"/>
  <c r="M1977" i="6"/>
  <c r="B1977" i="6"/>
  <c r="AE1976" i="6"/>
  <c r="AD1976" i="6"/>
  <c r="W1976" i="6"/>
  <c r="T1976" i="6"/>
  <c r="S1976" i="6"/>
  <c r="P1976" i="6"/>
  <c r="O1976" i="6"/>
  <c r="N1976" i="6"/>
  <c r="M1976" i="6"/>
  <c r="B1976" i="6"/>
  <c r="AE1975" i="6"/>
  <c r="AD1975" i="6"/>
  <c r="W1975" i="6"/>
  <c r="V1975" i="6"/>
  <c r="U1975" i="6"/>
  <c r="T1975" i="6"/>
  <c r="S1975" i="6"/>
  <c r="P1975" i="6"/>
  <c r="O1975" i="6"/>
  <c r="N1975" i="6"/>
  <c r="M1975" i="6"/>
  <c r="B1975" i="6"/>
  <c r="AE1974" i="6"/>
  <c r="AD1974" i="6"/>
  <c r="W1974" i="6"/>
  <c r="T1974" i="6"/>
  <c r="V1974" i="6" s="1"/>
  <c r="S1974" i="6"/>
  <c r="P1974" i="6"/>
  <c r="O1974" i="6"/>
  <c r="N1974" i="6"/>
  <c r="M1974" i="6"/>
  <c r="B1974" i="6"/>
  <c r="AE1973" i="6"/>
  <c r="AD1973" i="6"/>
  <c r="W1973" i="6"/>
  <c r="T1973" i="6"/>
  <c r="V1973" i="6" s="1"/>
  <c r="S1973" i="6"/>
  <c r="P1973" i="6"/>
  <c r="O1973" i="6"/>
  <c r="N1973" i="6"/>
  <c r="M1973" i="6"/>
  <c r="B1973" i="6"/>
  <c r="AE1972" i="6"/>
  <c r="AD1972" i="6"/>
  <c r="W1972" i="6"/>
  <c r="T1972" i="6"/>
  <c r="V1972" i="6" s="1"/>
  <c r="S1972" i="6"/>
  <c r="P1972" i="6"/>
  <c r="O1972" i="6"/>
  <c r="N1972" i="6"/>
  <c r="M1972" i="6"/>
  <c r="B1972" i="6"/>
  <c r="AE1971" i="6"/>
  <c r="AD1971" i="6"/>
  <c r="W1971" i="6"/>
  <c r="V1971" i="6"/>
  <c r="T1971" i="6"/>
  <c r="U1971" i="6" s="1"/>
  <c r="S1971" i="6"/>
  <c r="P1971" i="6"/>
  <c r="O1971" i="6"/>
  <c r="N1971" i="6"/>
  <c r="M1971" i="6"/>
  <c r="B1971" i="6"/>
  <c r="AE1970" i="6"/>
  <c r="AD1970" i="6"/>
  <c r="W1970" i="6"/>
  <c r="V1970" i="6"/>
  <c r="U1970" i="6"/>
  <c r="T1970" i="6"/>
  <c r="S1970" i="6"/>
  <c r="P1970" i="6"/>
  <c r="O1970" i="6"/>
  <c r="N1970" i="6"/>
  <c r="M1970" i="6"/>
  <c r="B1970" i="6"/>
  <c r="AE1969" i="6"/>
  <c r="AD1969" i="6"/>
  <c r="W1969" i="6"/>
  <c r="T1969" i="6"/>
  <c r="V1969" i="6" s="1"/>
  <c r="S1969" i="6"/>
  <c r="P1969" i="6"/>
  <c r="O1969" i="6"/>
  <c r="N1969" i="6"/>
  <c r="M1969" i="6"/>
  <c r="B1969" i="6"/>
  <c r="AE1968" i="6"/>
  <c r="AD1968" i="6"/>
  <c r="W1968" i="6"/>
  <c r="T1968" i="6"/>
  <c r="S1968" i="6"/>
  <c r="P1968" i="6"/>
  <c r="O1968" i="6"/>
  <c r="N1968" i="6"/>
  <c r="M1968" i="6"/>
  <c r="B1968" i="6"/>
  <c r="AE1967" i="6"/>
  <c r="AD1967" i="6"/>
  <c r="W1967" i="6"/>
  <c r="V1967" i="6"/>
  <c r="T1967" i="6"/>
  <c r="U1967" i="6" s="1"/>
  <c r="S1967" i="6"/>
  <c r="P1967" i="6"/>
  <c r="O1967" i="6"/>
  <c r="N1967" i="6"/>
  <c r="M1967" i="6"/>
  <c r="B1967" i="6"/>
  <c r="AE1966" i="6"/>
  <c r="AD1966" i="6"/>
  <c r="W1966" i="6"/>
  <c r="U1966" i="6"/>
  <c r="T1966" i="6"/>
  <c r="V1966" i="6" s="1"/>
  <c r="S1966" i="6"/>
  <c r="P1966" i="6"/>
  <c r="O1966" i="6"/>
  <c r="N1966" i="6"/>
  <c r="M1966" i="6"/>
  <c r="B1966" i="6"/>
  <c r="AE1965" i="6"/>
  <c r="AD1965" i="6"/>
  <c r="W1965" i="6"/>
  <c r="V1965" i="6"/>
  <c r="U1965" i="6"/>
  <c r="T1965" i="6"/>
  <c r="S1965" i="6"/>
  <c r="P1965" i="6"/>
  <c r="O1965" i="6"/>
  <c r="N1965" i="6"/>
  <c r="M1965" i="6"/>
  <c r="B1965" i="6"/>
  <c r="AE1964" i="6"/>
  <c r="AD1964" i="6"/>
  <c r="W1964" i="6"/>
  <c r="T1964" i="6"/>
  <c r="V1964" i="6" s="1"/>
  <c r="S1964" i="6"/>
  <c r="P1964" i="6"/>
  <c r="O1964" i="6"/>
  <c r="N1964" i="6"/>
  <c r="M1964" i="6"/>
  <c r="B1964" i="6"/>
  <c r="AE1963" i="6"/>
  <c r="AD1963" i="6"/>
  <c r="W1963" i="6"/>
  <c r="T1963" i="6"/>
  <c r="V1963" i="6" s="1"/>
  <c r="S1963" i="6"/>
  <c r="P1963" i="6"/>
  <c r="O1963" i="6"/>
  <c r="N1963" i="6"/>
  <c r="M1963" i="6"/>
  <c r="B1963" i="6"/>
  <c r="AE1962" i="6"/>
  <c r="AD1962" i="6"/>
  <c r="W1962" i="6"/>
  <c r="V1962" i="6"/>
  <c r="T1962" i="6"/>
  <c r="U1962" i="6" s="1"/>
  <c r="S1962" i="6"/>
  <c r="P1962" i="6"/>
  <c r="O1962" i="6"/>
  <c r="N1962" i="6"/>
  <c r="M1962" i="6"/>
  <c r="B1962" i="6"/>
  <c r="AE1961" i="6"/>
  <c r="AD1961" i="6"/>
  <c r="W1961" i="6"/>
  <c r="V1961" i="6"/>
  <c r="U1961" i="6"/>
  <c r="T1961" i="6"/>
  <c r="S1961" i="6"/>
  <c r="P1961" i="6"/>
  <c r="O1961" i="6"/>
  <c r="N1961" i="6"/>
  <c r="M1961" i="6"/>
  <c r="B1961" i="6"/>
  <c r="AE1960" i="6"/>
  <c r="AD1960" i="6"/>
  <c r="W1960" i="6"/>
  <c r="V1960" i="6"/>
  <c r="U1960" i="6"/>
  <c r="T1960" i="6"/>
  <c r="S1960" i="6"/>
  <c r="P1960" i="6"/>
  <c r="O1960" i="6"/>
  <c r="N1960" i="6"/>
  <c r="M1960" i="6"/>
  <c r="B1960" i="6"/>
  <c r="AE1959" i="6"/>
  <c r="AD1959" i="6"/>
  <c r="W1959" i="6"/>
  <c r="T1959" i="6"/>
  <c r="V1959" i="6" s="1"/>
  <c r="S1959" i="6"/>
  <c r="P1959" i="6"/>
  <c r="O1959" i="6"/>
  <c r="N1959" i="6"/>
  <c r="M1959" i="6"/>
  <c r="B1959" i="6"/>
  <c r="AE1958" i="6"/>
  <c r="AD1958" i="6"/>
  <c r="W1958" i="6"/>
  <c r="U1958" i="6"/>
  <c r="T1958" i="6"/>
  <c r="V1958" i="6" s="1"/>
  <c r="S1958" i="6"/>
  <c r="P1958" i="6"/>
  <c r="O1958" i="6"/>
  <c r="N1958" i="6"/>
  <c r="M1958" i="6"/>
  <c r="B1958" i="6"/>
  <c r="AE1957" i="6"/>
  <c r="AD1957" i="6"/>
  <c r="W1957" i="6"/>
  <c r="U1957" i="6"/>
  <c r="T1957" i="6"/>
  <c r="V1957" i="6" s="1"/>
  <c r="S1957" i="6"/>
  <c r="P1957" i="6"/>
  <c r="O1957" i="6"/>
  <c r="N1957" i="6"/>
  <c r="M1957" i="6"/>
  <c r="B1957" i="6"/>
  <c r="AE1956" i="6"/>
  <c r="AD1956" i="6"/>
  <c r="W1956" i="6"/>
  <c r="V1956" i="6"/>
  <c r="U1956" i="6"/>
  <c r="T1956" i="6"/>
  <c r="S1956" i="6"/>
  <c r="P1956" i="6"/>
  <c r="O1956" i="6"/>
  <c r="N1956" i="6"/>
  <c r="M1956" i="6"/>
  <c r="B1956" i="6"/>
  <c r="AE1955" i="6"/>
  <c r="AD1955" i="6"/>
  <c r="W1955" i="6"/>
  <c r="V1955" i="6"/>
  <c r="U1955" i="6"/>
  <c r="T1955" i="6"/>
  <c r="S1955" i="6"/>
  <c r="P1955" i="6"/>
  <c r="O1955" i="6"/>
  <c r="N1955" i="6"/>
  <c r="M1955" i="6"/>
  <c r="B1955" i="6"/>
  <c r="AE1954" i="6"/>
  <c r="AD1954" i="6"/>
  <c r="W1954" i="6"/>
  <c r="T1954" i="6"/>
  <c r="V1954" i="6" s="1"/>
  <c r="S1954" i="6"/>
  <c r="P1954" i="6"/>
  <c r="O1954" i="6"/>
  <c r="N1954" i="6"/>
  <c r="M1954" i="6"/>
  <c r="B1954" i="6"/>
  <c r="AE1953" i="6"/>
  <c r="AD1953" i="6"/>
  <c r="W1953" i="6"/>
  <c r="U1953" i="6"/>
  <c r="T1953" i="6"/>
  <c r="V1953" i="6" s="1"/>
  <c r="S1953" i="6"/>
  <c r="P1953" i="6"/>
  <c r="O1953" i="6"/>
  <c r="N1953" i="6"/>
  <c r="M1953" i="6"/>
  <c r="B1953" i="6"/>
  <c r="AE1952" i="6"/>
  <c r="AD1952" i="6"/>
  <c r="W1952" i="6"/>
  <c r="T1952" i="6"/>
  <c r="U1952" i="6" s="1"/>
  <c r="S1952" i="6"/>
  <c r="P1952" i="6"/>
  <c r="O1952" i="6"/>
  <c r="N1952" i="6"/>
  <c r="M1952" i="6"/>
  <c r="B1952" i="6"/>
  <c r="AE1951" i="6"/>
  <c r="AD1951" i="6"/>
  <c r="W1951" i="6"/>
  <c r="T1951" i="6"/>
  <c r="V1951" i="6" s="1"/>
  <c r="S1951" i="6"/>
  <c r="P1951" i="6"/>
  <c r="O1951" i="6"/>
  <c r="N1951" i="6"/>
  <c r="M1951" i="6"/>
  <c r="B1951" i="6"/>
  <c r="AE1950" i="6"/>
  <c r="AD1950" i="6"/>
  <c r="W1950" i="6"/>
  <c r="V1950" i="6"/>
  <c r="U1950" i="6"/>
  <c r="T1950" i="6"/>
  <c r="S1950" i="6"/>
  <c r="P1950" i="6"/>
  <c r="O1950" i="6"/>
  <c r="N1950" i="6"/>
  <c r="M1950" i="6"/>
  <c r="B1950" i="6"/>
  <c r="AE1949" i="6"/>
  <c r="AD1949" i="6"/>
  <c r="W1949" i="6"/>
  <c r="T1949" i="6"/>
  <c r="V1949" i="6" s="1"/>
  <c r="S1949" i="6"/>
  <c r="P1949" i="6"/>
  <c r="O1949" i="6"/>
  <c r="N1949" i="6"/>
  <c r="M1949" i="6"/>
  <c r="B1949" i="6"/>
  <c r="AE1948" i="6"/>
  <c r="AD1948" i="6"/>
  <c r="W1948" i="6"/>
  <c r="U1948" i="6"/>
  <c r="T1948" i="6"/>
  <c r="V1948" i="6" s="1"/>
  <c r="S1948" i="6"/>
  <c r="P1948" i="6"/>
  <c r="O1948" i="6"/>
  <c r="N1948" i="6"/>
  <c r="M1948" i="6"/>
  <c r="B1948" i="6"/>
  <c r="AE1947" i="6"/>
  <c r="AD1947" i="6"/>
  <c r="W1947" i="6"/>
  <c r="T1947" i="6"/>
  <c r="S1947" i="6"/>
  <c r="P1947" i="6"/>
  <c r="O1947" i="6"/>
  <c r="N1947" i="6"/>
  <c r="M1947" i="6"/>
  <c r="B1947" i="6"/>
  <c r="AE1946" i="6"/>
  <c r="AD1946" i="6"/>
  <c r="W1946" i="6"/>
  <c r="V1946" i="6"/>
  <c r="U1946" i="6"/>
  <c r="T1946" i="6"/>
  <c r="S1946" i="6"/>
  <c r="P1946" i="6"/>
  <c r="O1946" i="6"/>
  <c r="N1946" i="6"/>
  <c r="M1946" i="6"/>
  <c r="B1946" i="6"/>
  <c r="AE1945" i="6"/>
  <c r="AD1945" i="6"/>
  <c r="W1945" i="6"/>
  <c r="V1945" i="6"/>
  <c r="U1945" i="6"/>
  <c r="T1945" i="6"/>
  <c r="S1945" i="6"/>
  <c r="P1945" i="6"/>
  <c r="O1945" i="6"/>
  <c r="N1945" i="6"/>
  <c r="M1945" i="6"/>
  <c r="B1945" i="6"/>
  <c r="AE1944" i="6"/>
  <c r="AD1944" i="6"/>
  <c r="W1944" i="6"/>
  <c r="T1944" i="6"/>
  <c r="V1944" i="6" s="1"/>
  <c r="S1944" i="6"/>
  <c r="P1944" i="6"/>
  <c r="O1944" i="6"/>
  <c r="N1944" i="6"/>
  <c r="M1944" i="6"/>
  <c r="B1944" i="6"/>
  <c r="AE1943" i="6"/>
  <c r="AD1943" i="6"/>
  <c r="W1943" i="6"/>
  <c r="T1943" i="6"/>
  <c r="V1943" i="6" s="1"/>
  <c r="S1943" i="6"/>
  <c r="P1943" i="6"/>
  <c r="O1943" i="6"/>
  <c r="N1943" i="6"/>
  <c r="M1943" i="6"/>
  <c r="B1943" i="6"/>
  <c r="AE1942" i="6"/>
  <c r="AD1942" i="6"/>
  <c r="W1942" i="6"/>
  <c r="V1942" i="6"/>
  <c r="T1942" i="6"/>
  <c r="U1942" i="6" s="1"/>
  <c r="S1942" i="6"/>
  <c r="P1942" i="6"/>
  <c r="O1942" i="6"/>
  <c r="N1942" i="6"/>
  <c r="M1942" i="6"/>
  <c r="B1942" i="6"/>
  <c r="AE1941" i="6"/>
  <c r="AD1941" i="6"/>
  <c r="W1941" i="6"/>
  <c r="V1941" i="6"/>
  <c r="T1941" i="6"/>
  <c r="U1941" i="6" s="1"/>
  <c r="S1941" i="6"/>
  <c r="P1941" i="6"/>
  <c r="O1941" i="6"/>
  <c r="N1941" i="6"/>
  <c r="M1941" i="6"/>
  <c r="B1941" i="6"/>
  <c r="AE1940" i="6"/>
  <c r="AD1940" i="6"/>
  <c r="W1940" i="6"/>
  <c r="V1940" i="6"/>
  <c r="U1940" i="6"/>
  <c r="T1940" i="6"/>
  <c r="S1940" i="6"/>
  <c r="P1940" i="6"/>
  <c r="O1940" i="6"/>
  <c r="N1940" i="6"/>
  <c r="M1940" i="6"/>
  <c r="B1940" i="6"/>
  <c r="AE1939" i="6"/>
  <c r="AD1939" i="6"/>
  <c r="W1939" i="6"/>
  <c r="T1939" i="6"/>
  <c r="V1939" i="6" s="1"/>
  <c r="S1939" i="6"/>
  <c r="P1939" i="6"/>
  <c r="O1939" i="6"/>
  <c r="N1939" i="6"/>
  <c r="M1939" i="6"/>
  <c r="B1939" i="6"/>
  <c r="AE1938" i="6"/>
  <c r="AD1938" i="6"/>
  <c r="W1938" i="6"/>
  <c r="U1938" i="6"/>
  <c r="T1938" i="6"/>
  <c r="V1938" i="6" s="1"/>
  <c r="S1938" i="6"/>
  <c r="P1938" i="6"/>
  <c r="O1938" i="6"/>
  <c r="N1938" i="6"/>
  <c r="M1938" i="6"/>
  <c r="B1938" i="6"/>
  <c r="AE1937" i="6"/>
  <c r="AD1937" i="6"/>
  <c r="W1937" i="6"/>
  <c r="U1937" i="6"/>
  <c r="T1937" i="6"/>
  <c r="V1937" i="6" s="1"/>
  <c r="S1937" i="6"/>
  <c r="P1937" i="6"/>
  <c r="O1937" i="6"/>
  <c r="N1937" i="6"/>
  <c r="M1937" i="6"/>
  <c r="B1937" i="6"/>
  <c r="AE1936" i="6"/>
  <c r="AD1936" i="6"/>
  <c r="W1936" i="6"/>
  <c r="U1936" i="6"/>
  <c r="T1936" i="6"/>
  <c r="V1936" i="6" s="1"/>
  <c r="S1936" i="6"/>
  <c r="P1936" i="6"/>
  <c r="O1936" i="6"/>
  <c r="N1936" i="6"/>
  <c r="M1936" i="6"/>
  <c r="B1936" i="6"/>
  <c r="AE1935" i="6"/>
  <c r="AD1935" i="6"/>
  <c r="W1935" i="6"/>
  <c r="V1935" i="6"/>
  <c r="U1935" i="6"/>
  <c r="T1935" i="6"/>
  <c r="S1935" i="6"/>
  <c r="P1935" i="6"/>
  <c r="O1935" i="6"/>
  <c r="N1935" i="6"/>
  <c r="M1935" i="6"/>
  <c r="B1935" i="6"/>
  <c r="AE1934" i="6"/>
  <c r="AD1934" i="6"/>
  <c r="W1934" i="6"/>
  <c r="T1934" i="6"/>
  <c r="V1934" i="6" s="1"/>
  <c r="S1934" i="6"/>
  <c r="P1934" i="6"/>
  <c r="O1934" i="6"/>
  <c r="N1934" i="6"/>
  <c r="M1934" i="6"/>
  <c r="B1934" i="6"/>
  <c r="AE1933" i="6"/>
  <c r="AD1933" i="6"/>
  <c r="W1933" i="6"/>
  <c r="T1933" i="6"/>
  <c r="V1933" i="6" s="1"/>
  <c r="S1933" i="6"/>
  <c r="P1933" i="6"/>
  <c r="O1933" i="6"/>
  <c r="N1933" i="6"/>
  <c r="M1933" i="6"/>
  <c r="B1933" i="6"/>
  <c r="AE1932" i="6"/>
  <c r="AD1932" i="6"/>
  <c r="W1932" i="6"/>
  <c r="V1932" i="6"/>
  <c r="U1932" i="6"/>
  <c r="T1932" i="6"/>
  <c r="S1932" i="6"/>
  <c r="P1932" i="6"/>
  <c r="O1932" i="6"/>
  <c r="N1932" i="6"/>
  <c r="M1932" i="6"/>
  <c r="B1932" i="6"/>
  <c r="AE1931" i="6"/>
  <c r="AD1931" i="6"/>
  <c r="W1931" i="6"/>
  <c r="T1931" i="6"/>
  <c r="U1931" i="6" s="1"/>
  <c r="S1931" i="6"/>
  <c r="P1931" i="6"/>
  <c r="O1931" i="6"/>
  <c r="N1931" i="6"/>
  <c r="M1931" i="6"/>
  <c r="B1931" i="6"/>
  <c r="AE1930" i="6"/>
  <c r="AD1930" i="6"/>
  <c r="W1930" i="6"/>
  <c r="V1930" i="6"/>
  <c r="U1930" i="6"/>
  <c r="T1930" i="6"/>
  <c r="S1930" i="6"/>
  <c r="P1930" i="6"/>
  <c r="O1930" i="6"/>
  <c r="N1930" i="6"/>
  <c r="M1930" i="6"/>
  <c r="B1930" i="6"/>
  <c r="AE1929" i="6"/>
  <c r="AD1929" i="6"/>
  <c r="W1929" i="6"/>
  <c r="T1929" i="6"/>
  <c r="V1929" i="6" s="1"/>
  <c r="S1929" i="6"/>
  <c r="P1929" i="6"/>
  <c r="O1929" i="6"/>
  <c r="N1929" i="6"/>
  <c r="M1929" i="6"/>
  <c r="B1929" i="6"/>
  <c r="AE1928" i="6"/>
  <c r="AD1928" i="6"/>
  <c r="W1928" i="6"/>
  <c r="U1928" i="6"/>
  <c r="T1928" i="6"/>
  <c r="V1928" i="6" s="1"/>
  <c r="S1928" i="6"/>
  <c r="P1928" i="6"/>
  <c r="O1928" i="6"/>
  <c r="N1928" i="6"/>
  <c r="M1928" i="6"/>
  <c r="B1928" i="6"/>
  <c r="AE1927" i="6"/>
  <c r="AD1927" i="6"/>
  <c r="W1927" i="6"/>
  <c r="T1927" i="6"/>
  <c r="V1927" i="6" s="1"/>
  <c r="S1927" i="6"/>
  <c r="P1927" i="6"/>
  <c r="O1927" i="6"/>
  <c r="N1927" i="6"/>
  <c r="M1927" i="6"/>
  <c r="B1927" i="6"/>
  <c r="AE1926" i="6"/>
  <c r="AD1926" i="6"/>
  <c r="W1926" i="6"/>
  <c r="T1926" i="6"/>
  <c r="S1926" i="6"/>
  <c r="P1926" i="6"/>
  <c r="O1926" i="6"/>
  <c r="N1926" i="6"/>
  <c r="M1926" i="6"/>
  <c r="B1926" i="6"/>
  <c r="AE1925" i="6"/>
  <c r="AD1925" i="6"/>
  <c r="W1925" i="6"/>
  <c r="V1925" i="6"/>
  <c r="U1925" i="6"/>
  <c r="T1925" i="6"/>
  <c r="S1925" i="6"/>
  <c r="P1925" i="6"/>
  <c r="O1925" i="6"/>
  <c r="N1925" i="6"/>
  <c r="M1925" i="6"/>
  <c r="B1925" i="6"/>
  <c r="AE1924" i="6"/>
  <c r="AD1924" i="6"/>
  <c r="W1924" i="6"/>
  <c r="T1924" i="6"/>
  <c r="V1924" i="6" s="1"/>
  <c r="S1924" i="6"/>
  <c r="P1924" i="6"/>
  <c r="O1924" i="6"/>
  <c r="N1924" i="6"/>
  <c r="M1924" i="6"/>
  <c r="B1924" i="6"/>
  <c r="AE1923" i="6"/>
  <c r="AD1923" i="6"/>
  <c r="W1923" i="6"/>
  <c r="T1923" i="6"/>
  <c r="V1923" i="6" s="1"/>
  <c r="S1923" i="6"/>
  <c r="P1923" i="6"/>
  <c r="O1923" i="6"/>
  <c r="N1923" i="6"/>
  <c r="M1923" i="6"/>
  <c r="B1923" i="6"/>
  <c r="AE1922" i="6"/>
  <c r="AD1922" i="6"/>
  <c r="W1922" i="6"/>
  <c r="T1922" i="6"/>
  <c r="V1922" i="6" s="1"/>
  <c r="S1922" i="6"/>
  <c r="P1922" i="6"/>
  <c r="O1922" i="6"/>
  <c r="N1922" i="6"/>
  <c r="M1922" i="6"/>
  <c r="B1922" i="6"/>
  <c r="AE1921" i="6"/>
  <c r="AD1921" i="6"/>
  <c r="W1921" i="6"/>
  <c r="V1921" i="6"/>
  <c r="T1921" i="6"/>
  <c r="U1921" i="6" s="1"/>
  <c r="S1921" i="6"/>
  <c r="P1921" i="6"/>
  <c r="O1921" i="6"/>
  <c r="N1921" i="6"/>
  <c r="M1921" i="6"/>
  <c r="B1921" i="6"/>
  <c r="AE1920" i="6"/>
  <c r="AD1920" i="6"/>
  <c r="W1920" i="6"/>
  <c r="V1920" i="6"/>
  <c r="U1920" i="6"/>
  <c r="T1920" i="6"/>
  <c r="S1920" i="6"/>
  <c r="P1920" i="6"/>
  <c r="O1920" i="6"/>
  <c r="N1920" i="6"/>
  <c r="M1920" i="6"/>
  <c r="B1920" i="6"/>
  <c r="AE1919" i="6"/>
  <c r="AD1919" i="6"/>
  <c r="W1919" i="6"/>
  <c r="T1919" i="6"/>
  <c r="V1919" i="6" s="1"/>
  <c r="S1919" i="6"/>
  <c r="P1919" i="6"/>
  <c r="O1919" i="6"/>
  <c r="N1919" i="6"/>
  <c r="M1919" i="6"/>
  <c r="B1919" i="6"/>
  <c r="AE1918" i="6"/>
  <c r="AD1918" i="6"/>
  <c r="W1918" i="6"/>
  <c r="T1918" i="6"/>
  <c r="S1918" i="6"/>
  <c r="P1918" i="6"/>
  <c r="O1918" i="6"/>
  <c r="N1918" i="6"/>
  <c r="M1918" i="6"/>
  <c r="B1918" i="6"/>
  <c r="AE1917" i="6"/>
  <c r="AD1917" i="6"/>
  <c r="W1917" i="6"/>
  <c r="V1917" i="6"/>
  <c r="U1917" i="6"/>
  <c r="T1917" i="6"/>
  <c r="S1917" i="6"/>
  <c r="P1917" i="6"/>
  <c r="O1917" i="6"/>
  <c r="N1917" i="6"/>
  <c r="M1917" i="6"/>
  <c r="B1917" i="6"/>
  <c r="AE1916" i="6"/>
  <c r="AD1916" i="6"/>
  <c r="W1916" i="6"/>
  <c r="U1916" i="6"/>
  <c r="T1916" i="6"/>
  <c r="V1916" i="6" s="1"/>
  <c r="S1916" i="6"/>
  <c r="P1916" i="6"/>
  <c r="O1916" i="6"/>
  <c r="N1916" i="6"/>
  <c r="M1916" i="6"/>
  <c r="B1916" i="6"/>
  <c r="AE1915" i="6"/>
  <c r="AD1915" i="6"/>
  <c r="W1915" i="6"/>
  <c r="V1915" i="6"/>
  <c r="U1915" i="6"/>
  <c r="T1915" i="6"/>
  <c r="S1915" i="6"/>
  <c r="P1915" i="6"/>
  <c r="O1915" i="6"/>
  <c r="N1915" i="6"/>
  <c r="M1915" i="6"/>
  <c r="B1915" i="6"/>
  <c r="AE1914" i="6"/>
  <c r="AD1914" i="6"/>
  <c r="W1914" i="6"/>
  <c r="T1914" i="6"/>
  <c r="V1914" i="6" s="1"/>
  <c r="S1914" i="6"/>
  <c r="P1914" i="6"/>
  <c r="O1914" i="6"/>
  <c r="N1914" i="6"/>
  <c r="M1914" i="6"/>
  <c r="B1914" i="6"/>
  <c r="AE1913" i="6"/>
  <c r="AD1913" i="6"/>
  <c r="W1913" i="6"/>
  <c r="T1913" i="6"/>
  <c r="V1913" i="6" s="1"/>
  <c r="S1913" i="6"/>
  <c r="P1913" i="6"/>
  <c r="O1913" i="6"/>
  <c r="N1913" i="6"/>
  <c r="M1913" i="6"/>
  <c r="B1913" i="6"/>
  <c r="AE1912" i="6"/>
  <c r="AD1912" i="6"/>
  <c r="W1912" i="6"/>
  <c r="T1912" i="6"/>
  <c r="V1912" i="6" s="1"/>
  <c r="S1912" i="6"/>
  <c r="P1912" i="6"/>
  <c r="O1912" i="6"/>
  <c r="N1912" i="6"/>
  <c r="M1912" i="6"/>
  <c r="B1912" i="6"/>
  <c r="AE1911" i="6"/>
  <c r="AD1911" i="6"/>
  <c r="W1911" i="6"/>
  <c r="V1911" i="6"/>
  <c r="U1911" i="6"/>
  <c r="T1911" i="6"/>
  <c r="S1911" i="6"/>
  <c r="P1911" i="6"/>
  <c r="O1911" i="6"/>
  <c r="N1911" i="6"/>
  <c r="M1911" i="6"/>
  <c r="B1911" i="6"/>
  <c r="AE1910" i="6"/>
  <c r="AD1910" i="6"/>
  <c r="W1910" i="6"/>
  <c r="V1910" i="6"/>
  <c r="U1910" i="6"/>
  <c r="T1910" i="6"/>
  <c r="S1910" i="6"/>
  <c r="P1910" i="6"/>
  <c r="O1910" i="6"/>
  <c r="N1910" i="6"/>
  <c r="M1910" i="6"/>
  <c r="B1910" i="6"/>
  <c r="AE1909" i="6"/>
  <c r="AD1909" i="6"/>
  <c r="W1909" i="6"/>
  <c r="T1909" i="6"/>
  <c r="V1909" i="6" s="1"/>
  <c r="S1909" i="6"/>
  <c r="P1909" i="6"/>
  <c r="O1909" i="6"/>
  <c r="N1909" i="6"/>
  <c r="M1909" i="6"/>
  <c r="B1909" i="6"/>
  <c r="AE1908" i="6"/>
  <c r="AD1908" i="6"/>
  <c r="W1908" i="6"/>
  <c r="U1908" i="6"/>
  <c r="T1908" i="6"/>
  <c r="V1908" i="6" s="1"/>
  <c r="S1908" i="6"/>
  <c r="P1908" i="6"/>
  <c r="O1908" i="6"/>
  <c r="N1908" i="6"/>
  <c r="M1908" i="6"/>
  <c r="B1908" i="6"/>
  <c r="AE1907" i="6"/>
  <c r="AD1907" i="6"/>
  <c r="W1907" i="6"/>
  <c r="U1907" i="6"/>
  <c r="T1907" i="6"/>
  <c r="V1907" i="6" s="1"/>
  <c r="S1907" i="6"/>
  <c r="P1907" i="6"/>
  <c r="O1907" i="6"/>
  <c r="N1907" i="6"/>
  <c r="M1907" i="6"/>
  <c r="B1907" i="6"/>
  <c r="AE1906" i="6"/>
  <c r="AD1906" i="6"/>
  <c r="W1906" i="6"/>
  <c r="V1906" i="6"/>
  <c r="U1906" i="6"/>
  <c r="T1906" i="6"/>
  <c r="S1906" i="6"/>
  <c r="P1906" i="6"/>
  <c r="O1906" i="6"/>
  <c r="N1906" i="6"/>
  <c r="M1906" i="6"/>
  <c r="B1906" i="6"/>
  <c r="AE1905" i="6"/>
  <c r="AD1905" i="6"/>
  <c r="W1905" i="6"/>
  <c r="V1905" i="6"/>
  <c r="U1905" i="6"/>
  <c r="T1905" i="6"/>
  <c r="S1905" i="6"/>
  <c r="P1905" i="6"/>
  <c r="O1905" i="6"/>
  <c r="N1905" i="6"/>
  <c r="M1905" i="6"/>
  <c r="B1905" i="6"/>
  <c r="AE1904" i="6"/>
  <c r="AD1904" i="6"/>
  <c r="W1904" i="6"/>
  <c r="T1904" i="6"/>
  <c r="V1904" i="6" s="1"/>
  <c r="S1904" i="6"/>
  <c r="P1904" i="6"/>
  <c r="O1904" i="6"/>
  <c r="N1904" i="6"/>
  <c r="M1904" i="6"/>
  <c r="B1904" i="6"/>
  <c r="AE1903" i="6"/>
  <c r="AD1903" i="6"/>
  <c r="W1903" i="6"/>
  <c r="U1903" i="6"/>
  <c r="T1903" i="6"/>
  <c r="V1903" i="6" s="1"/>
  <c r="S1903" i="6"/>
  <c r="P1903" i="6"/>
  <c r="O1903" i="6"/>
  <c r="N1903" i="6"/>
  <c r="M1903" i="6"/>
  <c r="B1903" i="6"/>
  <c r="AE1902" i="6"/>
  <c r="AD1902" i="6"/>
  <c r="W1902" i="6"/>
  <c r="T1902" i="6"/>
  <c r="U1902" i="6" s="1"/>
  <c r="S1902" i="6"/>
  <c r="P1902" i="6"/>
  <c r="O1902" i="6"/>
  <c r="N1902" i="6"/>
  <c r="M1902" i="6"/>
  <c r="B1902" i="6"/>
  <c r="AE1901" i="6"/>
  <c r="AD1901" i="6"/>
  <c r="W1901" i="6"/>
  <c r="T1901" i="6"/>
  <c r="V1901" i="6" s="1"/>
  <c r="S1901" i="6"/>
  <c r="P1901" i="6"/>
  <c r="O1901" i="6"/>
  <c r="N1901" i="6"/>
  <c r="M1901" i="6"/>
  <c r="B1901" i="6"/>
  <c r="AE1900" i="6"/>
  <c r="AD1900" i="6"/>
  <c r="W1900" i="6"/>
  <c r="V1900" i="6"/>
  <c r="U1900" i="6"/>
  <c r="T1900" i="6"/>
  <c r="S1900" i="6"/>
  <c r="P1900" i="6"/>
  <c r="O1900" i="6"/>
  <c r="N1900" i="6"/>
  <c r="M1900" i="6"/>
  <c r="B1900" i="6"/>
  <c r="AE1899" i="6"/>
  <c r="AD1899" i="6"/>
  <c r="W1899" i="6"/>
  <c r="T1899" i="6"/>
  <c r="V1899" i="6" s="1"/>
  <c r="S1899" i="6"/>
  <c r="P1899" i="6"/>
  <c r="O1899" i="6"/>
  <c r="N1899" i="6"/>
  <c r="M1899" i="6"/>
  <c r="B1899" i="6"/>
  <c r="AE1898" i="6"/>
  <c r="AD1898" i="6"/>
  <c r="W1898" i="6"/>
  <c r="U1898" i="6"/>
  <c r="T1898" i="6"/>
  <c r="V1898" i="6" s="1"/>
  <c r="S1898" i="6"/>
  <c r="P1898" i="6"/>
  <c r="O1898" i="6"/>
  <c r="N1898" i="6"/>
  <c r="M1898" i="6"/>
  <c r="B1898" i="6"/>
  <c r="AE1897" i="6"/>
  <c r="AD1897" i="6"/>
  <c r="W1897" i="6"/>
  <c r="T1897" i="6"/>
  <c r="S1897" i="6"/>
  <c r="P1897" i="6"/>
  <c r="O1897" i="6"/>
  <c r="N1897" i="6"/>
  <c r="M1897" i="6"/>
  <c r="B1897" i="6"/>
  <c r="AE1896" i="6"/>
  <c r="AD1896" i="6"/>
  <c r="W1896" i="6"/>
  <c r="V1896" i="6"/>
  <c r="U1896" i="6"/>
  <c r="T1896" i="6"/>
  <c r="S1896" i="6"/>
  <c r="P1896" i="6"/>
  <c r="O1896" i="6"/>
  <c r="N1896" i="6"/>
  <c r="M1896" i="6"/>
  <c r="B1896" i="6"/>
  <c r="AE1895" i="6"/>
  <c r="AD1895" i="6"/>
  <c r="W1895" i="6"/>
  <c r="V1895" i="6"/>
  <c r="U1895" i="6"/>
  <c r="T1895" i="6"/>
  <c r="S1895" i="6"/>
  <c r="P1895" i="6"/>
  <c r="O1895" i="6"/>
  <c r="N1895" i="6"/>
  <c r="M1895" i="6"/>
  <c r="B1895" i="6"/>
  <c r="AE1894" i="6"/>
  <c r="AD1894" i="6"/>
  <c r="W1894" i="6"/>
  <c r="T1894" i="6"/>
  <c r="V1894" i="6" s="1"/>
  <c r="S1894" i="6"/>
  <c r="P1894" i="6"/>
  <c r="O1894" i="6"/>
  <c r="N1894" i="6"/>
  <c r="M1894" i="6"/>
  <c r="B1894" i="6"/>
  <c r="AE1893" i="6"/>
  <c r="AD1893" i="6"/>
  <c r="W1893" i="6"/>
  <c r="T1893" i="6"/>
  <c r="S1893" i="6"/>
  <c r="P1893" i="6"/>
  <c r="O1893" i="6"/>
  <c r="N1893" i="6"/>
  <c r="M1893" i="6"/>
  <c r="B1893" i="6"/>
  <c r="AE1892" i="6"/>
  <c r="AD1892" i="6"/>
  <c r="W1892" i="6"/>
  <c r="V1892" i="6"/>
  <c r="T1892" i="6"/>
  <c r="U1892" i="6" s="1"/>
  <c r="S1892" i="6"/>
  <c r="P1892" i="6"/>
  <c r="O1892" i="6"/>
  <c r="N1892" i="6"/>
  <c r="M1892" i="6"/>
  <c r="B1892" i="6"/>
  <c r="AE1891" i="6"/>
  <c r="AD1891" i="6"/>
  <c r="W1891" i="6"/>
  <c r="V1891" i="6"/>
  <c r="T1891" i="6"/>
  <c r="U1891" i="6" s="1"/>
  <c r="S1891" i="6"/>
  <c r="P1891" i="6"/>
  <c r="O1891" i="6"/>
  <c r="N1891" i="6"/>
  <c r="M1891" i="6"/>
  <c r="B1891" i="6"/>
  <c r="AE1890" i="6"/>
  <c r="AD1890" i="6"/>
  <c r="W1890" i="6"/>
  <c r="V1890" i="6"/>
  <c r="U1890" i="6"/>
  <c r="T1890" i="6"/>
  <c r="S1890" i="6"/>
  <c r="P1890" i="6"/>
  <c r="O1890" i="6"/>
  <c r="N1890" i="6"/>
  <c r="M1890" i="6"/>
  <c r="B1890" i="6"/>
  <c r="AE1889" i="6"/>
  <c r="AD1889" i="6"/>
  <c r="W1889" i="6"/>
  <c r="T1889" i="6"/>
  <c r="V1889" i="6" s="1"/>
  <c r="S1889" i="6"/>
  <c r="P1889" i="6"/>
  <c r="O1889" i="6"/>
  <c r="N1889" i="6"/>
  <c r="M1889" i="6"/>
  <c r="B1889" i="6"/>
  <c r="AE1888" i="6"/>
  <c r="AD1888" i="6"/>
  <c r="W1888" i="6"/>
  <c r="U1888" i="6"/>
  <c r="T1888" i="6"/>
  <c r="V1888" i="6" s="1"/>
  <c r="S1888" i="6"/>
  <c r="P1888" i="6"/>
  <c r="O1888" i="6"/>
  <c r="N1888" i="6"/>
  <c r="M1888" i="6"/>
  <c r="B1888" i="6"/>
  <c r="AE1887" i="6"/>
  <c r="AD1887" i="6"/>
  <c r="W1887" i="6"/>
  <c r="U1887" i="6"/>
  <c r="T1887" i="6"/>
  <c r="V1887" i="6" s="1"/>
  <c r="S1887" i="6"/>
  <c r="P1887" i="6"/>
  <c r="O1887" i="6"/>
  <c r="N1887" i="6"/>
  <c r="M1887" i="6"/>
  <c r="B1887" i="6"/>
  <c r="AE1886" i="6"/>
  <c r="AD1886" i="6"/>
  <c r="W1886" i="6"/>
  <c r="U1886" i="6"/>
  <c r="T1886" i="6"/>
  <c r="V1886" i="6" s="1"/>
  <c r="S1886" i="6"/>
  <c r="P1886" i="6"/>
  <c r="O1886" i="6"/>
  <c r="N1886" i="6"/>
  <c r="M1886" i="6"/>
  <c r="B1886" i="6"/>
  <c r="AE1885" i="6"/>
  <c r="AD1885" i="6"/>
  <c r="W1885" i="6"/>
  <c r="V1885" i="6"/>
  <c r="U1885" i="6"/>
  <c r="T1885" i="6"/>
  <c r="S1885" i="6"/>
  <c r="P1885" i="6"/>
  <c r="O1885" i="6"/>
  <c r="N1885" i="6"/>
  <c r="M1885" i="6"/>
  <c r="B1885" i="6"/>
  <c r="AE1884" i="6"/>
  <c r="AD1884" i="6"/>
  <c r="W1884" i="6"/>
  <c r="T1884" i="6"/>
  <c r="V1884" i="6" s="1"/>
  <c r="S1884" i="6"/>
  <c r="P1884" i="6"/>
  <c r="O1884" i="6"/>
  <c r="N1884" i="6"/>
  <c r="M1884" i="6"/>
  <c r="B1884" i="6"/>
  <c r="AE1883" i="6"/>
  <c r="AD1883" i="6"/>
  <c r="W1883" i="6"/>
  <c r="T1883" i="6"/>
  <c r="V1883" i="6" s="1"/>
  <c r="S1883" i="6"/>
  <c r="P1883" i="6"/>
  <c r="O1883" i="6"/>
  <c r="N1883" i="6"/>
  <c r="M1883" i="6"/>
  <c r="B1883" i="6"/>
  <c r="AE1882" i="6"/>
  <c r="AD1882" i="6"/>
  <c r="W1882" i="6"/>
  <c r="V1882" i="6"/>
  <c r="U1882" i="6"/>
  <c r="T1882" i="6"/>
  <c r="S1882" i="6"/>
  <c r="P1882" i="6"/>
  <c r="O1882" i="6"/>
  <c r="N1882" i="6"/>
  <c r="M1882" i="6"/>
  <c r="B1882" i="6"/>
  <c r="AE1881" i="6"/>
  <c r="AD1881" i="6"/>
  <c r="W1881" i="6"/>
  <c r="T1881" i="6"/>
  <c r="U1881" i="6" s="1"/>
  <c r="S1881" i="6"/>
  <c r="P1881" i="6"/>
  <c r="O1881" i="6"/>
  <c r="N1881" i="6"/>
  <c r="M1881" i="6"/>
  <c r="B1881" i="6"/>
  <c r="AE1880" i="6"/>
  <c r="AD1880" i="6"/>
  <c r="W1880" i="6"/>
  <c r="V1880" i="6"/>
  <c r="U1880" i="6"/>
  <c r="T1880" i="6"/>
  <c r="S1880" i="6"/>
  <c r="P1880" i="6"/>
  <c r="O1880" i="6"/>
  <c r="N1880" i="6"/>
  <c r="M1880" i="6"/>
  <c r="B1880" i="6"/>
  <c r="AE1879" i="6"/>
  <c r="AD1879" i="6"/>
  <c r="W1879" i="6"/>
  <c r="T1879" i="6"/>
  <c r="V1879" i="6" s="1"/>
  <c r="S1879" i="6"/>
  <c r="P1879" i="6"/>
  <c r="O1879" i="6"/>
  <c r="N1879" i="6"/>
  <c r="M1879" i="6"/>
  <c r="B1879" i="6"/>
  <c r="AE1878" i="6"/>
  <c r="AD1878" i="6"/>
  <c r="W1878" i="6"/>
  <c r="U1878" i="6"/>
  <c r="T1878" i="6"/>
  <c r="V1878" i="6" s="1"/>
  <c r="S1878" i="6"/>
  <c r="P1878" i="6"/>
  <c r="O1878" i="6"/>
  <c r="N1878" i="6"/>
  <c r="M1878" i="6"/>
  <c r="B1878" i="6"/>
  <c r="AE1877" i="6"/>
  <c r="AD1877" i="6"/>
  <c r="W1877" i="6"/>
  <c r="V1877" i="6"/>
  <c r="U1877" i="6"/>
  <c r="T1877" i="6"/>
  <c r="S1877" i="6"/>
  <c r="P1877" i="6"/>
  <c r="O1877" i="6"/>
  <c r="N1877" i="6"/>
  <c r="M1877" i="6"/>
  <c r="B1877" i="6"/>
  <c r="AE1876" i="6"/>
  <c r="AD1876" i="6"/>
  <c r="W1876" i="6"/>
  <c r="T1876" i="6"/>
  <c r="S1876" i="6"/>
  <c r="P1876" i="6"/>
  <c r="O1876" i="6"/>
  <c r="N1876" i="6"/>
  <c r="M1876" i="6"/>
  <c r="B1876" i="6"/>
  <c r="AE1875" i="6"/>
  <c r="AD1875" i="6"/>
  <c r="W1875" i="6"/>
  <c r="V1875" i="6"/>
  <c r="U1875" i="6"/>
  <c r="T1875" i="6"/>
  <c r="S1875" i="6"/>
  <c r="P1875" i="6"/>
  <c r="O1875" i="6"/>
  <c r="N1875" i="6"/>
  <c r="M1875" i="6"/>
  <c r="B1875" i="6"/>
  <c r="AE1874" i="6"/>
  <c r="AD1874" i="6"/>
  <c r="W1874" i="6"/>
  <c r="T1874" i="6"/>
  <c r="V1874" i="6" s="1"/>
  <c r="S1874" i="6"/>
  <c r="P1874" i="6"/>
  <c r="O1874" i="6"/>
  <c r="N1874" i="6"/>
  <c r="M1874" i="6"/>
  <c r="B1874" i="6"/>
  <c r="AE1873" i="6"/>
  <c r="AD1873" i="6"/>
  <c r="W1873" i="6"/>
  <c r="T1873" i="6"/>
  <c r="V1873" i="6" s="1"/>
  <c r="S1873" i="6"/>
  <c r="P1873" i="6"/>
  <c r="O1873" i="6"/>
  <c r="N1873" i="6"/>
  <c r="M1873" i="6"/>
  <c r="B1873" i="6"/>
  <c r="AE1872" i="6"/>
  <c r="AD1872" i="6"/>
  <c r="W1872" i="6"/>
  <c r="T1872" i="6"/>
  <c r="S1872" i="6"/>
  <c r="P1872" i="6"/>
  <c r="O1872" i="6"/>
  <c r="N1872" i="6"/>
  <c r="M1872" i="6"/>
  <c r="B1872" i="6"/>
  <c r="AE1871" i="6"/>
  <c r="AD1871" i="6"/>
  <c r="W1871" i="6"/>
  <c r="V1871" i="6"/>
  <c r="T1871" i="6"/>
  <c r="U1871" i="6" s="1"/>
  <c r="S1871" i="6"/>
  <c r="P1871" i="6"/>
  <c r="O1871" i="6"/>
  <c r="N1871" i="6"/>
  <c r="M1871" i="6"/>
  <c r="B1871" i="6"/>
  <c r="AE1870" i="6"/>
  <c r="AD1870" i="6"/>
  <c r="W1870" i="6"/>
  <c r="V1870" i="6"/>
  <c r="U1870" i="6"/>
  <c r="T1870" i="6"/>
  <c r="S1870" i="6"/>
  <c r="P1870" i="6"/>
  <c r="O1870" i="6"/>
  <c r="N1870" i="6"/>
  <c r="M1870" i="6"/>
  <c r="B1870" i="6"/>
  <c r="AE1869" i="6"/>
  <c r="AD1869" i="6"/>
  <c r="W1869" i="6"/>
  <c r="T1869" i="6"/>
  <c r="V1869" i="6" s="1"/>
  <c r="S1869" i="6"/>
  <c r="P1869" i="6"/>
  <c r="O1869" i="6"/>
  <c r="N1869" i="6"/>
  <c r="M1869" i="6"/>
  <c r="B1869" i="6"/>
  <c r="AE1868" i="6"/>
  <c r="AD1868" i="6"/>
  <c r="W1868" i="6"/>
  <c r="T1868" i="6"/>
  <c r="S1868" i="6"/>
  <c r="P1868" i="6"/>
  <c r="O1868" i="6"/>
  <c r="N1868" i="6"/>
  <c r="M1868" i="6"/>
  <c r="B1868" i="6"/>
  <c r="AE1867" i="6"/>
  <c r="AD1867" i="6"/>
  <c r="W1867" i="6"/>
  <c r="V1867" i="6"/>
  <c r="U1867" i="6"/>
  <c r="T1867" i="6"/>
  <c r="S1867" i="6"/>
  <c r="P1867" i="6"/>
  <c r="O1867" i="6"/>
  <c r="N1867" i="6"/>
  <c r="M1867" i="6"/>
  <c r="B1867" i="6"/>
  <c r="AE1866" i="6"/>
  <c r="AD1866" i="6"/>
  <c r="W1866" i="6"/>
  <c r="U1866" i="6"/>
  <c r="T1866" i="6"/>
  <c r="V1866" i="6" s="1"/>
  <c r="S1866" i="6"/>
  <c r="P1866" i="6"/>
  <c r="O1866" i="6"/>
  <c r="N1866" i="6"/>
  <c r="M1866" i="6"/>
  <c r="B1866" i="6"/>
  <c r="AE1865" i="6"/>
  <c r="AD1865" i="6"/>
  <c r="W1865" i="6"/>
  <c r="V1865" i="6"/>
  <c r="U1865" i="6"/>
  <c r="T1865" i="6"/>
  <c r="S1865" i="6"/>
  <c r="P1865" i="6"/>
  <c r="O1865" i="6"/>
  <c r="N1865" i="6"/>
  <c r="M1865" i="6"/>
  <c r="B1865" i="6"/>
  <c r="AE1864" i="6"/>
  <c r="AD1864" i="6"/>
  <c r="W1864" i="6"/>
  <c r="T1864" i="6"/>
  <c r="V1864" i="6" s="1"/>
  <c r="S1864" i="6"/>
  <c r="P1864" i="6"/>
  <c r="O1864" i="6"/>
  <c r="N1864" i="6"/>
  <c r="M1864" i="6"/>
  <c r="B1864" i="6"/>
  <c r="AE1863" i="6"/>
  <c r="AD1863" i="6"/>
  <c r="W1863" i="6"/>
  <c r="T1863" i="6"/>
  <c r="V1863" i="6" s="1"/>
  <c r="S1863" i="6"/>
  <c r="P1863" i="6"/>
  <c r="O1863" i="6"/>
  <c r="N1863" i="6"/>
  <c r="M1863" i="6"/>
  <c r="B1863" i="6"/>
  <c r="AE1862" i="6"/>
  <c r="AD1862" i="6"/>
  <c r="W1862" i="6"/>
  <c r="V1862" i="6"/>
  <c r="T1862" i="6"/>
  <c r="U1862" i="6" s="1"/>
  <c r="S1862" i="6"/>
  <c r="P1862" i="6"/>
  <c r="O1862" i="6"/>
  <c r="N1862" i="6"/>
  <c r="M1862" i="6"/>
  <c r="B1862" i="6"/>
  <c r="AE1861" i="6"/>
  <c r="AD1861" i="6"/>
  <c r="W1861" i="6"/>
  <c r="V1861" i="6"/>
  <c r="U1861" i="6"/>
  <c r="T1861" i="6"/>
  <c r="S1861" i="6"/>
  <c r="P1861" i="6"/>
  <c r="O1861" i="6"/>
  <c r="N1861" i="6"/>
  <c r="M1861" i="6"/>
  <c r="B1861" i="6"/>
  <c r="AE1860" i="6"/>
  <c r="AD1860" i="6"/>
  <c r="W1860" i="6"/>
  <c r="V1860" i="6"/>
  <c r="U1860" i="6"/>
  <c r="T1860" i="6"/>
  <c r="S1860" i="6"/>
  <c r="P1860" i="6"/>
  <c r="O1860" i="6"/>
  <c r="N1860" i="6"/>
  <c r="M1860" i="6"/>
  <c r="B1860" i="6"/>
  <c r="AE1859" i="6"/>
  <c r="AD1859" i="6"/>
  <c r="W1859" i="6"/>
  <c r="T1859" i="6"/>
  <c r="V1859" i="6" s="1"/>
  <c r="S1859" i="6"/>
  <c r="P1859" i="6"/>
  <c r="O1859" i="6"/>
  <c r="N1859" i="6"/>
  <c r="M1859" i="6"/>
  <c r="B1859" i="6"/>
  <c r="AE1858" i="6"/>
  <c r="AD1858" i="6"/>
  <c r="W1858" i="6"/>
  <c r="U1858" i="6"/>
  <c r="T1858" i="6"/>
  <c r="V1858" i="6" s="1"/>
  <c r="S1858" i="6"/>
  <c r="P1858" i="6"/>
  <c r="O1858" i="6"/>
  <c r="N1858" i="6"/>
  <c r="M1858" i="6"/>
  <c r="B1858" i="6"/>
  <c r="AE1857" i="6"/>
  <c r="AD1857" i="6"/>
  <c r="W1857" i="6"/>
  <c r="U1857" i="6"/>
  <c r="T1857" i="6"/>
  <c r="V1857" i="6" s="1"/>
  <c r="S1857" i="6"/>
  <c r="P1857" i="6"/>
  <c r="O1857" i="6"/>
  <c r="N1857" i="6"/>
  <c r="M1857" i="6"/>
  <c r="B1857" i="6"/>
  <c r="AE1856" i="6"/>
  <c r="AD1856" i="6"/>
  <c r="W1856" i="6"/>
  <c r="V1856" i="6"/>
  <c r="U1856" i="6"/>
  <c r="T1856" i="6"/>
  <c r="S1856" i="6"/>
  <c r="P1856" i="6"/>
  <c r="O1856" i="6"/>
  <c r="N1856" i="6"/>
  <c r="M1856" i="6"/>
  <c r="B1856" i="6"/>
  <c r="AE1855" i="6"/>
  <c r="AD1855" i="6"/>
  <c r="W1855" i="6"/>
  <c r="V1855" i="6"/>
  <c r="U1855" i="6"/>
  <c r="T1855" i="6"/>
  <c r="S1855" i="6"/>
  <c r="P1855" i="6"/>
  <c r="O1855" i="6"/>
  <c r="N1855" i="6"/>
  <c r="M1855" i="6"/>
  <c r="B1855" i="6"/>
  <c r="AE1854" i="6"/>
  <c r="AD1854" i="6"/>
  <c r="W1854" i="6"/>
  <c r="T1854" i="6"/>
  <c r="V1854" i="6" s="1"/>
  <c r="S1854" i="6"/>
  <c r="P1854" i="6"/>
  <c r="O1854" i="6"/>
  <c r="N1854" i="6"/>
  <c r="M1854" i="6"/>
  <c r="B1854" i="6"/>
  <c r="AE1853" i="6"/>
  <c r="AD1853" i="6"/>
  <c r="W1853" i="6"/>
  <c r="U1853" i="6"/>
  <c r="T1853" i="6"/>
  <c r="V1853" i="6" s="1"/>
  <c r="S1853" i="6"/>
  <c r="P1853" i="6"/>
  <c r="O1853" i="6"/>
  <c r="N1853" i="6"/>
  <c r="M1853" i="6"/>
  <c r="B1853" i="6"/>
  <c r="AE1852" i="6"/>
  <c r="AD1852" i="6"/>
  <c r="W1852" i="6"/>
  <c r="T1852" i="6"/>
  <c r="U1852" i="6" s="1"/>
  <c r="S1852" i="6"/>
  <c r="P1852" i="6"/>
  <c r="O1852" i="6"/>
  <c r="N1852" i="6"/>
  <c r="M1852" i="6"/>
  <c r="B1852" i="6"/>
  <c r="AE1851" i="6"/>
  <c r="AD1851" i="6"/>
  <c r="W1851" i="6"/>
  <c r="T1851" i="6"/>
  <c r="S1851" i="6"/>
  <c r="P1851" i="6"/>
  <c r="O1851" i="6"/>
  <c r="N1851" i="6"/>
  <c r="M1851" i="6"/>
  <c r="B1851" i="6"/>
  <c r="AE1850" i="6"/>
  <c r="AD1850" i="6"/>
  <c r="W1850" i="6"/>
  <c r="V1850" i="6"/>
  <c r="U1850" i="6"/>
  <c r="T1850" i="6"/>
  <c r="S1850" i="6"/>
  <c r="P1850" i="6"/>
  <c r="O1850" i="6"/>
  <c r="N1850" i="6"/>
  <c r="M1850" i="6"/>
  <c r="B1850" i="6"/>
  <c r="AE1849" i="6"/>
  <c r="AD1849" i="6"/>
  <c r="W1849" i="6"/>
  <c r="T1849" i="6"/>
  <c r="V1849" i="6" s="1"/>
  <c r="S1849" i="6"/>
  <c r="P1849" i="6"/>
  <c r="O1849" i="6"/>
  <c r="N1849" i="6"/>
  <c r="M1849" i="6"/>
  <c r="B1849" i="6"/>
  <c r="AE1848" i="6"/>
  <c r="AD1848" i="6"/>
  <c r="W1848" i="6"/>
  <c r="U1848" i="6"/>
  <c r="T1848" i="6"/>
  <c r="V1848" i="6" s="1"/>
  <c r="S1848" i="6"/>
  <c r="P1848" i="6"/>
  <c r="O1848" i="6"/>
  <c r="N1848" i="6"/>
  <c r="M1848" i="6"/>
  <c r="B1848" i="6"/>
  <c r="AE1847" i="6"/>
  <c r="AD1847" i="6"/>
  <c r="W1847" i="6"/>
  <c r="T1847" i="6"/>
  <c r="S1847" i="6"/>
  <c r="P1847" i="6"/>
  <c r="O1847" i="6"/>
  <c r="N1847" i="6"/>
  <c r="M1847" i="6"/>
  <c r="B1847" i="6"/>
  <c r="AE1846" i="6"/>
  <c r="AD1846" i="6"/>
  <c r="W1846" i="6"/>
  <c r="V1846" i="6"/>
  <c r="U1846" i="6"/>
  <c r="T1846" i="6"/>
  <c r="S1846" i="6"/>
  <c r="P1846" i="6"/>
  <c r="O1846" i="6"/>
  <c r="N1846" i="6"/>
  <c r="M1846" i="6"/>
  <c r="B1846" i="6"/>
  <c r="AE1845" i="6"/>
  <c r="AD1845" i="6"/>
  <c r="W1845" i="6"/>
  <c r="V1845" i="6"/>
  <c r="U1845" i="6"/>
  <c r="T1845" i="6"/>
  <c r="S1845" i="6"/>
  <c r="P1845" i="6"/>
  <c r="O1845" i="6"/>
  <c r="N1845" i="6"/>
  <c r="M1845" i="6"/>
  <c r="B1845" i="6"/>
  <c r="AE1844" i="6"/>
  <c r="AD1844" i="6"/>
  <c r="W1844" i="6"/>
  <c r="T1844" i="6"/>
  <c r="V1844" i="6" s="1"/>
  <c r="S1844" i="6"/>
  <c r="P1844" i="6"/>
  <c r="O1844" i="6"/>
  <c r="N1844" i="6"/>
  <c r="M1844" i="6"/>
  <c r="B1844" i="6"/>
  <c r="AE1843" i="6"/>
  <c r="AD1843" i="6"/>
  <c r="W1843" i="6"/>
  <c r="T1843" i="6"/>
  <c r="S1843" i="6"/>
  <c r="P1843" i="6"/>
  <c r="O1843" i="6"/>
  <c r="N1843" i="6"/>
  <c r="M1843" i="6"/>
  <c r="B1843" i="6"/>
  <c r="AE1842" i="6"/>
  <c r="AD1842" i="6"/>
  <c r="W1842" i="6"/>
  <c r="V1842" i="6"/>
  <c r="T1842" i="6"/>
  <c r="U1842" i="6" s="1"/>
  <c r="S1842" i="6"/>
  <c r="P1842" i="6"/>
  <c r="O1842" i="6"/>
  <c r="N1842" i="6"/>
  <c r="M1842" i="6"/>
  <c r="B1842" i="6"/>
  <c r="AE1841" i="6"/>
  <c r="AD1841" i="6"/>
  <c r="W1841" i="6"/>
  <c r="V1841" i="6"/>
  <c r="T1841" i="6"/>
  <c r="U1841" i="6" s="1"/>
  <c r="S1841" i="6"/>
  <c r="P1841" i="6"/>
  <c r="O1841" i="6"/>
  <c r="N1841" i="6"/>
  <c r="M1841" i="6"/>
  <c r="B1841" i="6"/>
  <c r="AE1840" i="6"/>
  <c r="AD1840" i="6"/>
  <c r="W1840" i="6"/>
  <c r="V1840" i="6"/>
  <c r="U1840" i="6"/>
  <c r="T1840" i="6"/>
  <c r="S1840" i="6"/>
  <c r="P1840" i="6"/>
  <c r="O1840" i="6"/>
  <c r="N1840" i="6"/>
  <c r="M1840" i="6"/>
  <c r="B1840" i="6"/>
  <c r="AE1839" i="6"/>
  <c r="AD1839" i="6"/>
  <c r="W1839" i="6"/>
  <c r="T1839" i="6"/>
  <c r="V1839" i="6" s="1"/>
  <c r="S1839" i="6"/>
  <c r="P1839" i="6"/>
  <c r="O1839" i="6"/>
  <c r="N1839" i="6"/>
  <c r="M1839" i="6"/>
  <c r="B1839" i="6"/>
  <c r="AE1838" i="6"/>
  <c r="AD1838" i="6"/>
  <c r="W1838" i="6"/>
  <c r="U1838" i="6"/>
  <c r="T1838" i="6"/>
  <c r="V1838" i="6" s="1"/>
  <c r="S1838" i="6"/>
  <c r="P1838" i="6"/>
  <c r="O1838" i="6"/>
  <c r="N1838" i="6"/>
  <c r="M1838" i="6"/>
  <c r="B1838" i="6"/>
  <c r="AE1837" i="6"/>
  <c r="AD1837" i="6"/>
  <c r="W1837" i="6"/>
  <c r="U1837" i="6"/>
  <c r="T1837" i="6"/>
  <c r="V1837" i="6" s="1"/>
  <c r="S1837" i="6"/>
  <c r="P1837" i="6"/>
  <c r="O1837" i="6"/>
  <c r="N1837" i="6"/>
  <c r="M1837" i="6"/>
  <c r="B1837" i="6"/>
  <c r="AE1836" i="6"/>
  <c r="AD1836" i="6"/>
  <c r="W1836" i="6"/>
  <c r="U1836" i="6"/>
  <c r="T1836" i="6"/>
  <c r="V1836" i="6" s="1"/>
  <c r="S1836" i="6"/>
  <c r="P1836" i="6"/>
  <c r="O1836" i="6"/>
  <c r="N1836" i="6"/>
  <c r="M1836" i="6"/>
  <c r="B1836" i="6"/>
  <c r="AE1835" i="6"/>
  <c r="AD1835" i="6"/>
  <c r="W1835" i="6"/>
  <c r="V1835" i="6"/>
  <c r="U1835" i="6"/>
  <c r="T1835" i="6"/>
  <c r="S1835" i="6"/>
  <c r="P1835" i="6"/>
  <c r="O1835" i="6"/>
  <c r="N1835" i="6"/>
  <c r="M1835" i="6"/>
  <c r="B1835" i="6"/>
  <c r="AE1834" i="6"/>
  <c r="AD1834" i="6"/>
  <c r="W1834" i="6"/>
  <c r="T1834" i="6"/>
  <c r="V1834" i="6" s="1"/>
  <c r="S1834" i="6"/>
  <c r="P1834" i="6"/>
  <c r="O1834" i="6"/>
  <c r="N1834" i="6"/>
  <c r="M1834" i="6"/>
  <c r="B1834" i="6"/>
  <c r="AE1833" i="6"/>
  <c r="AD1833" i="6"/>
  <c r="W1833" i="6"/>
  <c r="T1833" i="6"/>
  <c r="V1833" i="6" s="1"/>
  <c r="S1833" i="6"/>
  <c r="P1833" i="6"/>
  <c r="O1833" i="6"/>
  <c r="N1833" i="6"/>
  <c r="M1833" i="6"/>
  <c r="B1833" i="6"/>
  <c r="AE1832" i="6"/>
  <c r="AD1832" i="6"/>
  <c r="W1832" i="6"/>
  <c r="V1832" i="6"/>
  <c r="U1832" i="6"/>
  <c r="T1832" i="6"/>
  <c r="S1832" i="6"/>
  <c r="P1832" i="6"/>
  <c r="O1832" i="6"/>
  <c r="N1832" i="6"/>
  <c r="M1832" i="6"/>
  <c r="B1832" i="6"/>
  <c r="AE1831" i="6"/>
  <c r="AD1831" i="6"/>
  <c r="W1831" i="6"/>
  <c r="T1831" i="6"/>
  <c r="U1831" i="6" s="1"/>
  <c r="S1831" i="6"/>
  <c r="P1831" i="6"/>
  <c r="O1831" i="6"/>
  <c r="N1831" i="6"/>
  <c r="M1831" i="6"/>
  <c r="B1831" i="6"/>
  <c r="AE1830" i="6"/>
  <c r="AD1830" i="6"/>
  <c r="W1830" i="6"/>
  <c r="V1830" i="6"/>
  <c r="U1830" i="6"/>
  <c r="T1830" i="6"/>
  <c r="S1830" i="6"/>
  <c r="P1830" i="6"/>
  <c r="O1830" i="6"/>
  <c r="N1830" i="6"/>
  <c r="M1830" i="6"/>
  <c r="B1830" i="6"/>
  <c r="AE1829" i="6"/>
  <c r="AD1829" i="6"/>
  <c r="W1829" i="6"/>
  <c r="T1829" i="6"/>
  <c r="V1829" i="6" s="1"/>
  <c r="S1829" i="6"/>
  <c r="P1829" i="6"/>
  <c r="O1829" i="6"/>
  <c r="N1829" i="6"/>
  <c r="M1829" i="6"/>
  <c r="B1829" i="6"/>
  <c r="AE1828" i="6"/>
  <c r="AD1828" i="6"/>
  <c r="W1828" i="6"/>
  <c r="V1828" i="6"/>
  <c r="T1828" i="6"/>
  <c r="U1828" i="6" s="1"/>
  <c r="S1828" i="6"/>
  <c r="P1828" i="6"/>
  <c r="O1828" i="6"/>
  <c r="N1828" i="6"/>
  <c r="M1828" i="6"/>
  <c r="B1828" i="6"/>
  <c r="AE1827" i="6"/>
  <c r="AD1827" i="6"/>
  <c r="W1827" i="6"/>
  <c r="V1827" i="6"/>
  <c r="T1827" i="6"/>
  <c r="U1827" i="6" s="1"/>
  <c r="S1827" i="6"/>
  <c r="P1827" i="6"/>
  <c r="O1827" i="6"/>
  <c r="N1827" i="6"/>
  <c r="M1827" i="6"/>
  <c r="B1827" i="6"/>
  <c r="AE1826" i="6"/>
  <c r="AD1826" i="6"/>
  <c r="W1826" i="6"/>
  <c r="V1826" i="6"/>
  <c r="U1826" i="6"/>
  <c r="T1826" i="6"/>
  <c r="S1826" i="6"/>
  <c r="P1826" i="6"/>
  <c r="O1826" i="6"/>
  <c r="N1826" i="6"/>
  <c r="M1826" i="6"/>
  <c r="B1826" i="6"/>
  <c r="AE1825" i="6"/>
  <c r="AD1825" i="6"/>
  <c r="W1825" i="6"/>
  <c r="V1825" i="6"/>
  <c r="U1825" i="6"/>
  <c r="T1825" i="6"/>
  <c r="S1825" i="6"/>
  <c r="P1825" i="6"/>
  <c r="O1825" i="6"/>
  <c r="N1825" i="6"/>
  <c r="M1825" i="6"/>
  <c r="B1825" i="6"/>
  <c r="AE1824" i="6"/>
  <c r="AD1824" i="6"/>
  <c r="W1824" i="6"/>
  <c r="T1824" i="6"/>
  <c r="S1824" i="6"/>
  <c r="P1824" i="6"/>
  <c r="O1824" i="6"/>
  <c r="N1824" i="6"/>
  <c r="M1824" i="6"/>
  <c r="B1824" i="6"/>
  <c r="AE1823" i="6"/>
  <c r="AD1823" i="6"/>
  <c r="W1823" i="6"/>
  <c r="T1823" i="6"/>
  <c r="S1823" i="6"/>
  <c r="P1823" i="6"/>
  <c r="O1823" i="6"/>
  <c r="N1823" i="6"/>
  <c r="M1823" i="6"/>
  <c r="B1823" i="6"/>
  <c r="AE1822" i="6"/>
  <c r="AD1822" i="6"/>
  <c r="W1822" i="6"/>
  <c r="V1822" i="6"/>
  <c r="T1822" i="6"/>
  <c r="U1822" i="6" s="1"/>
  <c r="S1822" i="6"/>
  <c r="P1822" i="6"/>
  <c r="O1822" i="6"/>
  <c r="N1822" i="6"/>
  <c r="M1822" i="6"/>
  <c r="B1822" i="6"/>
  <c r="AE1821" i="6"/>
  <c r="AD1821" i="6"/>
  <c r="W1821" i="6"/>
  <c r="V1821" i="6"/>
  <c r="T1821" i="6"/>
  <c r="U1821" i="6" s="1"/>
  <c r="S1821" i="6"/>
  <c r="P1821" i="6"/>
  <c r="O1821" i="6"/>
  <c r="N1821" i="6"/>
  <c r="M1821" i="6"/>
  <c r="B1821" i="6"/>
  <c r="AE1820" i="6"/>
  <c r="AD1820" i="6"/>
  <c r="W1820" i="6"/>
  <c r="V1820" i="6"/>
  <c r="U1820" i="6"/>
  <c r="T1820" i="6"/>
  <c r="S1820" i="6"/>
  <c r="P1820" i="6"/>
  <c r="O1820" i="6"/>
  <c r="N1820" i="6"/>
  <c r="M1820" i="6"/>
  <c r="B1820" i="6"/>
  <c r="AE1819" i="6"/>
  <c r="AD1819" i="6"/>
  <c r="W1819" i="6"/>
  <c r="T1819" i="6"/>
  <c r="S1819" i="6"/>
  <c r="P1819" i="6"/>
  <c r="O1819" i="6"/>
  <c r="N1819" i="6"/>
  <c r="M1819" i="6"/>
  <c r="B1819" i="6"/>
  <c r="AE1818" i="6"/>
  <c r="AD1818" i="6"/>
  <c r="W1818" i="6"/>
  <c r="T1818" i="6"/>
  <c r="U1818" i="6" s="1"/>
  <c r="S1818" i="6"/>
  <c r="P1818" i="6"/>
  <c r="O1818" i="6"/>
  <c r="N1818" i="6"/>
  <c r="M1818" i="6"/>
  <c r="B1818" i="6"/>
  <c r="AE1817" i="6"/>
  <c r="AD1817" i="6"/>
  <c r="W1817" i="6"/>
  <c r="T1817" i="6"/>
  <c r="S1817" i="6"/>
  <c r="P1817" i="6"/>
  <c r="O1817" i="6"/>
  <c r="N1817" i="6"/>
  <c r="M1817" i="6"/>
  <c r="B1817" i="6"/>
  <c r="AE1816" i="6"/>
  <c r="AD1816" i="6"/>
  <c r="W1816" i="6"/>
  <c r="V1816" i="6"/>
  <c r="T1816" i="6"/>
  <c r="U1816" i="6" s="1"/>
  <c r="S1816" i="6"/>
  <c r="P1816" i="6"/>
  <c r="O1816" i="6"/>
  <c r="N1816" i="6"/>
  <c r="M1816" i="6"/>
  <c r="B1816" i="6"/>
  <c r="AE1815" i="6"/>
  <c r="AD1815" i="6"/>
  <c r="W1815" i="6"/>
  <c r="V1815" i="6"/>
  <c r="U1815" i="6"/>
  <c r="T1815" i="6"/>
  <c r="S1815" i="6"/>
  <c r="P1815" i="6"/>
  <c r="O1815" i="6"/>
  <c r="N1815" i="6"/>
  <c r="M1815" i="6"/>
  <c r="B1815" i="6"/>
  <c r="AE1814" i="6"/>
  <c r="AD1814" i="6"/>
  <c r="W1814" i="6"/>
  <c r="T1814" i="6"/>
  <c r="S1814" i="6"/>
  <c r="P1814" i="6"/>
  <c r="O1814" i="6"/>
  <c r="N1814" i="6"/>
  <c r="M1814" i="6"/>
  <c r="B1814" i="6"/>
  <c r="AE1813" i="6"/>
  <c r="AD1813" i="6"/>
  <c r="W1813" i="6"/>
  <c r="V1813" i="6"/>
  <c r="U1813" i="6"/>
  <c r="T1813" i="6"/>
  <c r="S1813" i="6"/>
  <c r="P1813" i="6"/>
  <c r="O1813" i="6"/>
  <c r="N1813" i="6"/>
  <c r="M1813" i="6"/>
  <c r="B1813" i="6"/>
  <c r="AE1812" i="6"/>
  <c r="AD1812" i="6"/>
  <c r="W1812" i="6"/>
  <c r="T1812" i="6"/>
  <c r="U1812" i="6" s="1"/>
  <c r="S1812" i="6"/>
  <c r="P1812" i="6"/>
  <c r="O1812" i="6"/>
  <c r="N1812" i="6"/>
  <c r="M1812" i="6"/>
  <c r="B1812" i="6"/>
  <c r="AE1811" i="6"/>
  <c r="AD1811" i="6"/>
  <c r="W1811" i="6"/>
  <c r="T1811" i="6"/>
  <c r="S1811" i="6"/>
  <c r="P1811" i="6"/>
  <c r="O1811" i="6"/>
  <c r="N1811" i="6"/>
  <c r="M1811" i="6"/>
  <c r="B1811" i="6"/>
  <c r="AE1810" i="6"/>
  <c r="AD1810" i="6"/>
  <c r="W1810" i="6"/>
  <c r="V1810" i="6"/>
  <c r="U1810" i="6"/>
  <c r="T1810" i="6"/>
  <c r="S1810" i="6"/>
  <c r="P1810" i="6"/>
  <c r="O1810" i="6"/>
  <c r="N1810" i="6"/>
  <c r="M1810" i="6"/>
  <c r="B1810" i="6"/>
  <c r="AE1809" i="6"/>
  <c r="AD1809" i="6"/>
  <c r="W1809" i="6"/>
  <c r="T1809" i="6"/>
  <c r="S1809" i="6"/>
  <c r="P1809" i="6"/>
  <c r="O1809" i="6"/>
  <c r="N1809" i="6"/>
  <c r="M1809" i="6"/>
  <c r="B1809" i="6"/>
  <c r="AE1808" i="6"/>
  <c r="AD1808" i="6"/>
  <c r="W1808" i="6"/>
  <c r="T1808" i="6"/>
  <c r="V1808" i="6" s="1"/>
  <c r="S1808" i="6"/>
  <c r="P1808" i="6"/>
  <c r="O1808" i="6"/>
  <c r="N1808" i="6"/>
  <c r="M1808" i="6"/>
  <c r="B1808" i="6"/>
  <c r="AE1807" i="6"/>
  <c r="AD1807" i="6"/>
  <c r="W1807" i="6"/>
  <c r="V1807" i="6"/>
  <c r="U1807" i="6"/>
  <c r="T1807" i="6"/>
  <c r="S1807" i="6"/>
  <c r="P1807" i="6"/>
  <c r="O1807" i="6"/>
  <c r="N1807" i="6"/>
  <c r="M1807" i="6"/>
  <c r="B1807" i="6"/>
  <c r="AE1806" i="6"/>
  <c r="AD1806" i="6"/>
  <c r="W1806" i="6"/>
  <c r="T1806" i="6"/>
  <c r="U1806" i="6" s="1"/>
  <c r="S1806" i="6"/>
  <c r="P1806" i="6"/>
  <c r="O1806" i="6"/>
  <c r="N1806" i="6"/>
  <c r="M1806" i="6"/>
  <c r="B1806" i="6"/>
  <c r="AE1805" i="6"/>
  <c r="AD1805" i="6"/>
  <c r="W1805" i="6"/>
  <c r="V1805" i="6"/>
  <c r="U1805" i="6"/>
  <c r="T1805" i="6"/>
  <c r="S1805" i="6"/>
  <c r="P1805" i="6"/>
  <c r="O1805" i="6"/>
  <c r="N1805" i="6"/>
  <c r="M1805" i="6"/>
  <c r="B1805" i="6"/>
  <c r="AE1804" i="6"/>
  <c r="AD1804" i="6"/>
  <c r="W1804" i="6"/>
  <c r="T1804" i="6"/>
  <c r="S1804" i="6"/>
  <c r="P1804" i="6"/>
  <c r="O1804" i="6"/>
  <c r="N1804" i="6"/>
  <c r="M1804" i="6"/>
  <c r="B1804" i="6"/>
  <c r="AE1803" i="6"/>
  <c r="AD1803" i="6"/>
  <c r="W1803" i="6"/>
  <c r="V1803" i="6"/>
  <c r="T1803" i="6"/>
  <c r="U1803" i="6" s="1"/>
  <c r="S1803" i="6"/>
  <c r="P1803" i="6"/>
  <c r="O1803" i="6"/>
  <c r="N1803" i="6"/>
  <c r="M1803" i="6"/>
  <c r="B1803" i="6"/>
  <c r="AE1802" i="6"/>
  <c r="AD1802" i="6"/>
  <c r="W1802" i="6"/>
  <c r="T1802" i="6"/>
  <c r="V1802" i="6" s="1"/>
  <c r="S1802" i="6"/>
  <c r="P1802" i="6"/>
  <c r="O1802" i="6"/>
  <c r="N1802" i="6"/>
  <c r="M1802" i="6"/>
  <c r="B1802" i="6"/>
  <c r="AE1801" i="6"/>
  <c r="AD1801" i="6"/>
  <c r="W1801" i="6"/>
  <c r="V1801" i="6"/>
  <c r="U1801" i="6"/>
  <c r="T1801" i="6"/>
  <c r="S1801" i="6"/>
  <c r="P1801" i="6"/>
  <c r="O1801" i="6"/>
  <c r="N1801" i="6"/>
  <c r="M1801" i="6"/>
  <c r="B1801" i="6"/>
  <c r="AE1800" i="6"/>
  <c r="AD1800" i="6"/>
  <c r="W1800" i="6"/>
  <c r="V1800" i="6"/>
  <c r="U1800" i="6"/>
  <c r="T1800" i="6"/>
  <c r="S1800" i="6"/>
  <c r="P1800" i="6"/>
  <c r="O1800" i="6"/>
  <c r="N1800" i="6"/>
  <c r="M1800" i="6"/>
  <c r="B1800" i="6"/>
  <c r="AE1799" i="6"/>
  <c r="AD1799" i="6"/>
  <c r="W1799" i="6"/>
  <c r="T1799" i="6"/>
  <c r="S1799" i="6"/>
  <c r="P1799" i="6"/>
  <c r="O1799" i="6"/>
  <c r="N1799" i="6"/>
  <c r="M1799" i="6"/>
  <c r="B1799" i="6"/>
  <c r="AE1798" i="6"/>
  <c r="AD1798" i="6"/>
  <c r="W1798" i="6"/>
  <c r="T1798" i="6"/>
  <c r="S1798" i="6"/>
  <c r="P1798" i="6"/>
  <c r="O1798" i="6"/>
  <c r="N1798" i="6"/>
  <c r="M1798" i="6"/>
  <c r="B1798" i="6"/>
  <c r="AE1797" i="6"/>
  <c r="AD1797" i="6"/>
  <c r="W1797" i="6"/>
  <c r="V1797" i="6"/>
  <c r="T1797" i="6"/>
  <c r="U1797" i="6" s="1"/>
  <c r="S1797" i="6"/>
  <c r="P1797" i="6"/>
  <c r="O1797" i="6"/>
  <c r="N1797" i="6"/>
  <c r="M1797" i="6"/>
  <c r="B1797" i="6"/>
  <c r="AE1796" i="6"/>
  <c r="AD1796" i="6"/>
  <c r="W1796" i="6"/>
  <c r="T1796" i="6"/>
  <c r="V1796" i="6" s="1"/>
  <c r="S1796" i="6"/>
  <c r="P1796" i="6"/>
  <c r="O1796" i="6"/>
  <c r="N1796" i="6"/>
  <c r="M1796" i="6"/>
  <c r="B1796" i="6"/>
  <c r="AE1795" i="6"/>
  <c r="AD1795" i="6"/>
  <c r="W1795" i="6"/>
  <c r="V1795" i="6"/>
  <c r="U1795" i="6"/>
  <c r="T1795" i="6"/>
  <c r="S1795" i="6"/>
  <c r="P1795" i="6"/>
  <c r="O1795" i="6"/>
  <c r="N1795" i="6"/>
  <c r="M1795" i="6"/>
  <c r="B1795" i="6"/>
  <c r="AE1794" i="6"/>
  <c r="AD1794" i="6"/>
  <c r="W1794" i="6"/>
  <c r="T1794" i="6"/>
  <c r="S1794" i="6"/>
  <c r="P1794" i="6"/>
  <c r="O1794" i="6"/>
  <c r="N1794" i="6"/>
  <c r="M1794" i="6"/>
  <c r="B1794" i="6"/>
  <c r="AE1793" i="6"/>
  <c r="AD1793" i="6"/>
  <c r="W1793" i="6"/>
  <c r="T1793" i="6"/>
  <c r="U1793" i="6" s="1"/>
  <c r="S1793" i="6"/>
  <c r="P1793" i="6"/>
  <c r="O1793" i="6"/>
  <c r="N1793" i="6"/>
  <c r="M1793" i="6"/>
  <c r="B1793" i="6"/>
  <c r="AE1792" i="6"/>
  <c r="AD1792" i="6"/>
  <c r="W1792" i="6"/>
  <c r="T1792" i="6"/>
  <c r="S1792" i="6"/>
  <c r="P1792" i="6"/>
  <c r="O1792" i="6"/>
  <c r="N1792" i="6"/>
  <c r="M1792" i="6"/>
  <c r="B1792" i="6"/>
  <c r="AE1791" i="6"/>
  <c r="AD1791" i="6"/>
  <c r="W1791" i="6"/>
  <c r="V1791" i="6"/>
  <c r="T1791" i="6"/>
  <c r="U1791" i="6" s="1"/>
  <c r="S1791" i="6"/>
  <c r="P1791" i="6"/>
  <c r="O1791" i="6"/>
  <c r="N1791" i="6"/>
  <c r="M1791" i="6"/>
  <c r="B1791" i="6"/>
  <c r="AE1790" i="6"/>
  <c r="AD1790" i="6"/>
  <c r="W1790" i="6"/>
  <c r="V1790" i="6"/>
  <c r="U1790" i="6"/>
  <c r="T1790" i="6"/>
  <c r="S1790" i="6"/>
  <c r="P1790" i="6"/>
  <c r="O1790" i="6"/>
  <c r="N1790" i="6"/>
  <c r="M1790" i="6"/>
  <c r="B1790" i="6"/>
  <c r="AE1789" i="6"/>
  <c r="AD1789" i="6"/>
  <c r="W1789" i="6"/>
  <c r="T1789" i="6"/>
  <c r="S1789" i="6"/>
  <c r="P1789" i="6"/>
  <c r="O1789" i="6"/>
  <c r="N1789" i="6"/>
  <c r="M1789" i="6"/>
  <c r="B1789" i="6"/>
  <c r="AE1788" i="6"/>
  <c r="AD1788" i="6"/>
  <c r="W1788" i="6"/>
  <c r="V1788" i="6"/>
  <c r="U1788" i="6"/>
  <c r="T1788" i="6"/>
  <c r="S1788" i="6"/>
  <c r="P1788" i="6"/>
  <c r="O1788" i="6"/>
  <c r="N1788" i="6"/>
  <c r="M1788" i="6"/>
  <c r="B1788" i="6"/>
  <c r="AE1787" i="6"/>
  <c r="AD1787" i="6"/>
  <c r="W1787" i="6"/>
  <c r="T1787" i="6"/>
  <c r="U1787" i="6" s="1"/>
  <c r="S1787" i="6"/>
  <c r="P1787" i="6"/>
  <c r="O1787" i="6"/>
  <c r="N1787" i="6"/>
  <c r="M1787" i="6"/>
  <c r="B1787" i="6"/>
  <c r="AE1786" i="6"/>
  <c r="AD1786" i="6"/>
  <c r="W1786" i="6"/>
  <c r="T1786" i="6"/>
  <c r="S1786" i="6"/>
  <c r="P1786" i="6"/>
  <c r="O1786" i="6"/>
  <c r="N1786" i="6"/>
  <c r="M1786" i="6"/>
  <c r="B1786" i="6"/>
  <c r="AE1785" i="6"/>
  <c r="AD1785" i="6"/>
  <c r="W1785" i="6"/>
  <c r="V1785" i="6"/>
  <c r="U1785" i="6"/>
  <c r="T1785" i="6"/>
  <c r="S1785" i="6"/>
  <c r="P1785" i="6"/>
  <c r="O1785" i="6"/>
  <c r="N1785" i="6"/>
  <c r="M1785" i="6"/>
  <c r="B1785" i="6"/>
  <c r="AE1784" i="6"/>
  <c r="AD1784" i="6"/>
  <c r="W1784" i="6"/>
  <c r="T1784" i="6"/>
  <c r="S1784" i="6"/>
  <c r="P1784" i="6"/>
  <c r="O1784" i="6"/>
  <c r="N1784" i="6"/>
  <c r="M1784" i="6"/>
  <c r="B1784" i="6"/>
  <c r="AE1783" i="6"/>
  <c r="AD1783" i="6"/>
  <c r="W1783" i="6"/>
  <c r="T1783" i="6"/>
  <c r="V1783" i="6" s="1"/>
  <c r="S1783" i="6"/>
  <c r="P1783" i="6"/>
  <c r="O1783" i="6"/>
  <c r="N1783" i="6"/>
  <c r="M1783" i="6"/>
  <c r="B1783" i="6"/>
  <c r="AE1782" i="6"/>
  <c r="AD1782" i="6"/>
  <c r="W1782" i="6"/>
  <c r="V1782" i="6"/>
  <c r="U1782" i="6"/>
  <c r="T1782" i="6"/>
  <c r="S1782" i="6"/>
  <c r="P1782" i="6"/>
  <c r="O1782" i="6"/>
  <c r="N1782" i="6"/>
  <c r="M1782" i="6"/>
  <c r="B1782" i="6"/>
  <c r="AE1781" i="6"/>
  <c r="AD1781" i="6"/>
  <c r="W1781" i="6"/>
  <c r="T1781" i="6"/>
  <c r="U1781" i="6" s="1"/>
  <c r="S1781" i="6"/>
  <c r="P1781" i="6"/>
  <c r="O1781" i="6"/>
  <c r="N1781" i="6"/>
  <c r="M1781" i="6"/>
  <c r="B1781" i="6"/>
  <c r="AE1780" i="6"/>
  <c r="AD1780" i="6"/>
  <c r="W1780" i="6"/>
  <c r="V1780" i="6"/>
  <c r="U1780" i="6"/>
  <c r="T1780" i="6"/>
  <c r="S1780" i="6"/>
  <c r="P1780" i="6"/>
  <c r="O1780" i="6"/>
  <c r="N1780" i="6"/>
  <c r="M1780" i="6"/>
  <c r="B1780" i="6"/>
  <c r="AE1779" i="6"/>
  <c r="AD1779" i="6"/>
  <c r="W1779" i="6"/>
  <c r="T1779" i="6"/>
  <c r="S1779" i="6"/>
  <c r="P1779" i="6"/>
  <c r="O1779" i="6"/>
  <c r="N1779" i="6"/>
  <c r="M1779" i="6"/>
  <c r="B1779" i="6"/>
  <c r="AE1778" i="6"/>
  <c r="AD1778" i="6"/>
  <c r="W1778" i="6"/>
  <c r="V1778" i="6"/>
  <c r="T1778" i="6"/>
  <c r="U1778" i="6" s="1"/>
  <c r="S1778" i="6"/>
  <c r="P1778" i="6"/>
  <c r="O1778" i="6"/>
  <c r="N1778" i="6"/>
  <c r="M1778" i="6"/>
  <c r="B1778" i="6"/>
  <c r="AE1777" i="6"/>
  <c r="AD1777" i="6"/>
  <c r="W1777" i="6"/>
  <c r="T1777" i="6"/>
  <c r="V1777" i="6" s="1"/>
  <c r="S1777" i="6"/>
  <c r="P1777" i="6"/>
  <c r="O1777" i="6"/>
  <c r="N1777" i="6"/>
  <c r="M1777" i="6"/>
  <c r="B1777" i="6"/>
  <c r="AE1776" i="6"/>
  <c r="AD1776" i="6"/>
  <c r="W1776" i="6"/>
  <c r="V1776" i="6"/>
  <c r="U1776" i="6"/>
  <c r="T1776" i="6"/>
  <c r="S1776" i="6"/>
  <c r="P1776" i="6"/>
  <c r="O1776" i="6"/>
  <c r="N1776" i="6"/>
  <c r="M1776" i="6"/>
  <c r="B1776" i="6"/>
  <c r="AE1775" i="6"/>
  <c r="AD1775" i="6"/>
  <c r="W1775" i="6"/>
  <c r="V1775" i="6"/>
  <c r="U1775" i="6"/>
  <c r="T1775" i="6"/>
  <c r="S1775" i="6"/>
  <c r="P1775" i="6"/>
  <c r="O1775" i="6"/>
  <c r="N1775" i="6"/>
  <c r="M1775" i="6"/>
  <c r="B1775" i="6"/>
  <c r="AE1774" i="6"/>
  <c r="AD1774" i="6"/>
  <c r="W1774" i="6"/>
  <c r="T1774" i="6"/>
  <c r="S1774" i="6"/>
  <c r="P1774" i="6"/>
  <c r="O1774" i="6"/>
  <c r="N1774" i="6"/>
  <c r="M1774" i="6"/>
  <c r="B1774" i="6"/>
  <c r="AE1773" i="6"/>
  <c r="AD1773" i="6"/>
  <c r="W1773" i="6"/>
  <c r="T1773" i="6"/>
  <c r="S1773" i="6"/>
  <c r="P1773" i="6"/>
  <c r="O1773" i="6"/>
  <c r="N1773" i="6"/>
  <c r="M1773" i="6"/>
  <c r="B1773" i="6"/>
  <c r="AE1772" i="6"/>
  <c r="AD1772" i="6"/>
  <c r="W1772" i="6"/>
  <c r="V1772" i="6"/>
  <c r="T1772" i="6"/>
  <c r="U1772" i="6" s="1"/>
  <c r="S1772" i="6"/>
  <c r="P1772" i="6"/>
  <c r="O1772" i="6"/>
  <c r="N1772" i="6"/>
  <c r="M1772" i="6"/>
  <c r="B1772" i="6"/>
  <c r="AE1771" i="6"/>
  <c r="AD1771" i="6"/>
  <c r="W1771" i="6"/>
  <c r="T1771" i="6"/>
  <c r="V1771" i="6" s="1"/>
  <c r="S1771" i="6"/>
  <c r="P1771" i="6"/>
  <c r="O1771" i="6"/>
  <c r="N1771" i="6"/>
  <c r="M1771" i="6"/>
  <c r="B1771" i="6"/>
  <c r="AE1770" i="6"/>
  <c r="AD1770" i="6"/>
  <c r="W1770" i="6"/>
  <c r="V1770" i="6"/>
  <c r="U1770" i="6"/>
  <c r="T1770" i="6"/>
  <c r="S1770" i="6"/>
  <c r="P1770" i="6"/>
  <c r="O1770" i="6"/>
  <c r="N1770" i="6"/>
  <c r="M1770" i="6"/>
  <c r="B1770" i="6"/>
  <c r="AE1769" i="6"/>
  <c r="AD1769" i="6"/>
  <c r="W1769" i="6"/>
  <c r="T1769" i="6"/>
  <c r="S1769" i="6"/>
  <c r="P1769" i="6"/>
  <c r="O1769" i="6"/>
  <c r="N1769" i="6"/>
  <c r="M1769" i="6"/>
  <c r="B1769" i="6"/>
  <c r="AE1768" i="6"/>
  <c r="AD1768" i="6"/>
  <c r="W1768" i="6"/>
  <c r="T1768" i="6"/>
  <c r="U1768" i="6" s="1"/>
  <c r="S1768" i="6"/>
  <c r="P1768" i="6"/>
  <c r="O1768" i="6"/>
  <c r="N1768" i="6"/>
  <c r="M1768" i="6"/>
  <c r="B1768" i="6"/>
  <c r="AE1767" i="6"/>
  <c r="AD1767" i="6"/>
  <c r="W1767" i="6"/>
  <c r="T1767" i="6"/>
  <c r="S1767" i="6"/>
  <c r="P1767" i="6"/>
  <c r="O1767" i="6"/>
  <c r="N1767" i="6"/>
  <c r="M1767" i="6"/>
  <c r="B1767" i="6"/>
  <c r="AE1766" i="6"/>
  <c r="AD1766" i="6"/>
  <c r="W1766" i="6"/>
  <c r="V1766" i="6"/>
  <c r="T1766" i="6"/>
  <c r="U1766" i="6" s="1"/>
  <c r="S1766" i="6"/>
  <c r="P1766" i="6"/>
  <c r="O1766" i="6"/>
  <c r="N1766" i="6"/>
  <c r="M1766" i="6"/>
  <c r="B1766" i="6"/>
  <c r="AE1765" i="6"/>
  <c r="AD1765" i="6"/>
  <c r="W1765" i="6"/>
  <c r="V1765" i="6"/>
  <c r="U1765" i="6"/>
  <c r="T1765" i="6"/>
  <c r="S1765" i="6"/>
  <c r="P1765" i="6"/>
  <c r="O1765" i="6"/>
  <c r="N1765" i="6"/>
  <c r="M1765" i="6"/>
  <c r="B1765" i="6"/>
  <c r="AE1764" i="6"/>
  <c r="AD1764" i="6"/>
  <c r="W1764" i="6"/>
  <c r="T1764" i="6"/>
  <c r="S1764" i="6"/>
  <c r="P1764" i="6"/>
  <c r="O1764" i="6"/>
  <c r="N1764" i="6"/>
  <c r="M1764" i="6"/>
  <c r="B1764" i="6"/>
  <c r="AE1763" i="6"/>
  <c r="AD1763" i="6"/>
  <c r="W1763" i="6"/>
  <c r="V1763" i="6"/>
  <c r="U1763" i="6"/>
  <c r="T1763" i="6"/>
  <c r="S1763" i="6"/>
  <c r="P1763" i="6"/>
  <c r="O1763" i="6"/>
  <c r="N1763" i="6"/>
  <c r="M1763" i="6"/>
  <c r="B1763" i="6"/>
  <c r="AE1762" i="6"/>
  <c r="AD1762" i="6"/>
  <c r="W1762" i="6"/>
  <c r="T1762" i="6"/>
  <c r="U1762" i="6" s="1"/>
  <c r="S1762" i="6"/>
  <c r="P1762" i="6"/>
  <c r="O1762" i="6"/>
  <c r="N1762" i="6"/>
  <c r="M1762" i="6"/>
  <c r="B1762" i="6"/>
  <c r="AE1761" i="6"/>
  <c r="AD1761" i="6"/>
  <c r="W1761" i="6"/>
  <c r="T1761" i="6"/>
  <c r="S1761" i="6"/>
  <c r="P1761" i="6"/>
  <c r="O1761" i="6"/>
  <c r="N1761" i="6"/>
  <c r="M1761" i="6"/>
  <c r="B1761" i="6"/>
  <c r="AE1760" i="6"/>
  <c r="AD1760" i="6"/>
  <c r="W1760" i="6"/>
  <c r="V1760" i="6"/>
  <c r="U1760" i="6"/>
  <c r="T1760" i="6"/>
  <c r="S1760" i="6"/>
  <c r="P1760" i="6"/>
  <c r="O1760" i="6"/>
  <c r="N1760" i="6"/>
  <c r="M1760" i="6"/>
  <c r="B1760" i="6"/>
  <c r="AE1759" i="6"/>
  <c r="AD1759" i="6"/>
  <c r="W1759" i="6"/>
  <c r="T1759" i="6"/>
  <c r="S1759" i="6"/>
  <c r="P1759" i="6"/>
  <c r="O1759" i="6"/>
  <c r="N1759" i="6"/>
  <c r="M1759" i="6"/>
  <c r="B1759" i="6"/>
  <c r="AE1758" i="6"/>
  <c r="AD1758" i="6"/>
  <c r="W1758" i="6"/>
  <c r="T1758" i="6"/>
  <c r="U1758" i="6" s="1"/>
  <c r="S1758" i="6"/>
  <c r="P1758" i="6"/>
  <c r="O1758" i="6"/>
  <c r="N1758" i="6"/>
  <c r="M1758" i="6"/>
  <c r="B1758" i="6"/>
  <c r="AE1757" i="6"/>
  <c r="AD1757" i="6"/>
  <c r="W1757" i="6"/>
  <c r="V1757" i="6"/>
  <c r="U1757" i="6"/>
  <c r="T1757" i="6"/>
  <c r="S1757" i="6"/>
  <c r="P1757" i="6"/>
  <c r="O1757" i="6"/>
  <c r="N1757" i="6"/>
  <c r="M1757" i="6"/>
  <c r="B1757" i="6"/>
  <c r="AE1756" i="6"/>
  <c r="AD1756" i="6"/>
  <c r="W1756" i="6"/>
  <c r="T1756" i="6"/>
  <c r="U1756" i="6" s="1"/>
  <c r="S1756" i="6"/>
  <c r="P1756" i="6"/>
  <c r="O1756" i="6"/>
  <c r="N1756" i="6"/>
  <c r="M1756" i="6"/>
  <c r="B1756" i="6"/>
  <c r="AE1755" i="6"/>
  <c r="AD1755" i="6"/>
  <c r="W1755" i="6"/>
  <c r="V1755" i="6"/>
  <c r="U1755" i="6"/>
  <c r="T1755" i="6"/>
  <c r="S1755" i="6"/>
  <c r="P1755" i="6"/>
  <c r="O1755" i="6"/>
  <c r="N1755" i="6"/>
  <c r="M1755" i="6"/>
  <c r="B1755" i="6"/>
  <c r="AE1754" i="6"/>
  <c r="AD1754" i="6"/>
  <c r="W1754" i="6"/>
  <c r="T1754" i="6"/>
  <c r="S1754" i="6"/>
  <c r="P1754" i="6"/>
  <c r="O1754" i="6"/>
  <c r="N1754" i="6"/>
  <c r="M1754" i="6"/>
  <c r="B1754" i="6"/>
  <c r="AE1753" i="6"/>
  <c r="AD1753" i="6"/>
  <c r="W1753" i="6"/>
  <c r="T1753" i="6"/>
  <c r="V1753" i="6" s="1"/>
  <c r="S1753" i="6"/>
  <c r="P1753" i="6"/>
  <c r="O1753" i="6"/>
  <c r="N1753" i="6"/>
  <c r="M1753" i="6"/>
  <c r="B1753" i="6"/>
  <c r="AE1752" i="6"/>
  <c r="AD1752" i="6"/>
  <c r="W1752" i="6"/>
  <c r="V1752" i="6"/>
  <c r="T1752" i="6"/>
  <c r="U1752" i="6" s="1"/>
  <c r="S1752" i="6"/>
  <c r="P1752" i="6"/>
  <c r="O1752" i="6"/>
  <c r="N1752" i="6"/>
  <c r="M1752" i="6"/>
  <c r="B1752" i="6"/>
  <c r="AE1751" i="6"/>
  <c r="AD1751" i="6"/>
  <c r="W1751" i="6"/>
  <c r="V1751" i="6"/>
  <c r="U1751" i="6"/>
  <c r="T1751" i="6"/>
  <c r="S1751" i="6"/>
  <c r="P1751" i="6"/>
  <c r="O1751" i="6"/>
  <c r="N1751" i="6"/>
  <c r="M1751" i="6"/>
  <c r="B1751" i="6"/>
  <c r="AE1750" i="6"/>
  <c r="AD1750" i="6"/>
  <c r="W1750" i="6"/>
  <c r="V1750" i="6"/>
  <c r="U1750" i="6"/>
  <c r="T1750" i="6"/>
  <c r="S1750" i="6"/>
  <c r="P1750" i="6"/>
  <c r="O1750" i="6"/>
  <c r="N1750" i="6"/>
  <c r="M1750" i="6"/>
  <c r="B1750" i="6"/>
  <c r="AE1749" i="6"/>
  <c r="AD1749" i="6"/>
  <c r="W1749" i="6"/>
  <c r="T1749" i="6"/>
  <c r="S1749" i="6"/>
  <c r="P1749" i="6"/>
  <c r="O1749" i="6"/>
  <c r="N1749" i="6"/>
  <c r="M1749" i="6"/>
  <c r="B1749" i="6"/>
  <c r="AE1748" i="6"/>
  <c r="AD1748" i="6"/>
  <c r="W1748" i="6"/>
  <c r="T1748" i="6"/>
  <c r="S1748" i="6"/>
  <c r="P1748" i="6"/>
  <c r="O1748" i="6"/>
  <c r="N1748" i="6"/>
  <c r="M1748" i="6"/>
  <c r="B1748" i="6"/>
  <c r="AE1747" i="6"/>
  <c r="AD1747" i="6"/>
  <c r="W1747" i="6"/>
  <c r="T1747" i="6"/>
  <c r="V1747" i="6" s="1"/>
  <c r="S1747" i="6"/>
  <c r="P1747" i="6"/>
  <c r="O1747" i="6"/>
  <c r="N1747" i="6"/>
  <c r="M1747" i="6"/>
  <c r="B1747" i="6"/>
  <c r="AE1746" i="6"/>
  <c r="AD1746" i="6"/>
  <c r="W1746" i="6"/>
  <c r="V1746" i="6"/>
  <c r="T1746" i="6"/>
  <c r="U1746" i="6" s="1"/>
  <c r="S1746" i="6"/>
  <c r="P1746" i="6"/>
  <c r="O1746" i="6"/>
  <c r="N1746" i="6"/>
  <c r="M1746" i="6"/>
  <c r="B1746" i="6"/>
  <c r="AE1745" i="6"/>
  <c r="AD1745" i="6"/>
  <c r="W1745" i="6"/>
  <c r="V1745" i="6"/>
  <c r="U1745" i="6"/>
  <c r="T1745" i="6"/>
  <c r="S1745" i="6"/>
  <c r="P1745" i="6"/>
  <c r="O1745" i="6"/>
  <c r="N1745" i="6"/>
  <c r="M1745" i="6"/>
  <c r="B1745" i="6"/>
  <c r="AE1744" i="6"/>
  <c r="AD1744" i="6"/>
  <c r="W1744" i="6"/>
  <c r="T1744" i="6"/>
  <c r="S1744" i="6"/>
  <c r="P1744" i="6"/>
  <c r="O1744" i="6"/>
  <c r="N1744" i="6"/>
  <c r="M1744" i="6"/>
  <c r="B1744" i="6"/>
  <c r="AE1743" i="6"/>
  <c r="AD1743" i="6"/>
  <c r="W1743" i="6"/>
  <c r="T1743" i="6"/>
  <c r="U1743" i="6" s="1"/>
  <c r="S1743" i="6"/>
  <c r="P1743" i="6"/>
  <c r="O1743" i="6"/>
  <c r="N1743" i="6"/>
  <c r="M1743" i="6"/>
  <c r="B1743" i="6"/>
  <c r="AE1742" i="6"/>
  <c r="AD1742" i="6"/>
  <c r="W1742" i="6"/>
  <c r="T1742" i="6"/>
  <c r="S1742" i="6"/>
  <c r="P1742" i="6"/>
  <c r="O1742" i="6"/>
  <c r="N1742" i="6"/>
  <c r="M1742" i="6"/>
  <c r="B1742" i="6"/>
  <c r="AE1741" i="6"/>
  <c r="AD1741" i="6"/>
  <c r="W1741" i="6"/>
  <c r="V1741" i="6"/>
  <c r="U1741" i="6"/>
  <c r="T1741" i="6"/>
  <c r="S1741" i="6"/>
  <c r="P1741" i="6"/>
  <c r="O1741" i="6"/>
  <c r="N1741" i="6"/>
  <c r="M1741" i="6"/>
  <c r="B1741" i="6"/>
  <c r="AE1740" i="6"/>
  <c r="AD1740" i="6"/>
  <c r="W1740" i="6"/>
  <c r="V1740" i="6"/>
  <c r="U1740" i="6"/>
  <c r="T1740" i="6"/>
  <c r="S1740" i="6"/>
  <c r="P1740" i="6"/>
  <c r="O1740" i="6"/>
  <c r="N1740" i="6"/>
  <c r="M1740" i="6"/>
  <c r="B1740" i="6"/>
  <c r="AE1739" i="6"/>
  <c r="AD1739" i="6"/>
  <c r="W1739" i="6"/>
  <c r="T1739" i="6"/>
  <c r="S1739" i="6"/>
  <c r="P1739" i="6"/>
  <c r="O1739" i="6"/>
  <c r="N1739" i="6"/>
  <c r="M1739" i="6"/>
  <c r="B1739" i="6"/>
  <c r="AE1738" i="6"/>
  <c r="AD1738" i="6"/>
  <c r="W1738" i="6"/>
  <c r="V1738" i="6"/>
  <c r="U1738" i="6"/>
  <c r="T1738" i="6"/>
  <c r="S1738" i="6"/>
  <c r="P1738" i="6"/>
  <c r="O1738" i="6"/>
  <c r="N1738" i="6"/>
  <c r="M1738" i="6"/>
  <c r="B1738" i="6"/>
  <c r="AE1737" i="6"/>
  <c r="AD1737" i="6"/>
  <c r="W1737" i="6"/>
  <c r="T1737" i="6"/>
  <c r="U1737" i="6" s="1"/>
  <c r="S1737" i="6"/>
  <c r="P1737" i="6"/>
  <c r="O1737" i="6"/>
  <c r="N1737" i="6"/>
  <c r="M1737" i="6"/>
  <c r="B1737" i="6"/>
  <c r="AE1736" i="6"/>
  <c r="AD1736" i="6"/>
  <c r="W1736" i="6"/>
  <c r="T1736" i="6"/>
  <c r="S1736" i="6"/>
  <c r="P1736" i="6"/>
  <c r="O1736" i="6"/>
  <c r="N1736" i="6"/>
  <c r="M1736" i="6"/>
  <c r="B1736" i="6"/>
  <c r="AE1735" i="6"/>
  <c r="AD1735" i="6"/>
  <c r="W1735" i="6"/>
  <c r="V1735" i="6"/>
  <c r="U1735" i="6"/>
  <c r="T1735" i="6"/>
  <c r="S1735" i="6"/>
  <c r="P1735" i="6"/>
  <c r="O1735" i="6"/>
  <c r="N1735" i="6"/>
  <c r="M1735" i="6"/>
  <c r="B1735" i="6"/>
  <c r="AE1734" i="6"/>
  <c r="AD1734" i="6"/>
  <c r="W1734" i="6"/>
  <c r="T1734" i="6"/>
  <c r="S1734" i="6"/>
  <c r="P1734" i="6"/>
  <c r="O1734" i="6"/>
  <c r="N1734" i="6"/>
  <c r="M1734" i="6"/>
  <c r="B1734" i="6"/>
  <c r="AE1733" i="6"/>
  <c r="AD1733" i="6"/>
  <c r="W1733" i="6"/>
  <c r="T1733" i="6"/>
  <c r="V1733" i="6" s="1"/>
  <c r="S1733" i="6"/>
  <c r="P1733" i="6"/>
  <c r="O1733" i="6"/>
  <c r="N1733" i="6"/>
  <c r="M1733" i="6"/>
  <c r="B1733" i="6"/>
  <c r="AE1732" i="6"/>
  <c r="AD1732" i="6"/>
  <c r="W1732" i="6"/>
  <c r="V1732" i="6"/>
  <c r="U1732" i="6"/>
  <c r="T1732" i="6"/>
  <c r="S1732" i="6"/>
  <c r="P1732" i="6"/>
  <c r="O1732" i="6"/>
  <c r="N1732" i="6"/>
  <c r="M1732" i="6"/>
  <c r="B1732" i="6"/>
  <c r="AE1731" i="6"/>
  <c r="AD1731" i="6"/>
  <c r="W1731" i="6"/>
  <c r="T1731" i="6"/>
  <c r="U1731" i="6" s="1"/>
  <c r="S1731" i="6"/>
  <c r="P1731" i="6"/>
  <c r="O1731" i="6"/>
  <c r="N1731" i="6"/>
  <c r="M1731" i="6"/>
  <c r="B1731" i="6"/>
  <c r="AE1730" i="6"/>
  <c r="AD1730" i="6"/>
  <c r="W1730" i="6"/>
  <c r="V1730" i="6"/>
  <c r="U1730" i="6"/>
  <c r="T1730" i="6"/>
  <c r="S1730" i="6"/>
  <c r="P1730" i="6"/>
  <c r="O1730" i="6"/>
  <c r="N1730" i="6"/>
  <c r="M1730" i="6"/>
  <c r="B1730" i="6"/>
  <c r="AE1729" i="6"/>
  <c r="AD1729" i="6"/>
  <c r="W1729" i="6"/>
  <c r="T1729" i="6"/>
  <c r="S1729" i="6"/>
  <c r="P1729" i="6"/>
  <c r="O1729" i="6"/>
  <c r="N1729" i="6"/>
  <c r="M1729" i="6"/>
  <c r="B1729" i="6"/>
  <c r="AE1728" i="6"/>
  <c r="AD1728" i="6"/>
  <c r="W1728" i="6"/>
  <c r="T1728" i="6"/>
  <c r="V1728" i="6" s="1"/>
  <c r="S1728" i="6"/>
  <c r="P1728" i="6"/>
  <c r="O1728" i="6"/>
  <c r="N1728" i="6"/>
  <c r="M1728" i="6"/>
  <c r="B1728" i="6"/>
  <c r="AE1727" i="6"/>
  <c r="AD1727" i="6"/>
  <c r="W1727" i="6"/>
  <c r="V1727" i="6"/>
  <c r="U1727" i="6"/>
  <c r="T1727" i="6"/>
  <c r="S1727" i="6"/>
  <c r="P1727" i="6"/>
  <c r="O1727" i="6"/>
  <c r="N1727" i="6"/>
  <c r="M1727" i="6"/>
  <c r="B1727" i="6"/>
  <c r="AE1726" i="6"/>
  <c r="AD1726" i="6"/>
  <c r="W1726" i="6"/>
  <c r="V1726" i="6"/>
  <c r="U1726" i="6"/>
  <c r="T1726" i="6"/>
  <c r="S1726" i="6"/>
  <c r="P1726" i="6"/>
  <c r="O1726" i="6"/>
  <c r="N1726" i="6"/>
  <c r="M1726" i="6"/>
  <c r="B1726" i="6"/>
  <c r="AE1725" i="6"/>
  <c r="AD1725" i="6"/>
  <c r="W1725" i="6"/>
  <c r="V1725" i="6"/>
  <c r="U1725" i="6"/>
  <c r="T1725" i="6"/>
  <c r="S1725" i="6"/>
  <c r="P1725" i="6"/>
  <c r="O1725" i="6"/>
  <c r="N1725" i="6"/>
  <c r="M1725" i="6"/>
  <c r="B1725" i="6"/>
  <c r="AE1724" i="6"/>
  <c r="AD1724" i="6"/>
  <c r="W1724" i="6"/>
  <c r="T1724" i="6"/>
  <c r="S1724" i="6"/>
  <c r="P1724" i="6"/>
  <c r="O1724" i="6"/>
  <c r="N1724" i="6"/>
  <c r="M1724" i="6"/>
  <c r="B1724" i="6"/>
  <c r="AE1723" i="6"/>
  <c r="AD1723" i="6"/>
  <c r="W1723" i="6"/>
  <c r="T1723" i="6"/>
  <c r="S1723" i="6"/>
  <c r="P1723" i="6"/>
  <c r="O1723" i="6"/>
  <c r="N1723" i="6"/>
  <c r="M1723" i="6"/>
  <c r="B1723" i="6"/>
  <c r="AE1722" i="6"/>
  <c r="AD1722" i="6"/>
  <c r="W1722" i="6"/>
  <c r="T1722" i="6"/>
  <c r="V1722" i="6" s="1"/>
  <c r="S1722" i="6"/>
  <c r="P1722" i="6"/>
  <c r="O1722" i="6"/>
  <c r="N1722" i="6"/>
  <c r="M1722" i="6"/>
  <c r="B1722" i="6"/>
  <c r="AE1721" i="6"/>
  <c r="AD1721" i="6"/>
  <c r="W1721" i="6"/>
  <c r="T1721" i="6"/>
  <c r="V1721" i="6" s="1"/>
  <c r="S1721" i="6"/>
  <c r="P1721" i="6"/>
  <c r="O1721" i="6"/>
  <c r="N1721" i="6"/>
  <c r="M1721" i="6"/>
  <c r="B1721" i="6"/>
  <c r="AE1720" i="6"/>
  <c r="AD1720" i="6"/>
  <c r="W1720" i="6"/>
  <c r="V1720" i="6"/>
  <c r="U1720" i="6"/>
  <c r="T1720" i="6"/>
  <c r="S1720" i="6"/>
  <c r="P1720" i="6"/>
  <c r="O1720" i="6"/>
  <c r="N1720" i="6"/>
  <c r="M1720" i="6"/>
  <c r="B1720" i="6"/>
  <c r="AE1719" i="6"/>
  <c r="AD1719" i="6"/>
  <c r="W1719" i="6"/>
  <c r="T1719" i="6"/>
  <c r="S1719" i="6"/>
  <c r="P1719" i="6"/>
  <c r="O1719" i="6"/>
  <c r="N1719" i="6"/>
  <c r="M1719" i="6"/>
  <c r="B1719" i="6"/>
  <c r="AE1718" i="6"/>
  <c r="AD1718" i="6"/>
  <c r="W1718" i="6"/>
  <c r="T1718" i="6"/>
  <c r="U1718" i="6" s="1"/>
  <c r="S1718" i="6"/>
  <c r="P1718" i="6"/>
  <c r="O1718" i="6"/>
  <c r="N1718" i="6"/>
  <c r="M1718" i="6"/>
  <c r="B1718" i="6"/>
  <c r="AE1717" i="6"/>
  <c r="AD1717" i="6"/>
  <c r="W1717" i="6"/>
  <c r="T1717" i="6"/>
  <c r="S1717" i="6"/>
  <c r="P1717" i="6"/>
  <c r="O1717" i="6"/>
  <c r="N1717" i="6"/>
  <c r="M1717" i="6"/>
  <c r="B1717" i="6"/>
  <c r="AE1716" i="6"/>
  <c r="AD1716" i="6"/>
  <c r="W1716" i="6"/>
  <c r="T1716" i="6"/>
  <c r="V1716" i="6" s="1"/>
  <c r="S1716" i="6"/>
  <c r="P1716" i="6"/>
  <c r="O1716" i="6"/>
  <c r="N1716" i="6"/>
  <c r="M1716" i="6"/>
  <c r="B1716" i="6"/>
  <c r="AE1715" i="6"/>
  <c r="AD1715" i="6"/>
  <c r="W1715" i="6"/>
  <c r="V1715" i="6"/>
  <c r="U1715" i="6"/>
  <c r="T1715" i="6"/>
  <c r="S1715" i="6"/>
  <c r="P1715" i="6"/>
  <c r="O1715" i="6"/>
  <c r="N1715" i="6"/>
  <c r="M1715" i="6"/>
  <c r="B1715" i="6"/>
  <c r="AE1714" i="6"/>
  <c r="AD1714" i="6"/>
  <c r="W1714" i="6"/>
  <c r="T1714" i="6"/>
  <c r="S1714" i="6"/>
  <c r="P1714" i="6"/>
  <c r="O1714" i="6"/>
  <c r="N1714" i="6"/>
  <c r="M1714" i="6"/>
  <c r="B1714" i="6"/>
  <c r="AE1713" i="6"/>
  <c r="AD1713" i="6"/>
  <c r="W1713" i="6"/>
  <c r="V1713" i="6"/>
  <c r="U1713" i="6"/>
  <c r="T1713" i="6"/>
  <c r="S1713" i="6"/>
  <c r="P1713" i="6"/>
  <c r="O1713" i="6"/>
  <c r="N1713" i="6"/>
  <c r="M1713" i="6"/>
  <c r="B1713" i="6"/>
  <c r="AE1712" i="6"/>
  <c r="AD1712" i="6"/>
  <c r="W1712" i="6"/>
  <c r="T1712" i="6"/>
  <c r="U1712" i="6" s="1"/>
  <c r="S1712" i="6"/>
  <c r="P1712" i="6"/>
  <c r="O1712" i="6"/>
  <c r="N1712" i="6"/>
  <c r="M1712" i="6"/>
  <c r="B1712" i="6"/>
  <c r="AE1711" i="6"/>
  <c r="AD1711" i="6"/>
  <c r="W1711" i="6"/>
  <c r="T1711" i="6"/>
  <c r="S1711" i="6"/>
  <c r="P1711" i="6"/>
  <c r="O1711" i="6"/>
  <c r="N1711" i="6"/>
  <c r="M1711" i="6"/>
  <c r="B1711" i="6"/>
  <c r="AE1710" i="6"/>
  <c r="AD1710" i="6"/>
  <c r="W1710" i="6"/>
  <c r="V1710" i="6"/>
  <c r="U1710" i="6"/>
  <c r="T1710" i="6"/>
  <c r="S1710" i="6"/>
  <c r="P1710" i="6"/>
  <c r="O1710" i="6"/>
  <c r="N1710" i="6"/>
  <c r="M1710" i="6"/>
  <c r="B1710" i="6"/>
  <c r="AE1709" i="6"/>
  <c r="AD1709" i="6"/>
  <c r="W1709" i="6"/>
  <c r="T1709" i="6"/>
  <c r="S1709" i="6"/>
  <c r="P1709" i="6"/>
  <c r="O1709" i="6"/>
  <c r="N1709" i="6"/>
  <c r="M1709" i="6"/>
  <c r="B1709" i="6"/>
  <c r="AE1708" i="6"/>
  <c r="AD1708" i="6"/>
  <c r="W1708" i="6"/>
  <c r="V1708" i="6"/>
  <c r="U1708" i="6"/>
  <c r="T1708" i="6"/>
  <c r="S1708" i="6"/>
  <c r="P1708" i="6"/>
  <c r="O1708" i="6"/>
  <c r="N1708" i="6"/>
  <c r="M1708" i="6"/>
  <c r="B1708" i="6"/>
  <c r="AE1707" i="6"/>
  <c r="AD1707" i="6"/>
  <c r="W1707" i="6"/>
  <c r="V1707" i="6"/>
  <c r="U1707" i="6"/>
  <c r="T1707" i="6"/>
  <c r="S1707" i="6"/>
  <c r="P1707" i="6"/>
  <c r="O1707" i="6"/>
  <c r="N1707" i="6"/>
  <c r="M1707" i="6"/>
  <c r="B1707" i="6"/>
  <c r="AE1706" i="6"/>
  <c r="AD1706" i="6"/>
  <c r="W1706" i="6"/>
  <c r="T1706" i="6"/>
  <c r="U1706" i="6" s="1"/>
  <c r="S1706" i="6"/>
  <c r="P1706" i="6"/>
  <c r="O1706" i="6"/>
  <c r="N1706" i="6"/>
  <c r="M1706" i="6"/>
  <c r="B1706" i="6"/>
  <c r="AE1705" i="6"/>
  <c r="AD1705" i="6"/>
  <c r="W1705" i="6"/>
  <c r="V1705" i="6"/>
  <c r="U1705" i="6"/>
  <c r="T1705" i="6"/>
  <c r="S1705" i="6"/>
  <c r="P1705" i="6"/>
  <c r="O1705" i="6"/>
  <c r="N1705" i="6"/>
  <c r="M1705" i="6"/>
  <c r="B1705" i="6"/>
  <c r="AE1704" i="6"/>
  <c r="AD1704" i="6"/>
  <c r="W1704" i="6"/>
  <c r="T1704" i="6"/>
  <c r="S1704" i="6"/>
  <c r="P1704" i="6"/>
  <c r="O1704" i="6"/>
  <c r="N1704" i="6"/>
  <c r="M1704" i="6"/>
  <c r="B1704" i="6"/>
  <c r="AE1703" i="6"/>
  <c r="AD1703" i="6"/>
  <c r="W1703" i="6"/>
  <c r="T1703" i="6"/>
  <c r="V1703" i="6" s="1"/>
  <c r="S1703" i="6"/>
  <c r="P1703" i="6"/>
  <c r="O1703" i="6"/>
  <c r="N1703" i="6"/>
  <c r="M1703" i="6"/>
  <c r="B1703" i="6"/>
  <c r="AE1702" i="6"/>
  <c r="AD1702" i="6"/>
  <c r="W1702" i="6"/>
  <c r="T1702" i="6"/>
  <c r="V1702" i="6" s="1"/>
  <c r="S1702" i="6"/>
  <c r="P1702" i="6"/>
  <c r="O1702" i="6"/>
  <c r="N1702" i="6"/>
  <c r="M1702" i="6"/>
  <c r="B1702" i="6"/>
  <c r="AE1701" i="6"/>
  <c r="AD1701" i="6"/>
  <c r="W1701" i="6"/>
  <c r="V1701" i="6"/>
  <c r="U1701" i="6"/>
  <c r="T1701" i="6"/>
  <c r="S1701" i="6"/>
  <c r="P1701" i="6"/>
  <c r="O1701" i="6"/>
  <c r="N1701" i="6"/>
  <c r="M1701" i="6"/>
  <c r="B1701" i="6"/>
  <c r="AE1700" i="6"/>
  <c r="AD1700" i="6"/>
  <c r="W1700" i="6"/>
  <c r="V1700" i="6"/>
  <c r="U1700" i="6"/>
  <c r="T1700" i="6"/>
  <c r="S1700" i="6"/>
  <c r="P1700" i="6"/>
  <c r="O1700" i="6"/>
  <c r="N1700" i="6"/>
  <c r="M1700" i="6"/>
  <c r="B1700" i="6"/>
  <c r="AE1699" i="6"/>
  <c r="AD1699" i="6"/>
  <c r="W1699" i="6"/>
  <c r="T1699" i="6"/>
  <c r="S1699" i="6"/>
  <c r="P1699" i="6"/>
  <c r="O1699" i="6"/>
  <c r="N1699" i="6"/>
  <c r="M1699" i="6"/>
  <c r="B1699" i="6"/>
  <c r="AE1698" i="6"/>
  <c r="AD1698" i="6"/>
  <c r="W1698" i="6"/>
  <c r="T1698" i="6"/>
  <c r="S1698" i="6"/>
  <c r="P1698" i="6"/>
  <c r="O1698" i="6"/>
  <c r="N1698" i="6"/>
  <c r="M1698" i="6"/>
  <c r="B1698" i="6"/>
  <c r="AE1697" i="6"/>
  <c r="AD1697" i="6"/>
  <c r="W1697" i="6"/>
  <c r="V1697" i="6"/>
  <c r="U1697" i="6"/>
  <c r="T1697" i="6"/>
  <c r="S1697" i="6"/>
  <c r="P1697" i="6"/>
  <c r="O1697" i="6"/>
  <c r="N1697" i="6"/>
  <c r="M1697" i="6"/>
  <c r="B1697" i="6"/>
  <c r="AE1696" i="6"/>
  <c r="AD1696" i="6"/>
  <c r="W1696" i="6"/>
  <c r="T1696" i="6"/>
  <c r="V1696" i="6" s="1"/>
  <c r="S1696" i="6"/>
  <c r="P1696" i="6"/>
  <c r="O1696" i="6"/>
  <c r="N1696" i="6"/>
  <c r="M1696" i="6"/>
  <c r="B1696" i="6"/>
  <c r="AE1695" i="6"/>
  <c r="AD1695" i="6"/>
  <c r="W1695" i="6"/>
  <c r="V1695" i="6"/>
  <c r="U1695" i="6"/>
  <c r="T1695" i="6"/>
  <c r="S1695" i="6"/>
  <c r="P1695" i="6"/>
  <c r="O1695" i="6"/>
  <c r="N1695" i="6"/>
  <c r="M1695" i="6"/>
  <c r="B1695" i="6"/>
  <c r="AE1694" i="6"/>
  <c r="AD1694" i="6"/>
  <c r="W1694" i="6"/>
  <c r="T1694" i="6"/>
  <c r="S1694" i="6"/>
  <c r="P1694" i="6"/>
  <c r="O1694" i="6"/>
  <c r="N1694" i="6"/>
  <c r="M1694" i="6"/>
  <c r="B1694" i="6"/>
  <c r="AE1693" i="6"/>
  <c r="AD1693" i="6"/>
  <c r="W1693" i="6"/>
  <c r="T1693" i="6"/>
  <c r="U1693" i="6" s="1"/>
  <c r="S1693" i="6"/>
  <c r="P1693" i="6"/>
  <c r="O1693" i="6"/>
  <c r="N1693" i="6"/>
  <c r="M1693" i="6"/>
  <c r="B1693" i="6"/>
  <c r="AE1692" i="6"/>
  <c r="AD1692" i="6"/>
  <c r="W1692" i="6"/>
  <c r="T1692" i="6"/>
  <c r="S1692" i="6"/>
  <c r="P1692" i="6"/>
  <c r="O1692" i="6"/>
  <c r="N1692" i="6"/>
  <c r="M1692" i="6"/>
  <c r="B1692" i="6"/>
  <c r="AE1691" i="6"/>
  <c r="AD1691" i="6"/>
  <c r="W1691" i="6"/>
  <c r="V1691" i="6"/>
  <c r="U1691" i="6"/>
  <c r="T1691" i="6"/>
  <c r="S1691" i="6"/>
  <c r="P1691" i="6"/>
  <c r="O1691" i="6"/>
  <c r="N1691" i="6"/>
  <c r="M1691" i="6"/>
  <c r="B1691" i="6"/>
  <c r="AE1690" i="6"/>
  <c r="AD1690" i="6"/>
  <c r="W1690" i="6"/>
  <c r="V1690" i="6"/>
  <c r="U1690" i="6"/>
  <c r="T1690" i="6"/>
  <c r="S1690" i="6"/>
  <c r="P1690" i="6"/>
  <c r="O1690" i="6"/>
  <c r="N1690" i="6"/>
  <c r="M1690" i="6"/>
  <c r="B1690" i="6"/>
  <c r="AE1689" i="6"/>
  <c r="AD1689" i="6"/>
  <c r="W1689" i="6"/>
  <c r="T1689" i="6"/>
  <c r="S1689" i="6"/>
  <c r="P1689" i="6"/>
  <c r="O1689" i="6"/>
  <c r="N1689" i="6"/>
  <c r="M1689" i="6"/>
  <c r="B1689" i="6"/>
  <c r="AE1688" i="6"/>
  <c r="AD1688" i="6"/>
  <c r="W1688" i="6"/>
  <c r="V1688" i="6"/>
  <c r="U1688" i="6"/>
  <c r="T1688" i="6"/>
  <c r="S1688" i="6"/>
  <c r="P1688" i="6"/>
  <c r="O1688" i="6"/>
  <c r="N1688" i="6"/>
  <c r="M1688" i="6"/>
  <c r="B1688" i="6"/>
  <c r="AE1687" i="6"/>
  <c r="AD1687" i="6"/>
  <c r="W1687" i="6"/>
  <c r="T1687" i="6"/>
  <c r="U1687" i="6" s="1"/>
  <c r="S1687" i="6"/>
  <c r="P1687" i="6"/>
  <c r="O1687" i="6"/>
  <c r="N1687" i="6"/>
  <c r="M1687" i="6"/>
  <c r="B1687" i="6"/>
  <c r="AE1686" i="6"/>
  <c r="AD1686" i="6"/>
  <c r="W1686" i="6"/>
  <c r="T1686" i="6"/>
  <c r="S1686" i="6"/>
  <c r="P1686" i="6"/>
  <c r="O1686" i="6"/>
  <c r="N1686" i="6"/>
  <c r="M1686" i="6"/>
  <c r="B1686" i="6"/>
  <c r="AE1685" i="6"/>
  <c r="AD1685" i="6"/>
  <c r="W1685" i="6"/>
  <c r="V1685" i="6"/>
  <c r="U1685" i="6"/>
  <c r="T1685" i="6"/>
  <c r="S1685" i="6"/>
  <c r="P1685" i="6"/>
  <c r="O1685" i="6"/>
  <c r="N1685" i="6"/>
  <c r="M1685" i="6"/>
  <c r="B1685" i="6"/>
  <c r="AE1684" i="6"/>
  <c r="AD1684" i="6"/>
  <c r="W1684" i="6"/>
  <c r="T1684" i="6"/>
  <c r="S1684" i="6"/>
  <c r="P1684" i="6"/>
  <c r="O1684" i="6"/>
  <c r="N1684" i="6"/>
  <c r="M1684" i="6"/>
  <c r="B1684" i="6"/>
  <c r="AE1683" i="6"/>
  <c r="AD1683" i="6"/>
  <c r="W1683" i="6"/>
  <c r="T1683" i="6"/>
  <c r="V1683" i="6" s="1"/>
  <c r="S1683" i="6"/>
  <c r="P1683" i="6"/>
  <c r="O1683" i="6"/>
  <c r="N1683" i="6"/>
  <c r="M1683" i="6"/>
  <c r="B1683" i="6"/>
  <c r="AE1682" i="6"/>
  <c r="AD1682" i="6"/>
  <c r="W1682" i="6"/>
  <c r="V1682" i="6"/>
  <c r="U1682" i="6"/>
  <c r="T1682" i="6"/>
  <c r="S1682" i="6"/>
  <c r="P1682" i="6"/>
  <c r="O1682" i="6"/>
  <c r="N1682" i="6"/>
  <c r="M1682" i="6"/>
  <c r="B1682" i="6"/>
  <c r="AE1681" i="6"/>
  <c r="AD1681" i="6"/>
  <c r="W1681" i="6"/>
  <c r="T1681" i="6"/>
  <c r="U1681" i="6" s="1"/>
  <c r="S1681" i="6"/>
  <c r="P1681" i="6"/>
  <c r="O1681" i="6"/>
  <c r="N1681" i="6"/>
  <c r="M1681" i="6"/>
  <c r="B1681" i="6"/>
  <c r="AE1680" i="6"/>
  <c r="AD1680" i="6"/>
  <c r="W1680" i="6"/>
  <c r="V1680" i="6"/>
  <c r="U1680" i="6"/>
  <c r="T1680" i="6"/>
  <c r="S1680" i="6"/>
  <c r="P1680" i="6"/>
  <c r="O1680" i="6"/>
  <c r="N1680" i="6"/>
  <c r="M1680" i="6"/>
  <c r="B1680" i="6"/>
  <c r="AE1679" i="6"/>
  <c r="AD1679" i="6"/>
  <c r="W1679" i="6"/>
  <c r="T1679" i="6"/>
  <c r="S1679" i="6"/>
  <c r="P1679" i="6"/>
  <c r="O1679" i="6"/>
  <c r="N1679" i="6"/>
  <c r="M1679" i="6"/>
  <c r="B1679" i="6"/>
  <c r="AE1678" i="6"/>
  <c r="AD1678" i="6"/>
  <c r="W1678" i="6"/>
  <c r="V1678" i="6"/>
  <c r="U1678" i="6"/>
  <c r="T1678" i="6"/>
  <c r="S1678" i="6"/>
  <c r="P1678" i="6"/>
  <c r="O1678" i="6"/>
  <c r="N1678" i="6"/>
  <c r="M1678" i="6"/>
  <c r="B1678" i="6"/>
  <c r="AE1677" i="6"/>
  <c r="AD1677" i="6"/>
  <c r="W1677" i="6"/>
  <c r="T1677" i="6"/>
  <c r="V1677" i="6" s="1"/>
  <c r="S1677" i="6"/>
  <c r="P1677" i="6"/>
  <c r="O1677" i="6"/>
  <c r="N1677" i="6"/>
  <c r="M1677" i="6"/>
  <c r="B1677" i="6"/>
  <c r="AE1676" i="6"/>
  <c r="AD1676" i="6"/>
  <c r="W1676" i="6"/>
  <c r="V1676" i="6"/>
  <c r="U1676" i="6"/>
  <c r="T1676" i="6"/>
  <c r="S1676" i="6"/>
  <c r="P1676" i="6"/>
  <c r="O1676" i="6"/>
  <c r="N1676" i="6"/>
  <c r="M1676" i="6"/>
  <c r="B1676" i="6"/>
  <c r="AE1675" i="6"/>
  <c r="AD1675" i="6"/>
  <c r="W1675" i="6"/>
  <c r="V1675" i="6"/>
  <c r="U1675" i="6"/>
  <c r="T1675" i="6"/>
  <c r="S1675" i="6"/>
  <c r="P1675" i="6"/>
  <c r="O1675" i="6"/>
  <c r="N1675" i="6"/>
  <c r="M1675" i="6"/>
  <c r="B1675" i="6"/>
  <c r="AE1674" i="6"/>
  <c r="AD1674" i="6"/>
  <c r="W1674" i="6"/>
  <c r="T1674" i="6"/>
  <c r="S1674" i="6"/>
  <c r="P1674" i="6"/>
  <c r="O1674" i="6"/>
  <c r="N1674" i="6"/>
  <c r="M1674" i="6"/>
  <c r="B1674" i="6"/>
  <c r="AE1673" i="6"/>
  <c r="AD1673" i="6"/>
  <c r="W1673" i="6"/>
  <c r="T1673" i="6"/>
  <c r="S1673" i="6"/>
  <c r="P1673" i="6"/>
  <c r="O1673" i="6"/>
  <c r="N1673" i="6"/>
  <c r="M1673" i="6"/>
  <c r="B1673" i="6"/>
  <c r="AE1672" i="6"/>
  <c r="AD1672" i="6"/>
  <c r="W1672" i="6"/>
  <c r="T1672" i="6"/>
  <c r="V1672" i="6" s="1"/>
  <c r="S1672" i="6"/>
  <c r="P1672" i="6"/>
  <c r="O1672" i="6"/>
  <c r="N1672" i="6"/>
  <c r="M1672" i="6"/>
  <c r="B1672" i="6"/>
  <c r="AE1671" i="6"/>
  <c r="AD1671" i="6"/>
  <c r="W1671" i="6"/>
  <c r="V1671" i="6"/>
  <c r="U1671" i="6"/>
  <c r="T1671" i="6"/>
  <c r="S1671" i="6"/>
  <c r="P1671" i="6"/>
  <c r="O1671" i="6"/>
  <c r="N1671" i="6"/>
  <c r="M1671" i="6"/>
  <c r="B1671" i="6"/>
  <c r="AE1670" i="6"/>
  <c r="AD1670" i="6"/>
  <c r="W1670" i="6"/>
  <c r="V1670" i="6"/>
  <c r="U1670" i="6"/>
  <c r="T1670" i="6"/>
  <c r="S1670" i="6"/>
  <c r="P1670" i="6"/>
  <c r="O1670" i="6"/>
  <c r="N1670" i="6"/>
  <c r="M1670" i="6"/>
  <c r="B1670" i="6"/>
  <c r="AE1669" i="6"/>
  <c r="AD1669" i="6"/>
  <c r="W1669" i="6"/>
  <c r="T1669" i="6"/>
  <c r="S1669" i="6"/>
  <c r="P1669" i="6"/>
  <c r="O1669" i="6"/>
  <c r="N1669" i="6"/>
  <c r="M1669" i="6"/>
  <c r="B1669" i="6"/>
  <c r="AE1668" i="6"/>
  <c r="AD1668" i="6"/>
  <c r="W1668" i="6"/>
  <c r="T1668" i="6"/>
  <c r="U1668" i="6" s="1"/>
  <c r="S1668" i="6"/>
  <c r="P1668" i="6"/>
  <c r="O1668" i="6"/>
  <c r="N1668" i="6"/>
  <c r="M1668" i="6"/>
  <c r="B1668" i="6"/>
  <c r="AE1667" i="6"/>
  <c r="AD1667" i="6"/>
  <c r="W1667" i="6"/>
  <c r="T1667" i="6"/>
  <c r="S1667" i="6"/>
  <c r="P1667" i="6"/>
  <c r="O1667" i="6"/>
  <c r="N1667" i="6"/>
  <c r="M1667" i="6"/>
  <c r="B1667" i="6"/>
  <c r="AE1666" i="6"/>
  <c r="AD1666" i="6"/>
  <c r="W1666" i="6"/>
  <c r="T1666" i="6"/>
  <c r="V1666" i="6" s="1"/>
  <c r="S1666" i="6"/>
  <c r="P1666" i="6"/>
  <c r="O1666" i="6"/>
  <c r="N1666" i="6"/>
  <c r="M1666" i="6"/>
  <c r="B1666" i="6"/>
  <c r="AE1665" i="6"/>
  <c r="AD1665" i="6"/>
  <c r="W1665" i="6"/>
  <c r="V1665" i="6"/>
  <c r="U1665" i="6"/>
  <c r="T1665" i="6"/>
  <c r="S1665" i="6"/>
  <c r="P1665" i="6"/>
  <c r="O1665" i="6"/>
  <c r="N1665" i="6"/>
  <c r="M1665" i="6"/>
  <c r="B1665" i="6"/>
  <c r="AE1664" i="6"/>
  <c r="AD1664" i="6"/>
  <c r="W1664" i="6"/>
  <c r="T1664" i="6"/>
  <c r="S1664" i="6"/>
  <c r="P1664" i="6"/>
  <c r="O1664" i="6"/>
  <c r="N1664" i="6"/>
  <c r="M1664" i="6"/>
  <c r="B1664" i="6"/>
  <c r="AE1663" i="6"/>
  <c r="AD1663" i="6"/>
  <c r="W1663" i="6"/>
  <c r="V1663" i="6"/>
  <c r="U1663" i="6"/>
  <c r="T1663" i="6"/>
  <c r="S1663" i="6"/>
  <c r="P1663" i="6"/>
  <c r="O1663" i="6"/>
  <c r="N1663" i="6"/>
  <c r="M1663" i="6"/>
  <c r="B1663" i="6"/>
  <c r="AE1662" i="6"/>
  <c r="AD1662" i="6"/>
  <c r="W1662" i="6"/>
  <c r="T1662" i="6"/>
  <c r="U1662" i="6" s="1"/>
  <c r="S1662" i="6"/>
  <c r="P1662" i="6"/>
  <c r="O1662" i="6"/>
  <c r="N1662" i="6"/>
  <c r="M1662" i="6"/>
  <c r="B1662" i="6"/>
  <c r="AE1661" i="6"/>
  <c r="AD1661" i="6"/>
  <c r="W1661" i="6"/>
  <c r="T1661" i="6"/>
  <c r="S1661" i="6"/>
  <c r="P1661" i="6"/>
  <c r="O1661" i="6"/>
  <c r="N1661" i="6"/>
  <c r="M1661" i="6"/>
  <c r="B1661" i="6"/>
  <c r="AE1660" i="6"/>
  <c r="AD1660" i="6"/>
  <c r="W1660" i="6"/>
  <c r="V1660" i="6"/>
  <c r="U1660" i="6"/>
  <c r="T1660" i="6"/>
  <c r="S1660" i="6"/>
  <c r="P1660" i="6"/>
  <c r="O1660" i="6"/>
  <c r="N1660" i="6"/>
  <c r="M1660" i="6"/>
  <c r="B1660" i="6"/>
  <c r="AE1659" i="6"/>
  <c r="AD1659" i="6"/>
  <c r="W1659" i="6"/>
  <c r="T1659" i="6"/>
  <c r="S1659" i="6"/>
  <c r="P1659" i="6"/>
  <c r="O1659" i="6"/>
  <c r="N1659" i="6"/>
  <c r="M1659" i="6"/>
  <c r="B1659" i="6"/>
  <c r="AE1658" i="6"/>
  <c r="AD1658" i="6"/>
  <c r="W1658" i="6"/>
  <c r="T1658" i="6"/>
  <c r="V1658" i="6" s="1"/>
  <c r="S1658" i="6"/>
  <c r="P1658" i="6"/>
  <c r="O1658" i="6"/>
  <c r="N1658" i="6"/>
  <c r="M1658" i="6"/>
  <c r="B1658" i="6"/>
  <c r="AE1657" i="6"/>
  <c r="AD1657" i="6"/>
  <c r="W1657" i="6"/>
  <c r="V1657" i="6"/>
  <c r="U1657" i="6"/>
  <c r="T1657" i="6"/>
  <c r="S1657" i="6"/>
  <c r="P1657" i="6"/>
  <c r="O1657" i="6"/>
  <c r="N1657" i="6"/>
  <c r="M1657" i="6"/>
  <c r="B1657" i="6"/>
  <c r="AE1656" i="6"/>
  <c r="AD1656" i="6"/>
  <c r="W1656" i="6"/>
  <c r="T1656" i="6"/>
  <c r="U1656" i="6" s="1"/>
  <c r="S1656" i="6"/>
  <c r="P1656" i="6"/>
  <c r="O1656" i="6"/>
  <c r="N1656" i="6"/>
  <c r="M1656" i="6"/>
  <c r="B1656" i="6"/>
  <c r="AE1655" i="6"/>
  <c r="AD1655" i="6"/>
  <c r="W1655" i="6"/>
  <c r="V1655" i="6"/>
  <c r="U1655" i="6"/>
  <c r="T1655" i="6"/>
  <c r="S1655" i="6"/>
  <c r="P1655" i="6"/>
  <c r="O1655" i="6"/>
  <c r="N1655" i="6"/>
  <c r="M1655" i="6"/>
  <c r="B1655" i="6"/>
  <c r="AE1654" i="6"/>
  <c r="AD1654" i="6"/>
  <c r="W1654" i="6"/>
  <c r="T1654" i="6"/>
  <c r="S1654" i="6"/>
  <c r="P1654" i="6"/>
  <c r="O1654" i="6"/>
  <c r="N1654" i="6"/>
  <c r="M1654" i="6"/>
  <c r="B1654" i="6"/>
  <c r="AE1653" i="6"/>
  <c r="AD1653" i="6"/>
  <c r="W1653" i="6"/>
  <c r="T1653" i="6"/>
  <c r="V1653" i="6" s="1"/>
  <c r="S1653" i="6"/>
  <c r="P1653" i="6"/>
  <c r="O1653" i="6"/>
  <c r="N1653" i="6"/>
  <c r="M1653" i="6"/>
  <c r="B1653" i="6"/>
  <c r="AE1652" i="6"/>
  <c r="AD1652" i="6"/>
  <c r="W1652" i="6"/>
  <c r="V1652" i="6"/>
  <c r="U1652" i="6"/>
  <c r="T1652" i="6"/>
  <c r="S1652" i="6"/>
  <c r="P1652" i="6"/>
  <c r="O1652" i="6"/>
  <c r="N1652" i="6"/>
  <c r="M1652" i="6"/>
  <c r="B1652" i="6"/>
  <c r="AE1651" i="6"/>
  <c r="AD1651" i="6"/>
  <c r="W1651" i="6"/>
  <c r="V1651" i="6"/>
  <c r="U1651" i="6"/>
  <c r="T1651" i="6"/>
  <c r="S1651" i="6"/>
  <c r="P1651" i="6"/>
  <c r="O1651" i="6"/>
  <c r="N1651" i="6"/>
  <c r="M1651" i="6"/>
  <c r="B1651" i="6"/>
  <c r="AE1650" i="6"/>
  <c r="AD1650" i="6"/>
  <c r="W1650" i="6"/>
  <c r="V1650" i="6"/>
  <c r="U1650" i="6"/>
  <c r="T1650" i="6"/>
  <c r="S1650" i="6"/>
  <c r="P1650" i="6"/>
  <c r="O1650" i="6"/>
  <c r="N1650" i="6"/>
  <c r="M1650" i="6"/>
  <c r="B1650" i="6"/>
  <c r="AE1649" i="6"/>
  <c r="AD1649" i="6"/>
  <c r="W1649" i="6"/>
  <c r="T1649" i="6"/>
  <c r="S1649" i="6"/>
  <c r="P1649" i="6"/>
  <c r="O1649" i="6"/>
  <c r="N1649" i="6"/>
  <c r="M1649" i="6"/>
  <c r="B1649" i="6"/>
  <c r="AE1648" i="6"/>
  <c r="AD1648" i="6"/>
  <c r="W1648" i="6"/>
  <c r="T1648" i="6"/>
  <c r="S1648" i="6"/>
  <c r="P1648" i="6"/>
  <c r="O1648" i="6"/>
  <c r="N1648" i="6"/>
  <c r="M1648" i="6"/>
  <c r="B1648" i="6"/>
  <c r="AE1647" i="6"/>
  <c r="AD1647" i="6"/>
  <c r="W1647" i="6"/>
  <c r="V1647" i="6"/>
  <c r="U1647" i="6"/>
  <c r="T1647" i="6"/>
  <c r="S1647" i="6"/>
  <c r="P1647" i="6"/>
  <c r="O1647" i="6"/>
  <c r="N1647" i="6"/>
  <c r="M1647" i="6"/>
  <c r="B1647" i="6"/>
  <c r="AE1646" i="6"/>
  <c r="AD1646" i="6"/>
  <c r="W1646" i="6"/>
  <c r="T1646" i="6"/>
  <c r="V1646" i="6" s="1"/>
  <c r="S1646" i="6"/>
  <c r="P1646" i="6"/>
  <c r="O1646" i="6"/>
  <c r="N1646" i="6"/>
  <c r="M1646" i="6"/>
  <c r="B1646" i="6"/>
  <c r="AE1645" i="6"/>
  <c r="AD1645" i="6"/>
  <c r="W1645" i="6"/>
  <c r="V1645" i="6"/>
  <c r="U1645" i="6"/>
  <c r="T1645" i="6"/>
  <c r="S1645" i="6"/>
  <c r="P1645" i="6"/>
  <c r="O1645" i="6"/>
  <c r="N1645" i="6"/>
  <c r="M1645" i="6"/>
  <c r="B1645" i="6"/>
  <c r="AE1644" i="6"/>
  <c r="AD1644" i="6"/>
  <c r="W1644" i="6"/>
  <c r="T1644" i="6"/>
  <c r="S1644" i="6"/>
  <c r="P1644" i="6"/>
  <c r="O1644" i="6"/>
  <c r="N1644" i="6"/>
  <c r="M1644" i="6"/>
  <c r="B1644" i="6"/>
  <c r="AE1643" i="6"/>
  <c r="AD1643" i="6"/>
  <c r="W1643" i="6"/>
  <c r="T1643" i="6"/>
  <c r="U1643" i="6" s="1"/>
  <c r="S1643" i="6"/>
  <c r="P1643" i="6"/>
  <c r="O1643" i="6"/>
  <c r="N1643" i="6"/>
  <c r="M1643" i="6"/>
  <c r="B1643" i="6"/>
  <c r="AE1642" i="6"/>
  <c r="AD1642" i="6"/>
  <c r="W1642" i="6"/>
  <c r="T1642" i="6"/>
  <c r="S1642" i="6"/>
  <c r="P1642" i="6"/>
  <c r="O1642" i="6"/>
  <c r="N1642" i="6"/>
  <c r="M1642" i="6"/>
  <c r="B1642" i="6"/>
  <c r="AE1641" i="6"/>
  <c r="AD1641" i="6"/>
  <c r="W1641" i="6"/>
  <c r="T1641" i="6"/>
  <c r="V1641" i="6" s="1"/>
  <c r="S1641" i="6"/>
  <c r="P1641" i="6"/>
  <c r="O1641" i="6"/>
  <c r="N1641" i="6"/>
  <c r="M1641" i="6"/>
  <c r="B1641" i="6"/>
  <c r="AE1640" i="6"/>
  <c r="AD1640" i="6"/>
  <c r="W1640" i="6"/>
  <c r="V1640" i="6"/>
  <c r="U1640" i="6"/>
  <c r="T1640" i="6"/>
  <c r="S1640" i="6"/>
  <c r="P1640" i="6"/>
  <c r="O1640" i="6"/>
  <c r="N1640" i="6"/>
  <c r="M1640" i="6"/>
  <c r="B1640" i="6"/>
  <c r="AE1639" i="6"/>
  <c r="AD1639" i="6"/>
  <c r="W1639" i="6"/>
  <c r="T1639" i="6"/>
  <c r="S1639" i="6"/>
  <c r="P1639" i="6"/>
  <c r="O1639" i="6"/>
  <c r="N1639" i="6"/>
  <c r="M1639" i="6"/>
  <c r="B1639" i="6"/>
  <c r="AE1638" i="6"/>
  <c r="AD1638" i="6"/>
  <c r="W1638" i="6"/>
  <c r="V1638" i="6"/>
  <c r="U1638" i="6"/>
  <c r="T1638" i="6"/>
  <c r="S1638" i="6"/>
  <c r="P1638" i="6"/>
  <c r="O1638" i="6"/>
  <c r="N1638" i="6"/>
  <c r="M1638" i="6"/>
  <c r="B1638" i="6"/>
  <c r="AE1637" i="6"/>
  <c r="AD1637" i="6"/>
  <c r="W1637" i="6"/>
  <c r="T1637" i="6"/>
  <c r="U1637" i="6" s="1"/>
  <c r="S1637" i="6"/>
  <c r="P1637" i="6"/>
  <c r="O1637" i="6"/>
  <c r="N1637" i="6"/>
  <c r="M1637" i="6"/>
  <c r="B1637" i="6"/>
  <c r="AE1636" i="6"/>
  <c r="AD1636" i="6"/>
  <c r="W1636" i="6"/>
  <c r="T1636" i="6"/>
  <c r="S1636" i="6"/>
  <c r="P1636" i="6"/>
  <c r="O1636" i="6"/>
  <c r="N1636" i="6"/>
  <c r="M1636" i="6"/>
  <c r="B1636" i="6"/>
  <c r="AE1635" i="6"/>
  <c r="AD1635" i="6"/>
  <c r="W1635" i="6"/>
  <c r="V1635" i="6"/>
  <c r="U1635" i="6"/>
  <c r="T1635" i="6"/>
  <c r="S1635" i="6"/>
  <c r="P1635" i="6"/>
  <c r="O1635" i="6"/>
  <c r="N1635" i="6"/>
  <c r="M1635" i="6"/>
  <c r="B1635" i="6"/>
  <c r="AE1634" i="6"/>
  <c r="AD1634" i="6"/>
  <c r="W1634" i="6"/>
  <c r="T1634" i="6"/>
  <c r="S1634" i="6"/>
  <c r="P1634" i="6"/>
  <c r="O1634" i="6"/>
  <c r="N1634" i="6"/>
  <c r="M1634" i="6"/>
  <c r="B1634" i="6"/>
  <c r="AE1633" i="6"/>
  <c r="AD1633" i="6"/>
  <c r="W1633" i="6"/>
  <c r="V1633" i="6"/>
  <c r="U1633" i="6"/>
  <c r="T1633" i="6"/>
  <c r="S1633" i="6"/>
  <c r="P1633" i="6"/>
  <c r="O1633" i="6"/>
  <c r="N1633" i="6"/>
  <c r="M1633" i="6"/>
  <c r="B1633" i="6"/>
  <c r="AE1632" i="6"/>
  <c r="AD1632" i="6"/>
  <c r="W1632" i="6"/>
  <c r="V1632" i="6"/>
  <c r="U1632" i="6"/>
  <c r="T1632" i="6"/>
  <c r="S1632" i="6"/>
  <c r="P1632" i="6"/>
  <c r="O1632" i="6"/>
  <c r="N1632" i="6"/>
  <c r="M1632" i="6"/>
  <c r="B1632" i="6"/>
  <c r="AE1631" i="6"/>
  <c r="AD1631" i="6"/>
  <c r="W1631" i="6"/>
  <c r="T1631" i="6"/>
  <c r="U1631" i="6" s="1"/>
  <c r="S1631" i="6"/>
  <c r="P1631" i="6"/>
  <c r="O1631" i="6"/>
  <c r="N1631" i="6"/>
  <c r="M1631" i="6"/>
  <c r="B1631" i="6"/>
  <c r="AE1630" i="6"/>
  <c r="AD1630" i="6"/>
  <c r="W1630" i="6"/>
  <c r="V1630" i="6"/>
  <c r="U1630" i="6"/>
  <c r="T1630" i="6"/>
  <c r="S1630" i="6"/>
  <c r="P1630" i="6"/>
  <c r="O1630" i="6"/>
  <c r="N1630" i="6"/>
  <c r="M1630" i="6"/>
  <c r="B1630" i="6"/>
  <c r="AE1629" i="6"/>
  <c r="AD1629" i="6"/>
  <c r="W1629" i="6"/>
  <c r="T1629" i="6"/>
  <c r="S1629" i="6"/>
  <c r="P1629" i="6"/>
  <c r="O1629" i="6"/>
  <c r="N1629" i="6"/>
  <c r="M1629" i="6"/>
  <c r="B1629" i="6"/>
  <c r="AE1628" i="6"/>
  <c r="AD1628" i="6"/>
  <c r="W1628" i="6"/>
  <c r="V1628" i="6"/>
  <c r="U1628" i="6"/>
  <c r="T1628" i="6"/>
  <c r="S1628" i="6"/>
  <c r="P1628" i="6"/>
  <c r="O1628" i="6"/>
  <c r="N1628" i="6"/>
  <c r="M1628" i="6"/>
  <c r="B1628" i="6"/>
  <c r="AE1627" i="6"/>
  <c r="AD1627" i="6"/>
  <c r="W1627" i="6"/>
  <c r="T1627" i="6"/>
  <c r="V1627" i="6" s="1"/>
  <c r="S1627" i="6"/>
  <c r="P1627" i="6"/>
  <c r="O1627" i="6"/>
  <c r="N1627" i="6"/>
  <c r="M1627" i="6"/>
  <c r="B1627" i="6"/>
  <c r="AE1626" i="6"/>
  <c r="AD1626" i="6"/>
  <c r="W1626" i="6"/>
  <c r="V1626" i="6"/>
  <c r="U1626" i="6"/>
  <c r="T1626" i="6"/>
  <c r="S1626" i="6"/>
  <c r="P1626" i="6"/>
  <c r="O1626" i="6"/>
  <c r="N1626" i="6"/>
  <c r="M1626" i="6"/>
  <c r="B1626" i="6"/>
  <c r="AE1625" i="6"/>
  <c r="AD1625" i="6"/>
  <c r="W1625" i="6"/>
  <c r="V1625" i="6"/>
  <c r="U1625" i="6"/>
  <c r="T1625" i="6"/>
  <c r="S1625" i="6"/>
  <c r="P1625" i="6"/>
  <c r="O1625" i="6"/>
  <c r="N1625" i="6"/>
  <c r="M1625" i="6"/>
  <c r="B1625" i="6"/>
  <c r="AE1624" i="6"/>
  <c r="AD1624" i="6"/>
  <c r="W1624" i="6"/>
  <c r="T1624" i="6"/>
  <c r="S1624" i="6"/>
  <c r="P1624" i="6"/>
  <c r="O1624" i="6"/>
  <c r="N1624" i="6"/>
  <c r="M1624" i="6"/>
  <c r="B1624" i="6"/>
  <c r="AE1623" i="6"/>
  <c r="AD1623" i="6"/>
  <c r="W1623" i="6"/>
  <c r="T1623" i="6"/>
  <c r="S1623" i="6"/>
  <c r="P1623" i="6"/>
  <c r="O1623" i="6"/>
  <c r="N1623" i="6"/>
  <c r="M1623" i="6"/>
  <c r="B1623" i="6"/>
  <c r="AE1622" i="6"/>
  <c r="AD1622" i="6"/>
  <c r="W1622" i="6"/>
  <c r="T1622" i="6"/>
  <c r="V1622" i="6" s="1"/>
  <c r="S1622" i="6"/>
  <c r="P1622" i="6"/>
  <c r="O1622" i="6"/>
  <c r="N1622" i="6"/>
  <c r="M1622" i="6"/>
  <c r="B1622" i="6"/>
  <c r="AE1621" i="6"/>
  <c r="AD1621" i="6"/>
  <c r="W1621" i="6"/>
  <c r="V1621" i="6"/>
  <c r="U1621" i="6"/>
  <c r="T1621" i="6"/>
  <c r="S1621" i="6"/>
  <c r="P1621" i="6"/>
  <c r="O1621" i="6"/>
  <c r="N1621" i="6"/>
  <c r="M1621" i="6"/>
  <c r="B1621" i="6"/>
  <c r="AE1620" i="6"/>
  <c r="AD1620" i="6"/>
  <c r="W1620" i="6"/>
  <c r="V1620" i="6"/>
  <c r="U1620" i="6"/>
  <c r="T1620" i="6"/>
  <c r="S1620" i="6"/>
  <c r="P1620" i="6"/>
  <c r="O1620" i="6"/>
  <c r="N1620" i="6"/>
  <c r="M1620" i="6"/>
  <c r="B1620" i="6"/>
  <c r="AE1619" i="6"/>
  <c r="AD1619" i="6"/>
  <c r="W1619" i="6"/>
  <c r="T1619" i="6"/>
  <c r="S1619" i="6"/>
  <c r="P1619" i="6"/>
  <c r="O1619" i="6"/>
  <c r="N1619" i="6"/>
  <c r="M1619" i="6"/>
  <c r="B1619" i="6"/>
  <c r="AE1618" i="6"/>
  <c r="AD1618" i="6"/>
  <c r="W1618" i="6"/>
  <c r="T1618" i="6"/>
  <c r="U1618" i="6" s="1"/>
  <c r="S1618" i="6"/>
  <c r="P1618" i="6"/>
  <c r="O1618" i="6"/>
  <c r="N1618" i="6"/>
  <c r="M1618" i="6"/>
  <c r="B1618" i="6"/>
  <c r="AE1617" i="6"/>
  <c r="AD1617" i="6"/>
  <c r="W1617" i="6"/>
  <c r="T1617" i="6"/>
  <c r="S1617" i="6"/>
  <c r="P1617" i="6"/>
  <c r="O1617" i="6"/>
  <c r="N1617" i="6"/>
  <c r="M1617" i="6"/>
  <c r="B1617" i="6"/>
  <c r="AE1616" i="6"/>
  <c r="AD1616" i="6"/>
  <c r="W1616" i="6"/>
  <c r="V1616" i="6"/>
  <c r="U1616" i="6"/>
  <c r="T1616" i="6"/>
  <c r="S1616" i="6"/>
  <c r="P1616" i="6"/>
  <c r="O1616" i="6"/>
  <c r="N1616" i="6"/>
  <c r="M1616" i="6"/>
  <c r="B1616" i="6"/>
  <c r="AE1615" i="6"/>
  <c r="AD1615" i="6"/>
  <c r="W1615" i="6"/>
  <c r="V1615" i="6"/>
  <c r="U1615" i="6"/>
  <c r="T1615" i="6"/>
  <c r="S1615" i="6"/>
  <c r="P1615" i="6"/>
  <c r="O1615" i="6"/>
  <c r="N1615" i="6"/>
  <c r="M1615" i="6"/>
  <c r="B1615" i="6"/>
  <c r="AE1614" i="6"/>
  <c r="AD1614" i="6"/>
  <c r="W1614" i="6"/>
  <c r="T1614" i="6"/>
  <c r="S1614" i="6"/>
  <c r="P1614" i="6"/>
  <c r="O1614" i="6"/>
  <c r="N1614" i="6"/>
  <c r="M1614" i="6"/>
  <c r="B1614" i="6"/>
  <c r="AE1613" i="6"/>
  <c r="AD1613" i="6"/>
  <c r="W1613" i="6"/>
  <c r="V1613" i="6"/>
  <c r="U1613" i="6"/>
  <c r="T1613" i="6"/>
  <c r="S1613" i="6"/>
  <c r="P1613" i="6"/>
  <c r="O1613" i="6"/>
  <c r="N1613" i="6"/>
  <c r="M1613" i="6"/>
  <c r="B1613" i="6"/>
  <c r="AE1612" i="6"/>
  <c r="AD1612" i="6"/>
  <c r="W1612" i="6"/>
  <c r="T1612" i="6"/>
  <c r="U1612" i="6" s="1"/>
  <c r="S1612" i="6"/>
  <c r="P1612" i="6"/>
  <c r="O1612" i="6"/>
  <c r="N1612" i="6"/>
  <c r="M1612" i="6"/>
  <c r="B1612" i="6"/>
  <c r="AE1611" i="6"/>
  <c r="AD1611" i="6"/>
  <c r="W1611" i="6"/>
  <c r="T1611" i="6"/>
  <c r="S1611" i="6"/>
  <c r="P1611" i="6"/>
  <c r="O1611" i="6"/>
  <c r="N1611" i="6"/>
  <c r="M1611" i="6"/>
  <c r="B1611" i="6"/>
  <c r="AE1610" i="6"/>
  <c r="AD1610" i="6"/>
  <c r="W1610" i="6"/>
  <c r="V1610" i="6"/>
  <c r="U1610" i="6"/>
  <c r="T1610" i="6"/>
  <c r="S1610" i="6"/>
  <c r="P1610" i="6"/>
  <c r="O1610" i="6"/>
  <c r="N1610" i="6"/>
  <c r="M1610" i="6"/>
  <c r="B1610" i="6"/>
  <c r="AE1609" i="6"/>
  <c r="AD1609" i="6"/>
  <c r="W1609" i="6"/>
  <c r="T1609" i="6"/>
  <c r="S1609" i="6"/>
  <c r="P1609" i="6"/>
  <c r="O1609" i="6"/>
  <c r="N1609" i="6"/>
  <c r="M1609" i="6"/>
  <c r="B1609" i="6"/>
  <c r="AE1608" i="6"/>
  <c r="AD1608" i="6"/>
  <c r="W1608" i="6"/>
  <c r="T1608" i="6"/>
  <c r="V1608" i="6" s="1"/>
  <c r="S1608" i="6"/>
  <c r="P1608" i="6"/>
  <c r="O1608" i="6"/>
  <c r="N1608" i="6"/>
  <c r="M1608" i="6"/>
  <c r="B1608" i="6"/>
  <c r="AE1607" i="6"/>
  <c r="AD1607" i="6"/>
  <c r="W1607" i="6"/>
  <c r="V1607" i="6"/>
  <c r="U1607" i="6"/>
  <c r="T1607" i="6"/>
  <c r="S1607" i="6"/>
  <c r="P1607" i="6"/>
  <c r="O1607" i="6"/>
  <c r="N1607" i="6"/>
  <c r="M1607" i="6"/>
  <c r="B1607" i="6"/>
  <c r="AE1606" i="6"/>
  <c r="AD1606" i="6"/>
  <c r="W1606" i="6"/>
  <c r="T1606" i="6"/>
  <c r="U1606" i="6" s="1"/>
  <c r="S1606" i="6"/>
  <c r="P1606" i="6"/>
  <c r="O1606" i="6"/>
  <c r="N1606" i="6"/>
  <c r="M1606" i="6"/>
  <c r="B1606" i="6"/>
  <c r="AE1605" i="6"/>
  <c r="AD1605" i="6"/>
  <c r="W1605" i="6"/>
  <c r="V1605" i="6"/>
  <c r="U1605" i="6"/>
  <c r="T1605" i="6"/>
  <c r="S1605" i="6"/>
  <c r="P1605" i="6"/>
  <c r="O1605" i="6"/>
  <c r="N1605" i="6"/>
  <c r="M1605" i="6"/>
  <c r="B1605" i="6"/>
  <c r="AE1604" i="6"/>
  <c r="AD1604" i="6"/>
  <c r="W1604" i="6"/>
  <c r="T1604" i="6"/>
  <c r="S1604" i="6"/>
  <c r="P1604" i="6"/>
  <c r="O1604" i="6"/>
  <c r="N1604" i="6"/>
  <c r="M1604" i="6"/>
  <c r="B1604" i="6"/>
  <c r="AE1603" i="6"/>
  <c r="AD1603" i="6"/>
  <c r="W1603" i="6"/>
  <c r="T1603" i="6"/>
  <c r="V1603" i="6" s="1"/>
  <c r="S1603" i="6"/>
  <c r="P1603" i="6"/>
  <c r="O1603" i="6"/>
  <c r="N1603" i="6"/>
  <c r="M1603" i="6"/>
  <c r="B1603" i="6"/>
  <c r="AE1602" i="6"/>
  <c r="AD1602" i="6"/>
  <c r="W1602" i="6"/>
  <c r="V1602" i="6"/>
  <c r="U1602" i="6"/>
  <c r="T1602" i="6"/>
  <c r="S1602" i="6"/>
  <c r="P1602" i="6"/>
  <c r="O1602" i="6"/>
  <c r="N1602" i="6"/>
  <c r="M1602" i="6"/>
  <c r="B1602" i="6"/>
  <c r="AE1601" i="6"/>
  <c r="AD1601" i="6"/>
  <c r="W1601" i="6"/>
  <c r="V1601" i="6"/>
  <c r="U1601" i="6"/>
  <c r="T1601" i="6"/>
  <c r="S1601" i="6"/>
  <c r="P1601" i="6"/>
  <c r="O1601" i="6"/>
  <c r="N1601" i="6"/>
  <c r="M1601" i="6"/>
  <c r="B1601" i="6"/>
  <c r="AE1600" i="6"/>
  <c r="AD1600" i="6"/>
  <c r="W1600" i="6"/>
  <c r="V1600" i="6"/>
  <c r="U1600" i="6"/>
  <c r="T1600" i="6"/>
  <c r="S1600" i="6"/>
  <c r="P1600" i="6"/>
  <c r="O1600" i="6"/>
  <c r="N1600" i="6"/>
  <c r="M1600" i="6"/>
  <c r="B1600" i="6"/>
  <c r="AE1599" i="6"/>
  <c r="AD1599" i="6"/>
  <c r="W1599" i="6"/>
  <c r="T1599" i="6"/>
  <c r="S1599" i="6"/>
  <c r="P1599" i="6"/>
  <c r="O1599" i="6"/>
  <c r="N1599" i="6"/>
  <c r="M1599" i="6"/>
  <c r="B1599" i="6"/>
  <c r="AE1598" i="6"/>
  <c r="AD1598" i="6"/>
  <c r="W1598" i="6"/>
  <c r="T1598" i="6"/>
  <c r="S1598" i="6"/>
  <c r="P1598" i="6"/>
  <c r="O1598" i="6"/>
  <c r="N1598" i="6"/>
  <c r="M1598" i="6"/>
  <c r="B1598" i="6"/>
  <c r="AE1597" i="6"/>
  <c r="AD1597" i="6"/>
  <c r="W1597" i="6"/>
  <c r="T1597" i="6"/>
  <c r="V1597" i="6" s="1"/>
  <c r="S1597" i="6"/>
  <c r="P1597" i="6"/>
  <c r="O1597" i="6"/>
  <c r="N1597" i="6"/>
  <c r="M1597" i="6"/>
  <c r="B1597" i="6"/>
  <c r="AE1596" i="6"/>
  <c r="AD1596" i="6"/>
  <c r="W1596" i="6"/>
  <c r="T1596" i="6"/>
  <c r="V1596" i="6" s="1"/>
  <c r="S1596" i="6"/>
  <c r="P1596" i="6"/>
  <c r="O1596" i="6"/>
  <c r="N1596" i="6"/>
  <c r="M1596" i="6"/>
  <c r="B1596" i="6"/>
  <c r="AE1595" i="6"/>
  <c r="AD1595" i="6"/>
  <c r="W1595" i="6"/>
  <c r="V1595" i="6"/>
  <c r="U1595" i="6"/>
  <c r="T1595" i="6"/>
  <c r="S1595" i="6"/>
  <c r="P1595" i="6"/>
  <c r="O1595" i="6"/>
  <c r="N1595" i="6"/>
  <c r="M1595" i="6"/>
  <c r="B1595" i="6"/>
  <c r="AE1594" i="6"/>
  <c r="AD1594" i="6"/>
  <c r="W1594" i="6"/>
  <c r="T1594" i="6"/>
  <c r="S1594" i="6"/>
  <c r="P1594" i="6"/>
  <c r="O1594" i="6"/>
  <c r="N1594" i="6"/>
  <c r="M1594" i="6"/>
  <c r="B1594" i="6"/>
  <c r="AE1593" i="6"/>
  <c r="AD1593" i="6"/>
  <c r="W1593" i="6"/>
  <c r="T1593" i="6"/>
  <c r="U1593" i="6" s="1"/>
  <c r="S1593" i="6"/>
  <c r="P1593" i="6"/>
  <c r="O1593" i="6"/>
  <c r="N1593" i="6"/>
  <c r="M1593" i="6"/>
  <c r="B1593" i="6"/>
  <c r="AE1592" i="6"/>
  <c r="AD1592" i="6"/>
  <c r="W1592" i="6"/>
  <c r="T1592" i="6"/>
  <c r="S1592" i="6"/>
  <c r="P1592" i="6"/>
  <c r="O1592" i="6"/>
  <c r="N1592" i="6"/>
  <c r="M1592" i="6"/>
  <c r="B1592" i="6"/>
  <c r="AE1591" i="6"/>
  <c r="AD1591" i="6"/>
  <c r="W1591" i="6"/>
  <c r="T1591" i="6"/>
  <c r="V1591" i="6" s="1"/>
  <c r="S1591" i="6"/>
  <c r="P1591" i="6"/>
  <c r="O1591" i="6"/>
  <c r="N1591" i="6"/>
  <c r="M1591" i="6"/>
  <c r="B1591" i="6"/>
  <c r="AE1590" i="6"/>
  <c r="AD1590" i="6"/>
  <c r="W1590" i="6"/>
  <c r="V1590" i="6"/>
  <c r="U1590" i="6"/>
  <c r="T1590" i="6"/>
  <c r="S1590" i="6"/>
  <c r="P1590" i="6"/>
  <c r="O1590" i="6"/>
  <c r="N1590" i="6"/>
  <c r="M1590" i="6"/>
  <c r="B1590" i="6"/>
  <c r="AE1589" i="6"/>
  <c r="AD1589" i="6"/>
  <c r="W1589" i="6"/>
  <c r="T1589" i="6"/>
  <c r="S1589" i="6"/>
  <c r="P1589" i="6"/>
  <c r="O1589" i="6"/>
  <c r="N1589" i="6"/>
  <c r="M1589" i="6"/>
  <c r="B1589" i="6"/>
  <c r="AE1588" i="6"/>
  <c r="AD1588" i="6"/>
  <c r="W1588" i="6"/>
  <c r="V1588" i="6"/>
  <c r="U1588" i="6"/>
  <c r="T1588" i="6"/>
  <c r="S1588" i="6"/>
  <c r="P1588" i="6"/>
  <c r="O1588" i="6"/>
  <c r="N1588" i="6"/>
  <c r="M1588" i="6"/>
  <c r="B1588" i="6"/>
  <c r="AE1587" i="6"/>
  <c r="AD1587" i="6"/>
  <c r="W1587" i="6"/>
  <c r="T1587" i="6"/>
  <c r="U1587" i="6" s="1"/>
  <c r="S1587" i="6"/>
  <c r="P1587" i="6"/>
  <c r="O1587" i="6"/>
  <c r="N1587" i="6"/>
  <c r="M1587" i="6"/>
  <c r="B1587" i="6"/>
  <c r="AE1586" i="6"/>
  <c r="AD1586" i="6"/>
  <c r="W1586" i="6"/>
  <c r="T1586" i="6"/>
  <c r="S1586" i="6"/>
  <c r="P1586" i="6"/>
  <c r="O1586" i="6"/>
  <c r="N1586" i="6"/>
  <c r="M1586" i="6"/>
  <c r="B1586" i="6"/>
  <c r="AE1585" i="6"/>
  <c r="AD1585" i="6"/>
  <c r="W1585" i="6"/>
  <c r="V1585" i="6"/>
  <c r="U1585" i="6"/>
  <c r="T1585" i="6"/>
  <c r="S1585" i="6"/>
  <c r="P1585" i="6"/>
  <c r="O1585" i="6"/>
  <c r="N1585" i="6"/>
  <c r="M1585" i="6"/>
  <c r="B1585" i="6"/>
  <c r="AE1584" i="6"/>
  <c r="AD1584" i="6"/>
  <c r="W1584" i="6"/>
  <c r="T1584" i="6"/>
  <c r="S1584" i="6"/>
  <c r="P1584" i="6"/>
  <c r="O1584" i="6"/>
  <c r="N1584" i="6"/>
  <c r="M1584" i="6"/>
  <c r="B1584" i="6"/>
  <c r="AE1583" i="6"/>
  <c r="AD1583" i="6"/>
  <c r="W1583" i="6"/>
  <c r="V1583" i="6"/>
  <c r="U1583" i="6"/>
  <c r="T1583" i="6"/>
  <c r="S1583" i="6"/>
  <c r="P1583" i="6"/>
  <c r="O1583" i="6"/>
  <c r="N1583" i="6"/>
  <c r="M1583" i="6"/>
  <c r="B1583" i="6"/>
  <c r="AE1582" i="6"/>
  <c r="AD1582" i="6"/>
  <c r="W1582" i="6"/>
  <c r="V1582" i="6"/>
  <c r="U1582" i="6"/>
  <c r="T1582" i="6"/>
  <c r="S1582" i="6"/>
  <c r="P1582" i="6"/>
  <c r="O1582" i="6"/>
  <c r="N1582" i="6"/>
  <c r="M1582" i="6"/>
  <c r="B1582" i="6"/>
  <c r="AE1581" i="6"/>
  <c r="AD1581" i="6"/>
  <c r="W1581" i="6"/>
  <c r="T1581" i="6"/>
  <c r="U1581" i="6" s="1"/>
  <c r="S1581" i="6"/>
  <c r="P1581" i="6"/>
  <c r="O1581" i="6"/>
  <c r="N1581" i="6"/>
  <c r="M1581" i="6"/>
  <c r="B1581" i="6"/>
  <c r="AE1580" i="6"/>
  <c r="AD1580" i="6"/>
  <c r="W1580" i="6"/>
  <c r="V1580" i="6"/>
  <c r="U1580" i="6"/>
  <c r="T1580" i="6"/>
  <c r="S1580" i="6"/>
  <c r="P1580" i="6"/>
  <c r="O1580" i="6"/>
  <c r="N1580" i="6"/>
  <c r="M1580" i="6"/>
  <c r="B1580" i="6"/>
  <c r="AE1579" i="6"/>
  <c r="AD1579" i="6"/>
  <c r="W1579" i="6"/>
  <c r="T1579" i="6"/>
  <c r="S1579" i="6"/>
  <c r="P1579" i="6"/>
  <c r="O1579" i="6"/>
  <c r="N1579" i="6"/>
  <c r="M1579" i="6"/>
  <c r="B1579" i="6"/>
  <c r="AE1578" i="6"/>
  <c r="AD1578" i="6"/>
  <c r="W1578" i="6"/>
  <c r="T1578" i="6"/>
  <c r="V1578" i="6" s="1"/>
  <c r="S1578" i="6"/>
  <c r="P1578" i="6"/>
  <c r="O1578" i="6"/>
  <c r="N1578" i="6"/>
  <c r="M1578" i="6"/>
  <c r="B1578" i="6"/>
  <c r="AE1577" i="6"/>
  <c r="AD1577" i="6"/>
  <c r="W1577" i="6"/>
  <c r="T1577" i="6"/>
  <c r="V1577" i="6" s="1"/>
  <c r="S1577" i="6"/>
  <c r="P1577" i="6"/>
  <c r="O1577" i="6"/>
  <c r="N1577" i="6"/>
  <c r="M1577" i="6"/>
  <c r="B1577" i="6"/>
  <c r="AE1576" i="6"/>
  <c r="AD1576" i="6"/>
  <c r="W1576" i="6"/>
  <c r="V1576" i="6"/>
  <c r="U1576" i="6"/>
  <c r="T1576" i="6"/>
  <c r="S1576" i="6"/>
  <c r="P1576" i="6"/>
  <c r="O1576" i="6"/>
  <c r="N1576" i="6"/>
  <c r="M1576" i="6"/>
  <c r="B1576" i="6"/>
  <c r="AE1575" i="6"/>
  <c r="AD1575" i="6"/>
  <c r="W1575" i="6"/>
  <c r="V1575" i="6"/>
  <c r="U1575" i="6"/>
  <c r="T1575" i="6"/>
  <c r="S1575" i="6"/>
  <c r="P1575" i="6"/>
  <c r="O1575" i="6"/>
  <c r="N1575" i="6"/>
  <c r="M1575" i="6"/>
  <c r="B1575" i="6"/>
  <c r="AE1574" i="6"/>
  <c r="AD1574" i="6"/>
  <c r="W1574" i="6"/>
  <c r="T1574" i="6"/>
  <c r="S1574" i="6"/>
  <c r="P1574" i="6"/>
  <c r="O1574" i="6"/>
  <c r="N1574" i="6"/>
  <c r="M1574" i="6"/>
  <c r="B1574" i="6"/>
  <c r="AE1573" i="6"/>
  <c r="AD1573" i="6"/>
  <c r="W1573" i="6"/>
  <c r="T1573" i="6"/>
  <c r="S1573" i="6"/>
  <c r="P1573" i="6"/>
  <c r="O1573" i="6"/>
  <c r="N1573" i="6"/>
  <c r="M1573" i="6"/>
  <c r="B1573" i="6"/>
  <c r="AE1572" i="6"/>
  <c r="AD1572" i="6"/>
  <c r="W1572" i="6"/>
  <c r="V1572" i="6"/>
  <c r="U1572" i="6"/>
  <c r="T1572" i="6"/>
  <c r="S1572" i="6"/>
  <c r="P1572" i="6"/>
  <c r="O1572" i="6"/>
  <c r="N1572" i="6"/>
  <c r="M1572" i="6"/>
  <c r="B1572" i="6"/>
  <c r="AE1571" i="6"/>
  <c r="AD1571" i="6"/>
  <c r="W1571" i="6"/>
  <c r="T1571" i="6"/>
  <c r="V1571" i="6" s="1"/>
  <c r="S1571" i="6"/>
  <c r="P1571" i="6"/>
  <c r="O1571" i="6"/>
  <c r="N1571" i="6"/>
  <c r="M1571" i="6"/>
  <c r="B1571" i="6"/>
  <c r="AE1570" i="6"/>
  <c r="AD1570" i="6"/>
  <c r="W1570" i="6"/>
  <c r="V1570" i="6"/>
  <c r="U1570" i="6"/>
  <c r="T1570" i="6"/>
  <c r="S1570" i="6"/>
  <c r="P1570" i="6"/>
  <c r="O1570" i="6"/>
  <c r="N1570" i="6"/>
  <c r="M1570" i="6"/>
  <c r="B1570" i="6"/>
  <c r="AE1569" i="6"/>
  <c r="AD1569" i="6"/>
  <c r="W1569" i="6"/>
  <c r="T1569" i="6"/>
  <c r="S1569" i="6"/>
  <c r="P1569" i="6"/>
  <c r="O1569" i="6"/>
  <c r="N1569" i="6"/>
  <c r="M1569" i="6"/>
  <c r="B1569" i="6"/>
  <c r="AE1568" i="6"/>
  <c r="AD1568" i="6"/>
  <c r="W1568" i="6"/>
  <c r="T1568" i="6"/>
  <c r="U1568" i="6" s="1"/>
  <c r="S1568" i="6"/>
  <c r="P1568" i="6"/>
  <c r="O1568" i="6"/>
  <c r="N1568" i="6"/>
  <c r="M1568" i="6"/>
  <c r="B1568" i="6"/>
  <c r="AE1567" i="6"/>
  <c r="AD1567" i="6"/>
  <c r="W1567" i="6"/>
  <c r="T1567" i="6"/>
  <c r="S1567" i="6"/>
  <c r="P1567" i="6"/>
  <c r="O1567" i="6"/>
  <c r="N1567" i="6"/>
  <c r="M1567" i="6"/>
  <c r="B1567" i="6"/>
  <c r="AE1566" i="6"/>
  <c r="AD1566" i="6"/>
  <c r="W1566" i="6"/>
  <c r="V1566" i="6"/>
  <c r="U1566" i="6"/>
  <c r="T1566" i="6"/>
  <c r="S1566" i="6"/>
  <c r="P1566" i="6"/>
  <c r="O1566" i="6"/>
  <c r="N1566" i="6"/>
  <c r="M1566" i="6"/>
  <c r="B1566" i="6"/>
  <c r="AE1565" i="6"/>
  <c r="AD1565" i="6"/>
  <c r="W1565" i="6"/>
  <c r="V1565" i="6"/>
  <c r="U1565" i="6"/>
  <c r="T1565" i="6"/>
  <c r="S1565" i="6"/>
  <c r="P1565" i="6"/>
  <c r="O1565" i="6"/>
  <c r="N1565" i="6"/>
  <c r="M1565" i="6"/>
  <c r="B1565" i="6"/>
  <c r="AE1564" i="6"/>
  <c r="AD1564" i="6"/>
  <c r="W1564" i="6"/>
  <c r="T1564" i="6"/>
  <c r="S1564" i="6"/>
  <c r="P1564" i="6"/>
  <c r="O1564" i="6"/>
  <c r="N1564" i="6"/>
  <c r="M1564" i="6"/>
  <c r="B1564" i="6"/>
  <c r="AE1563" i="6"/>
  <c r="AD1563" i="6"/>
  <c r="W1563" i="6"/>
  <c r="V1563" i="6"/>
  <c r="U1563" i="6"/>
  <c r="T1563" i="6"/>
  <c r="S1563" i="6"/>
  <c r="P1563" i="6"/>
  <c r="O1563" i="6"/>
  <c r="N1563" i="6"/>
  <c r="M1563" i="6"/>
  <c r="B1563" i="6"/>
  <c r="AE1562" i="6"/>
  <c r="AD1562" i="6"/>
  <c r="W1562" i="6"/>
  <c r="T1562" i="6"/>
  <c r="U1562" i="6" s="1"/>
  <c r="S1562" i="6"/>
  <c r="P1562" i="6"/>
  <c r="O1562" i="6"/>
  <c r="N1562" i="6"/>
  <c r="M1562" i="6"/>
  <c r="B1562" i="6"/>
  <c r="AE1561" i="6"/>
  <c r="AD1561" i="6"/>
  <c r="W1561" i="6"/>
  <c r="T1561" i="6"/>
  <c r="S1561" i="6"/>
  <c r="P1561" i="6"/>
  <c r="O1561" i="6"/>
  <c r="N1561" i="6"/>
  <c r="M1561" i="6"/>
  <c r="B1561" i="6"/>
  <c r="AE1560" i="6"/>
  <c r="AD1560" i="6"/>
  <c r="W1560" i="6"/>
  <c r="V1560" i="6"/>
  <c r="U1560" i="6"/>
  <c r="T1560" i="6"/>
  <c r="S1560" i="6"/>
  <c r="P1560" i="6"/>
  <c r="O1560" i="6"/>
  <c r="N1560" i="6"/>
  <c r="M1560" i="6"/>
  <c r="B1560" i="6"/>
  <c r="AE1559" i="6"/>
  <c r="AD1559" i="6"/>
  <c r="W1559" i="6"/>
  <c r="T1559" i="6"/>
  <c r="S1559" i="6"/>
  <c r="P1559" i="6"/>
  <c r="O1559" i="6"/>
  <c r="N1559" i="6"/>
  <c r="M1559" i="6"/>
  <c r="B1559" i="6"/>
  <c r="AE1558" i="6"/>
  <c r="AD1558" i="6"/>
  <c r="W1558" i="6"/>
  <c r="T1558" i="6"/>
  <c r="V1558" i="6" s="1"/>
  <c r="S1558" i="6"/>
  <c r="P1558" i="6"/>
  <c r="O1558" i="6"/>
  <c r="N1558" i="6"/>
  <c r="M1558" i="6"/>
  <c r="B1558" i="6"/>
  <c r="AE1557" i="6"/>
  <c r="AD1557" i="6"/>
  <c r="W1557" i="6"/>
  <c r="V1557" i="6"/>
  <c r="U1557" i="6"/>
  <c r="T1557" i="6"/>
  <c r="S1557" i="6"/>
  <c r="P1557" i="6"/>
  <c r="O1557" i="6"/>
  <c r="N1557" i="6"/>
  <c r="M1557" i="6"/>
  <c r="B1557" i="6"/>
  <c r="AE1556" i="6"/>
  <c r="AD1556" i="6"/>
  <c r="W1556" i="6"/>
  <c r="T1556" i="6"/>
  <c r="U1556" i="6" s="1"/>
  <c r="S1556" i="6"/>
  <c r="P1556" i="6"/>
  <c r="O1556" i="6"/>
  <c r="N1556" i="6"/>
  <c r="M1556" i="6"/>
  <c r="B1556" i="6"/>
  <c r="AE1555" i="6"/>
  <c r="AD1555" i="6"/>
  <c r="W1555" i="6"/>
  <c r="V1555" i="6"/>
  <c r="U1555" i="6"/>
  <c r="T1555" i="6"/>
  <c r="S1555" i="6"/>
  <c r="P1555" i="6"/>
  <c r="O1555" i="6"/>
  <c r="N1555" i="6"/>
  <c r="M1555" i="6"/>
  <c r="B1555" i="6"/>
  <c r="AE1554" i="6"/>
  <c r="AD1554" i="6"/>
  <c r="W1554" i="6"/>
  <c r="T1554" i="6"/>
  <c r="S1554" i="6"/>
  <c r="P1554" i="6"/>
  <c r="O1554" i="6"/>
  <c r="N1554" i="6"/>
  <c r="M1554" i="6"/>
  <c r="B1554" i="6"/>
  <c r="AE1553" i="6"/>
  <c r="AD1553" i="6"/>
  <c r="W1553" i="6"/>
  <c r="V1553" i="6"/>
  <c r="U1553" i="6"/>
  <c r="T1553" i="6"/>
  <c r="S1553" i="6"/>
  <c r="P1553" i="6"/>
  <c r="O1553" i="6"/>
  <c r="N1553" i="6"/>
  <c r="M1553" i="6"/>
  <c r="B1553" i="6"/>
  <c r="AE1552" i="6"/>
  <c r="AD1552" i="6"/>
  <c r="W1552" i="6"/>
  <c r="T1552" i="6"/>
  <c r="V1552" i="6" s="1"/>
  <c r="S1552" i="6"/>
  <c r="P1552" i="6"/>
  <c r="O1552" i="6"/>
  <c r="N1552" i="6"/>
  <c r="M1552" i="6"/>
  <c r="B1552" i="6"/>
  <c r="AE1551" i="6"/>
  <c r="AD1551" i="6"/>
  <c r="W1551" i="6"/>
  <c r="V1551" i="6"/>
  <c r="U1551" i="6"/>
  <c r="T1551" i="6"/>
  <c r="S1551" i="6"/>
  <c r="P1551" i="6"/>
  <c r="O1551" i="6"/>
  <c r="N1551" i="6"/>
  <c r="M1551" i="6"/>
  <c r="B1551" i="6"/>
  <c r="AE1550" i="6"/>
  <c r="AD1550" i="6"/>
  <c r="W1550" i="6"/>
  <c r="V1550" i="6"/>
  <c r="U1550" i="6"/>
  <c r="T1550" i="6"/>
  <c r="S1550" i="6"/>
  <c r="P1550" i="6"/>
  <c r="O1550" i="6"/>
  <c r="N1550" i="6"/>
  <c r="M1550" i="6"/>
  <c r="B1550" i="6"/>
  <c r="AE1549" i="6"/>
  <c r="AD1549" i="6"/>
  <c r="W1549" i="6"/>
  <c r="T1549" i="6"/>
  <c r="S1549" i="6"/>
  <c r="P1549" i="6"/>
  <c r="O1549" i="6"/>
  <c r="N1549" i="6"/>
  <c r="M1549" i="6"/>
  <c r="B1549" i="6"/>
  <c r="AE1548" i="6"/>
  <c r="AD1548" i="6"/>
  <c r="W1548" i="6"/>
  <c r="T1548" i="6"/>
  <c r="S1548" i="6"/>
  <c r="P1548" i="6"/>
  <c r="O1548" i="6"/>
  <c r="N1548" i="6"/>
  <c r="M1548" i="6"/>
  <c r="B1548" i="6"/>
  <c r="AE1547" i="6"/>
  <c r="AD1547" i="6"/>
  <c r="W1547" i="6"/>
  <c r="T1547" i="6"/>
  <c r="V1547" i="6" s="1"/>
  <c r="S1547" i="6"/>
  <c r="P1547" i="6"/>
  <c r="O1547" i="6"/>
  <c r="N1547" i="6"/>
  <c r="M1547" i="6"/>
  <c r="B1547" i="6"/>
  <c r="AE1546" i="6"/>
  <c r="AD1546" i="6"/>
  <c r="W1546" i="6"/>
  <c r="V1546" i="6"/>
  <c r="U1546" i="6"/>
  <c r="T1546" i="6"/>
  <c r="S1546" i="6"/>
  <c r="P1546" i="6"/>
  <c r="O1546" i="6"/>
  <c r="N1546" i="6"/>
  <c r="M1546" i="6"/>
  <c r="B1546" i="6"/>
  <c r="AE1545" i="6"/>
  <c r="AD1545" i="6"/>
  <c r="W1545" i="6"/>
  <c r="V1545" i="6"/>
  <c r="U1545" i="6"/>
  <c r="T1545" i="6"/>
  <c r="S1545" i="6"/>
  <c r="P1545" i="6"/>
  <c r="O1545" i="6"/>
  <c r="N1545" i="6"/>
  <c r="M1545" i="6"/>
  <c r="B1545" i="6"/>
  <c r="AE1544" i="6"/>
  <c r="AD1544" i="6"/>
  <c r="W1544" i="6"/>
  <c r="T1544" i="6"/>
  <c r="S1544" i="6"/>
  <c r="P1544" i="6"/>
  <c r="O1544" i="6"/>
  <c r="N1544" i="6"/>
  <c r="M1544" i="6"/>
  <c r="B1544" i="6"/>
  <c r="AE1543" i="6"/>
  <c r="AD1543" i="6"/>
  <c r="W1543" i="6"/>
  <c r="T1543" i="6"/>
  <c r="U1543" i="6" s="1"/>
  <c r="S1543" i="6"/>
  <c r="P1543" i="6"/>
  <c r="O1543" i="6"/>
  <c r="N1543" i="6"/>
  <c r="M1543" i="6"/>
  <c r="B1543" i="6"/>
  <c r="AE1542" i="6"/>
  <c r="AD1542" i="6"/>
  <c r="W1542" i="6"/>
  <c r="T1542" i="6"/>
  <c r="S1542" i="6"/>
  <c r="P1542" i="6"/>
  <c r="O1542" i="6"/>
  <c r="N1542" i="6"/>
  <c r="M1542" i="6"/>
  <c r="B1542" i="6"/>
  <c r="AE1541" i="6"/>
  <c r="AD1541" i="6"/>
  <c r="W1541" i="6"/>
  <c r="T1541" i="6"/>
  <c r="V1541" i="6" s="1"/>
  <c r="S1541" i="6"/>
  <c r="P1541" i="6"/>
  <c r="O1541" i="6"/>
  <c r="N1541" i="6"/>
  <c r="M1541" i="6"/>
  <c r="B1541" i="6"/>
  <c r="AE1540" i="6"/>
  <c r="AD1540" i="6"/>
  <c r="W1540" i="6"/>
  <c r="V1540" i="6"/>
  <c r="U1540" i="6"/>
  <c r="T1540" i="6"/>
  <c r="S1540" i="6"/>
  <c r="P1540" i="6"/>
  <c r="O1540" i="6"/>
  <c r="N1540" i="6"/>
  <c r="M1540" i="6"/>
  <c r="B1540" i="6"/>
  <c r="AE1539" i="6"/>
  <c r="AD1539" i="6"/>
  <c r="W1539" i="6"/>
  <c r="T1539" i="6"/>
  <c r="U1539" i="6" s="1"/>
  <c r="S1539" i="6"/>
  <c r="P1539" i="6"/>
  <c r="O1539" i="6"/>
  <c r="N1539" i="6"/>
  <c r="M1539" i="6"/>
  <c r="B1539" i="6"/>
  <c r="AE1538" i="6"/>
  <c r="AD1538" i="6"/>
  <c r="W1538" i="6"/>
  <c r="V1538" i="6"/>
  <c r="U1538" i="6"/>
  <c r="T1538" i="6"/>
  <c r="S1538" i="6"/>
  <c r="P1538" i="6"/>
  <c r="O1538" i="6"/>
  <c r="N1538" i="6"/>
  <c r="M1538" i="6"/>
  <c r="B1538" i="6"/>
  <c r="AE1537" i="6"/>
  <c r="AD1537" i="6"/>
  <c r="W1537" i="6"/>
  <c r="U1537" i="6"/>
  <c r="T1537" i="6"/>
  <c r="V1537" i="6" s="1"/>
  <c r="S1537" i="6"/>
  <c r="P1537" i="6"/>
  <c r="O1537" i="6"/>
  <c r="N1537" i="6"/>
  <c r="M1537" i="6"/>
  <c r="B1537" i="6"/>
  <c r="AE1536" i="6"/>
  <c r="AD1536" i="6"/>
  <c r="W1536" i="6"/>
  <c r="T1536" i="6"/>
  <c r="V1536" i="6" s="1"/>
  <c r="S1536" i="6"/>
  <c r="P1536" i="6"/>
  <c r="O1536" i="6"/>
  <c r="N1536" i="6"/>
  <c r="M1536" i="6"/>
  <c r="B1536" i="6"/>
  <c r="AE1535" i="6"/>
  <c r="AD1535" i="6"/>
  <c r="W1535" i="6"/>
  <c r="T1535" i="6"/>
  <c r="V1535" i="6" s="1"/>
  <c r="S1535" i="6"/>
  <c r="P1535" i="6"/>
  <c r="O1535" i="6"/>
  <c r="N1535" i="6"/>
  <c r="M1535" i="6"/>
  <c r="B1535" i="6"/>
  <c r="AE1534" i="6"/>
  <c r="AD1534" i="6"/>
  <c r="W1534" i="6"/>
  <c r="T1534" i="6"/>
  <c r="U1534" i="6" s="1"/>
  <c r="S1534" i="6"/>
  <c r="P1534" i="6"/>
  <c r="O1534" i="6"/>
  <c r="N1534" i="6"/>
  <c r="M1534" i="6"/>
  <c r="B1534" i="6"/>
  <c r="AE1533" i="6"/>
  <c r="AD1533" i="6"/>
  <c r="W1533" i="6"/>
  <c r="V1533" i="6"/>
  <c r="U1533" i="6"/>
  <c r="T1533" i="6"/>
  <c r="S1533" i="6"/>
  <c r="P1533" i="6"/>
  <c r="O1533" i="6"/>
  <c r="N1533" i="6"/>
  <c r="M1533" i="6"/>
  <c r="B1533" i="6"/>
  <c r="AE1532" i="6"/>
  <c r="AD1532" i="6"/>
  <c r="W1532" i="6"/>
  <c r="T1532" i="6"/>
  <c r="U1532" i="6" s="1"/>
  <c r="S1532" i="6"/>
  <c r="P1532" i="6"/>
  <c r="O1532" i="6"/>
  <c r="N1532" i="6"/>
  <c r="M1532" i="6"/>
  <c r="B1532" i="6"/>
  <c r="AE1531" i="6"/>
  <c r="AD1531" i="6"/>
  <c r="W1531" i="6"/>
  <c r="T1531" i="6"/>
  <c r="S1531" i="6"/>
  <c r="P1531" i="6"/>
  <c r="O1531" i="6"/>
  <c r="N1531" i="6"/>
  <c r="M1531" i="6"/>
  <c r="B1531" i="6"/>
  <c r="AE1530" i="6"/>
  <c r="AD1530" i="6"/>
  <c r="W1530" i="6"/>
  <c r="T1530" i="6"/>
  <c r="V1530" i="6" s="1"/>
  <c r="S1530" i="6"/>
  <c r="P1530" i="6"/>
  <c r="O1530" i="6"/>
  <c r="N1530" i="6"/>
  <c r="M1530" i="6"/>
  <c r="B1530" i="6"/>
  <c r="AE1529" i="6"/>
  <c r="AD1529" i="6"/>
  <c r="W1529" i="6"/>
  <c r="V1529" i="6"/>
  <c r="T1529" i="6"/>
  <c r="U1529" i="6" s="1"/>
  <c r="S1529" i="6"/>
  <c r="P1529" i="6"/>
  <c r="O1529" i="6"/>
  <c r="N1529" i="6"/>
  <c r="M1529" i="6"/>
  <c r="B1529" i="6"/>
  <c r="AE1528" i="6"/>
  <c r="AD1528" i="6"/>
  <c r="W1528" i="6"/>
  <c r="V1528" i="6"/>
  <c r="T1528" i="6"/>
  <c r="U1528" i="6" s="1"/>
  <c r="S1528" i="6"/>
  <c r="P1528" i="6"/>
  <c r="O1528" i="6"/>
  <c r="N1528" i="6"/>
  <c r="M1528" i="6"/>
  <c r="B1528" i="6"/>
  <c r="AE1527" i="6"/>
  <c r="AD1527" i="6"/>
  <c r="W1527" i="6"/>
  <c r="V1527" i="6"/>
  <c r="U1527" i="6"/>
  <c r="T1527" i="6"/>
  <c r="S1527" i="6"/>
  <c r="P1527" i="6"/>
  <c r="O1527" i="6"/>
  <c r="N1527" i="6"/>
  <c r="M1527" i="6"/>
  <c r="B1527" i="6"/>
  <c r="AE1526" i="6"/>
  <c r="AD1526" i="6"/>
  <c r="W1526" i="6"/>
  <c r="U1526" i="6"/>
  <c r="T1526" i="6"/>
  <c r="V1526" i="6" s="1"/>
  <c r="S1526" i="6"/>
  <c r="P1526" i="6"/>
  <c r="O1526" i="6"/>
  <c r="N1526" i="6"/>
  <c r="M1526" i="6"/>
  <c r="B1526" i="6"/>
  <c r="AE1525" i="6"/>
  <c r="AD1525" i="6"/>
  <c r="W1525" i="6"/>
  <c r="T1525" i="6"/>
  <c r="V1525" i="6" s="1"/>
  <c r="S1525" i="6"/>
  <c r="P1525" i="6"/>
  <c r="O1525" i="6"/>
  <c r="N1525" i="6"/>
  <c r="M1525" i="6"/>
  <c r="B1525" i="6"/>
  <c r="AE1524" i="6"/>
  <c r="AD1524" i="6"/>
  <c r="W1524" i="6"/>
  <c r="V1524" i="6"/>
  <c r="T1524" i="6"/>
  <c r="U1524" i="6" s="1"/>
  <c r="S1524" i="6"/>
  <c r="P1524" i="6"/>
  <c r="O1524" i="6"/>
  <c r="N1524" i="6"/>
  <c r="M1524" i="6"/>
  <c r="B1524" i="6"/>
  <c r="AE1523" i="6"/>
  <c r="AD1523" i="6"/>
  <c r="W1523" i="6"/>
  <c r="T1523" i="6"/>
  <c r="V1523" i="6" s="1"/>
  <c r="S1523" i="6"/>
  <c r="P1523" i="6"/>
  <c r="O1523" i="6"/>
  <c r="N1523" i="6"/>
  <c r="M1523" i="6"/>
  <c r="B1523" i="6"/>
  <c r="AE1522" i="6"/>
  <c r="AD1522" i="6"/>
  <c r="W1522" i="6"/>
  <c r="V1522" i="6"/>
  <c r="U1522" i="6"/>
  <c r="T1522" i="6"/>
  <c r="S1522" i="6"/>
  <c r="P1522" i="6"/>
  <c r="O1522" i="6"/>
  <c r="N1522" i="6"/>
  <c r="M1522" i="6"/>
  <c r="B1522" i="6"/>
  <c r="AE1521" i="6"/>
  <c r="AD1521" i="6"/>
  <c r="W1521" i="6"/>
  <c r="T1521" i="6"/>
  <c r="U1521" i="6" s="1"/>
  <c r="S1521" i="6"/>
  <c r="P1521" i="6"/>
  <c r="O1521" i="6"/>
  <c r="N1521" i="6"/>
  <c r="M1521" i="6"/>
  <c r="B1521" i="6"/>
  <c r="AE1520" i="6"/>
  <c r="AD1520" i="6"/>
  <c r="W1520" i="6"/>
  <c r="T1520" i="6"/>
  <c r="S1520" i="6"/>
  <c r="P1520" i="6"/>
  <c r="O1520" i="6"/>
  <c r="N1520" i="6"/>
  <c r="M1520" i="6"/>
  <c r="B1520" i="6"/>
  <c r="AE1519" i="6"/>
  <c r="AD1519" i="6"/>
  <c r="W1519" i="6"/>
  <c r="T1519" i="6"/>
  <c r="U1519" i="6" s="1"/>
  <c r="S1519" i="6"/>
  <c r="P1519" i="6"/>
  <c r="O1519" i="6"/>
  <c r="N1519" i="6"/>
  <c r="M1519" i="6"/>
  <c r="B1519" i="6"/>
  <c r="AE1518" i="6"/>
  <c r="AD1518" i="6"/>
  <c r="W1518" i="6"/>
  <c r="T1518" i="6"/>
  <c r="V1518" i="6" s="1"/>
  <c r="S1518" i="6"/>
  <c r="P1518" i="6"/>
  <c r="O1518" i="6"/>
  <c r="N1518" i="6"/>
  <c r="M1518" i="6"/>
  <c r="B1518" i="6"/>
  <c r="AE1517" i="6"/>
  <c r="AD1517" i="6"/>
  <c r="W1517" i="6"/>
  <c r="T1517" i="6"/>
  <c r="V1517" i="6" s="1"/>
  <c r="S1517" i="6"/>
  <c r="P1517" i="6"/>
  <c r="O1517" i="6"/>
  <c r="N1517" i="6"/>
  <c r="M1517" i="6"/>
  <c r="B1517" i="6"/>
  <c r="AE1516" i="6"/>
  <c r="AD1516" i="6"/>
  <c r="W1516" i="6"/>
  <c r="V1516" i="6"/>
  <c r="U1516" i="6"/>
  <c r="T1516" i="6"/>
  <c r="S1516" i="6"/>
  <c r="P1516" i="6"/>
  <c r="O1516" i="6"/>
  <c r="N1516" i="6"/>
  <c r="M1516" i="6"/>
  <c r="B1516" i="6"/>
  <c r="AE1515" i="6"/>
  <c r="AD1515" i="6"/>
  <c r="W1515" i="6"/>
  <c r="U1515" i="6"/>
  <c r="T1515" i="6"/>
  <c r="V1515" i="6" s="1"/>
  <c r="S1515" i="6"/>
  <c r="P1515" i="6"/>
  <c r="O1515" i="6"/>
  <c r="N1515" i="6"/>
  <c r="M1515" i="6"/>
  <c r="B1515" i="6"/>
  <c r="AE1514" i="6"/>
  <c r="AD1514" i="6"/>
  <c r="W1514" i="6"/>
  <c r="T1514" i="6"/>
  <c r="S1514" i="6"/>
  <c r="P1514" i="6"/>
  <c r="O1514" i="6"/>
  <c r="N1514" i="6"/>
  <c r="M1514" i="6"/>
  <c r="B1514" i="6"/>
  <c r="AE1513" i="6"/>
  <c r="AD1513" i="6"/>
  <c r="W1513" i="6"/>
  <c r="V1513" i="6"/>
  <c r="U1513" i="6"/>
  <c r="T1513" i="6"/>
  <c r="S1513" i="6"/>
  <c r="P1513" i="6"/>
  <c r="O1513" i="6"/>
  <c r="N1513" i="6"/>
  <c r="M1513" i="6"/>
  <c r="B1513" i="6"/>
  <c r="AE1512" i="6"/>
  <c r="AD1512" i="6"/>
  <c r="W1512" i="6"/>
  <c r="T1512" i="6"/>
  <c r="V1512" i="6" s="1"/>
  <c r="S1512" i="6"/>
  <c r="P1512" i="6"/>
  <c r="O1512" i="6"/>
  <c r="N1512" i="6"/>
  <c r="M1512" i="6"/>
  <c r="B1512" i="6"/>
  <c r="AE1511" i="6"/>
  <c r="AD1511" i="6"/>
  <c r="W1511" i="6"/>
  <c r="V1511" i="6"/>
  <c r="U1511" i="6"/>
  <c r="T1511" i="6"/>
  <c r="S1511" i="6"/>
  <c r="P1511" i="6"/>
  <c r="O1511" i="6"/>
  <c r="N1511" i="6"/>
  <c r="M1511" i="6"/>
  <c r="B1511" i="6"/>
  <c r="AE1510" i="6"/>
  <c r="AD1510" i="6"/>
  <c r="W1510" i="6"/>
  <c r="T1510" i="6"/>
  <c r="U1510" i="6" s="1"/>
  <c r="S1510" i="6"/>
  <c r="P1510" i="6"/>
  <c r="O1510" i="6"/>
  <c r="N1510" i="6"/>
  <c r="M1510" i="6"/>
  <c r="B1510" i="6"/>
  <c r="AE1509" i="6"/>
  <c r="AD1509" i="6"/>
  <c r="W1509" i="6"/>
  <c r="V1509" i="6"/>
  <c r="T1509" i="6"/>
  <c r="U1509" i="6" s="1"/>
  <c r="S1509" i="6"/>
  <c r="P1509" i="6"/>
  <c r="O1509" i="6"/>
  <c r="N1509" i="6"/>
  <c r="M1509" i="6"/>
  <c r="B1509" i="6"/>
  <c r="AE1508" i="6"/>
  <c r="AD1508" i="6"/>
  <c r="W1508" i="6"/>
  <c r="U1508" i="6"/>
  <c r="T1508" i="6"/>
  <c r="V1508" i="6" s="1"/>
  <c r="S1508" i="6"/>
  <c r="P1508" i="6"/>
  <c r="O1508" i="6"/>
  <c r="N1508" i="6"/>
  <c r="M1508" i="6"/>
  <c r="B1508" i="6"/>
  <c r="AE1507" i="6"/>
  <c r="AD1507" i="6"/>
  <c r="W1507" i="6"/>
  <c r="T1507" i="6"/>
  <c r="V1507" i="6" s="1"/>
  <c r="S1507" i="6"/>
  <c r="P1507" i="6"/>
  <c r="O1507" i="6"/>
  <c r="N1507" i="6"/>
  <c r="M1507" i="6"/>
  <c r="B1507" i="6"/>
  <c r="AE1506" i="6"/>
  <c r="AD1506" i="6"/>
  <c r="W1506" i="6"/>
  <c r="V1506" i="6"/>
  <c r="U1506" i="6"/>
  <c r="T1506" i="6"/>
  <c r="S1506" i="6"/>
  <c r="P1506" i="6"/>
  <c r="O1506" i="6"/>
  <c r="N1506" i="6"/>
  <c r="M1506" i="6"/>
  <c r="B1506" i="6"/>
  <c r="AE1505" i="6"/>
  <c r="AD1505" i="6"/>
  <c r="W1505" i="6"/>
  <c r="V1505" i="6"/>
  <c r="U1505" i="6"/>
  <c r="T1505" i="6"/>
  <c r="S1505" i="6"/>
  <c r="P1505" i="6"/>
  <c r="O1505" i="6"/>
  <c r="N1505" i="6"/>
  <c r="M1505" i="6"/>
  <c r="B1505" i="6"/>
  <c r="AE1504" i="6"/>
  <c r="AD1504" i="6"/>
  <c r="W1504" i="6"/>
  <c r="T1504" i="6"/>
  <c r="U1504" i="6" s="1"/>
  <c r="S1504" i="6"/>
  <c r="P1504" i="6"/>
  <c r="O1504" i="6"/>
  <c r="N1504" i="6"/>
  <c r="M1504" i="6"/>
  <c r="B1504" i="6"/>
  <c r="AE1503" i="6"/>
  <c r="AD1503" i="6"/>
  <c r="W1503" i="6"/>
  <c r="T1503" i="6"/>
  <c r="S1503" i="6"/>
  <c r="P1503" i="6"/>
  <c r="O1503" i="6"/>
  <c r="N1503" i="6"/>
  <c r="M1503" i="6"/>
  <c r="B1503" i="6"/>
  <c r="AE1502" i="6"/>
  <c r="AD1502" i="6"/>
  <c r="W1502" i="6"/>
  <c r="T1502" i="6"/>
  <c r="V1502" i="6" s="1"/>
  <c r="S1502" i="6"/>
  <c r="P1502" i="6"/>
  <c r="O1502" i="6"/>
  <c r="N1502" i="6"/>
  <c r="M1502" i="6"/>
  <c r="B1502" i="6"/>
  <c r="AE1501" i="6"/>
  <c r="AD1501" i="6"/>
  <c r="W1501" i="6"/>
  <c r="V1501" i="6"/>
  <c r="U1501" i="6"/>
  <c r="T1501" i="6"/>
  <c r="S1501" i="6"/>
  <c r="P1501" i="6"/>
  <c r="O1501" i="6"/>
  <c r="N1501" i="6"/>
  <c r="M1501" i="6"/>
  <c r="B1501" i="6"/>
  <c r="AE1500" i="6"/>
  <c r="AD1500" i="6"/>
  <c r="W1500" i="6"/>
  <c r="V1500" i="6"/>
  <c r="U1500" i="6"/>
  <c r="T1500" i="6"/>
  <c r="S1500" i="6"/>
  <c r="P1500" i="6"/>
  <c r="O1500" i="6"/>
  <c r="N1500" i="6"/>
  <c r="M1500" i="6"/>
  <c r="B1500" i="6"/>
  <c r="AE1499" i="6"/>
  <c r="AD1499" i="6"/>
  <c r="W1499" i="6"/>
  <c r="V1499" i="6"/>
  <c r="T1499" i="6"/>
  <c r="U1499" i="6" s="1"/>
  <c r="S1499" i="6"/>
  <c r="P1499" i="6"/>
  <c r="O1499" i="6"/>
  <c r="N1499" i="6"/>
  <c r="M1499" i="6"/>
  <c r="B1499" i="6"/>
  <c r="AE1498" i="6"/>
  <c r="AD1498" i="6"/>
  <c r="W1498" i="6"/>
  <c r="U1498" i="6"/>
  <c r="T1498" i="6"/>
  <c r="V1498" i="6" s="1"/>
  <c r="S1498" i="6"/>
  <c r="P1498" i="6"/>
  <c r="O1498" i="6"/>
  <c r="N1498" i="6"/>
  <c r="M1498" i="6"/>
  <c r="B1498" i="6"/>
  <c r="AE1497" i="6"/>
  <c r="AD1497" i="6"/>
  <c r="W1497" i="6"/>
  <c r="T1497" i="6"/>
  <c r="V1497" i="6" s="1"/>
  <c r="S1497" i="6"/>
  <c r="P1497" i="6"/>
  <c r="O1497" i="6"/>
  <c r="N1497" i="6"/>
  <c r="M1497" i="6"/>
  <c r="B1497" i="6"/>
  <c r="AE1496" i="6"/>
  <c r="AD1496" i="6"/>
  <c r="W1496" i="6"/>
  <c r="T1496" i="6"/>
  <c r="V1496" i="6" s="1"/>
  <c r="S1496" i="6"/>
  <c r="P1496" i="6"/>
  <c r="O1496" i="6"/>
  <c r="N1496" i="6"/>
  <c r="M1496" i="6"/>
  <c r="B1496" i="6"/>
  <c r="AE1495" i="6"/>
  <c r="AD1495" i="6"/>
  <c r="W1495" i="6"/>
  <c r="T1495" i="6"/>
  <c r="V1495" i="6" s="1"/>
  <c r="S1495" i="6"/>
  <c r="P1495" i="6"/>
  <c r="O1495" i="6"/>
  <c r="N1495" i="6"/>
  <c r="M1495" i="6"/>
  <c r="B1495" i="6"/>
  <c r="AE1494" i="6"/>
  <c r="AD1494" i="6"/>
  <c r="W1494" i="6"/>
  <c r="V1494" i="6"/>
  <c r="T1494" i="6"/>
  <c r="U1494" i="6" s="1"/>
  <c r="S1494" i="6"/>
  <c r="P1494" i="6"/>
  <c r="O1494" i="6"/>
  <c r="N1494" i="6"/>
  <c r="M1494" i="6"/>
  <c r="B1494" i="6"/>
  <c r="AE1493" i="6"/>
  <c r="AD1493" i="6"/>
  <c r="W1493" i="6"/>
  <c r="T1493" i="6"/>
  <c r="U1493" i="6" s="1"/>
  <c r="S1493" i="6"/>
  <c r="P1493" i="6"/>
  <c r="O1493" i="6"/>
  <c r="N1493" i="6"/>
  <c r="M1493" i="6"/>
  <c r="B1493" i="6"/>
  <c r="AE1492" i="6"/>
  <c r="AD1492" i="6"/>
  <c r="W1492" i="6"/>
  <c r="T1492" i="6"/>
  <c r="S1492" i="6"/>
  <c r="P1492" i="6"/>
  <c r="O1492" i="6"/>
  <c r="N1492" i="6"/>
  <c r="M1492" i="6"/>
  <c r="B1492" i="6"/>
  <c r="AE1491" i="6"/>
  <c r="AD1491" i="6"/>
  <c r="W1491" i="6"/>
  <c r="T1491" i="6"/>
  <c r="V1491" i="6" s="1"/>
  <c r="S1491" i="6"/>
  <c r="P1491" i="6"/>
  <c r="O1491" i="6"/>
  <c r="N1491" i="6"/>
  <c r="M1491" i="6"/>
  <c r="B1491" i="6"/>
  <c r="AE1490" i="6"/>
  <c r="AD1490" i="6"/>
  <c r="W1490" i="6"/>
  <c r="V1490" i="6"/>
  <c r="U1490" i="6"/>
  <c r="T1490" i="6"/>
  <c r="S1490" i="6"/>
  <c r="P1490" i="6"/>
  <c r="O1490" i="6"/>
  <c r="N1490" i="6"/>
  <c r="M1490" i="6"/>
  <c r="B1490" i="6"/>
  <c r="AE1489" i="6"/>
  <c r="AD1489" i="6"/>
  <c r="W1489" i="6"/>
  <c r="T1489" i="6"/>
  <c r="U1489" i="6" s="1"/>
  <c r="S1489" i="6"/>
  <c r="P1489" i="6"/>
  <c r="O1489" i="6"/>
  <c r="N1489" i="6"/>
  <c r="M1489" i="6"/>
  <c r="B1489" i="6"/>
  <c r="AE1488" i="6"/>
  <c r="AD1488" i="6"/>
  <c r="W1488" i="6"/>
  <c r="V1488" i="6"/>
  <c r="U1488" i="6"/>
  <c r="T1488" i="6"/>
  <c r="S1488" i="6"/>
  <c r="P1488" i="6"/>
  <c r="O1488" i="6"/>
  <c r="N1488" i="6"/>
  <c r="M1488" i="6"/>
  <c r="B1488" i="6"/>
  <c r="AE1487" i="6"/>
  <c r="AD1487" i="6"/>
  <c r="W1487" i="6"/>
  <c r="U1487" i="6"/>
  <c r="T1487" i="6"/>
  <c r="V1487" i="6" s="1"/>
  <c r="S1487" i="6"/>
  <c r="P1487" i="6"/>
  <c r="O1487" i="6"/>
  <c r="N1487" i="6"/>
  <c r="M1487" i="6"/>
  <c r="B1487" i="6"/>
  <c r="AE1486" i="6"/>
  <c r="AD1486" i="6"/>
  <c r="W1486" i="6"/>
  <c r="T1486" i="6"/>
  <c r="V1486" i="6" s="1"/>
  <c r="S1486" i="6"/>
  <c r="P1486" i="6"/>
  <c r="O1486" i="6"/>
  <c r="N1486" i="6"/>
  <c r="M1486" i="6"/>
  <c r="B1486" i="6"/>
  <c r="AE1485" i="6"/>
  <c r="AD1485" i="6"/>
  <c r="W1485" i="6"/>
  <c r="V1485" i="6"/>
  <c r="T1485" i="6"/>
  <c r="U1485" i="6" s="1"/>
  <c r="S1485" i="6"/>
  <c r="P1485" i="6"/>
  <c r="O1485" i="6"/>
  <c r="N1485" i="6"/>
  <c r="M1485" i="6"/>
  <c r="B1485" i="6"/>
  <c r="AE1484" i="6"/>
  <c r="AD1484" i="6"/>
  <c r="W1484" i="6"/>
  <c r="T1484" i="6"/>
  <c r="U1484" i="6" s="1"/>
  <c r="S1484" i="6"/>
  <c r="P1484" i="6"/>
  <c r="O1484" i="6"/>
  <c r="N1484" i="6"/>
  <c r="M1484" i="6"/>
  <c r="B1484" i="6"/>
  <c r="AE1483" i="6"/>
  <c r="AD1483" i="6"/>
  <c r="W1483" i="6"/>
  <c r="V1483" i="6"/>
  <c r="U1483" i="6"/>
  <c r="T1483" i="6"/>
  <c r="S1483" i="6"/>
  <c r="P1483" i="6"/>
  <c r="O1483" i="6"/>
  <c r="N1483" i="6"/>
  <c r="M1483" i="6"/>
  <c r="B1483" i="6"/>
  <c r="AE1482" i="6"/>
  <c r="AD1482" i="6"/>
  <c r="W1482" i="6"/>
  <c r="T1482" i="6"/>
  <c r="U1482" i="6" s="1"/>
  <c r="S1482" i="6"/>
  <c r="P1482" i="6"/>
  <c r="O1482" i="6"/>
  <c r="N1482" i="6"/>
  <c r="M1482" i="6"/>
  <c r="B1482" i="6"/>
  <c r="AE1481" i="6"/>
  <c r="AD1481" i="6"/>
  <c r="W1481" i="6"/>
  <c r="T1481" i="6"/>
  <c r="S1481" i="6"/>
  <c r="P1481" i="6"/>
  <c r="O1481" i="6"/>
  <c r="N1481" i="6"/>
  <c r="M1481" i="6"/>
  <c r="B1481" i="6"/>
  <c r="AE1480" i="6"/>
  <c r="AD1480" i="6"/>
  <c r="W1480" i="6"/>
  <c r="T1480" i="6"/>
  <c r="V1480" i="6" s="1"/>
  <c r="S1480" i="6"/>
  <c r="P1480" i="6"/>
  <c r="O1480" i="6"/>
  <c r="N1480" i="6"/>
  <c r="M1480" i="6"/>
  <c r="B1480" i="6"/>
  <c r="AE1479" i="6"/>
  <c r="AD1479" i="6"/>
  <c r="W1479" i="6"/>
  <c r="T1479" i="6"/>
  <c r="U1479" i="6" s="1"/>
  <c r="S1479" i="6"/>
  <c r="P1479" i="6"/>
  <c r="O1479" i="6"/>
  <c r="N1479" i="6"/>
  <c r="M1479" i="6"/>
  <c r="B1479" i="6"/>
  <c r="AE1478" i="6"/>
  <c r="AD1478" i="6"/>
  <c r="W1478" i="6"/>
  <c r="T1478" i="6"/>
  <c r="V1478" i="6" s="1"/>
  <c r="S1478" i="6"/>
  <c r="P1478" i="6"/>
  <c r="O1478" i="6"/>
  <c r="N1478" i="6"/>
  <c r="M1478" i="6"/>
  <c r="B1478" i="6"/>
  <c r="AE1477" i="6"/>
  <c r="AD1477" i="6"/>
  <c r="W1477" i="6"/>
  <c r="V1477" i="6"/>
  <c r="U1477" i="6"/>
  <c r="T1477" i="6"/>
  <c r="S1477" i="6"/>
  <c r="P1477" i="6"/>
  <c r="O1477" i="6"/>
  <c r="N1477" i="6"/>
  <c r="M1477" i="6"/>
  <c r="B1477" i="6"/>
  <c r="AE1476" i="6"/>
  <c r="AD1476" i="6"/>
  <c r="W1476" i="6"/>
  <c r="U1476" i="6"/>
  <c r="T1476" i="6"/>
  <c r="V1476" i="6" s="1"/>
  <c r="S1476" i="6"/>
  <c r="P1476" i="6"/>
  <c r="O1476" i="6"/>
  <c r="N1476" i="6"/>
  <c r="M1476" i="6"/>
  <c r="B1476" i="6"/>
  <c r="AE1475" i="6"/>
  <c r="AD1475" i="6"/>
  <c r="W1475" i="6"/>
  <c r="U1475" i="6"/>
  <c r="T1475" i="6"/>
  <c r="V1475" i="6" s="1"/>
  <c r="S1475" i="6"/>
  <c r="P1475" i="6"/>
  <c r="O1475" i="6"/>
  <c r="N1475" i="6"/>
  <c r="M1475" i="6"/>
  <c r="B1475" i="6"/>
  <c r="AE1474" i="6"/>
  <c r="AD1474" i="6"/>
  <c r="W1474" i="6"/>
  <c r="V1474" i="6"/>
  <c r="T1474" i="6"/>
  <c r="U1474" i="6" s="1"/>
  <c r="S1474" i="6"/>
  <c r="P1474" i="6"/>
  <c r="O1474" i="6"/>
  <c r="N1474" i="6"/>
  <c r="M1474" i="6"/>
  <c r="B1474" i="6"/>
  <c r="AE1473" i="6"/>
  <c r="AD1473" i="6"/>
  <c r="W1473" i="6"/>
  <c r="T1473" i="6"/>
  <c r="V1473" i="6" s="1"/>
  <c r="S1473" i="6"/>
  <c r="P1473" i="6"/>
  <c r="O1473" i="6"/>
  <c r="N1473" i="6"/>
  <c r="M1473" i="6"/>
  <c r="B1473" i="6"/>
  <c r="AE1472" i="6"/>
  <c r="AD1472" i="6"/>
  <c r="W1472" i="6"/>
  <c r="V1472" i="6"/>
  <c r="U1472" i="6"/>
  <c r="T1472" i="6"/>
  <c r="S1472" i="6"/>
  <c r="P1472" i="6"/>
  <c r="O1472" i="6"/>
  <c r="N1472" i="6"/>
  <c r="M1472" i="6"/>
  <c r="B1472" i="6"/>
  <c r="AE1471" i="6"/>
  <c r="AD1471" i="6"/>
  <c r="W1471" i="6"/>
  <c r="T1471" i="6"/>
  <c r="U1471" i="6" s="1"/>
  <c r="S1471" i="6"/>
  <c r="P1471" i="6"/>
  <c r="O1471" i="6"/>
  <c r="N1471" i="6"/>
  <c r="M1471" i="6"/>
  <c r="B1471" i="6"/>
  <c r="AE1470" i="6"/>
  <c r="AD1470" i="6"/>
  <c r="W1470" i="6"/>
  <c r="T1470" i="6"/>
  <c r="S1470" i="6"/>
  <c r="P1470" i="6"/>
  <c r="O1470" i="6"/>
  <c r="N1470" i="6"/>
  <c r="M1470" i="6"/>
  <c r="B1470" i="6"/>
  <c r="AE1469" i="6"/>
  <c r="AD1469" i="6"/>
  <c r="W1469" i="6"/>
  <c r="T1469" i="6"/>
  <c r="U1469" i="6" s="1"/>
  <c r="S1469" i="6"/>
  <c r="P1469" i="6"/>
  <c r="O1469" i="6"/>
  <c r="N1469" i="6"/>
  <c r="M1469" i="6"/>
  <c r="B1469" i="6"/>
  <c r="AE1468" i="6"/>
  <c r="AD1468" i="6"/>
  <c r="W1468" i="6"/>
  <c r="V1468" i="6"/>
  <c r="T1468" i="6"/>
  <c r="U1468" i="6" s="1"/>
  <c r="S1468" i="6"/>
  <c r="P1468" i="6"/>
  <c r="O1468" i="6"/>
  <c r="N1468" i="6"/>
  <c r="M1468" i="6"/>
  <c r="B1468" i="6"/>
  <c r="AE1467" i="6"/>
  <c r="AD1467" i="6"/>
  <c r="W1467" i="6"/>
  <c r="V1467" i="6"/>
  <c r="U1467" i="6"/>
  <c r="T1467" i="6"/>
  <c r="S1467" i="6"/>
  <c r="P1467" i="6"/>
  <c r="O1467" i="6"/>
  <c r="N1467" i="6"/>
  <c r="M1467" i="6"/>
  <c r="B1467" i="6"/>
  <c r="AE1466" i="6"/>
  <c r="AD1466" i="6"/>
  <c r="W1466" i="6"/>
  <c r="V1466" i="6"/>
  <c r="U1466" i="6"/>
  <c r="T1466" i="6"/>
  <c r="S1466" i="6"/>
  <c r="P1466" i="6"/>
  <c r="O1466" i="6"/>
  <c r="N1466" i="6"/>
  <c r="M1466" i="6"/>
  <c r="B1466" i="6"/>
  <c r="AE1465" i="6"/>
  <c r="AD1465" i="6"/>
  <c r="W1465" i="6"/>
  <c r="U1465" i="6"/>
  <c r="T1465" i="6"/>
  <c r="V1465" i="6" s="1"/>
  <c r="S1465" i="6"/>
  <c r="P1465" i="6"/>
  <c r="O1465" i="6"/>
  <c r="N1465" i="6"/>
  <c r="M1465" i="6"/>
  <c r="B1465" i="6"/>
  <c r="AE1464" i="6"/>
  <c r="AD1464" i="6"/>
  <c r="W1464" i="6"/>
  <c r="T1464" i="6"/>
  <c r="S1464" i="6"/>
  <c r="P1464" i="6"/>
  <c r="O1464" i="6"/>
  <c r="N1464" i="6"/>
  <c r="M1464" i="6"/>
  <c r="B1464" i="6"/>
  <c r="AE1463" i="6"/>
  <c r="AD1463" i="6"/>
  <c r="W1463" i="6"/>
  <c r="T1463" i="6"/>
  <c r="V1463" i="6" s="1"/>
  <c r="S1463" i="6"/>
  <c r="P1463" i="6"/>
  <c r="O1463" i="6"/>
  <c r="N1463" i="6"/>
  <c r="M1463" i="6"/>
  <c r="B1463" i="6"/>
  <c r="AE1462" i="6"/>
  <c r="AD1462" i="6"/>
  <c r="W1462" i="6"/>
  <c r="V1462" i="6"/>
  <c r="U1462" i="6"/>
  <c r="T1462" i="6"/>
  <c r="S1462" i="6"/>
  <c r="P1462" i="6"/>
  <c r="O1462" i="6"/>
  <c r="N1462" i="6"/>
  <c r="M1462" i="6"/>
  <c r="B1462" i="6"/>
  <c r="AE1461" i="6"/>
  <c r="AD1461" i="6"/>
  <c r="W1461" i="6"/>
  <c r="V1461" i="6"/>
  <c r="U1461" i="6"/>
  <c r="T1461" i="6"/>
  <c r="S1461" i="6"/>
  <c r="P1461" i="6"/>
  <c r="O1461" i="6"/>
  <c r="N1461" i="6"/>
  <c r="M1461" i="6"/>
  <c r="B1461" i="6"/>
  <c r="AE1460" i="6"/>
  <c r="AD1460" i="6"/>
  <c r="W1460" i="6"/>
  <c r="T1460" i="6"/>
  <c r="U1460" i="6" s="1"/>
  <c r="S1460" i="6"/>
  <c r="P1460" i="6"/>
  <c r="O1460" i="6"/>
  <c r="N1460" i="6"/>
  <c r="M1460" i="6"/>
  <c r="B1460" i="6"/>
  <c r="AE1459" i="6"/>
  <c r="AD1459" i="6"/>
  <c r="W1459" i="6"/>
  <c r="V1459" i="6"/>
  <c r="T1459" i="6"/>
  <c r="U1459" i="6" s="1"/>
  <c r="S1459" i="6"/>
  <c r="P1459" i="6"/>
  <c r="O1459" i="6"/>
  <c r="N1459" i="6"/>
  <c r="M1459" i="6"/>
  <c r="B1459" i="6"/>
  <c r="AE1458" i="6"/>
  <c r="AD1458" i="6"/>
  <c r="W1458" i="6"/>
  <c r="U1458" i="6"/>
  <c r="T1458" i="6"/>
  <c r="V1458" i="6" s="1"/>
  <c r="S1458" i="6"/>
  <c r="P1458" i="6"/>
  <c r="O1458" i="6"/>
  <c r="N1458" i="6"/>
  <c r="M1458" i="6"/>
  <c r="B1458" i="6"/>
  <c r="AE1457" i="6"/>
  <c r="AD1457" i="6"/>
  <c r="W1457" i="6"/>
  <c r="T1457" i="6"/>
  <c r="V1457" i="6" s="1"/>
  <c r="S1457" i="6"/>
  <c r="P1457" i="6"/>
  <c r="O1457" i="6"/>
  <c r="N1457" i="6"/>
  <c r="M1457" i="6"/>
  <c r="B1457" i="6"/>
  <c r="AE1456" i="6"/>
  <c r="AD1456" i="6"/>
  <c r="W1456" i="6"/>
  <c r="T1456" i="6"/>
  <c r="V1456" i="6" s="1"/>
  <c r="S1456" i="6"/>
  <c r="P1456" i="6"/>
  <c r="O1456" i="6"/>
  <c r="N1456" i="6"/>
  <c r="M1456" i="6"/>
  <c r="B1456" i="6"/>
  <c r="AE1455" i="6"/>
  <c r="AD1455" i="6"/>
  <c r="W1455" i="6"/>
  <c r="V1455" i="6"/>
  <c r="U1455" i="6"/>
  <c r="T1455" i="6"/>
  <c r="S1455" i="6"/>
  <c r="P1455" i="6"/>
  <c r="O1455" i="6"/>
  <c r="N1455" i="6"/>
  <c r="M1455" i="6"/>
  <c r="B1455" i="6"/>
  <c r="AE1454" i="6"/>
  <c r="AD1454" i="6"/>
  <c r="W1454" i="6"/>
  <c r="T1454" i="6"/>
  <c r="U1454" i="6" s="1"/>
  <c r="S1454" i="6"/>
  <c r="P1454" i="6"/>
  <c r="O1454" i="6"/>
  <c r="N1454" i="6"/>
  <c r="M1454" i="6"/>
  <c r="B1454" i="6"/>
  <c r="AE1453" i="6"/>
  <c r="AD1453" i="6"/>
  <c r="W1453" i="6"/>
  <c r="T1453" i="6"/>
  <c r="S1453" i="6"/>
  <c r="P1453" i="6"/>
  <c r="O1453" i="6"/>
  <c r="N1453" i="6"/>
  <c r="M1453" i="6"/>
  <c r="B1453" i="6"/>
  <c r="AE1452" i="6"/>
  <c r="AD1452" i="6"/>
  <c r="W1452" i="6"/>
  <c r="T1452" i="6"/>
  <c r="V1452" i="6" s="1"/>
  <c r="S1452" i="6"/>
  <c r="P1452" i="6"/>
  <c r="O1452" i="6"/>
  <c r="N1452" i="6"/>
  <c r="M1452" i="6"/>
  <c r="B1452" i="6"/>
  <c r="AE1451" i="6"/>
  <c r="AD1451" i="6"/>
  <c r="W1451" i="6"/>
  <c r="V1451" i="6"/>
  <c r="U1451" i="6"/>
  <c r="T1451" i="6"/>
  <c r="S1451" i="6"/>
  <c r="P1451" i="6"/>
  <c r="O1451" i="6"/>
  <c r="N1451" i="6"/>
  <c r="M1451" i="6"/>
  <c r="B1451" i="6"/>
  <c r="AE1450" i="6"/>
  <c r="AD1450" i="6"/>
  <c r="W1450" i="6"/>
  <c r="V1450" i="6"/>
  <c r="U1450" i="6"/>
  <c r="T1450" i="6"/>
  <c r="S1450" i="6"/>
  <c r="P1450" i="6"/>
  <c r="O1450" i="6"/>
  <c r="N1450" i="6"/>
  <c r="M1450" i="6"/>
  <c r="B1450" i="6"/>
  <c r="AE1449" i="6"/>
  <c r="AD1449" i="6"/>
  <c r="W1449" i="6"/>
  <c r="V1449" i="6"/>
  <c r="T1449" i="6"/>
  <c r="U1449" i="6" s="1"/>
  <c r="S1449" i="6"/>
  <c r="P1449" i="6"/>
  <c r="O1449" i="6"/>
  <c r="N1449" i="6"/>
  <c r="M1449" i="6"/>
  <c r="B1449" i="6"/>
  <c r="AE1448" i="6"/>
  <c r="AD1448" i="6"/>
  <c r="W1448" i="6"/>
  <c r="U1448" i="6"/>
  <c r="T1448" i="6"/>
  <c r="V1448" i="6" s="1"/>
  <c r="S1448" i="6"/>
  <c r="P1448" i="6"/>
  <c r="O1448" i="6"/>
  <c r="N1448" i="6"/>
  <c r="M1448" i="6"/>
  <c r="B1448" i="6"/>
  <c r="AE1447" i="6"/>
  <c r="AD1447" i="6"/>
  <c r="W1447" i="6"/>
  <c r="T1447" i="6"/>
  <c r="V1447" i="6" s="1"/>
  <c r="S1447" i="6"/>
  <c r="P1447" i="6"/>
  <c r="O1447" i="6"/>
  <c r="N1447" i="6"/>
  <c r="M1447" i="6"/>
  <c r="B1447" i="6"/>
  <c r="AE1446" i="6"/>
  <c r="AD1446" i="6"/>
  <c r="W1446" i="6"/>
  <c r="V1446" i="6"/>
  <c r="T1446" i="6"/>
  <c r="U1446" i="6" s="1"/>
  <c r="S1446" i="6"/>
  <c r="P1446" i="6"/>
  <c r="O1446" i="6"/>
  <c r="N1446" i="6"/>
  <c r="M1446" i="6"/>
  <c r="B1446" i="6"/>
  <c r="AE1445" i="6"/>
  <c r="AD1445" i="6"/>
  <c r="W1445" i="6"/>
  <c r="V1445" i="6"/>
  <c r="U1445" i="6"/>
  <c r="T1445" i="6"/>
  <c r="S1445" i="6"/>
  <c r="P1445" i="6"/>
  <c r="O1445" i="6"/>
  <c r="N1445" i="6"/>
  <c r="M1445" i="6"/>
  <c r="B1445" i="6"/>
  <c r="AE1444" i="6"/>
  <c r="AD1444" i="6"/>
  <c r="W1444" i="6"/>
  <c r="V1444" i="6"/>
  <c r="T1444" i="6"/>
  <c r="U1444" i="6" s="1"/>
  <c r="S1444" i="6"/>
  <c r="P1444" i="6"/>
  <c r="O1444" i="6"/>
  <c r="N1444" i="6"/>
  <c r="M1444" i="6"/>
  <c r="B1444" i="6"/>
  <c r="AE1443" i="6"/>
  <c r="AD1443" i="6"/>
  <c r="W1443" i="6"/>
  <c r="T1443" i="6"/>
  <c r="U1443" i="6" s="1"/>
  <c r="S1443" i="6"/>
  <c r="P1443" i="6"/>
  <c r="O1443" i="6"/>
  <c r="N1443" i="6"/>
  <c r="M1443" i="6"/>
  <c r="B1443" i="6"/>
  <c r="AE1442" i="6"/>
  <c r="AD1442" i="6"/>
  <c r="W1442" i="6"/>
  <c r="T1442" i="6"/>
  <c r="S1442" i="6"/>
  <c r="P1442" i="6"/>
  <c r="O1442" i="6"/>
  <c r="N1442" i="6"/>
  <c r="M1442" i="6"/>
  <c r="B1442" i="6"/>
  <c r="AE1441" i="6"/>
  <c r="AD1441" i="6"/>
  <c r="W1441" i="6"/>
  <c r="T1441" i="6"/>
  <c r="V1441" i="6" s="1"/>
  <c r="S1441" i="6"/>
  <c r="P1441" i="6"/>
  <c r="O1441" i="6"/>
  <c r="N1441" i="6"/>
  <c r="M1441" i="6"/>
  <c r="B1441" i="6"/>
  <c r="AE1440" i="6"/>
  <c r="AD1440" i="6"/>
  <c r="W1440" i="6"/>
  <c r="T1440" i="6"/>
  <c r="V1440" i="6" s="1"/>
  <c r="S1440" i="6"/>
  <c r="P1440" i="6"/>
  <c r="O1440" i="6"/>
  <c r="N1440" i="6"/>
  <c r="M1440" i="6"/>
  <c r="B1440" i="6"/>
  <c r="AE1439" i="6"/>
  <c r="AD1439" i="6"/>
  <c r="W1439" i="6"/>
  <c r="T1439" i="6"/>
  <c r="U1439" i="6" s="1"/>
  <c r="S1439" i="6"/>
  <c r="P1439" i="6"/>
  <c r="O1439" i="6"/>
  <c r="N1439" i="6"/>
  <c r="M1439" i="6"/>
  <c r="B1439" i="6"/>
  <c r="AE1438" i="6"/>
  <c r="AD1438" i="6"/>
  <c r="W1438" i="6"/>
  <c r="V1438" i="6"/>
  <c r="U1438" i="6"/>
  <c r="T1438" i="6"/>
  <c r="S1438" i="6"/>
  <c r="P1438" i="6"/>
  <c r="O1438" i="6"/>
  <c r="N1438" i="6"/>
  <c r="M1438" i="6"/>
  <c r="B1438" i="6"/>
  <c r="AE1437" i="6"/>
  <c r="AD1437" i="6"/>
  <c r="W1437" i="6"/>
  <c r="U1437" i="6"/>
  <c r="T1437" i="6"/>
  <c r="V1437" i="6" s="1"/>
  <c r="S1437" i="6"/>
  <c r="P1437" i="6"/>
  <c r="O1437" i="6"/>
  <c r="N1437" i="6"/>
  <c r="M1437" i="6"/>
  <c r="B1437" i="6"/>
  <c r="AE1436" i="6"/>
  <c r="AD1436" i="6"/>
  <c r="W1436" i="6"/>
  <c r="U1436" i="6"/>
  <c r="T1436" i="6"/>
  <c r="V1436" i="6" s="1"/>
  <c r="S1436" i="6"/>
  <c r="P1436" i="6"/>
  <c r="O1436" i="6"/>
  <c r="N1436" i="6"/>
  <c r="M1436" i="6"/>
  <c r="B1436" i="6"/>
  <c r="AE1435" i="6"/>
  <c r="AD1435" i="6"/>
  <c r="W1435" i="6"/>
  <c r="V1435" i="6"/>
  <c r="T1435" i="6"/>
  <c r="U1435" i="6" s="1"/>
  <c r="S1435" i="6"/>
  <c r="P1435" i="6"/>
  <c r="O1435" i="6"/>
  <c r="N1435" i="6"/>
  <c r="M1435" i="6"/>
  <c r="B1435" i="6"/>
  <c r="AE1434" i="6"/>
  <c r="AD1434" i="6"/>
  <c r="W1434" i="6"/>
  <c r="T1434" i="6"/>
  <c r="V1434" i="6" s="1"/>
  <c r="S1434" i="6"/>
  <c r="P1434" i="6"/>
  <c r="O1434" i="6"/>
  <c r="N1434" i="6"/>
  <c r="M1434" i="6"/>
  <c r="B1434" i="6"/>
  <c r="AE1433" i="6"/>
  <c r="AD1433" i="6"/>
  <c r="W1433" i="6"/>
  <c r="V1433" i="6"/>
  <c r="U1433" i="6"/>
  <c r="T1433" i="6"/>
  <c r="S1433" i="6"/>
  <c r="P1433" i="6"/>
  <c r="O1433" i="6"/>
  <c r="N1433" i="6"/>
  <c r="M1433" i="6"/>
  <c r="B1433" i="6"/>
  <c r="AE1432" i="6"/>
  <c r="AD1432" i="6"/>
  <c r="W1432" i="6"/>
  <c r="U1432" i="6"/>
  <c r="T1432" i="6"/>
  <c r="V1432" i="6" s="1"/>
  <c r="S1432" i="6"/>
  <c r="P1432" i="6"/>
  <c r="O1432" i="6"/>
  <c r="N1432" i="6"/>
  <c r="M1432" i="6"/>
  <c r="B1432" i="6"/>
  <c r="AE1431" i="6"/>
  <c r="AD1431" i="6"/>
  <c r="W1431" i="6"/>
  <c r="T1431" i="6"/>
  <c r="V1431" i="6" s="1"/>
  <c r="S1431" i="6"/>
  <c r="P1431" i="6"/>
  <c r="O1431" i="6"/>
  <c r="N1431" i="6"/>
  <c r="M1431" i="6"/>
  <c r="B1431" i="6"/>
  <c r="AE1430" i="6"/>
  <c r="AD1430" i="6"/>
  <c r="W1430" i="6"/>
  <c r="V1430" i="6"/>
  <c r="U1430" i="6"/>
  <c r="T1430" i="6"/>
  <c r="S1430" i="6"/>
  <c r="P1430" i="6"/>
  <c r="O1430" i="6"/>
  <c r="N1430" i="6"/>
  <c r="M1430" i="6"/>
  <c r="B1430" i="6"/>
  <c r="AE1429" i="6"/>
  <c r="AD1429" i="6"/>
  <c r="W1429" i="6"/>
  <c r="V1429" i="6"/>
  <c r="T1429" i="6"/>
  <c r="U1429" i="6" s="1"/>
  <c r="S1429" i="6"/>
  <c r="P1429" i="6"/>
  <c r="O1429" i="6"/>
  <c r="N1429" i="6"/>
  <c r="M1429" i="6"/>
  <c r="B1429" i="6"/>
  <c r="AE1428" i="6"/>
  <c r="AD1428" i="6"/>
  <c r="W1428" i="6"/>
  <c r="V1428" i="6"/>
  <c r="U1428" i="6"/>
  <c r="T1428" i="6"/>
  <c r="S1428" i="6"/>
  <c r="P1428" i="6"/>
  <c r="O1428" i="6"/>
  <c r="N1428" i="6"/>
  <c r="M1428" i="6"/>
  <c r="B1428" i="6"/>
  <c r="AE1427" i="6"/>
  <c r="AD1427" i="6"/>
  <c r="W1427" i="6"/>
  <c r="U1427" i="6"/>
  <c r="T1427" i="6"/>
  <c r="V1427" i="6" s="1"/>
  <c r="S1427" i="6"/>
  <c r="P1427" i="6"/>
  <c r="O1427" i="6"/>
  <c r="N1427" i="6"/>
  <c r="M1427" i="6"/>
  <c r="B1427" i="6"/>
  <c r="AE1426" i="6"/>
  <c r="AD1426" i="6"/>
  <c r="W1426" i="6"/>
  <c r="T1426" i="6"/>
  <c r="V1426" i="6" s="1"/>
  <c r="S1426" i="6"/>
  <c r="P1426" i="6"/>
  <c r="O1426" i="6"/>
  <c r="N1426" i="6"/>
  <c r="M1426" i="6"/>
  <c r="B1426" i="6"/>
  <c r="AE1425" i="6"/>
  <c r="AD1425" i="6"/>
  <c r="W1425" i="6"/>
  <c r="V1425" i="6"/>
  <c r="T1425" i="6"/>
  <c r="U1425" i="6" s="1"/>
  <c r="S1425" i="6"/>
  <c r="P1425" i="6"/>
  <c r="O1425" i="6"/>
  <c r="N1425" i="6"/>
  <c r="M1425" i="6"/>
  <c r="B1425" i="6"/>
  <c r="AE1424" i="6"/>
  <c r="AD1424" i="6"/>
  <c r="W1424" i="6"/>
  <c r="V1424" i="6"/>
  <c r="U1424" i="6"/>
  <c r="T1424" i="6"/>
  <c r="S1424" i="6"/>
  <c r="P1424" i="6"/>
  <c r="O1424" i="6"/>
  <c r="N1424" i="6"/>
  <c r="M1424" i="6"/>
  <c r="B1424" i="6"/>
  <c r="AE1423" i="6"/>
  <c r="AD1423" i="6"/>
  <c r="W1423" i="6"/>
  <c r="V1423" i="6"/>
  <c r="U1423" i="6"/>
  <c r="T1423" i="6"/>
  <c r="S1423" i="6"/>
  <c r="P1423" i="6"/>
  <c r="O1423" i="6"/>
  <c r="N1423" i="6"/>
  <c r="M1423" i="6"/>
  <c r="B1423" i="6"/>
  <c r="AE1422" i="6"/>
  <c r="AD1422" i="6"/>
  <c r="W1422" i="6"/>
  <c r="U1422" i="6"/>
  <c r="T1422" i="6"/>
  <c r="V1422" i="6" s="1"/>
  <c r="S1422" i="6"/>
  <c r="P1422" i="6"/>
  <c r="O1422" i="6"/>
  <c r="N1422" i="6"/>
  <c r="M1422" i="6"/>
  <c r="B1422" i="6"/>
  <c r="AE1421" i="6"/>
  <c r="AD1421" i="6"/>
  <c r="W1421" i="6"/>
  <c r="T1421" i="6"/>
  <c r="V1421" i="6" s="1"/>
  <c r="S1421" i="6"/>
  <c r="P1421" i="6"/>
  <c r="O1421" i="6"/>
  <c r="N1421" i="6"/>
  <c r="M1421" i="6"/>
  <c r="B1421" i="6"/>
  <c r="AE1420" i="6"/>
  <c r="AD1420" i="6"/>
  <c r="W1420" i="6"/>
  <c r="T1420" i="6"/>
  <c r="V1420" i="6" s="1"/>
  <c r="S1420" i="6"/>
  <c r="P1420" i="6"/>
  <c r="O1420" i="6"/>
  <c r="N1420" i="6"/>
  <c r="M1420" i="6"/>
  <c r="B1420" i="6"/>
  <c r="AE1419" i="6"/>
  <c r="AD1419" i="6"/>
  <c r="W1419" i="6"/>
  <c r="V1419" i="6"/>
  <c r="T1419" i="6"/>
  <c r="U1419" i="6" s="1"/>
  <c r="S1419" i="6"/>
  <c r="P1419" i="6"/>
  <c r="O1419" i="6"/>
  <c r="N1419" i="6"/>
  <c r="M1419" i="6"/>
  <c r="B1419" i="6"/>
  <c r="AE1418" i="6"/>
  <c r="AD1418" i="6"/>
  <c r="W1418" i="6"/>
  <c r="V1418" i="6"/>
  <c r="U1418" i="6"/>
  <c r="T1418" i="6"/>
  <c r="S1418" i="6"/>
  <c r="P1418" i="6"/>
  <c r="O1418" i="6"/>
  <c r="N1418" i="6"/>
  <c r="M1418" i="6"/>
  <c r="B1418" i="6"/>
  <c r="AE1417" i="6"/>
  <c r="AD1417" i="6"/>
  <c r="W1417" i="6"/>
  <c r="U1417" i="6"/>
  <c r="T1417" i="6"/>
  <c r="V1417" i="6" s="1"/>
  <c r="S1417" i="6"/>
  <c r="P1417" i="6"/>
  <c r="O1417" i="6"/>
  <c r="N1417" i="6"/>
  <c r="M1417" i="6"/>
  <c r="B1417" i="6"/>
  <c r="AE1416" i="6"/>
  <c r="AD1416" i="6"/>
  <c r="W1416" i="6"/>
  <c r="T1416" i="6"/>
  <c r="V1416" i="6" s="1"/>
  <c r="S1416" i="6"/>
  <c r="P1416" i="6"/>
  <c r="O1416" i="6"/>
  <c r="N1416" i="6"/>
  <c r="M1416" i="6"/>
  <c r="B1416" i="6"/>
  <c r="AE1415" i="6"/>
  <c r="AD1415" i="6"/>
  <c r="W1415" i="6"/>
  <c r="T1415" i="6"/>
  <c r="V1415" i="6" s="1"/>
  <c r="S1415" i="6"/>
  <c r="P1415" i="6"/>
  <c r="O1415" i="6"/>
  <c r="N1415" i="6"/>
  <c r="M1415" i="6"/>
  <c r="B1415" i="6"/>
  <c r="AE1414" i="6"/>
  <c r="AD1414" i="6"/>
  <c r="W1414" i="6"/>
  <c r="T1414" i="6"/>
  <c r="V1414" i="6" s="1"/>
  <c r="S1414" i="6"/>
  <c r="P1414" i="6"/>
  <c r="O1414" i="6"/>
  <c r="N1414" i="6"/>
  <c r="M1414" i="6"/>
  <c r="B1414" i="6"/>
  <c r="AE1413" i="6"/>
  <c r="AD1413" i="6"/>
  <c r="W1413" i="6"/>
  <c r="V1413" i="6"/>
  <c r="U1413" i="6"/>
  <c r="T1413" i="6"/>
  <c r="S1413" i="6"/>
  <c r="P1413" i="6"/>
  <c r="O1413" i="6"/>
  <c r="N1413" i="6"/>
  <c r="M1413" i="6"/>
  <c r="B1413" i="6"/>
  <c r="AE1412" i="6"/>
  <c r="AD1412" i="6"/>
  <c r="W1412" i="6"/>
  <c r="U1412" i="6"/>
  <c r="T1412" i="6"/>
  <c r="V1412" i="6" s="1"/>
  <c r="S1412" i="6"/>
  <c r="P1412" i="6"/>
  <c r="O1412" i="6"/>
  <c r="N1412" i="6"/>
  <c r="M1412" i="6"/>
  <c r="B1412" i="6"/>
  <c r="AE1411" i="6"/>
  <c r="AD1411" i="6"/>
  <c r="W1411" i="6"/>
  <c r="U1411" i="6"/>
  <c r="T1411" i="6"/>
  <c r="V1411" i="6" s="1"/>
  <c r="S1411" i="6"/>
  <c r="P1411" i="6"/>
  <c r="O1411" i="6"/>
  <c r="N1411" i="6"/>
  <c r="M1411" i="6"/>
  <c r="B1411" i="6"/>
  <c r="AE1410" i="6"/>
  <c r="AD1410" i="6"/>
  <c r="W1410" i="6"/>
  <c r="V1410" i="6"/>
  <c r="T1410" i="6"/>
  <c r="U1410" i="6" s="1"/>
  <c r="S1410" i="6"/>
  <c r="P1410" i="6"/>
  <c r="O1410" i="6"/>
  <c r="N1410" i="6"/>
  <c r="M1410" i="6"/>
  <c r="B1410" i="6"/>
  <c r="AE1409" i="6"/>
  <c r="AD1409" i="6"/>
  <c r="W1409" i="6"/>
  <c r="T1409" i="6"/>
  <c r="V1409" i="6" s="1"/>
  <c r="S1409" i="6"/>
  <c r="P1409" i="6"/>
  <c r="O1409" i="6"/>
  <c r="N1409" i="6"/>
  <c r="M1409" i="6"/>
  <c r="B1409" i="6"/>
  <c r="AE1408" i="6"/>
  <c r="AD1408" i="6"/>
  <c r="W1408" i="6"/>
  <c r="V1408" i="6"/>
  <c r="U1408" i="6"/>
  <c r="T1408" i="6"/>
  <c r="S1408" i="6"/>
  <c r="P1408" i="6"/>
  <c r="O1408" i="6"/>
  <c r="N1408" i="6"/>
  <c r="M1408" i="6"/>
  <c r="B1408" i="6"/>
  <c r="AE1407" i="6"/>
  <c r="AD1407" i="6"/>
  <c r="W1407" i="6"/>
  <c r="U1407" i="6"/>
  <c r="T1407" i="6"/>
  <c r="V1407" i="6" s="1"/>
  <c r="S1407" i="6"/>
  <c r="P1407" i="6"/>
  <c r="O1407" i="6"/>
  <c r="N1407" i="6"/>
  <c r="M1407" i="6"/>
  <c r="B1407" i="6"/>
  <c r="AE1406" i="6"/>
  <c r="AD1406" i="6"/>
  <c r="W1406" i="6"/>
  <c r="T1406" i="6"/>
  <c r="V1406" i="6" s="1"/>
  <c r="S1406" i="6"/>
  <c r="P1406" i="6"/>
  <c r="O1406" i="6"/>
  <c r="N1406" i="6"/>
  <c r="M1406" i="6"/>
  <c r="B1406" i="6"/>
  <c r="AE1405" i="6"/>
  <c r="AD1405" i="6"/>
  <c r="W1405" i="6"/>
  <c r="V1405" i="6"/>
  <c r="U1405" i="6"/>
  <c r="T1405" i="6"/>
  <c r="S1405" i="6"/>
  <c r="P1405" i="6"/>
  <c r="O1405" i="6"/>
  <c r="N1405" i="6"/>
  <c r="M1405" i="6"/>
  <c r="B1405" i="6"/>
  <c r="AE1404" i="6"/>
  <c r="AD1404" i="6"/>
  <c r="W1404" i="6"/>
  <c r="V1404" i="6"/>
  <c r="T1404" i="6"/>
  <c r="U1404" i="6" s="1"/>
  <c r="S1404" i="6"/>
  <c r="P1404" i="6"/>
  <c r="O1404" i="6"/>
  <c r="N1404" i="6"/>
  <c r="M1404" i="6"/>
  <c r="B1404" i="6"/>
  <c r="AE1403" i="6"/>
  <c r="AD1403" i="6"/>
  <c r="W1403" i="6"/>
  <c r="V1403" i="6"/>
  <c r="U1403" i="6"/>
  <c r="T1403" i="6"/>
  <c r="S1403" i="6"/>
  <c r="P1403" i="6"/>
  <c r="O1403" i="6"/>
  <c r="N1403" i="6"/>
  <c r="M1403" i="6"/>
  <c r="B1403" i="6"/>
  <c r="AE1402" i="6"/>
  <c r="AD1402" i="6"/>
  <c r="W1402" i="6"/>
  <c r="T1402" i="6"/>
  <c r="V1402" i="6" s="1"/>
  <c r="S1402" i="6"/>
  <c r="P1402" i="6"/>
  <c r="O1402" i="6"/>
  <c r="N1402" i="6"/>
  <c r="M1402" i="6"/>
  <c r="B1402" i="6"/>
  <c r="AE1401" i="6"/>
  <c r="AD1401" i="6"/>
  <c r="W1401" i="6"/>
  <c r="T1401" i="6"/>
  <c r="V1401" i="6" s="1"/>
  <c r="S1401" i="6"/>
  <c r="P1401" i="6"/>
  <c r="O1401" i="6"/>
  <c r="N1401" i="6"/>
  <c r="M1401" i="6"/>
  <c r="B1401" i="6"/>
  <c r="AE1400" i="6"/>
  <c r="AD1400" i="6"/>
  <c r="W1400" i="6"/>
  <c r="V1400" i="6"/>
  <c r="U1400" i="6"/>
  <c r="T1400" i="6"/>
  <c r="S1400" i="6"/>
  <c r="P1400" i="6"/>
  <c r="O1400" i="6"/>
  <c r="N1400" i="6"/>
  <c r="M1400" i="6"/>
  <c r="B1400" i="6"/>
  <c r="AE1399" i="6"/>
  <c r="AD1399" i="6"/>
  <c r="W1399" i="6"/>
  <c r="T1399" i="6"/>
  <c r="V1399" i="6" s="1"/>
  <c r="S1399" i="6"/>
  <c r="P1399" i="6"/>
  <c r="O1399" i="6"/>
  <c r="N1399" i="6"/>
  <c r="M1399" i="6"/>
  <c r="B1399" i="6"/>
  <c r="AE1398" i="6"/>
  <c r="AD1398" i="6"/>
  <c r="W1398" i="6"/>
  <c r="V1398" i="6"/>
  <c r="U1398" i="6"/>
  <c r="T1398" i="6"/>
  <c r="S1398" i="6"/>
  <c r="P1398" i="6"/>
  <c r="O1398" i="6"/>
  <c r="N1398" i="6"/>
  <c r="M1398" i="6"/>
  <c r="B1398" i="6"/>
  <c r="AE1397" i="6"/>
  <c r="AD1397" i="6"/>
  <c r="W1397" i="6"/>
  <c r="T1397" i="6"/>
  <c r="V1397" i="6" s="1"/>
  <c r="S1397" i="6"/>
  <c r="P1397" i="6"/>
  <c r="O1397" i="6"/>
  <c r="N1397" i="6"/>
  <c r="M1397" i="6"/>
  <c r="B1397" i="6"/>
  <c r="AE1396" i="6"/>
  <c r="AD1396" i="6"/>
  <c r="W1396" i="6"/>
  <c r="T1396" i="6"/>
  <c r="V1396" i="6" s="1"/>
  <c r="S1396" i="6"/>
  <c r="P1396" i="6"/>
  <c r="O1396" i="6"/>
  <c r="N1396" i="6"/>
  <c r="M1396" i="6"/>
  <c r="B1396" i="6"/>
  <c r="AE1395" i="6"/>
  <c r="AD1395" i="6"/>
  <c r="W1395" i="6"/>
  <c r="T1395" i="6"/>
  <c r="V1395" i="6" s="1"/>
  <c r="S1395" i="6"/>
  <c r="P1395" i="6"/>
  <c r="O1395" i="6"/>
  <c r="N1395" i="6"/>
  <c r="M1395" i="6"/>
  <c r="B1395" i="6"/>
  <c r="AE1394" i="6"/>
  <c r="AD1394" i="6"/>
  <c r="W1394" i="6"/>
  <c r="T1394" i="6"/>
  <c r="V1394" i="6" s="1"/>
  <c r="S1394" i="6"/>
  <c r="P1394" i="6"/>
  <c r="O1394" i="6"/>
  <c r="N1394" i="6"/>
  <c r="M1394" i="6"/>
  <c r="B1394" i="6"/>
  <c r="AE1393" i="6"/>
  <c r="AD1393" i="6"/>
  <c r="W1393" i="6"/>
  <c r="V1393" i="6"/>
  <c r="U1393" i="6"/>
  <c r="T1393" i="6"/>
  <c r="S1393" i="6"/>
  <c r="P1393" i="6"/>
  <c r="O1393" i="6"/>
  <c r="N1393" i="6"/>
  <c r="M1393" i="6"/>
  <c r="B1393" i="6"/>
  <c r="AE1392" i="6"/>
  <c r="AD1392" i="6"/>
  <c r="W1392" i="6"/>
  <c r="T1392" i="6"/>
  <c r="V1392" i="6" s="1"/>
  <c r="S1392" i="6"/>
  <c r="P1392" i="6"/>
  <c r="O1392" i="6"/>
  <c r="N1392" i="6"/>
  <c r="M1392" i="6"/>
  <c r="B1392" i="6"/>
  <c r="AE1391" i="6"/>
  <c r="AD1391" i="6"/>
  <c r="W1391" i="6"/>
  <c r="T1391" i="6"/>
  <c r="V1391" i="6" s="1"/>
  <c r="S1391" i="6"/>
  <c r="P1391" i="6"/>
  <c r="O1391" i="6"/>
  <c r="N1391" i="6"/>
  <c r="M1391" i="6"/>
  <c r="B1391" i="6"/>
  <c r="AE1390" i="6"/>
  <c r="AD1390" i="6"/>
  <c r="W1390" i="6"/>
  <c r="V1390" i="6"/>
  <c r="U1390" i="6"/>
  <c r="T1390" i="6"/>
  <c r="S1390" i="6"/>
  <c r="P1390" i="6"/>
  <c r="O1390" i="6"/>
  <c r="N1390" i="6"/>
  <c r="M1390" i="6"/>
  <c r="B1390" i="6"/>
  <c r="AE1389" i="6"/>
  <c r="AD1389" i="6"/>
  <c r="W1389" i="6"/>
  <c r="T1389" i="6"/>
  <c r="V1389" i="6" s="1"/>
  <c r="S1389" i="6"/>
  <c r="P1389" i="6"/>
  <c r="O1389" i="6"/>
  <c r="N1389" i="6"/>
  <c r="M1389" i="6"/>
  <c r="B1389" i="6"/>
  <c r="AE1388" i="6"/>
  <c r="AD1388" i="6"/>
  <c r="W1388" i="6"/>
  <c r="V1388" i="6"/>
  <c r="U1388" i="6"/>
  <c r="T1388" i="6"/>
  <c r="S1388" i="6"/>
  <c r="P1388" i="6"/>
  <c r="O1388" i="6"/>
  <c r="N1388" i="6"/>
  <c r="M1388" i="6"/>
  <c r="B1388" i="6"/>
  <c r="AE1387" i="6"/>
  <c r="AD1387" i="6"/>
  <c r="W1387" i="6"/>
  <c r="T1387" i="6"/>
  <c r="V1387" i="6" s="1"/>
  <c r="S1387" i="6"/>
  <c r="P1387" i="6"/>
  <c r="O1387" i="6"/>
  <c r="N1387" i="6"/>
  <c r="M1387" i="6"/>
  <c r="B1387" i="6"/>
  <c r="AE1386" i="6"/>
  <c r="AD1386" i="6"/>
  <c r="W1386" i="6"/>
  <c r="T1386" i="6"/>
  <c r="V1386" i="6" s="1"/>
  <c r="S1386" i="6"/>
  <c r="P1386" i="6"/>
  <c r="O1386" i="6"/>
  <c r="N1386" i="6"/>
  <c r="M1386" i="6"/>
  <c r="B1386" i="6"/>
  <c r="AE1385" i="6"/>
  <c r="AD1385" i="6"/>
  <c r="W1385" i="6"/>
  <c r="V1385" i="6"/>
  <c r="T1385" i="6"/>
  <c r="U1385" i="6" s="1"/>
  <c r="S1385" i="6"/>
  <c r="P1385" i="6"/>
  <c r="O1385" i="6"/>
  <c r="N1385" i="6"/>
  <c r="M1385" i="6"/>
  <c r="B1385" i="6"/>
  <c r="AE1384" i="6"/>
  <c r="AD1384" i="6"/>
  <c r="W1384" i="6"/>
  <c r="V1384" i="6"/>
  <c r="U1384" i="6"/>
  <c r="T1384" i="6"/>
  <c r="S1384" i="6"/>
  <c r="P1384" i="6"/>
  <c r="O1384" i="6"/>
  <c r="N1384" i="6"/>
  <c r="M1384" i="6"/>
  <c r="B1384" i="6"/>
  <c r="AE1383" i="6"/>
  <c r="AD1383" i="6"/>
  <c r="W1383" i="6"/>
  <c r="V1383" i="6"/>
  <c r="U1383" i="6"/>
  <c r="T1383" i="6"/>
  <c r="S1383" i="6"/>
  <c r="P1383" i="6"/>
  <c r="O1383" i="6"/>
  <c r="N1383" i="6"/>
  <c r="M1383" i="6"/>
  <c r="B1383" i="6"/>
  <c r="AE1382" i="6"/>
  <c r="AD1382" i="6"/>
  <c r="W1382" i="6"/>
  <c r="T1382" i="6"/>
  <c r="V1382" i="6" s="1"/>
  <c r="S1382" i="6"/>
  <c r="P1382" i="6"/>
  <c r="O1382" i="6"/>
  <c r="N1382" i="6"/>
  <c r="M1382" i="6"/>
  <c r="B1382" i="6"/>
  <c r="AE1381" i="6"/>
  <c r="AD1381" i="6"/>
  <c r="W1381" i="6"/>
  <c r="T1381" i="6"/>
  <c r="V1381" i="6" s="1"/>
  <c r="S1381" i="6"/>
  <c r="P1381" i="6"/>
  <c r="O1381" i="6"/>
  <c r="N1381" i="6"/>
  <c r="M1381" i="6"/>
  <c r="B1381" i="6"/>
  <c r="AE1380" i="6"/>
  <c r="AD1380" i="6"/>
  <c r="W1380" i="6"/>
  <c r="T1380" i="6"/>
  <c r="V1380" i="6" s="1"/>
  <c r="S1380" i="6"/>
  <c r="P1380" i="6"/>
  <c r="O1380" i="6"/>
  <c r="N1380" i="6"/>
  <c r="M1380" i="6"/>
  <c r="B1380" i="6"/>
  <c r="AE1379" i="6"/>
  <c r="AD1379" i="6"/>
  <c r="W1379" i="6"/>
  <c r="V1379" i="6"/>
  <c r="U1379" i="6"/>
  <c r="T1379" i="6"/>
  <c r="S1379" i="6"/>
  <c r="P1379" i="6"/>
  <c r="O1379" i="6"/>
  <c r="N1379" i="6"/>
  <c r="M1379" i="6"/>
  <c r="B1379" i="6"/>
  <c r="AE1378" i="6"/>
  <c r="AD1378" i="6"/>
  <c r="W1378" i="6"/>
  <c r="V1378" i="6"/>
  <c r="U1378" i="6"/>
  <c r="T1378" i="6"/>
  <c r="S1378" i="6"/>
  <c r="P1378" i="6"/>
  <c r="O1378" i="6"/>
  <c r="N1378" i="6"/>
  <c r="M1378" i="6"/>
  <c r="B1378" i="6"/>
  <c r="AE1377" i="6"/>
  <c r="AD1377" i="6"/>
  <c r="W1377" i="6"/>
  <c r="U1377" i="6"/>
  <c r="T1377" i="6"/>
  <c r="V1377" i="6" s="1"/>
  <c r="S1377" i="6"/>
  <c r="P1377" i="6"/>
  <c r="O1377" i="6"/>
  <c r="N1377" i="6"/>
  <c r="M1377" i="6"/>
  <c r="B1377" i="6"/>
  <c r="AE1376" i="6"/>
  <c r="AD1376" i="6"/>
  <c r="W1376" i="6"/>
  <c r="U1376" i="6"/>
  <c r="T1376" i="6"/>
  <c r="V1376" i="6" s="1"/>
  <c r="S1376" i="6"/>
  <c r="P1376" i="6"/>
  <c r="O1376" i="6"/>
  <c r="N1376" i="6"/>
  <c r="M1376" i="6"/>
  <c r="B1376" i="6"/>
  <c r="AE1375" i="6"/>
  <c r="AD1375" i="6"/>
  <c r="W1375" i="6"/>
  <c r="T1375" i="6"/>
  <c r="V1375" i="6" s="1"/>
  <c r="S1375" i="6"/>
  <c r="P1375" i="6"/>
  <c r="O1375" i="6"/>
  <c r="N1375" i="6"/>
  <c r="M1375" i="6"/>
  <c r="B1375" i="6"/>
  <c r="AE1374" i="6"/>
  <c r="AD1374" i="6"/>
  <c r="W1374" i="6"/>
  <c r="T1374" i="6"/>
  <c r="V1374" i="6" s="1"/>
  <c r="S1374" i="6"/>
  <c r="P1374" i="6"/>
  <c r="O1374" i="6"/>
  <c r="N1374" i="6"/>
  <c r="M1374" i="6"/>
  <c r="B1374" i="6"/>
  <c r="AE1373" i="6"/>
  <c r="AD1373" i="6"/>
  <c r="W1373" i="6"/>
  <c r="V1373" i="6"/>
  <c r="U1373" i="6"/>
  <c r="T1373" i="6"/>
  <c r="S1373" i="6"/>
  <c r="P1373" i="6"/>
  <c r="O1373" i="6"/>
  <c r="N1373" i="6"/>
  <c r="M1373" i="6"/>
  <c r="B1373" i="6"/>
  <c r="AE1372" i="6"/>
  <c r="AD1372" i="6"/>
  <c r="W1372" i="6"/>
  <c r="T1372" i="6"/>
  <c r="V1372" i="6" s="1"/>
  <c r="S1372" i="6"/>
  <c r="P1372" i="6"/>
  <c r="O1372" i="6"/>
  <c r="N1372" i="6"/>
  <c r="M1372" i="6"/>
  <c r="B1372" i="6"/>
  <c r="AE1371" i="6"/>
  <c r="AD1371" i="6"/>
  <c r="W1371" i="6"/>
  <c r="T1371" i="6"/>
  <c r="V1371" i="6" s="1"/>
  <c r="S1371" i="6"/>
  <c r="P1371" i="6"/>
  <c r="O1371" i="6"/>
  <c r="N1371" i="6"/>
  <c r="M1371" i="6"/>
  <c r="B1371" i="6"/>
  <c r="AE1370" i="6"/>
  <c r="AD1370" i="6"/>
  <c r="W1370" i="6"/>
  <c r="V1370" i="6"/>
  <c r="U1370" i="6"/>
  <c r="T1370" i="6"/>
  <c r="S1370" i="6"/>
  <c r="P1370" i="6"/>
  <c r="O1370" i="6"/>
  <c r="N1370" i="6"/>
  <c r="M1370" i="6"/>
  <c r="B1370" i="6"/>
  <c r="AE1369" i="6"/>
  <c r="AD1369" i="6"/>
  <c r="W1369" i="6"/>
  <c r="V1369" i="6"/>
  <c r="T1369" i="6"/>
  <c r="U1369" i="6" s="1"/>
  <c r="S1369" i="6"/>
  <c r="P1369" i="6"/>
  <c r="O1369" i="6"/>
  <c r="N1369" i="6"/>
  <c r="M1369" i="6"/>
  <c r="B1369" i="6"/>
  <c r="AE1368" i="6"/>
  <c r="AD1368" i="6"/>
  <c r="W1368" i="6"/>
  <c r="V1368" i="6"/>
  <c r="U1368" i="6"/>
  <c r="T1368" i="6"/>
  <c r="S1368" i="6"/>
  <c r="P1368" i="6"/>
  <c r="O1368" i="6"/>
  <c r="N1368" i="6"/>
  <c r="M1368" i="6"/>
  <c r="B1368" i="6"/>
  <c r="AE1367" i="6"/>
  <c r="AD1367" i="6"/>
  <c r="W1367" i="6"/>
  <c r="T1367" i="6"/>
  <c r="V1367" i="6" s="1"/>
  <c r="S1367" i="6"/>
  <c r="P1367" i="6"/>
  <c r="O1367" i="6"/>
  <c r="N1367" i="6"/>
  <c r="M1367" i="6"/>
  <c r="B1367" i="6"/>
  <c r="AE1366" i="6"/>
  <c r="AD1366" i="6"/>
  <c r="W1366" i="6"/>
  <c r="T1366" i="6"/>
  <c r="V1366" i="6" s="1"/>
  <c r="S1366" i="6"/>
  <c r="P1366" i="6"/>
  <c r="O1366" i="6"/>
  <c r="N1366" i="6"/>
  <c r="M1366" i="6"/>
  <c r="B1366" i="6"/>
  <c r="AE1365" i="6"/>
  <c r="AD1365" i="6"/>
  <c r="W1365" i="6"/>
  <c r="V1365" i="6"/>
  <c r="U1365" i="6"/>
  <c r="T1365" i="6"/>
  <c r="S1365" i="6"/>
  <c r="P1365" i="6"/>
  <c r="O1365" i="6"/>
  <c r="N1365" i="6"/>
  <c r="M1365" i="6"/>
  <c r="B1365" i="6"/>
  <c r="AE1364" i="6"/>
  <c r="AD1364" i="6"/>
  <c r="W1364" i="6"/>
  <c r="T1364" i="6"/>
  <c r="V1364" i="6" s="1"/>
  <c r="S1364" i="6"/>
  <c r="P1364" i="6"/>
  <c r="O1364" i="6"/>
  <c r="N1364" i="6"/>
  <c r="M1364" i="6"/>
  <c r="B1364" i="6"/>
  <c r="AE1363" i="6"/>
  <c r="AD1363" i="6"/>
  <c r="W1363" i="6"/>
  <c r="V1363" i="6"/>
  <c r="U1363" i="6"/>
  <c r="T1363" i="6"/>
  <c r="S1363" i="6"/>
  <c r="P1363" i="6"/>
  <c r="O1363" i="6"/>
  <c r="N1363" i="6"/>
  <c r="M1363" i="6"/>
  <c r="B1363" i="6"/>
  <c r="AE1362" i="6"/>
  <c r="AD1362" i="6"/>
  <c r="W1362" i="6"/>
  <c r="T1362" i="6"/>
  <c r="V1362" i="6" s="1"/>
  <c r="S1362" i="6"/>
  <c r="P1362" i="6"/>
  <c r="O1362" i="6"/>
  <c r="N1362" i="6"/>
  <c r="M1362" i="6"/>
  <c r="B1362" i="6"/>
  <c r="AE1361" i="6"/>
  <c r="AD1361" i="6"/>
  <c r="W1361" i="6"/>
  <c r="T1361" i="6"/>
  <c r="V1361" i="6" s="1"/>
  <c r="S1361" i="6"/>
  <c r="P1361" i="6"/>
  <c r="O1361" i="6"/>
  <c r="N1361" i="6"/>
  <c r="M1361" i="6"/>
  <c r="B1361" i="6"/>
  <c r="AE1360" i="6"/>
  <c r="AD1360" i="6"/>
  <c r="W1360" i="6"/>
  <c r="T1360" i="6"/>
  <c r="V1360" i="6" s="1"/>
  <c r="S1360" i="6"/>
  <c r="P1360" i="6"/>
  <c r="O1360" i="6"/>
  <c r="N1360" i="6"/>
  <c r="M1360" i="6"/>
  <c r="B1360" i="6"/>
  <c r="AE1359" i="6"/>
  <c r="AD1359" i="6"/>
  <c r="W1359" i="6"/>
  <c r="T1359" i="6"/>
  <c r="V1359" i="6" s="1"/>
  <c r="S1359" i="6"/>
  <c r="P1359" i="6"/>
  <c r="O1359" i="6"/>
  <c r="N1359" i="6"/>
  <c r="M1359" i="6"/>
  <c r="B1359" i="6"/>
  <c r="AE1358" i="6"/>
  <c r="AD1358" i="6"/>
  <c r="W1358" i="6"/>
  <c r="V1358" i="6"/>
  <c r="U1358" i="6"/>
  <c r="T1358" i="6"/>
  <c r="S1358" i="6"/>
  <c r="P1358" i="6"/>
  <c r="O1358" i="6"/>
  <c r="N1358" i="6"/>
  <c r="M1358" i="6"/>
  <c r="B1358" i="6"/>
  <c r="AE1357" i="6"/>
  <c r="AD1357" i="6"/>
  <c r="W1357" i="6"/>
  <c r="T1357" i="6"/>
  <c r="V1357" i="6" s="1"/>
  <c r="S1357" i="6"/>
  <c r="P1357" i="6"/>
  <c r="O1357" i="6"/>
  <c r="N1357" i="6"/>
  <c r="M1357" i="6"/>
  <c r="B1357" i="6"/>
  <c r="AE1356" i="6"/>
  <c r="AD1356" i="6"/>
  <c r="W1356" i="6"/>
  <c r="T1356" i="6"/>
  <c r="V1356" i="6" s="1"/>
  <c r="S1356" i="6"/>
  <c r="P1356" i="6"/>
  <c r="O1356" i="6"/>
  <c r="N1356" i="6"/>
  <c r="M1356" i="6"/>
  <c r="B1356" i="6"/>
  <c r="AE1355" i="6"/>
  <c r="AD1355" i="6"/>
  <c r="W1355" i="6"/>
  <c r="V1355" i="6"/>
  <c r="U1355" i="6"/>
  <c r="T1355" i="6"/>
  <c r="S1355" i="6"/>
  <c r="P1355" i="6"/>
  <c r="O1355" i="6"/>
  <c r="N1355" i="6"/>
  <c r="M1355" i="6"/>
  <c r="B1355" i="6"/>
  <c r="AE1354" i="6"/>
  <c r="AD1354" i="6"/>
  <c r="W1354" i="6"/>
  <c r="T1354" i="6"/>
  <c r="V1354" i="6" s="1"/>
  <c r="S1354" i="6"/>
  <c r="P1354" i="6"/>
  <c r="O1354" i="6"/>
  <c r="N1354" i="6"/>
  <c r="M1354" i="6"/>
  <c r="B1354" i="6"/>
  <c r="AE1353" i="6"/>
  <c r="AD1353" i="6"/>
  <c r="W1353" i="6"/>
  <c r="V1353" i="6"/>
  <c r="U1353" i="6"/>
  <c r="T1353" i="6"/>
  <c r="S1353" i="6"/>
  <c r="P1353" i="6"/>
  <c r="O1353" i="6"/>
  <c r="N1353" i="6"/>
  <c r="M1353" i="6"/>
  <c r="B1353" i="6"/>
  <c r="AE1352" i="6"/>
  <c r="AD1352" i="6"/>
  <c r="W1352" i="6"/>
  <c r="T1352" i="6"/>
  <c r="V1352" i="6" s="1"/>
  <c r="S1352" i="6"/>
  <c r="P1352" i="6"/>
  <c r="O1352" i="6"/>
  <c r="N1352" i="6"/>
  <c r="M1352" i="6"/>
  <c r="B1352" i="6"/>
  <c r="AE1351" i="6"/>
  <c r="AD1351" i="6"/>
  <c r="W1351" i="6"/>
  <c r="T1351" i="6"/>
  <c r="V1351" i="6" s="1"/>
  <c r="S1351" i="6"/>
  <c r="P1351" i="6"/>
  <c r="O1351" i="6"/>
  <c r="N1351" i="6"/>
  <c r="M1351" i="6"/>
  <c r="B1351" i="6"/>
  <c r="AE1350" i="6"/>
  <c r="AD1350" i="6"/>
  <c r="W1350" i="6"/>
  <c r="V1350" i="6"/>
  <c r="T1350" i="6"/>
  <c r="U1350" i="6" s="1"/>
  <c r="S1350" i="6"/>
  <c r="P1350" i="6"/>
  <c r="O1350" i="6"/>
  <c r="N1350" i="6"/>
  <c r="M1350" i="6"/>
  <c r="B1350" i="6"/>
  <c r="AE1349" i="6"/>
  <c r="AD1349" i="6"/>
  <c r="W1349" i="6"/>
  <c r="V1349" i="6"/>
  <c r="U1349" i="6"/>
  <c r="T1349" i="6"/>
  <c r="S1349" i="6"/>
  <c r="P1349" i="6"/>
  <c r="O1349" i="6"/>
  <c r="N1349" i="6"/>
  <c r="M1349" i="6"/>
  <c r="B1349" i="6"/>
  <c r="AE1348" i="6"/>
  <c r="AD1348" i="6"/>
  <c r="W1348" i="6"/>
  <c r="V1348" i="6"/>
  <c r="U1348" i="6"/>
  <c r="T1348" i="6"/>
  <c r="S1348" i="6"/>
  <c r="P1348" i="6"/>
  <c r="O1348" i="6"/>
  <c r="N1348" i="6"/>
  <c r="M1348" i="6"/>
  <c r="B1348" i="6"/>
  <c r="AE1347" i="6"/>
  <c r="AD1347" i="6"/>
  <c r="W1347" i="6"/>
  <c r="T1347" i="6"/>
  <c r="V1347" i="6" s="1"/>
  <c r="S1347" i="6"/>
  <c r="P1347" i="6"/>
  <c r="O1347" i="6"/>
  <c r="N1347" i="6"/>
  <c r="M1347" i="6"/>
  <c r="B1347" i="6"/>
  <c r="AE1346" i="6"/>
  <c r="AD1346" i="6"/>
  <c r="W1346" i="6"/>
  <c r="T1346" i="6"/>
  <c r="V1346" i="6" s="1"/>
  <c r="S1346" i="6"/>
  <c r="P1346" i="6"/>
  <c r="O1346" i="6"/>
  <c r="N1346" i="6"/>
  <c r="M1346" i="6"/>
  <c r="B1346" i="6"/>
  <c r="AE1345" i="6"/>
  <c r="AD1345" i="6"/>
  <c r="W1345" i="6"/>
  <c r="T1345" i="6"/>
  <c r="V1345" i="6" s="1"/>
  <c r="S1345" i="6"/>
  <c r="P1345" i="6"/>
  <c r="O1345" i="6"/>
  <c r="N1345" i="6"/>
  <c r="M1345" i="6"/>
  <c r="B1345" i="6"/>
  <c r="AE1344" i="6"/>
  <c r="AD1344" i="6"/>
  <c r="W1344" i="6"/>
  <c r="V1344" i="6"/>
  <c r="U1344" i="6"/>
  <c r="T1344" i="6"/>
  <c r="S1344" i="6"/>
  <c r="P1344" i="6"/>
  <c r="O1344" i="6"/>
  <c r="N1344" i="6"/>
  <c r="M1344" i="6"/>
  <c r="B1344" i="6"/>
  <c r="AE1343" i="6"/>
  <c r="AD1343" i="6"/>
  <c r="W1343" i="6"/>
  <c r="V1343" i="6"/>
  <c r="U1343" i="6"/>
  <c r="T1343" i="6"/>
  <c r="S1343" i="6"/>
  <c r="P1343" i="6"/>
  <c r="O1343" i="6"/>
  <c r="N1343" i="6"/>
  <c r="M1343" i="6"/>
  <c r="B1343" i="6"/>
  <c r="AE1342" i="6"/>
  <c r="AD1342" i="6"/>
  <c r="W1342" i="6"/>
  <c r="T1342" i="6"/>
  <c r="V1342" i="6" s="1"/>
  <c r="S1342" i="6"/>
  <c r="P1342" i="6"/>
  <c r="O1342" i="6"/>
  <c r="N1342" i="6"/>
  <c r="M1342" i="6"/>
  <c r="B1342" i="6"/>
  <c r="AE1341" i="6"/>
  <c r="AD1341" i="6"/>
  <c r="W1341" i="6"/>
  <c r="U1341" i="6"/>
  <c r="T1341" i="6"/>
  <c r="V1341" i="6" s="1"/>
  <c r="S1341" i="6"/>
  <c r="P1341" i="6"/>
  <c r="O1341" i="6"/>
  <c r="N1341" i="6"/>
  <c r="M1341" i="6"/>
  <c r="B1341" i="6"/>
  <c r="AE1340" i="6"/>
  <c r="AD1340" i="6"/>
  <c r="W1340" i="6"/>
  <c r="V1340" i="6"/>
  <c r="T1340" i="6"/>
  <c r="U1340" i="6" s="1"/>
  <c r="S1340" i="6"/>
  <c r="P1340" i="6"/>
  <c r="O1340" i="6"/>
  <c r="N1340" i="6"/>
  <c r="M1340" i="6"/>
  <c r="B1340" i="6"/>
  <c r="AE1339" i="6"/>
  <c r="AD1339" i="6"/>
  <c r="W1339" i="6"/>
  <c r="T1339" i="6"/>
  <c r="V1339" i="6" s="1"/>
  <c r="S1339" i="6"/>
  <c r="P1339" i="6"/>
  <c r="O1339" i="6"/>
  <c r="N1339" i="6"/>
  <c r="M1339" i="6"/>
  <c r="B1339" i="6"/>
  <c r="AE1338" i="6"/>
  <c r="AD1338" i="6"/>
  <c r="W1338" i="6"/>
  <c r="V1338" i="6"/>
  <c r="U1338" i="6"/>
  <c r="T1338" i="6"/>
  <c r="S1338" i="6"/>
  <c r="P1338" i="6"/>
  <c r="O1338" i="6"/>
  <c r="N1338" i="6"/>
  <c r="M1338" i="6"/>
  <c r="B1338" i="6"/>
  <c r="AE1337" i="6"/>
  <c r="AD1337" i="6"/>
  <c r="W1337" i="6"/>
  <c r="T1337" i="6"/>
  <c r="V1337" i="6" s="1"/>
  <c r="S1337" i="6"/>
  <c r="P1337" i="6"/>
  <c r="O1337" i="6"/>
  <c r="N1337" i="6"/>
  <c r="M1337" i="6"/>
  <c r="B1337" i="6"/>
  <c r="AE1336" i="6"/>
  <c r="AD1336" i="6"/>
  <c r="W1336" i="6"/>
  <c r="U1336" i="6"/>
  <c r="T1336" i="6"/>
  <c r="V1336" i="6" s="1"/>
  <c r="S1336" i="6"/>
  <c r="P1336" i="6"/>
  <c r="O1336" i="6"/>
  <c r="N1336" i="6"/>
  <c r="M1336" i="6"/>
  <c r="B1336" i="6"/>
  <c r="AE1335" i="6"/>
  <c r="AD1335" i="6"/>
  <c r="W1335" i="6"/>
  <c r="T1335" i="6"/>
  <c r="V1335" i="6" s="1"/>
  <c r="S1335" i="6"/>
  <c r="P1335" i="6"/>
  <c r="O1335" i="6"/>
  <c r="N1335" i="6"/>
  <c r="M1335" i="6"/>
  <c r="B1335" i="6"/>
  <c r="AE1334" i="6"/>
  <c r="AD1334" i="6"/>
  <c r="W1334" i="6"/>
  <c r="V1334" i="6"/>
  <c r="U1334" i="6"/>
  <c r="T1334" i="6"/>
  <c r="S1334" i="6"/>
  <c r="P1334" i="6"/>
  <c r="O1334" i="6"/>
  <c r="N1334" i="6"/>
  <c r="M1334" i="6"/>
  <c r="B1334" i="6"/>
  <c r="AE1333" i="6"/>
  <c r="AD1333" i="6"/>
  <c r="W1333" i="6"/>
  <c r="V1333" i="6"/>
  <c r="U1333" i="6"/>
  <c r="T1333" i="6"/>
  <c r="S1333" i="6"/>
  <c r="P1333" i="6"/>
  <c r="O1333" i="6"/>
  <c r="N1333" i="6"/>
  <c r="M1333" i="6"/>
  <c r="B1333" i="6"/>
  <c r="AE1332" i="6"/>
  <c r="AD1332" i="6"/>
  <c r="W1332" i="6"/>
  <c r="T1332" i="6"/>
  <c r="V1332" i="6" s="1"/>
  <c r="S1332" i="6"/>
  <c r="P1332" i="6"/>
  <c r="O1332" i="6"/>
  <c r="N1332" i="6"/>
  <c r="M1332" i="6"/>
  <c r="B1332" i="6"/>
  <c r="AE1331" i="6"/>
  <c r="AD1331" i="6"/>
  <c r="W1331" i="6"/>
  <c r="T1331" i="6"/>
  <c r="V1331" i="6" s="1"/>
  <c r="S1331" i="6"/>
  <c r="P1331" i="6"/>
  <c r="O1331" i="6"/>
  <c r="N1331" i="6"/>
  <c r="M1331" i="6"/>
  <c r="B1331" i="6"/>
  <c r="AE1330" i="6"/>
  <c r="AD1330" i="6"/>
  <c r="W1330" i="6"/>
  <c r="T1330" i="6"/>
  <c r="V1330" i="6" s="1"/>
  <c r="S1330" i="6"/>
  <c r="P1330" i="6"/>
  <c r="O1330" i="6"/>
  <c r="N1330" i="6"/>
  <c r="M1330" i="6"/>
  <c r="B1330" i="6"/>
  <c r="AE1329" i="6"/>
  <c r="AD1329" i="6"/>
  <c r="W1329" i="6"/>
  <c r="V1329" i="6"/>
  <c r="T1329" i="6"/>
  <c r="U1329" i="6" s="1"/>
  <c r="S1329" i="6"/>
  <c r="P1329" i="6"/>
  <c r="O1329" i="6"/>
  <c r="N1329" i="6"/>
  <c r="M1329" i="6"/>
  <c r="B1329" i="6"/>
  <c r="AE1328" i="6"/>
  <c r="AD1328" i="6"/>
  <c r="W1328" i="6"/>
  <c r="V1328" i="6"/>
  <c r="U1328" i="6"/>
  <c r="T1328" i="6"/>
  <c r="S1328" i="6"/>
  <c r="P1328" i="6"/>
  <c r="O1328" i="6"/>
  <c r="N1328" i="6"/>
  <c r="M1328" i="6"/>
  <c r="B1328" i="6"/>
  <c r="AE1327" i="6"/>
  <c r="AD1327" i="6"/>
  <c r="W1327" i="6"/>
  <c r="T1327" i="6"/>
  <c r="V1327" i="6" s="1"/>
  <c r="S1327" i="6"/>
  <c r="P1327" i="6"/>
  <c r="O1327" i="6"/>
  <c r="N1327" i="6"/>
  <c r="M1327" i="6"/>
  <c r="B1327" i="6"/>
  <c r="AE1326" i="6"/>
  <c r="AD1326" i="6"/>
  <c r="W1326" i="6"/>
  <c r="U1326" i="6"/>
  <c r="T1326" i="6"/>
  <c r="V1326" i="6" s="1"/>
  <c r="S1326" i="6"/>
  <c r="P1326" i="6"/>
  <c r="O1326" i="6"/>
  <c r="N1326" i="6"/>
  <c r="M1326" i="6"/>
  <c r="B1326" i="6"/>
  <c r="AE1325" i="6"/>
  <c r="AD1325" i="6"/>
  <c r="W1325" i="6"/>
  <c r="T1325" i="6"/>
  <c r="V1325" i="6" s="1"/>
  <c r="S1325" i="6"/>
  <c r="P1325" i="6"/>
  <c r="O1325" i="6"/>
  <c r="N1325" i="6"/>
  <c r="M1325" i="6"/>
  <c r="B1325" i="6"/>
  <c r="AE1324" i="6"/>
  <c r="AD1324" i="6"/>
  <c r="W1324" i="6"/>
  <c r="T1324" i="6"/>
  <c r="V1324" i="6" s="1"/>
  <c r="S1324" i="6"/>
  <c r="P1324" i="6"/>
  <c r="O1324" i="6"/>
  <c r="N1324" i="6"/>
  <c r="M1324" i="6"/>
  <c r="B1324" i="6"/>
  <c r="AE1323" i="6"/>
  <c r="AD1323" i="6"/>
  <c r="W1323" i="6"/>
  <c r="V1323" i="6"/>
  <c r="U1323" i="6"/>
  <c r="T1323" i="6"/>
  <c r="S1323" i="6"/>
  <c r="P1323" i="6"/>
  <c r="O1323" i="6"/>
  <c r="N1323" i="6"/>
  <c r="M1323" i="6"/>
  <c r="B1323" i="6"/>
  <c r="AE1322" i="6"/>
  <c r="AD1322" i="6"/>
  <c r="W1322" i="6"/>
  <c r="T1322" i="6"/>
  <c r="V1322" i="6" s="1"/>
  <c r="S1322" i="6"/>
  <c r="P1322" i="6"/>
  <c r="O1322" i="6"/>
  <c r="N1322" i="6"/>
  <c r="M1322" i="6"/>
  <c r="B1322" i="6"/>
  <c r="AE1321" i="6"/>
  <c r="AD1321" i="6"/>
  <c r="W1321" i="6"/>
  <c r="T1321" i="6"/>
  <c r="V1321" i="6" s="1"/>
  <c r="S1321" i="6"/>
  <c r="P1321" i="6"/>
  <c r="O1321" i="6"/>
  <c r="N1321" i="6"/>
  <c r="M1321" i="6"/>
  <c r="B1321" i="6"/>
  <c r="AE1320" i="6"/>
  <c r="AD1320" i="6"/>
  <c r="W1320" i="6"/>
  <c r="V1320" i="6"/>
  <c r="U1320" i="6"/>
  <c r="T1320" i="6"/>
  <c r="S1320" i="6"/>
  <c r="P1320" i="6"/>
  <c r="O1320" i="6"/>
  <c r="N1320" i="6"/>
  <c r="M1320" i="6"/>
  <c r="B1320" i="6"/>
  <c r="AE1319" i="6"/>
  <c r="AD1319" i="6"/>
  <c r="W1319" i="6"/>
  <c r="V1319" i="6"/>
  <c r="T1319" i="6"/>
  <c r="U1319" i="6" s="1"/>
  <c r="S1319" i="6"/>
  <c r="P1319" i="6"/>
  <c r="O1319" i="6"/>
  <c r="N1319" i="6"/>
  <c r="M1319" i="6"/>
  <c r="B1319" i="6"/>
  <c r="AE1318" i="6"/>
  <c r="AD1318" i="6"/>
  <c r="W1318" i="6"/>
  <c r="V1318" i="6"/>
  <c r="U1318" i="6"/>
  <c r="T1318" i="6"/>
  <c r="S1318" i="6"/>
  <c r="P1318" i="6"/>
  <c r="O1318" i="6"/>
  <c r="N1318" i="6"/>
  <c r="M1318" i="6"/>
  <c r="B1318" i="6"/>
  <c r="AE1317" i="6"/>
  <c r="AD1317" i="6"/>
  <c r="W1317" i="6"/>
  <c r="T1317" i="6"/>
  <c r="V1317" i="6" s="1"/>
  <c r="S1317" i="6"/>
  <c r="P1317" i="6"/>
  <c r="O1317" i="6"/>
  <c r="N1317" i="6"/>
  <c r="M1317" i="6"/>
  <c r="B1317" i="6"/>
  <c r="AE1316" i="6"/>
  <c r="AD1316" i="6"/>
  <c r="W1316" i="6"/>
  <c r="T1316" i="6"/>
  <c r="V1316" i="6" s="1"/>
  <c r="S1316" i="6"/>
  <c r="P1316" i="6"/>
  <c r="O1316" i="6"/>
  <c r="N1316" i="6"/>
  <c r="M1316" i="6"/>
  <c r="B1316" i="6"/>
  <c r="AE1315" i="6"/>
  <c r="AD1315" i="6"/>
  <c r="W1315" i="6"/>
  <c r="V1315" i="6"/>
  <c r="U1315" i="6"/>
  <c r="T1315" i="6"/>
  <c r="S1315" i="6"/>
  <c r="P1315" i="6"/>
  <c r="O1315" i="6"/>
  <c r="N1315" i="6"/>
  <c r="M1315" i="6"/>
  <c r="B1315" i="6"/>
  <c r="AE1314" i="6"/>
  <c r="AD1314" i="6"/>
  <c r="W1314" i="6"/>
  <c r="T1314" i="6"/>
  <c r="V1314" i="6" s="1"/>
  <c r="S1314" i="6"/>
  <c r="P1314" i="6"/>
  <c r="O1314" i="6"/>
  <c r="N1314" i="6"/>
  <c r="M1314" i="6"/>
  <c r="B1314" i="6"/>
  <c r="AE1313" i="6"/>
  <c r="AD1313" i="6"/>
  <c r="W1313" i="6"/>
  <c r="V1313" i="6"/>
  <c r="U1313" i="6"/>
  <c r="T1313" i="6"/>
  <c r="S1313" i="6"/>
  <c r="P1313" i="6"/>
  <c r="O1313" i="6"/>
  <c r="N1313" i="6"/>
  <c r="M1313" i="6"/>
  <c r="B1313" i="6"/>
  <c r="AE1312" i="6"/>
  <c r="AD1312" i="6"/>
  <c r="W1312" i="6"/>
  <c r="T1312" i="6"/>
  <c r="V1312" i="6" s="1"/>
  <c r="S1312" i="6"/>
  <c r="P1312" i="6"/>
  <c r="O1312" i="6"/>
  <c r="N1312" i="6"/>
  <c r="M1312" i="6"/>
  <c r="B1312" i="6"/>
  <c r="AE1311" i="6"/>
  <c r="AD1311" i="6"/>
  <c r="W1311" i="6"/>
  <c r="T1311" i="6"/>
  <c r="V1311" i="6" s="1"/>
  <c r="S1311" i="6"/>
  <c r="P1311" i="6"/>
  <c r="O1311" i="6"/>
  <c r="N1311" i="6"/>
  <c r="M1311" i="6"/>
  <c r="B1311" i="6"/>
  <c r="AE1310" i="6"/>
  <c r="AD1310" i="6"/>
  <c r="W1310" i="6"/>
  <c r="T1310" i="6"/>
  <c r="V1310" i="6" s="1"/>
  <c r="S1310" i="6"/>
  <c r="P1310" i="6"/>
  <c r="O1310" i="6"/>
  <c r="N1310" i="6"/>
  <c r="M1310" i="6"/>
  <c r="B1310" i="6"/>
  <c r="AE1309" i="6"/>
  <c r="AD1309" i="6"/>
  <c r="W1309" i="6"/>
  <c r="T1309" i="6"/>
  <c r="V1309" i="6" s="1"/>
  <c r="S1309" i="6"/>
  <c r="P1309" i="6"/>
  <c r="O1309" i="6"/>
  <c r="N1309" i="6"/>
  <c r="M1309" i="6"/>
  <c r="B1309" i="6"/>
  <c r="AE1308" i="6"/>
  <c r="AD1308" i="6"/>
  <c r="W1308" i="6"/>
  <c r="V1308" i="6"/>
  <c r="U1308" i="6"/>
  <c r="T1308" i="6"/>
  <c r="S1308" i="6"/>
  <c r="P1308" i="6"/>
  <c r="O1308" i="6"/>
  <c r="N1308" i="6"/>
  <c r="M1308" i="6"/>
  <c r="B1308" i="6"/>
  <c r="AE1307" i="6"/>
  <c r="AD1307" i="6"/>
  <c r="W1307" i="6"/>
  <c r="T1307" i="6"/>
  <c r="V1307" i="6" s="1"/>
  <c r="S1307" i="6"/>
  <c r="P1307" i="6"/>
  <c r="O1307" i="6"/>
  <c r="N1307" i="6"/>
  <c r="M1307" i="6"/>
  <c r="B1307" i="6"/>
  <c r="AE1306" i="6"/>
  <c r="AD1306" i="6"/>
  <c r="W1306" i="6"/>
  <c r="T1306" i="6"/>
  <c r="V1306" i="6" s="1"/>
  <c r="S1306" i="6"/>
  <c r="P1306" i="6"/>
  <c r="O1306" i="6"/>
  <c r="N1306" i="6"/>
  <c r="M1306" i="6"/>
  <c r="B1306" i="6"/>
  <c r="AE1305" i="6"/>
  <c r="AD1305" i="6"/>
  <c r="W1305" i="6"/>
  <c r="V1305" i="6"/>
  <c r="U1305" i="6"/>
  <c r="T1305" i="6"/>
  <c r="S1305" i="6"/>
  <c r="P1305" i="6"/>
  <c r="O1305" i="6"/>
  <c r="N1305" i="6"/>
  <c r="M1305" i="6"/>
  <c r="B1305" i="6"/>
  <c r="AE1304" i="6"/>
  <c r="AD1304" i="6"/>
  <c r="W1304" i="6"/>
  <c r="T1304" i="6"/>
  <c r="V1304" i="6" s="1"/>
  <c r="S1304" i="6"/>
  <c r="P1304" i="6"/>
  <c r="O1304" i="6"/>
  <c r="N1304" i="6"/>
  <c r="M1304" i="6"/>
  <c r="B1304" i="6"/>
  <c r="AE1303" i="6"/>
  <c r="AD1303" i="6"/>
  <c r="W1303" i="6"/>
  <c r="V1303" i="6"/>
  <c r="U1303" i="6"/>
  <c r="T1303" i="6"/>
  <c r="S1303" i="6"/>
  <c r="P1303" i="6"/>
  <c r="O1303" i="6"/>
  <c r="N1303" i="6"/>
  <c r="M1303" i="6"/>
  <c r="B1303" i="6"/>
  <c r="AE1302" i="6"/>
  <c r="AD1302" i="6"/>
  <c r="W1302" i="6"/>
  <c r="T1302" i="6"/>
  <c r="V1302" i="6" s="1"/>
  <c r="S1302" i="6"/>
  <c r="P1302" i="6"/>
  <c r="O1302" i="6"/>
  <c r="N1302" i="6"/>
  <c r="M1302" i="6"/>
  <c r="B1302" i="6"/>
  <c r="AE1301" i="6"/>
  <c r="AD1301" i="6"/>
  <c r="W1301" i="6"/>
  <c r="T1301" i="6"/>
  <c r="V1301" i="6" s="1"/>
  <c r="S1301" i="6"/>
  <c r="P1301" i="6"/>
  <c r="O1301" i="6"/>
  <c r="N1301" i="6"/>
  <c r="M1301" i="6"/>
  <c r="B1301" i="6"/>
  <c r="AE1300" i="6"/>
  <c r="AD1300" i="6"/>
  <c r="W1300" i="6"/>
  <c r="V1300" i="6"/>
  <c r="T1300" i="6"/>
  <c r="U1300" i="6" s="1"/>
  <c r="S1300" i="6"/>
  <c r="P1300" i="6"/>
  <c r="O1300" i="6"/>
  <c r="N1300" i="6"/>
  <c r="M1300" i="6"/>
  <c r="B1300" i="6"/>
  <c r="AE1299" i="6"/>
  <c r="AD1299" i="6"/>
  <c r="W1299" i="6"/>
  <c r="V1299" i="6"/>
  <c r="U1299" i="6"/>
  <c r="T1299" i="6"/>
  <c r="S1299" i="6"/>
  <c r="P1299" i="6"/>
  <c r="O1299" i="6"/>
  <c r="N1299" i="6"/>
  <c r="M1299" i="6"/>
  <c r="B1299" i="6"/>
  <c r="AE1298" i="6"/>
  <c r="AD1298" i="6"/>
  <c r="W1298" i="6"/>
  <c r="V1298" i="6"/>
  <c r="U1298" i="6"/>
  <c r="T1298" i="6"/>
  <c r="S1298" i="6"/>
  <c r="P1298" i="6"/>
  <c r="O1298" i="6"/>
  <c r="N1298" i="6"/>
  <c r="M1298" i="6"/>
  <c r="B1298" i="6"/>
  <c r="AE1297" i="6"/>
  <c r="AD1297" i="6"/>
  <c r="W1297" i="6"/>
  <c r="T1297" i="6"/>
  <c r="V1297" i="6" s="1"/>
  <c r="S1297" i="6"/>
  <c r="P1297" i="6"/>
  <c r="O1297" i="6"/>
  <c r="N1297" i="6"/>
  <c r="M1297" i="6"/>
  <c r="B1297" i="6"/>
  <c r="AE1296" i="6"/>
  <c r="AD1296" i="6"/>
  <c r="W1296" i="6"/>
  <c r="T1296" i="6"/>
  <c r="V1296" i="6" s="1"/>
  <c r="S1296" i="6"/>
  <c r="P1296" i="6"/>
  <c r="O1296" i="6"/>
  <c r="N1296" i="6"/>
  <c r="M1296" i="6"/>
  <c r="B1296" i="6"/>
  <c r="AE1295" i="6"/>
  <c r="AD1295" i="6"/>
  <c r="W1295" i="6"/>
  <c r="T1295" i="6"/>
  <c r="V1295" i="6" s="1"/>
  <c r="S1295" i="6"/>
  <c r="P1295" i="6"/>
  <c r="O1295" i="6"/>
  <c r="N1295" i="6"/>
  <c r="M1295" i="6"/>
  <c r="B1295" i="6"/>
  <c r="AE1294" i="6"/>
  <c r="AD1294" i="6"/>
  <c r="W1294" i="6"/>
  <c r="V1294" i="6"/>
  <c r="U1294" i="6"/>
  <c r="T1294" i="6"/>
  <c r="S1294" i="6"/>
  <c r="P1294" i="6"/>
  <c r="O1294" i="6"/>
  <c r="N1294" i="6"/>
  <c r="M1294" i="6"/>
  <c r="B1294" i="6"/>
  <c r="AE1293" i="6"/>
  <c r="AD1293" i="6"/>
  <c r="W1293" i="6"/>
  <c r="V1293" i="6"/>
  <c r="U1293" i="6"/>
  <c r="T1293" i="6"/>
  <c r="S1293" i="6"/>
  <c r="P1293" i="6"/>
  <c r="O1293" i="6"/>
  <c r="N1293" i="6"/>
  <c r="M1293" i="6"/>
  <c r="B1293" i="6"/>
  <c r="AE1292" i="6"/>
  <c r="AD1292" i="6"/>
  <c r="W1292" i="6"/>
  <c r="T1292" i="6"/>
  <c r="V1292" i="6" s="1"/>
  <c r="S1292" i="6"/>
  <c r="P1292" i="6"/>
  <c r="O1292" i="6"/>
  <c r="N1292" i="6"/>
  <c r="M1292" i="6"/>
  <c r="B1292" i="6"/>
  <c r="AE1291" i="6"/>
  <c r="AD1291" i="6"/>
  <c r="W1291" i="6"/>
  <c r="U1291" i="6"/>
  <c r="T1291" i="6"/>
  <c r="V1291" i="6" s="1"/>
  <c r="S1291" i="6"/>
  <c r="P1291" i="6"/>
  <c r="O1291" i="6"/>
  <c r="N1291" i="6"/>
  <c r="M1291" i="6"/>
  <c r="B1291" i="6"/>
  <c r="AE1290" i="6"/>
  <c r="AD1290" i="6"/>
  <c r="W1290" i="6"/>
  <c r="V1290" i="6"/>
  <c r="T1290" i="6"/>
  <c r="U1290" i="6" s="1"/>
  <c r="S1290" i="6"/>
  <c r="P1290" i="6"/>
  <c r="O1290" i="6"/>
  <c r="N1290" i="6"/>
  <c r="M1290" i="6"/>
  <c r="B1290" i="6"/>
  <c r="AE1289" i="6"/>
  <c r="AD1289" i="6"/>
  <c r="W1289" i="6"/>
  <c r="T1289" i="6"/>
  <c r="V1289" i="6" s="1"/>
  <c r="S1289" i="6"/>
  <c r="P1289" i="6"/>
  <c r="O1289" i="6"/>
  <c r="N1289" i="6"/>
  <c r="M1289" i="6"/>
  <c r="B1289" i="6"/>
  <c r="AE1288" i="6"/>
  <c r="AD1288" i="6"/>
  <c r="W1288" i="6"/>
  <c r="V1288" i="6"/>
  <c r="U1288" i="6"/>
  <c r="T1288" i="6"/>
  <c r="S1288" i="6"/>
  <c r="P1288" i="6"/>
  <c r="O1288" i="6"/>
  <c r="N1288" i="6"/>
  <c r="M1288" i="6"/>
  <c r="B1288" i="6"/>
  <c r="AE1287" i="6"/>
  <c r="AD1287" i="6"/>
  <c r="W1287" i="6"/>
  <c r="T1287" i="6"/>
  <c r="V1287" i="6" s="1"/>
  <c r="S1287" i="6"/>
  <c r="P1287" i="6"/>
  <c r="O1287" i="6"/>
  <c r="N1287" i="6"/>
  <c r="M1287" i="6"/>
  <c r="B1287" i="6"/>
  <c r="AE1286" i="6"/>
  <c r="AD1286" i="6"/>
  <c r="W1286" i="6"/>
  <c r="U1286" i="6"/>
  <c r="T1286" i="6"/>
  <c r="V1286" i="6" s="1"/>
  <c r="S1286" i="6"/>
  <c r="P1286" i="6"/>
  <c r="O1286" i="6"/>
  <c r="N1286" i="6"/>
  <c r="M1286" i="6"/>
  <c r="B1286" i="6"/>
  <c r="AE1285" i="6"/>
  <c r="AD1285" i="6"/>
  <c r="W1285" i="6"/>
  <c r="T1285" i="6"/>
  <c r="V1285" i="6" s="1"/>
  <c r="S1285" i="6"/>
  <c r="P1285" i="6"/>
  <c r="O1285" i="6"/>
  <c r="N1285" i="6"/>
  <c r="M1285" i="6"/>
  <c r="B1285" i="6"/>
  <c r="AE1284" i="6"/>
  <c r="AD1284" i="6"/>
  <c r="W1284" i="6"/>
  <c r="V1284" i="6"/>
  <c r="U1284" i="6"/>
  <c r="T1284" i="6"/>
  <c r="S1284" i="6"/>
  <c r="P1284" i="6"/>
  <c r="O1284" i="6"/>
  <c r="N1284" i="6"/>
  <c r="M1284" i="6"/>
  <c r="B1284" i="6"/>
  <c r="AE1283" i="6"/>
  <c r="AD1283" i="6"/>
  <c r="W1283" i="6"/>
  <c r="V1283" i="6"/>
  <c r="U1283" i="6"/>
  <c r="T1283" i="6"/>
  <c r="S1283" i="6"/>
  <c r="P1283" i="6"/>
  <c r="O1283" i="6"/>
  <c r="N1283" i="6"/>
  <c r="M1283" i="6"/>
  <c r="B1283" i="6"/>
  <c r="AE1282" i="6"/>
  <c r="AD1282" i="6"/>
  <c r="W1282" i="6"/>
  <c r="U1282" i="6"/>
  <c r="T1282" i="6"/>
  <c r="V1282" i="6" s="1"/>
  <c r="S1282" i="6"/>
  <c r="P1282" i="6"/>
  <c r="O1282" i="6"/>
  <c r="N1282" i="6"/>
  <c r="M1282" i="6"/>
  <c r="B1282" i="6"/>
  <c r="AE1281" i="6"/>
  <c r="AD1281" i="6"/>
  <c r="W1281" i="6"/>
  <c r="T1281" i="6"/>
  <c r="V1281" i="6" s="1"/>
  <c r="S1281" i="6"/>
  <c r="P1281" i="6"/>
  <c r="O1281" i="6"/>
  <c r="N1281" i="6"/>
  <c r="M1281" i="6"/>
  <c r="B1281" i="6"/>
  <c r="AE1280" i="6"/>
  <c r="AD1280" i="6"/>
  <c r="W1280" i="6"/>
  <c r="V1280" i="6"/>
  <c r="U1280" i="6"/>
  <c r="T1280" i="6"/>
  <c r="S1280" i="6"/>
  <c r="P1280" i="6"/>
  <c r="O1280" i="6"/>
  <c r="N1280" i="6"/>
  <c r="M1280" i="6"/>
  <c r="B1280" i="6"/>
  <c r="AE1279" i="6"/>
  <c r="AD1279" i="6"/>
  <c r="W1279" i="6"/>
  <c r="T1279" i="6"/>
  <c r="V1279" i="6" s="1"/>
  <c r="S1279" i="6"/>
  <c r="P1279" i="6"/>
  <c r="O1279" i="6"/>
  <c r="N1279" i="6"/>
  <c r="M1279" i="6"/>
  <c r="B1279" i="6"/>
  <c r="AE1278" i="6"/>
  <c r="AD1278" i="6"/>
  <c r="W1278" i="6"/>
  <c r="V1278" i="6"/>
  <c r="U1278" i="6"/>
  <c r="T1278" i="6"/>
  <c r="S1278" i="6"/>
  <c r="P1278" i="6"/>
  <c r="O1278" i="6"/>
  <c r="N1278" i="6"/>
  <c r="M1278" i="6"/>
  <c r="B1278" i="6"/>
  <c r="AE1277" i="6"/>
  <c r="AD1277" i="6"/>
  <c r="W1277" i="6"/>
  <c r="T1277" i="6"/>
  <c r="V1277" i="6" s="1"/>
  <c r="S1277" i="6"/>
  <c r="P1277" i="6"/>
  <c r="O1277" i="6"/>
  <c r="N1277" i="6"/>
  <c r="M1277" i="6"/>
  <c r="B1277" i="6"/>
  <c r="AE1276" i="6"/>
  <c r="AD1276" i="6"/>
  <c r="W1276" i="6"/>
  <c r="T1276" i="6"/>
  <c r="V1276" i="6" s="1"/>
  <c r="S1276" i="6"/>
  <c r="P1276" i="6"/>
  <c r="O1276" i="6"/>
  <c r="N1276" i="6"/>
  <c r="M1276" i="6"/>
  <c r="B1276" i="6"/>
  <c r="AE1275" i="6"/>
  <c r="AD1275" i="6"/>
  <c r="W1275" i="6"/>
  <c r="T1275" i="6"/>
  <c r="V1275" i="6" s="1"/>
  <c r="S1275" i="6"/>
  <c r="P1275" i="6"/>
  <c r="O1275" i="6"/>
  <c r="N1275" i="6"/>
  <c r="M1275" i="6"/>
  <c r="B1275" i="6"/>
  <c r="AE1274" i="6"/>
  <c r="AD1274" i="6"/>
  <c r="W1274" i="6"/>
  <c r="T1274" i="6"/>
  <c r="V1274" i="6" s="1"/>
  <c r="S1274" i="6"/>
  <c r="P1274" i="6"/>
  <c r="O1274" i="6"/>
  <c r="N1274" i="6"/>
  <c r="M1274" i="6"/>
  <c r="B1274" i="6"/>
  <c r="AE1273" i="6"/>
  <c r="AD1273" i="6"/>
  <c r="W1273" i="6"/>
  <c r="V1273" i="6"/>
  <c r="U1273" i="6"/>
  <c r="T1273" i="6"/>
  <c r="S1273" i="6"/>
  <c r="P1273" i="6"/>
  <c r="O1273" i="6"/>
  <c r="N1273" i="6"/>
  <c r="M1273" i="6"/>
  <c r="B1273" i="6"/>
  <c r="AE1272" i="6"/>
  <c r="AD1272" i="6"/>
  <c r="W1272" i="6"/>
  <c r="T1272" i="6"/>
  <c r="V1272" i="6" s="1"/>
  <c r="S1272" i="6"/>
  <c r="P1272" i="6"/>
  <c r="O1272" i="6"/>
  <c r="N1272" i="6"/>
  <c r="M1272" i="6"/>
  <c r="B1272" i="6"/>
  <c r="AE1271" i="6"/>
  <c r="AD1271" i="6"/>
  <c r="W1271" i="6"/>
  <c r="T1271" i="6"/>
  <c r="V1271" i="6" s="1"/>
  <c r="S1271" i="6"/>
  <c r="P1271" i="6"/>
  <c r="O1271" i="6"/>
  <c r="N1271" i="6"/>
  <c r="M1271" i="6"/>
  <c r="B1271" i="6"/>
  <c r="AE1270" i="6"/>
  <c r="AD1270" i="6"/>
  <c r="W1270" i="6"/>
  <c r="V1270" i="6"/>
  <c r="U1270" i="6"/>
  <c r="T1270" i="6"/>
  <c r="S1270" i="6"/>
  <c r="P1270" i="6"/>
  <c r="O1270" i="6"/>
  <c r="N1270" i="6"/>
  <c r="M1270" i="6"/>
  <c r="B1270" i="6"/>
  <c r="AE1269" i="6"/>
  <c r="AD1269" i="6"/>
  <c r="W1269" i="6"/>
  <c r="T1269" i="6"/>
  <c r="V1269" i="6" s="1"/>
  <c r="S1269" i="6"/>
  <c r="P1269" i="6"/>
  <c r="O1269" i="6"/>
  <c r="N1269" i="6"/>
  <c r="M1269" i="6"/>
  <c r="B1269" i="6"/>
  <c r="AE1268" i="6"/>
  <c r="AD1268" i="6"/>
  <c r="W1268" i="6"/>
  <c r="V1268" i="6"/>
  <c r="U1268" i="6"/>
  <c r="T1268" i="6"/>
  <c r="S1268" i="6"/>
  <c r="P1268" i="6"/>
  <c r="O1268" i="6"/>
  <c r="N1268" i="6"/>
  <c r="M1268" i="6"/>
  <c r="B1268" i="6"/>
  <c r="AE1267" i="6"/>
  <c r="AD1267" i="6"/>
  <c r="W1267" i="6"/>
  <c r="T1267" i="6"/>
  <c r="V1267" i="6" s="1"/>
  <c r="S1267" i="6"/>
  <c r="P1267" i="6"/>
  <c r="O1267" i="6"/>
  <c r="N1267" i="6"/>
  <c r="M1267" i="6"/>
  <c r="B1267" i="6"/>
  <c r="AE1266" i="6"/>
  <c r="AD1266" i="6"/>
  <c r="W1266" i="6"/>
  <c r="T1266" i="6"/>
  <c r="V1266" i="6" s="1"/>
  <c r="S1266" i="6"/>
  <c r="P1266" i="6"/>
  <c r="O1266" i="6"/>
  <c r="N1266" i="6"/>
  <c r="M1266" i="6"/>
  <c r="B1266" i="6"/>
  <c r="AE1265" i="6"/>
  <c r="AD1265" i="6"/>
  <c r="W1265" i="6"/>
  <c r="V1265" i="6"/>
  <c r="T1265" i="6"/>
  <c r="U1265" i="6" s="1"/>
  <c r="S1265" i="6"/>
  <c r="P1265" i="6"/>
  <c r="O1265" i="6"/>
  <c r="N1265" i="6"/>
  <c r="M1265" i="6"/>
  <c r="B1265" i="6"/>
  <c r="AE1264" i="6"/>
  <c r="AD1264" i="6"/>
  <c r="W1264" i="6"/>
  <c r="V1264" i="6"/>
  <c r="U1264" i="6"/>
  <c r="T1264" i="6"/>
  <c r="S1264" i="6"/>
  <c r="P1264" i="6"/>
  <c r="O1264" i="6"/>
  <c r="N1264" i="6"/>
  <c r="M1264" i="6"/>
  <c r="B1264" i="6"/>
  <c r="AE1263" i="6"/>
  <c r="AD1263" i="6"/>
  <c r="W1263" i="6"/>
  <c r="V1263" i="6"/>
  <c r="U1263" i="6"/>
  <c r="T1263" i="6"/>
  <c r="S1263" i="6"/>
  <c r="P1263" i="6"/>
  <c r="O1263" i="6"/>
  <c r="N1263" i="6"/>
  <c r="M1263" i="6"/>
  <c r="B1263" i="6"/>
  <c r="AE1262" i="6"/>
  <c r="AD1262" i="6"/>
  <c r="W1262" i="6"/>
  <c r="T1262" i="6"/>
  <c r="V1262" i="6" s="1"/>
  <c r="S1262" i="6"/>
  <c r="P1262" i="6"/>
  <c r="O1262" i="6"/>
  <c r="N1262" i="6"/>
  <c r="M1262" i="6"/>
  <c r="B1262" i="6"/>
  <c r="AE1261" i="6"/>
  <c r="AD1261" i="6"/>
  <c r="W1261" i="6"/>
  <c r="T1261" i="6"/>
  <c r="V1261" i="6" s="1"/>
  <c r="S1261" i="6"/>
  <c r="P1261" i="6"/>
  <c r="O1261" i="6"/>
  <c r="N1261" i="6"/>
  <c r="M1261" i="6"/>
  <c r="B1261" i="6"/>
  <c r="AE1260" i="6"/>
  <c r="AD1260" i="6"/>
  <c r="W1260" i="6"/>
  <c r="T1260" i="6"/>
  <c r="V1260" i="6" s="1"/>
  <c r="S1260" i="6"/>
  <c r="P1260" i="6"/>
  <c r="O1260" i="6"/>
  <c r="N1260" i="6"/>
  <c r="M1260" i="6"/>
  <c r="B1260" i="6"/>
  <c r="AE1259" i="6"/>
  <c r="AD1259" i="6"/>
  <c r="W1259" i="6"/>
  <c r="V1259" i="6"/>
  <c r="U1259" i="6"/>
  <c r="T1259" i="6"/>
  <c r="S1259" i="6"/>
  <c r="P1259" i="6"/>
  <c r="O1259" i="6"/>
  <c r="N1259" i="6"/>
  <c r="M1259" i="6"/>
  <c r="B1259" i="6"/>
  <c r="AE1258" i="6"/>
  <c r="AD1258" i="6"/>
  <c r="W1258" i="6"/>
  <c r="V1258" i="6"/>
  <c r="U1258" i="6"/>
  <c r="T1258" i="6"/>
  <c r="S1258" i="6"/>
  <c r="P1258" i="6"/>
  <c r="O1258" i="6"/>
  <c r="N1258" i="6"/>
  <c r="M1258" i="6"/>
  <c r="B1258" i="6"/>
  <c r="AE1257" i="6"/>
  <c r="AD1257" i="6"/>
  <c r="W1257" i="6"/>
  <c r="T1257" i="6"/>
  <c r="V1257" i="6" s="1"/>
  <c r="S1257" i="6"/>
  <c r="P1257" i="6"/>
  <c r="O1257" i="6"/>
  <c r="N1257" i="6"/>
  <c r="M1257" i="6"/>
  <c r="B1257" i="6"/>
  <c r="AE1256" i="6"/>
  <c r="AD1256" i="6"/>
  <c r="W1256" i="6"/>
  <c r="U1256" i="6"/>
  <c r="T1256" i="6"/>
  <c r="V1256" i="6" s="1"/>
  <c r="S1256" i="6"/>
  <c r="P1256" i="6"/>
  <c r="O1256" i="6"/>
  <c r="N1256" i="6"/>
  <c r="M1256" i="6"/>
  <c r="B1256" i="6"/>
  <c r="AE1255" i="6"/>
  <c r="AD1255" i="6"/>
  <c r="W1255" i="6"/>
  <c r="V1255" i="6"/>
  <c r="T1255" i="6"/>
  <c r="U1255" i="6" s="1"/>
  <c r="S1255" i="6"/>
  <c r="P1255" i="6"/>
  <c r="O1255" i="6"/>
  <c r="N1255" i="6"/>
  <c r="M1255" i="6"/>
  <c r="B1255" i="6"/>
  <c r="AE1254" i="6"/>
  <c r="AD1254" i="6"/>
  <c r="W1254" i="6"/>
  <c r="T1254" i="6"/>
  <c r="V1254" i="6" s="1"/>
  <c r="S1254" i="6"/>
  <c r="P1254" i="6"/>
  <c r="O1254" i="6"/>
  <c r="N1254" i="6"/>
  <c r="M1254" i="6"/>
  <c r="B1254" i="6"/>
  <c r="AE1253" i="6"/>
  <c r="AD1253" i="6"/>
  <c r="W1253" i="6"/>
  <c r="V1253" i="6"/>
  <c r="U1253" i="6"/>
  <c r="T1253" i="6"/>
  <c r="S1253" i="6"/>
  <c r="P1253" i="6"/>
  <c r="O1253" i="6"/>
  <c r="N1253" i="6"/>
  <c r="M1253" i="6"/>
  <c r="B1253" i="6"/>
  <c r="AE1252" i="6"/>
  <c r="AD1252" i="6"/>
  <c r="W1252" i="6"/>
  <c r="T1252" i="6"/>
  <c r="V1252" i="6" s="1"/>
  <c r="S1252" i="6"/>
  <c r="P1252" i="6"/>
  <c r="O1252" i="6"/>
  <c r="N1252" i="6"/>
  <c r="M1252" i="6"/>
  <c r="B1252" i="6"/>
  <c r="AE1251" i="6"/>
  <c r="AD1251" i="6"/>
  <c r="W1251" i="6"/>
  <c r="U1251" i="6"/>
  <c r="T1251" i="6"/>
  <c r="V1251" i="6" s="1"/>
  <c r="S1251" i="6"/>
  <c r="P1251" i="6"/>
  <c r="O1251" i="6"/>
  <c r="N1251" i="6"/>
  <c r="M1251" i="6"/>
  <c r="B1251" i="6"/>
  <c r="AE1250" i="6"/>
  <c r="AD1250" i="6"/>
  <c r="W1250" i="6"/>
  <c r="T1250" i="6"/>
  <c r="V1250" i="6" s="1"/>
  <c r="S1250" i="6"/>
  <c r="P1250" i="6"/>
  <c r="O1250" i="6"/>
  <c r="N1250" i="6"/>
  <c r="M1250" i="6"/>
  <c r="B1250" i="6"/>
  <c r="AE1249" i="6"/>
  <c r="AD1249" i="6"/>
  <c r="W1249" i="6"/>
  <c r="V1249" i="6"/>
  <c r="U1249" i="6"/>
  <c r="T1249" i="6"/>
  <c r="S1249" i="6"/>
  <c r="P1249" i="6"/>
  <c r="O1249" i="6"/>
  <c r="N1249" i="6"/>
  <c r="M1249" i="6"/>
  <c r="B1249" i="6"/>
  <c r="AE1248" i="6"/>
  <c r="AD1248" i="6"/>
  <c r="W1248" i="6"/>
  <c r="V1248" i="6"/>
  <c r="U1248" i="6"/>
  <c r="T1248" i="6"/>
  <c r="S1248" i="6"/>
  <c r="P1248" i="6"/>
  <c r="O1248" i="6"/>
  <c r="N1248" i="6"/>
  <c r="M1248" i="6"/>
  <c r="B1248" i="6"/>
  <c r="AE1247" i="6"/>
  <c r="AD1247" i="6"/>
  <c r="W1247" i="6"/>
  <c r="T1247" i="6"/>
  <c r="V1247" i="6" s="1"/>
  <c r="S1247" i="6"/>
  <c r="P1247" i="6"/>
  <c r="O1247" i="6"/>
  <c r="N1247" i="6"/>
  <c r="M1247" i="6"/>
  <c r="B1247" i="6"/>
  <c r="AE1246" i="6"/>
  <c r="AD1246" i="6"/>
  <c r="W1246" i="6"/>
  <c r="T1246" i="6"/>
  <c r="V1246" i="6" s="1"/>
  <c r="S1246" i="6"/>
  <c r="P1246" i="6"/>
  <c r="O1246" i="6"/>
  <c r="N1246" i="6"/>
  <c r="M1246" i="6"/>
  <c r="B1246" i="6"/>
  <c r="AE1245" i="6"/>
  <c r="AD1245" i="6"/>
  <c r="W1245" i="6"/>
  <c r="T1245" i="6"/>
  <c r="V1245" i="6" s="1"/>
  <c r="S1245" i="6"/>
  <c r="P1245" i="6"/>
  <c r="O1245" i="6"/>
  <c r="N1245" i="6"/>
  <c r="M1245" i="6"/>
  <c r="B1245" i="6"/>
  <c r="AE1244" i="6"/>
  <c r="AD1244" i="6"/>
  <c r="W1244" i="6"/>
  <c r="V1244" i="6"/>
  <c r="T1244" i="6"/>
  <c r="U1244" i="6" s="1"/>
  <c r="S1244" i="6"/>
  <c r="P1244" i="6"/>
  <c r="O1244" i="6"/>
  <c r="N1244" i="6"/>
  <c r="M1244" i="6"/>
  <c r="B1244" i="6"/>
  <c r="AE1243" i="6"/>
  <c r="AD1243" i="6"/>
  <c r="W1243" i="6"/>
  <c r="V1243" i="6"/>
  <c r="U1243" i="6"/>
  <c r="T1243" i="6"/>
  <c r="S1243" i="6"/>
  <c r="P1243" i="6"/>
  <c r="O1243" i="6"/>
  <c r="N1243" i="6"/>
  <c r="M1243" i="6"/>
  <c r="B1243" i="6"/>
  <c r="AE1242" i="6"/>
  <c r="AD1242" i="6"/>
  <c r="W1242" i="6"/>
  <c r="T1242" i="6"/>
  <c r="V1242" i="6" s="1"/>
  <c r="S1242" i="6"/>
  <c r="P1242" i="6"/>
  <c r="O1242" i="6"/>
  <c r="N1242" i="6"/>
  <c r="M1242" i="6"/>
  <c r="B1242" i="6"/>
  <c r="AE1241" i="6"/>
  <c r="AD1241" i="6"/>
  <c r="W1241" i="6"/>
  <c r="U1241" i="6"/>
  <c r="T1241" i="6"/>
  <c r="V1241" i="6" s="1"/>
  <c r="S1241" i="6"/>
  <c r="P1241" i="6"/>
  <c r="O1241" i="6"/>
  <c r="N1241" i="6"/>
  <c r="M1241" i="6"/>
  <c r="B1241" i="6"/>
  <c r="AE1240" i="6"/>
  <c r="AD1240" i="6"/>
  <c r="W1240" i="6"/>
  <c r="T1240" i="6"/>
  <c r="V1240" i="6" s="1"/>
  <c r="S1240" i="6"/>
  <c r="P1240" i="6"/>
  <c r="O1240" i="6"/>
  <c r="N1240" i="6"/>
  <c r="M1240" i="6"/>
  <c r="B1240" i="6"/>
  <c r="AE1239" i="6"/>
  <c r="AD1239" i="6"/>
  <c r="W1239" i="6"/>
  <c r="T1239" i="6"/>
  <c r="V1239" i="6" s="1"/>
  <c r="S1239" i="6"/>
  <c r="P1239" i="6"/>
  <c r="O1239" i="6"/>
  <c r="N1239" i="6"/>
  <c r="M1239" i="6"/>
  <c r="B1239" i="6"/>
  <c r="AE1238" i="6"/>
  <c r="AD1238" i="6"/>
  <c r="W1238" i="6"/>
  <c r="V1238" i="6"/>
  <c r="U1238" i="6"/>
  <c r="T1238" i="6"/>
  <c r="S1238" i="6"/>
  <c r="P1238" i="6"/>
  <c r="O1238" i="6"/>
  <c r="N1238" i="6"/>
  <c r="M1238" i="6"/>
  <c r="B1238" i="6"/>
  <c r="AE1237" i="6"/>
  <c r="AD1237" i="6"/>
  <c r="W1237" i="6"/>
  <c r="T1237" i="6"/>
  <c r="V1237" i="6" s="1"/>
  <c r="S1237" i="6"/>
  <c r="P1237" i="6"/>
  <c r="O1237" i="6"/>
  <c r="N1237" i="6"/>
  <c r="M1237" i="6"/>
  <c r="B1237" i="6"/>
  <c r="AE1236" i="6"/>
  <c r="AD1236" i="6"/>
  <c r="W1236" i="6"/>
  <c r="T1236" i="6"/>
  <c r="V1236" i="6" s="1"/>
  <c r="S1236" i="6"/>
  <c r="P1236" i="6"/>
  <c r="O1236" i="6"/>
  <c r="N1236" i="6"/>
  <c r="M1236" i="6"/>
  <c r="B1236" i="6"/>
  <c r="AE1235" i="6"/>
  <c r="AD1235" i="6"/>
  <c r="W1235" i="6"/>
  <c r="V1235" i="6"/>
  <c r="U1235" i="6"/>
  <c r="T1235" i="6"/>
  <c r="S1235" i="6"/>
  <c r="P1235" i="6"/>
  <c r="O1235" i="6"/>
  <c r="N1235" i="6"/>
  <c r="M1235" i="6"/>
  <c r="B1235" i="6"/>
  <c r="AE1234" i="6"/>
  <c r="AD1234" i="6"/>
  <c r="W1234" i="6"/>
  <c r="V1234" i="6"/>
  <c r="T1234" i="6"/>
  <c r="U1234" i="6" s="1"/>
  <c r="S1234" i="6"/>
  <c r="P1234" i="6"/>
  <c r="O1234" i="6"/>
  <c r="N1234" i="6"/>
  <c r="M1234" i="6"/>
  <c r="B1234" i="6"/>
  <c r="AE1233" i="6"/>
  <c r="AD1233" i="6"/>
  <c r="W1233" i="6"/>
  <c r="V1233" i="6"/>
  <c r="U1233" i="6"/>
  <c r="T1233" i="6"/>
  <c r="S1233" i="6"/>
  <c r="P1233" i="6"/>
  <c r="O1233" i="6"/>
  <c r="N1233" i="6"/>
  <c r="M1233" i="6"/>
  <c r="B1233" i="6"/>
  <c r="AE1232" i="6"/>
  <c r="AD1232" i="6"/>
  <c r="W1232" i="6"/>
  <c r="T1232" i="6"/>
  <c r="V1232" i="6" s="1"/>
  <c r="S1232" i="6"/>
  <c r="P1232" i="6"/>
  <c r="O1232" i="6"/>
  <c r="N1232" i="6"/>
  <c r="M1232" i="6"/>
  <c r="B1232" i="6"/>
  <c r="AE1231" i="6"/>
  <c r="AD1231" i="6"/>
  <c r="W1231" i="6"/>
  <c r="T1231" i="6"/>
  <c r="V1231" i="6" s="1"/>
  <c r="S1231" i="6"/>
  <c r="P1231" i="6"/>
  <c r="O1231" i="6"/>
  <c r="N1231" i="6"/>
  <c r="M1231" i="6"/>
  <c r="B1231" i="6"/>
  <c r="AE1230" i="6"/>
  <c r="AD1230" i="6"/>
  <c r="W1230" i="6"/>
  <c r="V1230" i="6"/>
  <c r="U1230" i="6"/>
  <c r="T1230" i="6"/>
  <c r="S1230" i="6"/>
  <c r="P1230" i="6"/>
  <c r="O1230" i="6"/>
  <c r="N1230" i="6"/>
  <c r="M1230" i="6"/>
  <c r="B1230" i="6"/>
  <c r="AE1229" i="6"/>
  <c r="AD1229" i="6"/>
  <c r="W1229" i="6"/>
  <c r="T1229" i="6"/>
  <c r="V1229" i="6" s="1"/>
  <c r="S1229" i="6"/>
  <c r="P1229" i="6"/>
  <c r="O1229" i="6"/>
  <c r="N1229" i="6"/>
  <c r="M1229" i="6"/>
  <c r="B1229" i="6"/>
  <c r="AE1228" i="6"/>
  <c r="AD1228" i="6"/>
  <c r="W1228" i="6"/>
  <c r="V1228" i="6"/>
  <c r="U1228" i="6"/>
  <c r="T1228" i="6"/>
  <c r="S1228" i="6"/>
  <c r="P1228" i="6"/>
  <c r="O1228" i="6"/>
  <c r="N1228" i="6"/>
  <c r="M1228" i="6"/>
  <c r="B1228" i="6"/>
  <c r="AE1227" i="6"/>
  <c r="AD1227" i="6"/>
  <c r="W1227" i="6"/>
  <c r="T1227" i="6"/>
  <c r="V1227" i="6" s="1"/>
  <c r="S1227" i="6"/>
  <c r="P1227" i="6"/>
  <c r="O1227" i="6"/>
  <c r="N1227" i="6"/>
  <c r="M1227" i="6"/>
  <c r="B1227" i="6"/>
  <c r="AE1226" i="6"/>
  <c r="AD1226" i="6"/>
  <c r="W1226" i="6"/>
  <c r="T1226" i="6"/>
  <c r="V1226" i="6" s="1"/>
  <c r="S1226" i="6"/>
  <c r="P1226" i="6"/>
  <c r="O1226" i="6"/>
  <c r="N1226" i="6"/>
  <c r="M1226" i="6"/>
  <c r="B1226" i="6"/>
  <c r="AE1225" i="6"/>
  <c r="AD1225" i="6"/>
  <c r="W1225" i="6"/>
  <c r="T1225" i="6"/>
  <c r="V1225" i="6" s="1"/>
  <c r="S1225" i="6"/>
  <c r="P1225" i="6"/>
  <c r="O1225" i="6"/>
  <c r="N1225" i="6"/>
  <c r="M1225" i="6"/>
  <c r="B1225" i="6"/>
  <c r="AE1224" i="6"/>
  <c r="AD1224" i="6"/>
  <c r="W1224" i="6"/>
  <c r="T1224" i="6"/>
  <c r="V1224" i="6" s="1"/>
  <c r="S1224" i="6"/>
  <c r="P1224" i="6"/>
  <c r="O1224" i="6"/>
  <c r="N1224" i="6"/>
  <c r="M1224" i="6"/>
  <c r="B1224" i="6"/>
  <c r="AE1223" i="6"/>
  <c r="AD1223" i="6"/>
  <c r="W1223" i="6"/>
  <c r="V1223" i="6"/>
  <c r="U1223" i="6"/>
  <c r="T1223" i="6"/>
  <c r="S1223" i="6"/>
  <c r="P1223" i="6"/>
  <c r="O1223" i="6"/>
  <c r="N1223" i="6"/>
  <c r="M1223" i="6"/>
  <c r="B1223" i="6"/>
  <c r="AE1222" i="6"/>
  <c r="AD1222" i="6"/>
  <c r="W1222" i="6"/>
  <c r="T1222" i="6"/>
  <c r="V1222" i="6" s="1"/>
  <c r="S1222" i="6"/>
  <c r="P1222" i="6"/>
  <c r="O1222" i="6"/>
  <c r="N1222" i="6"/>
  <c r="M1222" i="6"/>
  <c r="B1222" i="6"/>
  <c r="AE1221" i="6"/>
  <c r="AD1221" i="6"/>
  <c r="W1221" i="6"/>
  <c r="T1221" i="6"/>
  <c r="V1221" i="6" s="1"/>
  <c r="S1221" i="6"/>
  <c r="P1221" i="6"/>
  <c r="O1221" i="6"/>
  <c r="N1221" i="6"/>
  <c r="M1221" i="6"/>
  <c r="B1221" i="6"/>
  <c r="AE1220" i="6"/>
  <c r="AD1220" i="6"/>
  <c r="W1220" i="6"/>
  <c r="V1220" i="6"/>
  <c r="U1220" i="6"/>
  <c r="T1220" i="6"/>
  <c r="S1220" i="6"/>
  <c r="P1220" i="6"/>
  <c r="O1220" i="6"/>
  <c r="N1220" i="6"/>
  <c r="M1220" i="6"/>
  <c r="B1220" i="6"/>
  <c r="AE1219" i="6"/>
  <c r="AD1219" i="6"/>
  <c r="W1219" i="6"/>
  <c r="T1219" i="6"/>
  <c r="V1219" i="6" s="1"/>
  <c r="S1219" i="6"/>
  <c r="P1219" i="6"/>
  <c r="O1219" i="6"/>
  <c r="N1219" i="6"/>
  <c r="M1219" i="6"/>
  <c r="B1219" i="6"/>
  <c r="AE1218" i="6"/>
  <c r="AD1218" i="6"/>
  <c r="W1218" i="6"/>
  <c r="V1218" i="6"/>
  <c r="U1218" i="6"/>
  <c r="T1218" i="6"/>
  <c r="S1218" i="6"/>
  <c r="P1218" i="6"/>
  <c r="O1218" i="6"/>
  <c r="N1218" i="6"/>
  <c r="M1218" i="6"/>
  <c r="B1218" i="6"/>
  <c r="AE1217" i="6"/>
  <c r="AD1217" i="6"/>
  <c r="W1217" i="6"/>
  <c r="T1217" i="6"/>
  <c r="V1217" i="6" s="1"/>
  <c r="S1217" i="6"/>
  <c r="P1217" i="6"/>
  <c r="O1217" i="6"/>
  <c r="N1217" i="6"/>
  <c r="M1217" i="6"/>
  <c r="B1217" i="6"/>
  <c r="AE1216" i="6"/>
  <c r="AD1216" i="6"/>
  <c r="W1216" i="6"/>
  <c r="T1216" i="6"/>
  <c r="V1216" i="6" s="1"/>
  <c r="S1216" i="6"/>
  <c r="P1216" i="6"/>
  <c r="O1216" i="6"/>
  <c r="N1216" i="6"/>
  <c r="M1216" i="6"/>
  <c r="B1216" i="6"/>
  <c r="AE1215" i="6"/>
  <c r="AD1215" i="6"/>
  <c r="W1215" i="6"/>
  <c r="V1215" i="6"/>
  <c r="T1215" i="6"/>
  <c r="U1215" i="6" s="1"/>
  <c r="S1215" i="6"/>
  <c r="P1215" i="6"/>
  <c r="O1215" i="6"/>
  <c r="N1215" i="6"/>
  <c r="M1215" i="6"/>
  <c r="B1215" i="6"/>
  <c r="AE1214" i="6"/>
  <c r="AD1214" i="6"/>
  <c r="W1214" i="6"/>
  <c r="V1214" i="6"/>
  <c r="U1214" i="6"/>
  <c r="T1214" i="6"/>
  <c r="S1214" i="6"/>
  <c r="P1214" i="6"/>
  <c r="O1214" i="6"/>
  <c r="N1214" i="6"/>
  <c r="M1214" i="6"/>
  <c r="B1214" i="6"/>
  <c r="AE1213" i="6"/>
  <c r="AD1213" i="6"/>
  <c r="W1213" i="6"/>
  <c r="V1213" i="6"/>
  <c r="U1213" i="6"/>
  <c r="T1213" i="6"/>
  <c r="S1213" i="6"/>
  <c r="P1213" i="6"/>
  <c r="O1213" i="6"/>
  <c r="N1213" i="6"/>
  <c r="M1213" i="6"/>
  <c r="B1213" i="6"/>
  <c r="AE1212" i="6"/>
  <c r="AD1212" i="6"/>
  <c r="W1212" i="6"/>
  <c r="T1212" i="6"/>
  <c r="V1212" i="6" s="1"/>
  <c r="S1212" i="6"/>
  <c r="P1212" i="6"/>
  <c r="O1212" i="6"/>
  <c r="N1212" i="6"/>
  <c r="M1212" i="6"/>
  <c r="B1212" i="6"/>
  <c r="AE1211" i="6"/>
  <c r="AD1211" i="6"/>
  <c r="W1211" i="6"/>
  <c r="T1211" i="6"/>
  <c r="V1211" i="6" s="1"/>
  <c r="S1211" i="6"/>
  <c r="P1211" i="6"/>
  <c r="O1211" i="6"/>
  <c r="N1211" i="6"/>
  <c r="M1211" i="6"/>
  <c r="B1211" i="6"/>
  <c r="AE1210" i="6"/>
  <c r="AD1210" i="6"/>
  <c r="W1210" i="6"/>
  <c r="T1210" i="6"/>
  <c r="V1210" i="6" s="1"/>
  <c r="S1210" i="6"/>
  <c r="P1210" i="6"/>
  <c r="O1210" i="6"/>
  <c r="N1210" i="6"/>
  <c r="M1210" i="6"/>
  <c r="B1210" i="6"/>
  <c r="AE1209" i="6"/>
  <c r="AD1209" i="6"/>
  <c r="W1209" i="6"/>
  <c r="V1209" i="6"/>
  <c r="U1209" i="6"/>
  <c r="T1209" i="6"/>
  <c r="S1209" i="6"/>
  <c r="P1209" i="6"/>
  <c r="O1209" i="6"/>
  <c r="N1209" i="6"/>
  <c r="M1209" i="6"/>
  <c r="B1209" i="6"/>
  <c r="AE1208" i="6"/>
  <c r="AD1208" i="6"/>
  <c r="W1208" i="6"/>
  <c r="V1208" i="6"/>
  <c r="U1208" i="6"/>
  <c r="T1208" i="6"/>
  <c r="S1208" i="6"/>
  <c r="P1208" i="6"/>
  <c r="O1208" i="6"/>
  <c r="N1208" i="6"/>
  <c r="M1208" i="6"/>
  <c r="B1208" i="6"/>
  <c r="AE1207" i="6"/>
  <c r="AD1207" i="6"/>
  <c r="W1207" i="6"/>
  <c r="T1207" i="6"/>
  <c r="V1207" i="6" s="1"/>
  <c r="S1207" i="6"/>
  <c r="P1207" i="6"/>
  <c r="O1207" i="6"/>
  <c r="N1207" i="6"/>
  <c r="M1207" i="6"/>
  <c r="B1207" i="6"/>
  <c r="AE1206" i="6"/>
  <c r="AD1206" i="6"/>
  <c r="W1206" i="6"/>
  <c r="U1206" i="6"/>
  <c r="T1206" i="6"/>
  <c r="V1206" i="6" s="1"/>
  <c r="S1206" i="6"/>
  <c r="P1206" i="6"/>
  <c r="O1206" i="6"/>
  <c r="N1206" i="6"/>
  <c r="M1206" i="6"/>
  <c r="B1206" i="6"/>
  <c r="AE1205" i="6"/>
  <c r="AD1205" i="6"/>
  <c r="W1205" i="6"/>
  <c r="V1205" i="6"/>
  <c r="T1205" i="6"/>
  <c r="U1205" i="6" s="1"/>
  <c r="S1205" i="6"/>
  <c r="P1205" i="6"/>
  <c r="O1205" i="6"/>
  <c r="N1205" i="6"/>
  <c r="M1205" i="6"/>
  <c r="B1205" i="6"/>
  <c r="AE1204" i="6"/>
  <c r="AD1204" i="6"/>
  <c r="W1204" i="6"/>
  <c r="T1204" i="6"/>
  <c r="V1204" i="6" s="1"/>
  <c r="S1204" i="6"/>
  <c r="P1204" i="6"/>
  <c r="O1204" i="6"/>
  <c r="N1204" i="6"/>
  <c r="M1204" i="6"/>
  <c r="B1204" i="6"/>
  <c r="AE1203" i="6"/>
  <c r="AD1203" i="6"/>
  <c r="W1203" i="6"/>
  <c r="V1203" i="6"/>
  <c r="U1203" i="6"/>
  <c r="T1203" i="6"/>
  <c r="S1203" i="6"/>
  <c r="P1203" i="6"/>
  <c r="O1203" i="6"/>
  <c r="N1203" i="6"/>
  <c r="M1203" i="6"/>
  <c r="B1203" i="6"/>
  <c r="AE1202" i="6"/>
  <c r="AD1202" i="6"/>
  <c r="W1202" i="6"/>
  <c r="T1202" i="6"/>
  <c r="V1202" i="6" s="1"/>
  <c r="S1202" i="6"/>
  <c r="P1202" i="6"/>
  <c r="O1202" i="6"/>
  <c r="N1202" i="6"/>
  <c r="M1202" i="6"/>
  <c r="B1202" i="6"/>
  <c r="AE1201" i="6"/>
  <c r="AD1201" i="6"/>
  <c r="W1201" i="6"/>
  <c r="U1201" i="6"/>
  <c r="T1201" i="6"/>
  <c r="V1201" i="6" s="1"/>
  <c r="S1201" i="6"/>
  <c r="P1201" i="6"/>
  <c r="O1201" i="6"/>
  <c r="N1201" i="6"/>
  <c r="M1201" i="6"/>
  <c r="B1201" i="6"/>
  <c r="AE1200" i="6"/>
  <c r="AD1200" i="6"/>
  <c r="W1200" i="6"/>
  <c r="T1200" i="6"/>
  <c r="V1200" i="6" s="1"/>
  <c r="S1200" i="6"/>
  <c r="P1200" i="6"/>
  <c r="O1200" i="6"/>
  <c r="N1200" i="6"/>
  <c r="M1200" i="6"/>
  <c r="B1200" i="6"/>
  <c r="AE1199" i="6"/>
  <c r="AD1199" i="6"/>
  <c r="W1199" i="6"/>
  <c r="V1199" i="6"/>
  <c r="U1199" i="6"/>
  <c r="T1199" i="6"/>
  <c r="S1199" i="6"/>
  <c r="P1199" i="6"/>
  <c r="O1199" i="6"/>
  <c r="N1199" i="6"/>
  <c r="M1199" i="6"/>
  <c r="B1199" i="6"/>
  <c r="AE1198" i="6"/>
  <c r="AD1198" i="6"/>
  <c r="W1198" i="6"/>
  <c r="V1198" i="6"/>
  <c r="U1198" i="6"/>
  <c r="T1198" i="6"/>
  <c r="S1198" i="6"/>
  <c r="P1198" i="6"/>
  <c r="O1198" i="6"/>
  <c r="N1198" i="6"/>
  <c r="M1198" i="6"/>
  <c r="B1198" i="6"/>
  <c r="AE1197" i="6"/>
  <c r="AD1197" i="6"/>
  <c r="W1197" i="6"/>
  <c r="T1197" i="6"/>
  <c r="V1197" i="6" s="1"/>
  <c r="S1197" i="6"/>
  <c r="P1197" i="6"/>
  <c r="O1197" i="6"/>
  <c r="N1197" i="6"/>
  <c r="M1197" i="6"/>
  <c r="B1197" i="6"/>
  <c r="AE1196" i="6"/>
  <c r="AD1196" i="6"/>
  <c r="W1196" i="6"/>
  <c r="T1196" i="6"/>
  <c r="V1196" i="6" s="1"/>
  <c r="S1196" i="6"/>
  <c r="P1196" i="6"/>
  <c r="O1196" i="6"/>
  <c r="N1196" i="6"/>
  <c r="M1196" i="6"/>
  <c r="B1196" i="6"/>
  <c r="AE1195" i="6"/>
  <c r="AD1195" i="6"/>
  <c r="W1195" i="6"/>
  <c r="T1195" i="6"/>
  <c r="V1195" i="6" s="1"/>
  <c r="S1195" i="6"/>
  <c r="P1195" i="6"/>
  <c r="O1195" i="6"/>
  <c r="N1195" i="6"/>
  <c r="M1195" i="6"/>
  <c r="B1195" i="6"/>
  <c r="AE1194" i="6"/>
  <c r="AD1194" i="6"/>
  <c r="W1194" i="6"/>
  <c r="V1194" i="6"/>
  <c r="T1194" i="6"/>
  <c r="U1194" i="6" s="1"/>
  <c r="S1194" i="6"/>
  <c r="P1194" i="6"/>
  <c r="O1194" i="6"/>
  <c r="N1194" i="6"/>
  <c r="M1194" i="6"/>
  <c r="B1194" i="6"/>
  <c r="AE1193" i="6"/>
  <c r="AD1193" i="6"/>
  <c r="W1193" i="6"/>
  <c r="V1193" i="6"/>
  <c r="U1193" i="6"/>
  <c r="T1193" i="6"/>
  <c r="S1193" i="6"/>
  <c r="P1193" i="6"/>
  <c r="O1193" i="6"/>
  <c r="N1193" i="6"/>
  <c r="M1193" i="6"/>
  <c r="B1193" i="6"/>
  <c r="AE1192" i="6"/>
  <c r="AD1192" i="6"/>
  <c r="W1192" i="6"/>
  <c r="T1192" i="6"/>
  <c r="V1192" i="6" s="1"/>
  <c r="S1192" i="6"/>
  <c r="P1192" i="6"/>
  <c r="O1192" i="6"/>
  <c r="N1192" i="6"/>
  <c r="M1192" i="6"/>
  <c r="B1192" i="6"/>
  <c r="AE1191" i="6"/>
  <c r="AD1191" i="6"/>
  <c r="W1191" i="6"/>
  <c r="U1191" i="6"/>
  <c r="T1191" i="6"/>
  <c r="V1191" i="6" s="1"/>
  <c r="S1191" i="6"/>
  <c r="P1191" i="6"/>
  <c r="O1191" i="6"/>
  <c r="N1191" i="6"/>
  <c r="M1191" i="6"/>
  <c r="B1191" i="6"/>
  <c r="AE1190" i="6"/>
  <c r="AD1190" i="6"/>
  <c r="W1190" i="6"/>
  <c r="T1190" i="6"/>
  <c r="V1190" i="6" s="1"/>
  <c r="S1190" i="6"/>
  <c r="P1190" i="6"/>
  <c r="O1190" i="6"/>
  <c r="N1190" i="6"/>
  <c r="M1190" i="6"/>
  <c r="B1190" i="6"/>
  <c r="AE1189" i="6"/>
  <c r="AD1189" i="6"/>
  <c r="W1189" i="6"/>
  <c r="T1189" i="6"/>
  <c r="V1189" i="6" s="1"/>
  <c r="S1189" i="6"/>
  <c r="P1189" i="6"/>
  <c r="O1189" i="6"/>
  <c r="N1189" i="6"/>
  <c r="M1189" i="6"/>
  <c r="B1189" i="6"/>
  <c r="AE1188" i="6"/>
  <c r="AD1188" i="6"/>
  <c r="W1188" i="6"/>
  <c r="V1188" i="6"/>
  <c r="U1188" i="6"/>
  <c r="T1188" i="6"/>
  <c r="S1188" i="6"/>
  <c r="P1188" i="6"/>
  <c r="O1188" i="6"/>
  <c r="N1188" i="6"/>
  <c r="M1188" i="6"/>
  <c r="B1188" i="6"/>
  <c r="AE1187" i="6"/>
  <c r="AD1187" i="6"/>
  <c r="W1187" i="6"/>
  <c r="T1187" i="6"/>
  <c r="V1187" i="6" s="1"/>
  <c r="S1187" i="6"/>
  <c r="P1187" i="6"/>
  <c r="O1187" i="6"/>
  <c r="N1187" i="6"/>
  <c r="M1187" i="6"/>
  <c r="B1187" i="6"/>
  <c r="AE1186" i="6"/>
  <c r="AD1186" i="6"/>
  <c r="W1186" i="6"/>
  <c r="T1186" i="6"/>
  <c r="V1186" i="6" s="1"/>
  <c r="S1186" i="6"/>
  <c r="P1186" i="6"/>
  <c r="O1186" i="6"/>
  <c r="N1186" i="6"/>
  <c r="M1186" i="6"/>
  <c r="B1186" i="6"/>
  <c r="AE1185" i="6"/>
  <c r="AD1185" i="6"/>
  <c r="W1185" i="6"/>
  <c r="V1185" i="6"/>
  <c r="U1185" i="6"/>
  <c r="T1185" i="6"/>
  <c r="S1185" i="6"/>
  <c r="P1185" i="6"/>
  <c r="O1185" i="6"/>
  <c r="N1185" i="6"/>
  <c r="M1185" i="6"/>
  <c r="B1185" i="6"/>
  <c r="AE1184" i="6"/>
  <c r="AD1184" i="6"/>
  <c r="W1184" i="6"/>
  <c r="V1184" i="6"/>
  <c r="T1184" i="6"/>
  <c r="U1184" i="6" s="1"/>
  <c r="S1184" i="6"/>
  <c r="P1184" i="6"/>
  <c r="O1184" i="6"/>
  <c r="N1184" i="6"/>
  <c r="M1184" i="6"/>
  <c r="B1184" i="6"/>
  <c r="AE1183" i="6"/>
  <c r="AD1183" i="6"/>
  <c r="W1183" i="6"/>
  <c r="V1183" i="6"/>
  <c r="U1183" i="6"/>
  <c r="T1183" i="6"/>
  <c r="S1183" i="6"/>
  <c r="P1183" i="6"/>
  <c r="O1183" i="6"/>
  <c r="N1183" i="6"/>
  <c r="M1183" i="6"/>
  <c r="B1183" i="6"/>
  <c r="AE1182" i="6"/>
  <c r="AD1182" i="6"/>
  <c r="W1182" i="6"/>
  <c r="T1182" i="6"/>
  <c r="V1182" i="6" s="1"/>
  <c r="S1182" i="6"/>
  <c r="P1182" i="6"/>
  <c r="O1182" i="6"/>
  <c r="N1182" i="6"/>
  <c r="M1182" i="6"/>
  <c r="B1182" i="6"/>
  <c r="AE1181" i="6"/>
  <c r="AD1181" i="6"/>
  <c r="W1181" i="6"/>
  <c r="T1181" i="6"/>
  <c r="V1181" i="6" s="1"/>
  <c r="S1181" i="6"/>
  <c r="P1181" i="6"/>
  <c r="O1181" i="6"/>
  <c r="N1181" i="6"/>
  <c r="M1181" i="6"/>
  <c r="B1181" i="6"/>
  <c r="AE1180" i="6"/>
  <c r="AD1180" i="6"/>
  <c r="W1180" i="6"/>
  <c r="V1180" i="6"/>
  <c r="U1180" i="6"/>
  <c r="T1180" i="6"/>
  <c r="S1180" i="6"/>
  <c r="P1180" i="6"/>
  <c r="O1180" i="6"/>
  <c r="N1180" i="6"/>
  <c r="M1180" i="6"/>
  <c r="B1180" i="6"/>
  <c r="AE1179" i="6"/>
  <c r="AD1179" i="6"/>
  <c r="W1179" i="6"/>
  <c r="T1179" i="6"/>
  <c r="V1179" i="6" s="1"/>
  <c r="S1179" i="6"/>
  <c r="P1179" i="6"/>
  <c r="O1179" i="6"/>
  <c r="N1179" i="6"/>
  <c r="M1179" i="6"/>
  <c r="B1179" i="6"/>
  <c r="AE1178" i="6"/>
  <c r="AD1178" i="6"/>
  <c r="W1178" i="6"/>
  <c r="V1178" i="6"/>
  <c r="U1178" i="6"/>
  <c r="T1178" i="6"/>
  <c r="S1178" i="6"/>
  <c r="P1178" i="6"/>
  <c r="O1178" i="6"/>
  <c r="N1178" i="6"/>
  <c r="M1178" i="6"/>
  <c r="B1178" i="6"/>
  <c r="AE1177" i="6"/>
  <c r="AD1177" i="6"/>
  <c r="W1177" i="6"/>
  <c r="T1177" i="6"/>
  <c r="V1177" i="6" s="1"/>
  <c r="S1177" i="6"/>
  <c r="P1177" i="6"/>
  <c r="O1177" i="6"/>
  <c r="N1177" i="6"/>
  <c r="M1177" i="6"/>
  <c r="B1177" i="6"/>
  <c r="AE1176" i="6"/>
  <c r="AD1176" i="6"/>
  <c r="W1176" i="6"/>
  <c r="T1176" i="6"/>
  <c r="V1176" i="6" s="1"/>
  <c r="S1176" i="6"/>
  <c r="P1176" i="6"/>
  <c r="O1176" i="6"/>
  <c r="N1176" i="6"/>
  <c r="M1176" i="6"/>
  <c r="B1176" i="6"/>
  <c r="AE1175" i="6"/>
  <c r="AD1175" i="6"/>
  <c r="W1175" i="6"/>
  <c r="T1175" i="6"/>
  <c r="V1175" i="6" s="1"/>
  <c r="S1175" i="6"/>
  <c r="P1175" i="6"/>
  <c r="O1175" i="6"/>
  <c r="N1175" i="6"/>
  <c r="M1175" i="6"/>
  <c r="B1175" i="6"/>
  <c r="AE1174" i="6"/>
  <c r="AD1174" i="6"/>
  <c r="W1174" i="6"/>
  <c r="T1174" i="6"/>
  <c r="V1174" i="6" s="1"/>
  <c r="S1174" i="6"/>
  <c r="P1174" i="6"/>
  <c r="O1174" i="6"/>
  <c r="N1174" i="6"/>
  <c r="M1174" i="6"/>
  <c r="B1174" i="6"/>
  <c r="AE1173" i="6"/>
  <c r="AD1173" i="6"/>
  <c r="W1173" i="6"/>
  <c r="V1173" i="6"/>
  <c r="U1173" i="6"/>
  <c r="T1173" i="6"/>
  <c r="S1173" i="6"/>
  <c r="P1173" i="6"/>
  <c r="O1173" i="6"/>
  <c r="N1173" i="6"/>
  <c r="M1173" i="6"/>
  <c r="B1173" i="6"/>
  <c r="AE1172" i="6"/>
  <c r="AD1172" i="6"/>
  <c r="W1172" i="6"/>
  <c r="T1172" i="6"/>
  <c r="V1172" i="6" s="1"/>
  <c r="S1172" i="6"/>
  <c r="P1172" i="6"/>
  <c r="O1172" i="6"/>
  <c r="N1172" i="6"/>
  <c r="M1172" i="6"/>
  <c r="B1172" i="6"/>
  <c r="AE1171" i="6"/>
  <c r="AD1171" i="6"/>
  <c r="W1171" i="6"/>
  <c r="T1171" i="6"/>
  <c r="V1171" i="6" s="1"/>
  <c r="S1171" i="6"/>
  <c r="P1171" i="6"/>
  <c r="O1171" i="6"/>
  <c r="N1171" i="6"/>
  <c r="M1171" i="6"/>
  <c r="B1171" i="6"/>
  <c r="AE1170" i="6"/>
  <c r="AD1170" i="6"/>
  <c r="W1170" i="6"/>
  <c r="V1170" i="6"/>
  <c r="U1170" i="6"/>
  <c r="T1170" i="6"/>
  <c r="S1170" i="6"/>
  <c r="P1170" i="6"/>
  <c r="O1170" i="6"/>
  <c r="N1170" i="6"/>
  <c r="M1170" i="6"/>
  <c r="B1170" i="6"/>
  <c r="AE1169" i="6"/>
  <c r="AD1169" i="6"/>
  <c r="W1169" i="6"/>
  <c r="T1169" i="6"/>
  <c r="V1169" i="6" s="1"/>
  <c r="S1169" i="6"/>
  <c r="P1169" i="6"/>
  <c r="O1169" i="6"/>
  <c r="N1169" i="6"/>
  <c r="M1169" i="6"/>
  <c r="B1169" i="6"/>
  <c r="AE1168" i="6"/>
  <c r="AD1168" i="6"/>
  <c r="W1168" i="6"/>
  <c r="V1168" i="6"/>
  <c r="U1168" i="6"/>
  <c r="T1168" i="6"/>
  <c r="S1168" i="6"/>
  <c r="P1168" i="6"/>
  <c r="O1168" i="6"/>
  <c r="N1168" i="6"/>
  <c r="M1168" i="6"/>
  <c r="B1168" i="6"/>
  <c r="AE1167" i="6"/>
  <c r="AD1167" i="6"/>
  <c r="W1167" i="6"/>
  <c r="T1167" i="6"/>
  <c r="V1167" i="6" s="1"/>
  <c r="S1167" i="6"/>
  <c r="P1167" i="6"/>
  <c r="O1167" i="6"/>
  <c r="N1167" i="6"/>
  <c r="M1167" i="6"/>
  <c r="B1167" i="6"/>
  <c r="AE1166" i="6"/>
  <c r="AD1166" i="6"/>
  <c r="W1166" i="6"/>
  <c r="T1166" i="6"/>
  <c r="V1166" i="6" s="1"/>
  <c r="S1166" i="6"/>
  <c r="P1166" i="6"/>
  <c r="O1166" i="6"/>
  <c r="N1166" i="6"/>
  <c r="M1166" i="6"/>
  <c r="B1166" i="6"/>
  <c r="AE1165" i="6"/>
  <c r="AD1165" i="6"/>
  <c r="W1165" i="6"/>
  <c r="V1165" i="6"/>
  <c r="T1165" i="6"/>
  <c r="U1165" i="6" s="1"/>
  <c r="S1165" i="6"/>
  <c r="P1165" i="6"/>
  <c r="O1165" i="6"/>
  <c r="N1165" i="6"/>
  <c r="M1165" i="6"/>
  <c r="B1165" i="6"/>
  <c r="AE1164" i="6"/>
  <c r="AD1164" i="6"/>
  <c r="W1164" i="6"/>
  <c r="V1164" i="6"/>
  <c r="U1164" i="6"/>
  <c r="T1164" i="6"/>
  <c r="S1164" i="6"/>
  <c r="P1164" i="6"/>
  <c r="O1164" i="6"/>
  <c r="N1164" i="6"/>
  <c r="M1164" i="6"/>
  <c r="B1164" i="6"/>
  <c r="AE1163" i="6"/>
  <c r="AD1163" i="6"/>
  <c r="W1163" i="6"/>
  <c r="V1163" i="6"/>
  <c r="U1163" i="6"/>
  <c r="T1163" i="6"/>
  <c r="S1163" i="6"/>
  <c r="P1163" i="6"/>
  <c r="O1163" i="6"/>
  <c r="N1163" i="6"/>
  <c r="M1163" i="6"/>
  <c r="B1163" i="6"/>
  <c r="AE1162" i="6"/>
  <c r="AD1162" i="6"/>
  <c r="W1162" i="6"/>
  <c r="T1162" i="6"/>
  <c r="V1162" i="6" s="1"/>
  <c r="S1162" i="6"/>
  <c r="P1162" i="6"/>
  <c r="O1162" i="6"/>
  <c r="N1162" i="6"/>
  <c r="M1162" i="6"/>
  <c r="B1162" i="6"/>
  <c r="AE1161" i="6"/>
  <c r="AD1161" i="6"/>
  <c r="W1161" i="6"/>
  <c r="T1161" i="6"/>
  <c r="V1161" i="6" s="1"/>
  <c r="S1161" i="6"/>
  <c r="P1161" i="6"/>
  <c r="O1161" i="6"/>
  <c r="N1161" i="6"/>
  <c r="M1161" i="6"/>
  <c r="B1161" i="6"/>
  <c r="AE1160" i="6"/>
  <c r="AD1160" i="6"/>
  <c r="W1160" i="6"/>
  <c r="T1160" i="6"/>
  <c r="V1160" i="6" s="1"/>
  <c r="S1160" i="6"/>
  <c r="P1160" i="6"/>
  <c r="O1160" i="6"/>
  <c r="N1160" i="6"/>
  <c r="M1160" i="6"/>
  <c r="B1160" i="6"/>
  <c r="AE1159" i="6"/>
  <c r="AD1159" i="6"/>
  <c r="W1159" i="6"/>
  <c r="V1159" i="6"/>
  <c r="U1159" i="6"/>
  <c r="T1159" i="6"/>
  <c r="S1159" i="6"/>
  <c r="P1159" i="6"/>
  <c r="O1159" i="6"/>
  <c r="N1159" i="6"/>
  <c r="M1159" i="6"/>
  <c r="B1159" i="6"/>
  <c r="AE1158" i="6"/>
  <c r="AD1158" i="6"/>
  <c r="W1158" i="6"/>
  <c r="V1158" i="6"/>
  <c r="U1158" i="6"/>
  <c r="T1158" i="6"/>
  <c r="S1158" i="6"/>
  <c r="P1158" i="6"/>
  <c r="O1158" i="6"/>
  <c r="N1158" i="6"/>
  <c r="M1158" i="6"/>
  <c r="B1158" i="6"/>
  <c r="AE1157" i="6"/>
  <c r="AD1157" i="6"/>
  <c r="W1157" i="6"/>
  <c r="T1157" i="6"/>
  <c r="V1157" i="6" s="1"/>
  <c r="S1157" i="6"/>
  <c r="P1157" i="6"/>
  <c r="O1157" i="6"/>
  <c r="N1157" i="6"/>
  <c r="M1157" i="6"/>
  <c r="B1157" i="6"/>
  <c r="AE1156" i="6"/>
  <c r="AD1156" i="6"/>
  <c r="W1156" i="6"/>
  <c r="U1156" i="6"/>
  <c r="T1156" i="6"/>
  <c r="V1156" i="6" s="1"/>
  <c r="S1156" i="6"/>
  <c r="P1156" i="6"/>
  <c r="O1156" i="6"/>
  <c r="N1156" i="6"/>
  <c r="M1156" i="6"/>
  <c r="B1156" i="6"/>
  <c r="AE1155" i="6"/>
  <c r="AD1155" i="6"/>
  <c r="W1155" i="6"/>
  <c r="V1155" i="6"/>
  <c r="T1155" i="6"/>
  <c r="U1155" i="6" s="1"/>
  <c r="S1155" i="6"/>
  <c r="P1155" i="6"/>
  <c r="O1155" i="6"/>
  <c r="N1155" i="6"/>
  <c r="M1155" i="6"/>
  <c r="B1155" i="6"/>
  <c r="AE1154" i="6"/>
  <c r="AD1154" i="6"/>
  <c r="W1154" i="6"/>
  <c r="T1154" i="6"/>
  <c r="V1154" i="6" s="1"/>
  <c r="S1154" i="6"/>
  <c r="P1154" i="6"/>
  <c r="O1154" i="6"/>
  <c r="N1154" i="6"/>
  <c r="M1154" i="6"/>
  <c r="B1154" i="6"/>
  <c r="AE1153" i="6"/>
  <c r="AD1153" i="6"/>
  <c r="W1153" i="6"/>
  <c r="V1153" i="6"/>
  <c r="U1153" i="6"/>
  <c r="T1153" i="6"/>
  <c r="S1153" i="6"/>
  <c r="P1153" i="6"/>
  <c r="O1153" i="6"/>
  <c r="N1153" i="6"/>
  <c r="M1153" i="6"/>
  <c r="B1153" i="6"/>
  <c r="AE1152" i="6"/>
  <c r="AD1152" i="6"/>
  <c r="W1152" i="6"/>
  <c r="T1152" i="6"/>
  <c r="V1152" i="6" s="1"/>
  <c r="S1152" i="6"/>
  <c r="P1152" i="6"/>
  <c r="O1152" i="6"/>
  <c r="N1152" i="6"/>
  <c r="M1152" i="6"/>
  <c r="B1152" i="6"/>
  <c r="AE1151" i="6"/>
  <c r="AD1151" i="6"/>
  <c r="W1151" i="6"/>
  <c r="U1151" i="6"/>
  <c r="T1151" i="6"/>
  <c r="V1151" i="6" s="1"/>
  <c r="S1151" i="6"/>
  <c r="P1151" i="6"/>
  <c r="O1151" i="6"/>
  <c r="N1151" i="6"/>
  <c r="M1151" i="6"/>
  <c r="B1151" i="6"/>
  <c r="AE1150" i="6"/>
  <c r="AD1150" i="6"/>
  <c r="W1150" i="6"/>
  <c r="T1150" i="6"/>
  <c r="V1150" i="6" s="1"/>
  <c r="S1150" i="6"/>
  <c r="P1150" i="6"/>
  <c r="O1150" i="6"/>
  <c r="N1150" i="6"/>
  <c r="M1150" i="6"/>
  <c r="B1150" i="6"/>
  <c r="AE1149" i="6"/>
  <c r="AD1149" i="6"/>
  <c r="W1149" i="6"/>
  <c r="V1149" i="6"/>
  <c r="U1149" i="6"/>
  <c r="T1149" i="6"/>
  <c r="S1149" i="6"/>
  <c r="P1149" i="6"/>
  <c r="O1149" i="6"/>
  <c r="N1149" i="6"/>
  <c r="M1149" i="6"/>
  <c r="B1149" i="6"/>
  <c r="AE1148" i="6"/>
  <c r="AD1148" i="6"/>
  <c r="W1148" i="6"/>
  <c r="V1148" i="6"/>
  <c r="U1148" i="6"/>
  <c r="T1148" i="6"/>
  <c r="S1148" i="6"/>
  <c r="P1148" i="6"/>
  <c r="O1148" i="6"/>
  <c r="N1148" i="6"/>
  <c r="M1148" i="6"/>
  <c r="B1148" i="6"/>
  <c r="AE1147" i="6"/>
  <c r="AD1147" i="6"/>
  <c r="W1147" i="6"/>
  <c r="T1147" i="6"/>
  <c r="V1147" i="6" s="1"/>
  <c r="S1147" i="6"/>
  <c r="P1147" i="6"/>
  <c r="O1147" i="6"/>
  <c r="N1147" i="6"/>
  <c r="M1147" i="6"/>
  <c r="B1147" i="6"/>
  <c r="AE1146" i="6"/>
  <c r="AD1146" i="6"/>
  <c r="W1146" i="6"/>
  <c r="T1146" i="6"/>
  <c r="V1146" i="6" s="1"/>
  <c r="S1146" i="6"/>
  <c r="P1146" i="6"/>
  <c r="O1146" i="6"/>
  <c r="N1146" i="6"/>
  <c r="M1146" i="6"/>
  <c r="B1146" i="6"/>
  <c r="AE1145" i="6"/>
  <c r="AD1145" i="6"/>
  <c r="W1145" i="6"/>
  <c r="T1145" i="6"/>
  <c r="V1145" i="6" s="1"/>
  <c r="S1145" i="6"/>
  <c r="P1145" i="6"/>
  <c r="O1145" i="6"/>
  <c r="N1145" i="6"/>
  <c r="M1145" i="6"/>
  <c r="B1145" i="6"/>
  <c r="AE1144" i="6"/>
  <c r="AD1144" i="6"/>
  <c r="W1144" i="6"/>
  <c r="V1144" i="6"/>
  <c r="T1144" i="6"/>
  <c r="U1144" i="6" s="1"/>
  <c r="S1144" i="6"/>
  <c r="P1144" i="6"/>
  <c r="O1144" i="6"/>
  <c r="N1144" i="6"/>
  <c r="M1144" i="6"/>
  <c r="B1144" i="6"/>
  <c r="AE1143" i="6"/>
  <c r="AD1143" i="6"/>
  <c r="W1143" i="6"/>
  <c r="V1143" i="6"/>
  <c r="U1143" i="6"/>
  <c r="T1143" i="6"/>
  <c r="S1143" i="6"/>
  <c r="P1143" i="6"/>
  <c r="O1143" i="6"/>
  <c r="N1143" i="6"/>
  <c r="M1143" i="6"/>
  <c r="B1143" i="6"/>
  <c r="AE1142" i="6"/>
  <c r="AD1142" i="6"/>
  <c r="W1142" i="6"/>
  <c r="T1142" i="6"/>
  <c r="V1142" i="6" s="1"/>
  <c r="S1142" i="6"/>
  <c r="P1142" i="6"/>
  <c r="O1142" i="6"/>
  <c r="N1142" i="6"/>
  <c r="M1142" i="6"/>
  <c r="B1142" i="6"/>
  <c r="AE1141" i="6"/>
  <c r="AD1141" i="6"/>
  <c r="W1141" i="6"/>
  <c r="U1141" i="6"/>
  <c r="T1141" i="6"/>
  <c r="V1141" i="6" s="1"/>
  <c r="S1141" i="6"/>
  <c r="P1141" i="6"/>
  <c r="O1141" i="6"/>
  <c r="N1141" i="6"/>
  <c r="M1141" i="6"/>
  <c r="B1141" i="6"/>
  <c r="AE1140" i="6"/>
  <c r="AD1140" i="6"/>
  <c r="W1140" i="6"/>
  <c r="T1140" i="6"/>
  <c r="V1140" i="6" s="1"/>
  <c r="S1140" i="6"/>
  <c r="P1140" i="6"/>
  <c r="O1140" i="6"/>
  <c r="N1140" i="6"/>
  <c r="M1140" i="6"/>
  <c r="B1140" i="6"/>
  <c r="AE1139" i="6"/>
  <c r="AD1139" i="6"/>
  <c r="W1139" i="6"/>
  <c r="T1139" i="6"/>
  <c r="V1139" i="6" s="1"/>
  <c r="S1139" i="6"/>
  <c r="P1139" i="6"/>
  <c r="O1139" i="6"/>
  <c r="N1139" i="6"/>
  <c r="M1139" i="6"/>
  <c r="B1139" i="6"/>
  <c r="AE1138" i="6"/>
  <c r="AD1138" i="6"/>
  <c r="W1138" i="6"/>
  <c r="V1138" i="6"/>
  <c r="U1138" i="6"/>
  <c r="T1138" i="6"/>
  <c r="S1138" i="6"/>
  <c r="P1138" i="6"/>
  <c r="O1138" i="6"/>
  <c r="N1138" i="6"/>
  <c r="M1138" i="6"/>
  <c r="B1138" i="6"/>
  <c r="AE1137" i="6"/>
  <c r="AD1137" i="6"/>
  <c r="W1137" i="6"/>
  <c r="T1137" i="6"/>
  <c r="V1137" i="6" s="1"/>
  <c r="S1137" i="6"/>
  <c r="P1137" i="6"/>
  <c r="O1137" i="6"/>
  <c r="N1137" i="6"/>
  <c r="M1137" i="6"/>
  <c r="B1137" i="6"/>
  <c r="AE1136" i="6"/>
  <c r="AD1136" i="6"/>
  <c r="W1136" i="6"/>
  <c r="T1136" i="6"/>
  <c r="V1136" i="6" s="1"/>
  <c r="S1136" i="6"/>
  <c r="P1136" i="6"/>
  <c r="O1136" i="6"/>
  <c r="N1136" i="6"/>
  <c r="M1136" i="6"/>
  <c r="B1136" i="6"/>
  <c r="AE1135" i="6"/>
  <c r="AD1135" i="6"/>
  <c r="W1135" i="6"/>
  <c r="V1135" i="6"/>
  <c r="U1135" i="6"/>
  <c r="T1135" i="6"/>
  <c r="S1135" i="6"/>
  <c r="P1135" i="6"/>
  <c r="O1135" i="6"/>
  <c r="N1135" i="6"/>
  <c r="M1135" i="6"/>
  <c r="B1135" i="6"/>
  <c r="AE1134" i="6"/>
  <c r="AD1134" i="6"/>
  <c r="W1134" i="6"/>
  <c r="V1134" i="6"/>
  <c r="T1134" i="6"/>
  <c r="U1134" i="6" s="1"/>
  <c r="S1134" i="6"/>
  <c r="P1134" i="6"/>
  <c r="O1134" i="6"/>
  <c r="N1134" i="6"/>
  <c r="M1134" i="6"/>
  <c r="B1134" i="6"/>
  <c r="AE1133" i="6"/>
  <c r="AD1133" i="6"/>
  <c r="W1133" i="6"/>
  <c r="V1133" i="6"/>
  <c r="U1133" i="6"/>
  <c r="T1133" i="6"/>
  <c r="S1133" i="6"/>
  <c r="P1133" i="6"/>
  <c r="O1133" i="6"/>
  <c r="N1133" i="6"/>
  <c r="M1133" i="6"/>
  <c r="B1133" i="6"/>
  <c r="AE1132" i="6"/>
  <c r="AD1132" i="6"/>
  <c r="W1132" i="6"/>
  <c r="T1132" i="6"/>
  <c r="V1132" i="6" s="1"/>
  <c r="S1132" i="6"/>
  <c r="P1132" i="6"/>
  <c r="O1132" i="6"/>
  <c r="N1132" i="6"/>
  <c r="M1132" i="6"/>
  <c r="B1132" i="6"/>
  <c r="AE1131" i="6"/>
  <c r="AD1131" i="6"/>
  <c r="W1131" i="6"/>
  <c r="T1131" i="6"/>
  <c r="V1131" i="6" s="1"/>
  <c r="S1131" i="6"/>
  <c r="P1131" i="6"/>
  <c r="O1131" i="6"/>
  <c r="N1131" i="6"/>
  <c r="M1131" i="6"/>
  <c r="B1131" i="6"/>
  <c r="AE1130" i="6"/>
  <c r="AD1130" i="6"/>
  <c r="W1130" i="6"/>
  <c r="V1130" i="6"/>
  <c r="U1130" i="6"/>
  <c r="T1130" i="6"/>
  <c r="S1130" i="6"/>
  <c r="P1130" i="6"/>
  <c r="O1130" i="6"/>
  <c r="N1130" i="6"/>
  <c r="M1130" i="6"/>
  <c r="B1130" i="6"/>
  <c r="AE1129" i="6"/>
  <c r="AD1129" i="6"/>
  <c r="W1129" i="6"/>
  <c r="T1129" i="6"/>
  <c r="V1129" i="6" s="1"/>
  <c r="S1129" i="6"/>
  <c r="P1129" i="6"/>
  <c r="O1129" i="6"/>
  <c r="N1129" i="6"/>
  <c r="M1129" i="6"/>
  <c r="B1129" i="6"/>
  <c r="AE1128" i="6"/>
  <c r="AD1128" i="6"/>
  <c r="W1128" i="6"/>
  <c r="V1128" i="6"/>
  <c r="U1128" i="6"/>
  <c r="T1128" i="6"/>
  <c r="S1128" i="6"/>
  <c r="P1128" i="6"/>
  <c r="O1128" i="6"/>
  <c r="N1128" i="6"/>
  <c r="M1128" i="6"/>
  <c r="B1128" i="6"/>
  <c r="AE1127" i="6"/>
  <c r="AD1127" i="6"/>
  <c r="W1127" i="6"/>
  <c r="T1127" i="6"/>
  <c r="V1127" i="6" s="1"/>
  <c r="S1127" i="6"/>
  <c r="P1127" i="6"/>
  <c r="O1127" i="6"/>
  <c r="N1127" i="6"/>
  <c r="M1127" i="6"/>
  <c r="B1127" i="6"/>
  <c r="AE1126" i="6"/>
  <c r="AD1126" i="6"/>
  <c r="W1126" i="6"/>
  <c r="T1126" i="6"/>
  <c r="V1126" i="6" s="1"/>
  <c r="S1126" i="6"/>
  <c r="P1126" i="6"/>
  <c r="O1126" i="6"/>
  <c r="N1126" i="6"/>
  <c r="M1126" i="6"/>
  <c r="B1126" i="6"/>
  <c r="AE1125" i="6"/>
  <c r="AD1125" i="6"/>
  <c r="W1125" i="6"/>
  <c r="T1125" i="6"/>
  <c r="V1125" i="6" s="1"/>
  <c r="S1125" i="6"/>
  <c r="P1125" i="6"/>
  <c r="O1125" i="6"/>
  <c r="N1125" i="6"/>
  <c r="M1125" i="6"/>
  <c r="B1125" i="6"/>
  <c r="AE1124" i="6"/>
  <c r="AD1124" i="6"/>
  <c r="W1124" i="6"/>
  <c r="T1124" i="6"/>
  <c r="V1124" i="6" s="1"/>
  <c r="S1124" i="6"/>
  <c r="P1124" i="6"/>
  <c r="O1124" i="6"/>
  <c r="N1124" i="6"/>
  <c r="M1124" i="6"/>
  <c r="B1124" i="6"/>
  <c r="AE1123" i="6"/>
  <c r="AD1123" i="6"/>
  <c r="W1123" i="6"/>
  <c r="V1123" i="6"/>
  <c r="U1123" i="6"/>
  <c r="T1123" i="6"/>
  <c r="S1123" i="6"/>
  <c r="P1123" i="6"/>
  <c r="O1123" i="6"/>
  <c r="N1123" i="6"/>
  <c r="M1123" i="6"/>
  <c r="B1123" i="6"/>
  <c r="AE1122" i="6"/>
  <c r="AD1122" i="6"/>
  <c r="W1122" i="6"/>
  <c r="T1122" i="6"/>
  <c r="V1122" i="6" s="1"/>
  <c r="S1122" i="6"/>
  <c r="P1122" i="6"/>
  <c r="O1122" i="6"/>
  <c r="N1122" i="6"/>
  <c r="M1122" i="6"/>
  <c r="B1122" i="6"/>
  <c r="AE1121" i="6"/>
  <c r="AD1121" i="6"/>
  <c r="W1121" i="6"/>
  <c r="T1121" i="6"/>
  <c r="V1121" i="6" s="1"/>
  <c r="S1121" i="6"/>
  <c r="P1121" i="6"/>
  <c r="O1121" i="6"/>
  <c r="N1121" i="6"/>
  <c r="M1121" i="6"/>
  <c r="B1121" i="6"/>
  <c r="AE1120" i="6"/>
  <c r="AD1120" i="6"/>
  <c r="W1120" i="6"/>
  <c r="V1120" i="6"/>
  <c r="U1120" i="6"/>
  <c r="T1120" i="6"/>
  <c r="S1120" i="6"/>
  <c r="P1120" i="6"/>
  <c r="O1120" i="6"/>
  <c r="N1120" i="6"/>
  <c r="M1120" i="6"/>
  <c r="B1120" i="6"/>
  <c r="AE1119" i="6"/>
  <c r="AD1119" i="6"/>
  <c r="W1119" i="6"/>
  <c r="T1119" i="6"/>
  <c r="V1119" i="6" s="1"/>
  <c r="S1119" i="6"/>
  <c r="P1119" i="6"/>
  <c r="O1119" i="6"/>
  <c r="N1119" i="6"/>
  <c r="M1119" i="6"/>
  <c r="B1119" i="6"/>
  <c r="AE1118" i="6"/>
  <c r="AD1118" i="6"/>
  <c r="W1118" i="6"/>
  <c r="V1118" i="6"/>
  <c r="U1118" i="6"/>
  <c r="T1118" i="6"/>
  <c r="S1118" i="6"/>
  <c r="P1118" i="6"/>
  <c r="O1118" i="6"/>
  <c r="N1118" i="6"/>
  <c r="M1118" i="6"/>
  <c r="B1118" i="6"/>
  <c r="AE1117" i="6"/>
  <c r="AD1117" i="6"/>
  <c r="W1117" i="6"/>
  <c r="T1117" i="6"/>
  <c r="V1117" i="6" s="1"/>
  <c r="S1117" i="6"/>
  <c r="P1117" i="6"/>
  <c r="O1117" i="6"/>
  <c r="N1117" i="6"/>
  <c r="M1117" i="6"/>
  <c r="B1117" i="6"/>
  <c r="AE1116" i="6"/>
  <c r="AD1116" i="6"/>
  <c r="W1116" i="6"/>
  <c r="T1116" i="6"/>
  <c r="V1116" i="6" s="1"/>
  <c r="S1116" i="6"/>
  <c r="P1116" i="6"/>
  <c r="O1116" i="6"/>
  <c r="N1116" i="6"/>
  <c r="M1116" i="6"/>
  <c r="B1116" i="6"/>
  <c r="AE1115" i="6"/>
  <c r="AD1115" i="6"/>
  <c r="W1115" i="6"/>
  <c r="V1115" i="6"/>
  <c r="T1115" i="6"/>
  <c r="U1115" i="6" s="1"/>
  <c r="S1115" i="6"/>
  <c r="P1115" i="6"/>
  <c r="O1115" i="6"/>
  <c r="N1115" i="6"/>
  <c r="M1115" i="6"/>
  <c r="B1115" i="6"/>
  <c r="AE1114" i="6"/>
  <c r="AD1114" i="6"/>
  <c r="W1114" i="6"/>
  <c r="V1114" i="6"/>
  <c r="U1114" i="6"/>
  <c r="T1114" i="6"/>
  <c r="S1114" i="6"/>
  <c r="P1114" i="6"/>
  <c r="O1114" i="6"/>
  <c r="N1114" i="6"/>
  <c r="M1114" i="6"/>
  <c r="B1114" i="6"/>
  <c r="AE1113" i="6"/>
  <c r="AD1113" i="6"/>
  <c r="W1113" i="6"/>
  <c r="V1113" i="6"/>
  <c r="U1113" i="6"/>
  <c r="T1113" i="6"/>
  <c r="S1113" i="6"/>
  <c r="P1113" i="6"/>
  <c r="O1113" i="6"/>
  <c r="N1113" i="6"/>
  <c r="M1113" i="6"/>
  <c r="B1113" i="6"/>
  <c r="AE1112" i="6"/>
  <c r="AD1112" i="6"/>
  <c r="W1112" i="6"/>
  <c r="T1112" i="6"/>
  <c r="V1112" i="6" s="1"/>
  <c r="S1112" i="6"/>
  <c r="P1112" i="6"/>
  <c r="O1112" i="6"/>
  <c r="N1112" i="6"/>
  <c r="M1112" i="6"/>
  <c r="B1112" i="6"/>
  <c r="AE1111" i="6"/>
  <c r="AD1111" i="6"/>
  <c r="W1111" i="6"/>
  <c r="T1111" i="6"/>
  <c r="V1111" i="6" s="1"/>
  <c r="S1111" i="6"/>
  <c r="P1111" i="6"/>
  <c r="O1111" i="6"/>
  <c r="N1111" i="6"/>
  <c r="M1111" i="6"/>
  <c r="B1111" i="6"/>
  <c r="AE1110" i="6"/>
  <c r="AD1110" i="6"/>
  <c r="W1110" i="6"/>
  <c r="T1110" i="6"/>
  <c r="V1110" i="6" s="1"/>
  <c r="S1110" i="6"/>
  <c r="P1110" i="6"/>
  <c r="O1110" i="6"/>
  <c r="N1110" i="6"/>
  <c r="M1110" i="6"/>
  <c r="B1110" i="6"/>
  <c r="AE1109" i="6"/>
  <c r="AD1109" i="6"/>
  <c r="W1109" i="6"/>
  <c r="V1109" i="6"/>
  <c r="U1109" i="6"/>
  <c r="T1109" i="6"/>
  <c r="S1109" i="6"/>
  <c r="P1109" i="6"/>
  <c r="O1109" i="6"/>
  <c r="N1109" i="6"/>
  <c r="M1109" i="6"/>
  <c r="B1109" i="6"/>
  <c r="AE1108" i="6"/>
  <c r="AD1108" i="6"/>
  <c r="W1108" i="6"/>
  <c r="V1108" i="6"/>
  <c r="U1108" i="6"/>
  <c r="T1108" i="6"/>
  <c r="S1108" i="6"/>
  <c r="P1108" i="6"/>
  <c r="O1108" i="6"/>
  <c r="N1108" i="6"/>
  <c r="M1108" i="6"/>
  <c r="B1108" i="6"/>
  <c r="AE1107" i="6"/>
  <c r="AD1107" i="6"/>
  <c r="W1107" i="6"/>
  <c r="T1107" i="6"/>
  <c r="V1107" i="6" s="1"/>
  <c r="S1107" i="6"/>
  <c r="P1107" i="6"/>
  <c r="O1107" i="6"/>
  <c r="N1107" i="6"/>
  <c r="M1107" i="6"/>
  <c r="B1107" i="6"/>
  <c r="AE1106" i="6"/>
  <c r="AD1106" i="6"/>
  <c r="W1106" i="6"/>
  <c r="U1106" i="6"/>
  <c r="T1106" i="6"/>
  <c r="V1106" i="6" s="1"/>
  <c r="S1106" i="6"/>
  <c r="P1106" i="6"/>
  <c r="O1106" i="6"/>
  <c r="N1106" i="6"/>
  <c r="M1106" i="6"/>
  <c r="B1106" i="6"/>
  <c r="AE1105" i="6"/>
  <c r="AD1105" i="6"/>
  <c r="W1105" i="6"/>
  <c r="V1105" i="6"/>
  <c r="T1105" i="6"/>
  <c r="U1105" i="6" s="1"/>
  <c r="S1105" i="6"/>
  <c r="P1105" i="6"/>
  <c r="O1105" i="6"/>
  <c r="N1105" i="6"/>
  <c r="M1105" i="6"/>
  <c r="B1105" i="6"/>
  <c r="AE1104" i="6"/>
  <c r="AD1104" i="6"/>
  <c r="W1104" i="6"/>
  <c r="T1104" i="6"/>
  <c r="V1104" i="6" s="1"/>
  <c r="S1104" i="6"/>
  <c r="P1104" i="6"/>
  <c r="O1104" i="6"/>
  <c r="N1104" i="6"/>
  <c r="M1104" i="6"/>
  <c r="B1104" i="6"/>
  <c r="AE1103" i="6"/>
  <c r="AD1103" i="6"/>
  <c r="W1103" i="6"/>
  <c r="V1103" i="6"/>
  <c r="U1103" i="6"/>
  <c r="T1103" i="6"/>
  <c r="S1103" i="6"/>
  <c r="P1103" i="6"/>
  <c r="O1103" i="6"/>
  <c r="N1103" i="6"/>
  <c r="M1103" i="6"/>
  <c r="B1103" i="6"/>
  <c r="AE1102" i="6"/>
  <c r="AD1102" i="6"/>
  <c r="W1102" i="6"/>
  <c r="T1102" i="6"/>
  <c r="V1102" i="6" s="1"/>
  <c r="S1102" i="6"/>
  <c r="P1102" i="6"/>
  <c r="O1102" i="6"/>
  <c r="N1102" i="6"/>
  <c r="M1102" i="6"/>
  <c r="B1102" i="6"/>
  <c r="AE1101" i="6"/>
  <c r="AD1101" i="6"/>
  <c r="W1101" i="6"/>
  <c r="U1101" i="6"/>
  <c r="T1101" i="6"/>
  <c r="V1101" i="6" s="1"/>
  <c r="S1101" i="6"/>
  <c r="P1101" i="6"/>
  <c r="O1101" i="6"/>
  <c r="N1101" i="6"/>
  <c r="M1101" i="6"/>
  <c r="B1101" i="6"/>
  <c r="AE1100" i="6"/>
  <c r="AD1100" i="6"/>
  <c r="W1100" i="6"/>
  <c r="T1100" i="6"/>
  <c r="V1100" i="6" s="1"/>
  <c r="S1100" i="6"/>
  <c r="P1100" i="6"/>
  <c r="O1100" i="6"/>
  <c r="N1100" i="6"/>
  <c r="M1100" i="6"/>
  <c r="B1100" i="6"/>
  <c r="AE1099" i="6"/>
  <c r="AD1099" i="6"/>
  <c r="W1099" i="6"/>
  <c r="V1099" i="6"/>
  <c r="U1099" i="6"/>
  <c r="T1099" i="6"/>
  <c r="S1099" i="6"/>
  <c r="P1099" i="6"/>
  <c r="O1099" i="6"/>
  <c r="N1099" i="6"/>
  <c r="M1099" i="6"/>
  <c r="B1099" i="6"/>
  <c r="AE1098" i="6"/>
  <c r="AD1098" i="6"/>
  <c r="W1098" i="6"/>
  <c r="V1098" i="6"/>
  <c r="U1098" i="6"/>
  <c r="T1098" i="6"/>
  <c r="S1098" i="6"/>
  <c r="P1098" i="6"/>
  <c r="O1098" i="6"/>
  <c r="N1098" i="6"/>
  <c r="M1098" i="6"/>
  <c r="B1098" i="6"/>
  <c r="AE1097" i="6"/>
  <c r="AD1097" i="6"/>
  <c r="W1097" i="6"/>
  <c r="T1097" i="6"/>
  <c r="V1097" i="6" s="1"/>
  <c r="S1097" i="6"/>
  <c r="P1097" i="6"/>
  <c r="O1097" i="6"/>
  <c r="N1097" i="6"/>
  <c r="M1097" i="6"/>
  <c r="B1097" i="6"/>
  <c r="AE1096" i="6"/>
  <c r="AD1096" i="6"/>
  <c r="W1096" i="6"/>
  <c r="T1096" i="6"/>
  <c r="V1096" i="6" s="1"/>
  <c r="S1096" i="6"/>
  <c r="P1096" i="6"/>
  <c r="O1096" i="6"/>
  <c r="N1096" i="6"/>
  <c r="M1096" i="6"/>
  <c r="B1096" i="6"/>
  <c r="AE1095" i="6"/>
  <c r="AD1095" i="6"/>
  <c r="W1095" i="6"/>
  <c r="T1095" i="6"/>
  <c r="V1095" i="6" s="1"/>
  <c r="S1095" i="6"/>
  <c r="P1095" i="6"/>
  <c r="O1095" i="6"/>
  <c r="N1095" i="6"/>
  <c r="M1095" i="6"/>
  <c r="B1095" i="6"/>
  <c r="AE1094" i="6"/>
  <c r="AD1094" i="6"/>
  <c r="W1094" i="6"/>
  <c r="V1094" i="6"/>
  <c r="T1094" i="6"/>
  <c r="U1094" i="6" s="1"/>
  <c r="S1094" i="6"/>
  <c r="P1094" i="6"/>
  <c r="O1094" i="6"/>
  <c r="N1094" i="6"/>
  <c r="M1094" i="6"/>
  <c r="B1094" i="6"/>
  <c r="AE1093" i="6"/>
  <c r="AD1093" i="6"/>
  <c r="W1093" i="6"/>
  <c r="V1093" i="6"/>
  <c r="U1093" i="6"/>
  <c r="T1093" i="6"/>
  <c r="S1093" i="6"/>
  <c r="P1093" i="6"/>
  <c r="O1093" i="6"/>
  <c r="N1093" i="6"/>
  <c r="M1093" i="6"/>
  <c r="B1093" i="6"/>
  <c r="AE1092" i="6"/>
  <c r="AD1092" i="6"/>
  <c r="W1092" i="6"/>
  <c r="T1092" i="6"/>
  <c r="V1092" i="6" s="1"/>
  <c r="S1092" i="6"/>
  <c r="P1092" i="6"/>
  <c r="O1092" i="6"/>
  <c r="N1092" i="6"/>
  <c r="M1092" i="6"/>
  <c r="B1092" i="6"/>
  <c r="AE1091" i="6"/>
  <c r="AD1091" i="6"/>
  <c r="W1091" i="6"/>
  <c r="U1091" i="6"/>
  <c r="T1091" i="6"/>
  <c r="V1091" i="6" s="1"/>
  <c r="S1091" i="6"/>
  <c r="P1091" i="6"/>
  <c r="O1091" i="6"/>
  <c r="N1091" i="6"/>
  <c r="M1091" i="6"/>
  <c r="B1091" i="6"/>
  <c r="AE1090" i="6"/>
  <c r="AD1090" i="6"/>
  <c r="W1090" i="6"/>
  <c r="T1090" i="6"/>
  <c r="V1090" i="6" s="1"/>
  <c r="S1090" i="6"/>
  <c r="P1090" i="6"/>
  <c r="O1090" i="6"/>
  <c r="N1090" i="6"/>
  <c r="M1090" i="6"/>
  <c r="B1090" i="6"/>
  <c r="AE1089" i="6"/>
  <c r="AD1089" i="6"/>
  <c r="W1089" i="6"/>
  <c r="T1089" i="6"/>
  <c r="V1089" i="6" s="1"/>
  <c r="S1089" i="6"/>
  <c r="P1089" i="6"/>
  <c r="O1089" i="6"/>
  <c r="N1089" i="6"/>
  <c r="M1089" i="6"/>
  <c r="B1089" i="6"/>
  <c r="AE1088" i="6"/>
  <c r="AD1088" i="6"/>
  <c r="W1088" i="6"/>
  <c r="V1088" i="6"/>
  <c r="U1088" i="6"/>
  <c r="T1088" i="6"/>
  <c r="S1088" i="6"/>
  <c r="P1088" i="6"/>
  <c r="O1088" i="6"/>
  <c r="N1088" i="6"/>
  <c r="M1088" i="6"/>
  <c r="B1088" i="6"/>
  <c r="AE1087" i="6"/>
  <c r="AD1087" i="6"/>
  <c r="W1087" i="6"/>
  <c r="T1087" i="6"/>
  <c r="V1087" i="6" s="1"/>
  <c r="S1087" i="6"/>
  <c r="P1087" i="6"/>
  <c r="O1087" i="6"/>
  <c r="N1087" i="6"/>
  <c r="M1087" i="6"/>
  <c r="B1087" i="6"/>
  <c r="AE1086" i="6"/>
  <c r="AD1086" i="6"/>
  <c r="W1086" i="6"/>
  <c r="T1086" i="6"/>
  <c r="V1086" i="6" s="1"/>
  <c r="S1086" i="6"/>
  <c r="P1086" i="6"/>
  <c r="O1086" i="6"/>
  <c r="N1086" i="6"/>
  <c r="M1086" i="6"/>
  <c r="B1086" i="6"/>
  <c r="AE1085" i="6"/>
  <c r="AD1085" i="6"/>
  <c r="W1085" i="6"/>
  <c r="V1085" i="6"/>
  <c r="U1085" i="6"/>
  <c r="T1085" i="6"/>
  <c r="S1085" i="6"/>
  <c r="P1085" i="6"/>
  <c r="O1085" i="6"/>
  <c r="N1085" i="6"/>
  <c r="M1085" i="6"/>
  <c r="B1085" i="6"/>
  <c r="AE1084" i="6"/>
  <c r="AD1084" i="6"/>
  <c r="W1084" i="6"/>
  <c r="V1084" i="6"/>
  <c r="T1084" i="6"/>
  <c r="U1084" i="6" s="1"/>
  <c r="S1084" i="6"/>
  <c r="P1084" i="6"/>
  <c r="O1084" i="6"/>
  <c r="N1084" i="6"/>
  <c r="M1084" i="6"/>
  <c r="B1084" i="6"/>
  <c r="AE1083" i="6"/>
  <c r="AD1083" i="6"/>
  <c r="W1083" i="6"/>
  <c r="V1083" i="6"/>
  <c r="U1083" i="6"/>
  <c r="T1083" i="6"/>
  <c r="S1083" i="6"/>
  <c r="P1083" i="6"/>
  <c r="O1083" i="6"/>
  <c r="N1083" i="6"/>
  <c r="M1083" i="6"/>
  <c r="B1083" i="6"/>
  <c r="AE1082" i="6"/>
  <c r="AD1082" i="6"/>
  <c r="W1082" i="6"/>
  <c r="T1082" i="6"/>
  <c r="V1082" i="6" s="1"/>
  <c r="S1082" i="6"/>
  <c r="P1082" i="6"/>
  <c r="O1082" i="6"/>
  <c r="N1082" i="6"/>
  <c r="M1082" i="6"/>
  <c r="B1082" i="6"/>
  <c r="AE1081" i="6"/>
  <c r="AD1081" i="6"/>
  <c r="W1081" i="6"/>
  <c r="T1081" i="6"/>
  <c r="V1081" i="6" s="1"/>
  <c r="S1081" i="6"/>
  <c r="P1081" i="6"/>
  <c r="O1081" i="6"/>
  <c r="N1081" i="6"/>
  <c r="M1081" i="6"/>
  <c r="B1081" i="6"/>
  <c r="AE1080" i="6"/>
  <c r="AD1080" i="6"/>
  <c r="W1080" i="6"/>
  <c r="V1080" i="6"/>
  <c r="U1080" i="6"/>
  <c r="T1080" i="6"/>
  <c r="S1080" i="6"/>
  <c r="P1080" i="6"/>
  <c r="O1080" i="6"/>
  <c r="N1080" i="6"/>
  <c r="M1080" i="6"/>
  <c r="B1080" i="6"/>
  <c r="AE1079" i="6"/>
  <c r="AD1079" i="6"/>
  <c r="W1079" i="6"/>
  <c r="T1079" i="6"/>
  <c r="V1079" i="6" s="1"/>
  <c r="S1079" i="6"/>
  <c r="P1079" i="6"/>
  <c r="O1079" i="6"/>
  <c r="N1079" i="6"/>
  <c r="M1079" i="6"/>
  <c r="B1079" i="6"/>
  <c r="AE1078" i="6"/>
  <c r="AD1078" i="6"/>
  <c r="W1078" i="6"/>
  <c r="V1078" i="6"/>
  <c r="U1078" i="6"/>
  <c r="T1078" i="6"/>
  <c r="S1078" i="6"/>
  <c r="P1078" i="6"/>
  <c r="O1078" i="6"/>
  <c r="N1078" i="6"/>
  <c r="M1078" i="6"/>
  <c r="B1078" i="6"/>
  <c r="AE1077" i="6"/>
  <c r="AD1077" i="6"/>
  <c r="W1077" i="6"/>
  <c r="T1077" i="6"/>
  <c r="V1077" i="6" s="1"/>
  <c r="S1077" i="6"/>
  <c r="P1077" i="6"/>
  <c r="O1077" i="6"/>
  <c r="N1077" i="6"/>
  <c r="M1077" i="6"/>
  <c r="B1077" i="6"/>
  <c r="AE1076" i="6"/>
  <c r="AD1076" i="6"/>
  <c r="W1076" i="6"/>
  <c r="T1076" i="6"/>
  <c r="V1076" i="6" s="1"/>
  <c r="S1076" i="6"/>
  <c r="P1076" i="6"/>
  <c r="O1076" i="6"/>
  <c r="N1076" i="6"/>
  <c r="M1076" i="6"/>
  <c r="B1076" i="6"/>
  <c r="AE1075" i="6"/>
  <c r="AD1075" i="6"/>
  <c r="W1075" i="6"/>
  <c r="T1075" i="6"/>
  <c r="V1075" i="6" s="1"/>
  <c r="S1075" i="6"/>
  <c r="P1075" i="6"/>
  <c r="O1075" i="6"/>
  <c r="N1075" i="6"/>
  <c r="M1075" i="6"/>
  <c r="B1075" i="6"/>
  <c r="AE1074" i="6"/>
  <c r="AD1074" i="6"/>
  <c r="W1074" i="6"/>
  <c r="T1074" i="6"/>
  <c r="V1074" i="6" s="1"/>
  <c r="S1074" i="6"/>
  <c r="P1074" i="6"/>
  <c r="O1074" i="6"/>
  <c r="N1074" i="6"/>
  <c r="M1074" i="6"/>
  <c r="B1074" i="6"/>
  <c r="AE1073" i="6"/>
  <c r="AD1073" i="6"/>
  <c r="W1073" i="6"/>
  <c r="V1073" i="6"/>
  <c r="U1073" i="6"/>
  <c r="T1073" i="6"/>
  <c r="S1073" i="6"/>
  <c r="P1073" i="6"/>
  <c r="O1073" i="6"/>
  <c r="N1073" i="6"/>
  <c r="M1073" i="6"/>
  <c r="B1073" i="6"/>
  <c r="AE1072" i="6"/>
  <c r="AD1072" i="6"/>
  <c r="W1072" i="6"/>
  <c r="T1072" i="6"/>
  <c r="V1072" i="6" s="1"/>
  <c r="S1072" i="6"/>
  <c r="P1072" i="6"/>
  <c r="O1072" i="6"/>
  <c r="N1072" i="6"/>
  <c r="M1072" i="6"/>
  <c r="B1072" i="6"/>
  <c r="AE1071" i="6"/>
  <c r="AD1071" i="6"/>
  <c r="W1071" i="6"/>
  <c r="T1071" i="6"/>
  <c r="V1071" i="6" s="1"/>
  <c r="S1071" i="6"/>
  <c r="P1071" i="6"/>
  <c r="O1071" i="6"/>
  <c r="N1071" i="6"/>
  <c r="M1071" i="6"/>
  <c r="B1071" i="6"/>
  <c r="AE1070" i="6"/>
  <c r="AD1070" i="6"/>
  <c r="W1070" i="6"/>
  <c r="V1070" i="6"/>
  <c r="U1070" i="6"/>
  <c r="T1070" i="6"/>
  <c r="S1070" i="6"/>
  <c r="P1070" i="6"/>
  <c r="O1070" i="6"/>
  <c r="N1070" i="6"/>
  <c r="M1070" i="6"/>
  <c r="B1070" i="6"/>
  <c r="AE1069" i="6"/>
  <c r="AD1069" i="6"/>
  <c r="W1069" i="6"/>
  <c r="T1069" i="6"/>
  <c r="V1069" i="6" s="1"/>
  <c r="S1069" i="6"/>
  <c r="P1069" i="6"/>
  <c r="O1069" i="6"/>
  <c r="N1069" i="6"/>
  <c r="M1069" i="6"/>
  <c r="B1069" i="6"/>
  <c r="AE1068" i="6"/>
  <c r="AD1068" i="6"/>
  <c r="W1068" i="6"/>
  <c r="V1068" i="6"/>
  <c r="U1068" i="6"/>
  <c r="T1068" i="6"/>
  <c r="S1068" i="6"/>
  <c r="P1068" i="6"/>
  <c r="O1068" i="6"/>
  <c r="N1068" i="6"/>
  <c r="M1068" i="6"/>
  <c r="B1068" i="6"/>
  <c r="AE1067" i="6"/>
  <c r="AD1067" i="6"/>
  <c r="W1067" i="6"/>
  <c r="T1067" i="6"/>
  <c r="V1067" i="6" s="1"/>
  <c r="S1067" i="6"/>
  <c r="P1067" i="6"/>
  <c r="O1067" i="6"/>
  <c r="N1067" i="6"/>
  <c r="M1067" i="6"/>
  <c r="B1067" i="6"/>
  <c r="AE1066" i="6"/>
  <c r="AD1066" i="6"/>
  <c r="W1066" i="6"/>
  <c r="T1066" i="6"/>
  <c r="V1066" i="6" s="1"/>
  <c r="S1066" i="6"/>
  <c r="P1066" i="6"/>
  <c r="O1066" i="6"/>
  <c r="N1066" i="6"/>
  <c r="M1066" i="6"/>
  <c r="B1066" i="6"/>
  <c r="AE1065" i="6"/>
  <c r="AD1065" i="6"/>
  <c r="W1065" i="6"/>
  <c r="V1065" i="6"/>
  <c r="T1065" i="6"/>
  <c r="U1065" i="6" s="1"/>
  <c r="S1065" i="6"/>
  <c r="P1065" i="6"/>
  <c r="O1065" i="6"/>
  <c r="N1065" i="6"/>
  <c r="M1065" i="6"/>
  <c r="B1065" i="6"/>
  <c r="AE1064" i="6"/>
  <c r="AD1064" i="6"/>
  <c r="W1064" i="6"/>
  <c r="V1064" i="6"/>
  <c r="U1064" i="6"/>
  <c r="T1064" i="6"/>
  <c r="S1064" i="6"/>
  <c r="P1064" i="6"/>
  <c r="O1064" i="6"/>
  <c r="N1064" i="6"/>
  <c r="M1064" i="6"/>
  <c r="B1064" i="6"/>
  <c r="AE1063" i="6"/>
  <c r="AD1063" i="6"/>
  <c r="W1063" i="6"/>
  <c r="V1063" i="6"/>
  <c r="U1063" i="6"/>
  <c r="T1063" i="6"/>
  <c r="S1063" i="6"/>
  <c r="P1063" i="6"/>
  <c r="O1063" i="6"/>
  <c r="N1063" i="6"/>
  <c r="M1063" i="6"/>
  <c r="B1063" i="6"/>
  <c r="AE1062" i="6"/>
  <c r="AD1062" i="6"/>
  <c r="W1062" i="6"/>
  <c r="T1062" i="6"/>
  <c r="V1062" i="6" s="1"/>
  <c r="S1062" i="6"/>
  <c r="P1062" i="6"/>
  <c r="O1062" i="6"/>
  <c r="N1062" i="6"/>
  <c r="M1062" i="6"/>
  <c r="B1062" i="6"/>
  <c r="AE1061" i="6"/>
  <c r="AD1061" i="6"/>
  <c r="W1061" i="6"/>
  <c r="T1061" i="6"/>
  <c r="V1061" i="6" s="1"/>
  <c r="S1061" i="6"/>
  <c r="P1061" i="6"/>
  <c r="O1061" i="6"/>
  <c r="N1061" i="6"/>
  <c r="M1061" i="6"/>
  <c r="B1061" i="6"/>
  <c r="AE1060" i="6"/>
  <c r="AD1060" i="6"/>
  <c r="W1060" i="6"/>
  <c r="T1060" i="6"/>
  <c r="V1060" i="6" s="1"/>
  <c r="S1060" i="6"/>
  <c r="P1060" i="6"/>
  <c r="O1060" i="6"/>
  <c r="N1060" i="6"/>
  <c r="M1060" i="6"/>
  <c r="B1060" i="6"/>
  <c r="AE1059" i="6"/>
  <c r="AD1059" i="6"/>
  <c r="W1059" i="6"/>
  <c r="V1059" i="6"/>
  <c r="U1059" i="6"/>
  <c r="T1059" i="6"/>
  <c r="S1059" i="6"/>
  <c r="P1059" i="6"/>
  <c r="O1059" i="6"/>
  <c r="N1059" i="6"/>
  <c r="M1059" i="6"/>
  <c r="B1059" i="6"/>
  <c r="AE1058" i="6"/>
  <c r="AD1058" i="6"/>
  <c r="W1058" i="6"/>
  <c r="V1058" i="6"/>
  <c r="U1058" i="6"/>
  <c r="T1058" i="6"/>
  <c r="S1058" i="6"/>
  <c r="P1058" i="6"/>
  <c r="O1058" i="6"/>
  <c r="N1058" i="6"/>
  <c r="M1058" i="6"/>
  <c r="B1058" i="6"/>
  <c r="AE1057" i="6"/>
  <c r="AD1057" i="6"/>
  <c r="W1057" i="6"/>
  <c r="T1057" i="6"/>
  <c r="V1057" i="6" s="1"/>
  <c r="S1057" i="6"/>
  <c r="P1057" i="6"/>
  <c r="O1057" i="6"/>
  <c r="N1057" i="6"/>
  <c r="M1057" i="6"/>
  <c r="B1057" i="6"/>
  <c r="AE1056" i="6"/>
  <c r="AD1056" i="6"/>
  <c r="W1056" i="6"/>
  <c r="U1056" i="6"/>
  <c r="T1056" i="6"/>
  <c r="V1056" i="6" s="1"/>
  <c r="S1056" i="6"/>
  <c r="P1056" i="6"/>
  <c r="O1056" i="6"/>
  <c r="N1056" i="6"/>
  <c r="M1056" i="6"/>
  <c r="B1056" i="6"/>
  <c r="AE1055" i="6"/>
  <c r="AD1055" i="6"/>
  <c r="W1055" i="6"/>
  <c r="V1055" i="6"/>
  <c r="T1055" i="6"/>
  <c r="U1055" i="6" s="1"/>
  <c r="S1055" i="6"/>
  <c r="P1055" i="6"/>
  <c r="O1055" i="6"/>
  <c r="N1055" i="6"/>
  <c r="M1055" i="6"/>
  <c r="B1055" i="6"/>
  <c r="AE1054" i="6"/>
  <c r="AD1054" i="6"/>
  <c r="W1054" i="6"/>
  <c r="T1054" i="6"/>
  <c r="V1054" i="6" s="1"/>
  <c r="S1054" i="6"/>
  <c r="P1054" i="6"/>
  <c r="O1054" i="6"/>
  <c r="N1054" i="6"/>
  <c r="M1054" i="6"/>
  <c r="B1054" i="6"/>
  <c r="AE1053" i="6"/>
  <c r="AD1053" i="6"/>
  <c r="W1053" i="6"/>
  <c r="V1053" i="6"/>
  <c r="U1053" i="6"/>
  <c r="T1053" i="6"/>
  <c r="S1053" i="6"/>
  <c r="P1053" i="6"/>
  <c r="O1053" i="6"/>
  <c r="N1053" i="6"/>
  <c r="M1053" i="6"/>
  <c r="B1053" i="6"/>
  <c r="AE1052" i="6"/>
  <c r="AD1052" i="6"/>
  <c r="W1052" i="6"/>
  <c r="T1052" i="6"/>
  <c r="V1052" i="6" s="1"/>
  <c r="S1052" i="6"/>
  <c r="P1052" i="6"/>
  <c r="O1052" i="6"/>
  <c r="N1052" i="6"/>
  <c r="M1052" i="6"/>
  <c r="B1052" i="6"/>
  <c r="AE1051" i="6"/>
  <c r="AD1051" i="6"/>
  <c r="W1051" i="6"/>
  <c r="U1051" i="6"/>
  <c r="T1051" i="6"/>
  <c r="V1051" i="6" s="1"/>
  <c r="S1051" i="6"/>
  <c r="P1051" i="6"/>
  <c r="O1051" i="6"/>
  <c r="N1051" i="6"/>
  <c r="M1051" i="6"/>
  <c r="B1051" i="6"/>
  <c r="AE1050" i="6"/>
  <c r="AD1050" i="6"/>
  <c r="W1050" i="6"/>
  <c r="T1050" i="6"/>
  <c r="V1050" i="6" s="1"/>
  <c r="S1050" i="6"/>
  <c r="P1050" i="6"/>
  <c r="O1050" i="6"/>
  <c r="N1050" i="6"/>
  <c r="M1050" i="6"/>
  <c r="B1050" i="6"/>
  <c r="AE1049" i="6"/>
  <c r="AD1049" i="6"/>
  <c r="W1049" i="6"/>
  <c r="V1049" i="6"/>
  <c r="U1049" i="6"/>
  <c r="T1049" i="6"/>
  <c r="S1049" i="6"/>
  <c r="P1049" i="6"/>
  <c r="O1049" i="6"/>
  <c r="N1049" i="6"/>
  <c r="M1049" i="6"/>
  <c r="B1049" i="6"/>
  <c r="AE1048" i="6"/>
  <c r="AD1048" i="6"/>
  <c r="W1048" i="6"/>
  <c r="V1048" i="6"/>
  <c r="U1048" i="6"/>
  <c r="T1048" i="6"/>
  <c r="S1048" i="6"/>
  <c r="P1048" i="6"/>
  <c r="O1048" i="6"/>
  <c r="N1048" i="6"/>
  <c r="M1048" i="6"/>
  <c r="B1048" i="6"/>
  <c r="AE1047" i="6"/>
  <c r="AD1047" i="6"/>
  <c r="W1047" i="6"/>
  <c r="T1047" i="6"/>
  <c r="V1047" i="6" s="1"/>
  <c r="S1047" i="6"/>
  <c r="P1047" i="6"/>
  <c r="O1047" i="6"/>
  <c r="N1047" i="6"/>
  <c r="M1047" i="6"/>
  <c r="B1047" i="6"/>
  <c r="AE1046" i="6"/>
  <c r="AD1046" i="6"/>
  <c r="W1046" i="6"/>
  <c r="T1046" i="6"/>
  <c r="V1046" i="6" s="1"/>
  <c r="S1046" i="6"/>
  <c r="P1046" i="6"/>
  <c r="O1046" i="6"/>
  <c r="N1046" i="6"/>
  <c r="M1046" i="6"/>
  <c r="B1046" i="6"/>
  <c r="AE1045" i="6"/>
  <c r="AD1045" i="6"/>
  <c r="W1045" i="6"/>
  <c r="T1045" i="6"/>
  <c r="V1045" i="6" s="1"/>
  <c r="S1045" i="6"/>
  <c r="P1045" i="6"/>
  <c r="O1045" i="6"/>
  <c r="N1045" i="6"/>
  <c r="M1045" i="6"/>
  <c r="B1045" i="6"/>
  <c r="AE1044" i="6"/>
  <c r="AD1044" i="6"/>
  <c r="W1044" i="6"/>
  <c r="V1044" i="6"/>
  <c r="T1044" i="6"/>
  <c r="U1044" i="6" s="1"/>
  <c r="S1044" i="6"/>
  <c r="P1044" i="6"/>
  <c r="O1044" i="6"/>
  <c r="N1044" i="6"/>
  <c r="M1044" i="6"/>
  <c r="B1044" i="6"/>
  <c r="AE1043" i="6"/>
  <c r="AD1043" i="6"/>
  <c r="W1043" i="6"/>
  <c r="V1043" i="6"/>
  <c r="U1043" i="6"/>
  <c r="T1043" i="6"/>
  <c r="S1043" i="6"/>
  <c r="P1043" i="6"/>
  <c r="O1043" i="6"/>
  <c r="N1043" i="6"/>
  <c r="M1043" i="6"/>
  <c r="B1043" i="6"/>
  <c r="AE1042" i="6"/>
  <c r="AD1042" i="6"/>
  <c r="W1042" i="6"/>
  <c r="T1042" i="6"/>
  <c r="V1042" i="6" s="1"/>
  <c r="S1042" i="6"/>
  <c r="P1042" i="6"/>
  <c r="O1042" i="6"/>
  <c r="N1042" i="6"/>
  <c r="M1042" i="6"/>
  <c r="B1042" i="6"/>
  <c r="AE1041" i="6"/>
  <c r="AD1041" i="6"/>
  <c r="W1041" i="6"/>
  <c r="U1041" i="6"/>
  <c r="T1041" i="6"/>
  <c r="V1041" i="6" s="1"/>
  <c r="S1041" i="6"/>
  <c r="P1041" i="6"/>
  <c r="O1041" i="6"/>
  <c r="N1041" i="6"/>
  <c r="M1041" i="6"/>
  <c r="B1041" i="6"/>
  <c r="AE1040" i="6"/>
  <c r="AD1040" i="6"/>
  <c r="W1040" i="6"/>
  <c r="T1040" i="6"/>
  <c r="V1040" i="6" s="1"/>
  <c r="S1040" i="6"/>
  <c r="P1040" i="6"/>
  <c r="O1040" i="6"/>
  <c r="N1040" i="6"/>
  <c r="M1040" i="6"/>
  <c r="B1040" i="6"/>
  <c r="AE1039" i="6"/>
  <c r="AD1039" i="6"/>
  <c r="W1039" i="6"/>
  <c r="T1039" i="6"/>
  <c r="V1039" i="6" s="1"/>
  <c r="S1039" i="6"/>
  <c r="P1039" i="6"/>
  <c r="O1039" i="6"/>
  <c r="N1039" i="6"/>
  <c r="M1039" i="6"/>
  <c r="B1039" i="6"/>
  <c r="AE1038" i="6"/>
  <c r="AD1038" i="6"/>
  <c r="W1038" i="6"/>
  <c r="V1038" i="6"/>
  <c r="U1038" i="6"/>
  <c r="T1038" i="6"/>
  <c r="S1038" i="6"/>
  <c r="P1038" i="6"/>
  <c r="O1038" i="6"/>
  <c r="N1038" i="6"/>
  <c r="M1038" i="6"/>
  <c r="B1038" i="6"/>
  <c r="AE1037" i="6"/>
  <c r="AD1037" i="6"/>
  <c r="W1037" i="6"/>
  <c r="T1037" i="6"/>
  <c r="V1037" i="6" s="1"/>
  <c r="S1037" i="6"/>
  <c r="P1037" i="6"/>
  <c r="O1037" i="6"/>
  <c r="N1037" i="6"/>
  <c r="M1037" i="6"/>
  <c r="B1037" i="6"/>
  <c r="AE1036" i="6"/>
  <c r="AD1036" i="6"/>
  <c r="W1036" i="6"/>
  <c r="T1036" i="6"/>
  <c r="V1036" i="6" s="1"/>
  <c r="S1036" i="6"/>
  <c r="P1036" i="6"/>
  <c r="O1036" i="6"/>
  <c r="N1036" i="6"/>
  <c r="M1036" i="6"/>
  <c r="B1036" i="6"/>
  <c r="AE1035" i="6"/>
  <c r="AD1035" i="6"/>
  <c r="W1035" i="6"/>
  <c r="V1035" i="6"/>
  <c r="U1035" i="6"/>
  <c r="T1035" i="6"/>
  <c r="S1035" i="6"/>
  <c r="P1035" i="6"/>
  <c r="O1035" i="6"/>
  <c r="N1035" i="6"/>
  <c r="M1035" i="6"/>
  <c r="B1035" i="6"/>
  <c r="AE1034" i="6"/>
  <c r="AD1034" i="6"/>
  <c r="W1034" i="6"/>
  <c r="V1034" i="6"/>
  <c r="T1034" i="6"/>
  <c r="U1034" i="6" s="1"/>
  <c r="S1034" i="6"/>
  <c r="P1034" i="6"/>
  <c r="O1034" i="6"/>
  <c r="N1034" i="6"/>
  <c r="M1034" i="6"/>
  <c r="B1034" i="6"/>
  <c r="AE1033" i="6"/>
  <c r="AD1033" i="6"/>
  <c r="W1033" i="6"/>
  <c r="V1033" i="6"/>
  <c r="U1033" i="6"/>
  <c r="T1033" i="6"/>
  <c r="S1033" i="6"/>
  <c r="P1033" i="6"/>
  <c r="O1033" i="6"/>
  <c r="N1033" i="6"/>
  <c r="M1033" i="6"/>
  <c r="B1033" i="6"/>
  <c r="AE1032" i="6"/>
  <c r="AD1032" i="6"/>
  <c r="W1032" i="6"/>
  <c r="T1032" i="6"/>
  <c r="V1032" i="6" s="1"/>
  <c r="S1032" i="6"/>
  <c r="P1032" i="6"/>
  <c r="O1032" i="6"/>
  <c r="N1032" i="6"/>
  <c r="M1032" i="6"/>
  <c r="B1032" i="6"/>
  <c r="AE1031" i="6"/>
  <c r="AD1031" i="6"/>
  <c r="W1031" i="6"/>
  <c r="T1031" i="6"/>
  <c r="V1031" i="6" s="1"/>
  <c r="S1031" i="6"/>
  <c r="P1031" i="6"/>
  <c r="O1031" i="6"/>
  <c r="N1031" i="6"/>
  <c r="M1031" i="6"/>
  <c r="B1031" i="6"/>
  <c r="AE1030" i="6"/>
  <c r="AD1030" i="6"/>
  <c r="W1030" i="6"/>
  <c r="V1030" i="6"/>
  <c r="U1030" i="6"/>
  <c r="T1030" i="6"/>
  <c r="S1030" i="6"/>
  <c r="P1030" i="6"/>
  <c r="O1030" i="6"/>
  <c r="N1030" i="6"/>
  <c r="M1030" i="6"/>
  <c r="B1030" i="6"/>
  <c r="AE1029" i="6"/>
  <c r="AD1029" i="6"/>
  <c r="W1029" i="6"/>
  <c r="T1029" i="6"/>
  <c r="V1029" i="6" s="1"/>
  <c r="S1029" i="6"/>
  <c r="P1029" i="6"/>
  <c r="O1029" i="6"/>
  <c r="N1029" i="6"/>
  <c r="M1029" i="6"/>
  <c r="B1029" i="6"/>
  <c r="AE1028" i="6"/>
  <c r="AD1028" i="6"/>
  <c r="W1028" i="6"/>
  <c r="V1028" i="6"/>
  <c r="U1028" i="6"/>
  <c r="T1028" i="6"/>
  <c r="S1028" i="6"/>
  <c r="P1028" i="6"/>
  <c r="O1028" i="6"/>
  <c r="N1028" i="6"/>
  <c r="M1028" i="6"/>
  <c r="B1028" i="6"/>
  <c r="AE1027" i="6"/>
  <c r="AD1027" i="6"/>
  <c r="W1027" i="6"/>
  <c r="T1027" i="6"/>
  <c r="V1027" i="6" s="1"/>
  <c r="S1027" i="6"/>
  <c r="P1027" i="6"/>
  <c r="O1027" i="6"/>
  <c r="N1027" i="6"/>
  <c r="M1027" i="6"/>
  <c r="B1027" i="6"/>
  <c r="AE1026" i="6"/>
  <c r="AD1026" i="6"/>
  <c r="W1026" i="6"/>
  <c r="T1026" i="6"/>
  <c r="V1026" i="6" s="1"/>
  <c r="S1026" i="6"/>
  <c r="P1026" i="6"/>
  <c r="O1026" i="6"/>
  <c r="N1026" i="6"/>
  <c r="M1026" i="6"/>
  <c r="B1026" i="6"/>
  <c r="AE1025" i="6"/>
  <c r="AD1025" i="6"/>
  <c r="W1025" i="6"/>
  <c r="T1025" i="6"/>
  <c r="V1025" i="6" s="1"/>
  <c r="S1025" i="6"/>
  <c r="P1025" i="6"/>
  <c r="O1025" i="6"/>
  <c r="N1025" i="6"/>
  <c r="M1025" i="6"/>
  <c r="B1025" i="6"/>
  <c r="AE1024" i="6"/>
  <c r="AD1024" i="6"/>
  <c r="W1024" i="6"/>
  <c r="T1024" i="6"/>
  <c r="V1024" i="6" s="1"/>
  <c r="S1024" i="6"/>
  <c r="P1024" i="6"/>
  <c r="O1024" i="6"/>
  <c r="N1024" i="6"/>
  <c r="M1024" i="6"/>
  <c r="B1024" i="6"/>
  <c r="AE1023" i="6"/>
  <c r="AD1023" i="6"/>
  <c r="W1023" i="6"/>
  <c r="V1023" i="6"/>
  <c r="U1023" i="6"/>
  <c r="T1023" i="6"/>
  <c r="S1023" i="6"/>
  <c r="P1023" i="6"/>
  <c r="O1023" i="6"/>
  <c r="N1023" i="6"/>
  <c r="M1023" i="6"/>
  <c r="B1023" i="6"/>
  <c r="AE1022" i="6"/>
  <c r="AD1022" i="6"/>
  <c r="W1022" i="6"/>
  <c r="T1022" i="6"/>
  <c r="V1022" i="6" s="1"/>
  <c r="S1022" i="6"/>
  <c r="P1022" i="6"/>
  <c r="O1022" i="6"/>
  <c r="N1022" i="6"/>
  <c r="M1022" i="6"/>
  <c r="B1022" i="6"/>
  <c r="AE1021" i="6"/>
  <c r="AD1021" i="6"/>
  <c r="W1021" i="6"/>
  <c r="T1021" i="6"/>
  <c r="V1021" i="6" s="1"/>
  <c r="S1021" i="6"/>
  <c r="P1021" i="6"/>
  <c r="O1021" i="6"/>
  <c r="N1021" i="6"/>
  <c r="M1021" i="6"/>
  <c r="B1021" i="6"/>
  <c r="AE1020" i="6"/>
  <c r="AD1020" i="6"/>
  <c r="W1020" i="6"/>
  <c r="V1020" i="6"/>
  <c r="U1020" i="6"/>
  <c r="T1020" i="6"/>
  <c r="S1020" i="6"/>
  <c r="P1020" i="6"/>
  <c r="O1020" i="6"/>
  <c r="N1020" i="6"/>
  <c r="M1020" i="6"/>
  <c r="B1020" i="6"/>
  <c r="AE1019" i="6"/>
  <c r="AD1019" i="6"/>
  <c r="W1019" i="6"/>
  <c r="T1019" i="6"/>
  <c r="V1019" i="6" s="1"/>
  <c r="S1019" i="6"/>
  <c r="P1019" i="6"/>
  <c r="O1019" i="6"/>
  <c r="N1019" i="6"/>
  <c r="M1019" i="6"/>
  <c r="B1019" i="6"/>
  <c r="AE1018" i="6"/>
  <c r="AD1018" i="6"/>
  <c r="W1018" i="6"/>
  <c r="V1018" i="6"/>
  <c r="U1018" i="6"/>
  <c r="T1018" i="6"/>
  <c r="S1018" i="6"/>
  <c r="P1018" i="6"/>
  <c r="O1018" i="6"/>
  <c r="N1018" i="6"/>
  <c r="M1018" i="6"/>
  <c r="B1018" i="6"/>
  <c r="AE1017" i="6"/>
  <c r="AD1017" i="6"/>
  <c r="W1017" i="6"/>
  <c r="T1017" i="6"/>
  <c r="V1017" i="6" s="1"/>
  <c r="S1017" i="6"/>
  <c r="P1017" i="6"/>
  <c r="O1017" i="6"/>
  <c r="N1017" i="6"/>
  <c r="M1017" i="6"/>
  <c r="B1017" i="6"/>
  <c r="AE1016" i="6"/>
  <c r="AD1016" i="6"/>
  <c r="W1016" i="6"/>
  <c r="T1016" i="6"/>
  <c r="V1016" i="6" s="1"/>
  <c r="S1016" i="6"/>
  <c r="P1016" i="6"/>
  <c r="O1016" i="6"/>
  <c r="N1016" i="6"/>
  <c r="M1016" i="6"/>
  <c r="B1016" i="6"/>
  <c r="AE1015" i="6"/>
  <c r="AD1015" i="6"/>
  <c r="W1015" i="6"/>
  <c r="V1015" i="6"/>
  <c r="T1015" i="6"/>
  <c r="U1015" i="6" s="1"/>
  <c r="S1015" i="6"/>
  <c r="P1015" i="6"/>
  <c r="O1015" i="6"/>
  <c r="N1015" i="6"/>
  <c r="M1015" i="6"/>
  <c r="B1015" i="6"/>
  <c r="AE1014" i="6"/>
  <c r="AD1014" i="6"/>
  <c r="W1014" i="6"/>
  <c r="V1014" i="6"/>
  <c r="U1014" i="6"/>
  <c r="T1014" i="6"/>
  <c r="S1014" i="6"/>
  <c r="P1014" i="6"/>
  <c r="O1014" i="6"/>
  <c r="N1014" i="6"/>
  <c r="M1014" i="6"/>
  <c r="B1014" i="6"/>
  <c r="AE1013" i="6"/>
  <c r="AD1013" i="6"/>
  <c r="W1013" i="6"/>
  <c r="V1013" i="6"/>
  <c r="U1013" i="6"/>
  <c r="T1013" i="6"/>
  <c r="S1013" i="6"/>
  <c r="P1013" i="6"/>
  <c r="O1013" i="6"/>
  <c r="N1013" i="6"/>
  <c r="M1013" i="6"/>
  <c r="B1013" i="6"/>
  <c r="AE1012" i="6"/>
  <c r="AD1012" i="6"/>
  <c r="W1012" i="6"/>
  <c r="T1012" i="6"/>
  <c r="V1012" i="6" s="1"/>
  <c r="S1012" i="6"/>
  <c r="P1012" i="6"/>
  <c r="O1012" i="6"/>
  <c r="N1012" i="6"/>
  <c r="M1012" i="6"/>
  <c r="B1012" i="6"/>
  <c r="AE1011" i="6"/>
  <c r="AD1011" i="6"/>
  <c r="W1011" i="6"/>
  <c r="T1011" i="6"/>
  <c r="V1011" i="6" s="1"/>
  <c r="S1011" i="6"/>
  <c r="P1011" i="6"/>
  <c r="O1011" i="6"/>
  <c r="N1011" i="6"/>
  <c r="M1011" i="6"/>
  <c r="B1011" i="6"/>
  <c r="AE1010" i="6"/>
  <c r="AD1010" i="6"/>
  <c r="W1010" i="6"/>
  <c r="T1010" i="6"/>
  <c r="V1010" i="6" s="1"/>
  <c r="S1010" i="6"/>
  <c r="P1010" i="6"/>
  <c r="O1010" i="6"/>
  <c r="N1010" i="6"/>
  <c r="M1010" i="6"/>
  <c r="B1010" i="6"/>
  <c r="AE1009" i="6"/>
  <c r="AD1009" i="6"/>
  <c r="W1009" i="6"/>
  <c r="V1009" i="6"/>
  <c r="U1009" i="6"/>
  <c r="T1009" i="6"/>
  <c r="S1009" i="6"/>
  <c r="P1009" i="6"/>
  <c r="O1009" i="6"/>
  <c r="N1009" i="6"/>
  <c r="M1009" i="6"/>
  <c r="B1009" i="6"/>
  <c r="AE1008" i="6"/>
  <c r="AD1008" i="6"/>
  <c r="W1008" i="6"/>
  <c r="V1008" i="6"/>
  <c r="U1008" i="6"/>
  <c r="T1008" i="6"/>
  <c r="S1008" i="6"/>
  <c r="P1008" i="6"/>
  <c r="O1008" i="6"/>
  <c r="N1008" i="6"/>
  <c r="M1008" i="6"/>
  <c r="B1008" i="6"/>
  <c r="AE1007" i="6"/>
  <c r="AD1007" i="6"/>
  <c r="W1007" i="6"/>
  <c r="T1007" i="6"/>
  <c r="V1007" i="6" s="1"/>
  <c r="S1007" i="6"/>
  <c r="P1007" i="6"/>
  <c r="O1007" i="6"/>
  <c r="N1007" i="6"/>
  <c r="M1007" i="6"/>
  <c r="B1007" i="6"/>
  <c r="AE1006" i="6"/>
  <c r="AD1006" i="6"/>
  <c r="W1006" i="6"/>
  <c r="U1006" i="6"/>
  <c r="T1006" i="6"/>
  <c r="V1006" i="6" s="1"/>
  <c r="S1006" i="6"/>
  <c r="P1006" i="6"/>
  <c r="O1006" i="6"/>
  <c r="N1006" i="6"/>
  <c r="M1006" i="6"/>
  <c r="B1006" i="6"/>
  <c r="AE1005" i="6"/>
  <c r="AD1005" i="6"/>
  <c r="W1005" i="6"/>
  <c r="V1005" i="6"/>
  <c r="T1005" i="6"/>
  <c r="U1005" i="6" s="1"/>
  <c r="S1005" i="6"/>
  <c r="P1005" i="6"/>
  <c r="O1005" i="6"/>
  <c r="N1005" i="6"/>
  <c r="M1005" i="6"/>
  <c r="B1005" i="6"/>
  <c r="AE1004" i="6"/>
  <c r="AD1004" i="6"/>
  <c r="W1004" i="6"/>
  <c r="T1004" i="6"/>
  <c r="V1004" i="6" s="1"/>
  <c r="S1004" i="6"/>
  <c r="P1004" i="6"/>
  <c r="O1004" i="6"/>
  <c r="N1004" i="6"/>
  <c r="M1004" i="6"/>
  <c r="B1004" i="6"/>
  <c r="AE1003" i="6"/>
  <c r="AD1003" i="6"/>
  <c r="W1003" i="6"/>
  <c r="V1003" i="6"/>
  <c r="U1003" i="6"/>
  <c r="T1003" i="6"/>
  <c r="S1003" i="6"/>
  <c r="P1003" i="6"/>
  <c r="O1003" i="6"/>
  <c r="N1003" i="6"/>
  <c r="M1003" i="6"/>
  <c r="B1003" i="6"/>
  <c r="AE1002" i="6"/>
  <c r="AD1002" i="6"/>
  <c r="W1002" i="6"/>
  <c r="T1002" i="6"/>
  <c r="V1002" i="6" s="1"/>
  <c r="S1002" i="6"/>
  <c r="P1002" i="6"/>
  <c r="O1002" i="6"/>
  <c r="N1002" i="6"/>
  <c r="M1002" i="6"/>
  <c r="B1002" i="6"/>
  <c r="AE1001" i="6"/>
  <c r="AD1001" i="6"/>
  <c r="W1001" i="6"/>
  <c r="U1001" i="6"/>
  <c r="T1001" i="6"/>
  <c r="V1001" i="6" s="1"/>
  <c r="S1001" i="6"/>
  <c r="P1001" i="6"/>
  <c r="O1001" i="6"/>
  <c r="N1001" i="6"/>
  <c r="M1001" i="6"/>
  <c r="B1001" i="6"/>
  <c r="AE1000" i="6"/>
  <c r="AD1000" i="6"/>
  <c r="W1000" i="6"/>
  <c r="T1000" i="6"/>
  <c r="V1000" i="6" s="1"/>
  <c r="S1000" i="6"/>
  <c r="P1000" i="6"/>
  <c r="O1000" i="6"/>
  <c r="N1000" i="6"/>
  <c r="M1000" i="6"/>
  <c r="B1000" i="6"/>
  <c r="AE999" i="6"/>
  <c r="AD999" i="6"/>
  <c r="W999" i="6"/>
  <c r="V999" i="6"/>
  <c r="U999" i="6"/>
  <c r="T999" i="6"/>
  <c r="S999" i="6"/>
  <c r="P999" i="6"/>
  <c r="O999" i="6"/>
  <c r="N999" i="6"/>
  <c r="M999" i="6"/>
  <c r="B999" i="6"/>
  <c r="AE998" i="6"/>
  <c r="AD998" i="6"/>
  <c r="W998" i="6"/>
  <c r="V998" i="6"/>
  <c r="U998" i="6"/>
  <c r="T998" i="6"/>
  <c r="S998" i="6"/>
  <c r="P998" i="6"/>
  <c r="O998" i="6"/>
  <c r="N998" i="6"/>
  <c r="M998" i="6"/>
  <c r="B998" i="6"/>
  <c r="AE997" i="6"/>
  <c r="AD997" i="6"/>
  <c r="W997" i="6"/>
  <c r="T997" i="6"/>
  <c r="V997" i="6" s="1"/>
  <c r="S997" i="6"/>
  <c r="P997" i="6"/>
  <c r="O997" i="6"/>
  <c r="N997" i="6"/>
  <c r="M997" i="6"/>
  <c r="B997" i="6"/>
  <c r="AE996" i="6"/>
  <c r="AD996" i="6"/>
  <c r="W996" i="6"/>
  <c r="T996" i="6"/>
  <c r="V996" i="6" s="1"/>
  <c r="S996" i="6"/>
  <c r="P996" i="6"/>
  <c r="O996" i="6"/>
  <c r="N996" i="6"/>
  <c r="M996" i="6"/>
  <c r="B996" i="6"/>
  <c r="AE995" i="6"/>
  <c r="AD995" i="6"/>
  <c r="W995" i="6"/>
  <c r="T995" i="6"/>
  <c r="V995" i="6" s="1"/>
  <c r="S995" i="6"/>
  <c r="P995" i="6"/>
  <c r="O995" i="6"/>
  <c r="N995" i="6"/>
  <c r="M995" i="6"/>
  <c r="B995" i="6"/>
  <c r="AE994" i="6"/>
  <c r="AD994" i="6"/>
  <c r="W994" i="6"/>
  <c r="V994" i="6"/>
  <c r="T994" i="6"/>
  <c r="U994" i="6" s="1"/>
  <c r="S994" i="6"/>
  <c r="P994" i="6"/>
  <c r="O994" i="6"/>
  <c r="N994" i="6"/>
  <c r="M994" i="6"/>
  <c r="B994" i="6"/>
  <c r="AE993" i="6"/>
  <c r="AD993" i="6"/>
  <c r="W993" i="6"/>
  <c r="V993" i="6"/>
  <c r="U993" i="6"/>
  <c r="T993" i="6"/>
  <c r="S993" i="6"/>
  <c r="P993" i="6"/>
  <c r="O993" i="6"/>
  <c r="N993" i="6"/>
  <c r="M993" i="6"/>
  <c r="B993" i="6"/>
  <c r="AE992" i="6"/>
  <c r="AD992" i="6"/>
  <c r="W992" i="6"/>
  <c r="T992" i="6"/>
  <c r="V992" i="6" s="1"/>
  <c r="S992" i="6"/>
  <c r="P992" i="6"/>
  <c r="O992" i="6"/>
  <c r="N992" i="6"/>
  <c r="M992" i="6"/>
  <c r="B992" i="6"/>
  <c r="AE991" i="6"/>
  <c r="AD991" i="6"/>
  <c r="W991" i="6"/>
  <c r="U991" i="6"/>
  <c r="T991" i="6"/>
  <c r="V991" i="6" s="1"/>
  <c r="S991" i="6"/>
  <c r="P991" i="6"/>
  <c r="O991" i="6"/>
  <c r="N991" i="6"/>
  <c r="M991" i="6"/>
  <c r="B991" i="6"/>
  <c r="AE990" i="6"/>
  <c r="AD990" i="6"/>
  <c r="W990" i="6"/>
  <c r="T990" i="6"/>
  <c r="V990" i="6" s="1"/>
  <c r="S990" i="6"/>
  <c r="P990" i="6"/>
  <c r="O990" i="6"/>
  <c r="N990" i="6"/>
  <c r="M990" i="6"/>
  <c r="B990" i="6"/>
  <c r="AE989" i="6"/>
  <c r="AD989" i="6"/>
  <c r="W989" i="6"/>
  <c r="T989" i="6"/>
  <c r="V989" i="6" s="1"/>
  <c r="S989" i="6"/>
  <c r="P989" i="6"/>
  <c r="O989" i="6"/>
  <c r="N989" i="6"/>
  <c r="M989" i="6"/>
  <c r="B989" i="6"/>
  <c r="AE988" i="6"/>
  <c r="AD988" i="6"/>
  <c r="W988" i="6"/>
  <c r="V988" i="6"/>
  <c r="U988" i="6"/>
  <c r="T988" i="6"/>
  <c r="S988" i="6"/>
  <c r="P988" i="6"/>
  <c r="O988" i="6"/>
  <c r="N988" i="6"/>
  <c r="M988" i="6"/>
  <c r="B988" i="6"/>
  <c r="AE987" i="6"/>
  <c r="AD987" i="6"/>
  <c r="W987" i="6"/>
  <c r="T987" i="6"/>
  <c r="V987" i="6" s="1"/>
  <c r="S987" i="6"/>
  <c r="P987" i="6"/>
  <c r="O987" i="6"/>
  <c r="N987" i="6"/>
  <c r="M987" i="6"/>
  <c r="B987" i="6"/>
  <c r="AE986" i="6"/>
  <c r="AD986" i="6"/>
  <c r="W986" i="6"/>
  <c r="T986" i="6"/>
  <c r="V986" i="6" s="1"/>
  <c r="S986" i="6"/>
  <c r="P986" i="6"/>
  <c r="O986" i="6"/>
  <c r="N986" i="6"/>
  <c r="M986" i="6"/>
  <c r="B986" i="6"/>
  <c r="AE985" i="6"/>
  <c r="AD985" i="6"/>
  <c r="W985" i="6"/>
  <c r="V985" i="6"/>
  <c r="U985" i="6"/>
  <c r="T985" i="6"/>
  <c r="S985" i="6"/>
  <c r="P985" i="6"/>
  <c r="O985" i="6"/>
  <c r="N985" i="6"/>
  <c r="M985" i="6"/>
  <c r="B985" i="6"/>
  <c r="AE984" i="6"/>
  <c r="AD984" i="6"/>
  <c r="W984" i="6"/>
  <c r="V984" i="6"/>
  <c r="T984" i="6"/>
  <c r="U984" i="6" s="1"/>
  <c r="S984" i="6"/>
  <c r="P984" i="6"/>
  <c r="O984" i="6"/>
  <c r="N984" i="6"/>
  <c r="M984" i="6"/>
  <c r="B984" i="6"/>
  <c r="AE983" i="6"/>
  <c r="AD983" i="6"/>
  <c r="W983" i="6"/>
  <c r="V983" i="6"/>
  <c r="U983" i="6"/>
  <c r="T983" i="6"/>
  <c r="S983" i="6"/>
  <c r="P983" i="6"/>
  <c r="O983" i="6"/>
  <c r="N983" i="6"/>
  <c r="M983" i="6"/>
  <c r="B983" i="6"/>
  <c r="AE982" i="6"/>
  <c r="AD982" i="6"/>
  <c r="W982" i="6"/>
  <c r="T982" i="6"/>
  <c r="V982" i="6" s="1"/>
  <c r="S982" i="6"/>
  <c r="P982" i="6"/>
  <c r="O982" i="6"/>
  <c r="N982" i="6"/>
  <c r="M982" i="6"/>
  <c r="B982" i="6"/>
  <c r="AE981" i="6"/>
  <c r="AD981" i="6"/>
  <c r="W981" i="6"/>
  <c r="T981" i="6"/>
  <c r="V981" i="6" s="1"/>
  <c r="S981" i="6"/>
  <c r="P981" i="6"/>
  <c r="O981" i="6"/>
  <c r="N981" i="6"/>
  <c r="M981" i="6"/>
  <c r="B981" i="6"/>
  <c r="AE980" i="6"/>
  <c r="AD980" i="6"/>
  <c r="W980" i="6"/>
  <c r="V980" i="6"/>
  <c r="U980" i="6"/>
  <c r="T980" i="6"/>
  <c r="S980" i="6"/>
  <c r="P980" i="6"/>
  <c r="O980" i="6"/>
  <c r="N980" i="6"/>
  <c r="M980" i="6"/>
  <c r="B980" i="6"/>
  <c r="AE979" i="6"/>
  <c r="AD979" i="6"/>
  <c r="W979" i="6"/>
  <c r="T979" i="6"/>
  <c r="V979" i="6" s="1"/>
  <c r="S979" i="6"/>
  <c r="P979" i="6"/>
  <c r="O979" i="6"/>
  <c r="N979" i="6"/>
  <c r="M979" i="6"/>
  <c r="B979" i="6"/>
  <c r="AE978" i="6"/>
  <c r="AD978" i="6"/>
  <c r="W978" i="6"/>
  <c r="V978" i="6"/>
  <c r="U978" i="6"/>
  <c r="T978" i="6"/>
  <c r="S978" i="6"/>
  <c r="P978" i="6"/>
  <c r="O978" i="6"/>
  <c r="N978" i="6"/>
  <c r="M978" i="6"/>
  <c r="B978" i="6"/>
  <c r="AE977" i="6"/>
  <c r="AD977" i="6"/>
  <c r="W977" i="6"/>
  <c r="T977" i="6"/>
  <c r="V977" i="6" s="1"/>
  <c r="S977" i="6"/>
  <c r="P977" i="6"/>
  <c r="O977" i="6"/>
  <c r="N977" i="6"/>
  <c r="M977" i="6"/>
  <c r="B977" i="6"/>
  <c r="AE976" i="6"/>
  <c r="AD976" i="6"/>
  <c r="W976" i="6"/>
  <c r="T976" i="6"/>
  <c r="V976" i="6" s="1"/>
  <c r="S976" i="6"/>
  <c r="P976" i="6"/>
  <c r="O976" i="6"/>
  <c r="N976" i="6"/>
  <c r="M976" i="6"/>
  <c r="B976" i="6"/>
  <c r="AE975" i="6"/>
  <c r="AD975" i="6"/>
  <c r="W975" i="6"/>
  <c r="T975" i="6"/>
  <c r="V975" i="6" s="1"/>
  <c r="S975" i="6"/>
  <c r="P975" i="6"/>
  <c r="O975" i="6"/>
  <c r="N975" i="6"/>
  <c r="M975" i="6"/>
  <c r="B975" i="6"/>
  <c r="AE974" i="6"/>
  <c r="AD974" i="6"/>
  <c r="W974" i="6"/>
  <c r="T974" i="6"/>
  <c r="V974" i="6" s="1"/>
  <c r="S974" i="6"/>
  <c r="P974" i="6"/>
  <c r="O974" i="6"/>
  <c r="N974" i="6"/>
  <c r="M974" i="6"/>
  <c r="B974" i="6"/>
  <c r="AE973" i="6"/>
  <c r="AD973" i="6"/>
  <c r="W973" i="6"/>
  <c r="V973" i="6"/>
  <c r="U973" i="6"/>
  <c r="T973" i="6"/>
  <c r="S973" i="6"/>
  <c r="P973" i="6"/>
  <c r="O973" i="6"/>
  <c r="N973" i="6"/>
  <c r="M973" i="6"/>
  <c r="B973" i="6"/>
  <c r="AE972" i="6"/>
  <c r="AD972" i="6"/>
  <c r="W972" i="6"/>
  <c r="T972" i="6"/>
  <c r="V972" i="6" s="1"/>
  <c r="S972" i="6"/>
  <c r="P972" i="6"/>
  <c r="O972" i="6"/>
  <c r="N972" i="6"/>
  <c r="M972" i="6"/>
  <c r="B972" i="6"/>
  <c r="AE971" i="6"/>
  <c r="AD971" i="6"/>
  <c r="W971" i="6"/>
  <c r="T971" i="6"/>
  <c r="V971" i="6" s="1"/>
  <c r="S971" i="6"/>
  <c r="P971" i="6"/>
  <c r="O971" i="6"/>
  <c r="N971" i="6"/>
  <c r="M971" i="6"/>
  <c r="B971" i="6"/>
  <c r="AE970" i="6"/>
  <c r="AD970" i="6"/>
  <c r="W970" i="6"/>
  <c r="V970" i="6"/>
  <c r="U970" i="6"/>
  <c r="T970" i="6"/>
  <c r="S970" i="6"/>
  <c r="P970" i="6"/>
  <c r="O970" i="6"/>
  <c r="N970" i="6"/>
  <c r="M970" i="6"/>
  <c r="B970" i="6"/>
  <c r="AE969" i="6"/>
  <c r="AD969" i="6"/>
  <c r="W969" i="6"/>
  <c r="T969" i="6"/>
  <c r="V969" i="6" s="1"/>
  <c r="S969" i="6"/>
  <c r="P969" i="6"/>
  <c r="O969" i="6"/>
  <c r="N969" i="6"/>
  <c r="M969" i="6"/>
  <c r="B969" i="6"/>
  <c r="AE968" i="6"/>
  <c r="AD968" i="6"/>
  <c r="W968" i="6"/>
  <c r="V968" i="6"/>
  <c r="U968" i="6"/>
  <c r="T968" i="6"/>
  <c r="S968" i="6"/>
  <c r="P968" i="6"/>
  <c r="O968" i="6"/>
  <c r="N968" i="6"/>
  <c r="M968" i="6"/>
  <c r="B968" i="6"/>
  <c r="AE967" i="6"/>
  <c r="AD967" i="6"/>
  <c r="W967" i="6"/>
  <c r="T967" i="6"/>
  <c r="V967" i="6" s="1"/>
  <c r="S967" i="6"/>
  <c r="P967" i="6"/>
  <c r="O967" i="6"/>
  <c r="N967" i="6"/>
  <c r="M967" i="6"/>
  <c r="B967" i="6"/>
  <c r="AE966" i="6"/>
  <c r="AD966" i="6"/>
  <c r="W966" i="6"/>
  <c r="T966" i="6"/>
  <c r="V966" i="6" s="1"/>
  <c r="S966" i="6"/>
  <c r="P966" i="6"/>
  <c r="O966" i="6"/>
  <c r="N966" i="6"/>
  <c r="M966" i="6"/>
  <c r="B966" i="6"/>
  <c r="AE965" i="6"/>
  <c r="AD965" i="6"/>
  <c r="W965" i="6"/>
  <c r="V965" i="6"/>
  <c r="T965" i="6"/>
  <c r="U965" i="6" s="1"/>
  <c r="S965" i="6"/>
  <c r="P965" i="6"/>
  <c r="O965" i="6"/>
  <c r="N965" i="6"/>
  <c r="M965" i="6"/>
  <c r="B965" i="6"/>
  <c r="AE964" i="6"/>
  <c r="AD964" i="6"/>
  <c r="W964" i="6"/>
  <c r="V964" i="6"/>
  <c r="U964" i="6"/>
  <c r="T964" i="6"/>
  <c r="S964" i="6"/>
  <c r="P964" i="6"/>
  <c r="O964" i="6"/>
  <c r="N964" i="6"/>
  <c r="M964" i="6"/>
  <c r="B964" i="6"/>
  <c r="AE963" i="6"/>
  <c r="AD963" i="6"/>
  <c r="W963" i="6"/>
  <c r="V963" i="6"/>
  <c r="U963" i="6"/>
  <c r="T963" i="6"/>
  <c r="S963" i="6"/>
  <c r="P963" i="6"/>
  <c r="O963" i="6"/>
  <c r="N963" i="6"/>
  <c r="M963" i="6"/>
  <c r="B963" i="6"/>
  <c r="AE962" i="6"/>
  <c r="AD962" i="6"/>
  <c r="W962" i="6"/>
  <c r="T962" i="6"/>
  <c r="V962" i="6" s="1"/>
  <c r="S962" i="6"/>
  <c r="P962" i="6"/>
  <c r="O962" i="6"/>
  <c r="N962" i="6"/>
  <c r="M962" i="6"/>
  <c r="B962" i="6"/>
  <c r="AE961" i="6"/>
  <c r="AD961" i="6"/>
  <c r="W961" i="6"/>
  <c r="T961" i="6"/>
  <c r="V961" i="6" s="1"/>
  <c r="S961" i="6"/>
  <c r="P961" i="6"/>
  <c r="O961" i="6"/>
  <c r="N961" i="6"/>
  <c r="M961" i="6"/>
  <c r="B961" i="6"/>
  <c r="AE960" i="6"/>
  <c r="AD960" i="6"/>
  <c r="W960" i="6"/>
  <c r="T960" i="6"/>
  <c r="V960" i="6" s="1"/>
  <c r="S960" i="6"/>
  <c r="P960" i="6"/>
  <c r="O960" i="6"/>
  <c r="N960" i="6"/>
  <c r="M960" i="6"/>
  <c r="B960" i="6"/>
  <c r="AE959" i="6"/>
  <c r="AD959" i="6"/>
  <c r="W959" i="6"/>
  <c r="V959" i="6"/>
  <c r="U959" i="6"/>
  <c r="T959" i="6"/>
  <c r="S959" i="6"/>
  <c r="P959" i="6"/>
  <c r="O959" i="6"/>
  <c r="N959" i="6"/>
  <c r="M959" i="6"/>
  <c r="B959" i="6"/>
  <c r="AE958" i="6"/>
  <c r="AD958" i="6"/>
  <c r="W958" i="6"/>
  <c r="V958" i="6"/>
  <c r="U958" i="6"/>
  <c r="T958" i="6"/>
  <c r="S958" i="6"/>
  <c r="P958" i="6"/>
  <c r="O958" i="6"/>
  <c r="N958" i="6"/>
  <c r="M958" i="6"/>
  <c r="B958" i="6"/>
  <c r="AE957" i="6"/>
  <c r="AD957" i="6"/>
  <c r="W957" i="6"/>
  <c r="T957" i="6"/>
  <c r="V957" i="6" s="1"/>
  <c r="S957" i="6"/>
  <c r="P957" i="6"/>
  <c r="O957" i="6"/>
  <c r="N957" i="6"/>
  <c r="M957" i="6"/>
  <c r="B957" i="6"/>
  <c r="AE956" i="6"/>
  <c r="AD956" i="6"/>
  <c r="W956" i="6"/>
  <c r="U956" i="6"/>
  <c r="T956" i="6"/>
  <c r="V956" i="6" s="1"/>
  <c r="S956" i="6"/>
  <c r="P956" i="6"/>
  <c r="O956" i="6"/>
  <c r="N956" i="6"/>
  <c r="M956" i="6"/>
  <c r="B956" i="6"/>
  <c r="AE955" i="6"/>
  <c r="AD955" i="6"/>
  <c r="W955" i="6"/>
  <c r="V955" i="6"/>
  <c r="T955" i="6"/>
  <c r="U955" i="6" s="1"/>
  <c r="S955" i="6"/>
  <c r="P955" i="6"/>
  <c r="O955" i="6"/>
  <c r="N955" i="6"/>
  <c r="M955" i="6"/>
  <c r="B955" i="6"/>
  <c r="AE954" i="6"/>
  <c r="AD954" i="6"/>
  <c r="W954" i="6"/>
  <c r="T954" i="6"/>
  <c r="V954" i="6" s="1"/>
  <c r="S954" i="6"/>
  <c r="P954" i="6"/>
  <c r="O954" i="6"/>
  <c r="N954" i="6"/>
  <c r="M954" i="6"/>
  <c r="B954" i="6"/>
  <c r="AE953" i="6"/>
  <c r="AD953" i="6"/>
  <c r="W953" i="6"/>
  <c r="V953" i="6"/>
  <c r="U953" i="6"/>
  <c r="T953" i="6"/>
  <c r="S953" i="6"/>
  <c r="P953" i="6"/>
  <c r="O953" i="6"/>
  <c r="N953" i="6"/>
  <c r="M953" i="6"/>
  <c r="B953" i="6"/>
  <c r="AE952" i="6"/>
  <c r="AD952" i="6"/>
  <c r="W952" i="6"/>
  <c r="T952" i="6"/>
  <c r="V952" i="6" s="1"/>
  <c r="S952" i="6"/>
  <c r="P952" i="6"/>
  <c r="O952" i="6"/>
  <c r="N952" i="6"/>
  <c r="M952" i="6"/>
  <c r="B952" i="6"/>
  <c r="AE951" i="6"/>
  <c r="AD951" i="6"/>
  <c r="W951" i="6"/>
  <c r="U951" i="6"/>
  <c r="T951" i="6"/>
  <c r="V951" i="6" s="1"/>
  <c r="S951" i="6"/>
  <c r="P951" i="6"/>
  <c r="O951" i="6"/>
  <c r="N951" i="6"/>
  <c r="M951" i="6"/>
  <c r="B951" i="6"/>
  <c r="AE950" i="6"/>
  <c r="AD950" i="6"/>
  <c r="W950" i="6"/>
  <c r="T950" i="6"/>
  <c r="V950" i="6" s="1"/>
  <c r="S950" i="6"/>
  <c r="P950" i="6"/>
  <c r="O950" i="6"/>
  <c r="N950" i="6"/>
  <c r="M950" i="6"/>
  <c r="B950" i="6"/>
  <c r="AE949" i="6"/>
  <c r="AD949" i="6"/>
  <c r="W949" i="6"/>
  <c r="V949" i="6"/>
  <c r="U949" i="6"/>
  <c r="T949" i="6"/>
  <c r="S949" i="6"/>
  <c r="P949" i="6"/>
  <c r="O949" i="6"/>
  <c r="N949" i="6"/>
  <c r="M949" i="6"/>
  <c r="B949" i="6"/>
  <c r="AE948" i="6"/>
  <c r="AD948" i="6"/>
  <c r="W948" i="6"/>
  <c r="V948" i="6"/>
  <c r="U948" i="6"/>
  <c r="T948" i="6"/>
  <c r="S948" i="6"/>
  <c r="P948" i="6"/>
  <c r="O948" i="6"/>
  <c r="N948" i="6"/>
  <c r="M948" i="6"/>
  <c r="B948" i="6"/>
  <c r="AE947" i="6"/>
  <c r="AD947" i="6"/>
  <c r="W947" i="6"/>
  <c r="T947" i="6"/>
  <c r="V947" i="6" s="1"/>
  <c r="S947" i="6"/>
  <c r="P947" i="6"/>
  <c r="O947" i="6"/>
  <c r="N947" i="6"/>
  <c r="M947" i="6"/>
  <c r="B947" i="6"/>
  <c r="AE946" i="6"/>
  <c r="AD946" i="6"/>
  <c r="W946" i="6"/>
  <c r="T946" i="6"/>
  <c r="V946" i="6" s="1"/>
  <c r="S946" i="6"/>
  <c r="P946" i="6"/>
  <c r="O946" i="6"/>
  <c r="N946" i="6"/>
  <c r="M946" i="6"/>
  <c r="B946" i="6"/>
  <c r="AE945" i="6"/>
  <c r="AD945" i="6"/>
  <c r="W945" i="6"/>
  <c r="T945" i="6"/>
  <c r="V945" i="6" s="1"/>
  <c r="S945" i="6"/>
  <c r="P945" i="6"/>
  <c r="O945" i="6"/>
  <c r="N945" i="6"/>
  <c r="M945" i="6"/>
  <c r="B945" i="6"/>
  <c r="AE944" i="6"/>
  <c r="AD944" i="6"/>
  <c r="W944" i="6"/>
  <c r="V944" i="6"/>
  <c r="T944" i="6"/>
  <c r="U944" i="6" s="1"/>
  <c r="S944" i="6"/>
  <c r="P944" i="6"/>
  <c r="O944" i="6"/>
  <c r="N944" i="6"/>
  <c r="M944" i="6"/>
  <c r="B944" i="6"/>
  <c r="AE943" i="6"/>
  <c r="AD943" i="6"/>
  <c r="W943" i="6"/>
  <c r="V943" i="6"/>
  <c r="U943" i="6"/>
  <c r="T943" i="6"/>
  <c r="S943" i="6"/>
  <c r="P943" i="6"/>
  <c r="O943" i="6"/>
  <c r="N943" i="6"/>
  <c r="M943" i="6"/>
  <c r="B943" i="6"/>
  <c r="AE942" i="6"/>
  <c r="AD942" i="6"/>
  <c r="W942" i="6"/>
  <c r="T942" i="6"/>
  <c r="V942" i="6" s="1"/>
  <c r="S942" i="6"/>
  <c r="P942" i="6"/>
  <c r="O942" i="6"/>
  <c r="N942" i="6"/>
  <c r="M942" i="6"/>
  <c r="B942" i="6"/>
  <c r="AE941" i="6"/>
  <c r="AD941" i="6"/>
  <c r="W941" i="6"/>
  <c r="U941" i="6"/>
  <c r="T941" i="6"/>
  <c r="V941" i="6" s="1"/>
  <c r="S941" i="6"/>
  <c r="P941" i="6"/>
  <c r="O941" i="6"/>
  <c r="N941" i="6"/>
  <c r="M941" i="6"/>
  <c r="B941" i="6"/>
  <c r="AE940" i="6"/>
  <c r="AD940" i="6"/>
  <c r="W940" i="6"/>
  <c r="T940" i="6"/>
  <c r="V940" i="6" s="1"/>
  <c r="S940" i="6"/>
  <c r="P940" i="6"/>
  <c r="O940" i="6"/>
  <c r="N940" i="6"/>
  <c r="M940" i="6"/>
  <c r="B940" i="6"/>
  <c r="AE939" i="6"/>
  <c r="AD939" i="6"/>
  <c r="W939" i="6"/>
  <c r="T939" i="6"/>
  <c r="V939" i="6" s="1"/>
  <c r="S939" i="6"/>
  <c r="P939" i="6"/>
  <c r="O939" i="6"/>
  <c r="N939" i="6"/>
  <c r="M939" i="6"/>
  <c r="B939" i="6"/>
  <c r="AE938" i="6"/>
  <c r="AD938" i="6"/>
  <c r="W938" i="6"/>
  <c r="V938" i="6"/>
  <c r="U938" i="6"/>
  <c r="T938" i="6"/>
  <c r="S938" i="6"/>
  <c r="P938" i="6"/>
  <c r="O938" i="6"/>
  <c r="N938" i="6"/>
  <c r="M938" i="6"/>
  <c r="B938" i="6"/>
  <c r="AE937" i="6"/>
  <c r="AD937" i="6"/>
  <c r="W937" i="6"/>
  <c r="T937" i="6"/>
  <c r="V937" i="6" s="1"/>
  <c r="S937" i="6"/>
  <c r="P937" i="6"/>
  <c r="O937" i="6"/>
  <c r="N937" i="6"/>
  <c r="M937" i="6"/>
  <c r="B937" i="6"/>
  <c r="AE936" i="6"/>
  <c r="AD936" i="6"/>
  <c r="W936" i="6"/>
  <c r="T936" i="6"/>
  <c r="V936" i="6" s="1"/>
  <c r="S936" i="6"/>
  <c r="P936" i="6"/>
  <c r="O936" i="6"/>
  <c r="N936" i="6"/>
  <c r="M936" i="6"/>
  <c r="B936" i="6"/>
  <c r="AE935" i="6"/>
  <c r="AD935" i="6"/>
  <c r="W935" i="6"/>
  <c r="V935" i="6"/>
  <c r="U935" i="6"/>
  <c r="T935" i="6"/>
  <c r="S935" i="6"/>
  <c r="P935" i="6"/>
  <c r="O935" i="6"/>
  <c r="N935" i="6"/>
  <c r="M935" i="6"/>
  <c r="B935" i="6"/>
  <c r="AE934" i="6"/>
  <c r="AD934" i="6"/>
  <c r="W934" i="6"/>
  <c r="V934" i="6"/>
  <c r="T934" i="6"/>
  <c r="U934" i="6" s="1"/>
  <c r="S934" i="6"/>
  <c r="P934" i="6"/>
  <c r="O934" i="6"/>
  <c r="N934" i="6"/>
  <c r="M934" i="6"/>
  <c r="B934" i="6"/>
  <c r="AE933" i="6"/>
  <c r="AD933" i="6"/>
  <c r="W933" i="6"/>
  <c r="V933" i="6"/>
  <c r="U933" i="6"/>
  <c r="T933" i="6"/>
  <c r="S933" i="6"/>
  <c r="P933" i="6"/>
  <c r="O933" i="6"/>
  <c r="N933" i="6"/>
  <c r="M933" i="6"/>
  <c r="B933" i="6"/>
  <c r="AE932" i="6"/>
  <c r="AD932" i="6"/>
  <c r="W932" i="6"/>
  <c r="T932" i="6"/>
  <c r="V932" i="6" s="1"/>
  <c r="S932" i="6"/>
  <c r="P932" i="6"/>
  <c r="O932" i="6"/>
  <c r="N932" i="6"/>
  <c r="M932" i="6"/>
  <c r="B932" i="6"/>
  <c r="AE931" i="6"/>
  <c r="AD931" i="6"/>
  <c r="W931" i="6"/>
  <c r="T931" i="6"/>
  <c r="V931" i="6" s="1"/>
  <c r="S931" i="6"/>
  <c r="P931" i="6"/>
  <c r="O931" i="6"/>
  <c r="N931" i="6"/>
  <c r="M931" i="6"/>
  <c r="B931" i="6"/>
  <c r="AE930" i="6"/>
  <c r="AD930" i="6"/>
  <c r="W930" i="6"/>
  <c r="V930" i="6"/>
  <c r="U930" i="6"/>
  <c r="T930" i="6"/>
  <c r="S930" i="6"/>
  <c r="P930" i="6"/>
  <c r="O930" i="6"/>
  <c r="N930" i="6"/>
  <c r="M930" i="6"/>
  <c r="B930" i="6"/>
  <c r="AE929" i="6"/>
  <c r="AD929" i="6"/>
  <c r="W929" i="6"/>
  <c r="T929" i="6"/>
  <c r="V929" i="6" s="1"/>
  <c r="S929" i="6"/>
  <c r="P929" i="6"/>
  <c r="O929" i="6"/>
  <c r="N929" i="6"/>
  <c r="M929" i="6"/>
  <c r="B929" i="6"/>
  <c r="AE928" i="6"/>
  <c r="AD928" i="6"/>
  <c r="W928" i="6"/>
  <c r="V928" i="6"/>
  <c r="U928" i="6"/>
  <c r="T928" i="6"/>
  <c r="S928" i="6"/>
  <c r="P928" i="6"/>
  <c r="O928" i="6"/>
  <c r="N928" i="6"/>
  <c r="M928" i="6"/>
  <c r="B928" i="6"/>
  <c r="AE927" i="6"/>
  <c r="AD927" i="6"/>
  <c r="W927" i="6"/>
  <c r="T927" i="6"/>
  <c r="V927" i="6" s="1"/>
  <c r="S927" i="6"/>
  <c r="P927" i="6"/>
  <c r="O927" i="6"/>
  <c r="N927" i="6"/>
  <c r="M927" i="6"/>
  <c r="B927" i="6"/>
  <c r="AE926" i="6"/>
  <c r="AD926" i="6"/>
  <c r="W926" i="6"/>
  <c r="T926" i="6"/>
  <c r="V926" i="6" s="1"/>
  <c r="S926" i="6"/>
  <c r="P926" i="6"/>
  <c r="O926" i="6"/>
  <c r="N926" i="6"/>
  <c r="M926" i="6"/>
  <c r="B926" i="6"/>
  <c r="AE925" i="6"/>
  <c r="AD925" i="6"/>
  <c r="W925" i="6"/>
  <c r="T925" i="6"/>
  <c r="V925" i="6" s="1"/>
  <c r="S925" i="6"/>
  <c r="P925" i="6"/>
  <c r="O925" i="6"/>
  <c r="N925" i="6"/>
  <c r="M925" i="6"/>
  <c r="B925" i="6"/>
  <c r="AE924" i="6"/>
  <c r="AD924" i="6"/>
  <c r="W924" i="6"/>
  <c r="T924" i="6"/>
  <c r="V924" i="6" s="1"/>
  <c r="S924" i="6"/>
  <c r="P924" i="6"/>
  <c r="O924" i="6"/>
  <c r="N924" i="6"/>
  <c r="M924" i="6"/>
  <c r="B924" i="6"/>
  <c r="AE923" i="6"/>
  <c r="AD923" i="6"/>
  <c r="W923" i="6"/>
  <c r="V923" i="6"/>
  <c r="U923" i="6"/>
  <c r="T923" i="6"/>
  <c r="S923" i="6"/>
  <c r="P923" i="6"/>
  <c r="O923" i="6"/>
  <c r="N923" i="6"/>
  <c r="M923" i="6"/>
  <c r="B923" i="6"/>
  <c r="AE922" i="6"/>
  <c r="AD922" i="6"/>
  <c r="W922" i="6"/>
  <c r="T922" i="6"/>
  <c r="V922" i="6" s="1"/>
  <c r="S922" i="6"/>
  <c r="P922" i="6"/>
  <c r="O922" i="6"/>
  <c r="N922" i="6"/>
  <c r="M922" i="6"/>
  <c r="B922" i="6"/>
  <c r="AE921" i="6"/>
  <c r="AD921" i="6"/>
  <c r="W921" i="6"/>
  <c r="T921" i="6"/>
  <c r="V921" i="6" s="1"/>
  <c r="S921" i="6"/>
  <c r="P921" i="6"/>
  <c r="O921" i="6"/>
  <c r="N921" i="6"/>
  <c r="M921" i="6"/>
  <c r="B921" i="6"/>
  <c r="AE920" i="6"/>
  <c r="AD920" i="6"/>
  <c r="W920" i="6"/>
  <c r="V920" i="6"/>
  <c r="U920" i="6"/>
  <c r="T920" i="6"/>
  <c r="S920" i="6"/>
  <c r="P920" i="6"/>
  <c r="O920" i="6"/>
  <c r="N920" i="6"/>
  <c r="M920" i="6"/>
  <c r="B920" i="6"/>
  <c r="AE919" i="6"/>
  <c r="AD919" i="6"/>
  <c r="W919" i="6"/>
  <c r="T919" i="6"/>
  <c r="V919" i="6" s="1"/>
  <c r="S919" i="6"/>
  <c r="P919" i="6"/>
  <c r="O919" i="6"/>
  <c r="N919" i="6"/>
  <c r="M919" i="6"/>
  <c r="B919" i="6"/>
  <c r="AE918" i="6"/>
  <c r="AD918" i="6"/>
  <c r="W918" i="6"/>
  <c r="V918" i="6"/>
  <c r="U918" i="6"/>
  <c r="T918" i="6"/>
  <c r="S918" i="6"/>
  <c r="P918" i="6"/>
  <c r="O918" i="6"/>
  <c r="N918" i="6"/>
  <c r="M918" i="6"/>
  <c r="B918" i="6"/>
  <c r="AE917" i="6"/>
  <c r="AD917" i="6"/>
  <c r="W917" i="6"/>
  <c r="T917" i="6"/>
  <c r="V917" i="6" s="1"/>
  <c r="S917" i="6"/>
  <c r="P917" i="6"/>
  <c r="O917" i="6"/>
  <c r="N917" i="6"/>
  <c r="M917" i="6"/>
  <c r="B917" i="6"/>
  <c r="AE916" i="6"/>
  <c r="AD916" i="6"/>
  <c r="W916" i="6"/>
  <c r="T916" i="6"/>
  <c r="V916" i="6" s="1"/>
  <c r="S916" i="6"/>
  <c r="P916" i="6"/>
  <c r="O916" i="6"/>
  <c r="N916" i="6"/>
  <c r="M916" i="6"/>
  <c r="B916" i="6"/>
  <c r="AE915" i="6"/>
  <c r="AD915" i="6"/>
  <c r="W915" i="6"/>
  <c r="V915" i="6"/>
  <c r="T915" i="6"/>
  <c r="U915" i="6" s="1"/>
  <c r="S915" i="6"/>
  <c r="P915" i="6"/>
  <c r="O915" i="6"/>
  <c r="N915" i="6"/>
  <c r="M915" i="6"/>
  <c r="B915" i="6"/>
  <c r="AE914" i="6"/>
  <c r="AD914" i="6"/>
  <c r="W914" i="6"/>
  <c r="V914" i="6"/>
  <c r="U914" i="6"/>
  <c r="T914" i="6"/>
  <c r="S914" i="6"/>
  <c r="P914" i="6"/>
  <c r="O914" i="6"/>
  <c r="N914" i="6"/>
  <c r="M914" i="6"/>
  <c r="B914" i="6"/>
  <c r="AE913" i="6"/>
  <c r="AD913" i="6"/>
  <c r="W913" i="6"/>
  <c r="V913" i="6"/>
  <c r="U913" i="6"/>
  <c r="T913" i="6"/>
  <c r="S913" i="6"/>
  <c r="P913" i="6"/>
  <c r="O913" i="6"/>
  <c r="N913" i="6"/>
  <c r="M913" i="6"/>
  <c r="B913" i="6"/>
  <c r="AE912" i="6"/>
  <c r="AD912" i="6"/>
  <c r="W912" i="6"/>
  <c r="T912" i="6"/>
  <c r="V912" i="6" s="1"/>
  <c r="S912" i="6"/>
  <c r="P912" i="6"/>
  <c r="O912" i="6"/>
  <c r="N912" i="6"/>
  <c r="M912" i="6"/>
  <c r="B912" i="6"/>
  <c r="AE911" i="6"/>
  <c r="AD911" i="6"/>
  <c r="W911" i="6"/>
  <c r="T911" i="6"/>
  <c r="V911" i="6" s="1"/>
  <c r="S911" i="6"/>
  <c r="P911" i="6"/>
  <c r="O911" i="6"/>
  <c r="N911" i="6"/>
  <c r="M911" i="6"/>
  <c r="B911" i="6"/>
  <c r="AE910" i="6"/>
  <c r="AD910" i="6"/>
  <c r="W910" i="6"/>
  <c r="T910" i="6"/>
  <c r="V910" i="6" s="1"/>
  <c r="S910" i="6"/>
  <c r="P910" i="6"/>
  <c r="O910" i="6"/>
  <c r="N910" i="6"/>
  <c r="M910" i="6"/>
  <c r="B910" i="6"/>
  <c r="AE909" i="6"/>
  <c r="AD909" i="6"/>
  <c r="W909" i="6"/>
  <c r="V909" i="6"/>
  <c r="U909" i="6"/>
  <c r="T909" i="6"/>
  <c r="S909" i="6"/>
  <c r="P909" i="6"/>
  <c r="O909" i="6"/>
  <c r="N909" i="6"/>
  <c r="M909" i="6"/>
  <c r="B909" i="6"/>
  <c r="AE908" i="6"/>
  <c r="AD908" i="6"/>
  <c r="W908" i="6"/>
  <c r="V908" i="6"/>
  <c r="U908" i="6"/>
  <c r="T908" i="6"/>
  <c r="S908" i="6"/>
  <c r="P908" i="6"/>
  <c r="O908" i="6"/>
  <c r="N908" i="6"/>
  <c r="M908" i="6"/>
  <c r="B908" i="6"/>
  <c r="AE907" i="6"/>
  <c r="AD907" i="6"/>
  <c r="W907" i="6"/>
  <c r="T907" i="6"/>
  <c r="V907" i="6" s="1"/>
  <c r="S907" i="6"/>
  <c r="P907" i="6"/>
  <c r="O907" i="6"/>
  <c r="N907" i="6"/>
  <c r="M907" i="6"/>
  <c r="B907" i="6"/>
  <c r="AE906" i="6"/>
  <c r="AD906" i="6"/>
  <c r="W906" i="6"/>
  <c r="U906" i="6"/>
  <c r="T906" i="6"/>
  <c r="V906" i="6" s="1"/>
  <c r="S906" i="6"/>
  <c r="P906" i="6"/>
  <c r="O906" i="6"/>
  <c r="N906" i="6"/>
  <c r="M906" i="6"/>
  <c r="B906" i="6"/>
  <c r="AE905" i="6"/>
  <c r="AD905" i="6"/>
  <c r="W905" i="6"/>
  <c r="V905" i="6"/>
  <c r="T905" i="6"/>
  <c r="U905" i="6" s="1"/>
  <c r="S905" i="6"/>
  <c r="P905" i="6"/>
  <c r="O905" i="6"/>
  <c r="N905" i="6"/>
  <c r="M905" i="6"/>
  <c r="B905" i="6"/>
  <c r="AE904" i="6"/>
  <c r="AD904" i="6"/>
  <c r="W904" i="6"/>
  <c r="T904" i="6"/>
  <c r="V904" i="6" s="1"/>
  <c r="S904" i="6"/>
  <c r="P904" i="6"/>
  <c r="O904" i="6"/>
  <c r="N904" i="6"/>
  <c r="M904" i="6"/>
  <c r="B904" i="6"/>
  <c r="AE903" i="6"/>
  <c r="AD903" i="6"/>
  <c r="W903" i="6"/>
  <c r="V903" i="6"/>
  <c r="U903" i="6"/>
  <c r="T903" i="6"/>
  <c r="S903" i="6"/>
  <c r="P903" i="6"/>
  <c r="O903" i="6"/>
  <c r="N903" i="6"/>
  <c r="M903" i="6"/>
  <c r="B903" i="6"/>
  <c r="AE902" i="6"/>
  <c r="AD902" i="6"/>
  <c r="W902" i="6"/>
  <c r="T902" i="6"/>
  <c r="V902" i="6" s="1"/>
  <c r="S902" i="6"/>
  <c r="P902" i="6"/>
  <c r="O902" i="6"/>
  <c r="N902" i="6"/>
  <c r="M902" i="6"/>
  <c r="B902" i="6"/>
  <c r="AE901" i="6"/>
  <c r="AD901" i="6"/>
  <c r="W901" i="6"/>
  <c r="U901" i="6"/>
  <c r="T901" i="6"/>
  <c r="V901" i="6" s="1"/>
  <c r="S901" i="6"/>
  <c r="P901" i="6"/>
  <c r="O901" i="6"/>
  <c r="N901" i="6"/>
  <c r="M901" i="6"/>
  <c r="B901" i="6"/>
  <c r="AE900" i="6"/>
  <c r="AD900" i="6"/>
  <c r="W900" i="6"/>
  <c r="T900" i="6"/>
  <c r="V900" i="6" s="1"/>
  <c r="S900" i="6"/>
  <c r="P900" i="6"/>
  <c r="O900" i="6"/>
  <c r="N900" i="6"/>
  <c r="M900" i="6"/>
  <c r="B900" i="6"/>
  <c r="AE899" i="6"/>
  <c r="AD899" i="6"/>
  <c r="W899" i="6"/>
  <c r="V899" i="6"/>
  <c r="U899" i="6"/>
  <c r="T899" i="6"/>
  <c r="S899" i="6"/>
  <c r="P899" i="6"/>
  <c r="O899" i="6"/>
  <c r="N899" i="6"/>
  <c r="M899" i="6"/>
  <c r="B899" i="6"/>
  <c r="AE898" i="6"/>
  <c r="AD898" i="6"/>
  <c r="W898" i="6"/>
  <c r="V898" i="6"/>
  <c r="U898" i="6"/>
  <c r="T898" i="6"/>
  <c r="S898" i="6"/>
  <c r="P898" i="6"/>
  <c r="O898" i="6"/>
  <c r="N898" i="6"/>
  <c r="M898" i="6"/>
  <c r="B898" i="6"/>
  <c r="AE897" i="6"/>
  <c r="AD897" i="6"/>
  <c r="W897" i="6"/>
  <c r="T897" i="6"/>
  <c r="V897" i="6" s="1"/>
  <c r="S897" i="6"/>
  <c r="P897" i="6"/>
  <c r="O897" i="6"/>
  <c r="N897" i="6"/>
  <c r="M897" i="6"/>
  <c r="B897" i="6"/>
  <c r="AE896" i="6"/>
  <c r="AD896" i="6"/>
  <c r="W896" i="6"/>
  <c r="T896" i="6"/>
  <c r="V896" i="6" s="1"/>
  <c r="S896" i="6"/>
  <c r="P896" i="6"/>
  <c r="O896" i="6"/>
  <c r="N896" i="6"/>
  <c r="M896" i="6"/>
  <c r="B896" i="6"/>
  <c r="AE895" i="6"/>
  <c r="AD895" i="6"/>
  <c r="W895" i="6"/>
  <c r="T895" i="6"/>
  <c r="V895" i="6" s="1"/>
  <c r="S895" i="6"/>
  <c r="P895" i="6"/>
  <c r="O895" i="6"/>
  <c r="N895" i="6"/>
  <c r="M895" i="6"/>
  <c r="B895" i="6"/>
  <c r="AE894" i="6"/>
  <c r="AD894" i="6"/>
  <c r="W894" i="6"/>
  <c r="V894" i="6"/>
  <c r="T894" i="6"/>
  <c r="U894" i="6" s="1"/>
  <c r="S894" i="6"/>
  <c r="P894" i="6"/>
  <c r="O894" i="6"/>
  <c r="N894" i="6"/>
  <c r="M894" i="6"/>
  <c r="B894" i="6"/>
  <c r="AE893" i="6"/>
  <c r="AD893" i="6"/>
  <c r="W893" i="6"/>
  <c r="V893" i="6"/>
  <c r="U893" i="6"/>
  <c r="T893" i="6"/>
  <c r="S893" i="6"/>
  <c r="P893" i="6"/>
  <c r="O893" i="6"/>
  <c r="N893" i="6"/>
  <c r="M893" i="6"/>
  <c r="B893" i="6"/>
  <c r="AE892" i="6"/>
  <c r="AD892" i="6"/>
  <c r="W892" i="6"/>
  <c r="T892" i="6"/>
  <c r="V892" i="6" s="1"/>
  <c r="S892" i="6"/>
  <c r="P892" i="6"/>
  <c r="O892" i="6"/>
  <c r="N892" i="6"/>
  <c r="M892" i="6"/>
  <c r="B892" i="6"/>
  <c r="AE891" i="6"/>
  <c r="AD891" i="6"/>
  <c r="W891" i="6"/>
  <c r="U891" i="6"/>
  <c r="T891" i="6"/>
  <c r="V891" i="6" s="1"/>
  <c r="S891" i="6"/>
  <c r="P891" i="6"/>
  <c r="O891" i="6"/>
  <c r="N891" i="6"/>
  <c r="M891" i="6"/>
  <c r="B891" i="6"/>
  <c r="AE890" i="6"/>
  <c r="AD890" i="6"/>
  <c r="W890" i="6"/>
  <c r="T890" i="6"/>
  <c r="V890" i="6" s="1"/>
  <c r="S890" i="6"/>
  <c r="P890" i="6"/>
  <c r="O890" i="6"/>
  <c r="N890" i="6"/>
  <c r="M890" i="6"/>
  <c r="B890" i="6"/>
  <c r="AE889" i="6"/>
  <c r="AD889" i="6"/>
  <c r="W889" i="6"/>
  <c r="T889" i="6"/>
  <c r="V889" i="6" s="1"/>
  <c r="S889" i="6"/>
  <c r="P889" i="6"/>
  <c r="O889" i="6"/>
  <c r="N889" i="6"/>
  <c r="M889" i="6"/>
  <c r="B889" i="6"/>
  <c r="AE888" i="6"/>
  <c r="AD888" i="6"/>
  <c r="W888" i="6"/>
  <c r="V888" i="6"/>
  <c r="U888" i="6"/>
  <c r="T888" i="6"/>
  <c r="S888" i="6"/>
  <c r="P888" i="6"/>
  <c r="O888" i="6"/>
  <c r="N888" i="6"/>
  <c r="M888" i="6"/>
  <c r="B888" i="6"/>
  <c r="AE887" i="6"/>
  <c r="AD887" i="6"/>
  <c r="W887" i="6"/>
  <c r="T887" i="6"/>
  <c r="V887" i="6" s="1"/>
  <c r="S887" i="6"/>
  <c r="P887" i="6"/>
  <c r="O887" i="6"/>
  <c r="N887" i="6"/>
  <c r="M887" i="6"/>
  <c r="B887" i="6"/>
  <c r="AE886" i="6"/>
  <c r="AD886" i="6"/>
  <c r="W886" i="6"/>
  <c r="T886" i="6"/>
  <c r="V886" i="6" s="1"/>
  <c r="S886" i="6"/>
  <c r="P886" i="6"/>
  <c r="O886" i="6"/>
  <c r="N886" i="6"/>
  <c r="M886" i="6"/>
  <c r="B886" i="6"/>
  <c r="AE885" i="6"/>
  <c r="AD885" i="6"/>
  <c r="W885" i="6"/>
  <c r="V885" i="6"/>
  <c r="U885" i="6"/>
  <c r="T885" i="6"/>
  <c r="S885" i="6"/>
  <c r="P885" i="6"/>
  <c r="O885" i="6"/>
  <c r="N885" i="6"/>
  <c r="M885" i="6"/>
  <c r="B885" i="6"/>
  <c r="AE884" i="6"/>
  <c r="AD884" i="6"/>
  <c r="W884" i="6"/>
  <c r="V884" i="6"/>
  <c r="T884" i="6"/>
  <c r="U884" i="6" s="1"/>
  <c r="S884" i="6"/>
  <c r="P884" i="6"/>
  <c r="O884" i="6"/>
  <c r="N884" i="6"/>
  <c r="M884" i="6"/>
  <c r="B884" i="6"/>
  <c r="AE883" i="6"/>
  <c r="AD883" i="6"/>
  <c r="W883" i="6"/>
  <c r="V883" i="6"/>
  <c r="U883" i="6"/>
  <c r="T883" i="6"/>
  <c r="S883" i="6"/>
  <c r="P883" i="6"/>
  <c r="O883" i="6"/>
  <c r="N883" i="6"/>
  <c r="M883" i="6"/>
  <c r="B883" i="6"/>
  <c r="AE882" i="6"/>
  <c r="AD882" i="6"/>
  <c r="W882" i="6"/>
  <c r="T882" i="6"/>
  <c r="V882" i="6" s="1"/>
  <c r="S882" i="6"/>
  <c r="P882" i="6"/>
  <c r="O882" i="6"/>
  <c r="N882" i="6"/>
  <c r="M882" i="6"/>
  <c r="B882" i="6"/>
  <c r="AE881" i="6"/>
  <c r="AD881" i="6"/>
  <c r="W881" i="6"/>
  <c r="T881" i="6"/>
  <c r="V881" i="6" s="1"/>
  <c r="S881" i="6"/>
  <c r="P881" i="6"/>
  <c r="O881" i="6"/>
  <c r="N881" i="6"/>
  <c r="M881" i="6"/>
  <c r="B881" i="6"/>
  <c r="AE880" i="6"/>
  <c r="AD880" i="6"/>
  <c r="W880" i="6"/>
  <c r="V880" i="6"/>
  <c r="U880" i="6"/>
  <c r="T880" i="6"/>
  <c r="S880" i="6"/>
  <c r="P880" i="6"/>
  <c r="O880" i="6"/>
  <c r="N880" i="6"/>
  <c r="M880" i="6"/>
  <c r="B880" i="6"/>
  <c r="AE879" i="6"/>
  <c r="AD879" i="6"/>
  <c r="W879" i="6"/>
  <c r="T879" i="6"/>
  <c r="V879" i="6" s="1"/>
  <c r="S879" i="6"/>
  <c r="P879" i="6"/>
  <c r="O879" i="6"/>
  <c r="N879" i="6"/>
  <c r="M879" i="6"/>
  <c r="B879" i="6"/>
  <c r="AE878" i="6"/>
  <c r="AD878" i="6"/>
  <c r="W878" i="6"/>
  <c r="V878" i="6"/>
  <c r="U878" i="6"/>
  <c r="T878" i="6"/>
  <c r="S878" i="6"/>
  <c r="P878" i="6"/>
  <c r="O878" i="6"/>
  <c r="N878" i="6"/>
  <c r="M878" i="6"/>
  <c r="B878" i="6"/>
  <c r="AE877" i="6"/>
  <c r="AD877" i="6"/>
  <c r="W877" i="6"/>
  <c r="T877" i="6"/>
  <c r="V877" i="6" s="1"/>
  <c r="S877" i="6"/>
  <c r="P877" i="6"/>
  <c r="O877" i="6"/>
  <c r="N877" i="6"/>
  <c r="M877" i="6"/>
  <c r="B877" i="6"/>
  <c r="AE876" i="6"/>
  <c r="AD876" i="6"/>
  <c r="W876" i="6"/>
  <c r="T876" i="6"/>
  <c r="V876" i="6" s="1"/>
  <c r="S876" i="6"/>
  <c r="P876" i="6"/>
  <c r="O876" i="6"/>
  <c r="N876" i="6"/>
  <c r="M876" i="6"/>
  <c r="B876" i="6"/>
  <c r="AE875" i="6"/>
  <c r="AD875" i="6"/>
  <c r="W875" i="6"/>
  <c r="T875" i="6"/>
  <c r="V875" i="6" s="1"/>
  <c r="S875" i="6"/>
  <c r="P875" i="6"/>
  <c r="O875" i="6"/>
  <c r="N875" i="6"/>
  <c r="M875" i="6"/>
  <c r="B875" i="6"/>
  <c r="AE874" i="6"/>
  <c r="AD874" i="6"/>
  <c r="W874" i="6"/>
  <c r="T874" i="6"/>
  <c r="V874" i="6" s="1"/>
  <c r="S874" i="6"/>
  <c r="P874" i="6"/>
  <c r="O874" i="6"/>
  <c r="N874" i="6"/>
  <c r="M874" i="6"/>
  <c r="B874" i="6"/>
  <c r="AE873" i="6"/>
  <c r="AD873" i="6"/>
  <c r="W873" i="6"/>
  <c r="V873" i="6"/>
  <c r="U873" i="6"/>
  <c r="T873" i="6"/>
  <c r="S873" i="6"/>
  <c r="P873" i="6"/>
  <c r="O873" i="6"/>
  <c r="N873" i="6"/>
  <c r="M873" i="6"/>
  <c r="B873" i="6"/>
  <c r="AE872" i="6"/>
  <c r="AD872" i="6"/>
  <c r="W872" i="6"/>
  <c r="T872" i="6"/>
  <c r="V872" i="6" s="1"/>
  <c r="S872" i="6"/>
  <c r="P872" i="6"/>
  <c r="O872" i="6"/>
  <c r="N872" i="6"/>
  <c r="M872" i="6"/>
  <c r="B872" i="6"/>
  <c r="AE871" i="6"/>
  <c r="AD871" i="6"/>
  <c r="W871" i="6"/>
  <c r="T871" i="6"/>
  <c r="V871" i="6" s="1"/>
  <c r="S871" i="6"/>
  <c r="P871" i="6"/>
  <c r="O871" i="6"/>
  <c r="N871" i="6"/>
  <c r="M871" i="6"/>
  <c r="B871" i="6"/>
  <c r="AE870" i="6"/>
  <c r="AD870" i="6"/>
  <c r="W870" i="6"/>
  <c r="V870" i="6"/>
  <c r="U870" i="6"/>
  <c r="T870" i="6"/>
  <c r="S870" i="6"/>
  <c r="P870" i="6"/>
  <c r="O870" i="6"/>
  <c r="N870" i="6"/>
  <c r="M870" i="6"/>
  <c r="B870" i="6"/>
  <c r="AE869" i="6"/>
  <c r="AD869" i="6"/>
  <c r="W869" i="6"/>
  <c r="T869" i="6"/>
  <c r="V869" i="6" s="1"/>
  <c r="S869" i="6"/>
  <c r="P869" i="6"/>
  <c r="O869" i="6"/>
  <c r="N869" i="6"/>
  <c r="M869" i="6"/>
  <c r="B869" i="6"/>
  <c r="AE868" i="6"/>
  <c r="AD868" i="6"/>
  <c r="W868" i="6"/>
  <c r="V868" i="6"/>
  <c r="U868" i="6"/>
  <c r="T868" i="6"/>
  <c r="S868" i="6"/>
  <c r="P868" i="6"/>
  <c r="O868" i="6"/>
  <c r="N868" i="6"/>
  <c r="M868" i="6"/>
  <c r="B868" i="6"/>
  <c r="AE867" i="6"/>
  <c r="AD867" i="6"/>
  <c r="W867" i="6"/>
  <c r="T867" i="6"/>
  <c r="V867" i="6" s="1"/>
  <c r="S867" i="6"/>
  <c r="P867" i="6"/>
  <c r="O867" i="6"/>
  <c r="N867" i="6"/>
  <c r="M867" i="6"/>
  <c r="B867" i="6"/>
  <c r="AE866" i="6"/>
  <c r="AD866" i="6"/>
  <c r="W866" i="6"/>
  <c r="T866" i="6"/>
  <c r="V866" i="6" s="1"/>
  <c r="S866" i="6"/>
  <c r="P866" i="6"/>
  <c r="O866" i="6"/>
  <c r="N866" i="6"/>
  <c r="M866" i="6"/>
  <c r="B866" i="6"/>
  <c r="AE865" i="6"/>
  <c r="AD865" i="6"/>
  <c r="W865" i="6"/>
  <c r="V865" i="6"/>
  <c r="T865" i="6"/>
  <c r="U865" i="6" s="1"/>
  <c r="S865" i="6"/>
  <c r="P865" i="6"/>
  <c r="O865" i="6"/>
  <c r="N865" i="6"/>
  <c r="M865" i="6"/>
  <c r="B865" i="6"/>
  <c r="AE864" i="6"/>
  <c r="AD864" i="6"/>
  <c r="W864" i="6"/>
  <c r="V864" i="6"/>
  <c r="U864" i="6"/>
  <c r="T864" i="6"/>
  <c r="S864" i="6"/>
  <c r="P864" i="6"/>
  <c r="O864" i="6"/>
  <c r="N864" i="6"/>
  <c r="M864" i="6"/>
  <c r="B864" i="6"/>
  <c r="AE863" i="6"/>
  <c r="AD863" i="6"/>
  <c r="W863" i="6"/>
  <c r="V863" i="6"/>
  <c r="U863" i="6"/>
  <c r="T863" i="6"/>
  <c r="S863" i="6"/>
  <c r="P863" i="6"/>
  <c r="O863" i="6"/>
  <c r="N863" i="6"/>
  <c r="M863" i="6"/>
  <c r="B863" i="6"/>
  <c r="AE862" i="6"/>
  <c r="AD862" i="6"/>
  <c r="W862" i="6"/>
  <c r="T862" i="6"/>
  <c r="V862" i="6" s="1"/>
  <c r="S862" i="6"/>
  <c r="P862" i="6"/>
  <c r="O862" i="6"/>
  <c r="N862" i="6"/>
  <c r="M862" i="6"/>
  <c r="B862" i="6"/>
  <c r="AE861" i="6"/>
  <c r="AD861" i="6"/>
  <c r="W861" i="6"/>
  <c r="T861" i="6"/>
  <c r="V861" i="6" s="1"/>
  <c r="S861" i="6"/>
  <c r="P861" i="6"/>
  <c r="O861" i="6"/>
  <c r="N861" i="6"/>
  <c r="M861" i="6"/>
  <c r="B861" i="6"/>
  <c r="AE860" i="6"/>
  <c r="AD860" i="6"/>
  <c r="W860" i="6"/>
  <c r="T860" i="6"/>
  <c r="V860" i="6" s="1"/>
  <c r="S860" i="6"/>
  <c r="P860" i="6"/>
  <c r="O860" i="6"/>
  <c r="N860" i="6"/>
  <c r="M860" i="6"/>
  <c r="B860" i="6"/>
  <c r="AE859" i="6"/>
  <c r="AD859" i="6"/>
  <c r="W859" i="6"/>
  <c r="V859" i="6"/>
  <c r="U859" i="6"/>
  <c r="T859" i="6"/>
  <c r="S859" i="6"/>
  <c r="P859" i="6"/>
  <c r="O859" i="6"/>
  <c r="N859" i="6"/>
  <c r="M859" i="6"/>
  <c r="B859" i="6"/>
  <c r="AE858" i="6"/>
  <c r="AD858" i="6"/>
  <c r="W858" i="6"/>
  <c r="V858" i="6"/>
  <c r="U858" i="6"/>
  <c r="T858" i="6"/>
  <c r="S858" i="6"/>
  <c r="P858" i="6"/>
  <c r="O858" i="6"/>
  <c r="N858" i="6"/>
  <c r="M858" i="6"/>
  <c r="B858" i="6"/>
  <c r="AE857" i="6"/>
  <c r="AD857" i="6"/>
  <c r="W857" i="6"/>
  <c r="T857" i="6"/>
  <c r="V857" i="6" s="1"/>
  <c r="S857" i="6"/>
  <c r="P857" i="6"/>
  <c r="O857" i="6"/>
  <c r="N857" i="6"/>
  <c r="M857" i="6"/>
  <c r="B857" i="6"/>
  <c r="AE856" i="6"/>
  <c r="AD856" i="6"/>
  <c r="W856" i="6"/>
  <c r="U856" i="6"/>
  <c r="T856" i="6"/>
  <c r="V856" i="6" s="1"/>
  <c r="S856" i="6"/>
  <c r="P856" i="6"/>
  <c r="O856" i="6"/>
  <c r="N856" i="6"/>
  <c r="M856" i="6"/>
  <c r="B856" i="6"/>
  <c r="AE855" i="6"/>
  <c r="AD855" i="6"/>
  <c r="W855" i="6"/>
  <c r="V855" i="6"/>
  <c r="T855" i="6"/>
  <c r="U855" i="6" s="1"/>
  <c r="S855" i="6"/>
  <c r="P855" i="6"/>
  <c r="O855" i="6"/>
  <c r="N855" i="6"/>
  <c r="M855" i="6"/>
  <c r="B855" i="6"/>
  <c r="AE854" i="6"/>
  <c r="AD854" i="6"/>
  <c r="W854" i="6"/>
  <c r="T854" i="6"/>
  <c r="V854" i="6" s="1"/>
  <c r="S854" i="6"/>
  <c r="P854" i="6"/>
  <c r="O854" i="6"/>
  <c r="N854" i="6"/>
  <c r="M854" i="6"/>
  <c r="B854" i="6"/>
  <c r="AE853" i="6"/>
  <c r="AD853" i="6"/>
  <c r="W853" i="6"/>
  <c r="V853" i="6"/>
  <c r="U853" i="6"/>
  <c r="T853" i="6"/>
  <c r="S853" i="6"/>
  <c r="P853" i="6"/>
  <c r="O853" i="6"/>
  <c r="N853" i="6"/>
  <c r="M853" i="6"/>
  <c r="B853" i="6"/>
  <c r="AE852" i="6"/>
  <c r="AD852" i="6"/>
  <c r="W852" i="6"/>
  <c r="T852" i="6"/>
  <c r="V852" i="6" s="1"/>
  <c r="S852" i="6"/>
  <c r="P852" i="6"/>
  <c r="O852" i="6"/>
  <c r="N852" i="6"/>
  <c r="M852" i="6"/>
  <c r="B852" i="6"/>
  <c r="AE851" i="6"/>
  <c r="AD851" i="6"/>
  <c r="W851" i="6"/>
  <c r="U851" i="6"/>
  <c r="T851" i="6"/>
  <c r="V851" i="6" s="1"/>
  <c r="S851" i="6"/>
  <c r="P851" i="6"/>
  <c r="O851" i="6"/>
  <c r="N851" i="6"/>
  <c r="M851" i="6"/>
  <c r="B851" i="6"/>
  <c r="AE850" i="6"/>
  <c r="AD850" i="6"/>
  <c r="W850" i="6"/>
  <c r="T850" i="6"/>
  <c r="V850" i="6" s="1"/>
  <c r="S850" i="6"/>
  <c r="P850" i="6"/>
  <c r="O850" i="6"/>
  <c r="N850" i="6"/>
  <c r="M850" i="6"/>
  <c r="B850" i="6"/>
  <c r="AE849" i="6"/>
  <c r="AD849" i="6"/>
  <c r="W849" i="6"/>
  <c r="V849" i="6"/>
  <c r="U849" i="6"/>
  <c r="T849" i="6"/>
  <c r="S849" i="6"/>
  <c r="P849" i="6"/>
  <c r="O849" i="6"/>
  <c r="N849" i="6"/>
  <c r="M849" i="6"/>
  <c r="B849" i="6"/>
  <c r="AE848" i="6"/>
  <c r="AD848" i="6"/>
  <c r="W848" i="6"/>
  <c r="V848" i="6"/>
  <c r="U848" i="6"/>
  <c r="T848" i="6"/>
  <c r="S848" i="6"/>
  <c r="P848" i="6"/>
  <c r="O848" i="6"/>
  <c r="N848" i="6"/>
  <c r="M848" i="6"/>
  <c r="B848" i="6"/>
  <c r="AE847" i="6"/>
  <c r="AD847" i="6"/>
  <c r="W847" i="6"/>
  <c r="T847" i="6"/>
  <c r="V847" i="6" s="1"/>
  <c r="S847" i="6"/>
  <c r="P847" i="6"/>
  <c r="O847" i="6"/>
  <c r="N847" i="6"/>
  <c r="M847" i="6"/>
  <c r="B847" i="6"/>
  <c r="AE846" i="6"/>
  <c r="AD846" i="6"/>
  <c r="W846" i="6"/>
  <c r="T846" i="6"/>
  <c r="V846" i="6" s="1"/>
  <c r="S846" i="6"/>
  <c r="P846" i="6"/>
  <c r="O846" i="6"/>
  <c r="N846" i="6"/>
  <c r="M846" i="6"/>
  <c r="B846" i="6"/>
  <c r="AE845" i="6"/>
  <c r="AD845" i="6"/>
  <c r="W845" i="6"/>
  <c r="T845" i="6"/>
  <c r="V845" i="6" s="1"/>
  <c r="S845" i="6"/>
  <c r="P845" i="6"/>
  <c r="O845" i="6"/>
  <c r="N845" i="6"/>
  <c r="M845" i="6"/>
  <c r="B845" i="6"/>
  <c r="AE844" i="6"/>
  <c r="AD844" i="6"/>
  <c r="W844" i="6"/>
  <c r="V844" i="6"/>
  <c r="T844" i="6"/>
  <c r="U844" i="6" s="1"/>
  <c r="S844" i="6"/>
  <c r="P844" i="6"/>
  <c r="O844" i="6"/>
  <c r="N844" i="6"/>
  <c r="M844" i="6"/>
  <c r="B844" i="6"/>
  <c r="AE843" i="6"/>
  <c r="AD843" i="6"/>
  <c r="W843" i="6"/>
  <c r="V843" i="6"/>
  <c r="U843" i="6"/>
  <c r="T843" i="6"/>
  <c r="S843" i="6"/>
  <c r="P843" i="6"/>
  <c r="O843" i="6"/>
  <c r="N843" i="6"/>
  <c r="M843" i="6"/>
  <c r="B843" i="6"/>
  <c r="AE842" i="6"/>
  <c r="AD842" i="6"/>
  <c r="W842" i="6"/>
  <c r="T842" i="6"/>
  <c r="V842" i="6" s="1"/>
  <c r="S842" i="6"/>
  <c r="P842" i="6"/>
  <c r="O842" i="6"/>
  <c r="N842" i="6"/>
  <c r="M842" i="6"/>
  <c r="B842" i="6"/>
  <c r="AE841" i="6"/>
  <c r="AD841" i="6"/>
  <c r="W841" i="6"/>
  <c r="U841" i="6"/>
  <c r="T841" i="6"/>
  <c r="V841" i="6" s="1"/>
  <c r="S841" i="6"/>
  <c r="P841" i="6"/>
  <c r="O841" i="6"/>
  <c r="N841" i="6"/>
  <c r="M841" i="6"/>
  <c r="B841" i="6"/>
  <c r="AE840" i="6"/>
  <c r="AD840" i="6"/>
  <c r="W840" i="6"/>
  <c r="T840" i="6"/>
  <c r="V840" i="6" s="1"/>
  <c r="S840" i="6"/>
  <c r="P840" i="6"/>
  <c r="O840" i="6"/>
  <c r="N840" i="6"/>
  <c r="M840" i="6"/>
  <c r="B840" i="6"/>
  <c r="AE839" i="6"/>
  <c r="AD839" i="6"/>
  <c r="W839" i="6"/>
  <c r="T839" i="6"/>
  <c r="V839" i="6" s="1"/>
  <c r="S839" i="6"/>
  <c r="P839" i="6"/>
  <c r="O839" i="6"/>
  <c r="N839" i="6"/>
  <c r="M839" i="6"/>
  <c r="B839" i="6"/>
  <c r="AE838" i="6"/>
  <c r="AD838" i="6"/>
  <c r="W838" i="6"/>
  <c r="V838" i="6"/>
  <c r="U838" i="6"/>
  <c r="T838" i="6"/>
  <c r="S838" i="6"/>
  <c r="P838" i="6"/>
  <c r="O838" i="6"/>
  <c r="N838" i="6"/>
  <c r="M838" i="6"/>
  <c r="B838" i="6"/>
  <c r="AE837" i="6"/>
  <c r="AD837" i="6"/>
  <c r="W837" i="6"/>
  <c r="T837" i="6"/>
  <c r="V837" i="6" s="1"/>
  <c r="S837" i="6"/>
  <c r="P837" i="6"/>
  <c r="O837" i="6"/>
  <c r="N837" i="6"/>
  <c r="M837" i="6"/>
  <c r="B837" i="6"/>
  <c r="AE836" i="6"/>
  <c r="AD836" i="6"/>
  <c r="W836" i="6"/>
  <c r="T836" i="6"/>
  <c r="V836" i="6" s="1"/>
  <c r="S836" i="6"/>
  <c r="P836" i="6"/>
  <c r="O836" i="6"/>
  <c r="N836" i="6"/>
  <c r="M836" i="6"/>
  <c r="B836" i="6"/>
  <c r="AE835" i="6"/>
  <c r="AD835" i="6"/>
  <c r="W835" i="6"/>
  <c r="V835" i="6"/>
  <c r="U835" i="6"/>
  <c r="T835" i="6"/>
  <c r="S835" i="6"/>
  <c r="P835" i="6"/>
  <c r="O835" i="6"/>
  <c r="N835" i="6"/>
  <c r="M835" i="6"/>
  <c r="B835" i="6"/>
  <c r="AE834" i="6"/>
  <c r="AD834" i="6"/>
  <c r="W834" i="6"/>
  <c r="V834" i="6"/>
  <c r="T834" i="6"/>
  <c r="U834" i="6" s="1"/>
  <c r="S834" i="6"/>
  <c r="P834" i="6"/>
  <c r="O834" i="6"/>
  <c r="N834" i="6"/>
  <c r="M834" i="6"/>
  <c r="B834" i="6"/>
  <c r="AE833" i="6"/>
  <c r="AD833" i="6"/>
  <c r="W833" i="6"/>
  <c r="V833" i="6"/>
  <c r="U833" i="6"/>
  <c r="T833" i="6"/>
  <c r="S833" i="6"/>
  <c r="P833" i="6"/>
  <c r="O833" i="6"/>
  <c r="N833" i="6"/>
  <c r="M833" i="6"/>
  <c r="B833" i="6"/>
  <c r="AE832" i="6"/>
  <c r="AD832" i="6"/>
  <c r="W832" i="6"/>
  <c r="T832" i="6"/>
  <c r="V832" i="6" s="1"/>
  <c r="S832" i="6"/>
  <c r="P832" i="6"/>
  <c r="O832" i="6"/>
  <c r="N832" i="6"/>
  <c r="M832" i="6"/>
  <c r="B832" i="6"/>
  <c r="AE831" i="6"/>
  <c r="AD831" i="6"/>
  <c r="W831" i="6"/>
  <c r="T831" i="6"/>
  <c r="V831" i="6" s="1"/>
  <c r="S831" i="6"/>
  <c r="P831" i="6"/>
  <c r="O831" i="6"/>
  <c r="N831" i="6"/>
  <c r="M831" i="6"/>
  <c r="B831" i="6"/>
  <c r="AE830" i="6"/>
  <c r="AD830" i="6"/>
  <c r="W830" i="6"/>
  <c r="V830" i="6"/>
  <c r="U830" i="6"/>
  <c r="T830" i="6"/>
  <c r="S830" i="6"/>
  <c r="P830" i="6"/>
  <c r="O830" i="6"/>
  <c r="N830" i="6"/>
  <c r="M830" i="6"/>
  <c r="B830" i="6"/>
  <c r="AE829" i="6"/>
  <c r="AD829" i="6"/>
  <c r="W829" i="6"/>
  <c r="T829" i="6"/>
  <c r="V829" i="6" s="1"/>
  <c r="S829" i="6"/>
  <c r="P829" i="6"/>
  <c r="O829" i="6"/>
  <c r="N829" i="6"/>
  <c r="M829" i="6"/>
  <c r="B829" i="6"/>
  <c r="AE828" i="6"/>
  <c r="AD828" i="6"/>
  <c r="W828" i="6"/>
  <c r="V828" i="6"/>
  <c r="U828" i="6"/>
  <c r="T828" i="6"/>
  <c r="S828" i="6"/>
  <c r="P828" i="6"/>
  <c r="O828" i="6"/>
  <c r="N828" i="6"/>
  <c r="M828" i="6"/>
  <c r="B828" i="6"/>
  <c r="AE827" i="6"/>
  <c r="AD827" i="6"/>
  <c r="W827" i="6"/>
  <c r="T827" i="6"/>
  <c r="V827" i="6" s="1"/>
  <c r="S827" i="6"/>
  <c r="P827" i="6"/>
  <c r="O827" i="6"/>
  <c r="N827" i="6"/>
  <c r="M827" i="6"/>
  <c r="B827" i="6"/>
  <c r="AE826" i="6"/>
  <c r="AD826" i="6"/>
  <c r="W826" i="6"/>
  <c r="T826" i="6"/>
  <c r="V826" i="6" s="1"/>
  <c r="S826" i="6"/>
  <c r="P826" i="6"/>
  <c r="O826" i="6"/>
  <c r="N826" i="6"/>
  <c r="M826" i="6"/>
  <c r="B826" i="6"/>
  <c r="AE825" i="6"/>
  <c r="AD825" i="6"/>
  <c r="W825" i="6"/>
  <c r="T825" i="6"/>
  <c r="V825" i="6" s="1"/>
  <c r="S825" i="6"/>
  <c r="P825" i="6"/>
  <c r="O825" i="6"/>
  <c r="N825" i="6"/>
  <c r="M825" i="6"/>
  <c r="B825" i="6"/>
  <c r="AE824" i="6"/>
  <c r="AD824" i="6"/>
  <c r="W824" i="6"/>
  <c r="T824" i="6"/>
  <c r="V824" i="6" s="1"/>
  <c r="S824" i="6"/>
  <c r="P824" i="6"/>
  <c r="O824" i="6"/>
  <c r="N824" i="6"/>
  <c r="M824" i="6"/>
  <c r="B824" i="6"/>
  <c r="AE823" i="6"/>
  <c r="AD823" i="6"/>
  <c r="W823" i="6"/>
  <c r="V823" i="6"/>
  <c r="U823" i="6"/>
  <c r="T823" i="6"/>
  <c r="S823" i="6"/>
  <c r="P823" i="6"/>
  <c r="O823" i="6"/>
  <c r="N823" i="6"/>
  <c r="M823" i="6"/>
  <c r="B823" i="6"/>
  <c r="AE822" i="6"/>
  <c r="AD822" i="6"/>
  <c r="W822" i="6"/>
  <c r="T822" i="6"/>
  <c r="V822" i="6" s="1"/>
  <c r="S822" i="6"/>
  <c r="P822" i="6"/>
  <c r="O822" i="6"/>
  <c r="N822" i="6"/>
  <c r="M822" i="6"/>
  <c r="B822" i="6"/>
  <c r="AE821" i="6"/>
  <c r="AD821" i="6"/>
  <c r="W821" i="6"/>
  <c r="T821" i="6"/>
  <c r="V821" i="6" s="1"/>
  <c r="S821" i="6"/>
  <c r="P821" i="6"/>
  <c r="O821" i="6"/>
  <c r="N821" i="6"/>
  <c r="M821" i="6"/>
  <c r="B821" i="6"/>
  <c r="AE820" i="6"/>
  <c r="AD820" i="6"/>
  <c r="W820" i="6"/>
  <c r="V820" i="6"/>
  <c r="U820" i="6"/>
  <c r="T820" i="6"/>
  <c r="S820" i="6"/>
  <c r="P820" i="6"/>
  <c r="O820" i="6"/>
  <c r="N820" i="6"/>
  <c r="M820" i="6"/>
  <c r="B820" i="6"/>
  <c r="AE819" i="6"/>
  <c r="AD819" i="6"/>
  <c r="W819" i="6"/>
  <c r="T819" i="6"/>
  <c r="V819" i="6" s="1"/>
  <c r="S819" i="6"/>
  <c r="P819" i="6"/>
  <c r="O819" i="6"/>
  <c r="N819" i="6"/>
  <c r="M819" i="6"/>
  <c r="B819" i="6"/>
  <c r="AE818" i="6"/>
  <c r="AD818" i="6"/>
  <c r="W818" i="6"/>
  <c r="V818" i="6"/>
  <c r="U818" i="6"/>
  <c r="T818" i="6"/>
  <c r="S818" i="6"/>
  <c r="P818" i="6"/>
  <c r="O818" i="6"/>
  <c r="N818" i="6"/>
  <c r="M818" i="6"/>
  <c r="B818" i="6"/>
  <c r="AE817" i="6"/>
  <c r="AD817" i="6"/>
  <c r="W817" i="6"/>
  <c r="T817" i="6"/>
  <c r="V817" i="6" s="1"/>
  <c r="S817" i="6"/>
  <c r="P817" i="6"/>
  <c r="O817" i="6"/>
  <c r="N817" i="6"/>
  <c r="M817" i="6"/>
  <c r="B817" i="6"/>
  <c r="AE816" i="6"/>
  <c r="AD816" i="6"/>
  <c r="W816" i="6"/>
  <c r="T816" i="6"/>
  <c r="V816" i="6" s="1"/>
  <c r="S816" i="6"/>
  <c r="P816" i="6"/>
  <c r="O816" i="6"/>
  <c r="N816" i="6"/>
  <c r="M816" i="6"/>
  <c r="B816" i="6"/>
  <c r="AE815" i="6"/>
  <c r="AD815" i="6"/>
  <c r="W815" i="6"/>
  <c r="V815" i="6"/>
  <c r="T815" i="6"/>
  <c r="U815" i="6" s="1"/>
  <c r="S815" i="6"/>
  <c r="P815" i="6"/>
  <c r="O815" i="6"/>
  <c r="N815" i="6"/>
  <c r="M815" i="6"/>
  <c r="B815" i="6"/>
  <c r="AE814" i="6"/>
  <c r="AD814" i="6"/>
  <c r="W814" i="6"/>
  <c r="V814" i="6"/>
  <c r="U814" i="6"/>
  <c r="T814" i="6"/>
  <c r="S814" i="6"/>
  <c r="P814" i="6"/>
  <c r="O814" i="6"/>
  <c r="N814" i="6"/>
  <c r="M814" i="6"/>
  <c r="B814" i="6"/>
  <c r="AE813" i="6"/>
  <c r="AD813" i="6"/>
  <c r="W813" i="6"/>
  <c r="V813" i="6"/>
  <c r="U813" i="6"/>
  <c r="T813" i="6"/>
  <c r="S813" i="6"/>
  <c r="P813" i="6"/>
  <c r="O813" i="6"/>
  <c r="N813" i="6"/>
  <c r="M813" i="6"/>
  <c r="B813" i="6"/>
  <c r="AE812" i="6"/>
  <c r="AD812" i="6"/>
  <c r="W812" i="6"/>
  <c r="T812" i="6"/>
  <c r="V812" i="6" s="1"/>
  <c r="S812" i="6"/>
  <c r="P812" i="6"/>
  <c r="O812" i="6"/>
  <c r="N812" i="6"/>
  <c r="M812" i="6"/>
  <c r="B812" i="6"/>
  <c r="AE811" i="6"/>
  <c r="AD811" i="6"/>
  <c r="W811" i="6"/>
  <c r="T811" i="6"/>
  <c r="V811" i="6" s="1"/>
  <c r="S811" i="6"/>
  <c r="P811" i="6"/>
  <c r="O811" i="6"/>
  <c r="N811" i="6"/>
  <c r="M811" i="6"/>
  <c r="B811" i="6"/>
  <c r="AE810" i="6"/>
  <c r="AD810" i="6"/>
  <c r="W810" i="6"/>
  <c r="T810" i="6"/>
  <c r="V810" i="6" s="1"/>
  <c r="S810" i="6"/>
  <c r="P810" i="6"/>
  <c r="O810" i="6"/>
  <c r="N810" i="6"/>
  <c r="M810" i="6"/>
  <c r="B810" i="6"/>
  <c r="AE809" i="6"/>
  <c r="AD809" i="6"/>
  <c r="W809" i="6"/>
  <c r="V809" i="6"/>
  <c r="U809" i="6"/>
  <c r="T809" i="6"/>
  <c r="S809" i="6"/>
  <c r="P809" i="6"/>
  <c r="O809" i="6"/>
  <c r="N809" i="6"/>
  <c r="M809" i="6"/>
  <c r="B809" i="6"/>
  <c r="AE808" i="6"/>
  <c r="AD808" i="6"/>
  <c r="W808" i="6"/>
  <c r="V808" i="6"/>
  <c r="U808" i="6"/>
  <c r="T808" i="6"/>
  <c r="S808" i="6"/>
  <c r="P808" i="6"/>
  <c r="O808" i="6"/>
  <c r="N808" i="6"/>
  <c r="M808" i="6"/>
  <c r="B808" i="6"/>
  <c r="AE807" i="6"/>
  <c r="AD807" i="6"/>
  <c r="W807" i="6"/>
  <c r="T807" i="6"/>
  <c r="V807" i="6" s="1"/>
  <c r="S807" i="6"/>
  <c r="P807" i="6"/>
  <c r="O807" i="6"/>
  <c r="N807" i="6"/>
  <c r="M807" i="6"/>
  <c r="B807" i="6"/>
  <c r="AE806" i="6"/>
  <c r="AD806" i="6"/>
  <c r="W806" i="6"/>
  <c r="U806" i="6"/>
  <c r="T806" i="6"/>
  <c r="V806" i="6" s="1"/>
  <c r="S806" i="6"/>
  <c r="P806" i="6"/>
  <c r="O806" i="6"/>
  <c r="N806" i="6"/>
  <c r="M806" i="6"/>
  <c r="B806" i="6"/>
  <c r="AE805" i="6"/>
  <c r="AD805" i="6"/>
  <c r="W805" i="6"/>
  <c r="V805" i="6"/>
  <c r="T805" i="6"/>
  <c r="U805" i="6" s="1"/>
  <c r="S805" i="6"/>
  <c r="P805" i="6"/>
  <c r="O805" i="6"/>
  <c r="N805" i="6"/>
  <c r="M805" i="6"/>
  <c r="B805" i="6"/>
  <c r="AE804" i="6"/>
  <c r="AD804" i="6"/>
  <c r="W804" i="6"/>
  <c r="T804" i="6"/>
  <c r="V804" i="6" s="1"/>
  <c r="S804" i="6"/>
  <c r="P804" i="6"/>
  <c r="O804" i="6"/>
  <c r="N804" i="6"/>
  <c r="M804" i="6"/>
  <c r="B804" i="6"/>
  <c r="AE803" i="6"/>
  <c r="AD803" i="6"/>
  <c r="W803" i="6"/>
  <c r="V803" i="6"/>
  <c r="U803" i="6"/>
  <c r="T803" i="6"/>
  <c r="S803" i="6"/>
  <c r="P803" i="6"/>
  <c r="O803" i="6"/>
  <c r="N803" i="6"/>
  <c r="M803" i="6"/>
  <c r="B803" i="6"/>
  <c r="AE802" i="6"/>
  <c r="AD802" i="6"/>
  <c r="W802" i="6"/>
  <c r="T802" i="6"/>
  <c r="V802" i="6" s="1"/>
  <c r="S802" i="6"/>
  <c r="P802" i="6"/>
  <c r="O802" i="6"/>
  <c r="N802" i="6"/>
  <c r="M802" i="6"/>
  <c r="B802" i="6"/>
  <c r="AE801" i="6"/>
  <c r="AD801" i="6"/>
  <c r="W801" i="6"/>
  <c r="U801" i="6"/>
  <c r="T801" i="6"/>
  <c r="V801" i="6" s="1"/>
  <c r="S801" i="6"/>
  <c r="P801" i="6"/>
  <c r="O801" i="6"/>
  <c r="N801" i="6"/>
  <c r="M801" i="6"/>
  <c r="B801" i="6"/>
  <c r="AE800" i="6"/>
  <c r="AD800" i="6"/>
  <c r="W800" i="6"/>
  <c r="T800" i="6"/>
  <c r="V800" i="6" s="1"/>
  <c r="S800" i="6"/>
  <c r="P800" i="6"/>
  <c r="O800" i="6"/>
  <c r="N800" i="6"/>
  <c r="M800" i="6"/>
  <c r="B800" i="6"/>
  <c r="AE799" i="6"/>
  <c r="AD799" i="6"/>
  <c r="W799" i="6"/>
  <c r="V799" i="6"/>
  <c r="U799" i="6"/>
  <c r="T799" i="6"/>
  <c r="S799" i="6"/>
  <c r="P799" i="6"/>
  <c r="O799" i="6"/>
  <c r="N799" i="6"/>
  <c r="M799" i="6"/>
  <c r="B799" i="6"/>
  <c r="AE798" i="6"/>
  <c r="AD798" i="6"/>
  <c r="W798" i="6"/>
  <c r="V798" i="6"/>
  <c r="U798" i="6"/>
  <c r="T798" i="6"/>
  <c r="S798" i="6"/>
  <c r="P798" i="6"/>
  <c r="O798" i="6"/>
  <c r="N798" i="6"/>
  <c r="M798" i="6"/>
  <c r="B798" i="6"/>
  <c r="AE797" i="6"/>
  <c r="AD797" i="6"/>
  <c r="W797" i="6"/>
  <c r="T797" i="6"/>
  <c r="V797" i="6" s="1"/>
  <c r="S797" i="6"/>
  <c r="P797" i="6"/>
  <c r="O797" i="6"/>
  <c r="N797" i="6"/>
  <c r="M797" i="6"/>
  <c r="B797" i="6"/>
  <c r="AE796" i="6"/>
  <c r="AD796" i="6"/>
  <c r="W796" i="6"/>
  <c r="T796" i="6"/>
  <c r="V796" i="6" s="1"/>
  <c r="S796" i="6"/>
  <c r="P796" i="6"/>
  <c r="O796" i="6"/>
  <c r="N796" i="6"/>
  <c r="M796" i="6"/>
  <c r="B796" i="6"/>
  <c r="AE795" i="6"/>
  <c r="AD795" i="6"/>
  <c r="W795" i="6"/>
  <c r="T795" i="6"/>
  <c r="V795" i="6" s="1"/>
  <c r="S795" i="6"/>
  <c r="P795" i="6"/>
  <c r="O795" i="6"/>
  <c r="N795" i="6"/>
  <c r="M795" i="6"/>
  <c r="B795" i="6"/>
  <c r="AE794" i="6"/>
  <c r="AD794" i="6"/>
  <c r="W794" i="6"/>
  <c r="V794" i="6"/>
  <c r="U794" i="6"/>
  <c r="T794" i="6"/>
  <c r="S794" i="6"/>
  <c r="P794" i="6"/>
  <c r="O794" i="6"/>
  <c r="N794" i="6"/>
  <c r="M794" i="6"/>
  <c r="B794" i="6"/>
  <c r="AE793" i="6"/>
  <c r="AD793" i="6"/>
  <c r="W793" i="6"/>
  <c r="V793" i="6"/>
  <c r="U793" i="6"/>
  <c r="T793" i="6"/>
  <c r="S793" i="6"/>
  <c r="P793" i="6"/>
  <c r="O793" i="6"/>
  <c r="N793" i="6"/>
  <c r="M793" i="6"/>
  <c r="B793" i="6"/>
  <c r="AE792" i="6"/>
  <c r="AD792" i="6"/>
  <c r="W792" i="6"/>
  <c r="T792" i="6"/>
  <c r="V792" i="6" s="1"/>
  <c r="S792" i="6"/>
  <c r="P792" i="6"/>
  <c r="O792" i="6"/>
  <c r="N792" i="6"/>
  <c r="M792" i="6"/>
  <c r="B792" i="6"/>
  <c r="AE791" i="6"/>
  <c r="AD791" i="6"/>
  <c r="W791" i="6"/>
  <c r="U791" i="6"/>
  <c r="T791" i="6"/>
  <c r="V791" i="6" s="1"/>
  <c r="S791" i="6"/>
  <c r="P791" i="6"/>
  <c r="O791" i="6"/>
  <c r="N791" i="6"/>
  <c r="M791" i="6"/>
  <c r="B791" i="6"/>
  <c r="AE790" i="6"/>
  <c r="AD790" i="6"/>
  <c r="W790" i="6"/>
  <c r="T790" i="6"/>
  <c r="V790" i="6" s="1"/>
  <c r="S790" i="6"/>
  <c r="P790" i="6"/>
  <c r="O790" i="6"/>
  <c r="N790" i="6"/>
  <c r="M790" i="6"/>
  <c r="B790" i="6"/>
  <c r="AE789" i="6"/>
  <c r="AD789" i="6"/>
  <c r="W789" i="6"/>
  <c r="T789" i="6"/>
  <c r="V789" i="6" s="1"/>
  <c r="S789" i="6"/>
  <c r="P789" i="6"/>
  <c r="O789" i="6"/>
  <c r="N789" i="6"/>
  <c r="M789" i="6"/>
  <c r="B789" i="6"/>
  <c r="AE788" i="6"/>
  <c r="AD788" i="6"/>
  <c r="W788" i="6"/>
  <c r="V788" i="6"/>
  <c r="U788" i="6"/>
  <c r="T788" i="6"/>
  <c r="S788" i="6"/>
  <c r="P788" i="6"/>
  <c r="O788" i="6"/>
  <c r="N788" i="6"/>
  <c r="M788" i="6"/>
  <c r="B788" i="6"/>
  <c r="AE787" i="6"/>
  <c r="AD787" i="6"/>
  <c r="W787" i="6"/>
  <c r="T787" i="6"/>
  <c r="V787" i="6" s="1"/>
  <c r="S787" i="6"/>
  <c r="P787" i="6"/>
  <c r="O787" i="6"/>
  <c r="N787" i="6"/>
  <c r="M787" i="6"/>
  <c r="B787" i="6"/>
  <c r="AE786" i="6"/>
  <c r="AD786" i="6"/>
  <c r="W786" i="6"/>
  <c r="U786" i="6"/>
  <c r="T786" i="6"/>
  <c r="V786" i="6" s="1"/>
  <c r="S786" i="6"/>
  <c r="P786" i="6"/>
  <c r="O786" i="6"/>
  <c r="N786" i="6"/>
  <c r="M786" i="6"/>
  <c r="B786" i="6"/>
  <c r="AE785" i="6"/>
  <c r="AD785" i="6"/>
  <c r="W785" i="6"/>
  <c r="V785" i="6"/>
  <c r="U785" i="6"/>
  <c r="T785" i="6"/>
  <c r="S785" i="6"/>
  <c r="P785" i="6"/>
  <c r="O785" i="6"/>
  <c r="N785" i="6"/>
  <c r="M785" i="6"/>
  <c r="B785" i="6"/>
  <c r="AE784" i="6"/>
  <c r="AD784" i="6"/>
  <c r="W784" i="6"/>
  <c r="V784" i="6"/>
  <c r="T784" i="6"/>
  <c r="U784" i="6" s="1"/>
  <c r="S784" i="6"/>
  <c r="P784" i="6"/>
  <c r="O784" i="6"/>
  <c r="N784" i="6"/>
  <c r="M784" i="6"/>
  <c r="B784" i="6"/>
  <c r="AE783" i="6"/>
  <c r="AD783" i="6"/>
  <c r="W783" i="6"/>
  <c r="V783" i="6"/>
  <c r="U783" i="6"/>
  <c r="T783" i="6"/>
  <c r="S783" i="6"/>
  <c r="P783" i="6"/>
  <c r="O783" i="6"/>
  <c r="N783" i="6"/>
  <c r="M783" i="6"/>
  <c r="B783" i="6"/>
  <c r="AE782" i="6"/>
  <c r="AD782" i="6"/>
  <c r="W782" i="6"/>
  <c r="T782" i="6"/>
  <c r="V782" i="6" s="1"/>
  <c r="S782" i="6"/>
  <c r="P782" i="6"/>
  <c r="O782" i="6"/>
  <c r="N782" i="6"/>
  <c r="M782" i="6"/>
  <c r="B782" i="6"/>
  <c r="AE781" i="6"/>
  <c r="AD781" i="6"/>
  <c r="W781" i="6"/>
  <c r="T781" i="6"/>
  <c r="V781" i="6" s="1"/>
  <c r="S781" i="6"/>
  <c r="P781" i="6"/>
  <c r="O781" i="6"/>
  <c r="N781" i="6"/>
  <c r="M781" i="6"/>
  <c r="B781" i="6"/>
  <c r="AE780" i="6"/>
  <c r="AD780" i="6"/>
  <c r="W780" i="6"/>
  <c r="V780" i="6"/>
  <c r="U780" i="6"/>
  <c r="T780" i="6"/>
  <c r="S780" i="6"/>
  <c r="P780" i="6"/>
  <c r="O780" i="6"/>
  <c r="N780" i="6"/>
  <c r="M780" i="6"/>
  <c r="B780" i="6"/>
  <c r="AE779" i="6"/>
  <c r="AD779" i="6"/>
  <c r="W779" i="6"/>
  <c r="T779" i="6"/>
  <c r="V779" i="6" s="1"/>
  <c r="S779" i="6"/>
  <c r="P779" i="6"/>
  <c r="O779" i="6"/>
  <c r="N779" i="6"/>
  <c r="M779" i="6"/>
  <c r="B779" i="6"/>
  <c r="AE778" i="6"/>
  <c r="AD778" i="6"/>
  <c r="W778" i="6"/>
  <c r="V778" i="6"/>
  <c r="U778" i="6"/>
  <c r="T778" i="6"/>
  <c r="S778" i="6"/>
  <c r="P778" i="6"/>
  <c r="O778" i="6"/>
  <c r="N778" i="6"/>
  <c r="M778" i="6"/>
  <c r="B778" i="6"/>
  <c r="AE777" i="6"/>
  <c r="AD777" i="6"/>
  <c r="W777" i="6"/>
  <c r="T777" i="6"/>
  <c r="V777" i="6" s="1"/>
  <c r="S777" i="6"/>
  <c r="P777" i="6"/>
  <c r="O777" i="6"/>
  <c r="N777" i="6"/>
  <c r="M777" i="6"/>
  <c r="B777" i="6"/>
  <c r="AE776" i="6"/>
  <c r="AD776" i="6"/>
  <c r="W776" i="6"/>
  <c r="T776" i="6"/>
  <c r="V776" i="6" s="1"/>
  <c r="S776" i="6"/>
  <c r="P776" i="6"/>
  <c r="O776" i="6"/>
  <c r="N776" i="6"/>
  <c r="M776" i="6"/>
  <c r="B776" i="6"/>
  <c r="AE775" i="6"/>
  <c r="AD775" i="6"/>
  <c r="W775" i="6"/>
  <c r="T775" i="6"/>
  <c r="V775" i="6" s="1"/>
  <c r="S775" i="6"/>
  <c r="P775" i="6"/>
  <c r="O775" i="6"/>
  <c r="N775" i="6"/>
  <c r="M775" i="6"/>
  <c r="B775" i="6"/>
  <c r="AE774" i="6"/>
  <c r="AD774" i="6"/>
  <c r="W774" i="6"/>
  <c r="T774" i="6"/>
  <c r="V774" i="6" s="1"/>
  <c r="S774" i="6"/>
  <c r="P774" i="6"/>
  <c r="O774" i="6"/>
  <c r="N774" i="6"/>
  <c r="M774" i="6"/>
  <c r="B774" i="6"/>
  <c r="AE773" i="6"/>
  <c r="AD773" i="6"/>
  <c r="W773" i="6"/>
  <c r="V773" i="6"/>
  <c r="U773" i="6"/>
  <c r="T773" i="6"/>
  <c r="S773" i="6"/>
  <c r="P773" i="6"/>
  <c r="O773" i="6"/>
  <c r="N773" i="6"/>
  <c r="M773" i="6"/>
  <c r="B773" i="6"/>
  <c r="AE772" i="6"/>
  <c r="AD772" i="6"/>
  <c r="W772" i="6"/>
  <c r="T772" i="6"/>
  <c r="V772" i="6" s="1"/>
  <c r="S772" i="6"/>
  <c r="P772" i="6"/>
  <c r="O772" i="6"/>
  <c r="N772" i="6"/>
  <c r="M772" i="6"/>
  <c r="B772" i="6"/>
  <c r="AE771" i="6"/>
  <c r="AD771" i="6"/>
  <c r="W771" i="6"/>
  <c r="T771" i="6"/>
  <c r="V771" i="6" s="1"/>
  <c r="S771" i="6"/>
  <c r="P771" i="6"/>
  <c r="O771" i="6"/>
  <c r="N771" i="6"/>
  <c r="M771" i="6"/>
  <c r="B771" i="6"/>
  <c r="AE770" i="6"/>
  <c r="AD770" i="6"/>
  <c r="W770" i="6"/>
  <c r="V770" i="6"/>
  <c r="U770" i="6"/>
  <c r="T770" i="6"/>
  <c r="S770" i="6"/>
  <c r="P770" i="6"/>
  <c r="O770" i="6"/>
  <c r="N770" i="6"/>
  <c r="M770" i="6"/>
  <c r="B770" i="6"/>
  <c r="AE769" i="6"/>
  <c r="AD769" i="6"/>
  <c r="W769" i="6"/>
  <c r="T769" i="6"/>
  <c r="V769" i="6" s="1"/>
  <c r="S769" i="6"/>
  <c r="P769" i="6"/>
  <c r="O769" i="6"/>
  <c r="N769" i="6"/>
  <c r="M769" i="6"/>
  <c r="B769" i="6"/>
  <c r="AE768" i="6"/>
  <c r="AD768" i="6"/>
  <c r="W768" i="6"/>
  <c r="V768" i="6"/>
  <c r="U768" i="6"/>
  <c r="T768" i="6"/>
  <c r="S768" i="6"/>
  <c r="P768" i="6"/>
  <c r="O768" i="6"/>
  <c r="N768" i="6"/>
  <c r="M768" i="6"/>
  <c r="B768" i="6"/>
  <c r="AE767" i="6"/>
  <c r="AD767" i="6"/>
  <c r="W767" i="6"/>
  <c r="T767" i="6"/>
  <c r="V767" i="6" s="1"/>
  <c r="S767" i="6"/>
  <c r="P767" i="6"/>
  <c r="O767" i="6"/>
  <c r="N767" i="6"/>
  <c r="M767" i="6"/>
  <c r="B767" i="6"/>
  <c r="AE766" i="6"/>
  <c r="AD766" i="6"/>
  <c r="W766" i="6"/>
  <c r="T766" i="6"/>
  <c r="V766" i="6" s="1"/>
  <c r="S766" i="6"/>
  <c r="P766" i="6"/>
  <c r="O766" i="6"/>
  <c r="N766" i="6"/>
  <c r="M766" i="6"/>
  <c r="B766" i="6"/>
  <c r="AE765" i="6"/>
  <c r="AD765" i="6"/>
  <c r="W765" i="6"/>
  <c r="V765" i="6"/>
  <c r="T765" i="6"/>
  <c r="U765" i="6" s="1"/>
  <c r="S765" i="6"/>
  <c r="P765" i="6"/>
  <c r="O765" i="6"/>
  <c r="N765" i="6"/>
  <c r="M765" i="6"/>
  <c r="B765" i="6"/>
  <c r="AE764" i="6"/>
  <c r="AD764" i="6"/>
  <c r="W764" i="6"/>
  <c r="V764" i="6"/>
  <c r="U764" i="6"/>
  <c r="T764" i="6"/>
  <c r="S764" i="6"/>
  <c r="P764" i="6"/>
  <c r="O764" i="6"/>
  <c r="N764" i="6"/>
  <c r="M764" i="6"/>
  <c r="B764" i="6"/>
  <c r="AE763" i="6"/>
  <c r="AD763" i="6"/>
  <c r="W763" i="6"/>
  <c r="V763" i="6"/>
  <c r="U763" i="6"/>
  <c r="T763" i="6"/>
  <c r="S763" i="6"/>
  <c r="P763" i="6"/>
  <c r="O763" i="6"/>
  <c r="N763" i="6"/>
  <c r="M763" i="6"/>
  <c r="B763" i="6"/>
  <c r="AE762" i="6"/>
  <c r="AD762" i="6"/>
  <c r="W762" i="6"/>
  <c r="T762" i="6"/>
  <c r="V762" i="6" s="1"/>
  <c r="S762" i="6"/>
  <c r="P762" i="6"/>
  <c r="O762" i="6"/>
  <c r="N762" i="6"/>
  <c r="M762" i="6"/>
  <c r="B762" i="6"/>
  <c r="AE761" i="6"/>
  <c r="AD761" i="6"/>
  <c r="W761" i="6"/>
  <c r="T761" i="6"/>
  <c r="V761" i="6" s="1"/>
  <c r="S761" i="6"/>
  <c r="P761" i="6"/>
  <c r="O761" i="6"/>
  <c r="N761" i="6"/>
  <c r="M761" i="6"/>
  <c r="B761" i="6"/>
  <c r="AE760" i="6"/>
  <c r="AD760" i="6"/>
  <c r="W760" i="6"/>
  <c r="T760" i="6"/>
  <c r="V760" i="6" s="1"/>
  <c r="S760" i="6"/>
  <c r="P760" i="6"/>
  <c r="O760" i="6"/>
  <c r="N760" i="6"/>
  <c r="M760" i="6"/>
  <c r="B760" i="6"/>
  <c r="AE759" i="6"/>
  <c r="AD759" i="6"/>
  <c r="W759" i="6"/>
  <c r="V759" i="6"/>
  <c r="U759" i="6"/>
  <c r="T759" i="6"/>
  <c r="S759" i="6"/>
  <c r="P759" i="6"/>
  <c r="O759" i="6"/>
  <c r="N759" i="6"/>
  <c r="M759" i="6"/>
  <c r="B759" i="6"/>
  <c r="AE758" i="6"/>
  <c r="AD758" i="6"/>
  <c r="W758" i="6"/>
  <c r="V758" i="6"/>
  <c r="U758" i="6"/>
  <c r="T758" i="6"/>
  <c r="S758" i="6"/>
  <c r="P758" i="6"/>
  <c r="O758" i="6"/>
  <c r="N758" i="6"/>
  <c r="M758" i="6"/>
  <c r="B758" i="6"/>
  <c r="AE757" i="6"/>
  <c r="AD757" i="6"/>
  <c r="W757" i="6"/>
  <c r="T757" i="6"/>
  <c r="V757" i="6" s="1"/>
  <c r="S757" i="6"/>
  <c r="P757" i="6"/>
  <c r="O757" i="6"/>
  <c r="N757" i="6"/>
  <c r="M757" i="6"/>
  <c r="B757" i="6"/>
  <c r="AE756" i="6"/>
  <c r="AD756" i="6"/>
  <c r="W756" i="6"/>
  <c r="U756" i="6"/>
  <c r="T756" i="6"/>
  <c r="V756" i="6" s="1"/>
  <c r="S756" i="6"/>
  <c r="P756" i="6"/>
  <c r="O756" i="6"/>
  <c r="N756" i="6"/>
  <c r="M756" i="6"/>
  <c r="B756" i="6"/>
  <c r="AE755" i="6"/>
  <c r="AD755" i="6"/>
  <c r="W755" i="6"/>
  <c r="V755" i="6"/>
  <c r="T755" i="6"/>
  <c r="U755" i="6" s="1"/>
  <c r="S755" i="6"/>
  <c r="P755" i="6"/>
  <c r="O755" i="6"/>
  <c r="N755" i="6"/>
  <c r="M755" i="6"/>
  <c r="B755" i="6"/>
  <c r="AE754" i="6"/>
  <c r="AD754" i="6"/>
  <c r="W754" i="6"/>
  <c r="T754" i="6"/>
  <c r="V754" i="6" s="1"/>
  <c r="S754" i="6"/>
  <c r="P754" i="6"/>
  <c r="O754" i="6"/>
  <c r="N754" i="6"/>
  <c r="M754" i="6"/>
  <c r="B754" i="6"/>
  <c r="AE753" i="6"/>
  <c r="AD753" i="6"/>
  <c r="W753" i="6"/>
  <c r="V753" i="6"/>
  <c r="U753" i="6"/>
  <c r="T753" i="6"/>
  <c r="S753" i="6"/>
  <c r="P753" i="6"/>
  <c r="O753" i="6"/>
  <c r="N753" i="6"/>
  <c r="M753" i="6"/>
  <c r="B753" i="6"/>
  <c r="AE752" i="6"/>
  <c r="AD752" i="6"/>
  <c r="W752" i="6"/>
  <c r="T752" i="6"/>
  <c r="V752" i="6" s="1"/>
  <c r="S752" i="6"/>
  <c r="P752" i="6"/>
  <c r="O752" i="6"/>
  <c r="N752" i="6"/>
  <c r="M752" i="6"/>
  <c r="B752" i="6"/>
  <c r="AE751" i="6"/>
  <c r="AD751" i="6"/>
  <c r="W751" i="6"/>
  <c r="U751" i="6"/>
  <c r="T751" i="6"/>
  <c r="V751" i="6" s="1"/>
  <c r="S751" i="6"/>
  <c r="P751" i="6"/>
  <c r="O751" i="6"/>
  <c r="N751" i="6"/>
  <c r="M751" i="6"/>
  <c r="B751" i="6"/>
  <c r="AE750" i="6"/>
  <c r="AD750" i="6"/>
  <c r="W750" i="6"/>
  <c r="T750" i="6"/>
  <c r="V750" i="6" s="1"/>
  <c r="S750" i="6"/>
  <c r="P750" i="6"/>
  <c r="O750" i="6"/>
  <c r="N750" i="6"/>
  <c r="M750" i="6"/>
  <c r="B750" i="6"/>
  <c r="AE749" i="6"/>
  <c r="AD749" i="6"/>
  <c r="W749" i="6"/>
  <c r="V749" i="6"/>
  <c r="U749" i="6"/>
  <c r="T749" i="6"/>
  <c r="S749" i="6"/>
  <c r="P749" i="6"/>
  <c r="O749" i="6"/>
  <c r="N749" i="6"/>
  <c r="M749" i="6"/>
  <c r="B749" i="6"/>
  <c r="AE748" i="6"/>
  <c r="AD748" i="6"/>
  <c r="W748" i="6"/>
  <c r="V748" i="6"/>
  <c r="U748" i="6"/>
  <c r="T748" i="6"/>
  <c r="S748" i="6"/>
  <c r="P748" i="6"/>
  <c r="O748" i="6"/>
  <c r="N748" i="6"/>
  <c r="M748" i="6"/>
  <c r="B748" i="6"/>
  <c r="AE747" i="6"/>
  <c r="AD747" i="6"/>
  <c r="W747" i="6"/>
  <c r="T747" i="6"/>
  <c r="V747" i="6" s="1"/>
  <c r="S747" i="6"/>
  <c r="P747" i="6"/>
  <c r="O747" i="6"/>
  <c r="N747" i="6"/>
  <c r="M747" i="6"/>
  <c r="B747" i="6"/>
  <c r="AE746" i="6"/>
  <c r="AD746" i="6"/>
  <c r="W746" i="6"/>
  <c r="T746" i="6"/>
  <c r="V746" i="6" s="1"/>
  <c r="S746" i="6"/>
  <c r="P746" i="6"/>
  <c r="O746" i="6"/>
  <c r="N746" i="6"/>
  <c r="M746" i="6"/>
  <c r="B746" i="6"/>
  <c r="AE745" i="6"/>
  <c r="AD745" i="6"/>
  <c r="W745" i="6"/>
  <c r="T745" i="6"/>
  <c r="V745" i="6" s="1"/>
  <c r="S745" i="6"/>
  <c r="P745" i="6"/>
  <c r="O745" i="6"/>
  <c r="N745" i="6"/>
  <c r="M745" i="6"/>
  <c r="B745" i="6"/>
  <c r="AE744" i="6"/>
  <c r="AD744" i="6"/>
  <c r="W744" i="6"/>
  <c r="V744" i="6"/>
  <c r="U744" i="6"/>
  <c r="T744" i="6"/>
  <c r="S744" i="6"/>
  <c r="P744" i="6"/>
  <c r="O744" i="6"/>
  <c r="N744" i="6"/>
  <c r="M744" i="6"/>
  <c r="B744" i="6"/>
  <c r="AE743" i="6"/>
  <c r="AD743" i="6"/>
  <c r="W743" i="6"/>
  <c r="V743" i="6"/>
  <c r="U743" i="6"/>
  <c r="T743" i="6"/>
  <c r="S743" i="6"/>
  <c r="P743" i="6"/>
  <c r="O743" i="6"/>
  <c r="N743" i="6"/>
  <c r="M743" i="6"/>
  <c r="B743" i="6"/>
  <c r="AE742" i="6"/>
  <c r="AD742" i="6"/>
  <c r="W742" i="6"/>
  <c r="T742" i="6"/>
  <c r="V742" i="6" s="1"/>
  <c r="S742" i="6"/>
  <c r="P742" i="6"/>
  <c r="O742" i="6"/>
  <c r="N742" i="6"/>
  <c r="M742" i="6"/>
  <c r="B742" i="6"/>
  <c r="AE741" i="6"/>
  <c r="AD741" i="6"/>
  <c r="W741" i="6"/>
  <c r="U741" i="6"/>
  <c r="T741" i="6"/>
  <c r="V741" i="6" s="1"/>
  <c r="S741" i="6"/>
  <c r="P741" i="6"/>
  <c r="O741" i="6"/>
  <c r="N741" i="6"/>
  <c r="M741" i="6"/>
  <c r="B741" i="6"/>
  <c r="AE740" i="6"/>
  <c r="AD740" i="6"/>
  <c r="W740" i="6"/>
  <c r="T740" i="6"/>
  <c r="V740" i="6" s="1"/>
  <c r="S740" i="6"/>
  <c r="P740" i="6"/>
  <c r="O740" i="6"/>
  <c r="N740" i="6"/>
  <c r="M740" i="6"/>
  <c r="B740" i="6"/>
  <c r="AE739" i="6"/>
  <c r="AD739" i="6"/>
  <c r="W739" i="6"/>
  <c r="T739" i="6"/>
  <c r="V739" i="6" s="1"/>
  <c r="S739" i="6"/>
  <c r="P739" i="6"/>
  <c r="O739" i="6"/>
  <c r="N739" i="6"/>
  <c r="M739" i="6"/>
  <c r="B739" i="6"/>
  <c r="AE738" i="6"/>
  <c r="AD738" i="6"/>
  <c r="W738" i="6"/>
  <c r="V738" i="6"/>
  <c r="U738" i="6"/>
  <c r="T738" i="6"/>
  <c r="S738" i="6"/>
  <c r="P738" i="6"/>
  <c r="O738" i="6"/>
  <c r="N738" i="6"/>
  <c r="M738" i="6"/>
  <c r="B738" i="6"/>
  <c r="AE737" i="6"/>
  <c r="AD737" i="6"/>
  <c r="W737" i="6"/>
  <c r="T737" i="6"/>
  <c r="V737" i="6" s="1"/>
  <c r="S737" i="6"/>
  <c r="P737" i="6"/>
  <c r="O737" i="6"/>
  <c r="N737" i="6"/>
  <c r="M737" i="6"/>
  <c r="B737" i="6"/>
  <c r="AE736" i="6"/>
  <c r="AD736" i="6"/>
  <c r="W736" i="6"/>
  <c r="U736" i="6"/>
  <c r="T736" i="6"/>
  <c r="V736" i="6" s="1"/>
  <c r="S736" i="6"/>
  <c r="P736" i="6"/>
  <c r="O736" i="6"/>
  <c r="N736" i="6"/>
  <c r="M736" i="6"/>
  <c r="B736" i="6"/>
  <c r="AE735" i="6"/>
  <c r="AD735" i="6"/>
  <c r="W735" i="6"/>
  <c r="V735" i="6"/>
  <c r="U735" i="6"/>
  <c r="T735" i="6"/>
  <c r="S735" i="6"/>
  <c r="P735" i="6"/>
  <c r="O735" i="6"/>
  <c r="N735" i="6"/>
  <c r="M735" i="6"/>
  <c r="B735" i="6"/>
  <c r="AE734" i="6"/>
  <c r="AD734" i="6"/>
  <c r="W734" i="6"/>
  <c r="V734" i="6"/>
  <c r="T734" i="6"/>
  <c r="U734" i="6" s="1"/>
  <c r="S734" i="6"/>
  <c r="P734" i="6"/>
  <c r="O734" i="6"/>
  <c r="N734" i="6"/>
  <c r="M734" i="6"/>
  <c r="B734" i="6"/>
  <c r="AE733" i="6"/>
  <c r="AD733" i="6"/>
  <c r="W733" i="6"/>
  <c r="V733" i="6"/>
  <c r="U733" i="6"/>
  <c r="T733" i="6"/>
  <c r="S733" i="6"/>
  <c r="P733" i="6"/>
  <c r="O733" i="6"/>
  <c r="N733" i="6"/>
  <c r="M733" i="6"/>
  <c r="B733" i="6"/>
  <c r="AE732" i="6"/>
  <c r="AD732" i="6"/>
  <c r="W732" i="6"/>
  <c r="T732" i="6"/>
  <c r="V732" i="6" s="1"/>
  <c r="S732" i="6"/>
  <c r="P732" i="6"/>
  <c r="O732" i="6"/>
  <c r="N732" i="6"/>
  <c r="M732" i="6"/>
  <c r="B732" i="6"/>
  <c r="AE731" i="6"/>
  <c r="AD731" i="6"/>
  <c r="W731" i="6"/>
  <c r="T731" i="6"/>
  <c r="V731" i="6" s="1"/>
  <c r="S731" i="6"/>
  <c r="P731" i="6"/>
  <c r="O731" i="6"/>
  <c r="N731" i="6"/>
  <c r="M731" i="6"/>
  <c r="B731" i="6"/>
  <c r="AE730" i="6"/>
  <c r="AD730" i="6"/>
  <c r="W730" i="6"/>
  <c r="V730" i="6"/>
  <c r="U730" i="6"/>
  <c r="T730" i="6"/>
  <c r="S730" i="6"/>
  <c r="P730" i="6"/>
  <c r="O730" i="6"/>
  <c r="N730" i="6"/>
  <c r="M730" i="6"/>
  <c r="B730" i="6"/>
  <c r="AE729" i="6"/>
  <c r="AD729" i="6"/>
  <c r="W729" i="6"/>
  <c r="T729" i="6"/>
  <c r="V729" i="6" s="1"/>
  <c r="S729" i="6"/>
  <c r="P729" i="6"/>
  <c r="O729" i="6"/>
  <c r="N729" i="6"/>
  <c r="M729" i="6"/>
  <c r="B729" i="6"/>
  <c r="AE728" i="6"/>
  <c r="AD728" i="6"/>
  <c r="W728" i="6"/>
  <c r="V728" i="6"/>
  <c r="U728" i="6"/>
  <c r="T728" i="6"/>
  <c r="S728" i="6"/>
  <c r="P728" i="6"/>
  <c r="O728" i="6"/>
  <c r="N728" i="6"/>
  <c r="M728" i="6"/>
  <c r="B728" i="6"/>
  <c r="AE727" i="6"/>
  <c r="AD727" i="6"/>
  <c r="W727" i="6"/>
  <c r="T727" i="6"/>
  <c r="V727" i="6" s="1"/>
  <c r="S727" i="6"/>
  <c r="P727" i="6"/>
  <c r="O727" i="6"/>
  <c r="N727" i="6"/>
  <c r="M727" i="6"/>
  <c r="B727" i="6"/>
  <c r="AE726" i="6"/>
  <c r="AD726" i="6"/>
  <c r="W726" i="6"/>
  <c r="T726" i="6"/>
  <c r="V726" i="6" s="1"/>
  <c r="S726" i="6"/>
  <c r="P726" i="6"/>
  <c r="O726" i="6"/>
  <c r="N726" i="6"/>
  <c r="M726" i="6"/>
  <c r="B726" i="6"/>
  <c r="AE725" i="6"/>
  <c r="AD725" i="6"/>
  <c r="W725" i="6"/>
  <c r="T725" i="6"/>
  <c r="V725" i="6" s="1"/>
  <c r="S725" i="6"/>
  <c r="P725" i="6"/>
  <c r="O725" i="6"/>
  <c r="N725" i="6"/>
  <c r="M725" i="6"/>
  <c r="B725" i="6"/>
  <c r="AE724" i="6"/>
  <c r="AD724" i="6"/>
  <c r="W724" i="6"/>
  <c r="T724" i="6"/>
  <c r="V724" i="6" s="1"/>
  <c r="S724" i="6"/>
  <c r="P724" i="6"/>
  <c r="O724" i="6"/>
  <c r="N724" i="6"/>
  <c r="M724" i="6"/>
  <c r="B724" i="6"/>
  <c r="AE723" i="6"/>
  <c r="AD723" i="6"/>
  <c r="W723" i="6"/>
  <c r="V723" i="6"/>
  <c r="U723" i="6"/>
  <c r="T723" i="6"/>
  <c r="S723" i="6"/>
  <c r="P723" i="6"/>
  <c r="O723" i="6"/>
  <c r="N723" i="6"/>
  <c r="M723" i="6"/>
  <c r="B723" i="6"/>
  <c r="AE722" i="6"/>
  <c r="AD722" i="6"/>
  <c r="W722" i="6"/>
  <c r="T722" i="6"/>
  <c r="V722" i="6" s="1"/>
  <c r="S722" i="6"/>
  <c r="P722" i="6"/>
  <c r="O722" i="6"/>
  <c r="N722" i="6"/>
  <c r="M722" i="6"/>
  <c r="B722" i="6"/>
  <c r="AE721" i="6"/>
  <c r="AD721" i="6"/>
  <c r="W721" i="6"/>
  <c r="T721" i="6"/>
  <c r="V721" i="6" s="1"/>
  <c r="S721" i="6"/>
  <c r="P721" i="6"/>
  <c r="O721" i="6"/>
  <c r="N721" i="6"/>
  <c r="M721" i="6"/>
  <c r="B721" i="6"/>
  <c r="AE720" i="6"/>
  <c r="AD720" i="6"/>
  <c r="W720" i="6"/>
  <c r="V720" i="6"/>
  <c r="U720" i="6"/>
  <c r="T720" i="6"/>
  <c r="S720" i="6"/>
  <c r="P720" i="6"/>
  <c r="O720" i="6"/>
  <c r="N720" i="6"/>
  <c r="M720" i="6"/>
  <c r="B720" i="6"/>
  <c r="AE719" i="6"/>
  <c r="AD719" i="6"/>
  <c r="W719" i="6"/>
  <c r="T719" i="6"/>
  <c r="V719" i="6" s="1"/>
  <c r="S719" i="6"/>
  <c r="P719" i="6"/>
  <c r="O719" i="6"/>
  <c r="N719" i="6"/>
  <c r="M719" i="6"/>
  <c r="B719" i="6"/>
  <c r="AE718" i="6"/>
  <c r="AD718" i="6"/>
  <c r="W718" i="6"/>
  <c r="V718" i="6"/>
  <c r="U718" i="6"/>
  <c r="T718" i="6"/>
  <c r="S718" i="6"/>
  <c r="P718" i="6"/>
  <c r="O718" i="6"/>
  <c r="N718" i="6"/>
  <c r="M718" i="6"/>
  <c r="B718" i="6"/>
  <c r="AE717" i="6"/>
  <c r="AD717" i="6"/>
  <c r="W717" i="6"/>
  <c r="T717" i="6"/>
  <c r="V717" i="6" s="1"/>
  <c r="S717" i="6"/>
  <c r="P717" i="6"/>
  <c r="O717" i="6"/>
  <c r="N717" i="6"/>
  <c r="M717" i="6"/>
  <c r="B717" i="6"/>
  <c r="AE716" i="6"/>
  <c r="AD716" i="6"/>
  <c r="W716" i="6"/>
  <c r="T716" i="6"/>
  <c r="V716" i="6" s="1"/>
  <c r="S716" i="6"/>
  <c r="P716" i="6"/>
  <c r="O716" i="6"/>
  <c r="N716" i="6"/>
  <c r="M716" i="6"/>
  <c r="B716" i="6"/>
  <c r="AE715" i="6"/>
  <c r="AD715" i="6"/>
  <c r="W715" i="6"/>
  <c r="V715" i="6"/>
  <c r="U715" i="6"/>
  <c r="T715" i="6"/>
  <c r="S715" i="6"/>
  <c r="P715" i="6"/>
  <c r="O715" i="6"/>
  <c r="N715" i="6"/>
  <c r="M715" i="6"/>
  <c r="B715" i="6"/>
  <c r="AE714" i="6"/>
  <c r="AD714" i="6"/>
  <c r="W714" i="6"/>
  <c r="V714" i="6"/>
  <c r="U714" i="6"/>
  <c r="T714" i="6"/>
  <c r="S714" i="6"/>
  <c r="P714" i="6"/>
  <c r="O714" i="6"/>
  <c r="N714" i="6"/>
  <c r="M714" i="6"/>
  <c r="B714" i="6"/>
  <c r="AE713" i="6"/>
  <c r="AD713" i="6"/>
  <c r="W713" i="6"/>
  <c r="V713" i="6"/>
  <c r="U713" i="6"/>
  <c r="T713" i="6"/>
  <c r="S713" i="6"/>
  <c r="P713" i="6"/>
  <c r="O713" i="6"/>
  <c r="N713" i="6"/>
  <c r="M713" i="6"/>
  <c r="B713" i="6"/>
  <c r="AE712" i="6"/>
  <c r="AD712" i="6"/>
  <c r="W712" i="6"/>
  <c r="T712" i="6"/>
  <c r="V712" i="6" s="1"/>
  <c r="S712" i="6"/>
  <c r="P712" i="6"/>
  <c r="O712" i="6"/>
  <c r="N712" i="6"/>
  <c r="M712" i="6"/>
  <c r="B712" i="6"/>
  <c r="AE711" i="6"/>
  <c r="AD711" i="6"/>
  <c r="W711" i="6"/>
  <c r="T711" i="6"/>
  <c r="V711" i="6" s="1"/>
  <c r="S711" i="6"/>
  <c r="P711" i="6"/>
  <c r="O711" i="6"/>
  <c r="N711" i="6"/>
  <c r="M711" i="6"/>
  <c r="B711" i="6"/>
  <c r="AE710" i="6"/>
  <c r="AD710" i="6"/>
  <c r="W710" i="6"/>
  <c r="T710" i="6"/>
  <c r="V710" i="6" s="1"/>
  <c r="S710" i="6"/>
  <c r="P710" i="6"/>
  <c r="O710" i="6"/>
  <c r="N710" i="6"/>
  <c r="M710" i="6"/>
  <c r="B710" i="6"/>
  <c r="AE709" i="6"/>
  <c r="AD709" i="6"/>
  <c r="W709" i="6"/>
  <c r="V709" i="6"/>
  <c r="U709" i="6"/>
  <c r="T709" i="6"/>
  <c r="S709" i="6"/>
  <c r="P709" i="6"/>
  <c r="O709" i="6"/>
  <c r="N709" i="6"/>
  <c r="M709" i="6"/>
  <c r="B709" i="6"/>
  <c r="AE708" i="6"/>
  <c r="AD708" i="6"/>
  <c r="W708" i="6"/>
  <c r="V708" i="6"/>
  <c r="U708" i="6"/>
  <c r="T708" i="6"/>
  <c r="S708" i="6"/>
  <c r="P708" i="6"/>
  <c r="O708" i="6"/>
  <c r="N708" i="6"/>
  <c r="M708" i="6"/>
  <c r="B708" i="6"/>
  <c r="AE707" i="6"/>
  <c r="AD707" i="6"/>
  <c r="W707" i="6"/>
  <c r="T707" i="6"/>
  <c r="V707" i="6" s="1"/>
  <c r="S707" i="6"/>
  <c r="P707" i="6"/>
  <c r="O707" i="6"/>
  <c r="N707" i="6"/>
  <c r="M707" i="6"/>
  <c r="B707" i="6"/>
  <c r="AE706" i="6"/>
  <c r="AD706" i="6"/>
  <c r="W706" i="6"/>
  <c r="U706" i="6"/>
  <c r="T706" i="6"/>
  <c r="V706" i="6" s="1"/>
  <c r="S706" i="6"/>
  <c r="P706" i="6"/>
  <c r="O706" i="6"/>
  <c r="N706" i="6"/>
  <c r="M706" i="6"/>
  <c r="B706" i="6"/>
  <c r="AE705" i="6"/>
  <c r="AD705" i="6"/>
  <c r="W705" i="6"/>
  <c r="V705" i="6"/>
  <c r="T705" i="6"/>
  <c r="U705" i="6" s="1"/>
  <c r="S705" i="6"/>
  <c r="P705" i="6"/>
  <c r="O705" i="6"/>
  <c r="N705" i="6"/>
  <c r="M705" i="6"/>
  <c r="B705" i="6"/>
  <c r="AE704" i="6"/>
  <c r="AD704" i="6"/>
  <c r="W704" i="6"/>
  <c r="T704" i="6"/>
  <c r="V704" i="6" s="1"/>
  <c r="S704" i="6"/>
  <c r="P704" i="6"/>
  <c r="O704" i="6"/>
  <c r="N704" i="6"/>
  <c r="M704" i="6"/>
  <c r="B704" i="6"/>
  <c r="AE703" i="6"/>
  <c r="AD703" i="6"/>
  <c r="W703" i="6"/>
  <c r="V703" i="6"/>
  <c r="U703" i="6"/>
  <c r="T703" i="6"/>
  <c r="S703" i="6"/>
  <c r="P703" i="6"/>
  <c r="O703" i="6"/>
  <c r="N703" i="6"/>
  <c r="M703" i="6"/>
  <c r="B703" i="6"/>
  <c r="AE702" i="6"/>
  <c r="AD702" i="6"/>
  <c r="W702" i="6"/>
  <c r="T702" i="6"/>
  <c r="V702" i="6" s="1"/>
  <c r="S702" i="6"/>
  <c r="P702" i="6"/>
  <c r="O702" i="6"/>
  <c r="N702" i="6"/>
  <c r="M702" i="6"/>
  <c r="B702" i="6"/>
  <c r="AE701" i="6"/>
  <c r="AD701" i="6"/>
  <c r="W701" i="6"/>
  <c r="U701" i="6"/>
  <c r="T701" i="6"/>
  <c r="V701" i="6" s="1"/>
  <c r="S701" i="6"/>
  <c r="P701" i="6"/>
  <c r="O701" i="6"/>
  <c r="N701" i="6"/>
  <c r="M701" i="6"/>
  <c r="B701" i="6"/>
  <c r="AE700" i="6"/>
  <c r="AD700" i="6"/>
  <c r="W700" i="6"/>
  <c r="T700" i="6"/>
  <c r="V700" i="6" s="1"/>
  <c r="S700" i="6"/>
  <c r="P700" i="6"/>
  <c r="O700" i="6"/>
  <c r="N700" i="6"/>
  <c r="M700" i="6"/>
  <c r="B700" i="6"/>
  <c r="AE699" i="6"/>
  <c r="AD699" i="6"/>
  <c r="W699" i="6"/>
  <c r="V699" i="6"/>
  <c r="U699" i="6"/>
  <c r="T699" i="6"/>
  <c r="S699" i="6"/>
  <c r="P699" i="6"/>
  <c r="O699" i="6"/>
  <c r="N699" i="6"/>
  <c r="M699" i="6"/>
  <c r="B699" i="6"/>
  <c r="AE698" i="6"/>
  <c r="AD698" i="6"/>
  <c r="W698" i="6"/>
  <c r="V698" i="6"/>
  <c r="U698" i="6"/>
  <c r="T698" i="6"/>
  <c r="S698" i="6"/>
  <c r="P698" i="6"/>
  <c r="O698" i="6"/>
  <c r="N698" i="6"/>
  <c r="M698" i="6"/>
  <c r="B698" i="6"/>
  <c r="AE697" i="6"/>
  <c r="AD697" i="6"/>
  <c r="W697" i="6"/>
  <c r="T697" i="6"/>
  <c r="V697" i="6" s="1"/>
  <c r="S697" i="6"/>
  <c r="P697" i="6"/>
  <c r="O697" i="6"/>
  <c r="N697" i="6"/>
  <c r="M697" i="6"/>
  <c r="B697" i="6"/>
  <c r="AE696" i="6"/>
  <c r="AD696" i="6"/>
  <c r="W696" i="6"/>
  <c r="T696" i="6"/>
  <c r="V696" i="6" s="1"/>
  <c r="S696" i="6"/>
  <c r="P696" i="6"/>
  <c r="O696" i="6"/>
  <c r="N696" i="6"/>
  <c r="M696" i="6"/>
  <c r="B696" i="6"/>
  <c r="AE695" i="6"/>
  <c r="AD695" i="6"/>
  <c r="W695" i="6"/>
  <c r="T695" i="6"/>
  <c r="V695" i="6" s="1"/>
  <c r="S695" i="6"/>
  <c r="P695" i="6"/>
  <c r="O695" i="6"/>
  <c r="N695" i="6"/>
  <c r="M695" i="6"/>
  <c r="B695" i="6"/>
  <c r="AE694" i="6"/>
  <c r="AD694" i="6"/>
  <c r="W694" i="6"/>
  <c r="V694" i="6"/>
  <c r="U694" i="6"/>
  <c r="T694" i="6"/>
  <c r="S694" i="6"/>
  <c r="P694" i="6"/>
  <c r="O694" i="6"/>
  <c r="N694" i="6"/>
  <c r="M694" i="6"/>
  <c r="B694" i="6"/>
  <c r="AE693" i="6"/>
  <c r="AD693" i="6"/>
  <c r="W693" i="6"/>
  <c r="V693" i="6"/>
  <c r="U693" i="6"/>
  <c r="T693" i="6"/>
  <c r="S693" i="6"/>
  <c r="P693" i="6"/>
  <c r="O693" i="6"/>
  <c r="N693" i="6"/>
  <c r="M693" i="6"/>
  <c r="B693" i="6"/>
  <c r="AE692" i="6"/>
  <c r="AD692" i="6"/>
  <c r="W692" i="6"/>
  <c r="T692" i="6"/>
  <c r="V692" i="6" s="1"/>
  <c r="S692" i="6"/>
  <c r="P692" i="6"/>
  <c r="O692" i="6"/>
  <c r="N692" i="6"/>
  <c r="M692" i="6"/>
  <c r="B692" i="6"/>
  <c r="AE691" i="6"/>
  <c r="AD691" i="6"/>
  <c r="W691" i="6"/>
  <c r="U691" i="6"/>
  <c r="T691" i="6"/>
  <c r="V691" i="6" s="1"/>
  <c r="S691" i="6"/>
  <c r="P691" i="6"/>
  <c r="O691" i="6"/>
  <c r="N691" i="6"/>
  <c r="M691" i="6"/>
  <c r="B691" i="6"/>
  <c r="AE690" i="6"/>
  <c r="AD690" i="6"/>
  <c r="W690" i="6"/>
  <c r="T690" i="6"/>
  <c r="V690" i="6" s="1"/>
  <c r="S690" i="6"/>
  <c r="P690" i="6"/>
  <c r="O690" i="6"/>
  <c r="N690" i="6"/>
  <c r="M690" i="6"/>
  <c r="B690" i="6"/>
  <c r="AE689" i="6"/>
  <c r="AD689" i="6"/>
  <c r="W689" i="6"/>
  <c r="T689" i="6"/>
  <c r="V689" i="6" s="1"/>
  <c r="S689" i="6"/>
  <c r="P689" i="6"/>
  <c r="O689" i="6"/>
  <c r="N689" i="6"/>
  <c r="M689" i="6"/>
  <c r="B689" i="6"/>
  <c r="AE688" i="6"/>
  <c r="AD688" i="6"/>
  <c r="W688" i="6"/>
  <c r="V688" i="6"/>
  <c r="U688" i="6"/>
  <c r="T688" i="6"/>
  <c r="S688" i="6"/>
  <c r="P688" i="6"/>
  <c r="O688" i="6"/>
  <c r="N688" i="6"/>
  <c r="M688" i="6"/>
  <c r="B688" i="6"/>
  <c r="AE687" i="6"/>
  <c r="AD687" i="6"/>
  <c r="W687" i="6"/>
  <c r="T687" i="6"/>
  <c r="V687" i="6" s="1"/>
  <c r="S687" i="6"/>
  <c r="P687" i="6"/>
  <c r="O687" i="6"/>
  <c r="N687" i="6"/>
  <c r="M687" i="6"/>
  <c r="B687" i="6"/>
  <c r="AE686" i="6"/>
  <c r="AD686" i="6"/>
  <c r="W686" i="6"/>
  <c r="U686" i="6"/>
  <c r="T686" i="6"/>
  <c r="V686" i="6" s="1"/>
  <c r="S686" i="6"/>
  <c r="P686" i="6"/>
  <c r="O686" i="6"/>
  <c r="N686" i="6"/>
  <c r="M686" i="6"/>
  <c r="B686" i="6"/>
  <c r="AE685" i="6"/>
  <c r="AD685" i="6"/>
  <c r="W685" i="6"/>
  <c r="V685" i="6"/>
  <c r="U685" i="6"/>
  <c r="T685" i="6"/>
  <c r="S685" i="6"/>
  <c r="P685" i="6"/>
  <c r="O685" i="6"/>
  <c r="N685" i="6"/>
  <c r="M685" i="6"/>
  <c r="B685" i="6"/>
  <c r="AE684" i="6"/>
  <c r="AD684" i="6"/>
  <c r="W684" i="6"/>
  <c r="V684" i="6"/>
  <c r="T684" i="6"/>
  <c r="U684" i="6" s="1"/>
  <c r="S684" i="6"/>
  <c r="P684" i="6"/>
  <c r="O684" i="6"/>
  <c r="N684" i="6"/>
  <c r="M684" i="6"/>
  <c r="B684" i="6"/>
  <c r="AE683" i="6"/>
  <c r="AD683" i="6"/>
  <c r="W683" i="6"/>
  <c r="V683" i="6"/>
  <c r="U683" i="6"/>
  <c r="T683" i="6"/>
  <c r="S683" i="6"/>
  <c r="P683" i="6"/>
  <c r="O683" i="6"/>
  <c r="N683" i="6"/>
  <c r="M683" i="6"/>
  <c r="B683" i="6"/>
  <c r="AE682" i="6"/>
  <c r="AD682" i="6"/>
  <c r="W682" i="6"/>
  <c r="T682" i="6"/>
  <c r="V682" i="6" s="1"/>
  <c r="S682" i="6"/>
  <c r="P682" i="6"/>
  <c r="O682" i="6"/>
  <c r="N682" i="6"/>
  <c r="M682" i="6"/>
  <c r="B682" i="6"/>
  <c r="AE681" i="6"/>
  <c r="AD681" i="6"/>
  <c r="W681" i="6"/>
  <c r="T681" i="6"/>
  <c r="V681" i="6" s="1"/>
  <c r="S681" i="6"/>
  <c r="P681" i="6"/>
  <c r="O681" i="6"/>
  <c r="N681" i="6"/>
  <c r="M681" i="6"/>
  <c r="B681" i="6"/>
  <c r="AE680" i="6"/>
  <c r="AD680" i="6"/>
  <c r="W680" i="6"/>
  <c r="V680" i="6"/>
  <c r="U680" i="6"/>
  <c r="T680" i="6"/>
  <c r="S680" i="6"/>
  <c r="P680" i="6"/>
  <c r="O680" i="6"/>
  <c r="N680" i="6"/>
  <c r="M680" i="6"/>
  <c r="B680" i="6"/>
  <c r="AE679" i="6"/>
  <c r="AD679" i="6"/>
  <c r="W679" i="6"/>
  <c r="T679" i="6"/>
  <c r="V679" i="6" s="1"/>
  <c r="S679" i="6"/>
  <c r="P679" i="6"/>
  <c r="O679" i="6"/>
  <c r="N679" i="6"/>
  <c r="M679" i="6"/>
  <c r="B679" i="6"/>
  <c r="AE678" i="6"/>
  <c r="AD678" i="6"/>
  <c r="W678" i="6"/>
  <c r="V678" i="6"/>
  <c r="U678" i="6"/>
  <c r="T678" i="6"/>
  <c r="S678" i="6"/>
  <c r="P678" i="6"/>
  <c r="O678" i="6"/>
  <c r="N678" i="6"/>
  <c r="M678" i="6"/>
  <c r="B678" i="6"/>
  <c r="AE677" i="6"/>
  <c r="AD677" i="6"/>
  <c r="W677" i="6"/>
  <c r="T677" i="6"/>
  <c r="V677" i="6" s="1"/>
  <c r="S677" i="6"/>
  <c r="P677" i="6"/>
  <c r="O677" i="6"/>
  <c r="N677" i="6"/>
  <c r="M677" i="6"/>
  <c r="B677" i="6"/>
  <c r="AE676" i="6"/>
  <c r="AD676" i="6"/>
  <c r="W676" i="6"/>
  <c r="T676" i="6"/>
  <c r="V676" i="6" s="1"/>
  <c r="S676" i="6"/>
  <c r="P676" i="6"/>
  <c r="O676" i="6"/>
  <c r="N676" i="6"/>
  <c r="M676" i="6"/>
  <c r="B676" i="6"/>
  <c r="AE675" i="6"/>
  <c r="AD675" i="6"/>
  <c r="W675" i="6"/>
  <c r="T675" i="6"/>
  <c r="V675" i="6" s="1"/>
  <c r="S675" i="6"/>
  <c r="P675" i="6"/>
  <c r="O675" i="6"/>
  <c r="N675" i="6"/>
  <c r="M675" i="6"/>
  <c r="B675" i="6"/>
  <c r="AE674" i="6"/>
  <c r="AD674" i="6"/>
  <c r="W674" i="6"/>
  <c r="T674" i="6"/>
  <c r="V674" i="6" s="1"/>
  <c r="S674" i="6"/>
  <c r="P674" i="6"/>
  <c r="O674" i="6"/>
  <c r="N674" i="6"/>
  <c r="M674" i="6"/>
  <c r="B674" i="6"/>
  <c r="AE673" i="6"/>
  <c r="AD673" i="6"/>
  <c r="W673" i="6"/>
  <c r="V673" i="6"/>
  <c r="U673" i="6"/>
  <c r="T673" i="6"/>
  <c r="S673" i="6"/>
  <c r="P673" i="6"/>
  <c r="O673" i="6"/>
  <c r="N673" i="6"/>
  <c r="M673" i="6"/>
  <c r="B673" i="6"/>
  <c r="AE672" i="6"/>
  <c r="AD672" i="6"/>
  <c r="W672" i="6"/>
  <c r="T672" i="6"/>
  <c r="V672" i="6" s="1"/>
  <c r="S672" i="6"/>
  <c r="P672" i="6"/>
  <c r="O672" i="6"/>
  <c r="N672" i="6"/>
  <c r="M672" i="6"/>
  <c r="B672" i="6"/>
  <c r="AE671" i="6"/>
  <c r="AD671" i="6"/>
  <c r="W671" i="6"/>
  <c r="T671" i="6"/>
  <c r="V671" i="6" s="1"/>
  <c r="S671" i="6"/>
  <c r="P671" i="6"/>
  <c r="O671" i="6"/>
  <c r="N671" i="6"/>
  <c r="M671" i="6"/>
  <c r="B671" i="6"/>
  <c r="AE670" i="6"/>
  <c r="AD670" i="6"/>
  <c r="W670" i="6"/>
  <c r="V670" i="6"/>
  <c r="U670" i="6"/>
  <c r="T670" i="6"/>
  <c r="S670" i="6"/>
  <c r="P670" i="6"/>
  <c r="O670" i="6"/>
  <c r="N670" i="6"/>
  <c r="M670" i="6"/>
  <c r="B670" i="6"/>
  <c r="AE669" i="6"/>
  <c r="AD669" i="6"/>
  <c r="W669" i="6"/>
  <c r="T669" i="6"/>
  <c r="V669" i="6" s="1"/>
  <c r="S669" i="6"/>
  <c r="P669" i="6"/>
  <c r="O669" i="6"/>
  <c r="N669" i="6"/>
  <c r="M669" i="6"/>
  <c r="B669" i="6"/>
  <c r="AE668" i="6"/>
  <c r="AD668" i="6"/>
  <c r="W668" i="6"/>
  <c r="V668" i="6"/>
  <c r="U668" i="6"/>
  <c r="T668" i="6"/>
  <c r="S668" i="6"/>
  <c r="P668" i="6"/>
  <c r="O668" i="6"/>
  <c r="N668" i="6"/>
  <c r="M668" i="6"/>
  <c r="B668" i="6"/>
  <c r="AE667" i="6"/>
  <c r="AD667" i="6"/>
  <c r="W667" i="6"/>
  <c r="T667" i="6"/>
  <c r="V667" i="6" s="1"/>
  <c r="S667" i="6"/>
  <c r="P667" i="6"/>
  <c r="O667" i="6"/>
  <c r="N667" i="6"/>
  <c r="M667" i="6"/>
  <c r="B667" i="6"/>
  <c r="AE666" i="6"/>
  <c r="AD666" i="6"/>
  <c r="W666" i="6"/>
  <c r="T666" i="6"/>
  <c r="V666" i="6" s="1"/>
  <c r="S666" i="6"/>
  <c r="P666" i="6"/>
  <c r="O666" i="6"/>
  <c r="N666" i="6"/>
  <c r="M666" i="6"/>
  <c r="B666" i="6"/>
  <c r="AE665" i="6"/>
  <c r="AD665" i="6"/>
  <c r="W665" i="6"/>
  <c r="V665" i="6"/>
  <c r="U665" i="6"/>
  <c r="T665" i="6"/>
  <c r="S665" i="6"/>
  <c r="P665" i="6"/>
  <c r="O665" i="6"/>
  <c r="N665" i="6"/>
  <c r="M665" i="6"/>
  <c r="B665" i="6"/>
  <c r="AE664" i="6"/>
  <c r="AD664" i="6"/>
  <c r="W664" i="6"/>
  <c r="V664" i="6"/>
  <c r="U664" i="6"/>
  <c r="T664" i="6"/>
  <c r="S664" i="6"/>
  <c r="P664" i="6"/>
  <c r="O664" i="6"/>
  <c r="N664" i="6"/>
  <c r="M664" i="6"/>
  <c r="B664" i="6"/>
  <c r="AE663" i="6"/>
  <c r="AD663" i="6"/>
  <c r="W663" i="6"/>
  <c r="V663" i="6"/>
  <c r="U663" i="6"/>
  <c r="T663" i="6"/>
  <c r="S663" i="6"/>
  <c r="P663" i="6"/>
  <c r="O663" i="6"/>
  <c r="N663" i="6"/>
  <c r="M663" i="6"/>
  <c r="B663" i="6"/>
  <c r="AE662" i="6"/>
  <c r="AD662" i="6"/>
  <c r="W662" i="6"/>
  <c r="T662" i="6"/>
  <c r="V662" i="6" s="1"/>
  <c r="S662" i="6"/>
  <c r="P662" i="6"/>
  <c r="O662" i="6"/>
  <c r="N662" i="6"/>
  <c r="M662" i="6"/>
  <c r="B662" i="6"/>
  <c r="AE661" i="6"/>
  <c r="AD661" i="6"/>
  <c r="W661" i="6"/>
  <c r="T661" i="6"/>
  <c r="V661" i="6" s="1"/>
  <c r="S661" i="6"/>
  <c r="P661" i="6"/>
  <c r="O661" i="6"/>
  <c r="N661" i="6"/>
  <c r="M661" i="6"/>
  <c r="B661" i="6"/>
  <c r="AE660" i="6"/>
  <c r="AD660" i="6"/>
  <c r="W660" i="6"/>
  <c r="T660" i="6"/>
  <c r="V660" i="6" s="1"/>
  <c r="S660" i="6"/>
  <c r="P660" i="6"/>
  <c r="O660" i="6"/>
  <c r="N660" i="6"/>
  <c r="M660" i="6"/>
  <c r="B660" i="6"/>
  <c r="AE659" i="6"/>
  <c r="AD659" i="6"/>
  <c r="W659" i="6"/>
  <c r="V659" i="6"/>
  <c r="U659" i="6"/>
  <c r="T659" i="6"/>
  <c r="S659" i="6"/>
  <c r="P659" i="6"/>
  <c r="O659" i="6"/>
  <c r="N659" i="6"/>
  <c r="M659" i="6"/>
  <c r="B659" i="6"/>
  <c r="AE658" i="6"/>
  <c r="AD658" i="6"/>
  <c r="W658" i="6"/>
  <c r="V658" i="6"/>
  <c r="U658" i="6"/>
  <c r="T658" i="6"/>
  <c r="S658" i="6"/>
  <c r="P658" i="6"/>
  <c r="O658" i="6"/>
  <c r="N658" i="6"/>
  <c r="M658" i="6"/>
  <c r="B658" i="6"/>
  <c r="AE657" i="6"/>
  <c r="AD657" i="6"/>
  <c r="W657" i="6"/>
  <c r="T657" i="6"/>
  <c r="V657" i="6" s="1"/>
  <c r="S657" i="6"/>
  <c r="P657" i="6"/>
  <c r="O657" i="6"/>
  <c r="N657" i="6"/>
  <c r="M657" i="6"/>
  <c r="B657" i="6"/>
  <c r="AE656" i="6"/>
  <c r="AD656" i="6"/>
  <c r="W656" i="6"/>
  <c r="U656" i="6"/>
  <c r="T656" i="6"/>
  <c r="V656" i="6" s="1"/>
  <c r="S656" i="6"/>
  <c r="P656" i="6"/>
  <c r="O656" i="6"/>
  <c r="N656" i="6"/>
  <c r="M656" i="6"/>
  <c r="B656" i="6"/>
  <c r="AE655" i="6"/>
  <c r="AD655" i="6"/>
  <c r="W655" i="6"/>
  <c r="V655" i="6"/>
  <c r="T655" i="6"/>
  <c r="U655" i="6" s="1"/>
  <c r="S655" i="6"/>
  <c r="P655" i="6"/>
  <c r="O655" i="6"/>
  <c r="N655" i="6"/>
  <c r="M655" i="6"/>
  <c r="B655" i="6"/>
  <c r="AE654" i="6"/>
  <c r="AD654" i="6"/>
  <c r="W654" i="6"/>
  <c r="T654" i="6"/>
  <c r="V654" i="6" s="1"/>
  <c r="S654" i="6"/>
  <c r="P654" i="6"/>
  <c r="O654" i="6"/>
  <c r="N654" i="6"/>
  <c r="M654" i="6"/>
  <c r="B654" i="6"/>
  <c r="AE653" i="6"/>
  <c r="AD653" i="6"/>
  <c r="W653" i="6"/>
  <c r="V653" i="6"/>
  <c r="U653" i="6"/>
  <c r="T653" i="6"/>
  <c r="S653" i="6"/>
  <c r="P653" i="6"/>
  <c r="O653" i="6"/>
  <c r="N653" i="6"/>
  <c r="M653" i="6"/>
  <c r="B653" i="6"/>
  <c r="AE652" i="6"/>
  <c r="AD652" i="6"/>
  <c r="W652" i="6"/>
  <c r="T652" i="6"/>
  <c r="V652" i="6" s="1"/>
  <c r="S652" i="6"/>
  <c r="P652" i="6"/>
  <c r="O652" i="6"/>
  <c r="N652" i="6"/>
  <c r="M652" i="6"/>
  <c r="B652" i="6"/>
  <c r="AE651" i="6"/>
  <c r="AD651" i="6"/>
  <c r="W651" i="6"/>
  <c r="U651" i="6"/>
  <c r="T651" i="6"/>
  <c r="V651" i="6" s="1"/>
  <c r="S651" i="6"/>
  <c r="P651" i="6"/>
  <c r="O651" i="6"/>
  <c r="N651" i="6"/>
  <c r="M651" i="6"/>
  <c r="B651" i="6"/>
  <c r="AE650" i="6"/>
  <c r="AD650" i="6"/>
  <c r="W650" i="6"/>
  <c r="T650" i="6"/>
  <c r="V650" i="6" s="1"/>
  <c r="S650" i="6"/>
  <c r="P650" i="6"/>
  <c r="O650" i="6"/>
  <c r="N650" i="6"/>
  <c r="M650" i="6"/>
  <c r="B650" i="6"/>
  <c r="AE649" i="6"/>
  <c r="AD649" i="6"/>
  <c r="W649" i="6"/>
  <c r="V649" i="6"/>
  <c r="U649" i="6"/>
  <c r="T649" i="6"/>
  <c r="S649" i="6"/>
  <c r="P649" i="6"/>
  <c r="O649" i="6"/>
  <c r="N649" i="6"/>
  <c r="M649" i="6"/>
  <c r="B649" i="6"/>
  <c r="AE648" i="6"/>
  <c r="AD648" i="6"/>
  <c r="W648" i="6"/>
  <c r="V648" i="6"/>
  <c r="U648" i="6"/>
  <c r="T648" i="6"/>
  <c r="S648" i="6"/>
  <c r="P648" i="6"/>
  <c r="O648" i="6"/>
  <c r="N648" i="6"/>
  <c r="M648" i="6"/>
  <c r="B648" i="6"/>
  <c r="AE647" i="6"/>
  <c r="AD647" i="6"/>
  <c r="W647" i="6"/>
  <c r="T647" i="6"/>
  <c r="S647" i="6"/>
  <c r="P647" i="6"/>
  <c r="O647" i="6"/>
  <c r="N647" i="6"/>
  <c r="M647" i="6"/>
  <c r="B647" i="6"/>
  <c r="AE646" i="6"/>
  <c r="AD646" i="6"/>
  <c r="W646" i="6"/>
  <c r="T646" i="6"/>
  <c r="V646" i="6" s="1"/>
  <c r="S646" i="6"/>
  <c r="P646" i="6"/>
  <c r="O646" i="6"/>
  <c r="N646" i="6"/>
  <c r="M646" i="6"/>
  <c r="B646" i="6"/>
  <c r="AE645" i="6"/>
  <c r="AD645" i="6"/>
  <c r="W645" i="6"/>
  <c r="V645" i="6"/>
  <c r="U645" i="6"/>
  <c r="T645" i="6"/>
  <c r="S645" i="6"/>
  <c r="P645" i="6"/>
  <c r="O645" i="6"/>
  <c r="N645" i="6"/>
  <c r="M645" i="6"/>
  <c r="B645" i="6"/>
  <c r="AE644" i="6"/>
  <c r="AD644" i="6"/>
  <c r="W644" i="6"/>
  <c r="T644" i="6"/>
  <c r="V644" i="6" s="1"/>
  <c r="S644" i="6"/>
  <c r="P644" i="6"/>
  <c r="O644" i="6"/>
  <c r="N644" i="6"/>
  <c r="M644" i="6"/>
  <c r="B644" i="6"/>
  <c r="AE643" i="6"/>
  <c r="AD643" i="6"/>
  <c r="W643" i="6"/>
  <c r="V643" i="6"/>
  <c r="T643" i="6"/>
  <c r="U643" i="6" s="1"/>
  <c r="S643" i="6"/>
  <c r="P643" i="6"/>
  <c r="O643" i="6"/>
  <c r="N643" i="6"/>
  <c r="M643" i="6"/>
  <c r="B643" i="6"/>
  <c r="AE642" i="6"/>
  <c r="AD642" i="6"/>
  <c r="W642" i="6"/>
  <c r="T642" i="6"/>
  <c r="S642" i="6"/>
  <c r="P642" i="6"/>
  <c r="O642" i="6"/>
  <c r="N642" i="6"/>
  <c r="M642" i="6"/>
  <c r="B642" i="6"/>
  <c r="AE641" i="6"/>
  <c r="AD641" i="6"/>
  <c r="W641" i="6"/>
  <c r="V641" i="6"/>
  <c r="T641" i="6"/>
  <c r="U641" i="6" s="1"/>
  <c r="S641" i="6"/>
  <c r="P641" i="6"/>
  <c r="O641" i="6"/>
  <c r="N641" i="6"/>
  <c r="M641" i="6"/>
  <c r="B641" i="6"/>
  <c r="AE640" i="6"/>
  <c r="AD640" i="6"/>
  <c r="W640" i="6"/>
  <c r="T640" i="6"/>
  <c r="V640" i="6" s="1"/>
  <c r="S640" i="6"/>
  <c r="P640" i="6"/>
  <c r="O640" i="6"/>
  <c r="N640" i="6"/>
  <c r="M640" i="6"/>
  <c r="B640" i="6"/>
  <c r="AE639" i="6"/>
  <c r="AD639" i="6"/>
  <c r="W639" i="6"/>
  <c r="T639" i="6"/>
  <c r="V639" i="6" s="1"/>
  <c r="S639" i="6"/>
  <c r="P639" i="6"/>
  <c r="O639" i="6"/>
  <c r="N639" i="6"/>
  <c r="M639" i="6"/>
  <c r="B639" i="6"/>
  <c r="AE638" i="6"/>
  <c r="AD638" i="6"/>
  <c r="W638" i="6"/>
  <c r="V638" i="6"/>
  <c r="T638" i="6"/>
  <c r="U638" i="6" s="1"/>
  <c r="S638" i="6"/>
  <c r="P638" i="6"/>
  <c r="O638" i="6"/>
  <c r="N638" i="6"/>
  <c r="M638" i="6"/>
  <c r="B638" i="6"/>
  <c r="AE637" i="6"/>
  <c r="AD637" i="6"/>
  <c r="W637" i="6"/>
  <c r="T637" i="6"/>
  <c r="S637" i="6"/>
  <c r="P637" i="6"/>
  <c r="O637" i="6"/>
  <c r="N637" i="6"/>
  <c r="M637" i="6"/>
  <c r="B637" i="6"/>
  <c r="AE636" i="6"/>
  <c r="AD636" i="6"/>
  <c r="W636" i="6"/>
  <c r="T636" i="6"/>
  <c r="V636" i="6" s="1"/>
  <c r="S636" i="6"/>
  <c r="P636" i="6"/>
  <c r="O636" i="6"/>
  <c r="N636" i="6"/>
  <c r="M636" i="6"/>
  <c r="B636" i="6"/>
  <c r="AE635" i="6"/>
  <c r="AD635" i="6"/>
  <c r="W635" i="6"/>
  <c r="V635" i="6"/>
  <c r="U635" i="6"/>
  <c r="T635" i="6"/>
  <c r="S635" i="6"/>
  <c r="P635" i="6"/>
  <c r="O635" i="6"/>
  <c r="N635" i="6"/>
  <c r="M635" i="6"/>
  <c r="B635" i="6"/>
  <c r="AE634" i="6"/>
  <c r="AD634" i="6"/>
  <c r="W634" i="6"/>
  <c r="T634" i="6"/>
  <c r="V634" i="6" s="1"/>
  <c r="S634" i="6"/>
  <c r="P634" i="6"/>
  <c r="O634" i="6"/>
  <c r="N634" i="6"/>
  <c r="M634" i="6"/>
  <c r="B634" i="6"/>
  <c r="AE633" i="6"/>
  <c r="AD633" i="6"/>
  <c r="W633" i="6"/>
  <c r="V633" i="6"/>
  <c r="T633" i="6"/>
  <c r="U633" i="6" s="1"/>
  <c r="S633" i="6"/>
  <c r="P633" i="6"/>
  <c r="O633" i="6"/>
  <c r="N633" i="6"/>
  <c r="M633" i="6"/>
  <c r="B633" i="6"/>
  <c r="AE632" i="6"/>
  <c r="AD632" i="6"/>
  <c r="W632" i="6"/>
  <c r="T632" i="6"/>
  <c r="S632" i="6"/>
  <c r="P632" i="6"/>
  <c r="O632" i="6"/>
  <c r="N632" i="6"/>
  <c r="M632" i="6"/>
  <c r="B632" i="6"/>
  <c r="AE631" i="6"/>
  <c r="AD631" i="6"/>
  <c r="W631" i="6"/>
  <c r="T631" i="6"/>
  <c r="V631" i="6" s="1"/>
  <c r="S631" i="6"/>
  <c r="P631" i="6"/>
  <c r="O631" i="6"/>
  <c r="N631" i="6"/>
  <c r="M631" i="6"/>
  <c r="B631" i="6"/>
  <c r="AE630" i="6"/>
  <c r="AD630" i="6"/>
  <c r="W630" i="6"/>
  <c r="V630" i="6"/>
  <c r="U630" i="6"/>
  <c r="T630" i="6"/>
  <c r="S630" i="6"/>
  <c r="P630" i="6"/>
  <c r="O630" i="6"/>
  <c r="N630" i="6"/>
  <c r="M630" i="6"/>
  <c r="B630" i="6"/>
  <c r="AE629" i="6"/>
  <c r="AD629" i="6"/>
  <c r="W629" i="6"/>
  <c r="V629" i="6"/>
  <c r="U629" i="6"/>
  <c r="T629" i="6"/>
  <c r="S629" i="6"/>
  <c r="P629" i="6"/>
  <c r="O629" i="6"/>
  <c r="N629" i="6"/>
  <c r="M629" i="6"/>
  <c r="B629" i="6"/>
  <c r="AE628" i="6"/>
  <c r="AD628" i="6"/>
  <c r="W628" i="6"/>
  <c r="V628" i="6"/>
  <c r="T628" i="6"/>
  <c r="U628" i="6" s="1"/>
  <c r="S628" i="6"/>
  <c r="P628" i="6"/>
  <c r="O628" i="6"/>
  <c r="N628" i="6"/>
  <c r="M628" i="6"/>
  <c r="B628" i="6"/>
  <c r="AE627" i="6"/>
  <c r="AD627" i="6"/>
  <c r="W627" i="6"/>
  <c r="T627" i="6"/>
  <c r="S627" i="6"/>
  <c r="P627" i="6"/>
  <c r="O627" i="6"/>
  <c r="N627" i="6"/>
  <c r="M627" i="6"/>
  <c r="B627" i="6"/>
  <c r="AE626" i="6"/>
  <c r="AD626" i="6"/>
  <c r="W626" i="6"/>
  <c r="T626" i="6"/>
  <c r="V626" i="6" s="1"/>
  <c r="S626" i="6"/>
  <c r="P626" i="6"/>
  <c r="O626" i="6"/>
  <c r="N626" i="6"/>
  <c r="M626" i="6"/>
  <c r="B626" i="6"/>
  <c r="AE625" i="6"/>
  <c r="AD625" i="6"/>
  <c r="W625" i="6"/>
  <c r="T625" i="6"/>
  <c r="V625" i="6" s="1"/>
  <c r="S625" i="6"/>
  <c r="P625" i="6"/>
  <c r="O625" i="6"/>
  <c r="N625" i="6"/>
  <c r="M625" i="6"/>
  <c r="B625" i="6"/>
  <c r="AE624" i="6"/>
  <c r="AD624" i="6"/>
  <c r="W624" i="6"/>
  <c r="V624" i="6"/>
  <c r="U624" i="6"/>
  <c r="T624" i="6"/>
  <c r="S624" i="6"/>
  <c r="P624" i="6"/>
  <c r="O624" i="6"/>
  <c r="N624" i="6"/>
  <c r="M624" i="6"/>
  <c r="B624" i="6"/>
  <c r="AE623" i="6"/>
  <c r="AD623" i="6"/>
  <c r="W623" i="6"/>
  <c r="V623" i="6"/>
  <c r="T623" i="6"/>
  <c r="U623" i="6" s="1"/>
  <c r="S623" i="6"/>
  <c r="P623" i="6"/>
  <c r="O623" i="6"/>
  <c r="N623" i="6"/>
  <c r="M623" i="6"/>
  <c r="B623" i="6"/>
  <c r="AE622" i="6"/>
  <c r="AD622" i="6"/>
  <c r="W622" i="6"/>
  <c r="T622" i="6"/>
  <c r="S622" i="6"/>
  <c r="P622" i="6"/>
  <c r="O622" i="6"/>
  <c r="N622" i="6"/>
  <c r="M622" i="6"/>
  <c r="B622" i="6"/>
  <c r="AE621" i="6"/>
  <c r="AD621" i="6"/>
  <c r="W621" i="6"/>
  <c r="V621" i="6"/>
  <c r="U621" i="6"/>
  <c r="T621" i="6"/>
  <c r="S621" i="6"/>
  <c r="P621" i="6"/>
  <c r="O621" i="6"/>
  <c r="N621" i="6"/>
  <c r="M621" i="6"/>
  <c r="B621" i="6"/>
  <c r="AE620" i="6"/>
  <c r="AD620" i="6"/>
  <c r="W620" i="6"/>
  <c r="V620" i="6"/>
  <c r="T620" i="6"/>
  <c r="U620" i="6" s="1"/>
  <c r="S620" i="6"/>
  <c r="P620" i="6"/>
  <c r="O620" i="6"/>
  <c r="N620" i="6"/>
  <c r="M620" i="6"/>
  <c r="B620" i="6"/>
  <c r="AE619" i="6"/>
  <c r="AD619" i="6"/>
  <c r="W619" i="6"/>
  <c r="T619" i="6"/>
  <c r="V619" i="6" s="1"/>
  <c r="S619" i="6"/>
  <c r="P619" i="6"/>
  <c r="O619" i="6"/>
  <c r="N619" i="6"/>
  <c r="M619" i="6"/>
  <c r="B619" i="6"/>
  <c r="AE618" i="6"/>
  <c r="AD618" i="6"/>
  <c r="W618" i="6"/>
  <c r="V618" i="6"/>
  <c r="T618" i="6"/>
  <c r="U618" i="6" s="1"/>
  <c r="S618" i="6"/>
  <c r="P618" i="6"/>
  <c r="O618" i="6"/>
  <c r="N618" i="6"/>
  <c r="M618" i="6"/>
  <c r="B618" i="6"/>
  <c r="AE617" i="6"/>
  <c r="AD617" i="6"/>
  <c r="W617" i="6"/>
  <c r="T617" i="6"/>
  <c r="S617" i="6"/>
  <c r="P617" i="6"/>
  <c r="O617" i="6"/>
  <c r="N617" i="6"/>
  <c r="M617" i="6"/>
  <c r="B617" i="6"/>
  <c r="AE616" i="6"/>
  <c r="AD616" i="6"/>
  <c r="W616" i="6"/>
  <c r="V616" i="6"/>
  <c r="U616" i="6"/>
  <c r="T616" i="6"/>
  <c r="S616" i="6"/>
  <c r="P616" i="6"/>
  <c r="O616" i="6"/>
  <c r="N616" i="6"/>
  <c r="M616" i="6"/>
  <c r="B616" i="6"/>
  <c r="AE615" i="6"/>
  <c r="AD615" i="6"/>
  <c r="W615" i="6"/>
  <c r="T615" i="6"/>
  <c r="V615" i="6" s="1"/>
  <c r="S615" i="6"/>
  <c r="P615" i="6"/>
  <c r="O615" i="6"/>
  <c r="N615" i="6"/>
  <c r="M615" i="6"/>
  <c r="B615" i="6"/>
  <c r="AE614" i="6"/>
  <c r="AD614" i="6"/>
  <c r="W614" i="6"/>
  <c r="V614" i="6"/>
  <c r="U614" i="6"/>
  <c r="T614" i="6"/>
  <c r="S614" i="6"/>
  <c r="P614" i="6"/>
  <c r="O614" i="6"/>
  <c r="N614" i="6"/>
  <c r="M614" i="6"/>
  <c r="B614" i="6"/>
  <c r="AE613" i="6"/>
  <c r="AD613" i="6"/>
  <c r="W613" i="6"/>
  <c r="V613" i="6"/>
  <c r="T613" i="6"/>
  <c r="U613" i="6" s="1"/>
  <c r="S613" i="6"/>
  <c r="P613" i="6"/>
  <c r="O613" i="6"/>
  <c r="N613" i="6"/>
  <c r="M613" i="6"/>
  <c r="B613" i="6"/>
  <c r="AE612" i="6"/>
  <c r="AD612" i="6"/>
  <c r="W612" i="6"/>
  <c r="T612" i="6"/>
  <c r="S612" i="6"/>
  <c r="P612" i="6"/>
  <c r="O612" i="6"/>
  <c r="N612" i="6"/>
  <c r="M612" i="6"/>
  <c r="B612" i="6"/>
  <c r="AE611" i="6"/>
  <c r="AD611" i="6"/>
  <c r="W611" i="6"/>
  <c r="T611" i="6"/>
  <c r="V611" i="6" s="1"/>
  <c r="S611" i="6"/>
  <c r="P611" i="6"/>
  <c r="O611" i="6"/>
  <c r="N611" i="6"/>
  <c r="M611" i="6"/>
  <c r="B611" i="6"/>
  <c r="AE610" i="6"/>
  <c r="AD610" i="6"/>
  <c r="W610" i="6"/>
  <c r="T610" i="6"/>
  <c r="V610" i="6" s="1"/>
  <c r="S610" i="6"/>
  <c r="P610" i="6"/>
  <c r="O610" i="6"/>
  <c r="N610" i="6"/>
  <c r="M610" i="6"/>
  <c r="B610" i="6"/>
  <c r="AE609" i="6"/>
  <c r="AD609" i="6"/>
  <c r="W609" i="6"/>
  <c r="V609" i="6"/>
  <c r="U609" i="6"/>
  <c r="T609" i="6"/>
  <c r="S609" i="6"/>
  <c r="P609" i="6"/>
  <c r="O609" i="6"/>
  <c r="N609" i="6"/>
  <c r="M609" i="6"/>
  <c r="B609" i="6"/>
  <c r="AE608" i="6"/>
  <c r="AD608" i="6"/>
  <c r="W608" i="6"/>
  <c r="V608" i="6"/>
  <c r="T608" i="6"/>
  <c r="U608" i="6" s="1"/>
  <c r="S608" i="6"/>
  <c r="P608" i="6"/>
  <c r="O608" i="6"/>
  <c r="N608" i="6"/>
  <c r="M608" i="6"/>
  <c r="B608" i="6"/>
  <c r="AE607" i="6"/>
  <c r="AD607" i="6"/>
  <c r="W607" i="6"/>
  <c r="T607" i="6"/>
  <c r="S607" i="6"/>
  <c r="P607" i="6"/>
  <c r="O607" i="6"/>
  <c r="N607" i="6"/>
  <c r="M607" i="6"/>
  <c r="B607" i="6"/>
  <c r="AE606" i="6"/>
  <c r="AD606" i="6"/>
  <c r="W606" i="6"/>
  <c r="V606" i="6"/>
  <c r="U606" i="6"/>
  <c r="T606" i="6"/>
  <c r="S606" i="6"/>
  <c r="P606" i="6"/>
  <c r="O606" i="6"/>
  <c r="N606" i="6"/>
  <c r="M606" i="6"/>
  <c r="B606" i="6"/>
  <c r="AE605" i="6"/>
  <c r="AD605" i="6"/>
  <c r="W605" i="6"/>
  <c r="T605" i="6"/>
  <c r="V605" i="6" s="1"/>
  <c r="S605" i="6"/>
  <c r="P605" i="6"/>
  <c r="O605" i="6"/>
  <c r="N605" i="6"/>
  <c r="M605" i="6"/>
  <c r="B605" i="6"/>
  <c r="AE604" i="6"/>
  <c r="AD604" i="6"/>
  <c r="W604" i="6"/>
  <c r="T604" i="6"/>
  <c r="V604" i="6" s="1"/>
  <c r="S604" i="6"/>
  <c r="P604" i="6"/>
  <c r="O604" i="6"/>
  <c r="N604" i="6"/>
  <c r="M604" i="6"/>
  <c r="B604" i="6"/>
  <c r="AE603" i="6"/>
  <c r="AD603" i="6"/>
  <c r="W603" i="6"/>
  <c r="V603" i="6"/>
  <c r="T603" i="6"/>
  <c r="U603" i="6" s="1"/>
  <c r="S603" i="6"/>
  <c r="P603" i="6"/>
  <c r="O603" i="6"/>
  <c r="N603" i="6"/>
  <c r="M603" i="6"/>
  <c r="B603" i="6"/>
  <c r="AE602" i="6"/>
  <c r="AD602" i="6"/>
  <c r="W602" i="6"/>
  <c r="T602" i="6"/>
  <c r="S602" i="6"/>
  <c r="P602" i="6"/>
  <c r="O602" i="6"/>
  <c r="N602" i="6"/>
  <c r="M602" i="6"/>
  <c r="B602" i="6"/>
  <c r="AE601" i="6"/>
  <c r="AD601" i="6"/>
  <c r="W601" i="6"/>
  <c r="V601" i="6"/>
  <c r="U601" i="6"/>
  <c r="T601" i="6"/>
  <c r="S601" i="6"/>
  <c r="P601" i="6"/>
  <c r="O601" i="6"/>
  <c r="N601" i="6"/>
  <c r="M601" i="6"/>
  <c r="B601" i="6"/>
  <c r="AE600" i="6"/>
  <c r="AD600" i="6"/>
  <c r="W600" i="6"/>
  <c r="V600" i="6"/>
  <c r="U600" i="6"/>
  <c r="T600" i="6"/>
  <c r="S600" i="6"/>
  <c r="P600" i="6"/>
  <c r="O600" i="6"/>
  <c r="N600" i="6"/>
  <c r="M600" i="6"/>
  <c r="B600" i="6"/>
  <c r="AE599" i="6"/>
  <c r="AD599" i="6"/>
  <c r="W599" i="6"/>
  <c r="V599" i="6"/>
  <c r="T599" i="6"/>
  <c r="U599" i="6" s="1"/>
  <c r="S599" i="6"/>
  <c r="P599" i="6"/>
  <c r="O599" i="6"/>
  <c r="N599" i="6"/>
  <c r="M599" i="6"/>
  <c r="B599" i="6"/>
  <c r="AE598" i="6"/>
  <c r="AD598" i="6"/>
  <c r="W598" i="6"/>
  <c r="V598" i="6"/>
  <c r="U598" i="6"/>
  <c r="T598" i="6"/>
  <c r="S598" i="6"/>
  <c r="P598" i="6"/>
  <c r="O598" i="6"/>
  <c r="N598" i="6"/>
  <c r="M598" i="6"/>
  <c r="B598" i="6"/>
  <c r="AE597" i="6"/>
  <c r="AD597" i="6"/>
  <c r="W597" i="6"/>
  <c r="T597" i="6"/>
  <c r="S597" i="6"/>
  <c r="P597" i="6"/>
  <c r="O597" i="6"/>
  <c r="N597" i="6"/>
  <c r="M597" i="6"/>
  <c r="B597" i="6"/>
  <c r="AE596" i="6"/>
  <c r="AD596" i="6"/>
  <c r="W596" i="6"/>
  <c r="T596" i="6"/>
  <c r="V596" i="6" s="1"/>
  <c r="S596" i="6"/>
  <c r="P596" i="6"/>
  <c r="O596" i="6"/>
  <c r="N596" i="6"/>
  <c r="M596" i="6"/>
  <c r="B596" i="6"/>
  <c r="AE595" i="6"/>
  <c r="AD595" i="6"/>
  <c r="W595" i="6"/>
  <c r="V595" i="6"/>
  <c r="U595" i="6"/>
  <c r="T595" i="6"/>
  <c r="S595" i="6"/>
  <c r="P595" i="6"/>
  <c r="O595" i="6"/>
  <c r="N595" i="6"/>
  <c r="M595" i="6"/>
  <c r="B595" i="6"/>
  <c r="AE594" i="6"/>
  <c r="AD594" i="6"/>
  <c r="W594" i="6"/>
  <c r="V594" i="6"/>
  <c r="U594" i="6"/>
  <c r="T594" i="6"/>
  <c r="S594" i="6"/>
  <c r="P594" i="6"/>
  <c r="O594" i="6"/>
  <c r="N594" i="6"/>
  <c r="M594" i="6"/>
  <c r="B594" i="6"/>
  <c r="AE593" i="6"/>
  <c r="AD593" i="6"/>
  <c r="W593" i="6"/>
  <c r="V593" i="6"/>
  <c r="T593" i="6"/>
  <c r="U593" i="6" s="1"/>
  <c r="S593" i="6"/>
  <c r="P593" i="6"/>
  <c r="O593" i="6"/>
  <c r="N593" i="6"/>
  <c r="M593" i="6"/>
  <c r="B593" i="6"/>
  <c r="AE592" i="6"/>
  <c r="AD592" i="6"/>
  <c r="W592" i="6"/>
  <c r="T592" i="6"/>
  <c r="S592" i="6"/>
  <c r="P592" i="6"/>
  <c r="O592" i="6"/>
  <c r="N592" i="6"/>
  <c r="M592" i="6"/>
  <c r="B592" i="6"/>
  <c r="AE591" i="6"/>
  <c r="AD591" i="6"/>
  <c r="W591" i="6"/>
  <c r="T591" i="6"/>
  <c r="V591" i="6" s="1"/>
  <c r="S591" i="6"/>
  <c r="P591" i="6"/>
  <c r="O591" i="6"/>
  <c r="N591" i="6"/>
  <c r="M591" i="6"/>
  <c r="B591" i="6"/>
  <c r="AE590" i="6"/>
  <c r="AD590" i="6"/>
  <c r="W590" i="6"/>
  <c r="T590" i="6"/>
  <c r="V590" i="6" s="1"/>
  <c r="S590" i="6"/>
  <c r="P590" i="6"/>
  <c r="O590" i="6"/>
  <c r="N590" i="6"/>
  <c r="M590" i="6"/>
  <c r="B590" i="6"/>
  <c r="AE589" i="6"/>
  <c r="AD589" i="6"/>
  <c r="W589" i="6"/>
  <c r="V589" i="6"/>
  <c r="U589" i="6"/>
  <c r="T589" i="6"/>
  <c r="S589" i="6"/>
  <c r="P589" i="6"/>
  <c r="O589" i="6"/>
  <c r="N589" i="6"/>
  <c r="M589" i="6"/>
  <c r="B589" i="6"/>
  <c r="AE588" i="6"/>
  <c r="AD588" i="6"/>
  <c r="W588" i="6"/>
  <c r="V588" i="6"/>
  <c r="T588" i="6"/>
  <c r="U588" i="6" s="1"/>
  <c r="S588" i="6"/>
  <c r="P588" i="6"/>
  <c r="O588" i="6"/>
  <c r="N588" i="6"/>
  <c r="M588" i="6"/>
  <c r="B588" i="6"/>
  <c r="AE587" i="6"/>
  <c r="AD587" i="6"/>
  <c r="W587" i="6"/>
  <c r="T587" i="6"/>
  <c r="S587" i="6"/>
  <c r="P587" i="6"/>
  <c r="O587" i="6"/>
  <c r="N587" i="6"/>
  <c r="M587" i="6"/>
  <c r="B587" i="6"/>
  <c r="AE586" i="6"/>
  <c r="AD586" i="6"/>
  <c r="W586" i="6"/>
  <c r="V586" i="6"/>
  <c r="U586" i="6"/>
  <c r="T586" i="6"/>
  <c r="S586" i="6"/>
  <c r="P586" i="6"/>
  <c r="O586" i="6"/>
  <c r="N586" i="6"/>
  <c r="M586" i="6"/>
  <c r="B586" i="6"/>
  <c r="AE585" i="6"/>
  <c r="AD585" i="6"/>
  <c r="W585" i="6"/>
  <c r="V585" i="6"/>
  <c r="T585" i="6"/>
  <c r="U585" i="6" s="1"/>
  <c r="S585" i="6"/>
  <c r="P585" i="6"/>
  <c r="O585" i="6"/>
  <c r="N585" i="6"/>
  <c r="M585" i="6"/>
  <c r="B585" i="6"/>
  <c r="AE584" i="6"/>
  <c r="AD584" i="6"/>
  <c r="W584" i="6"/>
  <c r="T584" i="6"/>
  <c r="V584" i="6" s="1"/>
  <c r="S584" i="6"/>
  <c r="P584" i="6"/>
  <c r="O584" i="6"/>
  <c r="N584" i="6"/>
  <c r="M584" i="6"/>
  <c r="B584" i="6"/>
  <c r="AE583" i="6"/>
  <c r="AD583" i="6"/>
  <c r="W583" i="6"/>
  <c r="T583" i="6"/>
  <c r="V583" i="6" s="1"/>
  <c r="S583" i="6"/>
  <c r="P583" i="6"/>
  <c r="O583" i="6"/>
  <c r="N583" i="6"/>
  <c r="M583" i="6"/>
  <c r="B583" i="6"/>
  <c r="AE582" i="6"/>
  <c r="AD582" i="6"/>
  <c r="W582" i="6"/>
  <c r="V582" i="6"/>
  <c r="U582" i="6"/>
  <c r="T582" i="6"/>
  <c r="S582" i="6"/>
  <c r="P582" i="6"/>
  <c r="O582" i="6"/>
  <c r="N582" i="6"/>
  <c r="M582" i="6"/>
  <c r="B582" i="6"/>
  <c r="AE581" i="6"/>
  <c r="AD581" i="6"/>
  <c r="W581" i="6"/>
  <c r="V581" i="6"/>
  <c r="U581" i="6"/>
  <c r="T581" i="6"/>
  <c r="S581" i="6"/>
  <c r="P581" i="6"/>
  <c r="O581" i="6"/>
  <c r="N581" i="6"/>
  <c r="M581" i="6"/>
  <c r="B581" i="6"/>
  <c r="AE580" i="6"/>
  <c r="AD580" i="6"/>
  <c r="W580" i="6"/>
  <c r="V580" i="6"/>
  <c r="T580" i="6"/>
  <c r="U580" i="6" s="1"/>
  <c r="S580" i="6"/>
  <c r="P580" i="6"/>
  <c r="O580" i="6"/>
  <c r="N580" i="6"/>
  <c r="M580" i="6"/>
  <c r="B580" i="6"/>
  <c r="AE579" i="6"/>
  <c r="AD579" i="6"/>
  <c r="W579" i="6"/>
  <c r="T579" i="6"/>
  <c r="V579" i="6" s="1"/>
  <c r="S579" i="6"/>
  <c r="P579" i="6"/>
  <c r="O579" i="6"/>
  <c r="N579" i="6"/>
  <c r="M579" i="6"/>
  <c r="B579" i="6"/>
  <c r="AE578" i="6"/>
  <c r="AD578" i="6"/>
  <c r="W578" i="6"/>
  <c r="T578" i="6"/>
  <c r="V578" i="6" s="1"/>
  <c r="S578" i="6"/>
  <c r="P578" i="6"/>
  <c r="O578" i="6"/>
  <c r="N578" i="6"/>
  <c r="M578" i="6"/>
  <c r="B578" i="6"/>
  <c r="AE577" i="6"/>
  <c r="AD577" i="6"/>
  <c r="W577" i="6"/>
  <c r="V577" i="6"/>
  <c r="U577" i="6"/>
  <c r="T577" i="6"/>
  <c r="S577" i="6"/>
  <c r="P577" i="6"/>
  <c r="O577" i="6"/>
  <c r="N577" i="6"/>
  <c r="M577" i="6"/>
  <c r="B577" i="6"/>
  <c r="AE576" i="6"/>
  <c r="AD576" i="6"/>
  <c r="W576" i="6"/>
  <c r="V576" i="6"/>
  <c r="U576" i="6"/>
  <c r="T576" i="6"/>
  <c r="S576" i="6"/>
  <c r="P576" i="6"/>
  <c r="O576" i="6"/>
  <c r="N576" i="6"/>
  <c r="M576" i="6"/>
  <c r="B576" i="6"/>
  <c r="AE575" i="6"/>
  <c r="AD575" i="6"/>
  <c r="W575" i="6"/>
  <c r="V575" i="6"/>
  <c r="T575" i="6"/>
  <c r="U575" i="6" s="1"/>
  <c r="S575" i="6"/>
  <c r="P575" i="6"/>
  <c r="O575" i="6"/>
  <c r="N575" i="6"/>
  <c r="M575" i="6"/>
  <c r="B575" i="6"/>
  <c r="AE574" i="6"/>
  <c r="AD574" i="6"/>
  <c r="W574" i="6"/>
  <c r="T574" i="6"/>
  <c r="V574" i="6" s="1"/>
  <c r="S574" i="6"/>
  <c r="P574" i="6"/>
  <c r="O574" i="6"/>
  <c r="N574" i="6"/>
  <c r="M574" i="6"/>
  <c r="B574" i="6"/>
  <c r="AE573" i="6"/>
  <c r="AD573" i="6"/>
  <c r="W573" i="6"/>
  <c r="T573" i="6"/>
  <c r="V573" i="6" s="1"/>
  <c r="S573" i="6"/>
  <c r="P573" i="6"/>
  <c r="O573" i="6"/>
  <c r="N573" i="6"/>
  <c r="M573" i="6"/>
  <c r="B573" i="6"/>
  <c r="AE572" i="6"/>
  <c r="AD572" i="6"/>
  <c r="W572" i="6"/>
  <c r="V572" i="6"/>
  <c r="U572" i="6"/>
  <c r="T572" i="6"/>
  <c r="S572" i="6"/>
  <c r="P572" i="6"/>
  <c r="O572" i="6"/>
  <c r="N572" i="6"/>
  <c r="M572" i="6"/>
  <c r="B572" i="6"/>
  <c r="AE571" i="6"/>
  <c r="AD571" i="6"/>
  <c r="W571" i="6"/>
  <c r="V571" i="6"/>
  <c r="U571" i="6"/>
  <c r="T571" i="6"/>
  <c r="S571" i="6"/>
  <c r="P571" i="6"/>
  <c r="O571" i="6"/>
  <c r="N571" i="6"/>
  <c r="M571" i="6"/>
  <c r="B571" i="6"/>
  <c r="AE570" i="6"/>
  <c r="AD570" i="6"/>
  <c r="W570" i="6"/>
  <c r="V570" i="6"/>
  <c r="T570" i="6"/>
  <c r="U570" i="6" s="1"/>
  <c r="S570" i="6"/>
  <c r="P570" i="6"/>
  <c r="O570" i="6"/>
  <c r="N570" i="6"/>
  <c r="M570" i="6"/>
  <c r="B570" i="6"/>
  <c r="AE569" i="6"/>
  <c r="AD569" i="6"/>
  <c r="W569" i="6"/>
  <c r="T569" i="6"/>
  <c r="V569" i="6" s="1"/>
  <c r="S569" i="6"/>
  <c r="P569" i="6"/>
  <c r="O569" i="6"/>
  <c r="N569" i="6"/>
  <c r="M569" i="6"/>
  <c r="B569" i="6"/>
  <c r="AE568" i="6"/>
  <c r="AD568" i="6"/>
  <c r="W568" i="6"/>
  <c r="T568" i="6"/>
  <c r="V568" i="6" s="1"/>
  <c r="S568" i="6"/>
  <c r="P568" i="6"/>
  <c r="O568" i="6"/>
  <c r="N568" i="6"/>
  <c r="M568" i="6"/>
  <c r="B568" i="6"/>
  <c r="AE567" i="6"/>
  <c r="AD567" i="6"/>
  <c r="W567" i="6"/>
  <c r="V567" i="6"/>
  <c r="U567" i="6"/>
  <c r="T567" i="6"/>
  <c r="S567" i="6"/>
  <c r="P567" i="6"/>
  <c r="O567" i="6"/>
  <c r="N567" i="6"/>
  <c r="M567" i="6"/>
  <c r="B567" i="6"/>
  <c r="AE566" i="6"/>
  <c r="AD566" i="6"/>
  <c r="W566" i="6"/>
  <c r="V566" i="6"/>
  <c r="U566" i="6"/>
  <c r="T566" i="6"/>
  <c r="S566" i="6"/>
  <c r="P566" i="6"/>
  <c r="O566" i="6"/>
  <c r="N566" i="6"/>
  <c r="M566" i="6"/>
  <c r="B566" i="6"/>
  <c r="AE565" i="6"/>
  <c r="AD565" i="6"/>
  <c r="W565" i="6"/>
  <c r="V565" i="6"/>
  <c r="T565" i="6"/>
  <c r="U565" i="6" s="1"/>
  <c r="S565" i="6"/>
  <c r="P565" i="6"/>
  <c r="O565" i="6"/>
  <c r="N565" i="6"/>
  <c r="M565" i="6"/>
  <c r="B565" i="6"/>
  <c r="AE564" i="6"/>
  <c r="AD564" i="6"/>
  <c r="W564" i="6"/>
  <c r="T564" i="6"/>
  <c r="V564" i="6" s="1"/>
  <c r="S564" i="6"/>
  <c r="P564" i="6"/>
  <c r="O564" i="6"/>
  <c r="N564" i="6"/>
  <c r="M564" i="6"/>
  <c r="B564" i="6"/>
  <c r="AE563" i="6"/>
  <c r="AD563" i="6"/>
  <c r="W563" i="6"/>
  <c r="T563" i="6"/>
  <c r="V563" i="6" s="1"/>
  <c r="S563" i="6"/>
  <c r="P563" i="6"/>
  <c r="O563" i="6"/>
  <c r="N563" i="6"/>
  <c r="M563" i="6"/>
  <c r="B563" i="6"/>
  <c r="AE562" i="6"/>
  <c r="AD562" i="6"/>
  <c r="W562" i="6"/>
  <c r="V562" i="6"/>
  <c r="U562" i="6"/>
  <c r="T562" i="6"/>
  <c r="S562" i="6"/>
  <c r="P562" i="6"/>
  <c r="O562" i="6"/>
  <c r="N562" i="6"/>
  <c r="M562" i="6"/>
  <c r="B562" i="6"/>
  <c r="AE561" i="6"/>
  <c r="AD561" i="6"/>
  <c r="W561" i="6"/>
  <c r="V561" i="6"/>
  <c r="U561" i="6"/>
  <c r="T561" i="6"/>
  <c r="S561" i="6"/>
  <c r="P561" i="6"/>
  <c r="O561" i="6"/>
  <c r="N561" i="6"/>
  <c r="M561" i="6"/>
  <c r="B561" i="6"/>
  <c r="AE560" i="6"/>
  <c r="AD560" i="6"/>
  <c r="W560" i="6"/>
  <c r="V560" i="6"/>
  <c r="T560" i="6"/>
  <c r="U560" i="6" s="1"/>
  <c r="S560" i="6"/>
  <c r="P560" i="6"/>
  <c r="O560" i="6"/>
  <c r="N560" i="6"/>
  <c r="M560" i="6"/>
  <c r="B560" i="6"/>
  <c r="AE559" i="6"/>
  <c r="AD559" i="6"/>
  <c r="W559" i="6"/>
  <c r="T559" i="6"/>
  <c r="V559" i="6" s="1"/>
  <c r="S559" i="6"/>
  <c r="P559" i="6"/>
  <c r="O559" i="6"/>
  <c r="N559" i="6"/>
  <c r="M559" i="6"/>
  <c r="B559" i="6"/>
  <c r="AE558" i="6"/>
  <c r="AD558" i="6"/>
  <c r="W558" i="6"/>
  <c r="T558" i="6"/>
  <c r="V558" i="6" s="1"/>
  <c r="S558" i="6"/>
  <c r="P558" i="6"/>
  <c r="O558" i="6"/>
  <c r="N558" i="6"/>
  <c r="M558" i="6"/>
  <c r="B558" i="6"/>
  <c r="AE557" i="6"/>
  <c r="AD557" i="6"/>
  <c r="W557" i="6"/>
  <c r="V557" i="6"/>
  <c r="T557" i="6"/>
  <c r="U557" i="6" s="1"/>
  <c r="S557" i="6"/>
  <c r="P557" i="6"/>
  <c r="O557" i="6"/>
  <c r="N557" i="6"/>
  <c r="M557" i="6"/>
  <c r="B557" i="6"/>
  <c r="AE556" i="6"/>
  <c r="AD556" i="6"/>
  <c r="W556" i="6"/>
  <c r="V556" i="6"/>
  <c r="U556" i="6"/>
  <c r="T556" i="6"/>
  <c r="S556" i="6"/>
  <c r="P556" i="6"/>
  <c r="O556" i="6"/>
  <c r="N556" i="6"/>
  <c r="M556" i="6"/>
  <c r="B556" i="6"/>
  <c r="AE555" i="6"/>
  <c r="AD555" i="6"/>
  <c r="W555" i="6"/>
  <c r="V555" i="6"/>
  <c r="T555" i="6"/>
  <c r="U555" i="6" s="1"/>
  <c r="S555" i="6"/>
  <c r="P555" i="6"/>
  <c r="O555" i="6"/>
  <c r="N555" i="6"/>
  <c r="M555" i="6"/>
  <c r="B555" i="6"/>
  <c r="AE554" i="6"/>
  <c r="AD554" i="6"/>
  <c r="W554" i="6"/>
  <c r="T554" i="6"/>
  <c r="V554" i="6" s="1"/>
  <c r="S554" i="6"/>
  <c r="P554" i="6"/>
  <c r="O554" i="6"/>
  <c r="N554" i="6"/>
  <c r="M554" i="6"/>
  <c r="B554" i="6"/>
  <c r="AE553" i="6"/>
  <c r="AD553" i="6"/>
  <c r="W553" i="6"/>
  <c r="T553" i="6"/>
  <c r="V553" i="6" s="1"/>
  <c r="S553" i="6"/>
  <c r="P553" i="6"/>
  <c r="O553" i="6"/>
  <c r="N553" i="6"/>
  <c r="M553" i="6"/>
  <c r="B553" i="6"/>
  <c r="AE552" i="6"/>
  <c r="AD552" i="6"/>
  <c r="W552" i="6"/>
  <c r="V552" i="6"/>
  <c r="T552" i="6"/>
  <c r="U552" i="6" s="1"/>
  <c r="S552" i="6"/>
  <c r="P552" i="6"/>
  <c r="O552" i="6"/>
  <c r="N552" i="6"/>
  <c r="M552" i="6"/>
  <c r="B552" i="6"/>
  <c r="AE551" i="6"/>
  <c r="AD551" i="6"/>
  <c r="W551" i="6"/>
  <c r="V551" i="6"/>
  <c r="U551" i="6"/>
  <c r="T551" i="6"/>
  <c r="S551" i="6"/>
  <c r="P551" i="6"/>
  <c r="O551" i="6"/>
  <c r="N551" i="6"/>
  <c r="M551" i="6"/>
  <c r="B551" i="6"/>
  <c r="AE550" i="6"/>
  <c r="AD550" i="6"/>
  <c r="W550" i="6"/>
  <c r="V550" i="6"/>
  <c r="T550" i="6"/>
  <c r="U550" i="6" s="1"/>
  <c r="S550" i="6"/>
  <c r="P550" i="6"/>
  <c r="O550" i="6"/>
  <c r="N550" i="6"/>
  <c r="M550" i="6"/>
  <c r="B550" i="6"/>
  <c r="AE549" i="6"/>
  <c r="AD549" i="6"/>
  <c r="W549" i="6"/>
  <c r="T549" i="6"/>
  <c r="V549" i="6" s="1"/>
  <c r="S549" i="6"/>
  <c r="P549" i="6"/>
  <c r="O549" i="6"/>
  <c r="N549" i="6"/>
  <c r="M549" i="6"/>
  <c r="B549" i="6"/>
  <c r="AE548" i="6"/>
  <c r="AD548" i="6"/>
  <c r="W548" i="6"/>
  <c r="T548" i="6"/>
  <c r="V548" i="6" s="1"/>
  <c r="S548" i="6"/>
  <c r="P548" i="6"/>
  <c r="O548" i="6"/>
  <c r="N548" i="6"/>
  <c r="M548" i="6"/>
  <c r="B548" i="6"/>
  <c r="AE547" i="6"/>
  <c r="AD547" i="6"/>
  <c r="W547" i="6"/>
  <c r="V547" i="6"/>
  <c r="T547" i="6"/>
  <c r="U547" i="6" s="1"/>
  <c r="S547" i="6"/>
  <c r="P547" i="6"/>
  <c r="O547" i="6"/>
  <c r="N547" i="6"/>
  <c r="M547" i="6"/>
  <c r="B547" i="6"/>
  <c r="AE546" i="6"/>
  <c r="AD546" i="6"/>
  <c r="W546" i="6"/>
  <c r="V546" i="6"/>
  <c r="U546" i="6"/>
  <c r="T546" i="6"/>
  <c r="S546" i="6"/>
  <c r="P546" i="6"/>
  <c r="O546" i="6"/>
  <c r="N546" i="6"/>
  <c r="M546" i="6"/>
  <c r="B546" i="6"/>
  <c r="AE545" i="6"/>
  <c r="AD545" i="6"/>
  <c r="W545" i="6"/>
  <c r="V545" i="6"/>
  <c r="T545" i="6"/>
  <c r="U545" i="6" s="1"/>
  <c r="S545" i="6"/>
  <c r="P545" i="6"/>
  <c r="O545" i="6"/>
  <c r="N545" i="6"/>
  <c r="M545" i="6"/>
  <c r="B545" i="6"/>
  <c r="AE544" i="6"/>
  <c r="AD544" i="6"/>
  <c r="W544" i="6"/>
  <c r="T544" i="6"/>
  <c r="V544" i="6" s="1"/>
  <c r="S544" i="6"/>
  <c r="P544" i="6"/>
  <c r="O544" i="6"/>
  <c r="N544" i="6"/>
  <c r="M544" i="6"/>
  <c r="B544" i="6"/>
  <c r="AE543" i="6"/>
  <c r="AD543" i="6"/>
  <c r="W543" i="6"/>
  <c r="T543" i="6"/>
  <c r="V543" i="6" s="1"/>
  <c r="S543" i="6"/>
  <c r="P543" i="6"/>
  <c r="O543" i="6"/>
  <c r="N543" i="6"/>
  <c r="M543" i="6"/>
  <c r="B543" i="6"/>
  <c r="AE542" i="6"/>
  <c r="AD542" i="6"/>
  <c r="W542" i="6"/>
  <c r="V542" i="6"/>
  <c r="T542" i="6"/>
  <c r="U542" i="6" s="1"/>
  <c r="S542" i="6"/>
  <c r="P542" i="6"/>
  <c r="O542" i="6"/>
  <c r="N542" i="6"/>
  <c r="M542" i="6"/>
  <c r="B542" i="6"/>
  <c r="AE541" i="6"/>
  <c r="AD541" i="6"/>
  <c r="W541" i="6"/>
  <c r="V541" i="6"/>
  <c r="U541" i="6"/>
  <c r="T541" i="6"/>
  <c r="S541" i="6"/>
  <c r="P541" i="6"/>
  <c r="O541" i="6"/>
  <c r="N541" i="6"/>
  <c r="M541" i="6"/>
  <c r="B541" i="6"/>
  <c r="AE540" i="6"/>
  <c r="AD540" i="6"/>
  <c r="W540" i="6"/>
  <c r="V540" i="6"/>
  <c r="T540" i="6"/>
  <c r="U540" i="6" s="1"/>
  <c r="S540" i="6"/>
  <c r="P540" i="6"/>
  <c r="O540" i="6"/>
  <c r="N540" i="6"/>
  <c r="M540" i="6"/>
  <c r="B540" i="6"/>
  <c r="AE539" i="6"/>
  <c r="AD539" i="6"/>
  <c r="W539" i="6"/>
  <c r="T539" i="6"/>
  <c r="V539" i="6" s="1"/>
  <c r="S539" i="6"/>
  <c r="P539" i="6"/>
  <c r="O539" i="6"/>
  <c r="N539" i="6"/>
  <c r="M539" i="6"/>
  <c r="B539" i="6"/>
  <c r="AE538" i="6"/>
  <c r="AD538" i="6"/>
  <c r="W538" i="6"/>
  <c r="T538" i="6"/>
  <c r="V538" i="6" s="1"/>
  <c r="S538" i="6"/>
  <c r="P538" i="6"/>
  <c r="O538" i="6"/>
  <c r="N538" i="6"/>
  <c r="M538" i="6"/>
  <c r="B538" i="6"/>
  <c r="AE537" i="6"/>
  <c r="AD537" i="6"/>
  <c r="W537" i="6"/>
  <c r="V537" i="6"/>
  <c r="T537" i="6"/>
  <c r="U537" i="6" s="1"/>
  <c r="S537" i="6"/>
  <c r="P537" i="6"/>
  <c r="O537" i="6"/>
  <c r="N537" i="6"/>
  <c r="M537" i="6"/>
  <c r="B537" i="6"/>
  <c r="AE536" i="6"/>
  <c r="AD536" i="6"/>
  <c r="W536" i="6"/>
  <c r="V536" i="6"/>
  <c r="U536" i="6"/>
  <c r="T536" i="6"/>
  <c r="S536" i="6"/>
  <c r="P536" i="6"/>
  <c r="O536" i="6"/>
  <c r="N536" i="6"/>
  <c r="M536" i="6"/>
  <c r="B536" i="6"/>
  <c r="AE535" i="6"/>
  <c r="AD535" i="6"/>
  <c r="W535" i="6"/>
  <c r="V535" i="6"/>
  <c r="T535" i="6"/>
  <c r="U535" i="6" s="1"/>
  <c r="S535" i="6"/>
  <c r="P535" i="6"/>
  <c r="O535" i="6"/>
  <c r="N535" i="6"/>
  <c r="M535" i="6"/>
  <c r="B535" i="6"/>
  <c r="AE534" i="6"/>
  <c r="AD534" i="6"/>
  <c r="W534" i="6"/>
  <c r="T534" i="6"/>
  <c r="V534" i="6" s="1"/>
  <c r="S534" i="6"/>
  <c r="P534" i="6"/>
  <c r="O534" i="6"/>
  <c r="N534" i="6"/>
  <c r="M534" i="6"/>
  <c r="B534" i="6"/>
  <c r="AE533" i="6"/>
  <c r="AD533" i="6"/>
  <c r="W533" i="6"/>
  <c r="T533" i="6"/>
  <c r="V533" i="6" s="1"/>
  <c r="S533" i="6"/>
  <c r="P533" i="6"/>
  <c r="O533" i="6"/>
  <c r="N533" i="6"/>
  <c r="M533" i="6"/>
  <c r="B533" i="6"/>
  <c r="AE532" i="6"/>
  <c r="AD532" i="6"/>
  <c r="W532" i="6"/>
  <c r="V532" i="6"/>
  <c r="T532" i="6"/>
  <c r="U532" i="6" s="1"/>
  <c r="S532" i="6"/>
  <c r="P532" i="6"/>
  <c r="O532" i="6"/>
  <c r="N532" i="6"/>
  <c r="M532" i="6"/>
  <c r="B532" i="6"/>
  <c r="AE531" i="6"/>
  <c r="AD531" i="6"/>
  <c r="W531" i="6"/>
  <c r="V531" i="6"/>
  <c r="U531" i="6"/>
  <c r="T531" i="6"/>
  <c r="S531" i="6"/>
  <c r="P531" i="6"/>
  <c r="O531" i="6"/>
  <c r="N531" i="6"/>
  <c r="M531" i="6"/>
  <c r="B531" i="6"/>
  <c r="AE530" i="6"/>
  <c r="AD530" i="6"/>
  <c r="W530" i="6"/>
  <c r="V530" i="6"/>
  <c r="T530" i="6"/>
  <c r="U530" i="6" s="1"/>
  <c r="S530" i="6"/>
  <c r="P530" i="6"/>
  <c r="O530" i="6"/>
  <c r="N530" i="6"/>
  <c r="M530" i="6"/>
  <c r="B530" i="6"/>
  <c r="AE529" i="6"/>
  <c r="AD529" i="6"/>
  <c r="W529" i="6"/>
  <c r="T529" i="6"/>
  <c r="V529" i="6" s="1"/>
  <c r="S529" i="6"/>
  <c r="P529" i="6"/>
  <c r="O529" i="6"/>
  <c r="N529" i="6"/>
  <c r="M529" i="6"/>
  <c r="B529" i="6"/>
  <c r="AE528" i="6"/>
  <c r="AD528" i="6"/>
  <c r="W528" i="6"/>
  <c r="T528" i="6"/>
  <c r="V528" i="6" s="1"/>
  <c r="S528" i="6"/>
  <c r="P528" i="6"/>
  <c r="O528" i="6"/>
  <c r="N528" i="6"/>
  <c r="M528" i="6"/>
  <c r="B528" i="6"/>
  <c r="AE527" i="6"/>
  <c r="AD527" i="6"/>
  <c r="W527" i="6"/>
  <c r="V527" i="6"/>
  <c r="T527" i="6"/>
  <c r="U527" i="6" s="1"/>
  <c r="S527" i="6"/>
  <c r="P527" i="6"/>
  <c r="O527" i="6"/>
  <c r="N527" i="6"/>
  <c r="M527" i="6"/>
  <c r="B527" i="6"/>
  <c r="AE526" i="6"/>
  <c r="AD526" i="6"/>
  <c r="W526" i="6"/>
  <c r="V526" i="6"/>
  <c r="U526" i="6"/>
  <c r="T526" i="6"/>
  <c r="S526" i="6"/>
  <c r="P526" i="6"/>
  <c r="O526" i="6"/>
  <c r="N526" i="6"/>
  <c r="M526" i="6"/>
  <c r="B526" i="6"/>
  <c r="AE525" i="6"/>
  <c r="AD525" i="6"/>
  <c r="W525" i="6"/>
  <c r="V525" i="6"/>
  <c r="T525" i="6"/>
  <c r="U525" i="6" s="1"/>
  <c r="S525" i="6"/>
  <c r="P525" i="6"/>
  <c r="O525" i="6"/>
  <c r="N525" i="6"/>
  <c r="M525" i="6"/>
  <c r="B525" i="6"/>
  <c r="AE524" i="6"/>
  <c r="AD524" i="6"/>
  <c r="W524" i="6"/>
  <c r="T524" i="6"/>
  <c r="V524" i="6" s="1"/>
  <c r="S524" i="6"/>
  <c r="P524" i="6"/>
  <c r="O524" i="6"/>
  <c r="N524" i="6"/>
  <c r="M524" i="6"/>
  <c r="B524" i="6"/>
  <c r="AE523" i="6"/>
  <c r="AD523" i="6"/>
  <c r="W523" i="6"/>
  <c r="T523" i="6"/>
  <c r="V523" i="6" s="1"/>
  <c r="S523" i="6"/>
  <c r="P523" i="6"/>
  <c r="O523" i="6"/>
  <c r="N523" i="6"/>
  <c r="M523" i="6"/>
  <c r="B523" i="6"/>
  <c r="AE522" i="6"/>
  <c r="AD522" i="6"/>
  <c r="W522" i="6"/>
  <c r="V522" i="6"/>
  <c r="T522" i="6"/>
  <c r="U522" i="6" s="1"/>
  <c r="S522" i="6"/>
  <c r="P522" i="6"/>
  <c r="O522" i="6"/>
  <c r="N522" i="6"/>
  <c r="M522" i="6"/>
  <c r="B522" i="6"/>
  <c r="AE521" i="6"/>
  <c r="AD521" i="6"/>
  <c r="W521" i="6"/>
  <c r="V521" i="6"/>
  <c r="U521" i="6"/>
  <c r="T521" i="6"/>
  <c r="S521" i="6"/>
  <c r="P521" i="6"/>
  <c r="O521" i="6"/>
  <c r="N521" i="6"/>
  <c r="M521" i="6"/>
  <c r="B521" i="6"/>
  <c r="AE520" i="6"/>
  <c r="AD520" i="6"/>
  <c r="W520" i="6"/>
  <c r="V520" i="6"/>
  <c r="T520" i="6"/>
  <c r="U520" i="6" s="1"/>
  <c r="S520" i="6"/>
  <c r="P520" i="6"/>
  <c r="O520" i="6"/>
  <c r="N520" i="6"/>
  <c r="M520" i="6"/>
  <c r="B520" i="6"/>
  <c r="AE519" i="6"/>
  <c r="AD519" i="6"/>
  <c r="W519" i="6"/>
  <c r="T519" i="6"/>
  <c r="V519" i="6" s="1"/>
  <c r="S519" i="6"/>
  <c r="P519" i="6"/>
  <c r="O519" i="6"/>
  <c r="N519" i="6"/>
  <c r="M519" i="6"/>
  <c r="B519" i="6"/>
  <c r="AE518" i="6"/>
  <c r="AD518" i="6"/>
  <c r="W518" i="6"/>
  <c r="T518" i="6"/>
  <c r="V518" i="6" s="1"/>
  <c r="S518" i="6"/>
  <c r="P518" i="6"/>
  <c r="O518" i="6"/>
  <c r="N518" i="6"/>
  <c r="M518" i="6"/>
  <c r="B518" i="6"/>
  <c r="AE517" i="6"/>
  <c r="AD517" i="6"/>
  <c r="W517" i="6"/>
  <c r="V517" i="6"/>
  <c r="T517" i="6"/>
  <c r="U517" i="6" s="1"/>
  <c r="S517" i="6"/>
  <c r="P517" i="6"/>
  <c r="O517" i="6"/>
  <c r="N517" i="6"/>
  <c r="M517" i="6"/>
  <c r="B517" i="6"/>
  <c r="AE516" i="6"/>
  <c r="AD516" i="6"/>
  <c r="W516" i="6"/>
  <c r="V516" i="6"/>
  <c r="U516" i="6"/>
  <c r="T516" i="6"/>
  <c r="S516" i="6"/>
  <c r="P516" i="6"/>
  <c r="O516" i="6"/>
  <c r="N516" i="6"/>
  <c r="M516" i="6"/>
  <c r="B516" i="6"/>
  <c r="AE515" i="6"/>
  <c r="AD515" i="6"/>
  <c r="W515" i="6"/>
  <c r="V515" i="6"/>
  <c r="T515" i="6"/>
  <c r="U515" i="6" s="1"/>
  <c r="S515" i="6"/>
  <c r="P515" i="6"/>
  <c r="O515" i="6"/>
  <c r="N515" i="6"/>
  <c r="M515" i="6"/>
  <c r="B515" i="6"/>
  <c r="AE514" i="6"/>
  <c r="AD514" i="6"/>
  <c r="W514" i="6"/>
  <c r="T514" i="6"/>
  <c r="V514" i="6" s="1"/>
  <c r="S514" i="6"/>
  <c r="P514" i="6"/>
  <c r="O514" i="6"/>
  <c r="N514" i="6"/>
  <c r="M514" i="6"/>
  <c r="B514" i="6"/>
  <c r="AE513" i="6"/>
  <c r="AD513" i="6"/>
  <c r="W513" i="6"/>
  <c r="T513" i="6"/>
  <c r="V513" i="6" s="1"/>
  <c r="S513" i="6"/>
  <c r="P513" i="6"/>
  <c r="O513" i="6"/>
  <c r="N513" i="6"/>
  <c r="M513" i="6"/>
  <c r="B513" i="6"/>
  <c r="AE512" i="6"/>
  <c r="AD512" i="6"/>
  <c r="W512" i="6"/>
  <c r="V512" i="6"/>
  <c r="T512" i="6"/>
  <c r="U512" i="6" s="1"/>
  <c r="S512" i="6"/>
  <c r="P512" i="6"/>
  <c r="O512" i="6"/>
  <c r="N512" i="6"/>
  <c r="M512" i="6"/>
  <c r="B512" i="6"/>
  <c r="AE511" i="6"/>
  <c r="AD511" i="6"/>
  <c r="W511" i="6"/>
  <c r="V511" i="6"/>
  <c r="U511" i="6"/>
  <c r="T511" i="6"/>
  <c r="S511" i="6"/>
  <c r="P511" i="6"/>
  <c r="O511" i="6"/>
  <c r="N511" i="6"/>
  <c r="M511" i="6"/>
  <c r="B511" i="6"/>
  <c r="AE510" i="6"/>
  <c r="AD510" i="6"/>
  <c r="W510" i="6"/>
  <c r="V510" i="6"/>
  <c r="T510" i="6"/>
  <c r="U510" i="6" s="1"/>
  <c r="S510" i="6"/>
  <c r="P510" i="6"/>
  <c r="O510" i="6"/>
  <c r="N510" i="6"/>
  <c r="M510" i="6"/>
  <c r="B510" i="6"/>
  <c r="AE509" i="6"/>
  <c r="AD509" i="6"/>
  <c r="W509" i="6"/>
  <c r="T509" i="6"/>
  <c r="V509" i="6" s="1"/>
  <c r="S509" i="6"/>
  <c r="P509" i="6"/>
  <c r="O509" i="6"/>
  <c r="N509" i="6"/>
  <c r="M509" i="6"/>
  <c r="B509" i="6"/>
  <c r="AE508" i="6"/>
  <c r="AD508" i="6"/>
  <c r="W508" i="6"/>
  <c r="T508" i="6"/>
  <c r="V508" i="6" s="1"/>
  <c r="S508" i="6"/>
  <c r="P508" i="6"/>
  <c r="O508" i="6"/>
  <c r="N508" i="6"/>
  <c r="M508" i="6"/>
  <c r="B508" i="6"/>
  <c r="AE507" i="6"/>
  <c r="AD507" i="6"/>
  <c r="W507" i="6"/>
  <c r="V507" i="6"/>
  <c r="T507" i="6"/>
  <c r="U507" i="6" s="1"/>
  <c r="S507" i="6"/>
  <c r="P507" i="6"/>
  <c r="O507" i="6"/>
  <c r="N507" i="6"/>
  <c r="M507" i="6"/>
  <c r="B507" i="6"/>
  <c r="AE506" i="6"/>
  <c r="AD506" i="6"/>
  <c r="W506" i="6"/>
  <c r="V506" i="6"/>
  <c r="U506" i="6"/>
  <c r="T506" i="6"/>
  <c r="S506" i="6"/>
  <c r="P506" i="6"/>
  <c r="O506" i="6"/>
  <c r="N506" i="6"/>
  <c r="M506" i="6"/>
  <c r="B506" i="6"/>
  <c r="AE505" i="6"/>
  <c r="AD505" i="6"/>
  <c r="W505" i="6"/>
  <c r="V505" i="6"/>
  <c r="T505" i="6"/>
  <c r="U505" i="6" s="1"/>
  <c r="S505" i="6"/>
  <c r="P505" i="6"/>
  <c r="O505" i="6"/>
  <c r="N505" i="6"/>
  <c r="M505" i="6"/>
  <c r="B505" i="6"/>
  <c r="AE504" i="6"/>
  <c r="AD504" i="6"/>
  <c r="W504" i="6"/>
  <c r="T504" i="6"/>
  <c r="V504" i="6" s="1"/>
  <c r="S504" i="6"/>
  <c r="P504" i="6"/>
  <c r="O504" i="6"/>
  <c r="N504" i="6"/>
  <c r="M504" i="6"/>
  <c r="B504" i="6"/>
  <c r="AE503" i="6"/>
  <c r="AD503" i="6"/>
  <c r="W503" i="6"/>
  <c r="T503" i="6"/>
  <c r="V503" i="6" s="1"/>
  <c r="S503" i="6"/>
  <c r="P503" i="6"/>
  <c r="O503" i="6"/>
  <c r="N503" i="6"/>
  <c r="M503" i="6"/>
  <c r="B503" i="6"/>
  <c r="AE502" i="6"/>
  <c r="AD502" i="6"/>
  <c r="W502" i="6"/>
  <c r="V502" i="6"/>
  <c r="T502" i="6"/>
  <c r="U502" i="6" s="1"/>
  <c r="S502" i="6"/>
  <c r="P502" i="6"/>
  <c r="O502" i="6"/>
  <c r="N502" i="6"/>
  <c r="M502" i="6"/>
  <c r="B502" i="6"/>
  <c r="AE501" i="6"/>
  <c r="AD501" i="6"/>
  <c r="W501" i="6"/>
  <c r="V501" i="6"/>
  <c r="U501" i="6"/>
  <c r="T501" i="6"/>
  <c r="S501" i="6"/>
  <c r="P501" i="6"/>
  <c r="O501" i="6"/>
  <c r="N501" i="6"/>
  <c r="M501" i="6"/>
  <c r="B501" i="6"/>
  <c r="AE500" i="6"/>
  <c r="AD500" i="6"/>
  <c r="W500" i="6"/>
  <c r="V500" i="6"/>
  <c r="T500" i="6"/>
  <c r="U500" i="6" s="1"/>
  <c r="S500" i="6"/>
  <c r="P500" i="6"/>
  <c r="O500" i="6"/>
  <c r="N500" i="6"/>
  <c r="M500" i="6"/>
  <c r="B500" i="6"/>
  <c r="AE499" i="6"/>
  <c r="AD499" i="6"/>
  <c r="W499" i="6"/>
  <c r="T499" i="6"/>
  <c r="V499" i="6" s="1"/>
  <c r="S499" i="6"/>
  <c r="P499" i="6"/>
  <c r="O499" i="6"/>
  <c r="N499" i="6"/>
  <c r="M499" i="6"/>
  <c r="B499" i="6"/>
  <c r="AE498" i="6"/>
  <c r="AD498" i="6"/>
  <c r="W498" i="6"/>
  <c r="T498" i="6"/>
  <c r="V498" i="6" s="1"/>
  <c r="S498" i="6"/>
  <c r="P498" i="6"/>
  <c r="O498" i="6"/>
  <c r="N498" i="6"/>
  <c r="M498" i="6"/>
  <c r="B498" i="6"/>
  <c r="AE497" i="6"/>
  <c r="AD497" i="6"/>
  <c r="W497" i="6"/>
  <c r="V497" i="6"/>
  <c r="T497" i="6"/>
  <c r="U497" i="6" s="1"/>
  <c r="S497" i="6"/>
  <c r="P497" i="6"/>
  <c r="O497" i="6"/>
  <c r="N497" i="6"/>
  <c r="M497" i="6"/>
  <c r="B497" i="6"/>
  <c r="AE496" i="6"/>
  <c r="AD496" i="6"/>
  <c r="W496" i="6"/>
  <c r="V496" i="6"/>
  <c r="U496" i="6"/>
  <c r="T496" i="6"/>
  <c r="S496" i="6"/>
  <c r="P496" i="6"/>
  <c r="O496" i="6"/>
  <c r="N496" i="6"/>
  <c r="M496" i="6"/>
  <c r="B496" i="6"/>
  <c r="AE495" i="6"/>
  <c r="AD495" i="6"/>
  <c r="W495" i="6"/>
  <c r="V495" i="6"/>
  <c r="T495" i="6"/>
  <c r="U495" i="6" s="1"/>
  <c r="S495" i="6"/>
  <c r="P495" i="6"/>
  <c r="O495" i="6"/>
  <c r="N495" i="6"/>
  <c r="M495" i="6"/>
  <c r="B495" i="6"/>
  <c r="AE494" i="6"/>
  <c r="AD494" i="6"/>
  <c r="W494" i="6"/>
  <c r="T494" i="6"/>
  <c r="V494" i="6" s="1"/>
  <c r="S494" i="6"/>
  <c r="P494" i="6"/>
  <c r="O494" i="6"/>
  <c r="N494" i="6"/>
  <c r="M494" i="6"/>
  <c r="B494" i="6"/>
  <c r="AE493" i="6"/>
  <c r="AD493" i="6"/>
  <c r="W493" i="6"/>
  <c r="T493" i="6"/>
  <c r="V493" i="6" s="1"/>
  <c r="S493" i="6"/>
  <c r="P493" i="6"/>
  <c r="O493" i="6"/>
  <c r="N493" i="6"/>
  <c r="M493" i="6"/>
  <c r="B493" i="6"/>
  <c r="AE492" i="6"/>
  <c r="AD492" i="6"/>
  <c r="W492" i="6"/>
  <c r="V492" i="6"/>
  <c r="T492" i="6"/>
  <c r="U492" i="6" s="1"/>
  <c r="S492" i="6"/>
  <c r="P492" i="6"/>
  <c r="O492" i="6"/>
  <c r="N492" i="6"/>
  <c r="M492" i="6"/>
  <c r="B492" i="6"/>
  <c r="AE491" i="6"/>
  <c r="AD491" i="6"/>
  <c r="W491" i="6"/>
  <c r="V491" i="6"/>
  <c r="U491" i="6"/>
  <c r="T491" i="6"/>
  <c r="S491" i="6"/>
  <c r="P491" i="6"/>
  <c r="O491" i="6"/>
  <c r="N491" i="6"/>
  <c r="M491" i="6"/>
  <c r="B491" i="6"/>
  <c r="AE490" i="6"/>
  <c r="AD490" i="6"/>
  <c r="W490" i="6"/>
  <c r="V490" i="6"/>
  <c r="T490" i="6"/>
  <c r="U490" i="6" s="1"/>
  <c r="S490" i="6"/>
  <c r="P490" i="6"/>
  <c r="O490" i="6"/>
  <c r="N490" i="6"/>
  <c r="M490" i="6"/>
  <c r="B490" i="6"/>
  <c r="AE489" i="6"/>
  <c r="AD489" i="6"/>
  <c r="W489" i="6"/>
  <c r="T489" i="6"/>
  <c r="V489" i="6" s="1"/>
  <c r="S489" i="6"/>
  <c r="P489" i="6"/>
  <c r="O489" i="6"/>
  <c r="N489" i="6"/>
  <c r="M489" i="6"/>
  <c r="B489" i="6"/>
  <c r="AE488" i="6"/>
  <c r="AD488" i="6"/>
  <c r="W488" i="6"/>
  <c r="T488" i="6"/>
  <c r="V488" i="6" s="1"/>
  <c r="S488" i="6"/>
  <c r="P488" i="6"/>
  <c r="O488" i="6"/>
  <c r="N488" i="6"/>
  <c r="M488" i="6"/>
  <c r="B488" i="6"/>
  <c r="AE487" i="6"/>
  <c r="AD487" i="6"/>
  <c r="W487" i="6"/>
  <c r="V487" i="6"/>
  <c r="T487" i="6"/>
  <c r="U487" i="6" s="1"/>
  <c r="S487" i="6"/>
  <c r="P487" i="6"/>
  <c r="O487" i="6"/>
  <c r="N487" i="6"/>
  <c r="M487" i="6"/>
  <c r="B487" i="6"/>
  <c r="AE486" i="6"/>
  <c r="AD486" i="6"/>
  <c r="W486" i="6"/>
  <c r="V486" i="6"/>
  <c r="U486" i="6"/>
  <c r="T486" i="6"/>
  <c r="S486" i="6"/>
  <c r="P486" i="6"/>
  <c r="O486" i="6"/>
  <c r="N486" i="6"/>
  <c r="M486" i="6"/>
  <c r="B486" i="6"/>
  <c r="AE485" i="6"/>
  <c r="AD485" i="6"/>
  <c r="W485" i="6"/>
  <c r="V485" i="6"/>
  <c r="T485" i="6"/>
  <c r="U485" i="6" s="1"/>
  <c r="S485" i="6"/>
  <c r="P485" i="6"/>
  <c r="O485" i="6"/>
  <c r="N485" i="6"/>
  <c r="M485" i="6"/>
  <c r="B485" i="6"/>
  <c r="AE484" i="6"/>
  <c r="AD484" i="6"/>
  <c r="W484" i="6"/>
  <c r="T484" i="6"/>
  <c r="V484" i="6" s="1"/>
  <c r="S484" i="6"/>
  <c r="P484" i="6"/>
  <c r="O484" i="6"/>
  <c r="N484" i="6"/>
  <c r="M484" i="6"/>
  <c r="B484" i="6"/>
  <c r="AE483" i="6"/>
  <c r="AD483" i="6"/>
  <c r="W483" i="6"/>
  <c r="T483" i="6"/>
  <c r="V483" i="6" s="1"/>
  <c r="S483" i="6"/>
  <c r="P483" i="6"/>
  <c r="O483" i="6"/>
  <c r="N483" i="6"/>
  <c r="M483" i="6"/>
  <c r="B483" i="6"/>
  <c r="AE482" i="6"/>
  <c r="AD482" i="6"/>
  <c r="W482" i="6"/>
  <c r="V482" i="6"/>
  <c r="T482" i="6"/>
  <c r="U482" i="6" s="1"/>
  <c r="S482" i="6"/>
  <c r="P482" i="6"/>
  <c r="O482" i="6"/>
  <c r="N482" i="6"/>
  <c r="M482" i="6"/>
  <c r="B482" i="6"/>
  <c r="AE481" i="6"/>
  <c r="AD481" i="6"/>
  <c r="W481" i="6"/>
  <c r="V481" i="6"/>
  <c r="U481" i="6"/>
  <c r="T481" i="6"/>
  <c r="S481" i="6"/>
  <c r="P481" i="6"/>
  <c r="O481" i="6"/>
  <c r="N481" i="6"/>
  <c r="M481" i="6"/>
  <c r="B481" i="6"/>
  <c r="AE480" i="6"/>
  <c r="AD480" i="6"/>
  <c r="W480" i="6"/>
  <c r="V480" i="6"/>
  <c r="T480" i="6"/>
  <c r="U480" i="6" s="1"/>
  <c r="S480" i="6"/>
  <c r="P480" i="6"/>
  <c r="O480" i="6"/>
  <c r="N480" i="6"/>
  <c r="M480" i="6"/>
  <c r="B480" i="6"/>
  <c r="AE479" i="6"/>
  <c r="AD479" i="6"/>
  <c r="W479" i="6"/>
  <c r="T479" i="6"/>
  <c r="V479" i="6" s="1"/>
  <c r="S479" i="6"/>
  <c r="P479" i="6"/>
  <c r="O479" i="6"/>
  <c r="N479" i="6"/>
  <c r="M479" i="6"/>
  <c r="B479" i="6"/>
  <c r="AE478" i="6"/>
  <c r="AD478" i="6"/>
  <c r="W478" i="6"/>
  <c r="T478" i="6"/>
  <c r="V478" i="6" s="1"/>
  <c r="S478" i="6"/>
  <c r="P478" i="6"/>
  <c r="O478" i="6"/>
  <c r="N478" i="6"/>
  <c r="M478" i="6"/>
  <c r="B478" i="6"/>
  <c r="AE477" i="6"/>
  <c r="AD477" i="6"/>
  <c r="W477" i="6"/>
  <c r="V477" i="6"/>
  <c r="T477" i="6"/>
  <c r="U477" i="6" s="1"/>
  <c r="S477" i="6"/>
  <c r="P477" i="6"/>
  <c r="O477" i="6"/>
  <c r="N477" i="6"/>
  <c r="M477" i="6"/>
  <c r="B477" i="6"/>
  <c r="AE476" i="6"/>
  <c r="AD476" i="6"/>
  <c r="W476" i="6"/>
  <c r="V476" i="6"/>
  <c r="U476" i="6"/>
  <c r="T476" i="6"/>
  <c r="S476" i="6"/>
  <c r="P476" i="6"/>
  <c r="O476" i="6"/>
  <c r="N476" i="6"/>
  <c r="M476" i="6"/>
  <c r="B476" i="6"/>
  <c r="AE475" i="6"/>
  <c r="AD475" i="6"/>
  <c r="W475" i="6"/>
  <c r="V475" i="6"/>
  <c r="T475" i="6"/>
  <c r="U475" i="6" s="1"/>
  <c r="S475" i="6"/>
  <c r="P475" i="6"/>
  <c r="O475" i="6"/>
  <c r="N475" i="6"/>
  <c r="M475" i="6"/>
  <c r="B475" i="6"/>
  <c r="AE474" i="6"/>
  <c r="AD474" i="6"/>
  <c r="W474" i="6"/>
  <c r="T474" i="6"/>
  <c r="V474" i="6" s="1"/>
  <c r="S474" i="6"/>
  <c r="P474" i="6"/>
  <c r="O474" i="6"/>
  <c r="N474" i="6"/>
  <c r="M474" i="6"/>
  <c r="B474" i="6"/>
  <c r="AE473" i="6"/>
  <c r="AD473" i="6"/>
  <c r="W473" i="6"/>
  <c r="T473" i="6"/>
  <c r="V473" i="6" s="1"/>
  <c r="S473" i="6"/>
  <c r="P473" i="6"/>
  <c r="O473" i="6"/>
  <c r="N473" i="6"/>
  <c r="M473" i="6"/>
  <c r="B473" i="6"/>
  <c r="AE472" i="6"/>
  <c r="AD472" i="6"/>
  <c r="W472" i="6"/>
  <c r="V472" i="6"/>
  <c r="T472" i="6"/>
  <c r="U472" i="6" s="1"/>
  <c r="S472" i="6"/>
  <c r="P472" i="6"/>
  <c r="O472" i="6"/>
  <c r="N472" i="6"/>
  <c r="M472" i="6"/>
  <c r="B472" i="6"/>
  <c r="AE471" i="6"/>
  <c r="AD471" i="6"/>
  <c r="W471" i="6"/>
  <c r="V471" i="6"/>
  <c r="U471" i="6"/>
  <c r="T471" i="6"/>
  <c r="S471" i="6"/>
  <c r="P471" i="6"/>
  <c r="O471" i="6"/>
  <c r="N471" i="6"/>
  <c r="M471" i="6"/>
  <c r="B471" i="6"/>
  <c r="AE470" i="6"/>
  <c r="AD470" i="6"/>
  <c r="W470" i="6"/>
  <c r="V470" i="6"/>
  <c r="T470" i="6"/>
  <c r="U470" i="6" s="1"/>
  <c r="S470" i="6"/>
  <c r="P470" i="6"/>
  <c r="O470" i="6"/>
  <c r="N470" i="6"/>
  <c r="M470" i="6"/>
  <c r="B470" i="6"/>
  <c r="AE469" i="6"/>
  <c r="AD469" i="6"/>
  <c r="W469" i="6"/>
  <c r="T469" i="6"/>
  <c r="V469" i="6" s="1"/>
  <c r="S469" i="6"/>
  <c r="P469" i="6"/>
  <c r="O469" i="6"/>
  <c r="N469" i="6"/>
  <c r="M469" i="6"/>
  <c r="B469" i="6"/>
  <c r="AE468" i="6"/>
  <c r="AD468" i="6"/>
  <c r="W468" i="6"/>
  <c r="T468" i="6"/>
  <c r="V468" i="6" s="1"/>
  <c r="S468" i="6"/>
  <c r="P468" i="6"/>
  <c r="O468" i="6"/>
  <c r="N468" i="6"/>
  <c r="M468" i="6"/>
  <c r="B468" i="6"/>
  <c r="AE467" i="6"/>
  <c r="AD467" i="6"/>
  <c r="W467" i="6"/>
  <c r="V467" i="6"/>
  <c r="T467" i="6"/>
  <c r="U467" i="6" s="1"/>
  <c r="S467" i="6"/>
  <c r="P467" i="6"/>
  <c r="O467" i="6"/>
  <c r="N467" i="6"/>
  <c r="M467" i="6"/>
  <c r="B467" i="6"/>
  <c r="AE466" i="6"/>
  <c r="AD466" i="6"/>
  <c r="W466" i="6"/>
  <c r="V466" i="6"/>
  <c r="U466" i="6"/>
  <c r="T466" i="6"/>
  <c r="S466" i="6"/>
  <c r="P466" i="6"/>
  <c r="O466" i="6"/>
  <c r="N466" i="6"/>
  <c r="M466" i="6"/>
  <c r="B466" i="6"/>
  <c r="AE465" i="6"/>
  <c r="AD465" i="6"/>
  <c r="W465" i="6"/>
  <c r="V465" i="6"/>
  <c r="T465" i="6"/>
  <c r="U465" i="6" s="1"/>
  <c r="S465" i="6"/>
  <c r="P465" i="6"/>
  <c r="O465" i="6"/>
  <c r="N465" i="6"/>
  <c r="M465" i="6"/>
  <c r="B465" i="6"/>
  <c r="AE464" i="6"/>
  <c r="AD464" i="6"/>
  <c r="W464" i="6"/>
  <c r="T464" i="6"/>
  <c r="V464" i="6" s="1"/>
  <c r="S464" i="6"/>
  <c r="P464" i="6"/>
  <c r="O464" i="6"/>
  <c r="N464" i="6"/>
  <c r="M464" i="6"/>
  <c r="B464" i="6"/>
  <c r="AE463" i="6"/>
  <c r="AD463" i="6"/>
  <c r="W463" i="6"/>
  <c r="T463" i="6"/>
  <c r="V463" i="6" s="1"/>
  <c r="S463" i="6"/>
  <c r="P463" i="6"/>
  <c r="O463" i="6"/>
  <c r="N463" i="6"/>
  <c r="M463" i="6"/>
  <c r="B463" i="6"/>
  <c r="AE462" i="6"/>
  <c r="AD462" i="6"/>
  <c r="W462" i="6"/>
  <c r="V462" i="6"/>
  <c r="T462" i="6"/>
  <c r="U462" i="6" s="1"/>
  <c r="S462" i="6"/>
  <c r="P462" i="6"/>
  <c r="O462" i="6"/>
  <c r="N462" i="6"/>
  <c r="M462" i="6"/>
  <c r="B462" i="6"/>
  <c r="AE461" i="6"/>
  <c r="AD461" i="6"/>
  <c r="W461" i="6"/>
  <c r="V461" i="6"/>
  <c r="U461" i="6"/>
  <c r="T461" i="6"/>
  <c r="S461" i="6"/>
  <c r="P461" i="6"/>
  <c r="O461" i="6"/>
  <c r="N461" i="6"/>
  <c r="M461" i="6"/>
  <c r="B461" i="6"/>
  <c r="AE460" i="6"/>
  <c r="AD460" i="6"/>
  <c r="W460" i="6"/>
  <c r="V460" i="6"/>
  <c r="T460" i="6"/>
  <c r="U460" i="6" s="1"/>
  <c r="S460" i="6"/>
  <c r="P460" i="6"/>
  <c r="O460" i="6"/>
  <c r="N460" i="6"/>
  <c r="M460" i="6"/>
  <c r="B460" i="6"/>
  <c r="AE459" i="6"/>
  <c r="AD459" i="6"/>
  <c r="W459" i="6"/>
  <c r="T459" i="6"/>
  <c r="V459" i="6" s="1"/>
  <c r="S459" i="6"/>
  <c r="P459" i="6"/>
  <c r="O459" i="6"/>
  <c r="N459" i="6"/>
  <c r="M459" i="6"/>
  <c r="B459" i="6"/>
  <c r="AE458" i="6"/>
  <c r="AD458" i="6"/>
  <c r="W458" i="6"/>
  <c r="T458" i="6"/>
  <c r="V458" i="6" s="1"/>
  <c r="S458" i="6"/>
  <c r="P458" i="6"/>
  <c r="O458" i="6"/>
  <c r="N458" i="6"/>
  <c r="M458" i="6"/>
  <c r="B458" i="6"/>
  <c r="AE457" i="6"/>
  <c r="AD457" i="6"/>
  <c r="W457" i="6"/>
  <c r="V457" i="6"/>
  <c r="T457" i="6"/>
  <c r="U457" i="6" s="1"/>
  <c r="S457" i="6"/>
  <c r="P457" i="6"/>
  <c r="O457" i="6"/>
  <c r="N457" i="6"/>
  <c r="M457" i="6"/>
  <c r="B457" i="6"/>
  <c r="AE456" i="6"/>
  <c r="AD456" i="6"/>
  <c r="W456" i="6"/>
  <c r="V456" i="6"/>
  <c r="U456" i="6"/>
  <c r="T456" i="6"/>
  <c r="S456" i="6"/>
  <c r="P456" i="6"/>
  <c r="O456" i="6"/>
  <c r="N456" i="6"/>
  <c r="M456" i="6"/>
  <c r="B456" i="6"/>
  <c r="AE455" i="6"/>
  <c r="AD455" i="6"/>
  <c r="W455" i="6"/>
  <c r="V455" i="6"/>
  <c r="T455" i="6"/>
  <c r="U455" i="6" s="1"/>
  <c r="S455" i="6"/>
  <c r="P455" i="6"/>
  <c r="O455" i="6"/>
  <c r="N455" i="6"/>
  <c r="M455" i="6"/>
  <c r="B455" i="6"/>
  <c r="AE454" i="6"/>
  <c r="AD454" i="6"/>
  <c r="W454" i="6"/>
  <c r="T454" i="6"/>
  <c r="V454" i="6" s="1"/>
  <c r="S454" i="6"/>
  <c r="P454" i="6"/>
  <c r="O454" i="6"/>
  <c r="N454" i="6"/>
  <c r="M454" i="6"/>
  <c r="B454" i="6"/>
  <c r="AE453" i="6"/>
  <c r="AD453" i="6"/>
  <c r="W453" i="6"/>
  <c r="T453" i="6"/>
  <c r="V453" i="6" s="1"/>
  <c r="S453" i="6"/>
  <c r="P453" i="6"/>
  <c r="O453" i="6"/>
  <c r="N453" i="6"/>
  <c r="M453" i="6"/>
  <c r="B453" i="6"/>
  <c r="AE452" i="6"/>
  <c r="AD452" i="6"/>
  <c r="W452" i="6"/>
  <c r="V452" i="6"/>
  <c r="T452" i="6"/>
  <c r="U452" i="6" s="1"/>
  <c r="S452" i="6"/>
  <c r="P452" i="6"/>
  <c r="O452" i="6"/>
  <c r="N452" i="6"/>
  <c r="M452" i="6"/>
  <c r="B452" i="6"/>
  <c r="AE451" i="6"/>
  <c r="AD451" i="6"/>
  <c r="W451" i="6"/>
  <c r="V451" i="6"/>
  <c r="U451" i="6"/>
  <c r="T451" i="6"/>
  <c r="S451" i="6"/>
  <c r="P451" i="6"/>
  <c r="O451" i="6"/>
  <c r="N451" i="6"/>
  <c r="M451" i="6"/>
  <c r="B451" i="6"/>
  <c r="AE450" i="6"/>
  <c r="AD450" i="6"/>
  <c r="W450" i="6"/>
  <c r="V450" i="6"/>
  <c r="T450" i="6"/>
  <c r="U450" i="6" s="1"/>
  <c r="S450" i="6"/>
  <c r="P450" i="6"/>
  <c r="O450" i="6"/>
  <c r="N450" i="6"/>
  <c r="M450" i="6"/>
  <c r="B450" i="6"/>
  <c r="AE449" i="6"/>
  <c r="AD449" i="6"/>
  <c r="W449" i="6"/>
  <c r="T449" i="6"/>
  <c r="V449" i="6" s="1"/>
  <c r="S449" i="6"/>
  <c r="P449" i="6"/>
  <c r="O449" i="6"/>
  <c r="N449" i="6"/>
  <c r="M449" i="6"/>
  <c r="B449" i="6"/>
  <c r="AE448" i="6"/>
  <c r="AD448" i="6"/>
  <c r="W448" i="6"/>
  <c r="T448" i="6"/>
  <c r="V448" i="6" s="1"/>
  <c r="S448" i="6"/>
  <c r="P448" i="6"/>
  <c r="O448" i="6"/>
  <c r="N448" i="6"/>
  <c r="M448" i="6"/>
  <c r="B448" i="6"/>
  <c r="AE447" i="6"/>
  <c r="AD447" i="6"/>
  <c r="W447" i="6"/>
  <c r="V447" i="6"/>
  <c r="T447" i="6"/>
  <c r="U447" i="6" s="1"/>
  <c r="S447" i="6"/>
  <c r="P447" i="6"/>
  <c r="O447" i="6"/>
  <c r="N447" i="6"/>
  <c r="M447" i="6"/>
  <c r="B447" i="6"/>
  <c r="AE446" i="6"/>
  <c r="AD446" i="6"/>
  <c r="W446" i="6"/>
  <c r="V446" i="6"/>
  <c r="U446" i="6"/>
  <c r="T446" i="6"/>
  <c r="S446" i="6"/>
  <c r="P446" i="6"/>
  <c r="O446" i="6"/>
  <c r="N446" i="6"/>
  <c r="M446" i="6"/>
  <c r="B446" i="6"/>
  <c r="AE445" i="6"/>
  <c r="AD445" i="6"/>
  <c r="W445" i="6"/>
  <c r="V445" i="6"/>
  <c r="T445" i="6"/>
  <c r="U445" i="6" s="1"/>
  <c r="S445" i="6"/>
  <c r="P445" i="6"/>
  <c r="O445" i="6"/>
  <c r="N445" i="6"/>
  <c r="M445" i="6"/>
  <c r="B445" i="6"/>
  <c r="AE444" i="6"/>
  <c r="AD444" i="6"/>
  <c r="W444" i="6"/>
  <c r="T444" i="6"/>
  <c r="V444" i="6" s="1"/>
  <c r="S444" i="6"/>
  <c r="P444" i="6"/>
  <c r="O444" i="6"/>
  <c r="N444" i="6"/>
  <c r="M444" i="6"/>
  <c r="B444" i="6"/>
  <c r="AE443" i="6"/>
  <c r="AD443" i="6"/>
  <c r="W443" i="6"/>
  <c r="T443" i="6"/>
  <c r="V443" i="6" s="1"/>
  <c r="S443" i="6"/>
  <c r="P443" i="6"/>
  <c r="O443" i="6"/>
  <c r="N443" i="6"/>
  <c r="M443" i="6"/>
  <c r="B443" i="6"/>
  <c r="AE442" i="6"/>
  <c r="AD442" i="6"/>
  <c r="W442" i="6"/>
  <c r="V442" i="6"/>
  <c r="T442" i="6"/>
  <c r="U442" i="6" s="1"/>
  <c r="S442" i="6"/>
  <c r="P442" i="6"/>
  <c r="O442" i="6"/>
  <c r="N442" i="6"/>
  <c r="M442" i="6"/>
  <c r="B442" i="6"/>
  <c r="AE441" i="6"/>
  <c r="AD441" i="6"/>
  <c r="W441" i="6"/>
  <c r="V441" i="6"/>
  <c r="U441" i="6"/>
  <c r="T441" i="6"/>
  <c r="S441" i="6"/>
  <c r="P441" i="6"/>
  <c r="O441" i="6"/>
  <c r="N441" i="6"/>
  <c r="M441" i="6"/>
  <c r="B441" i="6"/>
  <c r="AE440" i="6"/>
  <c r="AD440" i="6"/>
  <c r="W440" i="6"/>
  <c r="V440" i="6"/>
  <c r="T440" i="6"/>
  <c r="U440" i="6" s="1"/>
  <c r="S440" i="6"/>
  <c r="P440" i="6"/>
  <c r="O440" i="6"/>
  <c r="N440" i="6"/>
  <c r="M440" i="6"/>
  <c r="B440" i="6"/>
  <c r="AE439" i="6"/>
  <c r="AD439" i="6"/>
  <c r="W439" i="6"/>
  <c r="T439" i="6"/>
  <c r="V439" i="6" s="1"/>
  <c r="S439" i="6"/>
  <c r="P439" i="6"/>
  <c r="O439" i="6"/>
  <c r="N439" i="6"/>
  <c r="M439" i="6"/>
  <c r="B439" i="6"/>
  <c r="AE438" i="6"/>
  <c r="AD438" i="6"/>
  <c r="W438" i="6"/>
  <c r="T438" i="6"/>
  <c r="V438" i="6" s="1"/>
  <c r="S438" i="6"/>
  <c r="P438" i="6"/>
  <c r="O438" i="6"/>
  <c r="N438" i="6"/>
  <c r="M438" i="6"/>
  <c r="B438" i="6"/>
  <c r="AE437" i="6"/>
  <c r="AD437" i="6"/>
  <c r="W437" i="6"/>
  <c r="V437" i="6"/>
  <c r="T437" i="6"/>
  <c r="U437" i="6" s="1"/>
  <c r="S437" i="6"/>
  <c r="P437" i="6"/>
  <c r="O437" i="6"/>
  <c r="N437" i="6"/>
  <c r="M437" i="6"/>
  <c r="B437" i="6"/>
  <c r="AE436" i="6"/>
  <c r="AD436" i="6"/>
  <c r="W436" i="6"/>
  <c r="V436" i="6"/>
  <c r="U436" i="6"/>
  <c r="T436" i="6"/>
  <c r="S436" i="6"/>
  <c r="P436" i="6"/>
  <c r="O436" i="6"/>
  <c r="N436" i="6"/>
  <c r="M436" i="6"/>
  <c r="B436" i="6"/>
  <c r="AE435" i="6"/>
  <c r="AD435" i="6"/>
  <c r="W435" i="6"/>
  <c r="V435" i="6"/>
  <c r="T435" i="6"/>
  <c r="U435" i="6" s="1"/>
  <c r="S435" i="6"/>
  <c r="P435" i="6"/>
  <c r="O435" i="6"/>
  <c r="N435" i="6"/>
  <c r="M435" i="6"/>
  <c r="B435" i="6"/>
  <c r="AE434" i="6"/>
  <c r="AD434" i="6"/>
  <c r="W434" i="6"/>
  <c r="T434" i="6"/>
  <c r="V434" i="6" s="1"/>
  <c r="S434" i="6"/>
  <c r="P434" i="6"/>
  <c r="O434" i="6"/>
  <c r="N434" i="6"/>
  <c r="M434" i="6"/>
  <c r="B434" i="6"/>
  <c r="AE433" i="6"/>
  <c r="AD433" i="6"/>
  <c r="W433" i="6"/>
  <c r="T433" i="6"/>
  <c r="V433" i="6" s="1"/>
  <c r="S433" i="6"/>
  <c r="P433" i="6"/>
  <c r="O433" i="6"/>
  <c r="N433" i="6"/>
  <c r="M433" i="6"/>
  <c r="B433" i="6"/>
  <c r="AE432" i="6"/>
  <c r="AD432" i="6"/>
  <c r="W432" i="6"/>
  <c r="V432" i="6"/>
  <c r="T432" i="6"/>
  <c r="U432" i="6" s="1"/>
  <c r="S432" i="6"/>
  <c r="P432" i="6"/>
  <c r="O432" i="6"/>
  <c r="N432" i="6"/>
  <c r="M432" i="6"/>
  <c r="B432" i="6"/>
  <c r="AE431" i="6"/>
  <c r="AD431" i="6"/>
  <c r="W431" i="6"/>
  <c r="V431" i="6"/>
  <c r="U431" i="6"/>
  <c r="T431" i="6"/>
  <c r="S431" i="6"/>
  <c r="P431" i="6"/>
  <c r="O431" i="6"/>
  <c r="N431" i="6"/>
  <c r="M431" i="6"/>
  <c r="B431" i="6"/>
  <c r="AE430" i="6"/>
  <c r="AD430" i="6"/>
  <c r="W430" i="6"/>
  <c r="V430" i="6"/>
  <c r="T430" i="6"/>
  <c r="U430" i="6" s="1"/>
  <c r="S430" i="6"/>
  <c r="P430" i="6"/>
  <c r="O430" i="6"/>
  <c r="N430" i="6"/>
  <c r="M430" i="6"/>
  <c r="B430" i="6"/>
  <c r="AE429" i="6"/>
  <c r="AD429" i="6"/>
  <c r="W429" i="6"/>
  <c r="T429" i="6"/>
  <c r="V429" i="6" s="1"/>
  <c r="S429" i="6"/>
  <c r="P429" i="6"/>
  <c r="O429" i="6"/>
  <c r="N429" i="6"/>
  <c r="M429" i="6"/>
  <c r="B429" i="6"/>
  <c r="AE428" i="6"/>
  <c r="AD428" i="6"/>
  <c r="W428" i="6"/>
  <c r="T428" i="6"/>
  <c r="V428" i="6" s="1"/>
  <c r="S428" i="6"/>
  <c r="P428" i="6"/>
  <c r="O428" i="6"/>
  <c r="N428" i="6"/>
  <c r="M428" i="6"/>
  <c r="B428" i="6"/>
  <c r="AE427" i="6"/>
  <c r="AD427" i="6"/>
  <c r="W427" i="6"/>
  <c r="V427" i="6"/>
  <c r="T427" i="6"/>
  <c r="U427" i="6" s="1"/>
  <c r="S427" i="6"/>
  <c r="P427" i="6"/>
  <c r="O427" i="6"/>
  <c r="N427" i="6"/>
  <c r="M427" i="6"/>
  <c r="B427" i="6"/>
  <c r="AE426" i="6"/>
  <c r="AD426" i="6"/>
  <c r="W426" i="6"/>
  <c r="V426" i="6"/>
  <c r="U426" i="6"/>
  <c r="T426" i="6"/>
  <c r="S426" i="6"/>
  <c r="P426" i="6"/>
  <c r="O426" i="6"/>
  <c r="N426" i="6"/>
  <c r="M426" i="6"/>
  <c r="B426" i="6"/>
  <c r="AE425" i="6"/>
  <c r="AD425" i="6"/>
  <c r="W425" i="6"/>
  <c r="V425" i="6"/>
  <c r="T425" i="6"/>
  <c r="U425" i="6" s="1"/>
  <c r="S425" i="6"/>
  <c r="P425" i="6"/>
  <c r="O425" i="6"/>
  <c r="N425" i="6"/>
  <c r="M425" i="6"/>
  <c r="B425" i="6"/>
  <c r="AE424" i="6"/>
  <c r="AD424" i="6"/>
  <c r="W424" i="6"/>
  <c r="T424" i="6"/>
  <c r="V424" i="6" s="1"/>
  <c r="S424" i="6"/>
  <c r="P424" i="6"/>
  <c r="O424" i="6"/>
  <c r="N424" i="6"/>
  <c r="M424" i="6"/>
  <c r="B424" i="6"/>
  <c r="AE423" i="6"/>
  <c r="AD423" i="6"/>
  <c r="W423" i="6"/>
  <c r="T423" i="6"/>
  <c r="V423" i="6" s="1"/>
  <c r="S423" i="6"/>
  <c r="P423" i="6"/>
  <c r="O423" i="6"/>
  <c r="N423" i="6"/>
  <c r="M423" i="6"/>
  <c r="B423" i="6"/>
  <c r="AE422" i="6"/>
  <c r="AD422" i="6"/>
  <c r="W422" i="6"/>
  <c r="V422" i="6"/>
  <c r="T422" i="6"/>
  <c r="U422" i="6" s="1"/>
  <c r="S422" i="6"/>
  <c r="P422" i="6"/>
  <c r="O422" i="6"/>
  <c r="N422" i="6"/>
  <c r="M422" i="6"/>
  <c r="B422" i="6"/>
  <c r="AE421" i="6"/>
  <c r="AD421" i="6"/>
  <c r="W421" i="6"/>
  <c r="V421" i="6"/>
  <c r="U421" i="6"/>
  <c r="T421" i="6"/>
  <c r="S421" i="6"/>
  <c r="P421" i="6"/>
  <c r="O421" i="6"/>
  <c r="N421" i="6"/>
  <c r="M421" i="6"/>
  <c r="B421" i="6"/>
  <c r="AE420" i="6"/>
  <c r="AD420" i="6"/>
  <c r="W420" i="6"/>
  <c r="V420" i="6"/>
  <c r="T420" i="6"/>
  <c r="U420" i="6" s="1"/>
  <c r="S420" i="6"/>
  <c r="P420" i="6"/>
  <c r="O420" i="6"/>
  <c r="N420" i="6"/>
  <c r="M420" i="6"/>
  <c r="B420" i="6"/>
  <c r="AE419" i="6"/>
  <c r="AD419" i="6"/>
  <c r="W419" i="6"/>
  <c r="T419" i="6"/>
  <c r="V419" i="6" s="1"/>
  <c r="S419" i="6"/>
  <c r="P419" i="6"/>
  <c r="O419" i="6"/>
  <c r="N419" i="6"/>
  <c r="M419" i="6"/>
  <c r="B419" i="6"/>
  <c r="AE418" i="6"/>
  <c r="AD418" i="6"/>
  <c r="W418" i="6"/>
  <c r="T418" i="6"/>
  <c r="V418" i="6" s="1"/>
  <c r="S418" i="6"/>
  <c r="P418" i="6"/>
  <c r="O418" i="6"/>
  <c r="N418" i="6"/>
  <c r="M418" i="6"/>
  <c r="B418" i="6"/>
  <c r="AE417" i="6"/>
  <c r="AD417" i="6"/>
  <c r="W417" i="6"/>
  <c r="V417" i="6"/>
  <c r="T417" i="6"/>
  <c r="U417" i="6" s="1"/>
  <c r="S417" i="6"/>
  <c r="P417" i="6"/>
  <c r="O417" i="6"/>
  <c r="N417" i="6"/>
  <c r="M417" i="6"/>
  <c r="B417" i="6"/>
  <c r="AE416" i="6"/>
  <c r="AD416" i="6"/>
  <c r="W416" i="6"/>
  <c r="V416" i="6"/>
  <c r="U416" i="6"/>
  <c r="T416" i="6"/>
  <c r="S416" i="6"/>
  <c r="P416" i="6"/>
  <c r="O416" i="6"/>
  <c r="N416" i="6"/>
  <c r="M416" i="6"/>
  <c r="B416" i="6"/>
  <c r="AE415" i="6"/>
  <c r="AD415" i="6"/>
  <c r="W415" i="6"/>
  <c r="V415" i="6"/>
  <c r="T415" i="6"/>
  <c r="U415" i="6" s="1"/>
  <c r="S415" i="6"/>
  <c r="P415" i="6"/>
  <c r="O415" i="6"/>
  <c r="N415" i="6"/>
  <c r="M415" i="6"/>
  <c r="B415" i="6"/>
  <c r="AE414" i="6"/>
  <c r="AD414" i="6"/>
  <c r="W414" i="6"/>
  <c r="T414" i="6"/>
  <c r="V414" i="6" s="1"/>
  <c r="S414" i="6"/>
  <c r="P414" i="6"/>
  <c r="O414" i="6"/>
  <c r="N414" i="6"/>
  <c r="M414" i="6"/>
  <c r="B414" i="6"/>
  <c r="AE413" i="6"/>
  <c r="AD413" i="6"/>
  <c r="W413" i="6"/>
  <c r="T413" i="6"/>
  <c r="V413" i="6" s="1"/>
  <c r="S413" i="6"/>
  <c r="P413" i="6"/>
  <c r="O413" i="6"/>
  <c r="N413" i="6"/>
  <c r="M413" i="6"/>
  <c r="B413" i="6"/>
  <c r="AE412" i="6"/>
  <c r="AD412" i="6"/>
  <c r="W412" i="6"/>
  <c r="V412" i="6"/>
  <c r="T412" i="6"/>
  <c r="U412" i="6" s="1"/>
  <c r="S412" i="6"/>
  <c r="P412" i="6"/>
  <c r="O412" i="6"/>
  <c r="N412" i="6"/>
  <c r="M412" i="6"/>
  <c r="B412" i="6"/>
  <c r="AE411" i="6"/>
  <c r="AD411" i="6"/>
  <c r="W411" i="6"/>
  <c r="V411" i="6"/>
  <c r="U411" i="6"/>
  <c r="T411" i="6"/>
  <c r="S411" i="6"/>
  <c r="P411" i="6"/>
  <c r="O411" i="6"/>
  <c r="N411" i="6"/>
  <c r="M411" i="6"/>
  <c r="B411" i="6"/>
  <c r="AE410" i="6"/>
  <c r="AD410" i="6"/>
  <c r="W410" i="6"/>
  <c r="V410" i="6"/>
  <c r="T410" i="6"/>
  <c r="U410" i="6" s="1"/>
  <c r="S410" i="6"/>
  <c r="P410" i="6"/>
  <c r="O410" i="6"/>
  <c r="N410" i="6"/>
  <c r="M410" i="6"/>
  <c r="B410" i="6"/>
  <c r="AE409" i="6"/>
  <c r="AD409" i="6"/>
  <c r="W409" i="6"/>
  <c r="T409" i="6"/>
  <c r="V409" i="6" s="1"/>
  <c r="S409" i="6"/>
  <c r="P409" i="6"/>
  <c r="O409" i="6"/>
  <c r="N409" i="6"/>
  <c r="M409" i="6"/>
  <c r="B409" i="6"/>
  <c r="AE408" i="6"/>
  <c r="AD408" i="6"/>
  <c r="W408" i="6"/>
  <c r="V408" i="6"/>
  <c r="T408" i="6"/>
  <c r="U408" i="6" s="1"/>
  <c r="S408" i="6"/>
  <c r="P408" i="6"/>
  <c r="O408" i="6"/>
  <c r="N408" i="6"/>
  <c r="M408" i="6"/>
  <c r="B408" i="6"/>
  <c r="AE407" i="6"/>
  <c r="AD407" i="6"/>
  <c r="W407" i="6"/>
  <c r="V407" i="6"/>
  <c r="T407" i="6"/>
  <c r="U407" i="6" s="1"/>
  <c r="S407" i="6"/>
  <c r="P407" i="6"/>
  <c r="O407" i="6"/>
  <c r="N407" i="6"/>
  <c r="M407" i="6"/>
  <c r="B407" i="6"/>
  <c r="AE406" i="6"/>
  <c r="AD406" i="6"/>
  <c r="W406" i="6"/>
  <c r="V406" i="6"/>
  <c r="U406" i="6"/>
  <c r="T406" i="6"/>
  <c r="S406" i="6"/>
  <c r="P406" i="6"/>
  <c r="O406" i="6"/>
  <c r="N406" i="6"/>
  <c r="M406" i="6"/>
  <c r="B406" i="6"/>
  <c r="AE405" i="6"/>
  <c r="AD405" i="6"/>
  <c r="W405" i="6"/>
  <c r="V405" i="6"/>
  <c r="T405" i="6"/>
  <c r="U405" i="6" s="1"/>
  <c r="S405" i="6"/>
  <c r="P405" i="6"/>
  <c r="O405" i="6"/>
  <c r="N405" i="6"/>
  <c r="M405" i="6"/>
  <c r="B405" i="6"/>
  <c r="AE404" i="6"/>
  <c r="AD404" i="6"/>
  <c r="W404" i="6"/>
  <c r="T404" i="6"/>
  <c r="V404" i="6" s="1"/>
  <c r="S404" i="6"/>
  <c r="P404" i="6"/>
  <c r="O404" i="6"/>
  <c r="N404" i="6"/>
  <c r="M404" i="6"/>
  <c r="B404" i="6"/>
  <c r="AE403" i="6"/>
  <c r="AD403" i="6"/>
  <c r="W403" i="6"/>
  <c r="V403" i="6"/>
  <c r="T403" i="6"/>
  <c r="U403" i="6" s="1"/>
  <c r="S403" i="6"/>
  <c r="P403" i="6"/>
  <c r="O403" i="6"/>
  <c r="N403" i="6"/>
  <c r="M403" i="6"/>
  <c r="B403" i="6"/>
  <c r="AE402" i="6"/>
  <c r="AD402" i="6"/>
  <c r="W402" i="6"/>
  <c r="V402" i="6"/>
  <c r="T402" i="6"/>
  <c r="U402" i="6" s="1"/>
  <c r="S402" i="6"/>
  <c r="P402" i="6"/>
  <c r="O402" i="6"/>
  <c r="N402" i="6"/>
  <c r="M402" i="6"/>
  <c r="B402" i="6"/>
  <c r="AE401" i="6"/>
  <c r="AD401" i="6"/>
  <c r="W401" i="6"/>
  <c r="V401" i="6"/>
  <c r="U401" i="6"/>
  <c r="T401" i="6"/>
  <c r="S401" i="6"/>
  <c r="P401" i="6"/>
  <c r="O401" i="6"/>
  <c r="N401" i="6"/>
  <c r="M401" i="6"/>
  <c r="B401" i="6"/>
  <c r="AE400" i="6"/>
  <c r="AD400" i="6"/>
  <c r="W400" i="6"/>
  <c r="V400" i="6"/>
  <c r="T400" i="6"/>
  <c r="U400" i="6" s="1"/>
  <c r="S400" i="6"/>
  <c r="P400" i="6"/>
  <c r="O400" i="6"/>
  <c r="N400" i="6"/>
  <c r="M400" i="6"/>
  <c r="B400" i="6"/>
  <c r="AE399" i="6"/>
  <c r="AD399" i="6"/>
  <c r="W399" i="6"/>
  <c r="T399" i="6"/>
  <c r="V399" i="6" s="1"/>
  <c r="S399" i="6"/>
  <c r="P399" i="6"/>
  <c r="O399" i="6"/>
  <c r="N399" i="6"/>
  <c r="M399" i="6"/>
  <c r="B399" i="6"/>
  <c r="AE398" i="6"/>
  <c r="AD398" i="6"/>
  <c r="W398" i="6"/>
  <c r="V398" i="6"/>
  <c r="T398" i="6"/>
  <c r="U398" i="6" s="1"/>
  <c r="S398" i="6"/>
  <c r="P398" i="6"/>
  <c r="O398" i="6"/>
  <c r="N398" i="6"/>
  <c r="M398" i="6"/>
  <c r="B398" i="6"/>
  <c r="AE397" i="6"/>
  <c r="AD397" i="6"/>
  <c r="W397" i="6"/>
  <c r="V397" i="6"/>
  <c r="T397" i="6"/>
  <c r="U397" i="6" s="1"/>
  <c r="S397" i="6"/>
  <c r="P397" i="6"/>
  <c r="O397" i="6"/>
  <c r="N397" i="6"/>
  <c r="M397" i="6"/>
  <c r="B397" i="6"/>
  <c r="AE396" i="6"/>
  <c r="AD396" i="6"/>
  <c r="W396" i="6"/>
  <c r="V396" i="6"/>
  <c r="U396" i="6"/>
  <c r="T396" i="6"/>
  <c r="S396" i="6"/>
  <c r="P396" i="6"/>
  <c r="O396" i="6"/>
  <c r="N396" i="6"/>
  <c r="M396" i="6"/>
  <c r="B396" i="6"/>
  <c r="AE395" i="6"/>
  <c r="AD395" i="6"/>
  <c r="W395" i="6"/>
  <c r="V395" i="6"/>
  <c r="T395" i="6"/>
  <c r="U395" i="6" s="1"/>
  <c r="S395" i="6"/>
  <c r="P395" i="6"/>
  <c r="O395" i="6"/>
  <c r="N395" i="6"/>
  <c r="M395" i="6"/>
  <c r="B395" i="6"/>
  <c r="AE394" i="6"/>
  <c r="AD394" i="6"/>
  <c r="W394" i="6"/>
  <c r="T394" i="6"/>
  <c r="V394" i="6" s="1"/>
  <c r="S394" i="6"/>
  <c r="P394" i="6"/>
  <c r="O394" i="6"/>
  <c r="N394" i="6"/>
  <c r="M394" i="6"/>
  <c r="B394" i="6"/>
  <c r="AE393" i="6"/>
  <c r="AD393" i="6"/>
  <c r="W393" i="6"/>
  <c r="V393" i="6"/>
  <c r="T393" i="6"/>
  <c r="U393" i="6" s="1"/>
  <c r="S393" i="6"/>
  <c r="P393" i="6"/>
  <c r="O393" i="6"/>
  <c r="N393" i="6"/>
  <c r="M393" i="6"/>
  <c r="B393" i="6"/>
  <c r="AE392" i="6"/>
  <c r="AD392" i="6"/>
  <c r="W392" i="6"/>
  <c r="V392" i="6"/>
  <c r="T392" i="6"/>
  <c r="U392" i="6" s="1"/>
  <c r="S392" i="6"/>
  <c r="P392" i="6"/>
  <c r="O392" i="6"/>
  <c r="N392" i="6"/>
  <c r="M392" i="6"/>
  <c r="B392" i="6"/>
  <c r="AE391" i="6"/>
  <c r="AD391" i="6"/>
  <c r="W391" i="6"/>
  <c r="V391" i="6"/>
  <c r="U391" i="6"/>
  <c r="T391" i="6"/>
  <c r="S391" i="6"/>
  <c r="P391" i="6"/>
  <c r="O391" i="6"/>
  <c r="N391" i="6"/>
  <c r="M391" i="6"/>
  <c r="B391" i="6"/>
  <c r="AE390" i="6"/>
  <c r="AD390" i="6"/>
  <c r="W390" i="6"/>
  <c r="V390" i="6"/>
  <c r="T390" i="6"/>
  <c r="U390" i="6" s="1"/>
  <c r="S390" i="6"/>
  <c r="P390" i="6"/>
  <c r="O390" i="6"/>
  <c r="N390" i="6"/>
  <c r="M390" i="6"/>
  <c r="B390" i="6"/>
  <c r="AE389" i="6"/>
  <c r="AD389" i="6"/>
  <c r="W389" i="6"/>
  <c r="T389" i="6"/>
  <c r="V389" i="6" s="1"/>
  <c r="S389" i="6"/>
  <c r="P389" i="6"/>
  <c r="O389" i="6"/>
  <c r="N389" i="6"/>
  <c r="M389" i="6"/>
  <c r="B389" i="6"/>
  <c r="AE388" i="6"/>
  <c r="AD388" i="6"/>
  <c r="W388" i="6"/>
  <c r="V388" i="6"/>
  <c r="T388" i="6"/>
  <c r="U388" i="6" s="1"/>
  <c r="S388" i="6"/>
  <c r="P388" i="6"/>
  <c r="O388" i="6"/>
  <c r="N388" i="6"/>
  <c r="M388" i="6"/>
  <c r="B388" i="6"/>
  <c r="AE387" i="6"/>
  <c r="AD387" i="6"/>
  <c r="W387" i="6"/>
  <c r="V387" i="6"/>
  <c r="T387" i="6"/>
  <c r="U387" i="6" s="1"/>
  <c r="S387" i="6"/>
  <c r="P387" i="6"/>
  <c r="O387" i="6"/>
  <c r="N387" i="6"/>
  <c r="M387" i="6"/>
  <c r="B387" i="6"/>
  <c r="AE386" i="6"/>
  <c r="AD386" i="6"/>
  <c r="W386" i="6"/>
  <c r="V386" i="6"/>
  <c r="U386" i="6"/>
  <c r="T386" i="6"/>
  <c r="S386" i="6"/>
  <c r="P386" i="6"/>
  <c r="O386" i="6"/>
  <c r="N386" i="6"/>
  <c r="M386" i="6"/>
  <c r="B386" i="6"/>
  <c r="AE385" i="6"/>
  <c r="AD385" i="6"/>
  <c r="W385" i="6"/>
  <c r="V385" i="6"/>
  <c r="T385" i="6"/>
  <c r="U385" i="6" s="1"/>
  <c r="S385" i="6"/>
  <c r="P385" i="6"/>
  <c r="O385" i="6"/>
  <c r="N385" i="6"/>
  <c r="M385" i="6"/>
  <c r="B385" i="6"/>
  <c r="AE384" i="6"/>
  <c r="AD384" i="6"/>
  <c r="W384" i="6"/>
  <c r="T384" i="6"/>
  <c r="V384" i="6" s="1"/>
  <c r="S384" i="6"/>
  <c r="P384" i="6"/>
  <c r="O384" i="6"/>
  <c r="N384" i="6"/>
  <c r="M384" i="6"/>
  <c r="B384" i="6"/>
  <c r="AE383" i="6"/>
  <c r="AD383" i="6"/>
  <c r="W383" i="6"/>
  <c r="V383" i="6"/>
  <c r="T383" i="6"/>
  <c r="U383" i="6" s="1"/>
  <c r="S383" i="6"/>
  <c r="P383" i="6"/>
  <c r="O383" i="6"/>
  <c r="N383" i="6"/>
  <c r="M383" i="6"/>
  <c r="B383" i="6"/>
  <c r="AE382" i="6"/>
  <c r="AD382" i="6"/>
  <c r="W382" i="6"/>
  <c r="T382" i="6"/>
  <c r="V382" i="6" s="1"/>
  <c r="S382" i="6"/>
  <c r="P382" i="6"/>
  <c r="O382" i="6"/>
  <c r="N382" i="6"/>
  <c r="M382" i="6"/>
  <c r="B382" i="6"/>
  <c r="AE381" i="6"/>
  <c r="AD381" i="6"/>
  <c r="W381" i="6"/>
  <c r="V381" i="6"/>
  <c r="U381" i="6"/>
  <c r="T381" i="6"/>
  <c r="S381" i="6"/>
  <c r="P381" i="6"/>
  <c r="O381" i="6"/>
  <c r="N381" i="6"/>
  <c r="M381" i="6"/>
  <c r="B381" i="6"/>
  <c r="AE380" i="6"/>
  <c r="AD380" i="6"/>
  <c r="W380" i="6"/>
  <c r="V380" i="6"/>
  <c r="T380" i="6"/>
  <c r="U380" i="6" s="1"/>
  <c r="S380" i="6"/>
  <c r="P380" i="6"/>
  <c r="O380" i="6"/>
  <c r="N380" i="6"/>
  <c r="M380" i="6"/>
  <c r="B380" i="6"/>
  <c r="AE379" i="6"/>
  <c r="AD379" i="6"/>
  <c r="W379" i="6"/>
  <c r="T379" i="6"/>
  <c r="V379" i="6" s="1"/>
  <c r="S379" i="6"/>
  <c r="P379" i="6"/>
  <c r="O379" i="6"/>
  <c r="N379" i="6"/>
  <c r="M379" i="6"/>
  <c r="B379" i="6"/>
  <c r="AE378" i="6"/>
  <c r="AD378" i="6"/>
  <c r="W378" i="6"/>
  <c r="V378" i="6"/>
  <c r="T378" i="6"/>
  <c r="U378" i="6" s="1"/>
  <c r="S378" i="6"/>
  <c r="P378" i="6"/>
  <c r="O378" i="6"/>
  <c r="N378" i="6"/>
  <c r="M378" i="6"/>
  <c r="B378" i="6"/>
  <c r="AE377" i="6"/>
  <c r="AD377" i="6"/>
  <c r="W377" i="6"/>
  <c r="T377" i="6"/>
  <c r="V377" i="6" s="1"/>
  <c r="S377" i="6"/>
  <c r="P377" i="6"/>
  <c r="O377" i="6"/>
  <c r="N377" i="6"/>
  <c r="M377" i="6"/>
  <c r="B377" i="6"/>
  <c r="AE376" i="6"/>
  <c r="AD376" i="6"/>
  <c r="W376" i="6"/>
  <c r="V376" i="6"/>
  <c r="U376" i="6"/>
  <c r="T376" i="6"/>
  <c r="S376" i="6"/>
  <c r="P376" i="6"/>
  <c r="O376" i="6"/>
  <c r="N376" i="6"/>
  <c r="M376" i="6"/>
  <c r="B376" i="6"/>
  <c r="AE375" i="6"/>
  <c r="AD375" i="6"/>
  <c r="W375" i="6"/>
  <c r="V375" i="6"/>
  <c r="T375" i="6"/>
  <c r="U375" i="6" s="1"/>
  <c r="S375" i="6"/>
  <c r="P375" i="6"/>
  <c r="O375" i="6"/>
  <c r="N375" i="6"/>
  <c r="M375" i="6"/>
  <c r="B375" i="6"/>
  <c r="AE374" i="6"/>
  <c r="AD374" i="6"/>
  <c r="W374" i="6"/>
  <c r="T374" i="6"/>
  <c r="V374" i="6" s="1"/>
  <c r="S374" i="6"/>
  <c r="P374" i="6"/>
  <c r="O374" i="6"/>
  <c r="N374" i="6"/>
  <c r="M374" i="6"/>
  <c r="B374" i="6"/>
  <c r="AE373" i="6"/>
  <c r="AD373" i="6"/>
  <c r="W373" i="6"/>
  <c r="V373" i="6"/>
  <c r="T373" i="6"/>
  <c r="U373" i="6" s="1"/>
  <c r="S373" i="6"/>
  <c r="P373" i="6"/>
  <c r="O373" i="6"/>
  <c r="N373" i="6"/>
  <c r="M373" i="6"/>
  <c r="B373" i="6"/>
  <c r="AE372" i="6"/>
  <c r="AD372" i="6"/>
  <c r="W372" i="6"/>
  <c r="T372" i="6"/>
  <c r="V372" i="6" s="1"/>
  <c r="S372" i="6"/>
  <c r="P372" i="6"/>
  <c r="O372" i="6"/>
  <c r="N372" i="6"/>
  <c r="M372" i="6"/>
  <c r="B372" i="6"/>
  <c r="AE371" i="6"/>
  <c r="AD371" i="6"/>
  <c r="W371" i="6"/>
  <c r="V371" i="6"/>
  <c r="U371" i="6"/>
  <c r="T371" i="6"/>
  <c r="S371" i="6"/>
  <c r="P371" i="6"/>
  <c r="O371" i="6"/>
  <c r="N371" i="6"/>
  <c r="M371" i="6"/>
  <c r="B371" i="6"/>
  <c r="AE370" i="6"/>
  <c r="AD370" i="6"/>
  <c r="W370" i="6"/>
  <c r="V370" i="6"/>
  <c r="T370" i="6"/>
  <c r="U370" i="6" s="1"/>
  <c r="S370" i="6"/>
  <c r="P370" i="6"/>
  <c r="O370" i="6"/>
  <c r="N370" i="6"/>
  <c r="M370" i="6"/>
  <c r="B370" i="6"/>
  <c r="AE369" i="6"/>
  <c r="AD369" i="6"/>
  <c r="W369" i="6"/>
  <c r="T369" i="6"/>
  <c r="V369" i="6" s="1"/>
  <c r="S369" i="6"/>
  <c r="P369" i="6"/>
  <c r="O369" i="6"/>
  <c r="N369" i="6"/>
  <c r="M369" i="6"/>
  <c r="B369" i="6"/>
  <c r="AE368" i="6"/>
  <c r="AD368" i="6"/>
  <c r="W368" i="6"/>
  <c r="V368" i="6"/>
  <c r="T368" i="6"/>
  <c r="U368" i="6" s="1"/>
  <c r="S368" i="6"/>
  <c r="P368" i="6"/>
  <c r="O368" i="6"/>
  <c r="N368" i="6"/>
  <c r="M368" i="6"/>
  <c r="B368" i="6"/>
  <c r="AE367" i="6"/>
  <c r="AD367" i="6"/>
  <c r="W367" i="6"/>
  <c r="T367" i="6"/>
  <c r="V367" i="6" s="1"/>
  <c r="S367" i="6"/>
  <c r="P367" i="6"/>
  <c r="O367" i="6"/>
  <c r="N367" i="6"/>
  <c r="M367" i="6"/>
  <c r="B367" i="6"/>
  <c r="AE366" i="6"/>
  <c r="AD366" i="6"/>
  <c r="W366" i="6"/>
  <c r="V366" i="6"/>
  <c r="U366" i="6"/>
  <c r="T366" i="6"/>
  <c r="S366" i="6"/>
  <c r="P366" i="6"/>
  <c r="O366" i="6"/>
  <c r="N366" i="6"/>
  <c r="M366" i="6"/>
  <c r="B366" i="6"/>
  <c r="AE365" i="6"/>
  <c r="AD365" i="6"/>
  <c r="W365" i="6"/>
  <c r="V365" i="6"/>
  <c r="T365" i="6"/>
  <c r="U365" i="6" s="1"/>
  <c r="S365" i="6"/>
  <c r="P365" i="6"/>
  <c r="O365" i="6"/>
  <c r="N365" i="6"/>
  <c r="M365" i="6"/>
  <c r="B365" i="6"/>
  <c r="AE364" i="6"/>
  <c r="AD364" i="6"/>
  <c r="W364" i="6"/>
  <c r="T364" i="6"/>
  <c r="V364" i="6" s="1"/>
  <c r="S364" i="6"/>
  <c r="P364" i="6"/>
  <c r="O364" i="6"/>
  <c r="N364" i="6"/>
  <c r="M364" i="6"/>
  <c r="B364" i="6"/>
  <c r="AE363" i="6"/>
  <c r="AD363" i="6"/>
  <c r="W363" i="6"/>
  <c r="V363" i="6"/>
  <c r="T363" i="6"/>
  <c r="U363" i="6" s="1"/>
  <c r="S363" i="6"/>
  <c r="P363" i="6"/>
  <c r="O363" i="6"/>
  <c r="N363" i="6"/>
  <c r="M363" i="6"/>
  <c r="B363" i="6"/>
  <c r="AE362" i="6"/>
  <c r="AD362" i="6"/>
  <c r="W362" i="6"/>
  <c r="T362" i="6"/>
  <c r="V362" i="6" s="1"/>
  <c r="S362" i="6"/>
  <c r="P362" i="6"/>
  <c r="O362" i="6"/>
  <c r="N362" i="6"/>
  <c r="M362" i="6"/>
  <c r="B362" i="6"/>
  <c r="AE361" i="6"/>
  <c r="AD361" i="6"/>
  <c r="W361" i="6"/>
  <c r="V361" i="6"/>
  <c r="U361" i="6"/>
  <c r="T361" i="6"/>
  <c r="S361" i="6"/>
  <c r="P361" i="6"/>
  <c r="O361" i="6"/>
  <c r="N361" i="6"/>
  <c r="M361" i="6"/>
  <c r="B361" i="6"/>
  <c r="AE360" i="6"/>
  <c r="AD360" i="6"/>
  <c r="W360" i="6"/>
  <c r="V360" i="6"/>
  <c r="T360" i="6"/>
  <c r="U360" i="6" s="1"/>
  <c r="S360" i="6"/>
  <c r="P360" i="6"/>
  <c r="O360" i="6"/>
  <c r="N360" i="6"/>
  <c r="M360" i="6"/>
  <c r="B360" i="6"/>
  <c r="AE359" i="6"/>
  <c r="AD359" i="6"/>
  <c r="W359" i="6"/>
  <c r="T359" i="6"/>
  <c r="V359" i="6" s="1"/>
  <c r="S359" i="6"/>
  <c r="P359" i="6"/>
  <c r="O359" i="6"/>
  <c r="N359" i="6"/>
  <c r="M359" i="6"/>
  <c r="B359" i="6"/>
  <c r="AE358" i="6"/>
  <c r="AD358" i="6"/>
  <c r="W358" i="6"/>
  <c r="V358" i="6"/>
  <c r="T358" i="6"/>
  <c r="U358" i="6" s="1"/>
  <c r="S358" i="6"/>
  <c r="P358" i="6"/>
  <c r="O358" i="6"/>
  <c r="N358" i="6"/>
  <c r="M358" i="6"/>
  <c r="B358" i="6"/>
  <c r="AE357" i="6"/>
  <c r="AD357" i="6"/>
  <c r="W357" i="6"/>
  <c r="T357" i="6"/>
  <c r="V357" i="6" s="1"/>
  <c r="S357" i="6"/>
  <c r="P357" i="6"/>
  <c r="O357" i="6"/>
  <c r="N357" i="6"/>
  <c r="M357" i="6"/>
  <c r="B357" i="6"/>
  <c r="AE356" i="6"/>
  <c r="AD356" i="6"/>
  <c r="W356" i="6"/>
  <c r="V356" i="6"/>
  <c r="U356" i="6"/>
  <c r="T356" i="6"/>
  <c r="S356" i="6"/>
  <c r="P356" i="6"/>
  <c r="O356" i="6"/>
  <c r="N356" i="6"/>
  <c r="M356" i="6"/>
  <c r="B356" i="6"/>
  <c r="AE355" i="6"/>
  <c r="AD355" i="6"/>
  <c r="W355" i="6"/>
  <c r="V355" i="6"/>
  <c r="T355" i="6"/>
  <c r="U355" i="6" s="1"/>
  <c r="S355" i="6"/>
  <c r="P355" i="6"/>
  <c r="O355" i="6"/>
  <c r="N355" i="6"/>
  <c r="M355" i="6"/>
  <c r="B355" i="6"/>
  <c r="AE354" i="6"/>
  <c r="AD354" i="6"/>
  <c r="W354" i="6"/>
  <c r="T354" i="6"/>
  <c r="V354" i="6" s="1"/>
  <c r="S354" i="6"/>
  <c r="P354" i="6"/>
  <c r="O354" i="6"/>
  <c r="N354" i="6"/>
  <c r="M354" i="6"/>
  <c r="B354" i="6"/>
  <c r="AE353" i="6"/>
  <c r="AD353" i="6"/>
  <c r="W353" i="6"/>
  <c r="V353" i="6"/>
  <c r="T353" i="6"/>
  <c r="U353" i="6" s="1"/>
  <c r="S353" i="6"/>
  <c r="P353" i="6"/>
  <c r="O353" i="6"/>
  <c r="N353" i="6"/>
  <c r="M353" i="6"/>
  <c r="B353" i="6"/>
  <c r="AE352" i="6"/>
  <c r="AD352" i="6"/>
  <c r="W352" i="6"/>
  <c r="T352" i="6"/>
  <c r="V352" i="6" s="1"/>
  <c r="S352" i="6"/>
  <c r="P352" i="6"/>
  <c r="O352" i="6"/>
  <c r="N352" i="6"/>
  <c r="M352" i="6"/>
  <c r="B352" i="6"/>
  <c r="AE351" i="6"/>
  <c r="AD351" i="6"/>
  <c r="W351" i="6"/>
  <c r="V351" i="6"/>
  <c r="U351" i="6"/>
  <c r="T351" i="6"/>
  <c r="S351" i="6"/>
  <c r="P351" i="6"/>
  <c r="O351" i="6"/>
  <c r="N351" i="6"/>
  <c r="M351" i="6"/>
  <c r="B351" i="6"/>
  <c r="AE350" i="6"/>
  <c r="AD350" i="6"/>
  <c r="W350" i="6"/>
  <c r="V350" i="6"/>
  <c r="T350" i="6"/>
  <c r="U350" i="6" s="1"/>
  <c r="S350" i="6"/>
  <c r="P350" i="6"/>
  <c r="O350" i="6"/>
  <c r="N350" i="6"/>
  <c r="M350" i="6"/>
  <c r="B350" i="6"/>
  <c r="AE349" i="6"/>
  <c r="AD349" i="6"/>
  <c r="W349" i="6"/>
  <c r="T349" i="6"/>
  <c r="V349" i="6" s="1"/>
  <c r="S349" i="6"/>
  <c r="P349" i="6"/>
  <c r="O349" i="6"/>
  <c r="N349" i="6"/>
  <c r="M349" i="6"/>
  <c r="B349" i="6"/>
  <c r="AE348" i="6"/>
  <c r="AD348" i="6"/>
  <c r="W348" i="6"/>
  <c r="V348" i="6"/>
  <c r="T348" i="6"/>
  <c r="U348" i="6" s="1"/>
  <c r="S348" i="6"/>
  <c r="P348" i="6"/>
  <c r="O348" i="6"/>
  <c r="N348" i="6"/>
  <c r="M348" i="6"/>
  <c r="B348" i="6"/>
  <c r="AE347" i="6"/>
  <c r="AD347" i="6"/>
  <c r="W347" i="6"/>
  <c r="T347" i="6"/>
  <c r="V347" i="6" s="1"/>
  <c r="S347" i="6"/>
  <c r="P347" i="6"/>
  <c r="O347" i="6"/>
  <c r="N347" i="6"/>
  <c r="M347" i="6"/>
  <c r="B347" i="6"/>
  <c r="AE346" i="6"/>
  <c r="AD346" i="6"/>
  <c r="W346" i="6"/>
  <c r="V346" i="6"/>
  <c r="U346" i="6"/>
  <c r="T346" i="6"/>
  <c r="S346" i="6"/>
  <c r="P346" i="6"/>
  <c r="O346" i="6"/>
  <c r="N346" i="6"/>
  <c r="M346" i="6"/>
  <c r="B346" i="6"/>
  <c r="AE345" i="6"/>
  <c r="AD345" i="6"/>
  <c r="W345" i="6"/>
  <c r="V345" i="6"/>
  <c r="T345" i="6"/>
  <c r="U345" i="6" s="1"/>
  <c r="S345" i="6"/>
  <c r="P345" i="6"/>
  <c r="O345" i="6"/>
  <c r="N345" i="6"/>
  <c r="M345" i="6"/>
  <c r="B345" i="6"/>
  <c r="AE344" i="6"/>
  <c r="AD344" i="6"/>
  <c r="W344" i="6"/>
  <c r="T344" i="6"/>
  <c r="V344" i="6" s="1"/>
  <c r="S344" i="6"/>
  <c r="P344" i="6"/>
  <c r="O344" i="6"/>
  <c r="N344" i="6"/>
  <c r="M344" i="6"/>
  <c r="B344" i="6"/>
  <c r="AE343" i="6"/>
  <c r="AD343" i="6"/>
  <c r="W343" i="6"/>
  <c r="V343" i="6"/>
  <c r="T343" i="6"/>
  <c r="U343" i="6" s="1"/>
  <c r="S343" i="6"/>
  <c r="P343" i="6"/>
  <c r="O343" i="6"/>
  <c r="N343" i="6"/>
  <c r="M343" i="6"/>
  <c r="B343" i="6"/>
  <c r="AE342" i="6"/>
  <c r="AD342" i="6"/>
  <c r="W342" i="6"/>
  <c r="T342" i="6"/>
  <c r="V342" i="6" s="1"/>
  <c r="S342" i="6"/>
  <c r="P342" i="6"/>
  <c r="O342" i="6"/>
  <c r="N342" i="6"/>
  <c r="M342" i="6"/>
  <c r="B342" i="6"/>
  <c r="AE341" i="6"/>
  <c r="AD341" i="6"/>
  <c r="W341" i="6"/>
  <c r="V341" i="6"/>
  <c r="U341" i="6"/>
  <c r="T341" i="6"/>
  <c r="S341" i="6"/>
  <c r="P341" i="6"/>
  <c r="O341" i="6"/>
  <c r="N341" i="6"/>
  <c r="M341" i="6"/>
  <c r="B341" i="6"/>
  <c r="AE340" i="6"/>
  <c r="AD340" i="6"/>
  <c r="W340" i="6"/>
  <c r="V340" i="6"/>
  <c r="T340" i="6"/>
  <c r="U340" i="6" s="1"/>
  <c r="S340" i="6"/>
  <c r="P340" i="6"/>
  <c r="O340" i="6"/>
  <c r="N340" i="6"/>
  <c r="M340" i="6"/>
  <c r="B340" i="6"/>
  <c r="AE339" i="6"/>
  <c r="AD339" i="6"/>
  <c r="W339" i="6"/>
  <c r="T339" i="6"/>
  <c r="V339" i="6" s="1"/>
  <c r="S339" i="6"/>
  <c r="P339" i="6"/>
  <c r="O339" i="6"/>
  <c r="N339" i="6"/>
  <c r="M339" i="6"/>
  <c r="B339" i="6"/>
  <c r="AE338" i="6"/>
  <c r="AD338" i="6"/>
  <c r="W338" i="6"/>
  <c r="V338" i="6"/>
  <c r="T338" i="6"/>
  <c r="U338" i="6" s="1"/>
  <c r="S338" i="6"/>
  <c r="P338" i="6"/>
  <c r="O338" i="6"/>
  <c r="N338" i="6"/>
  <c r="M338" i="6"/>
  <c r="B338" i="6"/>
  <c r="AE337" i="6"/>
  <c r="AD337" i="6"/>
  <c r="W337" i="6"/>
  <c r="T337" i="6"/>
  <c r="V337" i="6" s="1"/>
  <c r="S337" i="6"/>
  <c r="P337" i="6"/>
  <c r="O337" i="6"/>
  <c r="N337" i="6"/>
  <c r="M337" i="6"/>
  <c r="B337" i="6"/>
  <c r="AE336" i="6"/>
  <c r="AD336" i="6"/>
  <c r="W336" i="6"/>
  <c r="V336" i="6"/>
  <c r="U336" i="6"/>
  <c r="T336" i="6"/>
  <c r="S336" i="6"/>
  <c r="P336" i="6"/>
  <c r="O336" i="6"/>
  <c r="N336" i="6"/>
  <c r="M336" i="6"/>
  <c r="B336" i="6"/>
  <c r="AE335" i="6"/>
  <c r="AD335" i="6"/>
  <c r="W335" i="6"/>
  <c r="V335" i="6"/>
  <c r="T335" i="6"/>
  <c r="U335" i="6" s="1"/>
  <c r="S335" i="6"/>
  <c r="P335" i="6"/>
  <c r="O335" i="6"/>
  <c r="N335" i="6"/>
  <c r="M335" i="6"/>
  <c r="B335" i="6"/>
  <c r="AE334" i="6"/>
  <c r="AD334" i="6"/>
  <c r="W334" i="6"/>
  <c r="T334" i="6"/>
  <c r="V334" i="6" s="1"/>
  <c r="S334" i="6"/>
  <c r="P334" i="6"/>
  <c r="O334" i="6"/>
  <c r="N334" i="6"/>
  <c r="M334" i="6"/>
  <c r="B334" i="6"/>
  <c r="AE333" i="6"/>
  <c r="AD333" i="6"/>
  <c r="W333" i="6"/>
  <c r="V333" i="6"/>
  <c r="T333" i="6"/>
  <c r="U333" i="6" s="1"/>
  <c r="S333" i="6"/>
  <c r="P333" i="6"/>
  <c r="O333" i="6"/>
  <c r="N333" i="6"/>
  <c r="M333" i="6"/>
  <c r="B333" i="6"/>
  <c r="AE332" i="6"/>
  <c r="AD332" i="6"/>
  <c r="W332" i="6"/>
  <c r="T332" i="6"/>
  <c r="V332" i="6" s="1"/>
  <c r="S332" i="6"/>
  <c r="P332" i="6"/>
  <c r="O332" i="6"/>
  <c r="N332" i="6"/>
  <c r="M332" i="6"/>
  <c r="B332" i="6"/>
  <c r="AE331" i="6"/>
  <c r="AD331" i="6"/>
  <c r="W331" i="6"/>
  <c r="V331" i="6"/>
  <c r="U331" i="6"/>
  <c r="T331" i="6"/>
  <c r="S331" i="6"/>
  <c r="P331" i="6"/>
  <c r="O331" i="6"/>
  <c r="N331" i="6"/>
  <c r="M331" i="6"/>
  <c r="B331" i="6"/>
  <c r="AE330" i="6"/>
  <c r="AD330" i="6"/>
  <c r="W330" i="6"/>
  <c r="V330" i="6"/>
  <c r="T330" i="6"/>
  <c r="U330" i="6" s="1"/>
  <c r="S330" i="6"/>
  <c r="P330" i="6"/>
  <c r="O330" i="6"/>
  <c r="N330" i="6"/>
  <c r="M330" i="6"/>
  <c r="B330" i="6"/>
  <c r="AE329" i="6"/>
  <c r="AD329" i="6"/>
  <c r="W329" i="6"/>
  <c r="T329" i="6"/>
  <c r="V329" i="6" s="1"/>
  <c r="S329" i="6"/>
  <c r="P329" i="6"/>
  <c r="O329" i="6"/>
  <c r="N329" i="6"/>
  <c r="M329" i="6"/>
  <c r="B329" i="6"/>
  <c r="AE328" i="6"/>
  <c r="AD328" i="6"/>
  <c r="W328" i="6"/>
  <c r="V328" i="6"/>
  <c r="T328" i="6"/>
  <c r="U328" i="6" s="1"/>
  <c r="S328" i="6"/>
  <c r="P328" i="6"/>
  <c r="O328" i="6"/>
  <c r="N328" i="6"/>
  <c r="M328" i="6"/>
  <c r="B328" i="6"/>
  <c r="AE327" i="6"/>
  <c r="AD327" i="6"/>
  <c r="W327" i="6"/>
  <c r="T327" i="6"/>
  <c r="V327" i="6" s="1"/>
  <c r="S327" i="6"/>
  <c r="P327" i="6"/>
  <c r="O327" i="6"/>
  <c r="N327" i="6"/>
  <c r="M327" i="6"/>
  <c r="B327" i="6"/>
  <c r="AE326" i="6"/>
  <c r="AD326" i="6"/>
  <c r="W326" i="6"/>
  <c r="V326" i="6"/>
  <c r="U326" i="6"/>
  <c r="T326" i="6"/>
  <c r="S326" i="6"/>
  <c r="P326" i="6"/>
  <c r="O326" i="6"/>
  <c r="N326" i="6"/>
  <c r="M326" i="6"/>
  <c r="B326" i="6"/>
  <c r="AE325" i="6"/>
  <c r="AD325" i="6"/>
  <c r="W325" i="6"/>
  <c r="V325" i="6"/>
  <c r="T325" i="6"/>
  <c r="U325" i="6" s="1"/>
  <c r="S325" i="6"/>
  <c r="P325" i="6"/>
  <c r="O325" i="6"/>
  <c r="N325" i="6"/>
  <c r="M325" i="6"/>
  <c r="B325" i="6"/>
  <c r="AE324" i="6"/>
  <c r="AD324" i="6"/>
  <c r="W324" i="6"/>
  <c r="T324" i="6"/>
  <c r="V324" i="6" s="1"/>
  <c r="S324" i="6"/>
  <c r="P324" i="6"/>
  <c r="O324" i="6"/>
  <c r="N324" i="6"/>
  <c r="M324" i="6"/>
  <c r="B324" i="6"/>
  <c r="AE323" i="6"/>
  <c r="AD323" i="6"/>
  <c r="W323" i="6"/>
  <c r="V323" i="6"/>
  <c r="T323" i="6"/>
  <c r="U323" i="6" s="1"/>
  <c r="S323" i="6"/>
  <c r="P323" i="6"/>
  <c r="O323" i="6"/>
  <c r="N323" i="6"/>
  <c r="M323" i="6"/>
  <c r="B323" i="6"/>
  <c r="AE322" i="6"/>
  <c r="AD322" i="6"/>
  <c r="W322" i="6"/>
  <c r="T322" i="6"/>
  <c r="V322" i="6" s="1"/>
  <c r="S322" i="6"/>
  <c r="P322" i="6"/>
  <c r="O322" i="6"/>
  <c r="N322" i="6"/>
  <c r="M322" i="6"/>
  <c r="B322" i="6"/>
  <c r="AE321" i="6"/>
  <c r="AD321" i="6"/>
  <c r="W321" i="6"/>
  <c r="V321" i="6"/>
  <c r="U321" i="6"/>
  <c r="T321" i="6"/>
  <c r="S321" i="6"/>
  <c r="P321" i="6"/>
  <c r="O321" i="6"/>
  <c r="N321" i="6"/>
  <c r="M321" i="6"/>
  <c r="B321" i="6"/>
  <c r="AE320" i="6"/>
  <c r="AD320" i="6"/>
  <c r="W320" i="6"/>
  <c r="V320" i="6"/>
  <c r="T320" i="6"/>
  <c r="U320" i="6" s="1"/>
  <c r="S320" i="6"/>
  <c r="P320" i="6"/>
  <c r="O320" i="6"/>
  <c r="N320" i="6"/>
  <c r="M320" i="6"/>
  <c r="B320" i="6"/>
  <c r="AE319" i="6"/>
  <c r="AD319" i="6"/>
  <c r="W319" i="6"/>
  <c r="T319" i="6"/>
  <c r="V319" i="6" s="1"/>
  <c r="S319" i="6"/>
  <c r="P319" i="6"/>
  <c r="O319" i="6"/>
  <c r="N319" i="6"/>
  <c r="M319" i="6"/>
  <c r="B319" i="6"/>
  <c r="AE318" i="6"/>
  <c r="AD318" i="6"/>
  <c r="W318" i="6"/>
  <c r="V318" i="6"/>
  <c r="T318" i="6"/>
  <c r="U318" i="6" s="1"/>
  <c r="S318" i="6"/>
  <c r="P318" i="6"/>
  <c r="O318" i="6"/>
  <c r="N318" i="6"/>
  <c r="M318" i="6"/>
  <c r="B318" i="6"/>
  <c r="AE317" i="6"/>
  <c r="AD317" i="6"/>
  <c r="W317" i="6"/>
  <c r="T317" i="6"/>
  <c r="V317" i="6" s="1"/>
  <c r="S317" i="6"/>
  <c r="P317" i="6"/>
  <c r="O317" i="6"/>
  <c r="N317" i="6"/>
  <c r="M317" i="6"/>
  <c r="B317" i="6"/>
  <c r="AE316" i="6"/>
  <c r="AD316" i="6"/>
  <c r="W316" i="6"/>
  <c r="V316" i="6"/>
  <c r="U316" i="6"/>
  <c r="T316" i="6"/>
  <c r="S316" i="6"/>
  <c r="P316" i="6"/>
  <c r="O316" i="6"/>
  <c r="N316" i="6"/>
  <c r="M316" i="6"/>
  <c r="B316" i="6"/>
  <c r="AE315" i="6"/>
  <c r="AD315" i="6"/>
  <c r="W315" i="6"/>
  <c r="V315" i="6"/>
  <c r="T315" i="6"/>
  <c r="U315" i="6" s="1"/>
  <c r="S315" i="6"/>
  <c r="P315" i="6"/>
  <c r="O315" i="6"/>
  <c r="N315" i="6"/>
  <c r="M315" i="6"/>
  <c r="B315" i="6"/>
  <c r="AE314" i="6"/>
  <c r="AD314" i="6"/>
  <c r="W314" i="6"/>
  <c r="T314" i="6"/>
  <c r="V314" i="6" s="1"/>
  <c r="S314" i="6"/>
  <c r="P314" i="6"/>
  <c r="O314" i="6"/>
  <c r="N314" i="6"/>
  <c r="M314" i="6"/>
  <c r="B314" i="6"/>
  <c r="AE313" i="6"/>
  <c r="AD313" i="6"/>
  <c r="W313" i="6"/>
  <c r="V313" i="6"/>
  <c r="T313" i="6"/>
  <c r="U313" i="6" s="1"/>
  <c r="S313" i="6"/>
  <c r="P313" i="6"/>
  <c r="O313" i="6"/>
  <c r="N313" i="6"/>
  <c r="M313" i="6"/>
  <c r="B313" i="6"/>
  <c r="AE312" i="6"/>
  <c r="AD312" i="6"/>
  <c r="W312" i="6"/>
  <c r="T312" i="6"/>
  <c r="V312" i="6" s="1"/>
  <c r="S312" i="6"/>
  <c r="P312" i="6"/>
  <c r="O312" i="6"/>
  <c r="N312" i="6"/>
  <c r="M312" i="6"/>
  <c r="B312" i="6"/>
  <c r="AE311" i="6"/>
  <c r="AD311" i="6"/>
  <c r="W311" i="6"/>
  <c r="V311" i="6"/>
  <c r="U311" i="6"/>
  <c r="T311" i="6"/>
  <c r="S311" i="6"/>
  <c r="P311" i="6"/>
  <c r="O311" i="6"/>
  <c r="N311" i="6"/>
  <c r="M311" i="6"/>
  <c r="B311" i="6"/>
  <c r="AE310" i="6"/>
  <c r="AD310" i="6"/>
  <c r="W310" i="6"/>
  <c r="V310" i="6"/>
  <c r="T310" i="6"/>
  <c r="U310" i="6" s="1"/>
  <c r="S310" i="6"/>
  <c r="P310" i="6"/>
  <c r="O310" i="6"/>
  <c r="N310" i="6"/>
  <c r="M310" i="6"/>
  <c r="B310" i="6"/>
  <c r="AE309" i="6"/>
  <c r="AD309" i="6"/>
  <c r="W309" i="6"/>
  <c r="T309" i="6"/>
  <c r="V309" i="6" s="1"/>
  <c r="S309" i="6"/>
  <c r="P309" i="6"/>
  <c r="O309" i="6"/>
  <c r="N309" i="6"/>
  <c r="M309" i="6"/>
  <c r="B309" i="6"/>
  <c r="AE308" i="6"/>
  <c r="AD308" i="6"/>
  <c r="W308" i="6"/>
  <c r="V308" i="6"/>
  <c r="T308" i="6"/>
  <c r="U308" i="6" s="1"/>
  <c r="S308" i="6"/>
  <c r="P308" i="6"/>
  <c r="O308" i="6"/>
  <c r="N308" i="6"/>
  <c r="M308" i="6"/>
  <c r="B308" i="6"/>
  <c r="AE307" i="6"/>
  <c r="AD307" i="6"/>
  <c r="W307" i="6"/>
  <c r="T307" i="6"/>
  <c r="V307" i="6" s="1"/>
  <c r="S307" i="6"/>
  <c r="P307" i="6"/>
  <c r="O307" i="6"/>
  <c r="N307" i="6"/>
  <c r="M307" i="6"/>
  <c r="B307" i="6"/>
  <c r="AE306" i="6"/>
  <c r="AD306" i="6"/>
  <c r="W306" i="6"/>
  <c r="V306" i="6"/>
  <c r="U306" i="6"/>
  <c r="T306" i="6"/>
  <c r="S306" i="6"/>
  <c r="P306" i="6"/>
  <c r="O306" i="6"/>
  <c r="N306" i="6"/>
  <c r="M306" i="6"/>
  <c r="B306" i="6"/>
  <c r="AE305" i="6"/>
  <c r="AD305" i="6"/>
  <c r="W305" i="6"/>
  <c r="V305" i="6"/>
  <c r="T305" i="6"/>
  <c r="U305" i="6" s="1"/>
  <c r="S305" i="6"/>
  <c r="P305" i="6"/>
  <c r="O305" i="6"/>
  <c r="N305" i="6"/>
  <c r="M305" i="6"/>
  <c r="B305" i="6"/>
  <c r="AE304" i="6"/>
  <c r="AD304" i="6"/>
  <c r="W304" i="6"/>
  <c r="T304" i="6"/>
  <c r="V304" i="6" s="1"/>
  <c r="S304" i="6"/>
  <c r="P304" i="6"/>
  <c r="O304" i="6"/>
  <c r="N304" i="6"/>
  <c r="M304" i="6"/>
  <c r="B304" i="6"/>
  <c r="AE303" i="6"/>
  <c r="AD303" i="6"/>
  <c r="W303" i="6"/>
  <c r="V303" i="6"/>
  <c r="T303" i="6"/>
  <c r="U303" i="6" s="1"/>
  <c r="S303" i="6"/>
  <c r="P303" i="6"/>
  <c r="O303" i="6"/>
  <c r="N303" i="6"/>
  <c r="M303" i="6"/>
  <c r="B303" i="6"/>
  <c r="AE302" i="6"/>
  <c r="AD302" i="6"/>
  <c r="W302" i="6"/>
  <c r="T302" i="6"/>
  <c r="V302" i="6" s="1"/>
  <c r="S302" i="6"/>
  <c r="P302" i="6"/>
  <c r="O302" i="6"/>
  <c r="N302" i="6"/>
  <c r="M302" i="6"/>
  <c r="B302" i="6"/>
  <c r="AE301" i="6"/>
  <c r="AD301" i="6"/>
  <c r="W301" i="6"/>
  <c r="V301" i="6"/>
  <c r="U301" i="6"/>
  <c r="T301" i="6"/>
  <c r="S301" i="6"/>
  <c r="P301" i="6"/>
  <c r="O301" i="6"/>
  <c r="N301" i="6"/>
  <c r="M301" i="6"/>
  <c r="B301" i="6"/>
  <c r="AE300" i="6"/>
  <c r="AD300" i="6"/>
  <c r="W300" i="6"/>
  <c r="V300" i="6"/>
  <c r="T300" i="6"/>
  <c r="U300" i="6" s="1"/>
  <c r="S300" i="6"/>
  <c r="P300" i="6"/>
  <c r="O300" i="6"/>
  <c r="N300" i="6"/>
  <c r="M300" i="6"/>
  <c r="B300" i="6"/>
  <c r="AE299" i="6"/>
  <c r="AD299" i="6"/>
  <c r="W299" i="6"/>
  <c r="T299" i="6"/>
  <c r="V299" i="6" s="1"/>
  <c r="S299" i="6"/>
  <c r="P299" i="6"/>
  <c r="O299" i="6"/>
  <c r="N299" i="6"/>
  <c r="M299" i="6"/>
  <c r="B299" i="6"/>
  <c r="AE298" i="6"/>
  <c r="AD298" i="6"/>
  <c r="W298" i="6"/>
  <c r="V298" i="6"/>
  <c r="T298" i="6"/>
  <c r="U298" i="6" s="1"/>
  <c r="S298" i="6"/>
  <c r="P298" i="6"/>
  <c r="O298" i="6"/>
  <c r="N298" i="6"/>
  <c r="M298" i="6"/>
  <c r="B298" i="6"/>
  <c r="AE297" i="6"/>
  <c r="AD297" i="6"/>
  <c r="W297" i="6"/>
  <c r="T297" i="6"/>
  <c r="V297" i="6" s="1"/>
  <c r="S297" i="6"/>
  <c r="P297" i="6"/>
  <c r="O297" i="6"/>
  <c r="N297" i="6"/>
  <c r="M297" i="6"/>
  <c r="B297" i="6"/>
  <c r="AE296" i="6"/>
  <c r="AD296" i="6"/>
  <c r="W296" i="6"/>
  <c r="V296" i="6"/>
  <c r="U296" i="6"/>
  <c r="T296" i="6"/>
  <c r="S296" i="6"/>
  <c r="P296" i="6"/>
  <c r="O296" i="6"/>
  <c r="N296" i="6"/>
  <c r="M296" i="6"/>
  <c r="B296" i="6"/>
  <c r="AE295" i="6"/>
  <c r="AD295" i="6"/>
  <c r="W295" i="6"/>
  <c r="V295" i="6"/>
  <c r="T295" i="6"/>
  <c r="U295" i="6" s="1"/>
  <c r="S295" i="6"/>
  <c r="P295" i="6"/>
  <c r="O295" i="6"/>
  <c r="N295" i="6"/>
  <c r="M295" i="6"/>
  <c r="B295" i="6"/>
  <c r="AE294" i="6"/>
  <c r="AD294" i="6"/>
  <c r="W294" i="6"/>
  <c r="T294" i="6"/>
  <c r="V294" i="6" s="1"/>
  <c r="S294" i="6"/>
  <c r="P294" i="6"/>
  <c r="O294" i="6"/>
  <c r="N294" i="6"/>
  <c r="M294" i="6"/>
  <c r="B294" i="6"/>
  <c r="AE293" i="6"/>
  <c r="AD293" i="6"/>
  <c r="W293" i="6"/>
  <c r="V293" i="6"/>
  <c r="T293" i="6"/>
  <c r="U293" i="6" s="1"/>
  <c r="S293" i="6"/>
  <c r="P293" i="6"/>
  <c r="O293" i="6"/>
  <c r="N293" i="6"/>
  <c r="M293" i="6"/>
  <c r="B293" i="6"/>
  <c r="AE292" i="6"/>
  <c r="AD292" i="6"/>
  <c r="W292" i="6"/>
  <c r="T292" i="6"/>
  <c r="V292" i="6" s="1"/>
  <c r="S292" i="6"/>
  <c r="P292" i="6"/>
  <c r="O292" i="6"/>
  <c r="N292" i="6"/>
  <c r="M292" i="6"/>
  <c r="B292" i="6"/>
  <c r="AE291" i="6"/>
  <c r="AD291" i="6"/>
  <c r="W291" i="6"/>
  <c r="V291" i="6"/>
  <c r="U291" i="6"/>
  <c r="T291" i="6"/>
  <c r="S291" i="6"/>
  <c r="P291" i="6"/>
  <c r="O291" i="6"/>
  <c r="N291" i="6"/>
  <c r="M291" i="6"/>
  <c r="B291" i="6"/>
  <c r="AE290" i="6"/>
  <c r="AD290" i="6"/>
  <c r="W290" i="6"/>
  <c r="V290" i="6"/>
  <c r="T290" i="6"/>
  <c r="U290" i="6" s="1"/>
  <c r="S290" i="6"/>
  <c r="P290" i="6"/>
  <c r="O290" i="6"/>
  <c r="N290" i="6"/>
  <c r="M290" i="6"/>
  <c r="B290" i="6"/>
  <c r="AE289" i="6"/>
  <c r="AD289" i="6"/>
  <c r="W289" i="6"/>
  <c r="T289" i="6"/>
  <c r="V289" i="6" s="1"/>
  <c r="S289" i="6"/>
  <c r="P289" i="6"/>
  <c r="O289" i="6"/>
  <c r="N289" i="6"/>
  <c r="M289" i="6"/>
  <c r="B289" i="6"/>
  <c r="AE288" i="6"/>
  <c r="AD288" i="6"/>
  <c r="W288" i="6"/>
  <c r="V288" i="6"/>
  <c r="T288" i="6"/>
  <c r="U288" i="6" s="1"/>
  <c r="S288" i="6"/>
  <c r="P288" i="6"/>
  <c r="O288" i="6"/>
  <c r="N288" i="6"/>
  <c r="M288" i="6"/>
  <c r="B288" i="6"/>
  <c r="AE287" i="6"/>
  <c r="AD287" i="6"/>
  <c r="W287" i="6"/>
  <c r="T287" i="6"/>
  <c r="V287" i="6" s="1"/>
  <c r="S287" i="6"/>
  <c r="P287" i="6"/>
  <c r="O287" i="6"/>
  <c r="N287" i="6"/>
  <c r="M287" i="6"/>
  <c r="B287" i="6"/>
  <c r="AE286" i="6"/>
  <c r="AD286" i="6"/>
  <c r="W286" i="6"/>
  <c r="V286" i="6"/>
  <c r="U286" i="6"/>
  <c r="T286" i="6"/>
  <c r="S286" i="6"/>
  <c r="P286" i="6"/>
  <c r="O286" i="6"/>
  <c r="N286" i="6"/>
  <c r="M286" i="6"/>
  <c r="B286" i="6"/>
  <c r="AE285" i="6"/>
  <c r="AD285" i="6"/>
  <c r="W285" i="6"/>
  <c r="V285" i="6"/>
  <c r="T285" i="6"/>
  <c r="U285" i="6" s="1"/>
  <c r="S285" i="6"/>
  <c r="P285" i="6"/>
  <c r="O285" i="6"/>
  <c r="N285" i="6"/>
  <c r="M285" i="6"/>
  <c r="B285" i="6"/>
  <c r="AE284" i="6"/>
  <c r="AD284" i="6"/>
  <c r="W284" i="6"/>
  <c r="T284" i="6"/>
  <c r="V284" i="6" s="1"/>
  <c r="S284" i="6"/>
  <c r="P284" i="6"/>
  <c r="O284" i="6"/>
  <c r="N284" i="6"/>
  <c r="M284" i="6"/>
  <c r="B284" i="6"/>
  <c r="AE283" i="6"/>
  <c r="AD283" i="6"/>
  <c r="W283" i="6"/>
  <c r="V283" i="6"/>
  <c r="T283" i="6"/>
  <c r="U283" i="6" s="1"/>
  <c r="S283" i="6"/>
  <c r="P283" i="6"/>
  <c r="O283" i="6"/>
  <c r="N283" i="6"/>
  <c r="M283" i="6"/>
  <c r="B283" i="6"/>
  <c r="AE282" i="6"/>
  <c r="AD282" i="6"/>
  <c r="W282" i="6"/>
  <c r="T282" i="6"/>
  <c r="V282" i="6" s="1"/>
  <c r="S282" i="6"/>
  <c r="P282" i="6"/>
  <c r="O282" i="6"/>
  <c r="N282" i="6"/>
  <c r="M282" i="6"/>
  <c r="B282" i="6"/>
  <c r="AE281" i="6"/>
  <c r="AD281" i="6"/>
  <c r="W281" i="6"/>
  <c r="V281" i="6"/>
  <c r="U281" i="6"/>
  <c r="T281" i="6"/>
  <c r="S281" i="6"/>
  <c r="P281" i="6"/>
  <c r="O281" i="6"/>
  <c r="N281" i="6"/>
  <c r="M281" i="6"/>
  <c r="B281" i="6"/>
  <c r="AE280" i="6"/>
  <c r="AD280" i="6"/>
  <c r="W280" i="6"/>
  <c r="V280" i="6"/>
  <c r="T280" i="6"/>
  <c r="U280" i="6" s="1"/>
  <c r="S280" i="6"/>
  <c r="P280" i="6"/>
  <c r="O280" i="6"/>
  <c r="N280" i="6"/>
  <c r="M280" i="6"/>
  <c r="B280" i="6"/>
  <c r="AE279" i="6"/>
  <c r="AD279" i="6"/>
  <c r="W279" i="6"/>
  <c r="T279" i="6"/>
  <c r="V279" i="6" s="1"/>
  <c r="S279" i="6"/>
  <c r="P279" i="6"/>
  <c r="O279" i="6"/>
  <c r="N279" i="6"/>
  <c r="M279" i="6"/>
  <c r="B279" i="6"/>
  <c r="AE278" i="6"/>
  <c r="AD278" i="6"/>
  <c r="W278" i="6"/>
  <c r="V278" i="6"/>
  <c r="T278" i="6"/>
  <c r="U278" i="6" s="1"/>
  <c r="S278" i="6"/>
  <c r="P278" i="6"/>
  <c r="O278" i="6"/>
  <c r="N278" i="6"/>
  <c r="M278" i="6"/>
  <c r="B278" i="6"/>
  <c r="AE277" i="6"/>
  <c r="AD277" i="6"/>
  <c r="W277" i="6"/>
  <c r="T277" i="6"/>
  <c r="V277" i="6" s="1"/>
  <c r="S277" i="6"/>
  <c r="P277" i="6"/>
  <c r="O277" i="6"/>
  <c r="N277" i="6"/>
  <c r="M277" i="6"/>
  <c r="B277" i="6"/>
  <c r="AE276" i="6"/>
  <c r="AD276" i="6"/>
  <c r="W276" i="6"/>
  <c r="V276" i="6"/>
  <c r="U276" i="6"/>
  <c r="T276" i="6"/>
  <c r="S276" i="6"/>
  <c r="P276" i="6"/>
  <c r="O276" i="6"/>
  <c r="N276" i="6"/>
  <c r="M276" i="6"/>
  <c r="B276" i="6"/>
  <c r="AE275" i="6"/>
  <c r="AD275" i="6"/>
  <c r="W275" i="6"/>
  <c r="V275" i="6"/>
  <c r="T275" i="6"/>
  <c r="U275" i="6" s="1"/>
  <c r="S275" i="6"/>
  <c r="P275" i="6"/>
  <c r="O275" i="6"/>
  <c r="N275" i="6"/>
  <c r="M275" i="6"/>
  <c r="B275" i="6"/>
  <c r="AE274" i="6"/>
  <c r="AD274" i="6"/>
  <c r="W274" i="6"/>
  <c r="T274" i="6"/>
  <c r="V274" i="6" s="1"/>
  <c r="S274" i="6"/>
  <c r="P274" i="6"/>
  <c r="O274" i="6"/>
  <c r="N274" i="6"/>
  <c r="M274" i="6"/>
  <c r="B274" i="6"/>
  <c r="AE273" i="6"/>
  <c r="AD273" i="6"/>
  <c r="W273" i="6"/>
  <c r="V273" i="6"/>
  <c r="T273" i="6"/>
  <c r="U273" i="6" s="1"/>
  <c r="S273" i="6"/>
  <c r="P273" i="6"/>
  <c r="O273" i="6"/>
  <c r="N273" i="6"/>
  <c r="M273" i="6"/>
  <c r="B273" i="6"/>
  <c r="AE272" i="6"/>
  <c r="AD272" i="6"/>
  <c r="W272" i="6"/>
  <c r="T272" i="6"/>
  <c r="V272" i="6" s="1"/>
  <c r="S272" i="6"/>
  <c r="P272" i="6"/>
  <c r="O272" i="6"/>
  <c r="N272" i="6"/>
  <c r="M272" i="6"/>
  <c r="B272" i="6"/>
  <c r="AE271" i="6"/>
  <c r="AD271" i="6"/>
  <c r="W271" i="6"/>
  <c r="V271" i="6"/>
  <c r="U271" i="6"/>
  <c r="T271" i="6"/>
  <c r="S271" i="6"/>
  <c r="P271" i="6"/>
  <c r="O271" i="6"/>
  <c r="N271" i="6"/>
  <c r="M271" i="6"/>
  <c r="B271" i="6"/>
  <c r="AE270" i="6"/>
  <c r="AD270" i="6"/>
  <c r="W270" i="6"/>
  <c r="V270" i="6"/>
  <c r="T270" i="6"/>
  <c r="U270" i="6" s="1"/>
  <c r="S270" i="6"/>
  <c r="P270" i="6"/>
  <c r="O270" i="6"/>
  <c r="N270" i="6"/>
  <c r="M270" i="6"/>
  <c r="B270" i="6"/>
  <c r="AE269" i="6"/>
  <c r="AD269" i="6"/>
  <c r="W269" i="6"/>
  <c r="T269" i="6"/>
  <c r="V269" i="6" s="1"/>
  <c r="S269" i="6"/>
  <c r="P269" i="6"/>
  <c r="O269" i="6"/>
  <c r="N269" i="6"/>
  <c r="M269" i="6"/>
  <c r="B269" i="6"/>
  <c r="AE268" i="6"/>
  <c r="AD268" i="6"/>
  <c r="W268" i="6"/>
  <c r="V268" i="6"/>
  <c r="T268" i="6"/>
  <c r="U268" i="6" s="1"/>
  <c r="S268" i="6"/>
  <c r="P268" i="6"/>
  <c r="O268" i="6"/>
  <c r="N268" i="6"/>
  <c r="M268" i="6"/>
  <c r="B268" i="6"/>
  <c r="AE267" i="6"/>
  <c r="AD267" i="6"/>
  <c r="W267" i="6"/>
  <c r="T267" i="6"/>
  <c r="V267" i="6" s="1"/>
  <c r="S267" i="6"/>
  <c r="P267" i="6"/>
  <c r="O267" i="6"/>
  <c r="N267" i="6"/>
  <c r="M267" i="6"/>
  <c r="B267" i="6"/>
  <c r="AE266" i="6"/>
  <c r="AD266" i="6"/>
  <c r="W266" i="6"/>
  <c r="V266" i="6"/>
  <c r="U266" i="6"/>
  <c r="T266" i="6"/>
  <c r="S266" i="6"/>
  <c r="P266" i="6"/>
  <c r="O266" i="6"/>
  <c r="N266" i="6"/>
  <c r="M266" i="6"/>
  <c r="B266" i="6"/>
  <c r="AE265" i="6"/>
  <c r="AD265" i="6"/>
  <c r="W265" i="6"/>
  <c r="V265" i="6"/>
  <c r="T265" i="6"/>
  <c r="U265" i="6" s="1"/>
  <c r="S265" i="6"/>
  <c r="P265" i="6"/>
  <c r="O265" i="6"/>
  <c r="N265" i="6"/>
  <c r="M265" i="6"/>
  <c r="B265" i="6"/>
  <c r="AE264" i="6"/>
  <c r="AD264" i="6"/>
  <c r="W264" i="6"/>
  <c r="T264" i="6"/>
  <c r="S264" i="6"/>
  <c r="P264" i="6"/>
  <c r="O264" i="6"/>
  <c r="N264" i="6"/>
  <c r="M264" i="6"/>
  <c r="B264" i="6"/>
  <c r="AE263" i="6"/>
  <c r="AD263" i="6"/>
  <c r="W263" i="6"/>
  <c r="V263" i="6"/>
  <c r="T263" i="6"/>
  <c r="U263" i="6" s="1"/>
  <c r="S263" i="6"/>
  <c r="P263" i="6"/>
  <c r="O263" i="6"/>
  <c r="N263" i="6"/>
  <c r="M263" i="6"/>
  <c r="B263" i="6"/>
  <c r="AE262" i="6"/>
  <c r="AD262" i="6"/>
  <c r="W262" i="6"/>
  <c r="T262" i="6"/>
  <c r="V262" i="6" s="1"/>
  <c r="S262" i="6"/>
  <c r="P262" i="6"/>
  <c r="O262" i="6"/>
  <c r="N262" i="6"/>
  <c r="M262" i="6"/>
  <c r="B262" i="6"/>
  <c r="AE261" i="6"/>
  <c r="AD261" i="6"/>
  <c r="W261" i="6"/>
  <c r="V261" i="6"/>
  <c r="U261" i="6"/>
  <c r="T261" i="6"/>
  <c r="S261" i="6"/>
  <c r="P261" i="6"/>
  <c r="O261" i="6"/>
  <c r="N261" i="6"/>
  <c r="M261" i="6"/>
  <c r="B261" i="6"/>
  <c r="AE260" i="6"/>
  <c r="AD260" i="6"/>
  <c r="W260" i="6"/>
  <c r="V260" i="6"/>
  <c r="T260" i="6"/>
  <c r="U260" i="6" s="1"/>
  <c r="S260" i="6"/>
  <c r="P260" i="6"/>
  <c r="O260" i="6"/>
  <c r="N260" i="6"/>
  <c r="M260" i="6"/>
  <c r="B260" i="6"/>
  <c r="AE259" i="6"/>
  <c r="AD259" i="6"/>
  <c r="W259" i="6"/>
  <c r="T259" i="6"/>
  <c r="S259" i="6"/>
  <c r="P259" i="6"/>
  <c r="O259" i="6"/>
  <c r="N259" i="6"/>
  <c r="M259" i="6"/>
  <c r="B259" i="6"/>
  <c r="AE258" i="6"/>
  <c r="AD258" i="6"/>
  <c r="W258" i="6"/>
  <c r="V258" i="6"/>
  <c r="T258" i="6"/>
  <c r="U258" i="6" s="1"/>
  <c r="S258" i="6"/>
  <c r="P258" i="6"/>
  <c r="O258" i="6"/>
  <c r="N258" i="6"/>
  <c r="M258" i="6"/>
  <c r="B258" i="6"/>
  <c r="AE257" i="6"/>
  <c r="AD257" i="6"/>
  <c r="W257" i="6"/>
  <c r="T257" i="6"/>
  <c r="U257" i="6" s="1"/>
  <c r="S257" i="6"/>
  <c r="P257" i="6"/>
  <c r="O257" i="6"/>
  <c r="N257" i="6"/>
  <c r="M257" i="6"/>
  <c r="B257" i="6"/>
  <c r="AE256" i="6"/>
  <c r="AD256" i="6"/>
  <c r="W256" i="6"/>
  <c r="V256" i="6"/>
  <c r="U256" i="6"/>
  <c r="T256" i="6"/>
  <c r="S256" i="6"/>
  <c r="P256" i="6"/>
  <c r="O256" i="6"/>
  <c r="N256" i="6"/>
  <c r="M256" i="6"/>
  <c r="B256" i="6"/>
  <c r="AE255" i="6"/>
  <c r="AD255" i="6"/>
  <c r="W255" i="6"/>
  <c r="V255" i="6"/>
  <c r="T255" i="6"/>
  <c r="U255" i="6" s="1"/>
  <c r="S255" i="6"/>
  <c r="P255" i="6"/>
  <c r="O255" i="6"/>
  <c r="N255" i="6"/>
  <c r="M255" i="6"/>
  <c r="B255" i="6"/>
  <c r="AE254" i="6"/>
  <c r="AD254" i="6"/>
  <c r="W254" i="6"/>
  <c r="T254" i="6"/>
  <c r="S254" i="6"/>
  <c r="P254" i="6"/>
  <c r="O254" i="6"/>
  <c r="N254" i="6"/>
  <c r="M254" i="6"/>
  <c r="B254" i="6"/>
  <c r="AE253" i="6"/>
  <c r="AD253" i="6"/>
  <c r="W253" i="6"/>
  <c r="T253" i="6"/>
  <c r="U253" i="6" s="1"/>
  <c r="S253" i="6"/>
  <c r="P253" i="6"/>
  <c r="O253" i="6"/>
  <c r="N253" i="6"/>
  <c r="M253" i="6"/>
  <c r="B253" i="6"/>
  <c r="AE252" i="6"/>
  <c r="AD252" i="6"/>
  <c r="W252" i="6"/>
  <c r="V252" i="6"/>
  <c r="T252" i="6"/>
  <c r="U252" i="6" s="1"/>
  <c r="S252" i="6"/>
  <c r="P252" i="6"/>
  <c r="O252" i="6"/>
  <c r="N252" i="6"/>
  <c r="M252" i="6"/>
  <c r="B252" i="6"/>
  <c r="AE251" i="6"/>
  <c r="AD251" i="6"/>
  <c r="W251" i="6"/>
  <c r="V251" i="6"/>
  <c r="U251" i="6"/>
  <c r="T251" i="6"/>
  <c r="S251" i="6"/>
  <c r="P251" i="6"/>
  <c r="O251" i="6"/>
  <c r="N251" i="6"/>
  <c r="M251" i="6"/>
  <c r="B251" i="6"/>
  <c r="AE250" i="6"/>
  <c r="AD250" i="6"/>
  <c r="W250" i="6"/>
  <c r="V250" i="6"/>
  <c r="T250" i="6"/>
  <c r="U250" i="6" s="1"/>
  <c r="S250" i="6"/>
  <c r="P250" i="6"/>
  <c r="O250" i="6"/>
  <c r="N250" i="6"/>
  <c r="M250" i="6"/>
  <c r="B250" i="6"/>
  <c r="AE249" i="6"/>
  <c r="AD249" i="6"/>
  <c r="W249" i="6"/>
  <c r="T249" i="6"/>
  <c r="S249" i="6"/>
  <c r="P249" i="6"/>
  <c r="O249" i="6"/>
  <c r="N249" i="6"/>
  <c r="M249" i="6"/>
  <c r="B249" i="6"/>
  <c r="AE248" i="6"/>
  <c r="AD248" i="6"/>
  <c r="W248" i="6"/>
  <c r="V248" i="6"/>
  <c r="T248" i="6"/>
  <c r="U248" i="6" s="1"/>
  <c r="S248" i="6"/>
  <c r="P248" i="6"/>
  <c r="O248" i="6"/>
  <c r="N248" i="6"/>
  <c r="M248" i="6"/>
  <c r="B248" i="6"/>
  <c r="AE247" i="6"/>
  <c r="AD247" i="6"/>
  <c r="W247" i="6"/>
  <c r="T247" i="6"/>
  <c r="U247" i="6" s="1"/>
  <c r="S247" i="6"/>
  <c r="P247" i="6"/>
  <c r="O247" i="6"/>
  <c r="N247" i="6"/>
  <c r="M247" i="6"/>
  <c r="B247" i="6"/>
  <c r="AE246" i="6"/>
  <c r="AD246" i="6"/>
  <c r="W246" i="6"/>
  <c r="V246" i="6"/>
  <c r="U246" i="6"/>
  <c r="T246" i="6"/>
  <c r="S246" i="6"/>
  <c r="P246" i="6"/>
  <c r="O246" i="6"/>
  <c r="N246" i="6"/>
  <c r="M246" i="6"/>
  <c r="B246" i="6"/>
  <c r="AE245" i="6"/>
  <c r="AD245" i="6"/>
  <c r="W245" i="6"/>
  <c r="V245" i="6"/>
  <c r="T245" i="6"/>
  <c r="U245" i="6" s="1"/>
  <c r="S245" i="6"/>
  <c r="P245" i="6"/>
  <c r="O245" i="6"/>
  <c r="N245" i="6"/>
  <c r="M245" i="6"/>
  <c r="B245" i="6"/>
  <c r="AE244" i="6"/>
  <c r="AD244" i="6"/>
  <c r="W244" i="6"/>
  <c r="T244" i="6"/>
  <c r="S244" i="6"/>
  <c r="P244" i="6"/>
  <c r="O244" i="6"/>
  <c r="N244" i="6"/>
  <c r="M244" i="6"/>
  <c r="B244" i="6"/>
  <c r="AE243" i="6"/>
  <c r="AD243" i="6"/>
  <c r="W243" i="6"/>
  <c r="T243" i="6"/>
  <c r="U243" i="6" s="1"/>
  <c r="S243" i="6"/>
  <c r="P243" i="6"/>
  <c r="O243" i="6"/>
  <c r="N243" i="6"/>
  <c r="M243" i="6"/>
  <c r="B243" i="6"/>
  <c r="AE242" i="6"/>
  <c r="AD242" i="6"/>
  <c r="W242" i="6"/>
  <c r="V242" i="6"/>
  <c r="T242" i="6"/>
  <c r="U242" i="6" s="1"/>
  <c r="S242" i="6"/>
  <c r="P242" i="6"/>
  <c r="O242" i="6"/>
  <c r="N242" i="6"/>
  <c r="M242" i="6"/>
  <c r="B242" i="6"/>
  <c r="AE241" i="6"/>
  <c r="AD241" i="6"/>
  <c r="W241" i="6"/>
  <c r="V241" i="6"/>
  <c r="U241" i="6"/>
  <c r="T241" i="6"/>
  <c r="S241" i="6"/>
  <c r="P241" i="6"/>
  <c r="O241" i="6"/>
  <c r="N241" i="6"/>
  <c r="M241" i="6"/>
  <c r="B241" i="6"/>
  <c r="AE240" i="6"/>
  <c r="AD240" i="6"/>
  <c r="W240" i="6"/>
  <c r="V240" i="6"/>
  <c r="T240" i="6"/>
  <c r="U240" i="6" s="1"/>
  <c r="S240" i="6"/>
  <c r="P240" i="6"/>
  <c r="O240" i="6"/>
  <c r="N240" i="6"/>
  <c r="M240" i="6"/>
  <c r="B240" i="6"/>
  <c r="AE239" i="6"/>
  <c r="AD239" i="6"/>
  <c r="W239" i="6"/>
  <c r="T239" i="6"/>
  <c r="S239" i="6"/>
  <c r="P239" i="6"/>
  <c r="O239" i="6"/>
  <c r="N239" i="6"/>
  <c r="M239" i="6"/>
  <c r="B239" i="6"/>
  <c r="AE238" i="6"/>
  <c r="AD238" i="6"/>
  <c r="W238" i="6"/>
  <c r="V238" i="6"/>
  <c r="T238" i="6"/>
  <c r="U238" i="6" s="1"/>
  <c r="S238" i="6"/>
  <c r="P238" i="6"/>
  <c r="O238" i="6"/>
  <c r="N238" i="6"/>
  <c r="M238" i="6"/>
  <c r="B238" i="6"/>
  <c r="AE237" i="6"/>
  <c r="AD237" i="6"/>
  <c r="W237" i="6"/>
  <c r="T237" i="6"/>
  <c r="U237" i="6" s="1"/>
  <c r="S237" i="6"/>
  <c r="P237" i="6"/>
  <c r="O237" i="6"/>
  <c r="N237" i="6"/>
  <c r="M237" i="6"/>
  <c r="B237" i="6"/>
  <c r="AE236" i="6"/>
  <c r="AD236" i="6"/>
  <c r="W236" i="6"/>
  <c r="V236" i="6"/>
  <c r="U236" i="6"/>
  <c r="T236" i="6"/>
  <c r="S236" i="6"/>
  <c r="P236" i="6"/>
  <c r="O236" i="6"/>
  <c r="N236" i="6"/>
  <c r="M236" i="6"/>
  <c r="B236" i="6"/>
  <c r="AE235" i="6"/>
  <c r="AD235" i="6"/>
  <c r="W235" i="6"/>
  <c r="V235" i="6"/>
  <c r="T235" i="6"/>
  <c r="U235" i="6" s="1"/>
  <c r="S235" i="6"/>
  <c r="P235" i="6"/>
  <c r="O235" i="6"/>
  <c r="N235" i="6"/>
  <c r="M235" i="6"/>
  <c r="B235" i="6"/>
  <c r="AE234" i="6"/>
  <c r="AD234" i="6"/>
  <c r="W234" i="6"/>
  <c r="T234" i="6"/>
  <c r="S234" i="6"/>
  <c r="P234" i="6"/>
  <c r="O234" i="6"/>
  <c r="N234" i="6"/>
  <c r="M234" i="6"/>
  <c r="B234" i="6"/>
  <c r="AE233" i="6"/>
  <c r="AD233" i="6"/>
  <c r="W233" i="6"/>
  <c r="T233" i="6"/>
  <c r="U233" i="6" s="1"/>
  <c r="S233" i="6"/>
  <c r="P233" i="6"/>
  <c r="O233" i="6"/>
  <c r="N233" i="6"/>
  <c r="M233" i="6"/>
  <c r="B233" i="6"/>
  <c r="AE232" i="6"/>
  <c r="AD232" i="6"/>
  <c r="W232" i="6"/>
  <c r="T232" i="6"/>
  <c r="U232" i="6" s="1"/>
  <c r="S232" i="6"/>
  <c r="P232" i="6"/>
  <c r="O232" i="6"/>
  <c r="N232" i="6"/>
  <c r="M232" i="6"/>
  <c r="B232" i="6"/>
  <c r="AE231" i="6"/>
  <c r="AD231" i="6"/>
  <c r="W231" i="6"/>
  <c r="V231" i="6"/>
  <c r="U231" i="6"/>
  <c r="T231" i="6"/>
  <c r="S231" i="6"/>
  <c r="P231" i="6"/>
  <c r="O231" i="6"/>
  <c r="N231" i="6"/>
  <c r="M231" i="6"/>
  <c r="B231" i="6"/>
  <c r="AE230" i="6"/>
  <c r="AD230" i="6"/>
  <c r="W230" i="6"/>
  <c r="V230" i="6"/>
  <c r="T230" i="6"/>
  <c r="U230" i="6" s="1"/>
  <c r="S230" i="6"/>
  <c r="P230" i="6"/>
  <c r="O230" i="6"/>
  <c r="N230" i="6"/>
  <c r="M230" i="6"/>
  <c r="B230" i="6"/>
  <c r="AE229" i="6"/>
  <c r="AD229" i="6"/>
  <c r="W229" i="6"/>
  <c r="T229" i="6"/>
  <c r="S229" i="6"/>
  <c r="P229" i="6"/>
  <c r="O229" i="6"/>
  <c r="N229" i="6"/>
  <c r="M229" i="6"/>
  <c r="B229" i="6"/>
  <c r="AE228" i="6"/>
  <c r="AD228" i="6"/>
  <c r="W228" i="6"/>
  <c r="V228" i="6"/>
  <c r="T228" i="6"/>
  <c r="U228" i="6" s="1"/>
  <c r="S228" i="6"/>
  <c r="P228" i="6"/>
  <c r="O228" i="6"/>
  <c r="N228" i="6"/>
  <c r="M228" i="6"/>
  <c r="B228" i="6"/>
  <c r="AE227" i="6"/>
  <c r="AD227" i="6"/>
  <c r="W227" i="6"/>
  <c r="T227" i="6"/>
  <c r="U227" i="6" s="1"/>
  <c r="S227" i="6"/>
  <c r="P227" i="6"/>
  <c r="O227" i="6"/>
  <c r="N227" i="6"/>
  <c r="M227" i="6"/>
  <c r="B227" i="6"/>
  <c r="AE226" i="6"/>
  <c r="AD226" i="6"/>
  <c r="W226" i="6"/>
  <c r="V226" i="6"/>
  <c r="U226" i="6"/>
  <c r="T226" i="6"/>
  <c r="S226" i="6"/>
  <c r="P226" i="6"/>
  <c r="O226" i="6"/>
  <c r="N226" i="6"/>
  <c r="M226" i="6"/>
  <c r="B226" i="6"/>
  <c r="AE225" i="6"/>
  <c r="AD225" i="6"/>
  <c r="W225" i="6"/>
  <c r="V225" i="6"/>
  <c r="T225" i="6"/>
  <c r="U225" i="6" s="1"/>
  <c r="S225" i="6"/>
  <c r="P225" i="6"/>
  <c r="O225" i="6"/>
  <c r="N225" i="6"/>
  <c r="M225" i="6"/>
  <c r="B225" i="6"/>
  <c r="AE224" i="6"/>
  <c r="AD224" i="6"/>
  <c r="W224" i="6"/>
  <c r="T224" i="6"/>
  <c r="S224" i="6"/>
  <c r="P224" i="6"/>
  <c r="O224" i="6"/>
  <c r="N224" i="6"/>
  <c r="M224" i="6"/>
  <c r="B224" i="6"/>
  <c r="AE223" i="6"/>
  <c r="AD223" i="6"/>
  <c r="W223" i="6"/>
  <c r="T223" i="6"/>
  <c r="V223" i="6" s="1"/>
  <c r="S223" i="6"/>
  <c r="P223" i="6"/>
  <c r="O223" i="6"/>
  <c r="N223" i="6"/>
  <c r="M223" i="6"/>
  <c r="B223" i="6"/>
  <c r="AE222" i="6"/>
  <c r="AD222" i="6"/>
  <c r="W222" i="6"/>
  <c r="V222" i="6"/>
  <c r="T222" i="6"/>
  <c r="U222" i="6" s="1"/>
  <c r="S222" i="6"/>
  <c r="P222" i="6"/>
  <c r="O222" i="6"/>
  <c r="N222" i="6"/>
  <c r="M222" i="6"/>
  <c r="B222" i="6"/>
  <c r="AE221" i="6"/>
  <c r="AD221" i="6"/>
  <c r="W221" i="6"/>
  <c r="V221" i="6"/>
  <c r="U221" i="6"/>
  <c r="T221" i="6"/>
  <c r="S221" i="6"/>
  <c r="P221" i="6"/>
  <c r="O221" i="6"/>
  <c r="N221" i="6"/>
  <c r="M221" i="6"/>
  <c r="B221" i="6"/>
  <c r="AE220" i="6"/>
  <c r="AD220" i="6"/>
  <c r="W220" i="6"/>
  <c r="V220" i="6"/>
  <c r="T220" i="6"/>
  <c r="U220" i="6" s="1"/>
  <c r="S220" i="6"/>
  <c r="P220" i="6"/>
  <c r="O220" i="6"/>
  <c r="N220" i="6"/>
  <c r="M220" i="6"/>
  <c r="B220" i="6"/>
  <c r="AE219" i="6"/>
  <c r="AD219" i="6"/>
  <c r="W219" i="6"/>
  <c r="T219" i="6"/>
  <c r="S219" i="6"/>
  <c r="P219" i="6"/>
  <c r="O219" i="6"/>
  <c r="N219" i="6"/>
  <c r="M219" i="6"/>
  <c r="B219" i="6"/>
  <c r="AE218" i="6"/>
  <c r="AD218" i="6"/>
  <c r="W218" i="6"/>
  <c r="U218" i="6"/>
  <c r="T218" i="6"/>
  <c r="V218" i="6" s="1"/>
  <c r="S218" i="6"/>
  <c r="P218" i="6"/>
  <c r="O218" i="6"/>
  <c r="N218" i="6"/>
  <c r="M218" i="6"/>
  <c r="B218" i="6"/>
  <c r="AE217" i="6"/>
  <c r="AD217" i="6"/>
  <c r="W217" i="6"/>
  <c r="T217" i="6"/>
  <c r="U217" i="6" s="1"/>
  <c r="S217" i="6"/>
  <c r="P217" i="6"/>
  <c r="O217" i="6"/>
  <c r="N217" i="6"/>
  <c r="M217" i="6"/>
  <c r="B217" i="6"/>
  <c r="AE216" i="6"/>
  <c r="AD216" i="6"/>
  <c r="W216" i="6"/>
  <c r="V216" i="6"/>
  <c r="U216" i="6"/>
  <c r="T216" i="6"/>
  <c r="S216" i="6"/>
  <c r="P216" i="6"/>
  <c r="O216" i="6"/>
  <c r="N216" i="6"/>
  <c r="M216" i="6"/>
  <c r="B216" i="6"/>
  <c r="AE215" i="6"/>
  <c r="AD215" i="6"/>
  <c r="W215" i="6"/>
  <c r="V215" i="6"/>
  <c r="T215" i="6"/>
  <c r="U215" i="6" s="1"/>
  <c r="S215" i="6"/>
  <c r="P215" i="6"/>
  <c r="O215" i="6"/>
  <c r="N215" i="6"/>
  <c r="M215" i="6"/>
  <c r="B215" i="6"/>
  <c r="AE214" i="6"/>
  <c r="AD214" i="6"/>
  <c r="W214" i="6"/>
  <c r="T214" i="6"/>
  <c r="S214" i="6"/>
  <c r="P214" i="6"/>
  <c r="O214" i="6"/>
  <c r="N214" i="6"/>
  <c r="M214" i="6"/>
  <c r="B214" i="6"/>
  <c r="AE213" i="6"/>
  <c r="AD213" i="6"/>
  <c r="W213" i="6"/>
  <c r="V213" i="6"/>
  <c r="T213" i="6"/>
  <c r="U213" i="6" s="1"/>
  <c r="S213" i="6"/>
  <c r="P213" i="6"/>
  <c r="O213" i="6"/>
  <c r="N213" i="6"/>
  <c r="M213" i="6"/>
  <c r="B213" i="6"/>
  <c r="AE212" i="6"/>
  <c r="AD212" i="6"/>
  <c r="W212" i="6"/>
  <c r="V212" i="6"/>
  <c r="T212" i="6"/>
  <c r="U212" i="6" s="1"/>
  <c r="S212" i="6"/>
  <c r="P212" i="6"/>
  <c r="O212" i="6"/>
  <c r="N212" i="6"/>
  <c r="M212" i="6"/>
  <c r="B212" i="6"/>
  <c r="AE211" i="6"/>
  <c r="AD211" i="6"/>
  <c r="W211" i="6"/>
  <c r="V211" i="6"/>
  <c r="U211" i="6"/>
  <c r="T211" i="6"/>
  <c r="S211" i="6"/>
  <c r="P211" i="6"/>
  <c r="O211" i="6"/>
  <c r="N211" i="6"/>
  <c r="M211" i="6"/>
  <c r="B211" i="6"/>
  <c r="AE210" i="6"/>
  <c r="AD210" i="6"/>
  <c r="W210" i="6"/>
  <c r="V210" i="6"/>
  <c r="T210" i="6"/>
  <c r="U210" i="6" s="1"/>
  <c r="S210" i="6"/>
  <c r="P210" i="6"/>
  <c r="O210" i="6"/>
  <c r="N210" i="6"/>
  <c r="M210" i="6"/>
  <c r="B210" i="6"/>
  <c r="AE209" i="6"/>
  <c r="AD209" i="6"/>
  <c r="W209" i="6"/>
  <c r="T209" i="6"/>
  <c r="S209" i="6"/>
  <c r="P209" i="6"/>
  <c r="O209" i="6"/>
  <c r="N209" i="6"/>
  <c r="M209" i="6"/>
  <c r="B209" i="6"/>
  <c r="AE208" i="6"/>
  <c r="AD208" i="6"/>
  <c r="W208" i="6"/>
  <c r="T208" i="6"/>
  <c r="V208" i="6" s="1"/>
  <c r="S208" i="6"/>
  <c r="P208" i="6"/>
  <c r="O208" i="6"/>
  <c r="N208" i="6"/>
  <c r="M208" i="6"/>
  <c r="B208" i="6"/>
  <c r="AE207" i="6"/>
  <c r="AD207" i="6"/>
  <c r="W207" i="6"/>
  <c r="V207" i="6"/>
  <c r="T207" i="6"/>
  <c r="U207" i="6" s="1"/>
  <c r="S207" i="6"/>
  <c r="P207" i="6"/>
  <c r="O207" i="6"/>
  <c r="N207" i="6"/>
  <c r="M207" i="6"/>
  <c r="B207" i="6"/>
  <c r="AE206" i="6"/>
  <c r="AD206" i="6"/>
  <c r="W206" i="6"/>
  <c r="V206" i="6"/>
  <c r="U206" i="6"/>
  <c r="T206" i="6"/>
  <c r="S206" i="6"/>
  <c r="P206" i="6"/>
  <c r="O206" i="6"/>
  <c r="N206" i="6"/>
  <c r="M206" i="6"/>
  <c r="B206" i="6"/>
  <c r="AE205" i="6"/>
  <c r="AD205" i="6"/>
  <c r="W205" i="6"/>
  <c r="V205" i="6"/>
  <c r="T205" i="6"/>
  <c r="U205" i="6" s="1"/>
  <c r="S205" i="6"/>
  <c r="P205" i="6"/>
  <c r="O205" i="6"/>
  <c r="N205" i="6"/>
  <c r="M205" i="6"/>
  <c r="B205" i="6"/>
  <c r="AE204" i="6"/>
  <c r="AD204" i="6"/>
  <c r="W204" i="6"/>
  <c r="T204" i="6"/>
  <c r="S204" i="6"/>
  <c r="P204" i="6"/>
  <c r="O204" i="6"/>
  <c r="N204" i="6"/>
  <c r="M204" i="6"/>
  <c r="B204" i="6"/>
  <c r="AE203" i="6"/>
  <c r="AD203" i="6"/>
  <c r="W203" i="6"/>
  <c r="V203" i="6"/>
  <c r="U203" i="6"/>
  <c r="T203" i="6"/>
  <c r="S203" i="6"/>
  <c r="P203" i="6"/>
  <c r="O203" i="6"/>
  <c r="N203" i="6"/>
  <c r="M203" i="6"/>
  <c r="B203" i="6"/>
  <c r="AE202" i="6"/>
  <c r="AD202" i="6"/>
  <c r="W202" i="6"/>
  <c r="T202" i="6"/>
  <c r="U202" i="6" s="1"/>
  <c r="S202" i="6"/>
  <c r="P202" i="6"/>
  <c r="O202" i="6"/>
  <c r="N202" i="6"/>
  <c r="M202" i="6"/>
  <c r="B202" i="6"/>
  <c r="AE201" i="6"/>
  <c r="AD201" i="6"/>
  <c r="W201" i="6"/>
  <c r="V201" i="6"/>
  <c r="U201" i="6"/>
  <c r="T201" i="6"/>
  <c r="S201" i="6"/>
  <c r="P201" i="6"/>
  <c r="O201" i="6"/>
  <c r="N201" i="6"/>
  <c r="M201" i="6"/>
  <c r="B201" i="6"/>
  <c r="AE200" i="6"/>
  <c r="AD200" i="6"/>
  <c r="W200" i="6"/>
  <c r="V200" i="6"/>
  <c r="T200" i="6"/>
  <c r="U200" i="6" s="1"/>
  <c r="S200" i="6"/>
  <c r="P200" i="6"/>
  <c r="O200" i="6"/>
  <c r="N200" i="6"/>
  <c r="M200" i="6"/>
  <c r="B200" i="6"/>
  <c r="AE199" i="6"/>
  <c r="AD199" i="6"/>
  <c r="W199" i="6"/>
  <c r="T199" i="6"/>
  <c r="S199" i="6"/>
  <c r="P199" i="6"/>
  <c r="O199" i="6"/>
  <c r="N199" i="6"/>
  <c r="M199" i="6"/>
  <c r="B199" i="6"/>
  <c r="AE198" i="6"/>
  <c r="AD198" i="6"/>
  <c r="W198" i="6"/>
  <c r="T198" i="6"/>
  <c r="V198" i="6" s="1"/>
  <c r="S198" i="6"/>
  <c r="P198" i="6"/>
  <c r="O198" i="6"/>
  <c r="N198" i="6"/>
  <c r="M198" i="6"/>
  <c r="B198" i="6"/>
  <c r="AE197" i="6"/>
  <c r="AD197" i="6"/>
  <c r="W197" i="6"/>
  <c r="V197" i="6"/>
  <c r="T197" i="6"/>
  <c r="U197" i="6" s="1"/>
  <c r="S197" i="6"/>
  <c r="P197" i="6"/>
  <c r="O197" i="6"/>
  <c r="N197" i="6"/>
  <c r="M197" i="6"/>
  <c r="B197" i="6"/>
  <c r="AE196" i="6"/>
  <c r="AD196" i="6"/>
  <c r="W196" i="6"/>
  <c r="V196" i="6"/>
  <c r="U196" i="6"/>
  <c r="T196" i="6"/>
  <c r="S196" i="6"/>
  <c r="P196" i="6"/>
  <c r="O196" i="6"/>
  <c r="N196" i="6"/>
  <c r="M196" i="6"/>
  <c r="B196" i="6"/>
  <c r="AE195" i="6"/>
  <c r="AD195" i="6"/>
  <c r="W195" i="6"/>
  <c r="V195" i="6"/>
  <c r="T195" i="6"/>
  <c r="U195" i="6" s="1"/>
  <c r="S195" i="6"/>
  <c r="P195" i="6"/>
  <c r="O195" i="6"/>
  <c r="N195" i="6"/>
  <c r="M195" i="6"/>
  <c r="B195" i="6"/>
  <c r="AE194" i="6"/>
  <c r="AD194" i="6"/>
  <c r="W194" i="6"/>
  <c r="T194" i="6"/>
  <c r="S194" i="6"/>
  <c r="P194" i="6"/>
  <c r="O194" i="6"/>
  <c r="N194" i="6"/>
  <c r="M194" i="6"/>
  <c r="B194" i="6"/>
  <c r="AE193" i="6"/>
  <c r="AD193" i="6"/>
  <c r="W193" i="6"/>
  <c r="T193" i="6"/>
  <c r="V193" i="6" s="1"/>
  <c r="S193" i="6"/>
  <c r="P193" i="6"/>
  <c r="O193" i="6"/>
  <c r="N193" i="6"/>
  <c r="M193" i="6"/>
  <c r="B193" i="6"/>
  <c r="AE192" i="6"/>
  <c r="AD192" i="6"/>
  <c r="W192" i="6"/>
  <c r="T192" i="6"/>
  <c r="V192" i="6" s="1"/>
  <c r="S192" i="6"/>
  <c r="P192" i="6"/>
  <c r="O192" i="6"/>
  <c r="N192" i="6"/>
  <c r="M192" i="6"/>
  <c r="B192" i="6"/>
  <c r="AE191" i="6"/>
  <c r="AD191" i="6"/>
  <c r="W191" i="6"/>
  <c r="V191" i="6"/>
  <c r="U191" i="6"/>
  <c r="T191" i="6"/>
  <c r="S191" i="6"/>
  <c r="P191" i="6"/>
  <c r="O191" i="6"/>
  <c r="N191" i="6"/>
  <c r="M191" i="6"/>
  <c r="B191" i="6"/>
  <c r="AE190" i="6"/>
  <c r="AD190" i="6"/>
  <c r="W190" i="6"/>
  <c r="V190" i="6"/>
  <c r="T190" i="6"/>
  <c r="U190" i="6" s="1"/>
  <c r="S190" i="6"/>
  <c r="P190" i="6"/>
  <c r="O190" i="6"/>
  <c r="N190" i="6"/>
  <c r="M190" i="6"/>
  <c r="B190" i="6"/>
  <c r="AE189" i="6"/>
  <c r="AD189" i="6"/>
  <c r="W189" i="6"/>
  <c r="T189" i="6"/>
  <c r="S189" i="6"/>
  <c r="P189" i="6"/>
  <c r="O189" i="6"/>
  <c r="N189" i="6"/>
  <c r="M189" i="6"/>
  <c r="B189" i="6"/>
  <c r="AE188" i="6"/>
  <c r="AD188" i="6"/>
  <c r="W188" i="6"/>
  <c r="V188" i="6"/>
  <c r="U188" i="6"/>
  <c r="T188" i="6"/>
  <c r="S188" i="6"/>
  <c r="P188" i="6"/>
  <c r="O188" i="6"/>
  <c r="N188" i="6"/>
  <c r="M188" i="6"/>
  <c r="B188" i="6"/>
  <c r="AE187" i="6"/>
  <c r="AD187" i="6"/>
  <c r="W187" i="6"/>
  <c r="U187" i="6"/>
  <c r="T187" i="6"/>
  <c r="V187" i="6" s="1"/>
  <c r="S187" i="6"/>
  <c r="P187" i="6"/>
  <c r="O187" i="6"/>
  <c r="N187" i="6"/>
  <c r="M187" i="6"/>
  <c r="B187" i="6"/>
  <c r="AE186" i="6"/>
  <c r="AD186" i="6"/>
  <c r="W186" i="6"/>
  <c r="V186" i="6"/>
  <c r="U186" i="6"/>
  <c r="T186" i="6"/>
  <c r="S186" i="6"/>
  <c r="P186" i="6"/>
  <c r="O186" i="6"/>
  <c r="N186" i="6"/>
  <c r="M186" i="6"/>
  <c r="B186" i="6"/>
  <c r="AE185" i="6"/>
  <c r="AD185" i="6"/>
  <c r="W185" i="6"/>
  <c r="V185" i="6"/>
  <c r="T185" i="6"/>
  <c r="U185" i="6" s="1"/>
  <c r="S185" i="6"/>
  <c r="P185" i="6"/>
  <c r="O185" i="6"/>
  <c r="N185" i="6"/>
  <c r="M185" i="6"/>
  <c r="B185" i="6"/>
  <c r="AE184" i="6"/>
  <c r="AD184" i="6"/>
  <c r="W184" i="6"/>
  <c r="T184" i="6"/>
  <c r="S184" i="6"/>
  <c r="P184" i="6"/>
  <c r="O184" i="6"/>
  <c r="N184" i="6"/>
  <c r="M184" i="6"/>
  <c r="B184" i="6"/>
  <c r="AE183" i="6"/>
  <c r="AD183" i="6"/>
  <c r="W183" i="6"/>
  <c r="V183" i="6"/>
  <c r="U183" i="6"/>
  <c r="T183" i="6"/>
  <c r="S183" i="6"/>
  <c r="P183" i="6"/>
  <c r="O183" i="6"/>
  <c r="N183" i="6"/>
  <c r="M183" i="6"/>
  <c r="B183" i="6"/>
  <c r="AE182" i="6"/>
  <c r="AD182" i="6"/>
  <c r="W182" i="6"/>
  <c r="V182" i="6"/>
  <c r="U182" i="6"/>
  <c r="T182" i="6"/>
  <c r="S182" i="6"/>
  <c r="P182" i="6"/>
  <c r="O182" i="6"/>
  <c r="N182" i="6"/>
  <c r="M182" i="6"/>
  <c r="B182" i="6"/>
  <c r="AE181" i="6"/>
  <c r="AD181" i="6"/>
  <c r="W181" i="6"/>
  <c r="V181" i="6"/>
  <c r="U181" i="6"/>
  <c r="T181" i="6"/>
  <c r="S181" i="6"/>
  <c r="P181" i="6"/>
  <c r="O181" i="6"/>
  <c r="N181" i="6"/>
  <c r="M181" i="6"/>
  <c r="B181" i="6"/>
  <c r="AE180" i="6"/>
  <c r="AD180" i="6"/>
  <c r="W180" i="6"/>
  <c r="V180" i="6"/>
  <c r="T180" i="6"/>
  <c r="U180" i="6" s="1"/>
  <c r="S180" i="6"/>
  <c r="P180" i="6"/>
  <c r="O180" i="6"/>
  <c r="N180" i="6"/>
  <c r="M180" i="6"/>
  <c r="B180" i="6"/>
  <c r="AE179" i="6"/>
  <c r="AD179" i="6"/>
  <c r="W179" i="6"/>
  <c r="T179" i="6"/>
  <c r="S179" i="6"/>
  <c r="P179" i="6"/>
  <c r="O179" i="6"/>
  <c r="N179" i="6"/>
  <c r="M179" i="6"/>
  <c r="B179" i="6"/>
  <c r="AE178" i="6"/>
  <c r="AD178" i="6"/>
  <c r="W178" i="6"/>
  <c r="T178" i="6"/>
  <c r="V178" i="6" s="1"/>
  <c r="S178" i="6"/>
  <c r="P178" i="6"/>
  <c r="O178" i="6"/>
  <c r="N178" i="6"/>
  <c r="M178" i="6"/>
  <c r="B178" i="6"/>
  <c r="AE177" i="6"/>
  <c r="AD177" i="6"/>
  <c r="W177" i="6"/>
  <c r="T177" i="6"/>
  <c r="V177" i="6" s="1"/>
  <c r="S177" i="6"/>
  <c r="P177" i="6"/>
  <c r="O177" i="6"/>
  <c r="N177" i="6"/>
  <c r="M177" i="6"/>
  <c r="B177" i="6"/>
  <c r="AE176" i="6"/>
  <c r="AD176" i="6"/>
  <c r="W176" i="6"/>
  <c r="P176" i="6" s="1"/>
  <c r="V176" i="6"/>
  <c r="U176" i="6"/>
  <c r="T176" i="6"/>
  <c r="S176" i="6"/>
  <c r="O176" i="6"/>
  <c r="N176" i="6"/>
  <c r="M176" i="6"/>
  <c r="B176" i="6"/>
  <c r="AE175" i="6"/>
  <c r="AD175" i="6"/>
  <c r="W175" i="6"/>
  <c r="V175" i="6"/>
  <c r="T175" i="6"/>
  <c r="U175" i="6" s="1"/>
  <c r="S175" i="6"/>
  <c r="O175" i="6"/>
  <c r="N175" i="6"/>
  <c r="M175" i="6"/>
  <c r="B175" i="6"/>
  <c r="AE174" i="6"/>
  <c r="AD174" i="6"/>
  <c r="W174" i="6"/>
  <c r="S174" i="6"/>
  <c r="T174" i="6" s="1"/>
  <c r="P174" i="6" s="1"/>
  <c r="O174" i="6"/>
  <c r="N174" i="6"/>
  <c r="M174" i="6"/>
  <c r="B174" i="6"/>
  <c r="AE173" i="6"/>
  <c r="AD173" i="6"/>
  <c r="W173" i="6"/>
  <c r="S173" i="6"/>
  <c r="T173" i="6" s="1"/>
  <c r="O173" i="6"/>
  <c r="N173" i="6"/>
  <c r="M173" i="6"/>
  <c r="B173" i="6"/>
  <c r="AE172" i="6"/>
  <c r="AD172" i="6"/>
  <c r="W172" i="6"/>
  <c r="S172" i="6"/>
  <c r="T172" i="6" s="1"/>
  <c r="O172" i="6"/>
  <c r="N172" i="6"/>
  <c r="M172" i="6"/>
  <c r="B172" i="6"/>
  <c r="AE171" i="6"/>
  <c r="AD171" i="6"/>
  <c r="W171" i="6"/>
  <c r="S171" i="6"/>
  <c r="T171" i="6" s="1"/>
  <c r="O171" i="6"/>
  <c r="N171" i="6"/>
  <c r="M171" i="6"/>
  <c r="B171" i="6"/>
  <c r="AE170" i="6"/>
  <c r="AD170" i="6"/>
  <c r="W170" i="6"/>
  <c r="T170" i="6"/>
  <c r="U170" i="6" s="1"/>
  <c r="S170" i="6"/>
  <c r="O170" i="6"/>
  <c r="N170" i="6"/>
  <c r="M170" i="6"/>
  <c r="B170" i="6"/>
  <c r="AE169" i="6"/>
  <c r="AD169" i="6"/>
  <c r="W169" i="6"/>
  <c r="S169" i="6"/>
  <c r="T169" i="6" s="1"/>
  <c r="P169" i="6" s="1"/>
  <c r="O169" i="6"/>
  <c r="N169" i="6"/>
  <c r="M169" i="6"/>
  <c r="B169" i="6"/>
  <c r="AE168" i="6"/>
  <c r="AD168" i="6"/>
  <c r="W168" i="6"/>
  <c r="S168" i="6"/>
  <c r="T168" i="6" s="1"/>
  <c r="O168" i="6"/>
  <c r="N168" i="6"/>
  <c r="M168" i="6"/>
  <c r="B168" i="6"/>
  <c r="AE167" i="6"/>
  <c r="AD167" i="6"/>
  <c r="W167" i="6"/>
  <c r="S167" i="6"/>
  <c r="T167" i="6" s="1"/>
  <c r="O167" i="6"/>
  <c r="N167" i="6"/>
  <c r="M167" i="6"/>
  <c r="B167" i="6"/>
  <c r="AE166" i="6"/>
  <c r="AD166" i="6"/>
  <c r="W166" i="6"/>
  <c r="S166" i="6"/>
  <c r="T166" i="6" s="1"/>
  <c r="O166" i="6"/>
  <c r="N166" i="6"/>
  <c r="M166" i="6"/>
  <c r="B166" i="6"/>
  <c r="AE165" i="6"/>
  <c r="AD165" i="6"/>
  <c r="W165" i="6"/>
  <c r="S165" i="6"/>
  <c r="T165" i="6" s="1"/>
  <c r="O165" i="6"/>
  <c r="N165" i="6"/>
  <c r="M165" i="6"/>
  <c r="B165" i="6"/>
  <c r="AE164" i="6"/>
  <c r="AD164" i="6"/>
  <c r="W164" i="6"/>
  <c r="T164" i="6"/>
  <c r="S164" i="6"/>
  <c r="O164" i="6"/>
  <c r="N164" i="6"/>
  <c r="M164" i="6"/>
  <c r="B164" i="6"/>
  <c r="AE163" i="6"/>
  <c r="AD163" i="6"/>
  <c r="W163" i="6"/>
  <c r="S163" i="6"/>
  <c r="T163" i="6" s="1"/>
  <c r="V163" i="6" s="1"/>
  <c r="O163" i="6"/>
  <c r="N163" i="6"/>
  <c r="M163" i="6"/>
  <c r="B163" i="6"/>
  <c r="AE162" i="6"/>
  <c r="AD162" i="6"/>
  <c r="W162" i="6"/>
  <c r="S162" i="6"/>
  <c r="T162" i="6" s="1"/>
  <c r="O162" i="6"/>
  <c r="N162" i="6"/>
  <c r="M162" i="6"/>
  <c r="B162" i="6"/>
  <c r="AE161" i="6"/>
  <c r="AD161" i="6"/>
  <c r="W161" i="6"/>
  <c r="S161" i="6"/>
  <c r="T161" i="6" s="1"/>
  <c r="O161" i="6"/>
  <c r="N161" i="6"/>
  <c r="M161" i="6"/>
  <c r="B161" i="6"/>
  <c r="AE160" i="6"/>
  <c r="AD160" i="6"/>
  <c r="W160" i="6"/>
  <c r="S160" i="6"/>
  <c r="T160" i="6" s="1"/>
  <c r="O160" i="6"/>
  <c r="N160" i="6"/>
  <c r="M160" i="6"/>
  <c r="B160" i="6"/>
  <c r="AE159" i="6"/>
  <c r="AD159" i="6"/>
  <c r="W159" i="6"/>
  <c r="S159" i="6"/>
  <c r="T159" i="6" s="1"/>
  <c r="P159" i="6" s="1"/>
  <c r="O159" i="6"/>
  <c r="N159" i="6"/>
  <c r="M159" i="6"/>
  <c r="B159" i="6"/>
  <c r="AE158" i="6"/>
  <c r="AD158" i="6"/>
  <c r="W158" i="6"/>
  <c r="S158" i="6"/>
  <c r="T158" i="6" s="1"/>
  <c r="V158" i="6" s="1"/>
  <c r="O158" i="6"/>
  <c r="N158" i="6"/>
  <c r="M158" i="6"/>
  <c r="B158" i="6"/>
  <c r="AE157" i="6"/>
  <c r="AD157" i="6"/>
  <c r="W157" i="6"/>
  <c r="S157" i="6"/>
  <c r="T157" i="6" s="1"/>
  <c r="O157" i="6"/>
  <c r="N157" i="6"/>
  <c r="M157" i="6"/>
  <c r="B157" i="6"/>
  <c r="AE156" i="6"/>
  <c r="AD156" i="6"/>
  <c r="W156" i="6"/>
  <c r="T156" i="6"/>
  <c r="V156" i="6" s="1"/>
  <c r="S156" i="6"/>
  <c r="O156" i="6"/>
  <c r="N156" i="6"/>
  <c r="M156" i="6"/>
  <c r="B156" i="6"/>
  <c r="AE155" i="6"/>
  <c r="AD155" i="6"/>
  <c r="W155" i="6"/>
  <c r="S155" i="6"/>
  <c r="T155" i="6" s="1"/>
  <c r="O155" i="6"/>
  <c r="N155" i="6"/>
  <c r="M155" i="6"/>
  <c r="B155" i="6"/>
  <c r="AE154" i="6"/>
  <c r="AD154" i="6"/>
  <c r="W154" i="6"/>
  <c r="S154" i="6"/>
  <c r="T154" i="6" s="1"/>
  <c r="P154" i="6" s="1"/>
  <c r="O154" i="6"/>
  <c r="N154" i="6"/>
  <c r="M154" i="6"/>
  <c r="B154" i="6"/>
  <c r="AE153" i="6"/>
  <c r="AD153" i="6"/>
  <c r="W153" i="6"/>
  <c r="S153" i="6"/>
  <c r="T153" i="6" s="1"/>
  <c r="O153" i="6"/>
  <c r="N153" i="6"/>
  <c r="M153" i="6"/>
  <c r="B153" i="6"/>
  <c r="AE152" i="6"/>
  <c r="AD152" i="6"/>
  <c r="W152" i="6"/>
  <c r="S152" i="6"/>
  <c r="T152" i="6" s="1"/>
  <c r="O152" i="6"/>
  <c r="N152" i="6"/>
  <c r="M152" i="6"/>
  <c r="B152" i="6"/>
  <c r="AE151" i="6"/>
  <c r="AD151" i="6"/>
  <c r="W151" i="6"/>
  <c r="S151" i="6"/>
  <c r="T151" i="6" s="1"/>
  <c r="O151" i="6"/>
  <c r="N151" i="6"/>
  <c r="M151" i="6"/>
  <c r="B151" i="6"/>
  <c r="AE150" i="6"/>
  <c r="AD150" i="6"/>
  <c r="W150" i="6"/>
  <c r="T150" i="6"/>
  <c r="U150" i="6" s="1"/>
  <c r="S150" i="6"/>
  <c r="O150" i="6"/>
  <c r="N150" i="6"/>
  <c r="M150" i="6"/>
  <c r="B150" i="6"/>
  <c r="AE149" i="6"/>
  <c r="AD149" i="6"/>
  <c r="W149" i="6"/>
  <c r="S149" i="6"/>
  <c r="T149" i="6" s="1"/>
  <c r="P149" i="6" s="1"/>
  <c r="O149" i="6"/>
  <c r="N149" i="6"/>
  <c r="M149" i="6"/>
  <c r="B149" i="6"/>
  <c r="AE148" i="6"/>
  <c r="AD148" i="6"/>
  <c r="W148" i="6"/>
  <c r="S148" i="6"/>
  <c r="T148" i="6" s="1"/>
  <c r="O148" i="6"/>
  <c r="N148" i="6"/>
  <c r="M148" i="6"/>
  <c r="B148" i="6"/>
  <c r="AE147" i="6"/>
  <c r="AD147" i="6"/>
  <c r="W147" i="6"/>
  <c r="S147" i="6"/>
  <c r="T147" i="6" s="1"/>
  <c r="O147" i="6"/>
  <c r="N147" i="6"/>
  <c r="M147" i="6"/>
  <c r="B147" i="6"/>
  <c r="AE146" i="6"/>
  <c r="AD146" i="6"/>
  <c r="W146" i="6"/>
  <c r="S146" i="6"/>
  <c r="T146" i="6" s="1"/>
  <c r="O146" i="6"/>
  <c r="N146" i="6"/>
  <c r="M146" i="6"/>
  <c r="B146" i="6"/>
  <c r="AE145" i="6"/>
  <c r="AD145" i="6"/>
  <c r="W145" i="6"/>
  <c r="S145" i="6"/>
  <c r="T145" i="6" s="1"/>
  <c r="O145" i="6"/>
  <c r="N145" i="6"/>
  <c r="M145" i="6"/>
  <c r="B145" i="6"/>
  <c r="AE144" i="6"/>
  <c r="AD144" i="6"/>
  <c r="W144" i="6"/>
  <c r="S144" i="6"/>
  <c r="T144" i="6" s="1"/>
  <c r="P144" i="6" s="1"/>
  <c r="O144" i="6"/>
  <c r="N144" i="6"/>
  <c r="M144" i="6"/>
  <c r="B144" i="6"/>
  <c r="AE143" i="6"/>
  <c r="AD143" i="6"/>
  <c r="W143" i="6"/>
  <c r="S143" i="6"/>
  <c r="T143" i="6" s="1"/>
  <c r="V143" i="6" s="1"/>
  <c r="O143" i="6"/>
  <c r="N143" i="6"/>
  <c r="M143" i="6"/>
  <c r="B143" i="6"/>
  <c r="AE142" i="6"/>
  <c r="AD142" i="6"/>
  <c r="W142" i="6"/>
  <c r="S142" i="6"/>
  <c r="T142" i="6" s="1"/>
  <c r="V142" i="6" s="1"/>
  <c r="O142" i="6"/>
  <c r="N142" i="6"/>
  <c r="M142" i="6"/>
  <c r="B142" i="6"/>
  <c r="AE141" i="6"/>
  <c r="AD141" i="6"/>
  <c r="W141" i="6"/>
  <c r="S141" i="6"/>
  <c r="T141" i="6" s="1"/>
  <c r="O141" i="6"/>
  <c r="N141" i="6"/>
  <c r="M141" i="6"/>
  <c r="B141" i="6"/>
  <c r="AE140" i="6"/>
  <c r="AD140" i="6"/>
  <c r="W140" i="6"/>
  <c r="S140" i="6"/>
  <c r="T140" i="6" s="1"/>
  <c r="O140" i="6"/>
  <c r="N140" i="6"/>
  <c r="M140" i="6"/>
  <c r="B140" i="6"/>
  <c r="AE139" i="6"/>
  <c r="AD139" i="6"/>
  <c r="W139" i="6"/>
  <c r="S139" i="6"/>
  <c r="T139" i="6" s="1"/>
  <c r="P139" i="6" s="1"/>
  <c r="O139" i="6"/>
  <c r="N139" i="6"/>
  <c r="M139" i="6"/>
  <c r="B139" i="6"/>
  <c r="AE138" i="6"/>
  <c r="AD138" i="6"/>
  <c r="W138" i="6"/>
  <c r="V138" i="6"/>
  <c r="U138" i="6"/>
  <c r="T138" i="6"/>
  <c r="S138" i="6"/>
  <c r="O138" i="6"/>
  <c r="N138" i="6"/>
  <c r="M138" i="6"/>
  <c r="B138" i="6"/>
  <c r="AE137" i="6"/>
  <c r="AD137" i="6"/>
  <c r="W137" i="6"/>
  <c r="U137" i="6"/>
  <c r="T137" i="6"/>
  <c r="S137" i="6"/>
  <c r="O137" i="6"/>
  <c r="N137" i="6"/>
  <c r="M137" i="6"/>
  <c r="B137" i="6"/>
  <c r="AE136" i="6"/>
  <c r="AD136" i="6"/>
  <c r="W136" i="6"/>
  <c r="V136" i="6"/>
  <c r="U136" i="6"/>
  <c r="T136" i="6"/>
  <c r="S136" i="6"/>
  <c r="O136" i="6"/>
  <c r="N136" i="6"/>
  <c r="M136" i="6"/>
  <c r="B136" i="6"/>
  <c r="AE135" i="6"/>
  <c r="AD135" i="6"/>
  <c r="W135" i="6"/>
  <c r="V135" i="6"/>
  <c r="T135" i="6"/>
  <c r="U135" i="6" s="1"/>
  <c r="S135" i="6"/>
  <c r="O135" i="6"/>
  <c r="N135" i="6"/>
  <c r="M135" i="6"/>
  <c r="B135" i="6"/>
  <c r="AE134" i="6"/>
  <c r="AD134" i="6"/>
  <c r="W134" i="6"/>
  <c r="T134" i="6"/>
  <c r="S134" i="6"/>
  <c r="O134" i="6"/>
  <c r="N134" i="6"/>
  <c r="M134" i="6"/>
  <c r="B134" i="6"/>
  <c r="AE133" i="6"/>
  <c r="AD133" i="6"/>
  <c r="W133" i="6"/>
  <c r="T133" i="6"/>
  <c r="V133" i="6" s="1"/>
  <c r="S133" i="6"/>
  <c r="O133" i="6"/>
  <c r="N133" i="6"/>
  <c r="M133" i="6"/>
  <c r="B133" i="6"/>
  <c r="AE132" i="6"/>
  <c r="AD132" i="6"/>
  <c r="W132" i="6"/>
  <c r="V132" i="6"/>
  <c r="T132" i="6"/>
  <c r="S132" i="6"/>
  <c r="O132" i="6"/>
  <c r="N132" i="6"/>
  <c r="M132" i="6"/>
  <c r="B132" i="6"/>
  <c r="AE131" i="6"/>
  <c r="AD131" i="6"/>
  <c r="W131" i="6"/>
  <c r="V131" i="6"/>
  <c r="U131" i="6"/>
  <c r="T131" i="6"/>
  <c r="S131" i="6"/>
  <c r="O131" i="6"/>
  <c r="N131" i="6"/>
  <c r="M131" i="6"/>
  <c r="B131" i="6"/>
  <c r="AE130" i="6"/>
  <c r="AD130" i="6"/>
  <c r="W130" i="6"/>
  <c r="V130" i="6"/>
  <c r="T130" i="6"/>
  <c r="U130" i="6" s="1"/>
  <c r="S130" i="6"/>
  <c r="O130" i="6"/>
  <c r="N130" i="6"/>
  <c r="M130" i="6"/>
  <c r="B130" i="6"/>
  <c r="AE129" i="6"/>
  <c r="AD129" i="6"/>
  <c r="W129" i="6"/>
  <c r="T129" i="6"/>
  <c r="S129" i="6"/>
  <c r="O129" i="6"/>
  <c r="N129" i="6"/>
  <c r="M129" i="6"/>
  <c r="B129" i="6"/>
  <c r="AE128" i="6"/>
  <c r="AD128" i="6"/>
  <c r="W128" i="6"/>
  <c r="V128" i="6"/>
  <c r="U128" i="6"/>
  <c r="T128" i="6"/>
  <c r="S128" i="6"/>
  <c r="O128" i="6"/>
  <c r="N128" i="6"/>
  <c r="M128" i="6"/>
  <c r="B128" i="6"/>
  <c r="AE127" i="6"/>
  <c r="AD127" i="6"/>
  <c r="W127" i="6"/>
  <c r="V127" i="6"/>
  <c r="T127" i="6"/>
  <c r="S127" i="6"/>
  <c r="O127" i="6"/>
  <c r="N127" i="6"/>
  <c r="M127" i="6"/>
  <c r="B127" i="6"/>
  <c r="AE126" i="6"/>
  <c r="AD126" i="6"/>
  <c r="W126" i="6"/>
  <c r="V126" i="6"/>
  <c r="U126" i="6"/>
  <c r="T126" i="6"/>
  <c r="S126" i="6"/>
  <c r="O126" i="6"/>
  <c r="N126" i="6"/>
  <c r="M126" i="6"/>
  <c r="B126" i="6"/>
  <c r="AE125" i="6"/>
  <c r="AD125" i="6"/>
  <c r="W125" i="6"/>
  <c r="V125" i="6"/>
  <c r="T125" i="6"/>
  <c r="U125" i="6" s="1"/>
  <c r="S125" i="6"/>
  <c r="O125" i="6"/>
  <c r="N125" i="6"/>
  <c r="M125" i="6"/>
  <c r="B125" i="6"/>
  <c r="AE124" i="6"/>
  <c r="AD124" i="6"/>
  <c r="W124" i="6"/>
  <c r="T124" i="6"/>
  <c r="S124" i="6"/>
  <c r="O124" i="6"/>
  <c r="N124" i="6"/>
  <c r="M124" i="6"/>
  <c r="B124" i="6"/>
  <c r="AE123" i="6"/>
  <c r="AD123" i="6"/>
  <c r="W123" i="6"/>
  <c r="T123" i="6"/>
  <c r="V123" i="6" s="1"/>
  <c r="S123" i="6"/>
  <c r="O123" i="6"/>
  <c r="N123" i="6"/>
  <c r="M123" i="6"/>
  <c r="B123" i="6"/>
  <c r="AE122" i="6"/>
  <c r="AD122" i="6"/>
  <c r="W122" i="6"/>
  <c r="V122" i="6"/>
  <c r="T122" i="6"/>
  <c r="S122" i="6"/>
  <c r="O122" i="6"/>
  <c r="N122" i="6"/>
  <c r="M122" i="6"/>
  <c r="B122" i="6"/>
  <c r="AE121" i="6"/>
  <c r="AD121" i="6"/>
  <c r="W121" i="6"/>
  <c r="V121" i="6"/>
  <c r="U121" i="6"/>
  <c r="T121" i="6"/>
  <c r="S121" i="6"/>
  <c r="O121" i="6"/>
  <c r="N121" i="6"/>
  <c r="M121" i="6"/>
  <c r="B121" i="6"/>
  <c r="AE120" i="6"/>
  <c r="AD120" i="6"/>
  <c r="W120" i="6"/>
  <c r="V120" i="6"/>
  <c r="U120" i="6"/>
  <c r="T120" i="6"/>
  <c r="S120" i="6"/>
  <c r="O120" i="6"/>
  <c r="N120" i="6"/>
  <c r="M120" i="6"/>
  <c r="B120" i="6"/>
  <c r="AE119" i="6"/>
  <c r="AD119" i="6"/>
  <c r="W119" i="6"/>
  <c r="T119" i="6"/>
  <c r="S119" i="6"/>
  <c r="O119" i="6"/>
  <c r="N119" i="6"/>
  <c r="M119" i="6"/>
  <c r="B119" i="6"/>
  <c r="AE118" i="6"/>
  <c r="AD118" i="6"/>
  <c r="W118" i="6"/>
  <c r="V118" i="6"/>
  <c r="U118" i="6"/>
  <c r="T118" i="6"/>
  <c r="S118" i="6"/>
  <c r="O118" i="6"/>
  <c r="N118" i="6"/>
  <c r="M118" i="6"/>
  <c r="B118" i="6"/>
  <c r="AE117" i="6"/>
  <c r="AD117" i="6"/>
  <c r="W117" i="6"/>
  <c r="T117" i="6"/>
  <c r="S117" i="6"/>
  <c r="O117" i="6"/>
  <c r="N117" i="6"/>
  <c r="M117" i="6"/>
  <c r="B117" i="6"/>
  <c r="AE116" i="6"/>
  <c r="AD116" i="6"/>
  <c r="W116" i="6"/>
  <c r="V116" i="6"/>
  <c r="U116" i="6"/>
  <c r="T116" i="6"/>
  <c r="S116" i="6"/>
  <c r="O116" i="6"/>
  <c r="N116" i="6"/>
  <c r="M116" i="6"/>
  <c r="B116" i="6"/>
  <c r="AE115" i="6"/>
  <c r="AD115" i="6"/>
  <c r="W115" i="6"/>
  <c r="V115" i="6"/>
  <c r="U115" i="6"/>
  <c r="T115" i="6"/>
  <c r="S115" i="6"/>
  <c r="O115" i="6"/>
  <c r="N115" i="6"/>
  <c r="M115" i="6"/>
  <c r="B115" i="6"/>
  <c r="AE114" i="6"/>
  <c r="AD114" i="6"/>
  <c r="W114" i="6"/>
  <c r="T114" i="6"/>
  <c r="S114" i="6"/>
  <c r="O114" i="6"/>
  <c r="N114" i="6"/>
  <c r="M114" i="6"/>
  <c r="B114" i="6"/>
  <c r="AE113" i="6"/>
  <c r="AD113" i="6"/>
  <c r="W113" i="6"/>
  <c r="V113" i="6"/>
  <c r="U113" i="6"/>
  <c r="T113" i="6"/>
  <c r="S113" i="6"/>
  <c r="O113" i="6"/>
  <c r="N113" i="6"/>
  <c r="M113" i="6"/>
  <c r="B113" i="6"/>
  <c r="AE112" i="6"/>
  <c r="AD112" i="6"/>
  <c r="W112" i="6"/>
  <c r="V112" i="6"/>
  <c r="U112" i="6"/>
  <c r="T112" i="6"/>
  <c r="S112" i="6"/>
  <c r="O112" i="6"/>
  <c r="N112" i="6"/>
  <c r="M112" i="6"/>
  <c r="B112" i="6"/>
  <c r="AE111" i="6"/>
  <c r="AD111" i="6"/>
  <c r="W111" i="6"/>
  <c r="V111" i="6"/>
  <c r="U111" i="6"/>
  <c r="T111" i="6"/>
  <c r="S111" i="6"/>
  <c r="O111" i="6"/>
  <c r="N111" i="6"/>
  <c r="M111" i="6"/>
  <c r="B111" i="6"/>
  <c r="AE110" i="6"/>
  <c r="AD110" i="6"/>
  <c r="W110" i="6"/>
  <c r="V110" i="6"/>
  <c r="U110" i="6"/>
  <c r="T110" i="6"/>
  <c r="S110" i="6"/>
  <c r="O110" i="6"/>
  <c r="N110" i="6"/>
  <c r="M110" i="6"/>
  <c r="B110" i="6"/>
  <c r="AE109" i="6"/>
  <c r="AD109" i="6"/>
  <c r="W109" i="6"/>
  <c r="T109" i="6"/>
  <c r="S109" i="6"/>
  <c r="O109" i="6"/>
  <c r="N109" i="6"/>
  <c r="M109" i="6"/>
  <c r="B109" i="6"/>
  <c r="AE108" i="6"/>
  <c r="AD108" i="6"/>
  <c r="W108" i="6"/>
  <c r="T108" i="6"/>
  <c r="V108" i="6" s="1"/>
  <c r="S108" i="6"/>
  <c r="O108" i="6"/>
  <c r="N108" i="6"/>
  <c r="M108" i="6"/>
  <c r="B108" i="6"/>
  <c r="AE107" i="6"/>
  <c r="AD107" i="6"/>
  <c r="W107" i="6"/>
  <c r="T107" i="6"/>
  <c r="S107" i="6"/>
  <c r="O107" i="6"/>
  <c r="N107" i="6"/>
  <c r="M107" i="6"/>
  <c r="B107" i="6"/>
  <c r="AE106" i="6"/>
  <c r="AD106" i="6"/>
  <c r="W106" i="6"/>
  <c r="V106" i="6"/>
  <c r="U106" i="6"/>
  <c r="T106" i="6"/>
  <c r="S106" i="6"/>
  <c r="O106" i="6"/>
  <c r="N106" i="6"/>
  <c r="M106" i="6"/>
  <c r="B106" i="6"/>
  <c r="AE105" i="6"/>
  <c r="AD105" i="6"/>
  <c r="W105" i="6"/>
  <c r="V105" i="6"/>
  <c r="U105" i="6"/>
  <c r="T105" i="6"/>
  <c r="S105" i="6"/>
  <c r="O105" i="6"/>
  <c r="N105" i="6"/>
  <c r="M105" i="6"/>
  <c r="B105" i="6"/>
  <c r="AE104" i="6"/>
  <c r="AD104" i="6"/>
  <c r="W104" i="6"/>
  <c r="T104" i="6"/>
  <c r="S104" i="6"/>
  <c r="O104" i="6"/>
  <c r="N104" i="6"/>
  <c r="M104" i="6"/>
  <c r="B104" i="6"/>
  <c r="AE103" i="6"/>
  <c r="AD103" i="6"/>
  <c r="W103" i="6"/>
  <c r="V103" i="6"/>
  <c r="U103" i="6"/>
  <c r="T103" i="6"/>
  <c r="S103" i="6"/>
  <c r="O103" i="6"/>
  <c r="N103" i="6"/>
  <c r="M103" i="6"/>
  <c r="B103" i="6"/>
  <c r="AE102" i="6"/>
  <c r="AD102" i="6"/>
  <c r="W102" i="6"/>
  <c r="V102" i="6"/>
  <c r="U102" i="6"/>
  <c r="T102" i="6"/>
  <c r="S102" i="6"/>
  <c r="O102" i="6"/>
  <c r="N102" i="6"/>
  <c r="M102" i="6"/>
  <c r="B102" i="6"/>
  <c r="AE101" i="6"/>
  <c r="AD101" i="6"/>
  <c r="W101" i="6"/>
  <c r="V101" i="6"/>
  <c r="U101" i="6"/>
  <c r="T101" i="6"/>
  <c r="S101" i="6"/>
  <c r="O101" i="6"/>
  <c r="N101" i="6"/>
  <c r="M101" i="6"/>
  <c r="B101" i="6"/>
  <c r="AE100" i="6"/>
  <c r="AD100" i="6"/>
  <c r="W100" i="6"/>
  <c r="V100" i="6"/>
  <c r="U100" i="6"/>
  <c r="T100" i="6"/>
  <c r="S100" i="6"/>
  <c r="O100" i="6"/>
  <c r="N100" i="6"/>
  <c r="M100" i="6"/>
  <c r="B100" i="6"/>
  <c r="AE99" i="6"/>
  <c r="AD99" i="6"/>
  <c r="W99" i="6"/>
  <c r="T99" i="6"/>
  <c r="S99" i="6"/>
  <c r="O99" i="6"/>
  <c r="N99" i="6"/>
  <c r="M99" i="6"/>
  <c r="B99" i="6"/>
  <c r="AE98" i="6"/>
  <c r="AD98" i="6"/>
  <c r="W98" i="6"/>
  <c r="T98" i="6"/>
  <c r="V98" i="6" s="1"/>
  <c r="S98" i="6"/>
  <c r="O98" i="6"/>
  <c r="N98" i="6"/>
  <c r="M98" i="6"/>
  <c r="B98" i="6"/>
  <c r="AE97" i="6"/>
  <c r="AD97" i="6"/>
  <c r="W97" i="6"/>
  <c r="V97" i="6"/>
  <c r="U97" i="6"/>
  <c r="T97" i="6"/>
  <c r="S97" i="6"/>
  <c r="O97" i="6"/>
  <c r="N97" i="6"/>
  <c r="M97" i="6"/>
  <c r="B97" i="6"/>
  <c r="AE96" i="6"/>
  <c r="AD96" i="6"/>
  <c r="W96" i="6"/>
  <c r="V96" i="6"/>
  <c r="U96" i="6"/>
  <c r="T96" i="6"/>
  <c r="S96" i="6"/>
  <c r="O96" i="6"/>
  <c r="N96" i="6"/>
  <c r="M96" i="6"/>
  <c r="B96" i="6"/>
  <c r="AE95" i="6"/>
  <c r="AD95" i="6"/>
  <c r="W95" i="6"/>
  <c r="V95" i="6"/>
  <c r="U95" i="6"/>
  <c r="T95" i="6"/>
  <c r="S95" i="6"/>
  <c r="O95" i="6"/>
  <c r="N95" i="6"/>
  <c r="M95" i="6"/>
  <c r="B95" i="6"/>
  <c r="AE94" i="6"/>
  <c r="AD94" i="6"/>
  <c r="W94" i="6"/>
  <c r="T94" i="6"/>
  <c r="V94" i="6" s="1"/>
  <c r="S94" i="6"/>
  <c r="O94" i="6"/>
  <c r="N94" i="6"/>
  <c r="M94" i="6"/>
  <c r="B94" i="6"/>
  <c r="AE93" i="6"/>
  <c r="AD93" i="6"/>
  <c r="W93" i="6"/>
  <c r="V93" i="6"/>
  <c r="T93" i="6"/>
  <c r="U93" i="6" s="1"/>
  <c r="S93" i="6"/>
  <c r="O93" i="6"/>
  <c r="N93" i="6"/>
  <c r="M93" i="6"/>
  <c r="B93" i="6"/>
  <c r="AE92" i="6"/>
  <c r="AD92" i="6"/>
  <c r="W92" i="6"/>
  <c r="T92" i="6"/>
  <c r="S92" i="6"/>
  <c r="O92" i="6"/>
  <c r="N92" i="6"/>
  <c r="M92" i="6"/>
  <c r="B92" i="6"/>
  <c r="AE91" i="6"/>
  <c r="AD91" i="6"/>
  <c r="W91" i="6"/>
  <c r="V91" i="6"/>
  <c r="U91" i="6"/>
  <c r="T91" i="6"/>
  <c r="S91" i="6"/>
  <c r="O91" i="6"/>
  <c r="N91" i="6"/>
  <c r="M91" i="6"/>
  <c r="B91" i="6"/>
  <c r="AE90" i="6"/>
  <c r="AD90" i="6"/>
  <c r="W90" i="6"/>
  <c r="V90" i="6"/>
  <c r="U90" i="6"/>
  <c r="T90" i="6"/>
  <c r="S90" i="6"/>
  <c r="O90" i="6"/>
  <c r="N90" i="6"/>
  <c r="M90" i="6"/>
  <c r="B90" i="6"/>
  <c r="AE89" i="6"/>
  <c r="AD89" i="6"/>
  <c r="W89" i="6"/>
  <c r="U89" i="6"/>
  <c r="T89" i="6"/>
  <c r="V89" i="6" s="1"/>
  <c r="S89" i="6"/>
  <c r="O89" i="6"/>
  <c r="N89" i="6"/>
  <c r="M89" i="6"/>
  <c r="B89" i="6"/>
  <c r="AE88" i="6"/>
  <c r="AD88" i="6"/>
  <c r="W88" i="6"/>
  <c r="V88" i="6"/>
  <c r="U88" i="6"/>
  <c r="T88" i="6"/>
  <c r="S88" i="6"/>
  <c r="O88" i="6"/>
  <c r="N88" i="6"/>
  <c r="M88" i="6"/>
  <c r="B88" i="6"/>
  <c r="AE87" i="6"/>
  <c r="AD87" i="6"/>
  <c r="W87" i="6"/>
  <c r="V87" i="6"/>
  <c r="U87" i="6"/>
  <c r="T87" i="6"/>
  <c r="S87" i="6"/>
  <c r="O87" i="6"/>
  <c r="N87" i="6"/>
  <c r="M87" i="6"/>
  <c r="B87" i="6"/>
  <c r="AE86" i="6"/>
  <c r="AD86" i="6"/>
  <c r="W86" i="6"/>
  <c r="V86" i="6"/>
  <c r="U86" i="6"/>
  <c r="T86" i="6"/>
  <c r="S86" i="6"/>
  <c r="O86" i="6"/>
  <c r="N86" i="6"/>
  <c r="M86" i="6"/>
  <c r="B86" i="6"/>
  <c r="AE85" i="6"/>
  <c r="AD85" i="6"/>
  <c r="W85" i="6"/>
  <c r="V85" i="6"/>
  <c r="U85" i="6"/>
  <c r="T85" i="6"/>
  <c r="S85" i="6"/>
  <c r="O85" i="6"/>
  <c r="N85" i="6"/>
  <c r="M85" i="6"/>
  <c r="B85" i="6"/>
  <c r="AE84" i="6"/>
  <c r="AD84" i="6"/>
  <c r="W84" i="6"/>
  <c r="T84" i="6"/>
  <c r="V84" i="6" s="1"/>
  <c r="S84" i="6"/>
  <c r="O84" i="6"/>
  <c r="N84" i="6"/>
  <c r="M84" i="6"/>
  <c r="B84" i="6"/>
  <c r="AE83" i="6"/>
  <c r="AD83" i="6"/>
  <c r="W83" i="6"/>
  <c r="V83" i="6"/>
  <c r="U83" i="6"/>
  <c r="T83" i="6"/>
  <c r="S83" i="6"/>
  <c r="O83" i="6"/>
  <c r="N83" i="6"/>
  <c r="M83" i="6"/>
  <c r="B83" i="6"/>
  <c r="AE82" i="6"/>
  <c r="AD82" i="6"/>
  <c r="W82" i="6"/>
  <c r="T82" i="6"/>
  <c r="S82" i="6"/>
  <c r="O82" i="6"/>
  <c r="N82" i="6"/>
  <c r="M82" i="6"/>
  <c r="B82" i="6"/>
  <c r="AE81" i="6"/>
  <c r="AD81" i="6"/>
  <c r="W81" i="6"/>
  <c r="V81" i="6"/>
  <c r="U81" i="6"/>
  <c r="T81" i="6"/>
  <c r="S81" i="6"/>
  <c r="O81" i="6"/>
  <c r="N81" i="6"/>
  <c r="M81" i="6"/>
  <c r="B81" i="6"/>
  <c r="AE80" i="6"/>
  <c r="AD80" i="6"/>
  <c r="W80" i="6"/>
  <c r="V80" i="6"/>
  <c r="U80" i="6"/>
  <c r="T80" i="6"/>
  <c r="S80" i="6"/>
  <c r="O80" i="6"/>
  <c r="N80" i="6"/>
  <c r="M80" i="6"/>
  <c r="B80" i="6"/>
  <c r="AE79" i="6"/>
  <c r="AD79" i="6"/>
  <c r="W79" i="6"/>
  <c r="U79" i="6"/>
  <c r="T79" i="6"/>
  <c r="V79" i="6" s="1"/>
  <c r="S79" i="6"/>
  <c r="O79" i="6"/>
  <c r="N79" i="6"/>
  <c r="M79" i="6"/>
  <c r="B79" i="6"/>
  <c r="AE78" i="6"/>
  <c r="AD78" i="6"/>
  <c r="W78" i="6"/>
  <c r="T78" i="6"/>
  <c r="V78" i="6" s="1"/>
  <c r="S78" i="6"/>
  <c r="O78" i="6"/>
  <c r="N78" i="6"/>
  <c r="M78" i="6"/>
  <c r="B78" i="6"/>
  <c r="AE77" i="6"/>
  <c r="AD77" i="6"/>
  <c r="W77" i="6"/>
  <c r="T77" i="6"/>
  <c r="S77" i="6"/>
  <c r="O77" i="6"/>
  <c r="N77" i="6"/>
  <c r="M77" i="6"/>
  <c r="B77" i="6"/>
  <c r="AE76" i="6"/>
  <c r="AD76" i="6"/>
  <c r="W76" i="6"/>
  <c r="V76" i="6"/>
  <c r="U76" i="6"/>
  <c r="T76" i="6"/>
  <c r="S76" i="6"/>
  <c r="O76" i="6"/>
  <c r="N76" i="6"/>
  <c r="M76" i="6"/>
  <c r="B76" i="6"/>
  <c r="AE75" i="6"/>
  <c r="AD75" i="6"/>
  <c r="W75" i="6"/>
  <c r="V75" i="6"/>
  <c r="U75" i="6"/>
  <c r="T75" i="6"/>
  <c r="S75" i="6"/>
  <c r="O75" i="6"/>
  <c r="N75" i="6"/>
  <c r="M75" i="6"/>
  <c r="B75" i="6"/>
  <c r="AE74" i="6"/>
  <c r="AD74" i="6"/>
  <c r="W74" i="6"/>
  <c r="T74" i="6"/>
  <c r="V74" i="6" s="1"/>
  <c r="S74" i="6"/>
  <c r="O74" i="6"/>
  <c r="N74" i="6"/>
  <c r="M74" i="6"/>
  <c r="B74" i="6"/>
  <c r="AE73" i="6"/>
  <c r="AD73" i="6"/>
  <c r="W73" i="6"/>
  <c r="V73" i="6"/>
  <c r="T73" i="6"/>
  <c r="S73" i="6"/>
  <c r="O73" i="6"/>
  <c r="N73" i="6"/>
  <c r="M73" i="6"/>
  <c r="B73" i="6"/>
  <c r="AE72" i="6"/>
  <c r="AD72" i="6"/>
  <c r="W72" i="6"/>
  <c r="V72" i="6"/>
  <c r="U72" i="6"/>
  <c r="T72" i="6"/>
  <c r="S72" i="6"/>
  <c r="O72" i="6"/>
  <c r="N72" i="6"/>
  <c r="M72" i="6"/>
  <c r="B72" i="6"/>
  <c r="AE71" i="6"/>
  <c r="AD71" i="6"/>
  <c r="W71" i="6"/>
  <c r="V71" i="6"/>
  <c r="U71" i="6"/>
  <c r="T71" i="6"/>
  <c r="S71" i="6"/>
  <c r="O71" i="6"/>
  <c r="N71" i="6"/>
  <c r="M71" i="6"/>
  <c r="B71" i="6"/>
  <c r="AE70" i="6"/>
  <c r="AD70" i="6"/>
  <c r="W70" i="6"/>
  <c r="V70" i="6"/>
  <c r="U70" i="6"/>
  <c r="T70" i="6"/>
  <c r="S70" i="6"/>
  <c r="O70" i="6"/>
  <c r="N70" i="6"/>
  <c r="M70" i="6"/>
  <c r="B70" i="6"/>
  <c r="AE69" i="6"/>
  <c r="AD69" i="6"/>
  <c r="W69" i="6"/>
  <c r="T69" i="6"/>
  <c r="V69" i="6" s="1"/>
  <c r="S69" i="6"/>
  <c r="O69" i="6"/>
  <c r="N69" i="6"/>
  <c r="M69" i="6"/>
  <c r="B69" i="6"/>
  <c r="AE68" i="6"/>
  <c r="AD68" i="6"/>
  <c r="W68" i="6"/>
  <c r="V68" i="6"/>
  <c r="U68" i="6"/>
  <c r="T68" i="6"/>
  <c r="S68" i="6"/>
  <c r="O68" i="6"/>
  <c r="N68" i="6"/>
  <c r="M68" i="6"/>
  <c r="B68" i="6"/>
  <c r="AE67" i="6"/>
  <c r="AD67" i="6"/>
  <c r="W67" i="6"/>
  <c r="V67" i="6"/>
  <c r="U67" i="6"/>
  <c r="T67" i="6"/>
  <c r="S67" i="6"/>
  <c r="O67" i="6"/>
  <c r="N67" i="6"/>
  <c r="M67" i="6"/>
  <c r="B67" i="6"/>
  <c r="AE66" i="6"/>
  <c r="AD66" i="6"/>
  <c r="W66" i="6"/>
  <c r="V66" i="6"/>
  <c r="U66" i="6"/>
  <c r="T66" i="6"/>
  <c r="S66" i="6"/>
  <c r="O66" i="6"/>
  <c r="N66" i="6"/>
  <c r="M66" i="6"/>
  <c r="B66" i="6"/>
  <c r="AE65" i="6"/>
  <c r="AD65" i="6"/>
  <c r="W65" i="6"/>
  <c r="V65" i="6"/>
  <c r="U65" i="6"/>
  <c r="T65" i="6"/>
  <c r="S65" i="6"/>
  <c r="O65" i="6"/>
  <c r="N65" i="6"/>
  <c r="M65" i="6"/>
  <c r="B65" i="6"/>
  <c r="AE64" i="6"/>
  <c r="AD64" i="6"/>
  <c r="W64" i="6"/>
  <c r="U64" i="6"/>
  <c r="T64" i="6"/>
  <c r="V64" i="6" s="1"/>
  <c r="S64" i="6"/>
  <c r="O64" i="6"/>
  <c r="N64" i="6"/>
  <c r="M64" i="6"/>
  <c r="B64" i="6"/>
  <c r="AE63" i="6"/>
  <c r="AD63" i="6"/>
  <c r="W63" i="6"/>
  <c r="T63" i="6"/>
  <c r="V63" i="6" s="1"/>
  <c r="S63" i="6"/>
  <c r="O63" i="6"/>
  <c r="N63" i="6"/>
  <c r="M63" i="6"/>
  <c r="B63" i="6"/>
  <c r="AE62" i="6"/>
  <c r="AD62" i="6"/>
  <c r="W62" i="6"/>
  <c r="V62" i="6"/>
  <c r="U62" i="6"/>
  <c r="T62" i="6"/>
  <c r="S62" i="6"/>
  <c r="O62" i="6"/>
  <c r="N62" i="6"/>
  <c r="M62" i="6"/>
  <c r="B62" i="6"/>
  <c r="AE61" i="6"/>
  <c r="AD61" i="6"/>
  <c r="W61" i="6"/>
  <c r="V61" i="6"/>
  <c r="U61" i="6"/>
  <c r="T61" i="6"/>
  <c r="S61" i="6"/>
  <c r="O61" i="6"/>
  <c r="N61" i="6"/>
  <c r="M61" i="6"/>
  <c r="B61" i="6"/>
  <c r="AE60" i="6"/>
  <c r="AD60" i="6"/>
  <c r="W60" i="6"/>
  <c r="V60" i="6"/>
  <c r="U60" i="6"/>
  <c r="T60" i="6"/>
  <c r="S60" i="6"/>
  <c r="O60" i="6"/>
  <c r="N60" i="6"/>
  <c r="M60" i="6"/>
  <c r="B60" i="6"/>
  <c r="AE59" i="6"/>
  <c r="AD59" i="6"/>
  <c r="W59" i="6"/>
  <c r="U59" i="6"/>
  <c r="T59" i="6"/>
  <c r="V59" i="6" s="1"/>
  <c r="S59" i="6"/>
  <c r="O59" i="6"/>
  <c r="N59" i="6"/>
  <c r="M59" i="6"/>
  <c r="B59" i="6"/>
  <c r="AE58" i="6"/>
  <c r="AD58" i="6"/>
  <c r="W58" i="6"/>
  <c r="V58" i="6"/>
  <c r="U58" i="6"/>
  <c r="T58" i="6"/>
  <c r="S58" i="6"/>
  <c r="O58" i="6"/>
  <c r="N58" i="6"/>
  <c r="M58" i="6"/>
  <c r="B58" i="6"/>
  <c r="AE57" i="6"/>
  <c r="AD57" i="6"/>
  <c r="W57" i="6"/>
  <c r="T57" i="6"/>
  <c r="S57" i="6"/>
  <c r="O57" i="6"/>
  <c r="N57" i="6"/>
  <c r="M57" i="6"/>
  <c r="B57" i="6"/>
  <c r="AE56" i="6"/>
  <c r="AD56" i="6"/>
  <c r="W56" i="6"/>
  <c r="V56" i="6"/>
  <c r="U56" i="6"/>
  <c r="T56" i="6"/>
  <c r="S56" i="6"/>
  <c r="O56" i="6"/>
  <c r="N56" i="6"/>
  <c r="M56" i="6"/>
  <c r="B56" i="6"/>
  <c r="AE55" i="6"/>
  <c r="AD55" i="6"/>
  <c r="W55" i="6"/>
  <c r="V55" i="6"/>
  <c r="U55" i="6"/>
  <c r="T55" i="6"/>
  <c r="S55" i="6"/>
  <c r="O55" i="6"/>
  <c r="N55" i="6"/>
  <c r="M55" i="6"/>
  <c r="B55" i="6"/>
  <c r="AE54" i="6"/>
  <c r="AD54" i="6"/>
  <c r="W54" i="6"/>
  <c r="U54" i="6"/>
  <c r="T54" i="6"/>
  <c r="V54" i="6" s="1"/>
  <c r="S54" i="6"/>
  <c r="O54" i="6"/>
  <c r="N54" i="6"/>
  <c r="M54" i="6"/>
  <c r="B54" i="6"/>
  <c r="AE53" i="6"/>
  <c r="AD53" i="6"/>
  <c r="W53" i="6"/>
  <c r="T53" i="6"/>
  <c r="S53" i="6"/>
  <c r="O53" i="6"/>
  <c r="N53" i="6"/>
  <c r="M53" i="6"/>
  <c r="B53" i="6"/>
  <c r="AE52" i="6"/>
  <c r="AD52" i="6"/>
  <c r="W52" i="6"/>
  <c r="V52" i="6"/>
  <c r="T52" i="6"/>
  <c r="U52" i="6" s="1"/>
  <c r="S52" i="6"/>
  <c r="O52" i="6"/>
  <c r="N52" i="6"/>
  <c r="M52" i="6"/>
  <c r="B52" i="6"/>
  <c r="AE51" i="6"/>
  <c r="AD51" i="6"/>
  <c r="W51" i="6"/>
  <c r="V51" i="6"/>
  <c r="U51" i="6"/>
  <c r="T51" i="6"/>
  <c r="S51" i="6"/>
  <c r="O51" i="6"/>
  <c r="N51" i="6"/>
  <c r="M51" i="6"/>
  <c r="B51" i="6"/>
  <c r="AE50" i="6"/>
  <c r="AD50" i="6"/>
  <c r="W50" i="6"/>
  <c r="V50" i="6"/>
  <c r="U50" i="6"/>
  <c r="T50" i="6"/>
  <c r="S50" i="6"/>
  <c r="O50" i="6"/>
  <c r="N50" i="6"/>
  <c r="M50" i="6"/>
  <c r="B50" i="6"/>
  <c r="AE49" i="6"/>
  <c r="AD49" i="6"/>
  <c r="W49" i="6"/>
  <c r="T49" i="6"/>
  <c r="V49" i="6" s="1"/>
  <c r="S49" i="6"/>
  <c r="O49" i="6"/>
  <c r="N49" i="6"/>
  <c r="M49" i="6"/>
  <c r="B49" i="6"/>
  <c r="AE48" i="6"/>
  <c r="AD48" i="6"/>
  <c r="W48" i="6"/>
  <c r="T48" i="6"/>
  <c r="S48" i="6"/>
  <c r="O48" i="6"/>
  <c r="N48" i="6"/>
  <c r="M48" i="6"/>
  <c r="B48" i="6"/>
  <c r="AE47" i="6"/>
  <c r="AD47" i="6"/>
  <c r="W47" i="6"/>
  <c r="V47" i="6"/>
  <c r="U47" i="6"/>
  <c r="T47" i="6"/>
  <c r="S47" i="6"/>
  <c r="O47" i="6"/>
  <c r="N47" i="6"/>
  <c r="M47" i="6"/>
  <c r="B47" i="6"/>
  <c r="AE46" i="6"/>
  <c r="AD46" i="6"/>
  <c r="W46" i="6"/>
  <c r="V46" i="6"/>
  <c r="U46" i="6"/>
  <c r="T46" i="6"/>
  <c r="S46" i="6"/>
  <c r="O46" i="6"/>
  <c r="N46" i="6"/>
  <c r="M46" i="6"/>
  <c r="B46" i="6"/>
  <c r="AE45" i="6"/>
  <c r="AD45" i="6"/>
  <c r="W45" i="6"/>
  <c r="V45" i="6"/>
  <c r="U45" i="6"/>
  <c r="T45" i="6"/>
  <c r="S45" i="6"/>
  <c r="O45" i="6"/>
  <c r="N45" i="6"/>
  <c r="M45" i="6"/>
  <c r="B45" i="6"/>
  <c r="AE44" i="6"/>
  <c r="AD44" i="6"/>
  <c r="W44" i="6"/>
  <c r="T44" i="6"/>
  <c r="V44" i="6" s="1"/>
  <c r="S44" i="6"/>
  <c r="O44" i="6"/>
  <c r="N44" i="6"/>
  <c r="M44" i="6"/>
  <c r="B44" i="6"/>
  <c r="AE43" i="6"/>
  <c r="AD43" i="6"/>
  <c r="W43" i="6"/>
  <c r="V43" i="6"/>
  <c r="T43" i="6"/>
  <c r="U43" i="6" s="1"/>
  <c r="S43" i="6"/>
  <c r="O43" i="6"/>
  <c r="N43" i="6"/>
  <c r="M43" i="6"/>
  <c r="B43" i="6"/>
  <c r="AE42" i="6"/>
  <c r="AD42" i="6"/>
  <c r="AB42" i="6"/>
  <c r="Z42" i="6"/>
  <c r="Y42" i="6"/>
  <c r="X42" i="6"/>
  <c r="W42" i="6"/>
  <c r="U42" i="6"/>
  <c r="T42" i="6"/>
  <c r="V42" i="6" s="1"/>
  <c r="S42" i="6"/>
  <c r="O42" i="6"/>
  <c r="N42" i="6"/>
  <c r="M42" i="6"/>
  <c r="B42" i="6"/>
  <c r="AE41" i="6"/>
  <c r="AD41" i="6"/>
  <c r="Z41" i="6"/>
  <c r="Y41" i="6"/>
  <c r="X41" i="6"/>
  <c r="W41" i="6"/>
  <c r="V41" i="6"/>
  <c r="U41" i="6"/>
  <c r="T41" i="6"/>
  <c r="S41" i="6"/>
  <c r="O41" i="6"/>
  <c r="N41" i="6"/>
  <c r="M41" i="6"/>
  <c r="B41" i="6"/>
  <c r="AE40" i="6"/>
  <c r="AD40" i="6"/>
  <c r="AB40" i="6"/>
  <c r="Z40" i="6"/>
  <c r="Y40" i="6"/>
  <c r="X40" i="6"/>
  <c r="W40" i="6"/>
  <c r="V40" i="6"/>
  <c r="U40" i="6"/>
  <c r="T40" i="6"/>
  <c r="S40" i="6"/>
  <c r="O40" i="6"/>
  <c r="N40" i="6"/>
  <c r="M40" i="6"/>
  <c r="B40" i="6"/>
  <c r="AE39" i="6"/>
  <c r="AD39" i="6"/>
  <c r="Z39" i="6"/>
  <c r="Y39" i="6"/>
  <c r="X39" i="6"/>
  <c r="W39" i="6"/>
  <c r="V39" i="6"/>
  <c r="T39" i="6"/>
  <c r="S39" i="6"/>
  <c r="O39" i="6"/>
  <c r="N39" i="6"/>
  <c r="M39" i="6"/>
  <c r="B39" i="6"/>
  <c r="AE38" i="6"/>
  <c r="AD38" i="6"/>
  <c r="AB38" i="6"/>
  <c r="Z38" i="6"/>
  <c r="Y38" i="6"/>
  <c r="X38" i="6"/>
  <c r="W38" i="6"/>
  <c r="V38" i="6"/>
  <c r="U38" i="6"/>
  <c r="T38" i="6"/>
  <c r="S38" i="6"/>
  <c r="O38" i="6"/>
  <c r="N38" i="6"/>
  <c r="M38" i="6"/>
  <c r="B38" i="6"/>
  <c r="AE37" i="6"/>
  <c r="AD37" i="6"/>
  <c r="AB37" i="6"/>
  <c r="Z37" i="6"/>
  <c r="Y37" i="6"/>
  <c r="X37" i="6"/>
  <c r="W37" i="6"/>
  <c r="U37" i="6"/>
  <c r="T37" i="6"/>
  <c r="V37" i="6" s="1"/>
  <c r="S37" i="6"/>
  <c r="O37" i="6"/>
  <c r="N37" i="6"/>
  <c r="M37" i="6"/>
  <c r="B37" i="6"/>
  <c r="AE36" i="6"/>
  <c r="AD36" i="6"/>
  <c r="AB36" i="6"/>
  <c r="Z36" i="6"/>
  <c r="Y36" i="6"/>
  <c r="X36" i="6"/>
  <c r="W36" i="6"/>
  <c r="V36" i="6"/>
  <c r="U36" i="6"/>
  <c r="T36" i="6"/>
  <c r="S36" i="6"/>
  <c r="O36" i="6"/>
  <c r="N36" i="6"/>
  <c r="M36" i="6"/>
  <c r="B36" i="6"/>
  <c r="AE35" i="6"/>
  <c r="AD35" i="6"/>
  <c r="AB35" i="6"/>
  <c r="Z35" i="6"/>
  <c r="Y35" i="6"/>
  <c r="X35" i="6"/>
  <c r="W35" i="6"/>
  <c r="V35" i="6"/>
  <c r="U35" i="6"/>
  <c r="T35" i="6"/>
  <c r="S35" i="6"/>
  <c r="O35" i="6"/>
  <c r="N35" i="6"/>
  <c r="M35" i="6"/>
  <c r="B35" i="6"/>
  <c r="AE34" i="6"/>
  <c r="AD34" i="6"/>
  <c r="Z34" i="6"/>
  <c r="Y34" i="6"/>
  <c r="X34" i="6"/>
  <c r="W34" i="6"/>
  <c r="V34" i="6"/>
  <c r="U34" i="6"/>
  <c r="T34" i="6"/>
  <c r="S34" i="6"/>
  <c r="O34" i="6"/>
  <c r="N34" i="6"/>
  <c r="M34" i="6"/>
  <c r="B34" i="6"/>
  <c r="AE33" i="6"/>
  <c r="AD33" i="6"/>
  <c r="AB33" i="6"/>
  <c r="Z33" i="6"/>
  <c r="Y33" i="6"/>
  <c r="X33" i="6"/>
  <c r="W33" i="6"/>
  <c r="V33" i="6"/>
  <c r="U33" i="6"/>
  <c r="T33" i="6"/>
  <c r="S33" i="6"/>
  <c r="O33" i="6"/>
  <c r="N33" i="6"/>
  <c r="M33" i="6"/>
  <c r="B33" i="6"/>
  <c r="AE32" i="6"/>
  <c r="AD32" i="6"/>
  <c r="Z32" i="6"/>
  <c r="Y32" i="6"/>
  <c r="X32" i="6"/>
  <c r="W32" i="6"/>
  <c r="T32" i="6"/>
  <c r="S32" i="6"/>
  <c r="O32" i="6"/>
  <c r="N32" i="6"/>
  <c r="M32" i="6"/>
  <c r="B32" i="6"/>
  <c r="AE31" i="6"/>
  <c r="AD31" i="6"/>
  <c r="AB31" i="6"/>
  <c r="Z31" i="6"/>
  <c r="Y31" i="6"/>
  <c r="X31" i="6"/>
  <c r="W31" i="6"/>
  <c r="V31" i="6"/>
  <c r="U31" i="6"/>
  <c r="T31" i="6"/>
  <c r="S31" i="6"/>
  <c r="O31" i="6"/>
  <c r="N31" i="6"/>
  <c r="M31" i="6"/>
  <c r="B31" i="6"/>
  <c r="AE30" i="6"/>
  <c r="AD30" i="6"/>
  <c r="AB30" i="6"/>
  <c r="Z30" i="6"/>
  <c r="Y30" i="6"/>
  <c r="X30" i="6"/>
  <c r="W30" i="6"/>
  <c r="V30" i="6"/>
  <c r="U30" i="6"/>
  <c r="T30" i="6"/>
  <c r="S30" i="6"/>
  <c r="O30" i="6"/>
  <c r="N30" i="6"/>
  <c r="M30" i="6"/>
  <c r="B30" i="6"/>
  <c r="AE29" i="6"/>
  <c r="AD29" i="6"/>
  <c r="Z29" i="6"/>
  <c r="Y29" i="6"/>
  <c r="X29" i="6"/>
  <c r="W29" i="6"/>
  <c r="V29" i="6"/>
  <c r="U29" i="6"/>
  <c r="T29" i="6"/>
  <c r="S29" i="6"/>
  <c r="O29" i="6"/>
  <c r="N29" i="6"/>
  <c r="M29" i="6"/>
  <c r="B29" i="6"/>
  <c r="AE28" i="6"/>
  <c r="AD28" i="6"/>
  <c r="AB28" i="6"/>
  <c r="Z28" i="6"/>
  <c r="Y28" i="6"/>
  <c r="X28" i="6"/>
  <c r="W28" i="6"/>
  <c r="T28" i="6"/>
  <c r="S28" i="6"/>
  <c r="O28" i="6"/>
  <c r="N28" i="6"/>
  <c r="M28" i="6"/>
  <c r="B28" i="6"/>
  <c r="AE27" i="6"/>
  <c r="AD27" i="6"/>
  <c r="Z27" i="6"/>
  <c r="Y27" i="6"/>
  <c r="X27" i="6"/>
  <c r="W27" i="6"/>
  <c r="T27" i="6"/>
  <c r="V27" i="6" s="1"/>
  <c r="S27" i="6"/>
  <c r="O27" i="6"/>
  <c r="N27" i="6"/>
  <c r="M27" i="6"/>
  <c r="B27" i="6"/>
  <c r="AE26" i="6"/>
  <c r="AD26" i="6"/>
  <c r="AB26" i="6"/>
  <c r="Z26" i="6"/>
  <c r="Y26" i="6"/>
  <c r="X26" i="6"/>
  <c r="W26" i="6"/>
  <c r="V26" i="6"/>
  <c r="U26" i="6"/>
  <c r="T26" i="6"/>
  <c r="S26" i="6"/>
  <c r="O26" i="6"/>
  <c r="N26" i="6"/>
  <c r="M26" i="6"/>
  <c r="B26" i="6"/>
  <c r="AE25" i="6"/>
  <c r="AD25" i="6"/>
  <c r="AB25" i="6"/>
  <c r="Z25" i="6"/>
  <c r="Y25" i="6"/>
  <c r="X25" i="6"/>
  <c r="W25" i="6"/>
  <c r="V25" i="6"/>
  <c r="U25" i="6"/>
  <c r="T25" i="6"/>
  <c r="S25" i="6"/>
  <c r="O25" i="6"/>
  <c r="N25" i="6"/>
  <c r="M25" i="6"/>
  <c r="B25" i="6"/>
  <c r="AE24" i="6"/>
  <c r="AD24" i="6"/>
  <c r="AB24" i="6"/>
  <c r="Z24" i="6"/>
  <c r="Y24" i="6"/>
  <c r="X24" i="6"/>
  <c r="W24" i="6"/>
  <c r="T24" i="6"/>
  <c r="S24" i="6"/>
  <c r="O24" i="6"/>
  <c r="N24" i="6"/>
  <c r="M24" i="6"/>
  <c r="B24" i="6"/>
  <c r="AE23" i="6"/>
  <c r="AD23" i="6"/>
  <c r="AB23" i="6"/>
  <c r="Z23" i="6"/>
  <c r="Y23" i="6"/>
  <c r="X23" i="6"/>
  <c r="W23" i="6"/>
  <c r="V23" i="6"/>
  <c r="T23" i="6"/>
  <c r="S23" i="6"/>
  <c r="O23" i="6"/>
  <c r="N23" i="6"/>
  <c r="M23" i="6"/>
  <c r="B23" i="6"/>
  <c r="AE22" i="6"/>
  <c r="AD22" i="6"/>
  <c r="Z22" i="6"/>
  <c r="Y22" i="6"/>
  <c r="X22" i="6"/>
  <c r="W22" i="6"/>
  <c r="U22" i="6"/>
  <c r="T22" i="6"/>
  <c r="V22" i="6" s="1"/>
  <c r="S22" i="6"/>
  <c r="O22" i="6"/>
  <c r="N22" i="6"/>
  <c r="M22" i="6"/>
  <c r="B22" i="6"/>
  <c r="AE21" i="6"/>
  <c r="AD21" i="6"/>
  <c r="AB21" i="6"/>
  <c r="Z21" i="6"/>
  <c r="Y21" i="6"/>
  <c r="X21" i="6"/>
  <c r="W21" i="6"/>
  <c r="V21" i="6"/>
  <c r="U21" i="6"/>
  <c r="T21" i="6"/>
  <c r="S21" i="6"/>
  <c r="O21" i="6"/>
  <c r="N21" i="6"/>
  <c r="M21" i="6"/>
  <c r="B21" i="6"/>
  <c r="AE20" i="6"/>
  <c r="AD20" i="6"/>
  <c r="AB20" i="6"/>
  <c r="Z20" i="6"/>
  <c r="Y20" i="6"/>
  <c r="X20" i="6"/>
  <c r="W20" i="6"/>
  <c r="V20" i="6"/>
  <c r="U20" i="6"/>
  <c r="T20" i="6"/>
  <c r="S20" i="6"/>
  <c r="O20" i="6"/>
  <c r="N20" i="6"/>
  <c r="M20" i="6"/>
  <c r="B20" i="6"/>
  <c r="AE19" i="6"/>
  <c r="AD19" i="6"/>
  <c r="AB19" i="6"/>
  <c r="Z19" i="6"/>
  <c r="Y19" i="6"/>
  <c r="X19" i="6"/>
  <c r="W19" i="6"/>
  <c r="V19" i="6"/>
  <c r="T19" i="6"/>
  <c r="U19" i="6" s="1"/>
  <c r="S19" i="6"/>
  <c r="O19" i="6"/>
  <c r="N19" i="6"/>
  <c r="M19" i="6"/>
  <c r="B19" i="6"/>
  <c r="AE18" i="6"/>
  <c r="AD18" i="6"/>
  <c r="AB18" i="6"/>
  <c r="Z18" i="6"/>
  <c r="Y18" i="6"/>
  <c r="X18" i="6"/>
  <c r="W18" i="6"/>
  <c r="V18" i="6"/>
  <c r="U18" i="6"/>
  <c r="T18" i="6"/>
  <c r="S18" i="6"/>
  <c r="O18" i="6"/>
  <c r="N18" i="6"/>
  <c r="M18" i="6"/>
  <c r="B18" i="6"/>
  <c r="AE17" i="6"/>
  <c r="AD17" i="6"/>
  <c r="AB17" i="6"/>
  <c r="Z17" i="6"/>
  <c r="Y17" i="6"/>
  <c r="X17" i="6"/>
  <c r="W17" i="6"/>
  <c r="T17" i="6"/>
  <c r="S17" i="6"/>
  <c r="O17" i="6"/>
  <c r="N17" i="6"/>
  <c r="M17" i="6"/>
  <c r="B17" i="6"/>
  <c r="AE16" i="6"/>
  <c r="AD16" i="6"/>
  <c r="AB16" i="6"/>
  <c r="Z16" i="6"/>
  <c r="Y16" i="6"/>
  <c r="X16" i="6"/>
  <c r="W16" i="6"/>
  <c r="V16" i="6"/>
  <c r="U16" i="6"/>
  <c r="T16" i="6"/>
  <c r="S16" i="6"/>
  <c r="O16" i="6"/>
  <c r="N16" i="6"/>
  <c r="M16" i="6"/>
  <c r="B16" i="6"/>
  <c r="AE15" i="6"/>
  <c r="AD15" i="6"/>
  <c r="AB15" i="6"/>
  <c r="Z15" i="6"/>
  <c r="Y15" i="6"/>
  <c r="X15" i="6"/>
  <c r="W15" i="6"/>
  <c r="V15" i="6"/>
  <c r="U15" i="6"/>
  <c r="T15" i="6"/>
  <c r="S15" i="6"/>
  <c r="O15" i="6"/>
  <c r="N15" i="6"/>
  <c r="M15" i="6"/>
  <c r="B15" i="6"/>
  <c r="AE14" i="6"/>
  <c r="AD14" i="6"/>
  <c r="AB14" i="6"/>
  <c r="Z14" i="6"/>
  <c r="Y14" i="6"/>
  <c r="X14" i="6"/>
  <c r="W14" i="6"/>
  <c r="V14" i="6"/>
  <c r="U14" i="6"/>
  <c r="T14" i="6"/>
  <c r="S14" i="6"/>
  <c r="O14" i="6"/>
  <c r="N14" i="6"/>
  <c r="M14" i="6"/>
  <c r="B14" i="6"/>
  <c r="AE13" i="6"/>
  <c r="AD13" i="6"/>
  <c r="AB13" i="6"/>
  <c r="Z13" i="6"/>
  <c r="Y13" i="6"/>
  <c r="X13" i="6"/>
  <c r="W13" i="6"/>
  <c r="U13" i="6"/>
  <c r="T13" i="6"/>
  <c r="S13" i="6"/>
  <c r="O13" i="6"/>
  <c r="N13" i="6"/>
  <c r="M13" i="6"/>
  <c r="B13" i="6"/>
  <c r="AE12" i="6"/>
  <c r="AD12" i="6"/>
  <c r="AB12" i="6"/>
  <c r="Z12" i="6"/>
  <c r="Y12" i="6"/>
  <c r="X12" i="6"/>
  <c r="W12" i="6"/>
  <c r="U12" i="6"/>
  <c r="T12" i="6"/>
  <c r="V12" i="6" s="1"/>
  <c r="S12" i="6"/>
  <c r="O12" i="6"/>
  <c r="N12" i="6"/>
  <c r="M12" i="6"/>
  <c r="B12" i="6"/>
  <c r="AE11" i="6"/>
  <c r="AD11" i="6"/>
  <c r="AB11" i="6"/>
  <c r="Z11" i="6"/>
  <c r="Y11" i="6"/>
  <c r="X11" i="6"/>
  <c r="W11" i="6"/>
  <c r="V11" i="6"/>
  <c r="U11" i="6"/>
  <c r="T11" i="6"/>
  <c r="S11" i="6"/>
  <c r="O11" i="6"/>
  <c r="N11" i="6"/>
  <c r="M11" i="6"/>
  <c r="B11" i="6"/>
  <c r="AE10" i="6"/>
  <c r="AD10" i="6"/>
  <c r="AB10" i="6"/>
  <c r="Z10" i="6"/>
  <c r="Y10" i="6"/>
  <c r="X10" i="6"/>
  <c r="W10" i="6"/>
  <c r="V10" i="6"/>
  <c r="U10" i="6"/>
  <c r="T10" i="6"/>
  <c r="S10" i="6"/>
  <c r="O10" i="6"/>
  <c r="N10" i="6"/>
  <c r="M10" i="6"/>
  <c r="B10" i="6"/>
  <c r="AE9" i="6"/>
  <c r="AD9" i="6"/>
  <c r="AB9" i="6"/>
  <c r="Z9" i="6"/>
  <c r="Y9" i="6"/>
  <c r="X9" i="6"/>
  <c r="W9" i="6"/>
  <c r="T9" i="6"/>
  <c r="S9" i="6"/>
  <c r="O9" i="6"/>
  <c r="N9" i="6"/>
  <c r="M9" i="6"/>
  <c r="B9" i="6"/>
  <c r="AE8" i="6"/>
  <c r="AD8" i="6"/>
  <c r="Z8" i="6"/>
  <c r="Y8" i="6"/>
  <c r="X8" i="6"/>
  <c r="W8" i="6"/>
  <c r="V8" i="6"/>
  <c r="U8" i="6"/>
  <c r="T8" i="6"/>
  <c r="S8" i="6"/>
  <c r="O8" i="6"/>
  <c r="N8" i="6"/>
  <c r="M8" i="6"/>
  <c r="B8" i="6"/>
  <c r="AE7" i="6"/>
  <c r="AD7" i="6"/>
  <c r="Z7" i="6"/>
  <c r="Y7" i="6"/>
  <c r="X7" i="6"/>
  <c r="W7" i="6"/>
  <c r="T7" i="6"/>
  <c r="S7" i="6"/>
  <c r="O7" i="6"/>
  <c r="N7" i="6"/>
  <c r="M7" i="6"/>
  <c r="B7" i="6"/>
  <c r="N5" i="6"/>
  <c r="G5" i="6"/>
  <c r="F4" i="6"/>
  <c r="D4" i="6"/>
  <c r="C4" i="6"/>
  <c r="B4" i="6"/>
  <c r="T2506" i="5"/>
  <c r="S2506" i="5"/>
  <c r="R2506" i="5"/>
  <c r="Q2506" i="5"/>
  <c r="M2506" i="5"/>
  <c r="L2506" i="5"/>
  <c r="C2506" i="5"/>
  <c r="N2506" i="5" s="1"/>
  <c r="B2506" i="5"/>
  <c r="T2505" i="5"/>
  <c r="S2505" i="5"/>
  <c r="R2505" i="5"/>
  <c r="Q2505" i="5"/>
  <c r="N2505" i="5"/>
  <c r="M2505" i="5"/>
  <c r="L2505" i="5"/>
  <c r="C2505" i="5"/>
  <c r="B2505" i="5"/>
  <c r="T2504" i="5"/>
  <c r="S2504" i="5"/>
  <c r="R2504" i="5"/>
  <c r="Q2504" i="5"/>
  <c r="M2504" i="5"/>
  <c r="L2504" i="5"/>
  <c r="C2504" i="5"/>
  <c r="N2504" i="5" s="1"/>
  <c r="B2504" i="5"/>
  <c r="T2503" i="5"/>
  <c r="S2503" i="5"/>
  <c r="R2503" i="5"/>
  <c r="Q2503" i="5"/>
  <c r="N2503" i="5"/>
  <c r="M2503" i="5"/>
  <c r="L2503" i="5"/>
  <c r="C2503" i="5"/>
  <c r="B2503" i="5"/>
  <c r="T2502" i="5"/>
  <c r="S2502" i="5"/>
  <c r="R2502" i="5"/>
  <c r="Q2502" i="5"/>
  <c r="M2502" i="5"/>
  <c r="L2502" i="5"/>
  <c r="C2502" i="5"/>
  <c r="N2502" i="5" s="1"/>
  <c r="B2502" i="5"/>
  <c r="T2501" i="5"/>
  <c r="S2501" i="5"/>
  <c r="R2501" i="5"/>
  <c r="Q2501" i="5"/>
  <c r="N2501" i="5"/>
  <c r="M2501" i="5"/>
  <c r="L2501" i="5"/>
  <c r="C2501" i="5"/>
  <c r="B2501" i="5"/>
  <c r="T2500" i="5"/>
  <c r="S2500" i="5"/>
  <c r="R2500" i="5"/>
  <c r="Q2500" i="5"/>
  <c r="N2500" i="5"/>
  <c r="M2500" i="5"/>
  <c r="L2500" i="5"/>
  <c r="C2500" i="5"/>
  <c r="B2500" i="5"/>
  <c r="T2499" i="5"/>
  <c r="S2499" i="5"/>
  <c r="R2499" i="5"/>
  <c r="Q2499" i="5"/>
  <c r="N2499" i="5"/>
  <c r="M2499" i="5"/>
  <c r="L2499" i="5"/>
  <c r="C2499" i="5"/>
  <c r="B2499" i="5"/>
  <c r="T2498" i="5"/>
  <c r="S2498" i="5"/>
  <c r="R2498" i="5"/>
  <c r="Q2498" i="5"/>
  <c r="N2498" i="5"/>
  <c r="M2498" i="5"/>
  <c r="L2498" i="5"/>
  <c r="C2498" i="5"/>
  <c r="B2498" i="5"/>
  <c r="T2497" i="5"/>
  <c r="S2497" i="5"/>
  <c r="R2497" i="5"/>
  <c r="Q2497" i="5"/>
  <c r="N2497" i="5"/>
  <c r="M2497" i="5"/>
  <c r="L2497" i="5"/>
  <c r="C2497" i="5"/>
  <c r="B2497" i="5"/>
  <c r="T2496" i="5"/>
  <c r="S2496" i="5"/>
  <c r="R2496" i="5"/>
  <c r="Q2496" i="5"/>
  <c r="M2496" i="5"/>
  <c r="L2496" i="5"/>
  <c r="C2496" i="5"/>
  <c r="N2496" i="5" s="1"/>
  <c r="B2496" i="5"/>
  <c r="T2495" i="5"/>
  <c r="S2495" i="5"/>
  <c r="R2495" i="5"/>
  <c r="Q2495" i="5"/>
  <c r="M2495" i="5"/>
  <c r="L2495" i="5"/>
  <c r="C2495" i="5"/>
  <c r="N2495" i="5" s="1"/>
  <c r="B2495" i="5"/>
  <c r="T2494" i="5"/>
  <c r="S2494" i="5"/>
  <c r="R2494" i="5"/>
  <c r="Q2494" i="5"/>
  <c r="M2494" i="5"/>
  <c r="L2494" i="5"/>
  <c r="C2494" i="5"/>
  <c r="N2494" i="5" s="1"/>
  <c r="B2494" i="5"/>
  <c r="T2493" i="5"/>
  <c r="S2493" i="5"/>
  <c r="R2493" i="5"/>
  <c r="Q2493" i="5"/>
  <c r="N2493" i="5"/>
  <c r="M2493" i="5"/>
  <c r="L2493" i="5"/>
  <c r="C2493" i="5"/>
  <c r="B2493" i="5"/>
  <c r="T2492" i="5"/>
  <c r="S2492" i="5"/>
  <c r="R2492" i="5"/>
  <c r="Q2492" i="5"/>
  <c r="N2492" i="5"/>
  <c r="M2492" i="5"/>
  <c r="L2492" i="5"/>
  <c r="C2492" i="5"/>
  <c r="B2492" i="5"/>
  <c r="T2491" i="5"/>
  <c r="S2491" i="5"/>
  <c r="R2491" i="5"/>
  <c r="Q2491" i="5"/>
  <c r="N2491" i="5"/>
  <c r="M2491" i="5"/>
  <c r="L2491" i="5"/>
  <c r="C2491" i="5"/>
  <c r="B2491" i="5"/>
  <c r="T2490" i="5"/>
  <c r="S2490" i="5"/>
  <c r="R2490" i="5"/>
  <c r="Q2490" i="5"/>
  <c r="N2490" i="5"/>
  <c r="M2490" i="5"/>
  <c r="L2490" i="5"/>
  <c r="C2490" i="5"/>
  <c r="B2490" i="5"/>
  <c r="T2489" i="5"/>
  <c r="S2489" i="5"/>
  <c r="R2489" i="5"/>
  <c r="Q2489" i="5"/>
  <c r="N2489" i="5"/>
  <c r="M2489" i="5"/>
  <c r="L2489" i="5"/>
  <c r="C2489" i="5"/>
  <c r="B2489" i="5"/>
  <c r="T2488" i="5"/>
  <c r="S2488" i="5"/>
  <c r="R2488" i="5"/>
  <c r="Q2488" i="5"/>
  <c r="N2488" i="5"/>
  <c r="M2488" i="5"/>
  <c r="L2488" i="5"/>
  <c r="C2488" i="5"/>
  <c r="B2488" i="5"/>
  <c r="T2487" i="5"/>
  <c r="S2487" i="5"/>
  <c r="R2487" i="5"/>
  <c r="Q2487" i="5"/>
  <c r="N2487" i="5"/>
  <c r="M2487" i="5"/>
  <c r="L2487" i="5"/>
  <c r="C2487" i="5"/>
  <c r="B2487" i="5"/>
  <c r="T2486" i="5"/>
  <c r="S2486" i="5"/>
  <c r="R2486" i="5"/>
  <c r="Q2486" i="5"/>
  <c r="M2486" i="5"/>
  <c r="L2486" i="5"/>
  <c r="C2486" i="5"/>
  <c r="N2486" i="5" s="1"/>
  <c r="B2486" i="5"/>
  <c r="T2485" i="5"/>
  <c r="S2485" i="5"/>
  <c r="R2485" i="5"/>
  <c r="Q2485" i="5"/>
  <c r="M2485" i="5"/>
  <c r="L2485" i="5"/>
  <c r="C2485" i="5"/>
  <c r="N2485" i="5" s="1"/>
  <c r="B2485" i="5"/>
  <c r="T2484" i="5"/>
  <c r="S2484" i="5"/>
  <c r="R2484" i="5"/>
  <c r="Q2484" i="5"/>
  <c r="M2484" i="5"/>
  <c r="L2484" i="5"/>
  <c r="C2484" i="5"/>
  <c r="N2484" i="5" s="1"/>
  <c r="B2484" i="5"/>
  <c r="T2483" i="5"/>
  <c r="S2483" i="5"/>
  <c r="R2483" i="5"/>
  <c r="Q2483" i="5"/>
  <c r="N2483" i="5"/>
  <c r="M2483" i="5"/>
  <c r="L2483" i="5"/>
  <c r="C2483" i="5"/>
  <c r="B2483" i="5"/>
  <c r="T2482" i="5"/>
  <c r="S2482" i="5"/>
  <c r="R2482" i="5"/>
  <c r="Q2482" i="5"/>
  <c r="N2482" i="5"/>
  <c r="M2482" i="5"/>
  <c r="L2482" i="5"/>
  <c r="C2482" i="5"/>
  <c r="B2482" i="5"/>
  <c r="T2481" i="5"/>
  <c r="S2481" i="5"/>
  <c r="R2481" i="5"/>
  <c r="Q2481" i="5"/>
  <c r="N2481" i="5"/>
  <c r="M2481" i="5"/>
  <c r="L2481" i="5"/>
  <c r="C2481" i="5"/>
  <c r="B2481" i="5"/>
  <c r="T2480" i="5"/>
  <c r="S2480" i="5"/>
  <c r="R2480" i="5"/>
  <c r="Q2480" i="5"/>
  <c r="N2480" i="5"/>
  <c r="M2480" i="5"/>
  <c r="L2480" i="5"/>
  <c r="C2480" i="5"/>
  <c r="B2480" i="5"/>
  <c r="T2479" i="5"/>
  <c r="S2479" i="5"/>
  <c r="R2479" i="5"/>
  <c r="Q2479" i="5"/>
  <c r="M2479" i="5"/>
  <c r="L2479" i="5"/>
  <c r="C2479" i="5"/>
  <c r="N2479" i="5" s="1"/>
  <c r="B2479" i="5"/>
  <c r="T2478" i="5"/>
  <c r="S2478" i="5"/>
  <c r="R2478" i="5"/>
  <c r="Q2478" i="5"/>
  <c r="N2478" i="5"/>
  <c r="M2478" i="5"/>
  <c r="L2478" i="5"/>
  <c r="C2478" i="5"/>
  <c r="B2478" i="5"/>
  <c r="T2477" i="5"/>
  <c r="S2477" i="5"/>
  <c r="R2477" i="5"/>
  <c r="Q2477" i="5"/>
  <c r="N2477" i="5"/>
  <c r="M2477" i="5"/>
  <c r="L2477" i="5"/>
  <c r="C2477" i="5"/>
  <c r="B2477" i="5"/>
  <c r="T2476" i="5"/>
  <c r="S2476" i="5"/>
  <c r="R2476" i="5"/>
  <c r="Q2476" i="5"/>
  <c r="M2476" i="5"/>
  <c r="L2476" i="5"/>
  <c r="C2476" i="5"/>
  <c r="N2476" i="5" s="1"/>
  <c r="B2476" i="5"/>
  <c r="T2475" i="5"/>
  <c r="S2475" i="5"/>
  <c r="R2475" i="5"/>
  <c r="Q2475" i="5"/>
  <c r="M2475" i="5"/>
  <c r="L2475" i="5"/>
  <c r="C2475" i="5"/>
  <c r="N2475" i="5" s="1"/>
  <c r="B2475" i="5"/>
  <c r="T2474" i="5"/>
  <c r="S2474" i="5"/>
  <c r="R2474" i="5"/>
  <c r="Q2474" i="5"/>
  <c r="N2474" i="5"/>
  <c r="M2474" i="5"/>
  <c r="L2474" i="5"/>
  <c r="C2474" i="5"/>
  <c r="B2474" i="5"/>
  <c r="T2473" i="5"/>
  <c r="S2473" i="5"/>
  <c r="R2473" i="5"/>
  <c r="Q2473" i="5"/>
  <c r="N2473" i="5"/>
  <c r="M2473" i="5"/>
  <c r="L2473" i="5"/>
  <c r="C2473" i="5"/>
  <c r="B2473" i="5"/>
  <c r="T2472" i="5"/>
  <c r="S2472" i="5"/>
  <c r="R2472" i="5"/>
  <c r="Q2472" i="5"/>
  <c r="N2472" i="5"/>
  <c r="M2472" i="5"/>
  <c r="L2472" i="5"/>
  <c r="C2472" i="5"/>
  <c r="B2472" i="5"/>
  <c r="T2471" i="5"/>
  <c r="S2471" i="5"/>
  <c r="R2471" i="5"/>
  <c r="Q2471" i="5"/>
  <c r="N2471" i="5"/>
  <c r="M2471" i="5"/>
  <c r="L2471" i="5"/>
  <c r="C2471" i="5"/>
  <c r="B2471" i="5"/>
  <c r="T2470" i="5"/>
  <c r="S2470" i="5"/>
  <c r="R2470" i="5"/>
  <c r="Q2470" i="5"/>
  <c r="M2470" i="5"/>
  <c r="L2470" i="5"/>
  <c r="C2470" i="5"/>
  <c r="N2470" i="5" s="1"/>
  <c r="B2470" i="5"/>
  <c r="T2469" i="5"/>
  <c r="S2469" i="5"/>
  <c r="R2469" i="5"/>
  <c r="Q2469" i="5"/>
  <c r="N2469" i="5"/>
  <c r="M2469" i="5"/>
  <c r="L2469" i="5"/>
  <c r="C2469" i="5"/>
  <c r="B2469" i="5"/>
  <c r="T2468" i="5"/>
  <c r="S2468" i="5"/>
  <c r="R2468" i="5"/>
  <c r="Q2468" i="5"/>
  <c r="N2468" i="5"/>
  <c r="M2468" i="5"/>
  <c r="L2468" i="5"/>
  <c r="C2468" i="5"/>
  <c r="B2468" i="5"/>
  <c r="T2467" i="5"/>
  <c r="S2467" i="5"/>
  <c r="R2467" i="5"/>
  <c r="Q2467" i="5"/>
  <c r="M2467" i="5"/>
  <c r="L2467" i="5"/>
  <c r="C2467" i="5"/>
  <c r="N2467" i="5" s="1"/>
  <c r="B2467" i="5"/>
  <c r="T2466" i="5"/>
  <c r="S2466" i="5"/>
  <c r="R2466" i="5"/>
  <c r="Q2466" i="5"/>
  <c r="M2466" i="5"/>
  <c r="L2466" i="5"/>
  <c r="C2466" i="5"/>
  <c r="N2466" i="5" s="1"/>
  <c r="B2466" i="5"/>
  <c r="T2465" i="5"/>
  <c r="S2465" i="5"/>
  <c r="R2465" i="5"/>
  <c r="Q2465" i="5"/>
  <c r="M2465" i="5"/>
  <c r="L2465" i="5"/>
  <c r="C2465" i="5"/>
  <c r="N2465" i="5" s="1"/>
  <c r="B2465" i="5"/>
  <c r="T2464" i="5"/>
  <c r="S2464" i="5"/>
  <c r="R2464" i="5"/>
  <c r="Q2464" i="5"/>
  <c r="N2464" i="5"/>
  <c r="M2464" i="5"/>
  <c r="L2464" i="5"/>
  <c r="C2464" i="5"/>
  <c r="B2464" i="5"/>
  <c r="T2463" i="5"/>
  <c r="S2463" i="5"/>
  <c r="R2463" i="5"/>
  <c r="Q2463" i="5"/>
  <c r="N2463" i="5"/>
  <c r="M2463" i="5"/>
  <c r="L2463" i="5"/>
  <c r="C2463" i="5"/>
  <c r="B2463" i="5"/>
  <c r="T2462" i="5"/>
  <c r="S2462" i="5"/>
  <c r="R2462" i="5"/>
  <c r="Q2462" i="5"/>
  <c r="N2462" i="5"/>
  <c r="M2462" i="5"/>
  <c r="L2462" i="5"/>
  <c r="C2462" i="5"/>
  <c r="B2462" i="5"/>
  <c r="T2461" i="5"/>
  <c r="S2461" i="5"/>
  <c r="R2461" i="5"/>
  <c r="Q2461" i="5"/>
  <c r="N2461" i="5"/>
  <c r="M2461" i="5"/>
  <c r="L2461" i="5"/>
  <c r="C2461" i="5"/>
  <c r="B2461" i="5"/>
  <c r="T2460" i="5"/>
  <c r="S2460" i="5"/>
  <c r="R2460" i="5"/>
  <c r="Q2460" i="5"/>
  <c r="N2460" i="5"/>
  <c r="M2460" i="5"/>
  <c r="L2460" i="5"/>
  <c r="C2460" i="5"/>
  <c r="B2460" i="5"/>
  <c r="T2459" i="5"/>
  <c r="S2459" i="5"/>
  <c r="R2459" i="5"/>
  <c r="Q2459" i="5"/>
  <c r="N2459" i="5"/>
  <c r="M2459" i="5"/>
  <c r="L2459" i="5"/>
  <c r="C2459" i="5"/>
  <c r="B2459" i="5"/>
  <c r="T2458" i="5"/>
  <c r="S2458" i="5"/>
  <c r="R2458" i="5"/>
  <c r="Q2458" i="5"/>
  <c r="N2458" i="5"/>
  <c r="M2458" i="5"/>
  <c r="L2458" i="5"/>
  <c r="C2458" i="5"/>
  <c r="B2458" i="5"/>
  <c r="T2457" i="5"/>
  <c r="S2457" i="5"/>
  <c r="R2457" i="5"/>
  <c r="Q2457" i="5"/>
  <c r="M2457" i="5"/>
  <c r="L2457" i="5"/>
  <c r="C2457" i="5"/>
  <c r="N2457" i="5" s="1"/>
  <c r="B2457" i="5"/>
  <c r="T2456" i="5"/>
  <c r="S2456" i="5"/>
  <c r="R2456" i="5"/>
  <c r="Q2456" i="5"/>
  <c r="M2456" i="5"/>
  <c r="L2456" i="5"/>
  <c r="C2456" i="5"/>
  <c r="N2456" i="5" s="1"/>
  <c r="B2456" i="5"/>
  <c r="T2455" i="5"/>
  <c r="S2455" i="5"/>
  <c r="R2455" i="5"/>
  <c r="Q2455" i="5"/>
  <c r="M2455" i="5"/>
  <c r="L2455" i="5"/>
  <c r="C2455" i="5"/>
  <c r="N2455" i="5" s="1"/>
  <c r="B2455" i="5"/>
  <c r="T2454" i="5"/>
  <c r="S2454" i="5"/>
  <c r="R2454" i="5"/>
  <c r="Q2454" i="5"/>
  <c r="N2454" i="5"/>
  <c r="M2454" i="5"/>
  <c r="L2454" i="5"/>
  <c r="C2454" i="5"/>
  <c r="B2454" i="5"/>
  <c r="T2453" i="5"/>
  <c r="S2453" i="5"/>
  <c r="R2453" i="5"/>
  <c r="Q2453" i="5"/>
  <c r="N2453" i="5"/>
  <c r="M2453" i="5"/>
  <c r="L2453" i="5"/>
  <c r="C2453" i="5"/>
  <c r="B2453" i="5"/>
  <c r="T2452" i="5"/>
  <c r="S2452" i="5"/>
  <c r="R2452" i="5"/>
  <c r="Q2452" i="5"/>
  <c r="N2452" i="5"/>
  <c r="M2452" i="5"/>
  <c r="L2452" i="5"/>
  <c r="C2452" i="5"/>
  <c r="B2452" i="5"/>
  <c r="T2451" i="5"/>
  <c r="S2451" i="5"/>
  <c r="R2451" i="5"/>
  <c r="Q2451" i="5"/>
  <c r="N2451" i="5"/>
  <c r="M2451" i="5"/>
  <c r="L2451" i="5"/>
  <c r="C2451" i="5"/>
  <c r="B2451" i="5"/>
  <c r="T2450" i="5"/>
  <c r="S2450" i="5"/>
  <c r="R2450" i="5"/>
  <c r="Q2450" i="5"/>
  <c r="N2450" i="5"/>
  <c r="M2450" i="5"/>
  <c r="L2450" i="5"/>
  <c r="C2450" i="5"/>
  <c r="B2450" i="5"/>
  <c r="T2449" i="5"/>
  <c r="S2449" i="5"/>
  <c r="R2449" i="5"/>
  <c r="Q2449" i="5"/>
  <c r="N2449" i="5"/>
  <c r="M2449" i="5"/>
  <c r="L2449" i="5"/>
  <c r="C2449" i="5"/>
  <c r="B2449" i="5"/>
  <c r="T2448" i="5"/>
  <c r="S2448" i="5"/>
  <c r="R2448" i="5"/>
  <c r="Q2448" i="5"/>
  <c r="N2448" i="5"/>
  <c r="M2448" i="5"/>
  <c r="L2448" i="5"/>
  <c r="C2448" i="5"/>
  <c r="B2448" i="5"/>
  <c r="T2447" i="5"/>
  <c r="S2447" i="5"/>
  <c r="R2447" i="5"/>
  <c r="Q2447" i="5"/>
  <c r="M2447" i="5"/>
  <c r="L2447" i="5"/>
  <c r="C2447" i="5"/>
  <c r="N2447" i="5" s="1"/>
  <c r="B2447" i="5"/>
  <c r="T2446" i="5"/>
  <c r="S2446" i="5"/>
  <c r="R2446" i="5"/>
  <c r="Q2446" i="5"/>
  <c r="M2446" i="5"/>
  <c r="L2446" i="5"/>
  <c r="C2446" i="5"/>
  <c r="N2446" i="5" s="1"/>
  <c r="B2446" i="5"/>
  <c r="T2445" i="5"/>
  <c r="S2445" i="5"/>
  <c r="R2445" i="5"/>
  <c r="Q2445" i="5"/>
  <c r="M2445" i="5"/>
  <c r="L2445" i="5"/>
  <c r="C2445" i="5"/>
  <c r="N2445" i="5" s="1"/>
  <c r="B2445" i="5"/>
  <c r="T2444" i="5"/>
  <c r="S2444" i="5"/>
  <c r="R2444" i="5"/>
  <c r="Q2444" i="5"/>
  <c r="N2444" i="5"/>
  <c r="M2444" i="5"/>
  <c r="L2444" i="5"/>
  <c r="C2444" i="5"/>
  <c r="B2444" i="5"/>
  <c r="T2443" i="5"/>
  <c r="S2443" i="5"/>
  <c r="R2443" i="5"/>
  <c r="Q2443" i="5"/>
  <c r="N2443" i="5"/>
  <c r="M2443" i="5"/>
  <c r="L2443" i="5"/>
  <c r="C2443" i="5"/>
  <c r="B2443" i="5"/>
  <c r="T2442" i="5"/>
  <c r="S2442" i="5"/>
  <c r="R2442" i="5"/>
  <c r="Q2442" i="5"/>
  <c r="N2442" i="5"/>
  <c r="M2442" i="5"/>
  <c r="L2442" i="5"/>
  <c r="C2442" i="5"/>
  <c r="B2442" i="5"/>
  <c r="T2441" i="5"/>
  <c r="S2441" i="5"/>
  <c r="R2441" i="5"/>
  <c r="Q2441" i="5"/>
  <c r="N2441" i="5"/>
  <c r="M2441" i="5"/>
  <c r="L2441" i="5"/>
  <c r="C2441" i="5"/>
  <c r="B2441" i="5"/>
  <c r="T2440" i="5"/>
  <c r="S2440" i="5"/>
  <c r="R2440" i="5"/>
  <c r="Q2440" i="5"/>
  <c r="M2440" i="5"/>
  <c r="L2440" i="5"/>
  <c r="C2440" i="5"/>
  <c r="N2440" i="5" s="1"/>
  <c r="B2440" i="5"/>
  <c r="T2439" i="5"/>
  <c r="S2439" i="5"/>
  <c r="R2439" i="5"/>
  <c r="Q2439" i="5"/>
  <c r="N2439" i="5"/>
  <c r="M2439" i="5"/>
  <c r="L2439" i="5"/>
  <c r="C2439" i="5"/>
  <c r="B2439" i="5"/>
  <c r="T2438" i="5"/>
  <c r="S2438" i="5"/>
  <c r="R2438" i="5"/>
  <c r="Q2438" i="5"/>
  <c r="N2438" i="5"/>
  <c r="M2438" i="5"/>
  <c r="L2438" i="5"/>
  <c r="C2438" i="5"/>
  <c r="B2438" i="5"/>
  <c r="T2437" i="5"/>
  <c r="S2437" i="5"/>
  <c r="R2437" i="5"/>
  <c r="Q2437" i="5"/>
  <c r="M2437" i="5"/>
  <c r="L2437" i="5"/>
  <c r="C2437" i="5"/>
  <c r="N2437" i="5" s="1"/>
  <c r="B2437" i="5"/>
  <c r="T2436" i="5"/>
  <c r="S2436" i="5"/>
  <c r="R2436" i="5"/>
  <c r="Q2436" i="5"/>
  <c r="M2436" i="5"/>
  <c r="L2436" i="5"/>
  <c r="C2436" i="5"/>
  <c r="N2436" i="5" s="1"/>
  <c r="B2436" i="5"/>
  <c r="T2435" i="5"/>
  <c r="S2435" i="5"/>
  <c r="R2435" i="5"/>
  <c r="Q2435" i="5"/>
  <c r="M2435" i="5"/>
  <c r="L2435" i="5"/>
  <c r="C2435" i="5"/>
  <c r="N2435" i="5" s="1"/>
  <c r="B2435" i="5"/>
  <c r="T2434" i="5"/>
  <c r="S2434" i="5"/>
  <c r="R2434" i="5"/>
  <c r="Q2434" i="5"/>
  <c r="N2434" i="5"/>
  <c r="M2434" i="5"/>
  <c r="L2434" i="5"/>
  <c r="C2434" i="5"/>
  <c r="B2434" i="5"/>
  <c r="T2433" i="5"/>
  <c r="S2433" i="5"/>
  <c r="R2433" i="5"/>
  <c r="Q2433" i="5"/>
  <c r="N2433" i="5"/>
  <c r="M2433" i="5"/>
  <c r="L2433" i="5"/>
  <c r="C2433" i="5"/>
  <c r="B2433" i="5"/>
  <c r="T2432" i="5"/>
  <c r="S2432" i="5"/>
  <c r="R2432" i="5"/>
  <c r="Q2432" i="5"/>
  <c r="N2432" i="5"/>
  <c r="M2432" i="5"/>
  <c r="L2432" i="5"/>
  <c r="C2432" i="5"/>
  <c r="B2432" i="5"/>
  <c r="T2431" i="5"/>
  <c r="S2431" i="5"/>
  <c r="R2431" i="5"/>
  <c r="Q2431" i="5"/>
  <c r="N2431" i="5"/>
  <c r="M2431" i="5"/>
  <c r="L2431" i="5"/>
  <c r="C2431" i="5"/>
  <c r="B2431" i="5"/>
  <c r="T2430" i="5"/>
  <c r="S2430" i="5"/>
  <c r="R2430" i="5"/>
  <c r="Q2430" i="5"/>
  <c r="M2430" i="5"/>
  <c r="L2430" i="5"/>
  <c r="C2430" i="5"/>
  <c r="N2430" i="5" s="1"/>
  <c r="B2430" i="5"/>
  <c r="T2429" i="5"/>
  <c r="S2429" i="5"/>
  <c r="R2429" i="5"/>
  <c r="Q2429" i="5"/>
  <c r="N2429" i="5"/>
  <c r="M2429" i="5"/>
  <c r="L2429" i="5"/>
  <c r="C2429" i="5"/>
  <c r="B2429" i="5"/>
  <c r="T2428" i="5"/>
  <c r="S2428" i="5"/>
  <c r="R2428" i="5"/>
  <c r="Q2428" i="5"/>
  <c r="N2428" i="5"/>
  <c r="M2428" i="5"/>
  <c r="L2428" i="5"/>
  <c r="C2428" i="5"/>
  <c r="B2428" i="5"/>
  <c r="T2427" i="5"/>
  <c r="S2427" i="5"/>
  <c r="R2427" i="5"/>
  <c r="Q2427" i="5"/>
  <c r="M2427" i="5"/>
  <c r="L2427" i="5"/>
  <c r="C2427" i="5"/>
  <c r="N2427" i="5" s="1"/>
  <c r="B2427" i="5"/>
  <c r="T2426" i="5"/>
  <c r="S2426" i="5"/>
  <c r="R2426" i="5"/>
  <c r="Q2426" i="5"/>
  <c r="M2426" i="5"/>
  <c r="L2426" i="5"/>
  <c r="C2426" i="5"/>
  <c r="N2426" i="5" s="1"/>
  <c r="B2426" i="5"/>
  <c r="T2425" i="5"/>
  <c r="S2425" i="5"/>
  <c r="R2425" i="5"/>
  <c r="Q2425" i="5"/>
  <c r="M2425" i="5"/>
  <c r="L2425" i="5"/>
  <c r="C2425" i="5"/>
  <c r="N2425" i="5" s="1"/>
  <c r="B2425" i="5"/>
  <c r="T2424" i="5"/>
  <c r="S2424" i="5"/>
  <c r="R2424" i="5"/>
  <c r="Q2424" i="5"/>
  <c r="N2424" i="5"/>
  <c r="M2424" i="5"/>
  <c r="L2424" i="5"/>
  <c r="C2424" i="5"/>
  <c r="B2424" i="5"/>
  <c r="T2423" i="5"/>
  <c r="S2423" i="5"/>
  <c r="R2423" i="5"/>
  <c r="Q2423" i="5"/>
  <c r="N2423" i="5"/>
  <c r="M2423" i="5"/>
  <c r="L2423" i="5"/>
  <c r="C2423" i="5"/>
  <c r="B2423" i="5"/>
  <c r="T2422" i="5"/>
  <c r="S2422" i="5"/>
  <c r="R2422" i="5"/>
  <c r="Q2422" i="5"/>
  <c r="N2422" i="5"/>
  <c r="M2422" i="5"/>
  <c r="L2422" i="5"/>
  <c r="C2422" i="5"/>
  <c r="B2422" i="5"/>
  <c r="T2421" i="5"/>
  <c r="S2421" i="5"/>
  <c r="R2421" i="5"/>
  <c r="Q2421" i="5"/>
  <c r="N2421" i="5"/>
  <c r="M2421" i="5"/>
  <c r="L2421" i="5"/>
  <c r="C2421" i="5"/>
  <c r="B2421" i="5"/>
  <c r="T2420" i="5"/>
  <c r="S2420" i="5"/>
  <c r="R2420" i="5"/>
  <c r="Q2420" i="5"/>
  <c r="N2420" i="5"/>
  <c r="M2420" i="5"/>
  <c r="L2420" i="5"/>
  <c r="C2420" i="5"/>
  <c r="B2420" i="5"/>
  <c r="T2419" i="5"/>
  <c r="S2419" i="5"/>
  <c r="R2419" i="5"/>
  <c r="Q2419" i="5"/>
  <c r="N2419" i="5"/>
  <c r="M2419" i="5"/>
  <c r="L2419" i="5"/>
  <c r="C2419" i="5"/>
  <c r="B2419" i="5"/>
  <c r="T2418" i="5"/>
  <c r="S2418" i="5"/>
  <c r="R2418" i="5"/>
  <c r="Q2418" i="5"/>
  <c r="N2418" i="5"/>
  <c r="M2418" i="5"/>
  <c r="L2418" i="5"/>
  <c r="C2418" i="5"/>
  <c r="B2418" i="5"/>
  <c r="T2417" i="5"/>
  <c r="S2417" i="5"/>
  <c r="R2417" i="5"/>
  <c r="Q2417" i="5"/>
  <c r="M2417" i="5"/>
  <c r="L2417" i="5"/>
  <c r="C2417" i="5"/>
  <c r="N2417" i="5" s="1"/>
  <c r="B2417" i="5"/>
  <c r="T2416" i="5"/>
  <c r="S2416" i="5"/>
  <c r="R2416" i="5"/>
  <c r="Q2416" i="5"/>
  <c r="M2416" i="5"/>
  <c r="L2416" i="5"/>
  <c r="C2416" i="5"/>
  <c r="N2416" i="5" s="1"/>
  <c r="B2416" i="5"/>
  <c r="T2415" i="5"/>
  <c r="S2415" i="5"/>
  <c r="R2415" i="5"/>
  <c r="Q2415" i="5"/>
  <c r="M2415" i="5"/>
  <c r="L2415" i="5"/>
  <c r="C2415" i="5"/>
  <c r="N2415" i="5" s="1"/>
  <c r="B2415" i="5"/>
  <c r="T2414" i="5"/>
  <c r="S2414" i="5"/>
  <c r="R2414" i="5"/>
  <c r="Q2414" i="5"/>
  <c r="N2414" i="5"/>
  <c r="M2414" i="5"/>
  <c r="L2414" i="5"/>
  <c r="C2414" i="5"/>
  <c r="B2414" i="5"/>
  <c r="T2413" i="5"/>
  <c r="S2413" i="5"/>
  <c r="R2413" i="5"/>
  <c r="Q2413" i="5"/>
  <c r="N2413" i="5"/>
  <c r="M2413" i="5"/>
  <c r="L2413" i="5"/>
  <c r="C2413" i="5"/>
  <c r="B2413" i="5"/>
  <c r="T2412" i="5"/>
  <c r="S2412" i="5"/>
  <c r="R2412" i="5"/>
  <c r="Q2412" i="5"/>
  <c r="N2412" i="5"/>
  <c r="M2412" i="5"/>
  <c r="L2412" i="5"/>
  <c r="C2412" i="5"/>
  <c r="B2412" i="5"/>
  <c r="T2411" i="5"/>
  <c r="S2411" i="5"/>
  <c r="R2411" i="5"/>
  <c r="Q2411" i="5"/>
  <c r="N2411" i="5"/>
  <c r="M2411" i="5"/>
  <c r="L2411" i="5"/>
  <c r="C2411" i="5"/>
  <c r="B2411" i="5"/>
  <c r="T2410" i="5"/>
  <c r="S2410" i="5"/>
  <c r="R2410" i="5"/>
  <c r="Q2410" i="5"/>
  <c r="M2410" i="5"/>
  <c r="L2410" i="5"/>
  <c r="C2410" i="5"/>
  <c r="N2410" i="5" s="1"/>
  <c r="B2410" i="5"/>
  <c r="T2409" i="5"/>
  <c r="S2409" i="5"/>
  <c r="R2409" i="5"/>
  <c r="Q2409" i="5"/>
  <c r="N2409" i="5"/>
  <c r="M2409" i="5"/>
  <c r="L2409" i="5"/>
  <c r="C2409" i="5"/>
  <c r="B2409" i="5"/>
  <c r="T2408" i="5"/>
  <c r="S2408" i="5"/>
  <c r="R2408" i="5"/>
  <c r="Q2408" i="5"/>
  <c r="N2408" i="5"/>
  <c r="M2408" i="5"/>
  <c r="L2408" i="5"/>
  <c r="C2408" i="5"/>
  <c r="B2408" i="5"/>
  <c r="T2407" i="5"/>
  <c r="S2407" i="5"/>
  <c r="R2407" i="5"/>
  <c r="Q2407" i="5"/>
  <c r="M2407" i="5"/>
  <c r="L2407" i="5"/>
  <c r="C2407" i="5"/>
  <c r="N2407" i="5" s="1"/>
  <c r="B2407" i="5"/>
  <c r="T2406" i="5"/>
  <c r="S2406" i="5"/>
  <c r="R2406" i="5"/>
  <c r="Q2406" i="5"/>
  <c r="M2406" i="5"/>
  <c r="L2406" i="5"/>
  <c r="C2406" i="5"/>
  <c r="N2406" i="5" s="1"/>
  <c r="B2406" i="5"/>
  <c r="T2405" i="5"/>
  <c r="S2405" i="5"/>
  <c r="R2405" i="5"/>
  <c r="Q2405" i="5"/>
  <c r="M2405" i="5"/>
  <c r="L2405" i="5"/>
  <c r="C2405" i="5"/>
  <c r="N2405" i="5" s="1"/>
  <c r="B2405" i="5"/>
  <c r="T2404" i="5"/>
  <c r="S2404" i="5"/>
  <c r="R2404" i="5"/>
  <c r="Q2404" i="5"/>
  <c r="N2404" i="5"/>
  <c r="M2404" i="5"/>
  <c r="L2404" i="5"/>
  <c r="C2404" i="5"/>
  <c r="B2404" i="5"/>
  <c r="T2403" i="5"/>
  <c r="S2403" i="5"/>
  <c r="R2403" i="5"/>
  <c r="Q2403" i="5"/>
  <c r="N2403" i="5"/>
  <c r="M2403" i="5"/>
  <c r="L2403" i="5"/>
  <c r="C2403" i="5"/>
  <c r="B2403" i="5"/>
  <c r="T2402" i="5"/>
  <c r="S2402" i="5"/>
  <c r="R2402" i="5"/>
  <c r="Q2402" i="5"/>
  <c r="N2402" i="5"/>
  <c r="M2402" i="5"/>
  <c r="L2402" i="5"/>
  <c r="C2402" i="5"/>
  <c r="B2402" i="5"/>
  <c r="T2401" i="5"/>
  <c r="S2401" i="5"/>
  <c r="R2401" i="5"/>
  <c r="Q2401" i="5"/>
  <c r="N2401" i="5"/>
  <c r="M2401" i="5"/>
  <c r="L2401" i="5"/>
  <c r="C2401" i="5"/>
  <c r="B2401" i="5"/>
  <c r="T2400" i="5"/>
  <c r="S2400" i="5"/>
  <c r="R2400" i="5"/>
  <c r="Q2400" i="5"/>
  <c r="M2400" i="5"/>
  <c r="L2400" i="5"/>
  <c r="C2400" i="5"/>
  <c r="N2400" i="5" s="1"/>
  <c r="B2400" i="5"/>
  <c r="T2399" i="5"/>
  <c r="S2399" i="5"/>
  <c r="R2399" i="5"/>
  <c r="Q2399" i="5"/>
  <c r="N2399" i="5"/>
  <c r="M2399" i="5"/>
  <c r="L2399" i="5"/>
  <c r="C2399" i="5"/>
  <c r="B2399" i="5"/>
  <c r="T2398" i="5"/>
  <c r="S2398" i="5"/>
  <c r="R2398" i="5"/>
  <c r="Q2398" i="5"/>
  <c r="N2398" i="5"/>
  <c r="M2398" i="5"/>
  <c r="L2398" i="5"/>
  <c r="C2398" i="5"/>
  <c r="B2398" i="5"/>
  <c r="T2397" i="5"/>
  <c r="S2397" i="5"/>
  <c r="R2397" i="5"/>
  <c r="Q2397" i="5"/>
  <c r="M2397" i="5"/>
  <c r="L2397" i="5"/>
  <c r="C2397" i="5"/>
  <c r="N2397" i="5" s="1"/>
  <c r="B2397" i="5"/>
  <c r="T2396" i="5"/>
  <c r="S2396" i="5"/>
  <c r="R2396" i="5"/>
  <c r="Q2396" i="5"/>
  <c r="M2396" i="5"/>
  <c r="L2396" i="5"/>
  <c r="C2396" i="5"/>
  <c r="N2396" i="5" s="1"/>
  <c r="B2396" i="5"/>
  <c r="T2395" i="5"/>
  <c r="S2395" i="5"/>
  <c r="R2395" i="5"/>
  <c r="Q2395" i="5"/>
  <c r="M2395" i="5"/>
  <c r="L2395" i="5"/>
  <c r="C2395" i="5"/>
  <c r="N2395" i="5" s="1"/>
  <c r="B2395" i="5"/>
  <c r="T2394" i="5"/>
  <c r="S2394" i="5"/>
  <c r="R2394" i="5"/>
  <c r="Q2394" i="5"/>
  <c r="N2394" i="5"/>
  <c r="M2394" i="5"/>
  <c r="L2394" i="5"/>
  <c r="C2394" i="5"/>
  <c r="B2394" i="5"/>
  <c r="T2393" i="5"/>
  <c r="S2393" i="5"/>
  <c r="R2393" i="5"/>
  <c r="Q2393" i="5"/>
  <c r="N2393" i="5"/>
  <c r="M2393" i="5"/>
  <c r="L2393" i="5"/>
  <c r="C2393" i="5"/>
  <c r="B2393" i="5"/>
  <c r="T2392" i="5"/>
  <c r="S2392" i="5"/>
  <c r="R2392" i="5"/>
  <c r="Q2392" i="5"/>
  <c r="N2392" i="5"/>
  <c r="M2392" i="5"/>
  <c r="L2392" i="5"/>
  <c r="C2392" i="5"/>
  <c r="B2392" i="5"/>
  <c r="T2391" i="5"/>
  <c r="S2391" i="5"/>
  <c r="R2391" i="5"/>
  <c r="Q2391" i="5"/>
  <c r="N2391" i="5"/>
  <c r="M2391" i="5"/>
  <c r="L2391" i="5"/>
  <c r="C2391" i="5"/>
  <c r="B2391" i="5"/>
  <c r="T2390" i="5"/>
  <c r="S2390" i="5"/>
  <c r="R2390" i="5"/>
  <c r="Q2390" i="5"/>
  <c r="N2390" i="5"/>
  <c r="M2390" i="5"/>
  <c r="L2390" i="5"/>
  <c r="C2390" i="5"/>
  <c r="B2390" i="5"/>
  <c r="T2389" i="5"/>
  <c r="S2389" i="5"/>
  <c r="R2389" i="5"/>
  <c r="Q2389" i="5"/>
  <c r="N2389" i="5"/>
  <c r="M2389" i="5"/>
  <c r="L2389" i="5"/>
  <c r="C2389" i="5"/>
  <c r="B2389" i="5"/>
  <c r="T2388" i="5"/>
  <c r="S2388" i="5"/>
  <c r="R2388" i="5"/>
  <c r="Q2388" i="5"/>
  <c r="N2388" i="5"/>
  <c r="M2388" i="5"/>
  <c r="L2388" i="5"/>
  <c r="C2388" i="5"/>
  <c r="B2388" i="5"/>
  <c r="T2387" i="5"/>
  <c r="S2387" i="5"/>
  <c r="R2387" i="5"/>
  <c r="Q2387" i="5"/>
  <c r="M2387" i="5"/>
  <c r="L2387" i="5"/>
  <c r="C2387" i="5"/>
  <c r="N2387" i="5" s="1"/>
  <c r="B2387" i="5"/>
  <c r="T2386" i="5"/>
  <c r="S2386" i="5"/>
  <c r="R2386" i="5"/>
  <c r="Q2386" i="5"/>
  <c r="M2386" i="5"/>
  <c r="L2386" i="5"/>
  <c r="C2386" i="5"/>
  <c r="N2386" i="5" s="1"/>
  <c r="B2386" i="5"/>
  <c r="T2385" i="5"/>
  <c r="S2385" i="5"/>
  <c r="R2385" i="5"/>
  <c r="Q2385" i="5"/>
  <c r="M2385" i="5"/>
  <c r="L2385" i="5"/>
  <c r="C2385" i="5"/>
  <c r="N2385" i="5" s="1"/>
  <c r="B2385" i="5"/>
  <c r="T2384" i="5"/>
  <c r="S2384" i="5"/>
  <c r="R2384" i="5"/>
  <c r="Q2384" i="5"/>
  <c r="N2384" i="5"/>
  <c r="M2384" i="5"/>
  <c r="L2384" i="5"/>
  <c r="C2384" i="5"/>
  <c r="B2384" i="5"/>
  <c r="T2383" i="5"/>
  <c r="S2383" i="5"/>
  <c r="R2383" i="5"/>
  <c r="Q2383" i="5"/>
  <c r="N2383" i="5"/>
  <c r="M2383" i="5"/>
  <c r="L2383" i="5"/>
  <c r="C2383" i="5"/>
  <c r="B2383" i="5"/>
  <c r="T2382" i="5"/>
  <c r="S2382" i="5"/>
  <c r="R2382" i="5"/>
  <c r="Q2382" i="5"/>
  <c r="N2382" i="5"/>
  <c r="M2382" i="5"/>
  <c r="L2382" i="5"/>
  <c r="C2382" i="5"/>
  <c r="B2382" i="5"/>
  <c r="T2381" i="5"/>
  <c r="S2381" i="5"/>
  <c r="R2381" i="5"/>
  <c r="Q2381" i="5"/>
  <c r="N2381" i="5"/>
  <c r="M2381" i="5"/>
  <c r="L2381" i="5"/>
  <c r="C2381" i="5"/>
  <c r="B2381" i="5"/>
  <c r="T2380" i="5"/>
  <c r="S2380" i="5"/>
  <c r="R2380" i="5"/>
  <c r="Q2380" i="5"/>
  <c r="N2380" i="5"/>
  <c r="M2380" i="5"/>
  <c r="L2380" i="5"/>
  <c r="C2380" i="5"/>
  <c r="B2380" i="5"/>
  <c r="T2379" i="5"/>
  <c r="S2379" i="5"/>
  <c r="R2379" i="5"/>
  <c r="Q2379" i="5"/>
  <c r="N2379" i="5"/>
  <c r="M2379" i="5"/>
  <c r="L2379" i="5"/>
  <c r="C2379" i="5"/>
  <c r="B2379" i="5"/>
  <c r="T2378" i="5"/>
  <c r="S2378" i="5"/>
  <c r="R2378" i="5"/>
  <c r="Q2378" i="5"/>
  <c r="N2378" i="5"/>
  <c r="M2378" i="5"/>
  <c r="L2378" i="5"/>
  <c r="C2378" i="5"/>
  <c r="B2378" i="5"/>
  <c r="T2377" i="5"/>
  <c r="S2377" i="5"/>
  <c r="R2377" i="5"/>
  <c r="Q2377" i="5"/>
  <c r="M2377" i="5"/>
  <c r="L2377" i="5"/>
  <c r="C2377" i="5"/>
  <c r="N2377" i="5" s="1"/>
  <c r="B2377" i="5"/>
  <c r="T2376" i="5"/>
  <c r="S2376" i="5"/>
  <c r="R2376" i="5"/>
  <c r="Q2376" i="5"/>
  <c r="M2376" i="5"/>
  <c r="L2376" i="5"/>
  <c r="C2376" i="5"/>
  <c r="N2376" i="5" s="1"/>
  <c r="B2376" i="5"/>
  <c r="T2375" i="5"/>
  <c r="S2375" i="5"/>
  <c r="R2375" i="5"/>
  <c r="Q2375" i="5"/>
  <c r="M2375" i="5"/>
  <c r="L2375" i="5"/>
  <c r="C2375" i="5"/>
  <c r="N2375" i="5" s="1"/>
  <c r="B2375" i="5"/>
  <c r="T2374" i="5"/>
  <c r="S2374" i="5"/>
  <c r="R2374" i="5"/>
  <c r="Q2374" i="5"/>
  <c r="N2374" i="5"/>
  <c r="M2374" i="5"/>
  <c r="L2374" i="5"/>
  <c r="C2374" i="5"/>
  <c r="B2374" i="5"/>
  <c r="T2373" i="5"/>
  <c r="S2373" i="5"/>
  <c r="R2373" i="5"/>
  <c r="Q2373" i="5"/>
  <c r="N2373" i="5"/>
  <c r="M2373" i="5"/>
  <c r="L2373" i="5"/>
  <c r="C2373" i="5"/>
  <c r="B2373" i="5"/>
  <c r="T2372" i="5"/>
  <c r="S2372" i="5"/>
  <c r="R2372" i="5"/>
  <c r="Q2372" i="5"/>
  <c r="N2372" i="5"/>
  <c r="M2372" i="5"/>
  <c r="L2372" i="5"/>
  <c r="C2372" i="5"/>
  <c r="B2372" i="5"/>
  <c r="T2371" i="5"/>
  <c r="S2371" i="5"/>
  <c r="R2371" i="5"/>
  <c r="Q2371" i="5"/>
  <c r="N2371" i="5"/>
  <c r="M2371" i="5"/>
  <c r="L2371" i="5"/>
  <c r="C2371" i="5"/>
  <c r="B2371" i="5"/>
  <c r="T2370" i="5"/>
  <c r="S2370" i="5"/>
  <c r="R2370" i="5"/>
  <c r="Q2370" i="5"/>
  <c r="M2370" i="5"/>
  <c r="L2370" i="5"/>
  <c r="C2370" i="5"/>
  <c r="N2370" i="5" s="1"/>
  <c r="B2370" i="5"/>
  <c r="T2369" i="5"/>
  <c r="S2369" i="5"/>
  <c r="R2369" i="5"/>
  <c r="Q2369" i="5"/>
  <c r="N2369" i="5"/>
  <c r="M2369" i="5"/>
  <c r="L2369" i="5"/>
  <c r="C2369" i="5"/>
  <c r="B2369" i="5"/>
  <c r="T2368" i="5"/>
  <c r="S2368" i="5"/>
  <c r="R2368" i="5"/>
  <c r="Q2368" i="5"/>
  <c r="N2368" i="5"/>
  <c r="M2368" i="5"/>
  <c r="L2368" i="5"/>
  <c r="C2368" i="5"/>
  <c r="B2368" i="5"/>
  <c r="T2367" i="5"/>
  <c r="S2367" i="5"/>
  <c r="R2367" i="5"/>
  <c r="Q2367" i="5"/>
  <c r="M2367" i="5"/>
  <c r="L2367" i="5"/>
  <c r="C2367" i="5"/>
  <c r="N2367" i="5" s="1"/>
  <c r="B2367" i="5"/>
  <c r="T2366" i="5"/>
  <c r="S2366" i="5"/>
  <c r="R2366" i="5"/>
  <c r="Q2366" i="5"/>
  <c r="M2366" i="5"/>
  <c r="L2366" i="5"/>
  <c r="C2366" i="5"/>
  <c r="N2366" i="5" s="1"/>
  <c r="B2366" i="5"/>
  <c r="T2365" i="5"/>
  <c r="S2365" i="5"/>
  <c r="R2365" i="5"/>
  <c r="Q2365" i="5"/>
  <c r="M2365" i="5"/>
  <c r="L2365" i="5"/>
  <c r="C2365" i="5"/>
  <c r="N2365" i="5" s="1"/>
  <c r="B2365" i="5"/>
  <c r="T2364" i="5"/>
  <c r="S2364" i="5"/>
  <c r="R2364" i="5"/>
  <c r="Q2364" i="5"/>
  <c r="N2364" i="5"/>
  <c r="M2364" i="5"/>
  <c r="L2364" i="5"/>
  <c r="C2364" i="5"/>
  <c r="B2364" i="5"/>
  <c r="T2363" i="5"/>
  <c r="S2363" i="5"/>
  <c r="R2363" i="5"/>
  <c r="Q2363" i="5"/>
  <c r="N2363" i="5"/>
  <c r="M2363" i="5"/>
  <c r="L2363" i="5"/>
  <c r="C2363" i="5"/>
  <c r="B2363" i="5"/>
  <c r="T2362" i="5"/>
  <c r="S2362" i="5"/>
  <c r="R2362" i="5"/>
  <c r="Q2362" i="5"/>
  <c r="N2362" i="5"/>
  <c r="M2362" i="5"/>
  <c r="L2362" i="5"/>
  <c r="C2362" i="5"/>
  <c r="B2362" i="5"/>
  <c r="T2361" i="5"/>
  <c r="S2361" i="5"/>
  <c r="R2361" i="5"/>
  <c r="Q2361" i="5"/>
  <c r="N2361" i="5"/>
  <c r="M2361" i="5"/>
  <c r="L2361" i="5"/>
  <c r="C2361" i="5"/>
  <c r="B2361" i="5"/>
  <c r="T2360" i="5"/>
  <c r="S2360" i="5"/>
  <c r="R2360" i="5"/>
  <c r="Q2360" i="5"/>
  <c r="N2360" i="5"/>
  <c r="M2360" i="5"/>
  <c r="L2360" i="5"/>
  <c r="C2360" i="5"/>
  <c r="B2360" i="5"/>
  <c r="T2359" i="5"/>
  <c r="S2359" i="5"/>
  <c r="R2359" i="5"/>
  <c r="Q2359" i="5"/>
  <c r="N2359" i="5"/>
  <c r="M2359" i="5"/>
  <c r="L2359" i="5"/>
  <c r="C2359" i="5"/>
  <c r="B2359" i="5"/>
  <c r="T2358" i="5"/>
  <c r="S2358" i="5"/>
  <c r="R2358" i="5"/>
  <c r="Q2358" i="5"/>
  <c r="N2358" i="5"/>
  <c r="M2358" i="5"/>
  <c r="L2358" i="5"/>
  <c r="C2358" i="5"/>
  <c r="B2358" i="5"/>
  <c r="T2357" i="5"/>
  <c r="S2357" i="5"/>
  <c r="R2357" i="5"/>
  <c r="Q2357" i="5"/>
  <c r="M2357" i="5"/>
  <c r="L2357" i="5"/>
  <c r="C2357" i="5"/>
  <c r="N2357" i="5" s="1"/>
  <c r="B2357" i="5"/>
  <c r="T2356" i="5"/>
  <c r="S2356" i="5"/>
  <c r="R2356" i="5"/>
  <c r="Q2356" i="5"/>
  <c r="M2356" i="5"/>
  <c r="L2356" i="5"/>
  <c r="C2356" i="5"/>
  <c r="N2356" i="5" s="1"/>
  <c r="B2356" i="5"/>
  <c r="T2355" i="5"/>
  <c r="S2355" i="5"/>
  <c r="R2355" i="5"/>
  <c r="Q2355" i="5"/>
  <c r="M2355" i="5"/>
  <c r="L2355" i="5"/>
  <c r="C2355" i="5"/>
  <c r="N2355" i="5" s="1"/>
  <c r="B2355" i="5"/>
  <c r="T2354" i="5"/>
  <c r="S2354" i="5"/>
  <c r="R2354" i="5"/>
  <c r="Q2354" i="5"/>
  <c r="N2354" i="5"/>
  <c r="M2354" i="5"/>
  <c r="L2354" i="5"/>
  <c r="C2354" i="5"/>
  <c r="B2354" i="5"/>
  <c r="T2353" i="5"/>
  <c r="S2353" i="5"/>
  <c r="R2353" i="5"/>
  <c r="Q2353" i="5"/>
  <c r="N2353" i="5"/>
  <c r="M2353" i="5"/>
  <c r="L2353" i="5"/>
  <c r="C2353" i="5"/>
  <c r="B2353" i="5"/>
  <c r="T2352" i="5"/>
  <c r="S2352" i="5"/>
  <c r="R2352" i="5"/>
  <c r="Q2352" i="5"/>
  <c r="N2352" i="5"/>
  <c r="M2352" i="5"/>
  <c r="L2352" i="5"/>
  <c r="C2352" i="5"/>
  <c r="B2352" i="5"/>
  <c r="T2351" i="5"/>
  <c r="S2351" i="5"/>
  <c r="R2351" i="5"/>
  <c r="Q2351" i="5"/>
  <c r="N2351" i="5"/>
  <c r="M2351" i="5"/>
  <c r="L2351" i="5"/>
  <c r="C2351" i="5"/>
  <c r="B2351" i="5"/>
  <c r="T2350" i="5"/>
  <c r="S2350" i="5"/>
  <c r="R2350" i="5"/>
  <c r="Q2350" i="5"/>
  <c r="N2350" i="5"/>
  <c r="M2350" i="5"/>
  <c r="L2350" i="5"/>
  <c r="C2350" i="5"/>
  <c r="B2350" i="5"/>
  <c r="T2349" i="5"/>
  <c r="S2349" i="5"/>
  <c r="R2349" i="5"/>
  <c r="Q2349" i="5"/>
  <c r="N2349" i="5"/>
  <c r="M2349" i="5"/>
  <c r="L2349" i="5"/>
  <c r="C2349" i="5"/>
  <c r="B2349" i="5"/>
  <c r="T2348" i="5"/>
  <c r="S2348" i="5"/>
  <c r="R2348" i="5"/>
  <c r="Q2348" i="5"/>
  <c r="N2348" i="5"/>
  <c r="M2348" i="5"/>
  <c r="L2348" i="5"/>
  <c r="C2348" i="5"/>
  <c r="B2348" i="5"/>
  <c r="T2347" i="5"/>
  <c r="S2347" i="5"/>
  <c r="R2347" i="5"/>
  <c r="Q2347" i="5"/>
  <c r="M2347" i="5"/>
  <c r="L2347" i="5"/>
  <c r="C2347" i="5"/>
  <c r="N2347" i="5" s="1"/>
  <c r="B2347" i="5"/>
  <c r="T2346" i="5"/>
  <c r="S2346" i="5"/>
  <c r="R2346" i="5"/>
  <c r="Q2346" i="5"/>
  <c r="M2346" i="5"/>
  <c r="L2346" i="5"/>
  <c r="C2346" i="5"/>
  <c r="N2346" i="5" s="1"/>
  <c r="B2346" i="5"/>
  <c r="T2345" i="5"/>
  <c r="S2345" i="5"/>
  <c r="R2345" i="5"/>
  <c r="Q2345" i="5"/>
  <c r="M2345" i="5"/>
  <c r="L2345" i="5"/>
  <c r="C2345" i="5"/>
  <c r="N2345" i="5" s="1"/>
  <c r="B2345" i="5"/>
  <c r="T2344" i="5"/>
  <c r="S2344" i="5"/>
  <c r="R2344" i="5"/>
  <c r="Q2344" i="5"/>
  <c r="N2344" i="5"/>
  <c r="M2344" i="5"/>
  <c r="L2344" i="5"/>
  <c r="C2344" i="5"/>
  <c r="B2344" i="5"/>
  <c r="T2343" i="5"/>
  <c r="S2343" i="5"/>
  <c r="R2343" i="5"/>
  <c r="Q2343" i="5"/>
  <c r="N2343" i="5"/>
  <c r="M2343" i="5"/>
  <c r="L2343" i="5"/>
  <c r="C2343" i="5"/>
  <c r="B2343" i="5"/>
  <c r="T2342" i="5"/>
  <c r="S2342" i="5"/>
  <c r="R2342" i="5"/>
  <c r="Q2342" i="5"/>
  <c r="N2342" i="5"/>
  <c r="M2342" i="5"/>
  <c r="L2342" i="5"/>
  <c r="C2342" i="5"/>
  <c r="B2342" i="5"/>
  <c r="T2341" i="5"/>
  <c r="S2341" i="5"/>
  <c r="R2341" i="5"/>
  <c r="Q2341" i="5"/>
  <c r="N2341" i="5"/>
  <c r="M2341" i="5"/>
  <c r="L2341" i="5"/>
  <c r="C2341" i="5"/>
  <c r="B2341" i="5"/>
  <c r="T2340" i="5"/>
  <c r="S2340" i="5"/>
  <c r="R2340" i="5"/>
  <c r="Q2340" i="5"/>
  <c r="M2340" i="5"/>
  <c r="L2340" i="5"/>
  <c r="C2340" i="5"/>
  <c r="N2340" i="5" s="1"/>
  <c r="B2340" i="5"/>
  <c r="T2339" i="5"/>
  <c r="S2339" i="5"/>
  <c r="R2339" i="5"/>
  <c r="Q2339" i="5"/>
  <c r="N2339" i="5"/>
  <c r="M2339" i="5"/>
  <c r="L2339" i="5"/>
  <c r="C2339" i="5"/>
  <c r="B2339" i="5"/>
  <c r="T2338" i="5"/>
  <c r="S2338" i="5"/>
  <c r="R2338" i="5"/>
  <c r="Q2338" i="5"/>
  <c r="N2338" i="5"/>
  <c r="M2338" i="5"/>
  <c r="L2338" i="5"/>
  <c r="C2338" i="5"/>
  <c r="B2338" i="5"/>
  <c r="T2337" i="5"/>
  <c r="S2337" i="5"/>
  <c r="R2337" i="5"/>
  <c r="Q2337" i="5"/>
  <c r="M2337" i="5"/>
  <c r="L2337" i="5"/>
  <c r="C2337" i="5"/>
  <c r="N2337" i="5" s="1"/>
  <c r="B2337" i="5"/>
  <c r="T2336" i="5"/>
  <c r="S2336" i="5"/>
  <c r="R2336" i="5"/>
  <c r="Q2336" i="5"/>
  <c r="M2336" i="5"/>
  <c r="L2336" i="5"/>
  <c r="C2336" i="5"/>
  <c r="N2336" i="5" s="1"/>
  <c r="B2336" i="5"/>
  <c r="T2335" i="5"/>
  <c r="S2335" i="5"/>
  <c r="R2335" i="5"/>
  <c r="Q2335" i="5"/>
  <c r="M2335" i="5"/>
  <c r="L2335" i="5"/>
  <c r="C2335" i="5"/>
  <c r="N2335" i="5" s="1"/>
  <c r="B2335" i="5"/>
  <c r="T2334" i="5"/>
  <c r="S2334" i="5"/>
  <c r="R2334" i="5"/>
  <c r="Q2334" i="5"/>
  <c r="N2334" i="5"/>
  <c r="M2334" i="5"/>
  <c r="L2334" i="5"/>
  <c r="C2334" i="5"/>
  <c r="B2334" i="5"/>
  <c r="T2333" i="5"/>
  <c r="S2333" i="5"/>
  <c r="R2333" i="5"/>
  <c r="Q2333" i="5"/>
  <c r="N2333" i="5"/>
  <c r="M2333" i="5"/>
  <c r="L2333" i="5"/>
  <c r="C2333" i="5"/>
  <c r="B2333" i="5"/>
  <c r="T2332" i="5"/>
  <c r="S2332" i="5"/>
  <c r="R2332" i="5"/>
  <c r="Q2332" i="5"/>
  <c r="N2332" i="5"/>
  <c r="M2332" i="5"/>
  <c r="L2332" i="5"/>
  <c r="C2332" i="5"/>
  <c r="B2332" i="5"/>
  <c r="T2331" i="5"/>
  <c r="S2331" i="5"/>
  <c r="R2331" i="5"/>
  <c r="Q2331" i="5"/>
  <c r="N2331" i="5"/>
  <c r="M2331" i="5"/>
  <c r="L2331" i="5"/>
  <c r="C2331" i="5"/>
  <c r="B2331" i="5"/>
  <c r="T2330" i="5"/>
  <c r="S2330" i="5"/>
  <c r="R2330" i="5"/>
  <c r="Q2330" i="5"/>
  <c r="M2330" i="5"/>
  <c r="L2330" i="5"/>
  <c r="C2330" i="5"/>
  <c r="N2330" i="5" s="1"/>
  <c r="B2330" i="5"/>
  <c r="T2329" i="5"/>
  <c r="S2329" i="5"/>
  <c r="R2329" i="5"/>
  <c r="Q2329" i="5"/>
  <c r="N2329" i="5"/>
  <c r="M2329" i="5"/>
  <c r="L2329" i="5"/>
  <c r="C2329" i="5"/>
  <c r="B2329" i="5"/>
  <c r="T2328" i="5"/>
  <c r="S2328" i="5"/>
  <c r="R2328" i="5"/>
  <c r="Q2328" i="5"/>
  <c r="N2328" i="5"/>
  <c r="M2328" i="5"/>
  <c r="L2328" i="5"/>
  <c r="C2328" i="5"/>
  <c r="B2328" i="5"/>
  <c r="T2327" i="5"/>
  <c r="S2327" i="5"/>
  <c r="R2327" i="5"/>
  <c r="Q2327" i="5"/>
  <c r="M2327" i="5"/>
  <c r="L2327" i="5"/>
  <c r="C2327" i="5"/>
  <c r="N2327" i="5" s="1"/>
  <c r="B2327" i="5"/>
  <c r="T2326" i="5"/>
  <c r="S2326" i="5"/>
  <c r="R2326" i="5"/>
  <c r="Q2326" i="5"/>
  <c r="M2326" i="5"/>
  <c r="L2326" i="5"/>
  <c r="C2326" i="5"/>
  <c r="N2326" i="5" s="1"/>
  <c r="B2326" i="5"/>
  <c r="T2325" i="5"/>
  <c r="S2325" i="5"/>
  <c r="R2325" i="5"/>
  <c r="Q2325" i="5"/>
  <c r="M2325" i="5"/>
  <c r="L2325" i="5"/>
  <c r="C2325" i="5"/>
  <c r="N2325" i="5" s="1"/>
  <c r="B2325" i="5"/>
  <c r="T2324" i="5"/>
  <c r="S2324" i="5"/>
  <c r="R2324" i="5"/>
  <c r="Q2324" i="5"/>
  <c r="N2324" i="5"/>
  <c r="M2324" i="5"/>
  <c r="L2324" i="5"/>
  <c r="C2324" i="5"/>
  <c r="B2324" i="5"/>
  <c r="T2323" i="5"/>
  <c r="S2323" i="5"/>
  <c r="R2323" i="5"/>
  <c r="Q2323" i="5"/>
  <c r="N2323" i="5"/>
  <c r="M2323" i="5"/>
  <c r="L2323" i="5"/>
  <c r="C2323" i="5"/>
  <c r="B2323" i="5"/>
  <c r="T2322" i="5"/>
  <c r="S2322" i="5"/>
  <c r="R2322" i="5"/>
  <c r="Q2322" i="5"/>
  <c r="N2322" i="5"/>
  <c r="M2322" i="5"/>
  <c r="L2322" i="5"/>
  <c r="C2322" i="5"/>
  <c r="B2322" i="5"/>
  <c r="T2321" i="5"/>
  <c r="S2321" i="5"/>
  <c r="R2321" i="5"/>
  <c r="Q2321" i="5"/>
  <c r="N2321" i="5"/>
  <c r="M2321" i="5"/>
  <c r="L2321" i="5"/>
  <c r="C2321" i="5"/>
  <c r="B2321" i="5"/>
  <c r="T2320" i="5"/>
  <c r="S2320" i="5"/>
  <c r="R2320" i="5"/>
  <c r="Q2320" i="5"/>
  <c r="N2320" i="5"/>
  <c r="M2320" i="5"/>
  <c r="L2320" i="5"/>
  <c r="C2320" i="5"/>
  <c r="B2320" i="5"/>
  <c r="T2319" i="5"/>
  <c r="S2319" i="5"/>
  <c r="R2319" i="5"/>
  <c r="Q2319" i="5"/>
  <c r="N2319" i="5"/>
  <c r="M2319" i="5"/>
  <c r="L2319" i="5"/>
  <c r="C2319" i="5"/>
  <c r="B2319" i="5"/>
  <c r="T2318" i="5"/>
  <c r="S2318" i="5"/>
  <c r="R2318" i="5"/>
  <c r="Q2318" i="5"/>
  <c r="N2318" i="5"/>
  <c r="M2318" i="5"/>
  <c r="L2318" i="5"/>
  <c r="C2318" i="5"/>
  <c r="B2318" i="5"/>
  <c r="T2317" i="5"/>
  <c r="S2317" i="5"/>
  <c r="R2317" i="5"/>
  <c r="Q2317" i="5"/>
  <c r="M2317" i="5"/>
  <c r="L2317" i="5"/>
  <c r="C2317" i="5"/>
  <c r="N2317" i="5" s="1"/>
  <c r="B2317" i="5"/>
  <c r="T2316" i="5"/>
  <c r="S2316" i="5"/>
  <c r="R2316" i="5"/>
  <c r="Q2316" i="5"/>
  <c r="M2316" i="5"/>
  <c r="L2316" i="5"/>
  <c r="C2316" i="5"/>
  <c r="N2316" i="5" s="1"/>
  <c r="B2316" i="5"/>
  <c r="T2315" i="5"/>
  <c r="S2315" i="5"/>
  <c r="R2315" i="5"/>
  <c r="Q2315" i="5"/>
  <c r="M2315" i="5"/>
  <c r="L2315" i="5"/>
  <c r="C2315" i="5"/>
  <c r="N2315" i="5" s="1"/>
  <c r="B2315" i="5"/>
  <c r="T2314" i="5"/>
  <c r="S2314" i="5"/>
  <c r="R2314" i="5"/>
  <c r="Q2314" i="5"/>
  <c r="N2314" i="5"/>
  <c r="M2314" i="5"/>
  <c r="L2314" i="5"/>
  <c r="C2314" i="5"/>
  <c r="B2314" i="5"/>
  <c r="T2313" i="5"/>
  <c r="S2313" i="5"/>
  <c r="R2313" i="5"/>
  <c r="Q2313" i="5"/>
  <c r="N2313" i="5"/>
  <c r="M2313" i="5"/>
  <c r="L2313" i="5"/>
  <c r="C2313" i="5"/>
  <c r="B2313" i="5"/>
  <c r="T2312" i="5"/>
  <c r="S2312" i="5"/>
  <c r="R2312" i="5"/>
  <c r="Q2312" i="5"/>
  <c r="N2312" i="5"/>
  <c r="M2312" i="5"/>
  <c r="L2312" i="5"/>
  <c r="C2312" i="5"/>
  <c r="B2312" i="5"/>
  <c r="T2311" i="5"/>
  <c r="S2311" i="5"/>
  <c r="R2311" i="5"/>
  <c r="Q2311" i="5"/>
  <c r="N2311" i="5"/>
  <c r="M2311" i="5"/>
  <c r="L2311" i="5"/>
  <c r="C2311" i="5"/>
  <c r="B2311" i="5"/>
  <c r="T2310" i="5"/>
  <c r="S2310" i="5"/>
  <c r="R2310" i="5"/>
  <c r="Q2310" i="5"/>
  <c r="M2310" i="5"/>
  <c r="L2310" i="5"/>
  <c r="C2310" i="5"/>
  <c r="N2310" i="5" s="1"/>
  <c r="B2310" i="5"/>
  <c r="T2309" i="5"/>
  <c r="S2309" i="5"/>
  <c r="R2309" i="5"/>
  <c r="Q2309" i="5"/>
  <c r="N2309" i="5"/>
  <c r="M2309" i="5"/>
  <c r="L2309" i="5"/>
  <c r="C2309" i="5"/>
  <c r="B2309" i="5"/>
  <c r="T2308" i="5"/>
  <c r="S2308" i="5"/>
  <c r="R2308" i="5"/>
  <c r="Q2308" i="5"/>
  <c r="N2308" i="5"/>
  <c r="M2308" i="5"/>
  <c r="L2308" i="5"/>
  <c r="C2308" i="5"/>
  <c r="B2308" i="5"/>
  <c r="T2307" i="5"/>
  <c r="S2307" i="5"/>
  <c r="R2307" i="5"/>
  <c r="Q2307" i="5"/>
  <c r="M2307" i="5"/>
  <c r="L2307" i="5"/>
  <c r="C2307" i="5"/>
  <c r="N2307" i="5" s="1"/>
  <c r="B2307" i="5"/>
  <c r="T2306" i="5"/>
  <c r="S2306" i="5"/>
  <c r="R2306" i="5"/>
  <c r="Q2306" i="5"/>
  <c r="M2306" i="5"/>
  <c r="L2306" i="5"/>
  <c r="C2306" i="5"/>
  <c r="N2306" i="5" s="1"/>
  <c r="B2306" i="5"/>
  <c r="T2305" i="5"/>
  <c r="S2305" i="5"/>
  <c r="R2305" i="5"/>
  <c r="Q2305" i="5"/>
  <c r="M2305" i="5"/>
  <c r="L2305" i="5"/>
  <c r="C2305" i="5"/>
  <c r="N2305" i="5" s="1"/>
  <c r="B2305" i="5"/>
  <c r="T2304" i="5"/>
  <c r="S2304" i="5"/>
  <c r="R2304" i="5"/>
  <c r="Q2304" i="5"/>
  <c r="N2304" i="5"/>
  <c r="M2304" i="5"/>
  <c r="L2304" i="5"/>
  <c r="C2304" i="5"/>
  <c r="B2304" i="5"/>
  <c r="T2303" i="5"/>
  <c r="S2303" i="5"/>
  <c r="R2303" i="5"/>
  <c r="Q2303" i="5"/>
  <c r="N2303" i="5"/>
  <c r="M2303" i="5"/>
  <c r="L2303" i="5"/>
  <c r="C2303" i="5"/>
  <c r="B2303" i="5"/>
  <c r="T2302" i="5"/>
  <c r="S2302" i="5"/>
  <c r="R2302" i="5"/>
  <c r="Q2302" i="5"/>
  <c r="N2302" i="5"/>
  <c r="M2302" i="5"/>
  <c r="L2302" i="5"/>
  <c r="C2302" i="5"/>
  <c r="B2302" i="5"/>
  <c r="T2301" i="5"/>
  <c r="S2301" i="5"/>
  <c r="R2301" i="5"/>
  <c r="Q2301" i="5"/>
  <c r="N2301" i="5"/>
  <c r="M2301" i="5"/>
  <c r="L2301" i="5"/>
  <c r="C2301" i="5"/>
  <c r="B2301" i="5"/>
  <c r="T2300" i="5"/>
  <c r="S2300" i="5"/>
  <c r="R2300" i="5"/>
  <c r="Q2300" i="5"/>
  <c r="M2300" i="5"/>
  <c r="L2300" i="5"/>
  <c r="C2300" i="5"/>
  <c r="N2300" i="5" s="1"/>
  <c r="B2300" i="5"/>
  <c r="T2299" i="5"/>
  <c r="S2299" i="5"/>
  <c r="R2299" i="5"/>
  <c r="Q2299" i="5"/>
  <c r="N2299" i="5"/>
  <c r="M2299" i="5"/>
  <c r="L2299" i="5"/>
  <c r="C2299" i="5"/>
  <c r="B2299" i="5"/>
  <c r="T2298" i="5"/>
  <c r="S2298" i="5"/>
  <c r="R2298" i="5"/>
  <c r="Q2298" i="5"/>
  <c r="N2298" i="5"/>
  <c r="M2298" i="5"/>
  <c r="L2298" i="5"/>
  <c r="C2298" i="5"/>
  <c r="B2298" i="5"/>
  <c r="T2297" i="5"/>
  <c r="S2297" i="5"/>
  <c r="R2297" i="5"/>
  <c r="Q2297" i="5"/>
  <c r="M2297" i="5"/>
  <c r="L2297" i="5"/>
  <c r="C2297" i="5"/>
  <c r="N2297" i="5" s="1"/>
  <c r="B2297" i="5"/>
  <c r="T2296" i="5"/>
  <c r="S2296" i="5"/>
  <c r="R2296" i="5"/>
  <c r="Q2296" i="5"/>
  <c r="M2296" i="5"/>
  <c r="L2296" i="5"/>
  <c r="C2296" i="5"/>
  <c r="N2296" i="5" s="1"/>
  <c r="B2296" i="5"/>
  <c r="T2295" i="5"/>
  <c r="S2295" i="5"/>
  <c r="R2295" i="5"/>
  <c r="Q2295" i="5"/>
  <c r="M2295" i="5"/>
  <c r="L2295" i="5"/>
  <c r="C2295" i="5"/>
  <c r="N2295" i="5" s="1"/>
  <c r="B2295" i="5"/>
  <c r="T2294" i="5"/>
  <c r="S2294" i="5"/>
  <c r="R2294" i="5"/>
  <c r="Q2294" i="5"/>
  <c r="N2294" i="5"/>
  <c r="M2294" i="5"/>
  <c r="L2294" i="5"/>
  <c r="C2294" i="5"/>
  <c r="B2294" i="5"/>
  <c r="T2293" i="5"/>
  <c r="S2293" i="5"/>
  <c r="R2293" i="5"/>
  <c r="Q2293" i="5"/>
  <c r="N2293" i="5"/>
  <c r="M2293" i="5"/>
  <c r="L2293" i="5"/>
  <c r="C2293" i="5"/>
  <c r="B2293" i="5"/>
  <c r="T2292" i="5"/>
  <c r="S2292" i="5"/>
  <c r="R2292" i="5"/>
  <c r="Q2292" i="5"/>
  <c r="N2292" i="5"/>
  <c r="M2292" i="5"/>
  <c r="L2292" i="5"/>
  <c r="C2292" i="5"/>
  <c r="B2292" i="5"/>
  <c r="T2291" i="5"/>
  <c r="S2291" i="5"/>
  <c r="R2291" i="5"/>
  <c r="Q2291" i="5"/>
  <c r="N2291" i="5"/>
  <c r="M2291" i="5"/>
  <c r="L2291" i="5"/>
  <c r="C2291" i="5"/>
  <c r="B2291" i="5"/>
  <c r="T2290" i="5"/>
  <c r="S2290" i="5"/>
  <c r="R2290" i="5"/>
  <c r="Q2290" i="5"/>
  <c r="N2290" i="5"/>
  <c r="M2290" i="5"/>
  <c r="L2290" i="5"/>
  <c r="C2290" i="5"/>
  <c r="B2290" i="5"/>
  <c r="T2289" i="5"/>
  <c r="S2289" i="5"/>
  <c r="R2289" i="5"/>
  <c r="Q2289" i="5"/>
  <c r="N2289" i="5"/>
  <c r="M2289" i="5"/>
  <c r="L2289" i="5"/>
  <c r="C2289" i="5"/>
  <c r="B2289" i="5"/>
  <c r="T2288" i="5"/>
  <c r="S2288" i="5"/>
  <c r="R2288" i="5"/>
  <c r="Q2288" i="5"/>
  <c r="N2288" i="5"/>
  <c r="M2288" i="5"/>
  <c r="L2288" i="5"/>
  <c r="C2288" i="5"/>
  <c r="B2288" i="5"/>
  <c r="T2287" i="5"/>
  <c r="S2287" i="5"/>
  <c r="R2287" i="5"/>
  <c r="Q2287" i="5"/>
  <c r="M2287" i="5"/>
  <c r="L2287" i="5"/>
  <c r="C2287" i="5"/>
  <c r="N2287" i="5" s="1"/>
  <c r="B2287" i="5"/>
  <c r="T2286" i="5"/>
  <c r="S2286" i="5"/>
  <c r="R2286" i="5"/>
  <c r="Q2286" i="5"/>
  <c r="M2286" i="5"/>
  <c r="L2286" i="5"/>
  <c r="C2286" i="5"/>
  <c r="N2286" i="5" s="1"/>
  <c r="B2286" i="5"/>
  <c r="T2285" i="5"/>
  <c r="S2285" i="5"/>
  <c r="R2285" i="5"/>
  <c r="Q2285" i="5"/>
  <c r="M2285" i="5"/>
  <c r="L2285" i="5"/>
  <c r="C2285" i="5"/>
  <c r="N2285" i="5" s="1"/>
  <c r="B2285" i="5"/>
  <c r="T2284" i="5"/>
  <c r="S2284" i="5"/>
  <c r="R2284" i="5"/>
  <c r="Q2284" i="5"/>
  <c r="N2284" i="5"/>
  <c r="M2284" i="5"/>
  <c r="L2284" i="5"/>
  <c r="C2284" i="5"/>
  <c r="B2284" i="5"/>
  <c r="T2283" i="5"/>
  <c r="S2283" i="5"/>
  <c r="R2283" i="5"/>
  <c r="Q2283" i="5"/>
  <c r="N2283" i="5"/>
  <c r="M2283" i="5"/>
  <c r="L2283" i="5"/>
  <c r="C2283" i="5"/>
  <c r="B2283" i="5"/>
  <c r="T2282" i="5"/>
  <c r="S2282" i="5"/>
  <c r="R2282" i="5"/>
  <c r="Q2282" i="5"/>
  <c r="N2282" i="5"/>
  <c r="M2282" i="5"/>
  <c r="L2282" i="5"/>
  <c r="C2282" i="5"/>
  <c r="B2282" i="5"/>
  <c r="T2281" i="5"/>
  <c r="S2281" i="5"/>
  <c r="R2281" i="5"/>
  <c r="Q2281" i="5"/>
  <c r="N2281" i="5"/>
  <c r="M2281" i="5"/>
  <c r="L2281" i="5"/>
  <c r="C2281" i="5"/>
  <c r="B2281" i="5"/>
  <c r="T2280" i="5"/>
  <c r="S2280" i="5"/>
  <c r="R2280" i="5"/>
  <c r="Q2280" i="5"/>
  <c r="N2280" i="5"/>
  <c r="M2280" i="5"/>
  <c r="L2280" i="5"/>
  <c r="C2280" i="5"/>
  <c r="B2280" i="5"/>
  <c r="T2279" i="5"/>
  <c r="S2279" i="5"/>
  <c r="R2279" i="5"/>
  <c r="Q2279" i="5"/>
  <c r="N2279" i="5"/>
  <c r="M2279" i="5"/>
  <c r="L2279" i="5"/>
  <c r="C2279" i="5"/>
  <c r="B2279" i="5"/>
  <c r="T2278" i="5"/>
  <c r="S2278" i="5"/>
  <c r="R2278" i="5"/>
  <c r="Q2278" i="5"/>
  <c r="M2278" i="5"/>
  <c r="L2278" i="5"/>
  <c r="C2278" i="5"/>
  <c r="N2278" i="5" s="1"/>
  <c r="B2278" i="5"/>
  <c r="T2277" i="5"/>
  <c r="S2277" i="5"/>
  <c r="R2277" i="5"/>
  <c r="Q2277" i="5"/>
  <c r="M2277" i="5"/>
  <c r="L2277" i="5"/>
  <c r="C2277" i="5"/>
  <c r="N2277" i="5" s="1"/>
  <c r="B2277" i="5"/>
  <c r="T2276" i="5"/>
  <c r="S2276" i="5"/>
  <c r="R2276" i="5"/>
  <c r="Q2276" i="5"/>
  <c r="M2276" i="5"/>
  <c r="L2276" i="5"/>
  <c r="C2276" i="5"/>
  <c r="N2276" i="5" s="1"/>
  <c r="B2276" i="5"/>
  <c r="T2275" i="5"/>
  <c r="S2275" i="5"/>
  <c r="R2275" i="5"/>
  <c r="Q2275" i="5"/>
  <c r="M2275" i="5"/>
  <c r="L2275" i="5"/>
  <c r="C2275" i="5"/>
  <c r="N2275" i="5" s="1"/>
  <c r="B2275" i="5"/>
  <c r="T2274" i="5"/>
  <c r="S2274" i="5"/>
  <c r="R2274" i="5"/>
  <c r="Q2274" i="5"/>
  <c r="N2274" i="5"/>
  <c r="M2274" i="5"/>
  <c r="L2274" i="5"/>
  <c r="C2274" i="5"/>
  <c r="B2274" i="5"/>
  <c r="T2273" i="5"/>
  <c r="S2273" i="5"/>
  <c r="R2273" i="5"/>
  <c r="Q2273" i="5"/>
  <c r="N2273" i="5"/>
  <c r="M2273" i="5"/>
  <c r="L2273" i="5"/>
  <c r="C2273" i="5"/>
  <c r="B2273" i="5"/>
  <c r="T2272" i="5"/>
  <c r="S2272" i="5"/>
  <c r="R2272" i="5"/>
  <c r="Q2272" i="5"/>
  <c r="N2272" i="5"/>
  <c r="M2272" i="5"/>
  <c r="L2272" i="5"/>
  <c r="C2272" i="5"/>
  <c r="B2272" i="5"/>
  <c r="T2271" i="5"/>
  <c r="S2271" i="5"/>
  <c r="R2271" i="5"/>
  <c r="Q2271" i="5"/>
  <c r="N2271" i="5"/>
  <c r="M2271" i="5"/>
  <c r="L2271" i="5"/>
  <c r="C2271" i="5"/>
  <c r="B2271" i="5"/>
  <c r="T2270" i="5"/>
  <c r="S2270" i="5"/>
  <c r="R2270" i="5"/>
  <c r="Q2270" i="5"/>
  <c r="M2270" i="5"/>
  <c r="L2270" i="5"/>
  <c r="C2270" i="5"/>
  <c r="N2270" i="5" s="1"/>
  <c r="B2270" i="5"/>
  <c r="T2269" i="5"/>
  <c r="S2269" i="5"/>
  <c r="R2269" i="5"/>
  <c r="Q2269" i="5"/>
  <c r="N2269" i="5"/>
  <c r="M2269" i="5"/>
  <c r="L2269" i="5"/>
  <c r="C2269" i="5"/>
  <c r="B2269" i="5"/>
  <c r="T2268" i="5"/>
  <c r="S2268" i="5"/>
  <c r="R2268" i="5"/>
  <c r="Q2268" i="5"/>
  <c r="M2268" i="5"/>
  <c r="L2268" i="5"/>
  <c r="C2268" i="5"/>
  <c r="N2268" i="5" s="1"/>
  <c r="B2268" i="5"/>
  <c r="T2267" i="5"/>
  <c r="S2267" i="5"/>
  <c r="R2267" i="5"/>
  <c r="Q2267" i="5"/>
  <c r="M2267" i="5"/>
  <c r="L2267" i="5"/>
  <c r="C2267" i="5"/>
  <c r="N2267" i="5" s="1"/>
  <c r="B2267" i="5"/>
  <c r="T2266" i="5"/>
  <c r="S2266" i="5"/>
  <c r="R2266" i="5"/>
  <c r="Q2266" i="5"/>
  <c r="M2266" i="5"/>
  <c r="L2266" i="5"/>
  <c r="C2266" i="5"/>
  <c r="N2266" i="5" s="1"/>
  <c r="B2266" i="5"/>
  <c r="T2265" i="5"/>
  <c r="S2265" i="5"/>
  <c r="R2265" i="5"/>
  <c r="Q2265" i="5"/>
  <c r="M2265" i="5"/>
  <c r="L2265" i="5"/>
  <c r="C2265" i="5"/>
  <c r="N2265" i="5" s="1"/>
  <c r="B2265" i="5"/>
  <c r="T2264" i="5"/>
  <c r="S2264" i="5"/>
  <c r="R2264" i="5"/>
  <c r="Q2264" i="5"/>
  <c r="N2264" i="5"/>
  <c r="M2264" i="5"/>
  <c r="L2264" i="5"/>
  <c r="C2264" i="5"/>
  <c r="B2264" i="5"/>
  <c r="T2263" i="5"/>
  <c r="S2263" i="5"/>
  <c r="R2263" i="5"/>
  <c r="Q2263" i="5"/>
  <c r="N2263" i="5"/>
  <c r="M2263" i="5"/>
  <c r="L2263" i="5"/>
  <c r="C2263" i="5"/>
  <c r="B2263" i="5"/>
  <c r="T2262" i="5"/>
  <c r="S2262" i="5"/>
  <c r="R2262" i="5"/>
  <c r="Q2262" i="5"/>
  <c r="N2262" i="5"/>
  <c r="M2262" i="5"/>
  <c r="L2262" i="5"/>
  <c r="C2262" i="5"/>
  <c r="B2262" i="5"/>
  <c r="T2261" i="5"/>
  <c r="S2261" i="5"/>
  <c r="R2261" i="5"/>
  <c r="Q2261" i="5"/>
  <c r="N2261" i="5"/>
  <c r="M2261" i="5"/>
  <c r="L2261" i="5"/>
  <c r="C2261" i="5"/>
  <c r="B2261" i="5"/>
  <c r="T2260" i="5"/>
  <c r="S2260" i="5"/>
  <c r="R2260" i="5"/>
  <c r="Q2260" i="5"/>
  <c r="N2260" i="5"/>
  <c r="M2260" i="5"/>
  <c r="L2260" i="5"/>
  <c r="C2260" i="5"/>
  <c r="B2260" i="5"/>
  <c r="T2259" i="5"/>
  <c r="S2259" i="5"/>
  <c r="R2259" i="5"/>
  <c r="Q2259" i="5"/>
  <c r="N2259" i="5"/>
  <c r="M2259" i="5"/>
  <c r="L2259" i="5"/>
  <c r="C2259" i="5"/>
  <c r="B2259" i="5"/>
  <c r="T2258" i="5"/>
  <c r="S2258" i="5"/>
  <c r="R2258" i="5"/>
  <c r="Q2258" i="5"/>
  <c r="N2258" i="5"/>
  <c r="M2258" i="5"/>
  <c r="L2258" i="5"/>
  <c r="C2258" i="5"/>
  <c r="B2258" i="5"/>
  <c r="T2257" i="5"/>
  <c r="S2257" i="5"/>
  <c r="R2257" i="5"/>
  <c r="Q2257" i="5"/>
  <c r="M2257" i="5"/>
  <c r="L2257" i="5"/>
  <c r="C2257" i="5"/>
  <c r="N2257" i="5" s="1"/>
  <c r="B2257" i="5"/>
  <c r="T2256" i="5"/>
  <c r="S2256" i="5"/>
  <c r="R2256" i="5"/>
  <c r="Q2256" i="5"/>
  <c r="M2256" i="5"/>
  <c r="L2256" i="5"/>
  <c r="C2256" i="5"/>
  <c r="N2256" i="5" s="1"/>
  <c r="B2256" i="5"/>
  <c r="T2255" i="5"/>
  <c r="S2255" i="5"/>
  <c r="R2255" i="5"/>
  <c r="Q2255" i="5"/>
  <c r="M2255" i="5"/>
  <c r="L2255" i="5"/>
  <c r="C2255" i="5"/>
  <c r="N2255" i="5" s="1"/>
  <c r="B2255" i="5"/>
  <c r="T2254" i="5"/>
  <c r="S2254" i="5"/>
  <c r="R2254" i="5"/>
  <c r="Q2254" i="5"/>
  <c r="N2254" i="5"/>
  <c r="M2254" i="5"/>
  <c r="L2254" i="5"/>
  <c r="C2254" i="5"/>
  <c r="B2254" i="5"/>
  <c r="T2253" i="5"/>
  <c r="S2253" i="5"/>
  <c r="R2253" i="5"/>
  <c r="Q2253" i="5"/>
  <c r="N2253" i="5"/>
  <c r="M2253" i="5"/>
  <c r="L2253" i="5"/>
  <c r="C2253" i="5"/>
  <c r="B2253" i="5"/>
  <c r="T2252" i="5"/>
  <c r="S2252" i="5"/>
  <c r="R2252" i="5"/>
  <c r="Q2252" i="5"/>
  <c r="N2252" i="5"/>
  <c r="M2252" i="5"/>
  <c r="L2252" i="5"/>
  <c r="C2252" i="5"/>
  <c r="B2252" i="5"/>
  <c r="T2251" i="5"/>
  <c r="S2251" i="5"/>
  <c r="R2251" i="5"/>
  <c r="Q2251" i="5"/>
  <c r="N2251" i="5"/>
  <c r="M2251" i="5"/>
  <c r="L2251" i="5"/>
  <c r="C2251" i="5"/>
  <c r="B2251" i="5"/>
  <c r="T2250" i="5"/>
  <c r="S2250" i="5"/>
  <c r="R2250" i="5"/>
  <c r="Q2250" i="5"/>
  <c r="N2250" i="5"/>
  <c r="M2250" i="5"/>
  <c r="L2250" i="5"/>
  <c r="C2250" i="5"/>
  <c r="B2250" i="5"/>
  <c r="T2249" i="5"/>
  <c r="S2249" i="5"/>
  <c r="R2249" i="5"/>
  <c r="Q2249" i="5"/>
  <c r="N2249" i="5"/>
  <c r="M2249" i="5"/>
  <c r="L2249" i="5"/>
  <c r="C2249" i="5"/>
  <c r="B2249" i="5"/>
  <c r="T2248" i="5"/>
  <c r="S2248" i="5"/>
  <c r="R2248" i="5"/>
  <c r="Q2248" i="5"/>
  <c r="M2248" i="5"/>
  <c r="L2248" i="5"/>
  <c r="C2248" i="5"/>
  <c r="N2248" i="5" s="1"/>
  <c r="B2248" i="5"/>
  <c r="T2247" i="5"/>
  <c r="S2247" i="5"/>
  <c r="R2247" i="5"/>
  <c r="Q2247" i="5"/>
  <c r="M2247" i="5"/>
  <c r="L2247" i="5"/>
  <c r="C2247" i="5"/>
  <c r="N2247" i="5" s="1"/>
  <c r="B2247" i="5"/>
  <c r="T2246" i="5"/>
  <c r="S2246" i="5"/>
  <c r="R2246" i="5"/>
  <c r="Q2246" i="5"/>
  <c r="M2246" i="5"/>
  <c r="L2246" i="5"/>
  <c r="C2246" i="5"/>
  <c r="N2246" i="5" s="1"/>
  <c r="B2246" i="5"/>
  <c r="T2245" i="5"/>
  <c r="S2245" i="5"/>
  <c r="R2245" i="5"/>
  <c r="Q2245" i="5"/>
  <c r="M2245" i="5"/>
  <c r="L2245" i="5"/>
  <c r="C2245" i="5"/>
  <c r="N2245" i="5" s="1"/>
  <c r="B2245" i="5"/>
  <c r="T2244" i="5"/>
  <c r="S2244" i="5"/>
  <c r="R2244" i="5"/>
  <c r="Q2244" i="5"/>
  <c r="N2244" i="5"/>
  <c r="M2244" i="5"/>
  <c r="L2244" i="5"/>
  <c r="C2244" i="5"/>
  <c r="B2244" i="5"/>
  <c r="T2243" i="5"/>
  <c r="S2243" i="5"/>
  <c r="R2243" i="5"/>
  <c r="Q2243" i="5"/>
  <c r="N2243" i="5"/>
  <c r="M2243" i="5"/>
  <c r="L2243" i="5"/>
  <c r="C2243" i="5"/>
  <c r="B2243" i="5"/>
  <c r="T2242" i="5"/>
  <c r="S2242" i="5"/>
  <c r="R2242" i="5"/>
  <c r="Q2242" i="5"/>
  <c r="N2242" i="5"/>
  <c r="M2242" i="5"/>
  <c r="L2242" i="5"/>
  <c r="C2242" i="5"/>
  <c r="B2242" i="5"/>
  <c r="T2241" i="5"/>
  <c r="S2241" i="5"/>
  <c r="R2241" i="5"/>
  <c r="Q2241" i="5"/>
  <c r="N2241" i="5"/>
  <c r="M2241" i="5"/>
  <c r="L2241" i="5"/>
  <c r="C2241" i="5"/>
  <c r="B2241" i="5"/>
  <c r="T2240" i="5"/>
  <c r="S2240" i="5"/>
  <c r="R2240" i="5"/>
  <c r="Q2240" i="5"/>
  <c r="M2240" i="5"/>
  <c r="L2240" i="5"/>
  <c r="C2240" i="5"/>
  <c r="N2240" i="5" s="1"/>
  <c r="B2240" i="5"/>
  <c r="T2239" i="5"/>
  <c r="S2239" i="5"/>
  <c r="R2239" i="5"/>
  <c r="Q2239" i="5"/>
  <c r="N2239" i="5"/>
  <c r="M2239" i="5"/>
  <c r="L2239" i="5"/>
  <c r="C2239" i="5"/>
  <c r="B2239" i="5"/>
  <c r="T2238" i="5"/>
  <c r="S2238" i="5"/>
  <c r="R2238" i="5"/>
  <c r="Q2238" i="5"/>
  <c r="M2238" i="5"/>
  <c r="L2238" i="5"/>
  <c r="C2238" i="5"/>
  <c r="N2238" i="5" s="1"/>
  <c r="B2238" i="5"/>
  <c r="T2237" i="5"/>
  <c r="S2237" i="5"/>
  <c r="R2237" i="5"/>
  <c r="Q2237" i="5"/>
  <c r="M2237" i="5"/>
  <c r="L2237" i="5"/>
  <c r="C2237" i="5"/>
  <c r="N2237" i="5" s="1"/>
  <c r="B2237" i="5"/>
  <c r="T2236" i="5"/>
  <c r="S2236" i="5"/>
  <c r="R2236" i="5"/>
  <c r="Q2236" i="5"/>
  <c r="M2236" i="5"/>
  <c r="L2236" i="5"/>
  <c r="C2236" i="5"/>
  <c r="N2236" i="5" s="1"/>
  <c r="B2236" i="5"/>
  <c r="T2235" i="5"/>
  <c r="S2235" i="5"/>
  <c r="R2235" i="5"/>
  <c r="Q2235" i="5"/>
  <c r="M2235" i="5"/>
  <c r="L2235" i="5"/>
  <c r="C2235" i="5"/>
  <c r="N2235" i="5" s="1"/>
  <c r="B2235" i="5"/>
  <c r="T2234" i="5"/>
  <c r="S2234" i="5"/>
  <c r="R2234" i="5"/>
  <c r="Q2234" i="5"/>
  <c r="N2234" i="5"/>
  <c r="M2234" i="5"/>
  <c r="L2234" i="5"/>
  <c r="C2234" i="5"/>
  <c r="B2234" i="5"/>
  <c r="T2233" i="5"/>
  <c r="S2233" i="5"/>
  <c r="R2233" i="5"/>
  <c r="Q2233" i="5"/>
  <c r="N2233" i="5"/>
  <c r="M2233" i="5"/>
  <c r="L2233" i="5"/>
  <c r="C2233" i="5"/>
  <c r="B2233" i="5"/>
  <c r="T2232" i="5"/>
  <c r="S2232" i="5"/>
  <c r="R2232" i="5"/>
  <c r="Q2232" i="5"/>
  <c r="N2232" i="5"/>
  <c r="M2232" i="5"/>
  <c r="L2232" i="5"/>
  <c r="C2232" i="5"/>
  <c r="B2232" i="5"/>
  <c r="T2231" i="5"/>
  <c r="S2231" i="5"/>
  <c r="R2231" i="5"/>
  <c r="Q2231" i="5"/>
  <c r="N2231" i="5"/>
  <c r="M2231" i="5"/>
  <c r="L2231" i="5"/>
  <c r="C2231" i="5"/>
  <c r="B2231" i="5"/>
  <c r="T2230" i="5"/>
  <c r="S2230" i="5"/>
  <c r="R2230" i="5"/>
  <c r="Q2230" i="5"/>
  <c r="M2230" i="5"/>
  <c r="L2230" i="5"/>
  <c r="C2230" i="5"/>
  <c r="N2230" i="5" s="1"/>
  <c r="B2230" i="5"/>
  <c r="T2229" i="5"/>
  <c r="S2229" i="5"/>
  <c r="R2229" i="5"/>
  <c r="Q2229" i="5"/>
  <c r="N2229" i="5"/>
  <c r="M2229" i="5"/>
  <c r="L2229" i="5"/>
  <c r="C2229" i="5"/>
  <c r="B2229" i="5"/>
  <c r="T2228" i="5"/>
  <c r="S2228" i="5"/>
  <c r="R2228" i="5"/>
  <c r="Q2228" i="5"/>
  <c r="N2228" i="5"/>
  <c r="M2228" i="5"/>
  <c r="L2228" i="5"/>
  <c r="C2228" i="5"/>
  <c r="B2228" i="5"/>
  <c r="T2227" i="5"/>
  <c r="S2227" i="5"/>
  <c r="R2227" i="5"/>
  <c r="Q2227" i="5"/>
  <c r="M2227" i="5"/>
  <c r="L2227" i="5"/>
  <c r="C2227" i="5"/>
  <c r="N2227" i="5" s="1"/>
  <c r="B2227" i="5"/>
  <c r="T2226" i="5"/>
  <c r="S2226" i="5"/>
  <c r="R2226" i="5"/>
  <c r="Q2226" i="5"/>
  <c r="M2226" i="5"/>
  <c r="L2226" i="5"/>
  <c r="C2226" i="5"/>
  <c r="N2226" i="5" s="1"/>
  <c r="B2226" i="5"/>
  <c r="T2225" i="5"/>
  <c r="S2225" i="5"/>
  <c r="R2225" i="5"/>
  <c r="Q2225" i="5"/>
  <c r="M2225" i="5"/>
  <c r="L2225" i="5"/>
  <c r="C2225" i="5"/>
  <c r="N2225" i="5" s="1"/>
  <c r="B2225" i="5"/>
  <c r="T2224" i="5"/>
  <c r="S2224" i="5"/>
  <c r="R2224" i="5"/>
  <c r="Q2224" i="5"/>
  <c r="N2224" i="5"/>
  <c r="M2224" i="5"/>
  <c r="L2224" i="5"/>
  <c r="C2224" i="5"/>
  <c r="B2224" i="5"/>
  <c r="T2223" i="5"/>
  <c r="S2223" i="5"/>
  <c r="R2223" i="5"/>
  <c r="Q2223" i="5"/>
  <c r="N2223" i="5"/>
  <c r="M2223" i="5"/>
  <c r="L2223" i="5"/>
  <c r="C2223" i="5"/>
  <c r="B2223" i="5"/>
  <c r="T2222" i="5"/>
  <c r="S2222" i="5"/>
  <c r="R2222" i="5"/>
  <c r="Q2222" i="5"/>
  <c r="N2222" i="5"/>
  <c r="M2222" i="5"/>
  <c r="L2222" i="5"/>
  <c r="C2222" i="5"/>
  <c r="B2222" i="5"/>
  <c r="T2221" i="5"/>
  <c r="S2221" i="5"/>
  <c r="R2221" i="5"/>
  <c r="Q2221" i="5"/>
  <c r="N2221" i="5"/>
  <c r="M2221" i="5"/>
  <c r="L2221" i="5"/>
  <c r="C2221" i="5"/>
  <c r="B2221" i="5"/>
  <c r="T2220" i="5"/>
  <c r="S2220" i="5"/>
  <c r="R2220" i="5"/>
  <c r="Q2220" i="5"/>
  <c r="N2220" i="5"/>
  <c r="M2220" i="5"/>
  <c r="L2220" i="5"/>
  <c r="C2220" i="5"/>
  <c r="B2220" i="5"/>
  <c r="T2219" i="5"/>
  <c r="S2219" i="5"/>
  <c r="R2219" i="5"/>
  <c r="Q2219" i="5"/>
  <c r="N2219" i="5"/>
  <c r="M2219" i="5"/>
  <c r="L2219" i="5"/>
  <c r="C2219" i="5"/>
  <c r="B2219" i="5"/>
  <c r="T2218" i="5"/>
  <c r="S2218" i="5"/>
  <c r="R2218" i="5"/>
  <c r="Q2218" i="5"/>
  <c r="N2218" i="5"/>
  <c r="M2218" i="5"/>
  <c r="L2218" i="5"/>
  <c r="C2218" i="5"/>
  <c r="B2218" i="5"/>
  <c r="T2217" i="5"/>
  <c r="S2217" i="5"/>
  <c r="R2217" i="5"/>
  <c r="Q2217" i="5"/>
  <c r="M2217" i="5"/>
  <c r="L2217" i="5"/>
  <c r="C2217" i="5"/>
  <c r="N2217" i="5" s="1"/>
  <c r="B2217" i="5"/>
  <c r="T2216" i="5"/>
  <c r="S2216" i="5"/>
  <c r="R2216" i="5"/>
  <c r="Q2216" i="5"/>
  <c r="M2216" i="5"/>
  <c r="L2216" i="5"/>
  <c r="C2216" i="5"/>
  <c r="N2216" i="5" s="1"/>
  <c r="B2216" i="5"/>
  <c r="T2215" i="5"/>
  <c r="S2215" i="5"/>
  <c r="R2215" i="5"/>
  <c r="Q2215" i="5"/>
  <c r="M2215" i="5"/>
  <c r="L2215" i="5"/>
  <c r="C2215" i="5"/>
  <c r="N2215" i="5" s="1"/>
  <c r="B2215" i="5"/>
  <c r="T2214" i="5"/>
  <c r="S2214" i="5"/>
  <c r="R2214" i="5"/>
  <c r="Q2214" i="5"/>
  <c r="N2214" i="5"/>
  <c r="M2214" i="5"/>
  <c r="L2214" i="5"/>
  <c r="C2214" i="5"/>
  <c r="B2214" i="5"/>
  <c r="T2213" i="5"/>
  <c r="S2213" i="5"/>
  <c r="R2213" i="5"/>
  <c r="Q2213" i="5"/>
  <c r="N2213" i="5"/>
  <c r="M2213" i="5"/>
  <c r="L2213" i="5"/>
  <c r="C2213" i="5"/>
  <c r="B2213" i="5"/>
  <c r="T2212" i="5"/>
  <c r="S2212" i="5"/>
  <c r="R2212" i="5"/>
  <c r="Q2212" i="5"/>
  <c r="N2212" i="5"/>
  <c r="M2212" i="5"/>
  <c r="L2212" i="5"/>
  <c r="C2212" i="5"/>
  <c r="B2212" i="5"/>
  <c r="T2211" i="5"/>
  <c r="S2211" i="5"/>
  <c r="R2211" i="5"/>
  <c r="Q2211" i="5"/>
  <c r="N2211" i="5"/>
  <c r="M2211" i="5"/>
  <c r="L2211" i="5"/>
  <c r="C2211" i="5"/>
  <c r="B2211" i="5"/>
  <c r="T2210" i="5"/>
  <c r="S2210" i="5"/>
  <c r="R2210" i="5"/>
  <c r="Q2210" i="5"/>
  <c r="M2210" i="5"/>
  <c r="L2210" i="5"/>
  <c r="C2210" i="5"/>
  <c r="N2210" i="5" s="1"/>
  <c r="B2210" i="5"/>
  <c r="T2209" i="5"/>
  <c r="S2209" i="5"/>
  <c r="R2209" i="5"/>
  <c r="Q2209" i="5"/>
  <c r="N2209" i="5"/>
  <c r="M2209" i="5"/>
  <c r="L2209" i="5"/>
  <c r="C2209" i="5"/>
  <c r="B2209" i="5"/>
  <c r="T2208" i="5"/>
  <c r="S2208" i="5"/>
  <c r="R2208" i="5"/>
  <c r="Q2208" i="5"/>
  <c r="M2208" i="5"/>
  <c r="L2208" i="5"/>
  <c r="C2208" i="5"/>
  <c r="N2208" i="5" s="1"/>
  <c r="B2208" i="5"/>
  <c r="T2207" i="5"/>
  <c r="S2207" i="5"/>
  <c r="R2207" i="5"/>
  <c r="Q2207" i="5"/>
  <c r="M2207" i="5"/>
  <c r="L2207" i="5"/>
  <c r="C2207" i="5"/>
  <c r="N2207" i="5" s="1"/>
  <c r="B2207" i="5"/>
  <c r="T2206" i="5"/>
  <c r="S2206" i="5"/>
  <c r="R2206" i="5"/>
  <c r="Q2206" i="5"/>
  <c r="M2206" i="5"/>
  <c r="L2206" i="5"/>
  <c r="C2206" i="5"/>
  <c r="N2206" i="5" s="1"/>
  <c r="B2206" i="5"/>
  <c r="T2205" i="5"/>
  <c r="S2205" i="5"/>
  <c r="R2205" i="5"/>
  <c r="Q2205" i="5"/>
  <c r="M2205" i="5"/>
  <c r="L2205" i="5"/>
  <c r="C2205" i="5"/>
  <c r="N2205" i="5" s="1"/>
  <c r="B2205" i="5"/>
  <c r="T2204" i="5"/>
  <c r="S2204" i="5"/>
  <c r="R2204" i="5"/>
  <c r="Q2204" i="5"/>
  <c r="N2204" i="5"/>
  <c r="M2204" i="5"/>
  <c r="L2204" i="5"/>
  <c r="C2204" i="5"/>
  <c r="B2204" i="5"/>
  <c r="T2203" i="5"/>
  <c r="S2203" i="5"/>
  <c r="R2203" i="5"/>
  <c r="Q2203" i="5"/>
  <c r="N2203" i="5"/>
  <c r="M2203" i="5"/>
  <c r="L2203" i="5"/>
  <c r="C2203" i="5"/>
  <c r="B2203" i="5"/>
  <c r="T2202" i="5"/>
  <c r="S2202" i="5"/>
  <c r="R2202" i="5"/>
  <c r="Q2202" i="5"/>
  <c r="N2202" i="5"/>
  <c r="M2202" i="5"/>
  <c r="L2202" i="5"/>
  <c r="C2202" i="5"/>
  <c r="B2202" i="5"/>
  <c r="T2201" i="5"/>
  <c r="S2201" i="5"/>
  <c r="R2201" i="5"/>
  <c r="Q2201" i="5"/>
  <c r="N2201" i="5"/>
  <c r="M2201" i="5"/>
  <c r="L2201" i="5"/>
  <c r="C2201" i="5"/>
  <c r="B2201" i="5"/>
  <c r="T2200" i="5"/>
  <c r="S2200" i="5"/>
  <c r="R2200" i="5"/>
  <c r="Q2200" i="5"/>
  <c r="M2200" i="5"/>
  <c r="L2200" i="5"/>
  <c r="C2200" i="5"/>
  <c r="N2200" i="5" s="1"/>
  <c r="B2200" i="5"/>
  <c r="T2199" i="5"/>
  <c r="S2199" i="5"/>
  <c r="R2199" i="5"/>
  <c r="Q2199" i="5"/>
  <c r="N2199" i="5"/>
  <c r="M2199" i="5"/>
  <c r="L2199" i="5"/>
  <c r="C2199" i="5"/>
  <c r="B2199" i="5"/>
  <c r="T2198" i="5"/>
  <c r="S2198" i="5"/>
  <c r="R2198" i="5"/>
  <c r="Q2198" i="5"/>
  <c r="N2198" i="5"/>
  <c r="M2198" i="5"/>
  <c r="L2198" i="5"/>
  <c r="C2198" i="5"/>
  <c r="B2198" i="5"/>
  <c r="T2197" i="5"/>
  <c r="S2197" i="5"/>
  <c r="R2197" i="5"/>
  <c r="Q2197" i="5"/>
  <c r="M2197" i="5"/>
  <c r="L2197" i="5"/>
  <c r="C2197" i="5"/>
  <c r="N2197" i="5" s="1"/>
  <c r="B2197" i="5"/>
  <c r="T2196" i="5"/>
  <c r="S2196" i="5"/>
  <c r="R2196" i="5"/>
  <c r="Q2196" i="5"/>
  <c r="M2196" i="5"/>
  <c r="L2196" i="5"/>
  <c r="C2196" i="5"/>
  <c r="N2196" i="5" s="1"/>
  <c r="B2196" i="5"/>
  <c r="T2195" i="5"/>
  <c r="S2195" i="5"/>
  <c r="R2195" i="5"/>
  <c r="Q2195" i="5"/>
  <c r="M2195" i="5"/>
  <c r="L2195" i="5"/>
  <c r="C2195" i="5"/>
  <c r="N2195" i="5" s="1"/>
  <c r="B2195" i="5"/>
  <c r="T2194" i="5"/>
  <c r="S2194" i="5"/>
  <c r="R2194" i="5"/>
  <c r="Q2194" i="5"/>
  <c r="N2194" i="5"/>
  <c r="M2194" i="5"/>
  <c r="L2194" i="5"/>
  <c r="C2194" i="5"/>
  <c r="B2194" i="5"/>
  <c r="T2193" i="5"/>
  <c r="S2193" i="5"/>
  <c r="R2193" i="5"/>
  <c r="Q2193" i="5"/>
  <c r="N2193" i="5"/>
  <c r="M2193" i="5"/>
  <c r="L2193" i="5"/>
  <c r="C2193" i="5"/>
  <c r="B2193" i="5"/>
  <c r="T2192" i="5"/>
  <c r="S2192" i="5"/>
  <c r="R2192" i="5"/>
  <c r="Q2192" i="5"/>
  <c r="N2192" i="5"/>
  <c r="M2192" i="5"/>
  <c r="L2192" i="5"/>
  <c r="C2192" i="5"/>
  <c r="B2192" i="5"/>
  <c r="T2191" i="5"/>
  <c r="S2191" i="5"/>
  <c r="R2191" i="5"/>
  <c r="Q2191" i="5"/>
  <c r="N2191" i="5"/>
  <c r="M2191" i="5"/>
  <c r="L2191" i="5"/>
  <c r="C2191" i="5"/>
  <c r="B2191" i="5"/>
  <c r="T2190" i="5"/>
  <c r="S2190" i="5"/>
  <c r="R2190" i="5"/>
  <c r="Q2190" i="5"/>
  <c r="N2190" i="5"/>
  <c r="M2190" i="5"/>
  <c r="L2190" i="5"/>
  <c r="C2190" i="5"/>
  <c r="B2190" i="5"/>
  <c r="T2189" i="5"/>
  <c r="S2189" i="5"/>
  <c r="R2189" i="5"/>
  <c r="Q2189" i="5"/>
  <c r="N2189" i="5"/>
  <c r="M2189" i="5"/>
  <c r="L2189" i="5"/>
  <c r="C2189" i="5"/>
  <c r="B2189" i="5"/>
  <c r="T2188" i="5"/>
  <c r="S2188" i="5"/>
  <c r="R2188" i="5"/>
  <c r="Q2188" i="5"/>
  <c r="N2188" i="5"/>
  <c r="M2188" i="5"/>
  <c r="L2188" i="5"/>
  <c r="C2188" i="5"/>
  <c r="B2188" i="5"/>
  <c r="T2187" i="5"/>
  <c r="S2187" i="5"/>
  <c r="R2187" i="5"/>
  <c r="Q2187" i="5"/>
  <c r="M2187" i="5"/>
  <c r="L2187" i="5"/>
  <c r="C2187" i="5"/>
  <c r="N2187" i="5" s="1"/>
  <c r="B2187" i="5"/>
  <c r="T2186" i="5"/>
  <c r="S2186" i="5"/>
  <c r="R2186" i="5"/>
  <c r="Q2186" i="5"/>
  <c r="M2186" i="5"/>
  <c r="L2186" i="5"/>
  <c r="C2186" i="5"/>
  <c r="N2186" i="5" s="1"/>
  <c r="B2186" i="5"/>
  <c r="T2185" i="5"/>
  <c r="S2185" i="5"/>
  <c r="R2185" i="5"/>
  <c r="Q2185" i="5"/>
  <c r="M2185" i="5"/>
  <c r="L2185" i="5"/>
  <c r="C2185" i="5"/>
  <c r="N2185" i="5" s="1"/>
  <c r="B2185" i="5"/>
  <c r="T2184" i="5"/>
  <c r="S2184" i="5"/>
  <c r="R2184" i="5"/>
  <c r="Q2184" i="5"/>
  <c r="N2184" i="5"/>
  <c r="M2184" i="5"/>
  <c r="L2184" i="5"/>
  <c r="C2184" i="5"/>
  <c r="B2184" i="5"/>
  <c r="T2183" i="5"/>
  <c r="S2183" i="5"/>
  <c r="R2183" i="5"/>
  <c r="Q2183" i="5"/>
  <c r="N2183" i="5"/>
  <c r="M2183" i="5"/>
  <c r="L2183" i="5"/>
  <c r="C2183" i="5"/>
  <c r="B2183" i="5"/>
  <c r="T2182" i="5"/>
  <c r="S2182" i="5"/>
  <c r="R2182" i="5"/>
  <c r="Q2182" i="5"/>
  <c r="N2182" i="5"/>
  <c r="M2182" i="5"/>
  <c r="L2182" i="5"/>
  <c r="C2182" i="5"/>
  <c r="B2182" i="5"/>
  <c r="T2181" i="5"/>
  <c r="S2181" i="5"/>
  <c r="R2181" i="5"/>
  <c r="Q2181" i="5"/>
  <c r="N2181" i="5"/>
  <c r="M2181" i="5"/>
  <c r="L2181" i="5"/>
  <c r="C2181" i="5"/>
  <c r="B2181" i="5"/>
  <c r="T2180" i="5"/>
  <c r="S2180" i="5"/>
  <c r="R2180" i="5"/>
  <c r="Q2180" i="5"/>
  <c r="N2180" i="5"/>
  <c r="M2180" i="5"/>
  <c r="L2180" i="5"/>
  <c r="C2180" i="5"/>
  <c r="B2180" i="5"/>
  <c r="T2179" i="5"/>
  <c r="S2179" i="5"/>
  <c r="R2179" i="5"/>
  <c r="Q2179" i="5"/>
  <c r="N2179" i="5"/>
  <c r="M2179" i="5"/>
  <c r="L2179" i="5"/>
  <c r="C2179" i="5"/>
  <c r="B2179" i="5"/>
  <c r="T2178" i="5"/>
  <c r="S2178" i="5"/>
  <c r="R2178" i="5"/>
  <c r="Q2178" i="5"/>
  <c r="M2178" i="5"/>
  <c r="L2178" i="5"/>
  <c r="C2178" i="5"/>
  <c r="N2178" i="5" s="1"/>
  <c r="B2178" i="5"/>
  <c r="T2177" i="5"/>
  <c r="S2177" i="5"/>
  <c r="R2177" i="5"/>
  <c r="Q2177" i="5"/>
  <c r="M2177" i="5"/>
  <c r="L2177" i="5"/>
  <c r="C2177" i="5"/>
  <c r="N2177" i="5" s="1"/>
  <c r="B2177" i="5"/>
  <c r="T2176" i="5"/>
  <c r="S2176" i="5"/>
  <c r="R2176" i="5"/>
  <c r="Q2176" i="5"/>
  <c r="M2176" i="5"/>
  <c r="L2176" i="5"/>
  <c r="C2176" i="5"/>
  <c r="N2176" i="5" s="1"/>
  <c r="B2176" i="5"/>
  <c r="T2175" i="5"/>
  <c r="S2175" i="5"/>
  <c r="R2175" i="5"/>
  <c r="Q2175" i="5"/>
  <c r="M2175" i="5"/>
  <c r="L2175" i="5"/>
  <c r="C2175" i="5"/>
  <c r="N2175" i="5" s="1"/>
  <c r="B2175" i="5"/>
  <c r="T2174" i="5"/>
  <c r="S2174" i="5"/>
  <c r="R2174" i="5"/>
  <c r="Q2174" i="5"/>
  <c r="N2174" i="5"/>
  <c r="M2174" i="5"/>
  <c r="L2174" i="5"/>
  <c r="C2174" i="5"/>
  <c r="B2174" i="5"/>
  <c r="T2173" i="5"/>
  <c r="S2173" i="5"/>
  <c r="R2173" i="5"/>
  <c r="Q2173" i="5"/>
  <c r="N2173" i="5"/>
  <c r="M2173" i="5"/>
  <c r="L2173" i="5"/>
  <c r="C2173" i="5"/>
  <c r="B2173" i="5"/>
  <c r="T2172" i="5"/>
  <c r="S2172" i="5"/>
  <c r="R2172" i="5"/>
  <c r="Q2172" i="5"/>
  <c r="N2172" i="5"/>
  <c r="M2172" i="5"/>
  <c r="L2172" i="5"/>
  <c r="C2172" i="5"/>
  <c r="B2172" i="5"/>
  <c r="T2171" i="5"/>
  <c r="S2171" i="5"/>
  <c r="R2171" i="5"/>
  <c r="Q2171" i="5"/>
  <c r="N2171" i="5"/>
  <c r="M2171" i="5"/>
  <c r="L2171" i="5"/>
  <c r="C2171" i="5"/>
  <c r="B2171" i="5"/>
  <c r="T2170" i="5"/>
  <c r="S2170" i="5"/>
  <c r="R2170" i="5"/>
  <c r="Q2170" i="5"/>
  <c r="M2170" i="5"/>
  <c r="L2170" i="5"/>
  <c r="C2170" i="5"/>
  <c r="N2170" i="5" s="1"/>
  <c r="B2170" i="5"/>
  <c r="T2169" i="5"/>
  <c r="S2169" i="5"/>
  <c r="R2169" i="5"/>
  <c r="Q2169" i="5"/>
  <c r="N2169" i="5"/>
  <c r="M2169" i="5"/>
  <c r="L2169" i="5"/>
  <c r="C2169" i="5"/>
  <c r="B2169" i="5"/>
  <c r="T2168" i="5"/>
  <c r="S2168" i="5"/>
  <c r="R2168" i="5"/>
  <c r="Q2168" i="5"/>
  <c r="M2168" i="5"/>
  <c r="L2168" i="5"/>
  <c r="C2168" i="5"/>
  <c r="N2168" i="5" s="1"/>
  <c r="B2168" i="5"/>
  <c r="T2167" i="5"/>
  <c r="S2167" i="5"/>
  <c r="R2167" i="5"/>
  <c r="Q2167" i="5"/>
  <c r="M2167" i="5"/>
  <c r="L2167" i="5"/>
  <c r="C2167" i="5"/>
  <c r="N2167" i="5" s="1"/>
  <c r="B2167" i="5"/>
  <c r="T2166" i="5"/>
  <c r="S2166" i="5"/>
  <c r="R2166" i="5"/>
  <c r="Q2166" i="5"/>
  <c r="M2166" i="5"/>
  <c r="L2166" i="5"/>
  <c r="C2166" i="5"/>
  <c r="N2166" i="5" s="1"/>
  <c r="B2166" i="5"/>
  <c r="T2165" i="5"/>
  <c r="S2165" i="5"/>
  <c r="R2165" i="5"/>
  <c r="Q2165" i="5"/>
  <c r="M2165" i="5"/>
  <c r="L2165" i="5"/>
  <c r="C2165" i="5"/>
  <c r="N2165" i="5" s="1"/>
  <c r="B2165" i="5"/>
  <c r="T2164" i="5"/>
  <c r="S2164" i="5"/>
  <c r="R2164" i="5"/>
  <c r="Q2164" i="5"/>
  <c r="N2164" i="5"/>
  <c r="M2164" i="5"/>
  <c r="L2164" i="5"/>
  <c r="C2164" i="5"/>
  <c r="B2164" i="5"/>
  <c r="T2163" i="5"/>
  <c r="S2163" i="5"/>
  <c r="R2163" i="5"/>
  <c r="Q2163" i="5"/>
  <c r="N2163" i="5"/>
  <c r="M2163" i="5"/>
  <c r="L2163" i="5"/>
  <c r="C2163" i="5"/>
  <c r="B2163" i="5"/>
  <c r="T2162" i="5"/>
  <c r="S2162" i="5"/>
  <c r="R2162" i="5"/>
  <c r="Q2162" i="5"/>
  <c r="N2162" i="5"/>
  <c r="M2162" i="5"/>
  <c r="L2162" i="5"/>
  <c r="C2162" i="5"/>
  <c r="B2162" i="5"/>
  <c r="T2161" i="5"/>
  <c r="S2161" i="5"/>
  <c r="R2161" i="5"/>
  <c r="Q2161" i="5"/>
  <c r="N2161" i="5"/>
  <c r="M2161" i="5"/>
  <c r="L2161" i="5"/>
  <c r="C2161" i="5"/>
  <c r="B2161" i="5"/>
  <c r="T2160" i="5"/>
  <c r="S2160" i="5"/>
  <c r="R2160" i="5"/>
  <c r="Q2160" i="5"/>
  <c r="N2160" i="5"/>
  <c r="M2160" i="5"/>
  <c r="L2160" i="5"/>
  <c r="C2160" i="5"/>
  <c r="B2160" i="5"/>
  <c r="T2159" i="5"/>
  <c r="S2159" i="5"/>
  <c r="R2159" i="5"/>
  <c r="Q2159" i="5"/>
  <c r="N2159" i="5"/>
  <c r="M2159" i="5"/>
  <c r="L2159" i="5"/>
  <c r="C2159" i="5"/>
  <c r="B2159" i="5"/>
  <c r="T2158" i="5"/>
  <c r="S2158" i="5"/>
  <c r="R2158" i="5"/>
  <c r="Q2158" i="5"/>
  <c r="N2158" i="5"/>
  <c r="M2158" i="5"/>
  <c r="L2158" i="5"/>
  <c r="C2158" i="5"/>
  <c r="B2158" i="5"/>
  <c r="T2157" i="5"/>
  <c r="S2157" i="5"/>
  <c r="R2157" i="5"/>
  <c r="Q2157" i="5"/>
  <c r="M2157" i="5"/>
  <c r="L2157" i="5"/>
  <c r="C2157" i="5"/>
  <c r="N2157" i="5" s="1"/>
  <c r="B2157" i="5"/>
  <c r="T2156" i="5"/>
  <c r="S2156" i="5"/>
  <c r="R2156" i="5"/>
  <c r="Q2156" i="5"/>
  <c r="M2156" i="5"/>
  <c r="L2156" i="5"/>
  <c r="C2156" i="5"/>
  <c r="N2156" i="5" s="1"/>
  <c r="B2156" i="5"/>
  <c r="T2155" i="5"/>
  <c r="S2155" i="5"/>
  <c r="R2155" i="5"/>
  <c r="Q2155" i="5"/>
  <c r="M2155" i="5"/>
  <c r="L2155" i="5"/>
  <c r="C2155" i="5"/>
  <c r="N2155" i="5" s="1"/>
  <c r="B2155" i="5"/>
  <c r="T2154" i="5"/>
  <c r="S2154" i="5"/>
  <c r="R2154" i="5"/>
  <c r="Q2154" i="5"/>
  <c r="N2154" i="5"/>
  <c r="M2154" i="5"/>
  <c r="L2154" i="5"/>
  <c r="C2154" i="5"/>
  <c r="B2154" i="5"/>
  <c r="T2153" i="5"/>
  <c r="S2153" i="5"/>
  <c r="R2153" i="5"/>
  <c r="Q2153" i="5"/>
  <c r="N2153" i="5"/>
  <c r="M2153" i="5"/>
  <c r="L2153" i="5"/>
  <c r="C2153" i="5"/>
  <c r="B2153" i="5"/>
  <c r="T2152" i="5"/>
  <c r="S2152" i="5"/>
  <c r="R2152" i="5"/>
  <c r="Q2152" i="5"/>
  <c r="N2152" i="5"/>
  <c r="M2152" i="5"/>
  <c r="L2152" i="5"/>
  <c r="C2152" i="5"/>
  <c r="B2152" i="5"/>
  <c r="T2151" i="5"/>
  <c r="S2151" i="5"/>
  <c r="R2151" i="5"/>
  <c r="Q2151" i="5"/>
  <c r="N2151" i="5"/>
  <c r="M2151" i="5"/>
  <c r="L2151" i="5"/>
  <c r="C2151" i="5"/>
  <c r="B2151" i="5"/>
  <c r="T2150" i="5"/>
  <c r="S2150" i="5"/>
  <c r="R2150" i="5"/>
  <c r="Q2150" i="5"/>
  <c r="N2150" i="5"/>
  <c r="M2150" i="5"/>
  <c r="L2150" i="5"/>
  <c r="C2150" i="5"/>
  <c r="B2150" i="5"/>
  <c r="T2149" i="5"/>
  <c r="S2149" i="5"/>
  <c r="R2149" i="5"/>
  <c r="Q2149" i="5"/>
  <c r="N2149" i="5"/>
  <c r="M2149" i="5"/>
  <c r="L2149" i="5"/>
  <c r="C2149" i="5"/>
  <c r="B2149" i="5"/>
  <c r="T2148" i="5"/>
  <c r="S2148" i="5"/>
  <c r="R2148" i="5"/>
  <c r="Q2148" i="5"/>
  <c r="M2148" i="5"/>
  <c r="L2148" i="5"/>
  <c r="C2148" i="5"/>
  <c r="N2148" i="5" s="1"/>
  <c r="B2148" i="5"/>
  <c r="T2147" i="5"/>
  <c r="S2147" i="5"/>
  <c r="R2147" i="5"/>
  <c r="Q2147" i="5"/>
  <c r="M2147" i="5"/>
  <c r="L2147" i="5"/>
  <c r="C2147" i="5"/>
  <c r="N2147" i="5" s="1"/>
  <c r="B2147" i="5"/>
  <c r="T2146" i="5"/>
  <c r="S2146" i="5"/>
  <c r="R2146" i="5"/>
  <c r="Q2146" i="5"/>
  <c r="M2146" i="5"/>
  <c r="L2146" i="5"/>
  <c r="C2146" i="5"/>
  <c r="N2146" i="5" s="1"/>
  <c r="B2146" i="5"/>
  <c r="T2145" i="5"/>
  <c r="S2145" i="5"/>
  <c r="R2145" i="5"/>
  <c r="Q2145" i="5"/>
  <c r="M2145" i="5"/>
  <c r="L2145" i="5"/>
  <c r="C2145" i="5"/>
  <c r="N2145" i="5" s="1"/>
  <c r="B2145" i="5"/>
  <c r="T2144" i="5"/>
  <c r="S2144" i="5"/>
  <c r="R2144" i="5"/>
  <c r="Q2144" i="5"/>
  <c r="N2144" i="5"/>
  <c r="M2144" i="5"/>
  <c r="L2144" i="5"/>
  <c r="C2144" i="5"/>
  <c r="B2144" i="5"/>
  <c r="T2143" i="5"/>
  <c r="S2143" i="5"/>
  <c r="R2143" i="5"/>
  <c r="Q2143" i="5"/>
  <c r="N2143" i="5"/>
  <c r="M2143" i="5"/>
  <c r="L2143" i="5"/>
  <c r="C2143" i="5"/>
  <c r="B2143" i="5"/>
  <c r="T2142" i="5"/>
  <c r="S2142" i="5"/>
  <c r="R2142" i="5"/>
  <c r="Q2142" i="5"/>
  <c r="N2142" i="5"/>
  <c r="M2142" i="5"/>
  <c r="L2142" i="5"/>
  <c r="C2142" i="5"/>
  <c r="B2142" i="5"/>
  <c r="T2141" i="5"/>
  <c r="S2141" i="5"/>
  <c r="R2141" i="5"/>
  <c r="Q2141" i="5"/>
  <c r="N2141" i="5"/>
  <c r="M2141" i="5"/>
  <c r="L2141" i="5"/>
  <c r="C2141" i="5"/>
  <c r="B2141" i="5"/>
  <c r="T2140" i="5"/>
  <c r="S2140" i="5"/>
  <c r="R2140" i="5"/>
  <c r="Q2140" i="5"/>
  <c r="M2140" i="5"/>
  <c r="L2140" i="5"/>
  <c r="C2140" i="5"/>
  <c r="N2140" i="5" s="1"/>
  <c r="B2140" i="5"/>
  <c r="T2139" i="5"/>
  <c r="S2139" i="5"/>
  <c r="R2139" i="5"/>
  <c r="Q2139" i="5"/>
  <c r="N2139" i="5"/>
  <c r="M2139" i="5"/>
  <c r="L2139" i="5"/>
  <c r="C2139" i="5"/>
  <c r="B2139" i="5"/>
  <c r="T2138" i="5"/>
  <c r="S2138" i="5"/>
  <c r="R2138" i="5"/>
  <c r="Q2138" i="5"/>
  <c r="M2138" i="5"/>
  <c r="L2138" i="5"/>
  <c r="C2138" i="5"/>
  <c r="N2138" i="5" s="1"/>
  <c r="B2138" i="5"/>
  <c r="T2137" i="5"/>
  <c r="S2137" i="5"/>
  <c r="R2137" i="5"/>
  <c r="Q2137" i="5"/>
  <c r="M2137" i="5"/>
  <c r="L2137" i="5"/>
  <c r="C2137" i="5"/>
  <c r="N2137" i="5" s="1"/>
  <c r="B2137" i="5"/>
  <c r="T2136" i="5"/>
  <c r="S2136" i="5"/>
  <c r="R2136" i="5"/>
  <c r="Q2136" i="5"/>
  <c r="M2136" i="5"/>
  <c r="L2136" i="5"/>
  <c r="C2136" i="5"/>
  <c r="N2136" i="5" s="1"/>
  <c r="B2136" i="5"/>
  <c r="T2135" i="5"/>
  <c r="S2135" i="5"/>
  <c r="R2135" i="5"/>
  <c r="Q2135" i="5"/>
  <c r="M2135" i="5"/>
  <c r="L2135" i="5"/>
  <c r="C2135" i="5"/>
  <c r="N2135" i="5" s="1"/>
  <c r="B2135" i="5"/>
  <c r="T2134" i="5"/>
  <c r="S2134" i="5"/>
  <c r="R2134" i="5"/>
  <c r="Q2134" i="5"/>
  <c r="N2134" i="5"/>
  <c r="M2134" i="5"/>
  <c r="L2134" i="5"/>
  <c r="C2134" i="5"/>
  <c r="B2134" i="5"/>
  <c r="T2133" i="5"/>
  <c r="S2133" i="5"/>
  <c r="R2133" i="5"/>
  <c r="Q2133" i="5"/>
  <c r="N2133" i="5"/>
  <c r="M2133" i="5"/>
  <c r="L2133" i="5"/>
  <c r="C2133" i="5"/>
  <c r="B2133" i="5"/>
  <c r="T2132" i="5"/>
  <c r="S2132" i="5"/>
  <c r="R2132" i="5"/>
  <c r="Q2132" i="5"/>
  <c r="N2132" i="5"/>
  <c r="M2132" i="5"/>
  <c r="L2132" i="5"/>
  <c r="C2132" i="5"/>
  <c r="B2132" i="5"/>
  <c r="T2131" i="5"/>
  <c r="S2131" i="5"/>
  <c r="R2131" i="5"/>
  <c r="Q2131" i="5"/>
  <c r="N2131" i="5"/>
  <c r="M2131" i="5"/>
  <c r="L2131" i="5"/>
  <c r="C2131" i="5"/>
  <c r="B2131" i="5"/>
  <c r="T2130" i="5"/>
  <c r="S2130" i="5"/>
  <c r="R2130" i="5"/>
  <c r="Q2130" i="5"/>
  <c r="M2130" i="5"/>
  <c r="L2130" i="5"/>
  <c r="C2130" i="5"/>
  <c r="N2130" i="5" s="1"/>
  <c r="B2130" i="5"/>
  <c r="T2129" i="5"/>
  <c r="S2129" i="5"/>
  <c r="R2129" i="5"/>
  <c r="Q2129" i="5"/>
  <c r="N2129" i="5"/>
  <c r="M2129" i="5"/>
  <c r="L2129" i="5"/>
  <c r="C2129" i="5"/>
  <c r="B2129" i="5"/>
  <c r="T2128" i="5"/>
  <c r="S2128" i="5"/>
  <c r="R2128" i="5"/>
  <c r="Q2128" i="5"/>
  <c r="N2128" i="5"/>
  <c r="M2128" i="5"/>
  <c r="L2128" i="5"/>
  <c r="C2128" i="5"/>
  <c r="B2128" i="5"/>
  <c r="T2127" i="5"/>
  <c r="S2127" i="5"/>
  <c r="R2127" i="5"/>
  <c r="Q2127" i="5"/>
  <c r="M2127" i="5"/>
  <c r="L2127" i="5"/>
  <c r="C2127" i="5"/>
  <c r="N2127" i="5" s="1"/>
  <c r="B2127" i="5"/>
  <c r="T2126" i="5"/>
  <c r="S2126" i="5"/>
  <c r="R2126" i="5"/>
  <c r="Q2126" i="5"/>
  <c r="M2126" i="5"/>
  <c r="L2126" i="5"/>
  <c r="C2126" i="5"/>
  <c r="N2126" i="5" s="1"/>
  <c r="B2126" i="5"/>
  <c r="T2125" i="5"/>
  <c r="S2125" i="5"/>
  <c r="R2125" i="5"/>
  <c r="Q2125" i="5"/>
  <c r="M2125" i="5"/>
  <c r="L2125" i="5"/>
  <c r="C2125" i="5"/>
  <c r="N2125" i="5" s="1"/>
  <c r="B2125" i="5"/>
  <c r="T2124" i="5"/>
  <c r="S2124" i="5"/>
  <c r="R2124" i="5"/>
  <c r="Q2124" i="5"/>
  <c r="N2124" i="5"/>
  <c r="M2124" i="5"/>
  <c r="L2124" i="5"/>
  <c r="C2124" i="5"/>
  <c r="B2124" i="5"/>
  <c r="T2123" i="5"/>
  <c r="S2123" i="5"/>
  <c r="R2123" i="5"/>
  <c r="Q2123" i="5"/>
  <c r="N2123" i="5"/>
  <c r="M2123" i="5"/>
  <c r="L2123" i="5"/>
  <c r="C2123" i="5"/>
  <c r="B2123" i="5"/>
  <c r="T2122" i="5"/>
  <c r="S2122" i="5"/>
  <c r="R2122" i="5"/>
  <c r="Q2122" i="5"/>
  <c r="N2122" i="5"/>
  <c r="M2122" i="5"/>
  <c r="L2122" i="5"/>
  <c r="C2122" i="5"/>
  <c r="B2122" i="5"/>
  <c r="T2121" i="5"/>
  <c r="S2121" i="5"/>
  <c r="R2121" i="5"/>
  <c r="Q2121" i="5"/>
  <c r="N2121" i="5"/>
  <c r="M2121" i="5"/>
  <c r="L2121" i="5"/>
  <c r="C2121" i="5"/>
  <c r="B2121" i="5"/>
  <c r="T2120" i="5"/>
  <c r="S2120" i="5"/>
  <c r="R2120" i="5"/>
  <c r="Q2120" i="5"/>
  <c r="N2120" i="5"/>
  <c r="M2120" i="5"/>
  <c r="L2120" i="5"/>
  <c r="C2120" i="5"/>
  <c r="B2120" i="5"/>
  <c r="T2119" i="5"/>
  <c r="S2119" i="5"/>
  <c r="R2119" i="5"/>
  <c r="Q2119" i="5"/>
  <c r="N2119" i="5"/>
  <c r="M2119" i="5"/>
  <c r="L2119" i="5"/>
  <c r="C2119" i="5"/>
  <c r="B2119" i="5"/>
  <c r="T2118" i="5"/>
  <c r="S2118" i="5"/>
  <c r="R2118" i="5"/>
  <c r="Q2118" i="5"/>
  <c r="N2118" i="5"/>
  <c r="M2118" i="5"/>
  <c r="L2118" i="5"/>
  <c r="C2118" i="5"/>
  <c r="B2118" i="5"/>
  <c r="T2117" i="5"/>
  <c r="S2117" i="5"/>
  <c r="R2117" i="5"/>
  <c r="Q2117" i="5"/>
  <c r="M2117" i="5"/>
  <c r="L2117" i="5"/>
  <c r="C2117" i="5"/>
  <c r="N2117" i="5" s="1"/>
  <c r="B2117" i="5"/>
  <c r="T2116" i="5"/>
  <c r="S2116" i="5"/>
  <c r="R2116" i="5"/>
  <c r="Q2116" i="5"/>
  <c r="M2116" i="5"/>
  <c r="L2116" i="5"/>
  <c r="C2116" i="5"/>
  <c r="N2116" i="5" s="1"/>
  <c r="B2116" i="5"/>
  <c r="T2115" i="5"/>
  <c r="S2115" i="5"/>
  <c r="R2115" i="5"/>
  <c r="Q2115" i="5"/>
  <c r="M2115" i="5"/>
  <c r="L2115" i="5"/>
  <c r="C2115" i="5"/>
  <c r="N2115" i="5" s="1"/>
  <c r="B2115" i="5"/>
  <c r="T2114" i="5"/>
  <c r="S2114" i="5"/>
  <c r="R2114" i="5"/>
  <c r="Q2114" i="5"/>
  <c r="N2114" i="5"/>
  <c r="M2114" i="5"/>
  <c r="L2114" i="5"/>
  <c r="C2114" i="5"/>
  <c r="B2114" i="5"/>
  <c r="T2113" i="5"/>
  <c r="S2113" i="5"/>
  <c r="R2113" i="5"/>
  <c r="Q2113" i="5"/>
  <c r="N2113" i="5"/>
  <c r="M2113" i="5"/>
  <c r="L2113" i="5"/>
  <c r="C2113" i="5"/>
  <c r="B2113" i="5"/>
  <c r="T2112" i="5"/>
  <c r="S2112" i="5"/>
  <c r="R2112" i="5"/>
  <c r="Q2112" i="5"/>
  <c r="N2112" i="5"/>
  <c r="M2112" i="5"/>
  <c r="L2112" i="5"/>
  <c r="C2112" i="5"/>
  <c r="B2112" i="5"/>
  <c r="T2111" i="5"/>
  <c r="S2111" i="5"/>
  <c r="R2111" i="5"/>
  <c r="Q2111" i="5"/>
  <c r="N2111" i="5"/>
  <c r="M2111" i="5"/>
  <c r="L2111" i="5"/>
  <c r="C2111" i="5"/>
  <c r="B2111" i="5"/>
  <c r="T2110" i="5"/>
  <c r="S2110" i="5"/>
  <c r="R2110" i="5"/>
  <c r="Q2110" i="5"/>
  <c r="M2110" i="5"/>
  <c r="L2110" i="5"/>
  <c r="C2110" i="5"/>
  <c r="N2110" i="5" s="1"/>
  <c r="B2110" i="5"/>
  <c r="T2109" i="5"/>
  <c r="S2109" i="5"/>
  <c r="R2109" i="5"/>
  <c r="Q2109" i="5"/>
  <c r="N2109" i="5"/>
  <c r="M2109" i="5"/>
  <c r="L2109" i="5"/>
  <c r="C2109" i="5"/>
  <c r="B2109" i="5"/>
  <c r="T2108" i="5"/>
  <c r="S2108" i="5"/>
  <c r="R2108" i="5"/>
  <c r="Q2108" i="5"/>
  <c r="M2108" i="5"/>
  <c r="L2108" i="5"/>
  <c r="C2108" i="5"/>
  <c r="N2108" i="5" s="1"/>
  <c r="B2108" i="5"/>
  <c r="T2107" i="5"/>
  <c r="S2107" i="5"/>
  <c r="R2107" i="5"/>
  <c r="Q2107" i="5"/>
  <c r="M2107" i="5"/>
  <c r="L2107" i="5"/>
  <c r="C2107" i="5"/>
  <c r="N2107" i="5" s="1"/>
  <c r="B2107" i="5"/>
  <c r="T2106" i="5"/>
  <c r="S2106" i="5"/>
  <c r="R2106" i="5"/>
  <c r="Q2106" i="5"/>
  <c r="M2106" i="5"/>
  <c r="L2106" i="5"/>
  <c r="C2106" i="5"/>
  <c r="N2106" i="5" s="1"/>
  <c r="B2106" i="5"/>
  <c r="T2105" i="5"/>
  <c r="S2105" i="5"/>
  <c r="R2105" i="5"/>
  <c r="Q2105" i="5"/>
  <c r="M2105" i="5"/>
  <c r="L2105" i="5"/>
  <c r="C2105" i="5"/>
  <c r="N2105" i="5" s="1"/>
  <c r="B2105" i="5"/>
  <c r="T2104" i="5"/>
  <c r="S2104" i="5"/>
  <c r="R2104" i="5"/>
  <c r="Q2104" i="5"/>
  <c r="N2104" i="5"/>
  <c r="M2104" i="5"/>
  <c r="L2104" i="5"/>
  <c r="C2104" i="5"/>
  <c r="B2104" i="5"/>
  <c r="T2103" i="5"/>
  <c r="S2103" i="5"/>
  <c r="R2103" i="5"/>
  <c r="Q2103" i="5"/>
  <c r="N2103" i="5"/>
  <c r="M2103" i="5"/>
  <c r="L2103" i="5"/>
  <c r="C2103" i="5"/>
  <c r="B2103" i="5"/>
  <c r="T2102" i="5"/>
  <c r="S2102" i="5"/>
  <c r="R2102" i="5"/>
  <c r="Q2102" i="5"/>
  <c r="N2102" i="5"/>
  <c r="M2102" i="5"/>
  <c r="L2102" i="5"/>
  <c r="C2102" i="5"/>
  <c r="B2102" i="5"/>
  <c r="T2101" i="5"/>
  <c r="S2101" i="5"/>
  <c r="R2101" i="5"/>
  <c r="Q2101" i="5"/>
  <c r="N2101" i="5"/>
  <c r="M2101" i="5"/>
  <c r="L2101" i="5"/>
  <c r="C2101" i="5"/>
  <c r="B2101" i="5"/>
  <c r="T2100" i="5"/>
  <c r="S2100" i="5"/>
  <c r="R2100" i="5"/>
  <c r="Q2100" i="5"/>
  <c r="M2100" i="5"/>
  <c r="L2100" i="5"/>
  <c r="C2100" i="5"/>
  <c r="N2100" i="5" s="1"/>
  <c r="B2100" i="5"/>
  <c r="T2099" i="5"/>
  <c r="S2099" i="5"/>
  <c r="R2099" i="5"/>
  <c r="Q2099" i="5"/>
  <c r="N2099" i="5"/>
  <c r="M2099" i="5"/>
  <c r="L2099" i="5"/>
  <c r="C2099" i="5"/>
  <c r="B2099" i="5"/>
  <c r="T2098" i="5"/>
  <c r="S2098" i="5"/>
  <c r="R2098" i="5"/>
  <c r="Q2098" i="5"/>
  <c r="N2098" i="5"/>
  <c r="M2098" i="5"/>
  <c r="L2098" i="5"/>
  <c r="C2098" i="5"/>
  <c r="B2098" i="5"/>
  <c r="T2097" i="5"/>
  <c r="S2097" i="5"/>
  <c r="R2097" i="5"/>
  <c r="Q2097" i="5"/>
  <c r="M2097" i="5"/>
  <c r="L2097" i="5"/>
  <c r="C2097" i="5"/>
  <c r="N2097" i="5" s="1"/>
  <c r="B2097" i="5"/>
  <c r="T2096" i="5"/>
  <c r="S2096" i="5"/>
  <c r="R2096" i="5"/>
  <c r="Q2096" i="5"/>
  <c r="M2096" i="5"/>
  <c r="L2096" i="5"/>
  <c r="C2096" i="5"/>
  <c r="N2096" i="5" s="1"/>
  <c r="B2096" i="5"/>
  <c r="T2095" i="5"/>
  <c r="S2095" i="5"/>
  <c r="R2095" i="5"/>
  <c r="Q2095" i="5"/>
  <c r="M2095" i="5"/>
  <c r="L2095" i="5"/>
  <c r="C2095" i="5"/>
  <c r="N2095" i="5" s="1"/>
  <c r="B2095" i="5"/>
  <c r="T2094" i="5"/>
  <c r="S2094" i="5"/>
  <c r="R2094" i="5"/>
  <c r="Q2094" i="5"/>
  <c r="N2094" i="5"/>
  <c r="M2094" i="5"/>
  <c r="L2094" i="5"/>
  <c r="C2094" i="5"/>
  <c r="B2094" i="5"/>
  <c r="T2093" i="5"/>
  <c r="S2093" i="5"/>
  <c r="R2093" i="5"/>
  <c r="Q2093" i="5"/>
  <c r="N2093" i="5"/>
  <c r="M2093" i="5"/>
  <c r="L2093" i="5"/>
  <c r="C2093" i="5"/>
  <c r="B2093" i="5"/>
  <c r="T2092" i="5"/>
  <c r="S2092" i="5"/>
  <c r="R2092" i="5"/>
  <c r="Q2092" i="5"/>
  <c r="N2092" i="5"/>
  <c r="M2092" i="5"/>
  <c r="L2092" i="5"/>
  <c r="C2092" i="5"/>
  <c r="B2092" i="5"/>
  <c r="T2091" i="5"/>
  <c r="S2091" i="5"/>
  <c r="R2091" i="5"/>
  <c r="Q2091" i="5"/>
  <c r="N2091" i="5"/>
  <c r="M2091" i="5"/>
  <c r="L2091" i="5"/>
  <c r="C2091" i="5"/>
  <c r="B2091" i="5"/>
  <c r="T2090" i="5"/>
  <c r="S2090" i="5"/>
  <c r="R2090" i="5"/>
  <c r="Q2090" i="5"/>
  <c r="N2090" i="5"/>
  <c r="M2090" i="5"/>
  <c r="L2090" i="5"/>
  <c r="C2090" i="5"/>
  <c r="B2090" i="5"/>
  <c r="T2089" i="5"/>
  <c r="S2089" i="5"/>
  <c r="R2089" i="5"/>
  <c r="Q2089" i="5"/>
  <c r="N2089" i="5"/>
  <c r="M2089" i="5"/>
  <c r="L2089" i="5"/>
  <c r="C2089" i="5"/>
  <c r="B2089" i="5"/>
  <c r="T2088" i="5"/>
  <c r="S2088" i="5"/>
  <c r="R2088" i="5"/>
  <c r="Q2088" i="5"/>
  <c r="N2088" i="5"/>
  <c r="M2088" i="5"/>
  <c r="L2088" i="5"/>
  <c r="C2088" i="5"/>
  <c r="B2088" i="5"/>
  <c r="T2087" i="5"/>
  <c r="S2087" i="5"/>
  <c r="R2087" i="5"/>
  <c r="Q2087" i="5"/>
  <c r="M2087" i="5"/>
  <c r="L2087" i="5"/>
  <c r="C2087" i="5"/>
  <c r="N2087" i="5" s="1"/>
  <c r="B2087" i="5"/>
  <c r="T2086" i="5"/>
  <c r="S2086" i="5"/>
  <c r="R2086" i="5"/>
  <c r="Q2086" i="5"/>
  <c r="M2086" i="5"/>
  <c r="L2086" i="5"/>
  <c r="C2086" i="5"/>
  <c r="N2086" i="5" s="1"/>
  <c r="B2086" i="5"/>
  <c r="T2085" i="5"/>
  <c r="S2085" i="5"/>
  <c r="R2085" i="5"/>
  <c r="Q2085" i="5"/>
  <c r="M2085" i="5"/>
  <c r="L2085" i="5"/>
  <c r="C2085" i="5"/>
  <c r="N2085" i="5" s="1"/>
  <c r="B2085" i="5"/>
  <c r="T2084" i="5"/>
  <c r="S2084" i="5"/>
  <c r="R2084" i="5"/>
  <c r="Q2084" i="5"/>
  <c r="N2084" i="5"/>
  <c r="M2084" i="5"/>
  <c r="L2084" i="5"/>
  <c r="C2084" i="5"/>
  <c r="B2084" i="5"/>
  <c r="T2083" i="5"/>
  <c r="S2083" i="5"/>
  <c r="R2083" i="5"/>
  <c r="Q2083" i="5"/>
  <c r="N2083" i="5"/>
  <c r="M2083" i="5"/>
  <c r="L2083" i="5"/>
  <c r="C2083" i="5"/>
  <c r="B2083" i="5"/>
  <c r="T2082" i="5"/>
  <c r="S2082" i="5"/>
  <c r="R2082" i="5"/>
  <c r="Q2082" i="5"/>
  <c r="N2082" i="5"/>
  <c r="M2082" i="5"/>
  <c r="L2082" i="5"/>
  <c r="C2082" i="5"/>
  <c r="B2082" i="5"/>
  <c r="T2081" i="5"/>
  <c r="S2081" i="5"/>
  <c r="R2081" i="5"/>
  <c r="Q2081" i="5"/>
  <c r="N2081" i="5"/>
  <c r="M2081" i="5"/>
  <c r="L2081" i="5"/>
  <c r="C2081" i="5"/>
  <c r="B2081" i="5"/>
  <c r="T2080" i="5"/>
  <c r="S2080" i="5"/>
  <c r="R2080" i="5"/>
  <c r="Q2080" i="5"/>
  <c r="N2080" i="5"/>
  <c r="M2080" i="5"/>
  <c r="L2080" i="5"/>
  <c r="C2080" i="5"/>
  <c r="B2080" i="5"/>
  <c r="T2079" i="5"/>
  <c r="S2079" i="5"/>
  <c r="R2079" i="5"/>
  <c r="Q2079" i="5"/>
  <c r="N2079" i="5"/>
  <c r="M2079" i="5"/>
  <c r="L2079" i="5"/>
  <c r="C2079" i="5"/>
  <c r="B2079" i="5"/>
  <c r="T2078" i="5"/>
  <c r="S2078" i="5"/>
  <c r="R2078" i="5"/>
  <c r="Q2078" i="5"/>
  <c r="M2078" i="5"/>
  <c r="L2078" i="5"/>
  <c r="C2078" i="5"/>
  <c r="N2078" i="5" s="1"/>
  <c r="B2078" i="5"/>
  <c r="T2077" i="5"/>
  <c r="S2077" i="5"/>
  <c r="R2077" i="5"/>
  <c r="Q2077" i="5"/>
  <c r="M2077" i="5"/>
  <c r="L2077" i="5"/>
  <c r="C2077" i="5"/>
  <c r="N2077" i="5" s="1"/>
  <c r="B2077" i="5"/>
  <c r="T2076" i="5"/>
  <c r="S2076" i="5"/>
  <c r="R2076" i="5"/>
  <c r="Q2076" i="5"/>
  <c r="M2076" i="5"/>
  <c r="L2076" i="5"/>
  <c r="C2076" i="5"/>
  <c r="N2076" i="5" s="1"/>
  <c r="B2076" i="5"/>
  <c r="T2075" i="5"/>
  <c r="S2075" i="5"/>
  <c r="R2075" i="5"/>
  <c r="Q2075" i="5"/>
  <c r="M2075" i="5"/>
  <c r="L2075" i="5"/>
  <c r="C2075" i="5"/>
  <c r="N2075" i="5" s="1"/>
  <c r="B2075" i="5"/>
  <c r="T2074" i="5"/>
  <c r="S2074" i="5"/>
  <c r="R2074" i="5"/>
  <c r="Q2074" i="5"/>
  <c r="N2074" i="5"/>
  <c r="M2074" i="5"/>
  <c r="L2074" i="5"/>
  <c r="C2074" i="5"/>
  <c r="B2074" i="5"/>
  <c r="T2073" i="5"/>
  <c r="S2073" i="5"/>
  <c r="R2073" i="5"/>
  <c r="Q2073" i="5"/>
  <c r="N2073" i="5"/>
  <c r="M2073" i="5"/>
  <c r="L2073" i="5"/>
  <c r="C2073" i="5"/>
  <c r="B2073" i="5"/>
  <c r="T2072" i="5"/>
  <c r="S2072" i="5"/>
  <c r="R2072" i="5"/>
  <c r="Q2072" i="5"/>
  <c r="N2072" i="5"/>
  <c r="M2072" i="5"/>
  <c r="L2072" i="5"/>
  <c r="C2072" i="5"/>
  <c r="B2072" i="5"/>
  <c r="T2071" i="5"/>
  <c r="S2071" i="5"/>
  <c r="R2071" i="5"/>
  <c r="Q2071" i="5"/>
  <c r="N2071" i="5"/>
  <c r="M2071" i="5"/>
  <c r="L2071" i="5"/>
  <c r="C2071" i="5"/>
  <c r="B2071" i="5"/>
  <c r="T2070" i="5"/>
  <c r="S2070" i="5"/>
  <c r="R2070" i="5"/>
  <c r="Q2070" i="5"/>
  <c r="M2070" i="5"/>
  <c r="L2070" i="5"/>
  <c r="C2070" i="5"/>
  <c r="N2070" i="5" s="1"/>
  <c r="B2070" i="5"/>
  <c r="T2069" i="5"/>
  <c r="S2069" i="5"/>
  <c r="R2069" i="5"/>
  <c r="Q2069" i="5"/>
  <c r="N2069" i="5"/>
  <c r="M2069" i="5"/>
  <c r="L2069" i="5"/>
  <c r="C2069" i="5"/>
  <c r="B2069" i="5"/>
  <c r="T2068" i="5"/>
  <c r="S2068" i="5"/>
  <c r="R2068" i="5"/>
  <c r="Q2068" i="5"/>
  <c r="M2068" i="5"/>
  <c r="L2068" i="5"/>
  <c r="C2068" i="5"/>
  <c r="N2068" i="5" s="1"/>
  <c r="B2068" i="5"/>
  <c r="T2067" i="5"/>
  <c r="S2067" i="5"/>
  <c r="R2067" i="5"/>
  <c r="Q2067" i="5"/>
  <c r="M2067" i="5"/>
  <c r="L2067" i="5"/>
  <c r="C2067" i="5"/>
  <c r="N2067" i="5" s="1"/>
  <c r="B2067" i="5"/>
  <c r="T2066" i="5"/>
  <c r="S2066" i="5"/>
  <c r="R2066" i="5"/>
  <c r="Q2066" i="5"/>
  <c r="M2066" i="5"/>
  <c r="L2066" i="5"/>
  <c r="C2066" i="5"/>
  <c r="N2066" i="5" s="1"/>
  <c r="B2066" i="5"/>
  <c r="T2065" i="5"/>
  <c r="S2065" i="5"/>
  <c r="R2065" i="5"/>
  <c r="Q2065" i="5"/>
  <c r="M2065" i="5"/>
  <c r="L2065" i="5"/>
  <c r="C2065" i="5"/>
  <c r="N2065" i="5" s="1"/>
  <c r="B2065" i="5"/>
  <c r="T2064" i="5"/>
  <c r="S2064" i="5"/>
  <c r="R2064" i="5"/>
  <c r="Q2064" i="5"/>
  <c r="N2064" i="5"/>
  <c r="M2064" i="5"/>
  <c r="L2064" i="5"/>
  <c r="C2064" i="5"/>
  <c r="B2064" i="5"/>
  <c r="T2063" i="5"/>
  <c r="S2063" i="5"/>
  <c r="R2063" i="5"/>
  <c r="Q2063" i="5"/>
  <c r="N2063" i="5"/>
  <c r="M2063" i="5"/>
  <c r="L2063" i="5"/>
  <c r="C2063" i="5"/>
  <c r="B2063" i="5"/>
  <c r="T2062" i="5"/>
  <c r="S2062" i="5"/>
  <c r="R2062" i="5"/>
  <c r="Q2062" i="5"/>
  <c r="N2062" i="5"/>
  <c r="M2062" i="5"/>
  <c r="L2062" i="5"/>
  <c r="C2062" i="5"/>
  <c r="B2062" i="5"/>
  <c r="T2061" i="5"/>
  <c r="S2061" i="5"/>
  <c r="R2061" i="5"/>
  <c r="Q2061" i="5"/>
  <c r="N2061" i="5"/>
  <c r="M2061" i="5"/>
  <c r="L2061" i="5"/>
  <c r="C2061" i="5"/>
  <c r="B2061" i="5"/>
  <c r="T2060" i="5"/>
  <c r="S2060" i="5"/>
  <c r="R2060" i="5"/>
  <c r="Q2060" i="5"/>
  <c r="N2060" i="5"/>
  <c r="M2060" i="5"/>
  <c r="L2060" i="5"/>
  <c r="C2060" i="5"/>
  <c r="B2060" i="5"/>
  <c r="T2059" i="5"/>
  <c r="S2059" i="5"/>
  <c r="R2059" i="5"/>
  <c r="Q2059" i="5"/>
  <c r="N2059" i="5"/>
  <c r="M2059" i="5"/>
  <c r="L2059" i="5"/>
  <c r="C2059" i="5"/>
  <c r="B2059" i="5"/>
  <c r="T2058" i="5"/>
  <c r="S2058" i="5"/>
  <c r="R2058" i="5"/>
  <c r="Q2058" i="5"/>
  <c r="N2058" i="5"/>
  <c r="M2058" i="5"/>
  <c r="L2058" i="5"/>
  <c r="C2058" i="5"/>
  <c r="B2058" i="5"/>
  <c r="T2057" i="5"/>
  <c r="S2057" i="5"/>
  <c r="R2057" i="5"/>
  <c r="Q2057" i="5"/>
  <c r="M2057" i="5"/>
  <c r="L2057" i="5"/>
  <c r="C2057" i="5"/>
  <c r="N2057" i="5" s="1"/>
  <c r="B2057" i="5"/>
  <c r="T2056" i="5"/>
  <c r="S2056" i="5"/>
  <c r="R2056" i="5"/>
  <c r="Q2056" i="5"/>
  <c r="M2056" i="5"/>
  <c r="L2056" i="5"/>
  <c r="C2056" i="5"/>
  <c r="N2056" i="5" s="1"/>
  <c r="B2056" i="5"/>
  <c r="T2055" i="5"/>
  <c r="S2055" i="5"/>
  <c r="R2055" i="5"/>
  <c r="Q2055" i="5"/>
  <c r="M2055" i="5"/>
  <c r="L2055" i="5"/>
  <c r="C2055" i="5"/>
  <c r="N2055" i="5" s="1"/>
  <c r="B2055" i="5"/>
  <c r="T2054" i="5"/>
  <c r="S2054" i="5"/>
  <c r="R2054" i="5"/>
  <c r="Q2054" i="5"/>
  <c r="N2054" i="5"/>
  <c r="M2054" i="5"/>
  <c r="L2054" i="5"/>
  <c r="C2054" i="5"/>
  <c r="B2054" i="5"/>
  <c r="T2053" i="5"/>
  <c r="S2053" i="5"/>
  <c r="R2053" i="5"/>
  <c r="Q2053" i="5"/>
  <c r="N2053" i="5"/>
  <c r="M2053" i="5"/>
  <c r="L2053" i="5"/>
  <c r="C2053" i="5"/>
  <c r="B2053" i="5"/>
  <c r="T2052" i="5"/>
  <c r="S2052" i="5"/>
  <c r="R2052" i="5"/>
  <c r="Q2052" i="5"/>
  <c r="N2052" i="5"/>
  <c r="M2052" i="5"/>
  <c r="L2052" i="5"/>
  <c r="C2052" i="5"/>
  <c r="B2052" i="5"/>
  <c r="T2051" i="5"/>
  <c r="S2051" i="5"/>
  <c r="R2051" i="5"/>
  <c r="Q2051" i="5"/>
  <c r="N2051" i="5"/>
  <c r="M2051" i="5"/>
  <c r="L2051" i="5"/>
  <c r="C2051" i="5"/>
  <c r="B2051" i="5"/>
  <c r="T2050" i="5"/>
  <c r="S2050" i="5"/>
  <c r="R2050" i="5"/>
  <c r="Q2050" i="5"/>
  <c r="N2050" i="5"/>
  <c r="M2050" i="5"/>
  <c r="L2050" i="5"/>
  <c r="C2050" i="5"/>
  <c r="B2050" i="5"/>
  <c r="T2049" i="5"/>
  <c r="S2049" i="5"/>
  <c r="R2049" i="5"/>
  <c r="Q2049" i="5"/>
  <c r="N2049" i="5"/>
  <c r="M2049" i="5"/>
  <c r="L2049" i="5"/>
  <c r="C2049" i="5"/>
  <c r="B2049" i="5"/>
  <c r="T2048" i="5"/>
  <c r="S2048" i="5"/>
  <c r="R2048" i="5"/>
  <c r="Q2048" i="5"/>
  <c r="M2048" i="5"/>
  <c r="L2048" i="5"/>
  <c r="C2048" i="5"/>
  <c r="N2048" i="5" s="1"/>
  <c r="B2048" i="5"/>
  <c r="T2047" i="5"/>
  <c r="S2047" i="5"/>
  <c r="R2047" i="5"/>
  <c r="Q2047" i="5"/>
  <c r="M2047" i="5"/>
  <c r="L2047" i="5"/>
  <c r="C2047" i="5"/>
  <c r="N2047" i="5" s="1"/>
  <c r="B2047" i="5"/>
  <c r="T2046" i="5"/>
  <c r="S2046" i="5"/>
  <c r="R2046" i="5"/>
  <c r="Q2046" i="5"/>
  <c r="M2046" i="5"/>
  <c r="L2046" i="5"/>
  <c r="C2046" i="5"/>
  <c r="N2046" i="5" s="1"/>
  <c r="B2046" i="5"/>
  <c r="T2045" i="5"/>
  <c r="S2045" i="5"/>
  <c r="R2045" i="5"/>
  <c r="Q2045" i="5"/>
  <c r="M2045" i="5"/>
  <c r="L2045" i="5"/>
  <c r="C2045" i="5"/>
  <c r="N2045" i="5" s="1"/>
  <c r="B2045" i="5"/>
  <c r="T2044" i="5"/>
  <c r="S2044" i="5"/>
  <c r="R2044" i="5"/>
  <c r="Q2044" i="5"/>
  <c r="N2044" i="5"/>
  <c r="M2044" i="5"/>
  <c r="L2044" i="5"/>
  <c r="C2044" i="5"/>
  <c r="B2044" i="5"/>
  <c r="T2043" i="5"/>
  <c r="S2043" i="5"/>
  <c r="R2043" i="5"/>
  <c r="Q2043" i="5"/>
  <c r="N2043" i="5"/>
  <c r="M2043" i="5"/>
  <c r="L2043" i="5"/>
  <c r="C2043" i="5"/>
  <c r="B2043" i="5"/>
  <c r="T2042" i="5"/>
  <c r="S2042" i="5"/>
  <c r="R2042" i="5"/>
  <c r="Q2042" i="5"/>
  <c r="N2042" i="5"/>
  <c r="M2042" i="5"/>
  <c r="L2042" i="5"/>
  <c r="C2042" i="5"/>
  <c r="B2042" i="5"/>
  <c r="T2041" i="5"/>
  <c r="S2041" i="5"/>
  <c r="R2041" i="5"/>
  <c r="Q2041" i="5"/>
  <c r="N2041" i="5"/>
  <c r="M2041" i="5"/>
  <c r="L2041" i="5"/>
  <c r="C2041" i="5"/>
  <c r="B2041" i="5"/>
  <c r="T2040" i="5"/>
  <c r="S2040" i="5"/>
  <c r="R2040" i="5"/>
  <c r="Q2040" i="5"/>
  <c r="M2040" i="5"/>
  <c r="L2040" i="5"/>
  <c r="C2040" i="5"/>
  <c r="N2040" i="5" s="1"/>
  <c r="B2040" i="5"/>
  <c r="T2039" i="5"/>
  <c r="S2039" i="5"/>
  <c r="R2039" i="5"/>
  <c r="Q2039" i="5"/>
  <c r="N2039" i="5"/>
  <c r="M2039" i="5"/>
  <c r="L2039" i="5"/>
  <c r="C2039" i="5"/>
  <c r="B2039" i="5"/>
  <c r="T2038" i="5"/>
  <c r="S2038" i="5"/>
  <c r="R2038" i="5"/>
  <c r="Q2038" i="5"/>
  <c r="M2038" i="5"/>
  <c r="L2038" i="5"/>
  <c r="C2038" i="5"/>
  <c r="N2038" i="5" s="1"/>
  <c r="B2038" i="5"/>
  <c r="T2037" i="5"/>
  <c r="S2037" i="5"/>
  <c r="R2037" i="5"/>
  <c r="Q2037" i="5"/>
  <c r="M2037" i="5"/>
  <c r="L2037" i="5"/>
  <c r="C2037" i="5"/>
  <c r="N2037" i="5" s="1"/>
  <c r="B2037" i="5"/>
  <c r="T2036" i="5"/>
  <c r="S2036" i="5"/>
  <c r="R2036" i="5"/>
  <c r="Q2036" i="5"/>
  <c r="M2036" i="5"/>
  <c r="L2036" i="5"/>
  <c r="C2036" i="5"/>
  <c r="N2036" i="5" s="1"/>
  <c r="B2036" i="5"/>
  <c r="T2035" i="5"/>
  <c r="S2035" i="5"/>
  <c r="R2035" i="5"/>
  <c r="Q2035" i="5"/>
  <c r="M2035" i="5"/>
  <c r="L2035" i="5"/>
  <c r="C2035" i="5"/>
  <c r="N2035" i="5" s="1"/>
  <c r="B2035" i="5"/>
  <c r="T2034" i="5"/>
  <c r="S2034" i="5"/>
  <c r="R2034" i="5"/>
  <c r="Q2034" i="5"/>
  <c r="N2034" i="5"/>
  <c r="M2034" i="5"/>
  <c r="L2034" i="5"/>
  <c r="C2034" i="5"/>
  <c r="B2034" i="5"/>
  <c r="T2033" i="5"/>
  <c r="S2033" i="5"/>
  <c r="R2033" i="5"/>
  <c r="Q2033" i="5"/>
  <c r="N2033" i="5"/>
  <c r="M2033" i="5"/>
  <c r="L2033" i="5"/>
  <c r="C2033" i="5"/>
  <c r="B2033" i="5"/>
  <c r="T2032" i="5"/>
  <c r="S2032" i="5"/>
  <c r="R2032" i="5"/>
  <c r="Q2032" i="5"/>
  <c r="N2032" i="5"/>
  <c r="M2032" i="5"/>
  <c r="L2032" i="5"/>
  <c r="C2032" i="5"/>
  <c r="B2032" i="5"/>
  <c r="T2031" i="5"/>
  <c r="S2031" i="5"/>
  <c r="R2031" i="5"/>
  <c r="Q2031" i="5"/>
  <c r="N2031" i="5"/>
  <c r="M2031" i="5"/>
  <c r="L2031" i="5"/>
  <c r="C2031" i="5"/>
  <c r="B2031" i="5"/>
  <c r="T2030" i="5"/>
  <c r="S2030" i="5"/>
  <c r="R2030" i="5"/>
  <c r="Q2030" i="5"/>
  <c r="M2030" i="5"/>
  <c r="L2030" i="5"/>
  <c r="C2030" i="5"/>
  <c r="N2030" i="5" s="1"/>
  <c r="B2030" i="5"/>
  <c r="T2029" i="5"/>
  <c r="S2029" i="5"/>
  <c r="R2029" i="5"/>
  <c r="Q2029" i="5"/>
  <c r="N2029" i="5"/>
  <c r="M2029" i="5"/>
  <c r="L2029" i="5"/>
  <c r="C2029" i="5"/>
  <c r="B2029" i="5"/>
  <c r="T2028" i="5"/>
  <c r="S2028" i="5"/>
  <c r="R2028" i="5"/>
  <c r="Q2028" i="5"/>
  <c r="N2028" i="5"/>
  <c r="M2028" i="5"/>
  <c r="L2028" i="5"/>
  <c r="C2028" i="5"/>
  <c r="B2028" i="5"/>
  <c r="T2027" i="5"/>
  <c r="S2027" i="5"/>
  <c r="R2027" i="5"/>
  <c r="Q2027" i="5"/>
  <c r="M2027" i="5"/>
  <c r="L2027" i="5"/>
  <c r="C2027" i="5"/>
  <c r="N2027" i="5" s="1"/>
  <c r="B2027" i="5"/>
  <c r="T2026" i="5"/>
  <c r="S2026" i="5"/>
  <c r="R2026" i="5"/>
  <c r="Q2026" i="5"/>
  <c r="M2026" i="5"/>
  <c r="L2026" i="5"/>
  <c r="C2026" i="5"/>
  <c r="N2026" i="5" s="1"/>
  <c r="B2026" i="5"/>
  <c r="T2025" i="5"/>
  <c r="S2025" i="5"/>
  <c r="R2025" i="5"/>
  <c r="Q2025" i="5"/>
  <c r="M2025" i="5"/>
  <c r="L2025" i="5"/>
  <c r="C2025" i="5"/>
  <c r="N2025" i="5" s="1"/>
  <c r="B2025" i="5"/>
  <c r="T2024" i="5"/>
  <c r="S2024" i="5"/>
  <c r="R2024" i="5"/>
  <c r="Q2024" i="5"/>
  <c r="N2024" i="5"/>
  <c r="M2024" i="5"/>
  <c r="L2024" i="5"/>
  <c r="C2024" i="5"/>
  <c r="B2024" i="5"/>
  <c r="T2023" i="5"/>
  <c r="S2023" i="5"/>
  <c r="R2023" i="5"/>
  <c r="Q2023" i="5"/>
  <c r="N2023" i="5"/>
  <c r="M2023" i="5"/>
  <c r="L2023" i="5"/>
  <c r="C2023" i="5"/>
  <c r="B2023" i="5"/>
  <c r="T2022" i="5"/>
  <c r="S2022" i="5"/>
  <c r="R2022" i="5"/>
  <c r="Q2022" i="5"/>
  <c r="N2022" i="5"/>
  <c r="M2022" i="5"/>
  <c r="L2022" i="5"/>
  <c r="C2022" i="5"/>
  <c r="B2022" i="5"/>
  <c r="T2021" i="5"/>
  <c r="S2021" i="5"/>
  <c r="R2021" i="5"/>
  <c r="Q2021" i="5"/>
  <c r="N2021" i="5"/>
  <c r="M2021" i="5"/>
  <c r="L2021" i="5"/>
  <c r="C2021" i="5"/>
  <c r="B2021" i="5"/>
  <c r="T2020" i="5"/>
  <c r="S2020" i="5"/>
  <c r="R2020" i="5"/>
  <c r="Q2020" i="5"/>
  <c r="N2020" i="5"/>
  <c r="M2020" i="5"/>
  <c r="L2020" i="5"/>
  <c r="C2020" i="5"/>
  <c r="B2020" i="5"/>
  <c r="T2019" i="5"/>
  <c r="S2019" i="5"/>
  <c r="R2019" i="5"/>
  <c r="Q2019" i="5"/>
  <c r="N2019" i="5"/>
  <c r="M2019" i="5"/>
  <c r="L2019" i="5"/>
  <c r="C2019" i="5"/>
  <c r="B2019" i="5"/>
  <c r="T2018" i="5"/>
  <c r="S2018" i="5"/>
  <c r="R2018" i="5"/>
  <c r="Q2018" i="5"/>
  <c r="N2018" i="5"/>
  <c r="M2018" i="5"/>
  <c r="L2018" i="5"/>
  <c r="C2018" i="5"/>
  <c r="B2018" i="5"/>
  <c r="T2017" i="5"/>
  <c r="S2017" i="5"/>
  <c r="R2017" i="5"/>
  <c r="Q2017" i="5"/>
  <c r="M2017" i="5"/>
  <c r="L2017" i="5"/>
  <c r="C2017" i="5"/>
  <c r="N2017" i="5" s="1"/>
  <c r="B2017" i="5"/>
  <c r="T2016" i="5"/>
  <c r="S2016" i="5"/>
  <c r="R2016" i="5"/>
  <c r="Q2016" i="5"/>
  <c r="M2016" i="5"/>
  <c r="L2016" i="5"/>
  <c r="C2016" i="5"/>
  <c r="N2016" i="5" s="1"/>
  <c r="B2016" i="5"/>
  <c r="T2015" i="5"/>
  <c r="S2015" i="5"/>
  <c r="R2015" i="5"/>
  <c r="Q2015" i="5"/>
  <c r="M2015" i="5"/>
  <c r="L2015" i="5"/>
  <c r="C2015" i="5"/>
  <c r="N2015" i="5" s="1"/>
  <c r="B2015" i="5"/>
  <c r="T2014" i="5"/>
  <c r="S2014" i="5"/>
  <c r="R2014" i="5"/>
  <c r="Q2014" i="5"/>
  <c r="N2014" i="5"/>
  <c r="M2014" i="5"/>
  <c r="L2014" i="5"/>
  <c r="C2014" i="5"/>
  <c r="B2014" i="5"/>
  <c r="T2013" i="5"/>
  <c r="S2013" i="5"/>
  <c r="R2013" i="5"/>
  <c r="Q2013" i="5"/>
  <c r="N2013" i="5"/>
  <c r="M2013" i="5"/>
  <c r="L2013" i="5"/>
  <c r="C2013" i="5"/>
  <c r="B2013" i="5"/>
  <c r="T2012" i="5"/>
  <c r="S2012" i="5"/>
  <c r="R2012" i="5"/>
  <c r="Q2012" i="5"/>
  <c r="N2012" i="5"/>
  <c r="M2012" i="5"/>
  <c r="L2012" i="5"/>
  <c r="C2012" i="5"/>
  <c r="B2012" i="5"/>
  <c r="T2011" i="5"/>
  <c r="S2011" i="5"/>
  <c r="R2011" i="5"/>
  <c r="Q2011" i="5"/>
  <c r="N2011" i="5"/>
  <c r="M2011" i="5"/>
  <c r="L2011" i="5"/>
  <c r="C2011" i="5"/>
  <c r="B2011" i="5"/>
  <c r="T2010" i="5"/>
  <c r="S2010" i="5"/>
  <c r="R2010" i="5"/>
  <c r="Q2010" i="5"/>
  <c r="M2010" i="5"/>
  <c r="L2010" i="5"/>
  <c r="C2010" i="5"/>
  <c r="N2010" i="5" s="1"/>
  <c r="B2010" i="5"/>
  <c r="T2009" i="5"/>
  <c r="S2009" i="5"/>
  <c r="R2009" i="5"/>
  <c r="Q2009" i="5"/>
  <c r="N2009" i="5"/>
  <c r="M2009" i="5"/>
  <c r="L2009" i="5"/>
  <c r="C2009" i="5"/>
  <c r="B2009" i="5"/>
  <c r="T2008" i="5"/>
  <c r="S2008" i="5"/>
  <c r="R2008" i="5"/>
  <c r="Q2008" i="5"/>
  <c r="M2008" i="5"/>
  <c r="L2008" i="5"/>
  <c r="C2008" i="5"/>
  <c r="N2008" i="5" s="1"/>
  <c r="B2008" i="5"/>
  <c r="T2007" i="5"/>
  <c r="S2007" i="5"/>
  <c r="R2007" i="5"/>
  <c r="Q2007" i="5"/>
  <c r="M2007" i="5"/>
  <c r="L2007" i="5"/>
  <c r="C2007" i="5"/>
  <c r="N2007" i="5" s="1"/>
  <c r="B2007" i="5"/>
  <c r="T2006" i="5"/>
  <c r="S2006" i="5"/>
  <c r="R2006" i="5"/>
  <c r="Q2006" i="5"/>
  <c r="M2006" i="5"/>
  <c r="L2006" i="5"/>
  <c r="C2006" i="5"/>
  <c r="N2006" i="5" s="1"/>
  <c r="B2006" i="5"/>
  <c r="T2005" i="5"/>
  <c r="S2005" i="5"/>
  <c r="R2005" i="5"/>
  <c r="Q2005" i="5"/>
  <c r="M2005" i="5"/>
  <c r="L2005" i="5"/>
  <c r="C2005" i="5"/>
  <c r="N2005" i="5" s="1"/>
  <c r="B2005" i="5"/>
  <c r="T2004" i="5"/>
  <c r="S2004" i="5"/>
  <c r="R2004" i="5"/>
  <c r="Q2004" i="5"/>
  <c r="N2004" i="5"/>
  <c r="M2004" i="5"/>
  <c r="L2004" i="5"/>
  <c r="C2004" i="5"/>
  <c r="B2004" i="5"/>
  <c r="T2003" i="5"/>
  <c r="S2003" i="5"/>
  <c r="R2003" i="5"/>
  <c r="Q2003" i="5"/>
  <c r="N2003" i="5"/>
  <c r="M2003" i="5"/>
  <c r="L2003" i="5"/>
  <c r="C2003" i="5"/>
  <c r="B2003" i="5"/>
  <c r="T2002" i="5"/>
  <c r="S2002" i="5"/>
  <c r="R2002" i="5"/>
  <c r="Q2002" i="5"/>
  <c r="N2002" i="5"/>
  <c r="M2002" i="5"/>
  <c r="L2002" i="5"/>
  <c r="C2002" i="5"/>
  <c r="B2002" i="5"/>
  <c r="T2001" i="5"/>
  <c r="S2001" i="5"/>
  <c r="R2001" i="5"/>
  <c r="Q2001" i="5"/>
  <c r="N2001" i="5"/>
  <c r="M2001" i="5"/>
  <c r="L2001" i="5"/>
  <c r="C2001" i="5"/>
  <c r="B2001" i="5"/>
  <c r="T2000" i="5"/>
  <c r="S2000" i="5"/>
  <c r="R2000" i="5"/>
  <c r="Q2000" i="5"/>
  <c r="M2000" i="5"/>
  <c r="L2000" i="5"/>
  <c r="C2000" i="5"/>
  <c r="N2000" i="5" s="1"/>
  <c r="B2000" i="5"/>
  <c r="T1999" i="5"/>
  <c r="S1999" i="5"/>
  <c r="R1999" i="5"/>
  <c r="Q1999" i="5"/>
  <c r="N1999" i="5"/>
  <c r="M1999" i="5"/>
  <c r="L1999" i="5"/>
  <c r="C1999" i="5"/>
  <c r="B1999" i="5"/>
  <c r="T1998" i="5"/>
  <c r="S1998" i="5"/>
  <c r="R1998" i="5"/>
  <c r="Q1998" i="5"/>
  <c r="N1998" i="5"/>
  <c r="M1998" i="5"/>
  <c r="L1998" i="5"/>
  <c r="C1998" i="5"/>
  <c r="B1998" i="5"/>
  <c r="T1997" i="5"/>
  <c r="S1997" i="5"/>
  <c r="R1997" i="5"/>
  <c r="Q1997" i="5"/>
  <c r="M1997" i="5"/>
  <c r="L1997" i="5"/>
  <c r="C1997" i="5"/>
  <c r="N1997" i="5" s="1"/>
  <c r="B1997" i="5"/>
  <c r="T1996" i="5"/>
  <c r="S1996" i="5"/>
  <c r="R1996" i="5"/>
  <c r="Q1996" i="5"/>
  <c r="M1996" i="5"/>
  <c r="L1996" i="5"/>
  <c r="C1996" i="5"/>
  <c r="N1996" i="5" s="1"/>
  <c r="B1996" i="5"/>
  <c r="T1995" i="5"/>
  <c r="S1995" i="5"/>
  <c r="R1995" i="5"/>
  <c r="Q1995" i="5"/>
  <c r="M1995" i="5"/>
  <c r="L1995" i="5"/>
  <c r="C1995" i="5"/>
  <c r="N1995" i="5" s="1"/>
  <c r="B1995" i="5"/>
  <c r="T1994" i="5"/>
  <c r="S1994" i="5"/>
  <c r="R1994" i="5"/>
  <c r="Q1994" i="5"/>
  <c r="N1994" i="5"/>
  <c r="M1994" i="5"/>
  <c r="L1994" i="5"/>
  <c r="C1994" i="5"/>
  <c r="B1994" i="5"/>
  <c r="T1993" i="5"/>
  <c r="S1993" i="5"/>
  <c r="R1993" i="5"/>
  <c r="Q1993" i="5"/>
  <c r="N1993" i="5"/>
  <c r="M1993" i="5"/>
  <c r="L1993" i="5"/>
  <c r="C1993" i="5"/>
  <c r="B1993" i="5"/>
  <c r="T1992" i="5"/>
  <c r="S1992" i="5"/>
  <c r="R1992" i="5"/>
  <c r="Q1992" i="5"/>
  <c r="N1992" i="5"/>
  <c r="M1992" i="5"/>
  <c r="L1992" i="5"/>
  <c r="C1992" i="5"/>
  <c r="B1992" i="5"/>
  <c r="T1991" i="5"/>
  <c r="S1991" i="5"/>
  <c r="R1991" i="5"/>
  <c r="Q1991" i="5"/>
  <c r="N1991" i="5"/>
  <c r="M1991" i="5"/>
  <c r="L1991" i="5"/>
  <c r="C1991" i="5"/>
  <c r="B1991" i="5"/>
  <c r="T1990" i="5"/>
  <c r="S1990" i="5"/>
  <c r="R1990" i="5"/>
  <c r="Q1990" i="5"/>
  <c r="N1990" i="5"/>
  <c r="M1990" i="5"/>
  <c r="L1990" i="5"/>
  <c r="C1990" i="5"/>
  <c r="B1990" i="5"/>
  <c r="T1989" i="5"/>
  <c r="S1989" i="5"/>
  <c r="R1989" i="5"/>
  <c r="Q1989" i="5"/>
  <c r="N1989" i="5"/>
  <c r="M1989" i="5"/>
  <c r="L1989" i="5"/>
  <c r="C1989" i="5"/>
  <c r="B1989" i="5"/>
  <c r="T1988" i="5"/>
  <c r="S1988" i="5"/>
  <c r="R1988" i="5"/>
  <c r="Q1988" i="5"/>
  <c r="N1988" i="5"/>
  <c r="M1988" i="5"/>
  <c r="L1988" i="5"/>
  <c r="C1988" i="5"/>
  <c r="B1988" i="5"/>
  <c r="T1987" i="5"/>
  <c r="S1987" i="5"/>
  <c r="R1987" i="5"/>
  <c r="Q1987" i="5"/>
  <c r="M1987" i="5"/>
  <c r="L1987" i="5"/>
  <c r="C1987" i="5"/>
  <c r="N1987" i="5" s="1"/>
  <c r="B1987" i="5"/>
  <c r="T1986" i="5"/>
  <c r="S1986" i="5"/>
  <c r="R1986" i="5"/>
  <c r="Q1986" i="5"/>
  <c r="M1986" i="5"/>
  <c r="L1986" i="5"/>
  <c r="C1986" i="5"/>
  <c r="N1986" i="5" s="1"/>
  <c r="B1986" i="5"/>
  <c r="T1985" i="5"/>
  <c r="S1985" i="5"/>
  <c r="R1985" i="5"/>
  <c r="Q1985" i="5"/>
  <c r="M1985" i="5"/>
  <c r="L1985" i="5"/>
  <c r="C1985" i="5"/>
  <c r="N1985" i="5" s="1"/>
  <c r="B1985" i="5"/>
  <c r="T1984" i="5"/>
  <c r="S1984" i="5"/>
  <c r="R1984" i="5"/>
  <c r="Q1984" i="5"/>
  <c r="N1984" i="5"/>
  <c r="M1984" i="5"/>
  <c r="L1984" i="5"/>
  <c r="C1984" i="5"/>
  <c r="B1984" i="5"/>
  <c r="T1983" i="5"/>
  <c r="S1983" i="5"/>
  <c r="R1983" i="5"/>
  <c r="Q1983" i="5"/>
  <c r="N1983" i="5"/>
  <c r="M1983" i="5"/>
  <c r="L1983" i="5"/>
  <c r="C1983" i="5"/>
  <c r="B1983" i="5"/>
  <c r="T1982" i="5"/>
  <c r="S1982" i="5"/>
  <c r="R1982" i="5"/>
  <c r="Q1982" i="5"/>
  <c r="N1982" i="5"/>
  <c r="M1982" i="5"/>
  <c r="L1982" i="5"/>
  <c r="C1982" i="5"/>
  <c r="B1982" i="5"/>
  <c r="T1981" i="5"/>
  <c r="S1981" i="5"/>
  <c r="R1981" i="5"/>
  <c r="Q1981" i="5"/>
  <c r="N1981" i="5"/>
  <c r="M1981" i="5"/>
  <c r="L1981" i="5"/>
  <c r="C1981" i="5"/>
  <c r="B1981" i="5"/>
  <c r="T1980" i="5"/>
  <c r="S1980" i="5"/>
  <c r="R1980" i="5"/>
  <c r="Q1980" i="5"/>
  <c r="N1980" i="5"/>
  <c r="M1980" i="5"/>
  <c r="L1980" i="5"/>
  <c r="C1980" i="5"/>
  <c r="B1980" i="5"/>
  <c r="T1979" i="5"/>
  <c r="S1979" i="5"/>
  <c r="R1979" i="5"/>
  <c r="Q1979" i="5"/>
  <c r="N1979" i="5"/>
  <c r="M1979" i="5"/>
  <c r="L1979" i="5"/>
  <c r="C1979" i="5"/>
  <c r="B1979" i="5"/>
  <c r="T1978" i="5"/>
  <c r="S1978" i="5"/>
  <c r="R1978" i="5"/>
  <c r="Q1978" i="5"/>
  <c r="M1978" i="5"/>
  <c r="L1978" i="5"/>
  <c r="C1978" i="5"/>
  <c r="N1978" i="5" s="1"/>
  <c r="B1978" i="5"/>
  <c r="T1977" i="5"/>
  <c r="S1977" i="5"/>
  <c r="R1977" i="5"/>
  <c r="Q1977" i="5"/>
  <c r="M1977" i="5"/>
  <c r="L1977" i="5"/>
  <c r="C1977" i="5"/>
  <c r="N1977" i="5" s="1"/>
  <c r="B1977" i="5"/>
  <c r="T1976" i="5"/>
  <c r="S1976" i="5"/>
  <c r="R1976" i="5"/>
  <c r="Q1976" i="5"/>
  <c r="M1976" i="5"/>
  <c r="L1976" i="5"/>
  <c r="C1976" i="5"/>
  <c r="N1976" i="5" s="1"/>
  <c r="B1976" i="5"/>
  <c r="T1975" i="5"/>
  <c r="S1975" i="5"/>
  <c r="R1975" i="5"/>
  <c r="Q1975" i="5"/>
  <c r="M1975" i="5"/>
  <c r="L1975" i="5"/>
  <c r="C1975" i="5"/>
  <c r="N1975" i="5" s="1"/>
  <c r="B1975" i="5"/>
  <c r="T1974" i="5"/>
  <c r="S1974" i="5"/>
  <c r="R1974" i="5"/>
  <c r="Q1974" i="5"/>
  <c r="N1974" i="5"/>
  <c r="M1974" i="5"/>
  <c r="L1974" i="5"/>
  <c r="C1974" i="5"/>
  <c r="B1974" i="5"/>
  <c r="T1973" i="5"/>
  <c r="S1973" i="5"/>
  <c r="R1973" i="5"/>
  <c r="Q1973" i="5"/>
  <c r="N1973" i="5"/>
  <c r="M1973" i="5"/>
  <c r="L1973" i="5"/>
  <c r="C1973" i="5"/>
  <c r="B1973" i="5"/>
  <c r="T1972" i="5"/>
  <c r="S1972" i="5"/>
  <c r="R1972" i="5"/>
  <c r="Q1972" i="5"/>
  <c r="N1972" i="5"/>
  <c r="M1972" i="5"/>
  <c r="L1972" i="5"/>
  <c r="C1972" i="5"/>
  <c r="B1972" i="5"/>
  <c r="T1971" i="5"/>
  <c r="S1971" i="5"/>
  <c r="R1971" i="5"/>
  <c r="Q1971" i="5"/>
  <c r="N1971" i="5"/>
  <c r="M1971" i="5"/>
  <c r="L1971" i="5"/>
  <c r="C1971" i="5"/>
  <c r="B1971" i="5"/>
  <c r="T1970" i="5"/>
  <c r="S1970" i="5"/>
  <c r="R1970" i="5"/>
  <c r="Q1970" i="5"/>
  <c r="M1970" i="5"/>
  <c r="L1970" i="5"/>
  <c r="C1970" i="5"/>
  <c r="N1970" i="5" s="1"/>
  <c r="B1970" i="5"/>
  <c r="T1969" i="5"/>
  <c r="S1969" i="5"/>
  <c r="R1969" i="5"/>
  <c r="Q1969" i="5"/>
  <c r="N1969" i="5"/>
  <c r="M1969" i="5"/>
  <c r="L1969" i="5"/>
  <c r="C1969" i="5"/>
  <c r="B1969" i="5"/>
  <c r="T1968" i="5"/>
  <c r="S1968" i="5"/>
  <c r="R1968" i="5"/>
  <c r="Q1968" i="5"/>
  <c r="M1968" i="5"/>
  <c r="L1968" i="5"/>
  <c r="C1968" i="5"/>
  <c r="N1968" i="5" s="1"/>
  <c r="B1968" i="5"/>
  <c r="T1967" i="5"/>
  <c r="S1967" i="5"/>
  <c r="R1967" i="5"/>
  <c r="Q1967" i="5"/>
  <c r="M1967" i="5"/>
  <c r="L1967" i="5"/>
  <c r="C1967" i="5"/>
  <c r="N1967" i="5" s="1"/>
  <c r="B1967" i="5"/>
  <c r="T1966" i="5"/>
  <c r="S1966" i="5"/>
  <c r="R1966" i="5"/>
  <c r="Q1966" i="5"/>
  <c r="M1966" i="5"/>
  <c r="L1966" i="5"/>
  <c r="C1966" i="5"/>
  <c r="N1966" i="5" s="1"/>
  <c r="B1966" i="5"/>
  <c r="T1965" i="5"/>
  <c r="S1965" i="5"/>
  <c r="R1965" i="5"/>
  <c r="Q1965" i="5"/>
  <c r="M1965" i="5"/>
  <c r="L1965" i="5"/>
  <c r="C1965" i="5"/>
  <c r="N1965" i="5" s="1"/>
  <c r="B1965" i="5"/>
  <c r="T1964" i="5"/>
  <c r="S1964" i="5"/>
  <c r="R1964" i="5"/>
  <c r="Q1964" i="5"/>
  <c r="N1964" i="5"/>
  <c r="M1964" i="5"/>
  <c r="L1964" i="5"/>
  <c r="C1964" i="5"/>
  <c r="B1964" i="5"/>
  <c r="T1963" i="5"/>
  <c r="S1963" i="5"/>
  <c r="R1963" i="5"/>
  <c r="Q1963" i="5"/>
  <c r="N1963" i="5"/>
  <c r="M1963" i="5"/>
  <c r="L1963" i="5"/>
  <c r="C1963" i="5"/>
  <c r="B1963" i="5"/>
  <c r="T1962" i="5"/>
  <c r="S1962" i="5"/>
  <c r="R1962" i="5"/>
  <c r="Q1962" i="5"/>
  <c r="N1962" i="5"/>
  <c r="M1962" i="5"/>
  <c r="L1962" i="5"/>
  <c r="C1962" i="5"/>
  <c r="B1962" i="5"/>
  <c r="T1961" i="5"/>
  <c r="S1961" i="5"/>
  <c r="R1961" i="5"/>
  <c r="Q1961" i="5"/>
  <c r="N1961" i="5"/>
  <c r="M1961" i="5"/>
  <c r="L1961" i="5"/>
  <c r="C1961" i="5"/>
  <c r="B1961" i="5"/>
  <c r="T1960" i="5"/>
  <c r="S1960" i="5"/>
  <c r="R1960" i="5"/>
  <c r="Q1960" i="5"/>
  <c r="N1960" i="5"/>
  <c r="M1960" i="5"/>
  <c r="L1960" i="5"/>
  <c r="C1960" i="5"/>
  <c r="B1960" i="5"/>
  <c r="T1959" i="5"/>
  <c r="S1959" i="5"/>
  <c r="R1959" i="5"/>
  <c r="Q1959" i="5"/>
  <c r="N1959" i="5"/>
  <c r="M1959" i="5"/>
  <c r="L1959" i="5"/>
  <c r="C1959" i="5"/>
  <c r="B1959" i="5"/>
  <c r="T1958" i="5"/>
  <c r="S1958" i="5"/>
  <c r="R1958" i="5"/>
  <c r="Q1958" i="5"/>
  <c r="N1958" i="5"/>
  <c r="M1958" i="5"/>
  <c r="L1958" i="5"/>
  <c r="C1958" i="5"/>
  <c r="B1958" i="5"/>
  <c r="T1957" i="5"/>
  <c r="S1957" i="5"/>
  <c r="R1957" i="5"/>
  <c r="Q1957" i="5"/>
  <c r="M1957" i="5"/>
  <c r="L1957" i="5"/>
  <c r="C1957" i="5"/>
  <c r="N1957" i="5" s="1"/>
  <c r="B1957" i="5"/>
  <c r="T1956" i="5"/>
  <c r="S1956" i="5"/>
  <c r="R1956" i="5"/>
  <c r="Q1956" i="5"/>
  <c r="M1956" i="5"/>
  <c r="L1956" i="5"/>
  <c r="C1956" i="5"/>
  <c r="N1956" i="5" s="1"/>
  <c r="B1956" i="5"/>
  <c r="T1955" i="5"/>
  <c r="S1955" i="5"/>
  <c r="R1955" i="5"/>
  <c r="Q1955" i="5"/>
  <c r="M1955" i="5"/>
  <c r="L1955" i="5"/>
  <c r="C1955" i="5"/>
  <c r="N1955" i="5" s="1"/>
  <c r="B1955" i="5"/>
  <c r="T1954" i="5"/>
  <c r="S1954" i="5"/>
  <c r="R1954" i="5"/>
  <c r="Q1954" i="5"/>
  <c r="N1954" i="5"/>
  <c r="M1954" i="5"/>
  <c r="L1954" i="5"/>
  <c r="C1954" i="5"/>
  <c r="B1954" i="5"/>
  <c r="T1953" i="5"/>
  <c r="S1953" i="5"/>
  <c r="R1953" i="5"/>
  <c r="Q1953" i="5"/>
  <c r="N1953" i="5"/>
  <c r="M1953" i="5"/>
  <c r="L1953" i="5"/>
  <c r="C1953" i="5"/>
  <c r="B1953" i="5"/>
  <c r="T1952" i="5"/>
  <c r="S1952" i="5"/>
  <c r="R1952" i="5"/>
  <c r="Q1952" i="5"/>
  <c r="N1952" i="5"/>
  <c r="M1952" i="5"/>
  <c r="L1952" i="5"/>
  <c r="C1952" i="5"/>
  <c r="B1952" i="5"/>
  <c r="T1951" i="5"/>
  <c r="S1951" i="5"/>
  <c r="R1951" i="5"/>
  <c r="Q1951" i="5"/>
  <c r="N1951" i="5"/>
  <c r="M1951" i="5"/>
  <c r="L1951" i="5"/>
  <c r="C1951" i="5"/>
  <c r="B1951" i="5"/>
  <c r="T1950" i="5"/>
  <c r="S1950" i="5"/>
  <c r="R1950" i="5"/>
  <c r="Q1950" i="5"/>
  <c r="N1950" i="5"/>
  <c r="M1950" i="5"/>
  <c r="L1950" i="5"/>
  <c r="C1950" i="5"/>
  <c r="B1950" i="5"/>
  <c r="T1949" i="5"/>
  <c r="S1949" i="5"/>
  <c r="R1949" i="5"/>
  <c r="Q1949" i="5"/>
  <c r="N1949" i="5"/>
  <c r="M1949" i="5"/>
  <c r="L1949" i="5"/>
  <c r="C1949" i="5"/>
  <c r="B1949" i="5"/>
  <c r="T1948" i="5"/>
  <c r="S1948" i="5"/>
  <c r="R1948" i="5"/>
  <c r="Q1948" i="5"/>
  <c r="M1948" i="5"/>
  <c r="L1948" i="5"/>
  <c r="C1948" i="5"/>
  <c r="N1948" i="5" s="1"/>
  <c r="B1948" i="5"/>
  <c r="T1947" i="5"/>
  <c r="S1947" i="5"/>
  <c r="R1947" i="5"/>
  <c r="Q1947" i="5"/>
  <c r="M1947" i="5"/>
  <c r="L1947" i="5"/>
  <c r="C1947" i="5"/>
  <c r="N1947" i="5" s="1"/>
  <c r="B1947" i="5"/>
  <c r="T1946" i="5"/>
  <c r="S1946" i="5"/>
  <c r="R1946" i="5"/>
  <c r="Q1946" i="5"/>
  <c r="M1946" i="5"/>
  <c r="L1946" i="5"/>
  <c r="C1946" i="5"/>
  <c r="N1946" i="5" s="1"/>
  <c r="B1946" i="5"/>
  <c r="T1945" i="5"/>
  <c r="S1945" i="5"/>
  <c r="R1945" i="5"/>
  <c r="Q1945" i="5"/>
  <c r="M1945" i="5"/>
  <c r="L1945" i="5"/>
  <c r="C1945" i="5"/>
  <c r="N1945" i="5" s="1"/>
  <c r="B1945" i="5"/>
  <c r="T1944" i="5"/>
  <c r="S1944" i="5"/>
  <c r="R1944" i="5"/>
  <c r="Q1944" i="5"/>
  <c r="N1944" i="5"/>
  <c r="M1944" i="5"/>
  <c r="L1944" i="5"/>
  <c r="C1944" i="5"/>
  <c r="B1944" i="5"/>
  <c r="T1943" i="5"/>
  <c r="S1943" i="5"/>
  <c r="R1943" i="5"/>
  <c r="Q1943" i="5"/>
  <c r="N1943" i="5"/>
  <c r="M1943" i="5"/>
  <c r="L1943" i="5"/>
  <c r="C1943" i="5"/>
  <c r="B1943" i="5"/>
  <c r="T1942" i="5"/>
  <c r="S1942" i="5"/>
  <c r="R1942" i="5"/>
  <c r="Q1942" i="5"/>
  <c r="N1942" i="5"/>
  <c r="M1942" i="5"/>
  <c r="L1942" i="5"/>
  <c r="C1942" i="5"/>
  <c r="B1942" i="5"/>
  <c r="T1941" i="5"/>
  <c r="S1941" i="5"/>
  <c r="R1941" i="5"/>
  <c r="Q1941" i="5"/>
  <c r="N1941" i="5"/>
  <c r="M1941" i="5"/>
  <c r="L1941" i="5"/>
  <c r="C1941" i="5"/>
  <c r="B1941" i="5"/>
  <c r="T1940" i="5"/>
  <c r="S1940" i="5"/>
  <c r="R1940" i="5"/>
  <c r="Q1940" i="5"/>
  <c r="M1940" i="5"/>
  <c r="L1940" i="5"/>
  <c r="C1940" i="5"/>
  <c r="N1940" i="5" s="1"/>
  <c r="B1940" i="5"/>
  <c r="T1939" i="5"/>
  <c r="S1939" i="5"/>
  <c r="R1939" i="5"/>
  <c r="Q1939" i="5"/>
  <c r="N1939" i="5"/>
  <c r="M1939" i="5"/>
  <c r="L1939" i="5"/>
  <c r="C1939" i="5"/>
  <c r="B1939" i="5"/>
  <c r="T1938" i="5"/>
  <c r="S1938" i="5"/>
  <c r="R1938" i="5"/>
  <c r="Q1938" i="5"/>
  <c r="M1938" i="5"/>
  <c r="L1938" i="5"/>
  <c r="C1938" i="5"/>
  <c r="N1938" i="5" s="1"/>
  <c r="B1938" i="5"/>
  <c r="T1937" i="5"/>
  <c r="S1937" i="5"/>
  <c r="R1937" i="5"/>
  <c r="Q1937" i="5"/>
  <c r="M1937" i="5"/>
  <c r="L1937" i="5"/>
  <c r="C1937" i="5"/>
  <c r="N1937" i="5" s="1"/>
  <c r="B1937" i="5"/>
  <c r="T1936" i="5"/>
  <c r="S1936" i="5"/>
  <c r="R1936" i="5"/>
  <c r="Q1936" i="5"/>
  <c r="M1936" i="5"/>
  <c r="L1936" i="5"/>
  <c r="C1936" i="5"/>
  <c r="N1936" i="5" s="1"/>
  <c r="B1936" i="5"/>
  <c r="T1935" i="5"/>
  <c r="S1935" i="5"/>
  <c r="R1935" i="5"/>
  <c r="Q1935" i="5"/>
  <c r="M1935" i="5"/>
  <c r="L1935" i="5"/>
  <c r="C1935" i="5"/>
  <c r="N1935" i="5" s="1"/>
  <c r="B1935" i="5"/>
  <c r="T1934" i="5"/>
  <c r="S1934" i="5"/>
  <c r="R1934" i="5"/>
  <c r="Q1934" i="5"/>
  <c r="N1934" i="5"/>
  <c r="M1934" i="5"/>
  <c r="L1934" i="5"/>
  <c r="C1934" i="5"/>
  <c r="B1934" i="5"/>
  <c r="T1933" i="5"/>
  <c r="S1933" i="5"/>
  <c r="R1933" i="5"/>
  <c r="Q1933" i="5"/>
  <c r="N1933" i="5"/>
  <c r="M1933" i="5"/>
  <c r="L1933" i="5"/>
  <c r="C1933" i="5"/>
  <c r="B1933" i="5"/>
  <c r="T1932" i="5"/>
  <c r="S1932" i="5"/>
  <c r="R1932" i="5"/>
  <c r="Q1932" i="5"/>
  <c r="N1932" i="5"/>
  <c r="M1932" i="5"/>
  <c r="L1932" i="5"/>
  <c r="C1932" i="5"/>
  <c r="B1932" i="5"/>
  <c r="T1931" i="5"/>
  <c r="S1931" i="5"/>
  <c r="R1931" i="5"/>
  <c r="Q1931" i="5"/>
  <c r="N1931" i="5"/>
  <c r="M1931" i="5"/>
  <c r="L1931" i="5"/>
  <c r="C1931" i="5"/>
  <c r="B1931" i="5"/>
  <c r="T1930" i="5"/>
  <c r="S1930" i="5"/>
  <c r="R1930" i="5"/>
  <c r="Q1930" i="5"/>
  <c r="M1930" i="5"/>
  <c r="L1930" i="5"/>
  <c r="C1930" i="5"/>
  <c r="N1930" i="5" s="1"/>
  <c r="B1930" i="5"/>
  <c r="T1929" i="5"/>
  <c r="S1929" i="5"/>
  <c r="R1929" i="5"/>
  <c r="Q1929" i="5"/>
  <c r="N1929" i="5"/>
  <c r="M1929" i="5"/>
  <c r="L1929" i="5"/>
  <c r="C1929" i="5"/>
  <c r="B1929" i="5"/>
  <c r="T1928" i="5"/>
  <c r="S1928" i="5"/>
  <c r="R1928" i="5"/>
  <c r="Q1928" i="5"/>
  <c r="N1928" i="5"/>
  <c r="M1928" i="5"/>
  <c r="L1928" i="5"/>
  <c r="C1928" i="5"/>
  <c r="B1928" i="5"/>
  <c r="T1927" i="5"/>
  <c r="S1927" i="5"/>
  <c r="R1927" i="5"/>
  <c r="Q1927" i="5"/>
  <c r="M1927" i="5"/>
  <c r="L1927" i="5"/>
  <c r="C1927" i="5"/>
  <c r="N1927" i="5" s="1"/>
  <c r="B1927" i="5"/>
  <c r="T1926" i="5"/>
  <c r="S1926" i="5"/>
  <c r="R1926" i="5"/>
  <c r="Q1926" i="5"/>
  <c r="M1926" i="5"/>
  <c r="L1926" i="5"/>
  <c r="C1926" i="5"/>
  <c r="N1926" i="5" s="1"/>
  <c r="B1926" i="5"/>
  <c r="T1925" i="5"/>
  <c r="S1925" i="5"/>
  <c r="R1925" i="5"/>
  <c r="Q1925" i="5"/>
  <c r="M1925" i="5"/>
  <c r="L1925" i="5"/>
  <c r="C1925" i="5"/>
  <c r="N1925" i="5" s="1"/>
  <c r="B1925" i="5"/>
  <c r="T1924" i="5"/>
  <c r="S1924" i="5"/>
  <c r="R1924" i="5"/>
  <c r="Q1924" i="5"/>
  <c r="N1924" i="5"/>
  <c r="M1924" i="5"/>
  <c r="L1924" i="5"/>
  <c r="C1924" i="5"/>
  <c r="B1924" i="5"/>
  <c r="T1923" i="5"/>
  <c r="S1923" i="5"/>
  <c r="R1923" i="5"/>
  <c r="Q1923" i="5"/>
  <c r="N1923" i="5"/>
  <c r="M1923" i="5"/>
  <c r="L1923" i="5"/>
  <c r="C1923" i="5"/>
  <c r="B1923" i="5"/>
  <c r="T1922" i="5"/>
  <c r="S1922" i="5"/>
  <c r="R1922" i="5"/>
  <c r="Q1922" i="5"/>
  <c r="N1922" i="5"/>
  <c r="M1922" i="5"/>
  <c r="L1922" i="5"/>
  <c r="C1922" i="5"/>
  <c r="B1922" i="5"/>
  <c r="T1921" i="5"/>
  <c r="S1921" i="5"/>
  <c r="R1921" i="5"/>
  <c r="Q1921" i="5"/>
  <c r="N1921" i="5"/>
  <c r="M1921" i="5"/>
  <c r="L1921" i="5"/>
  <c r="C1921" i="5"/>
  <c r="B1921" i="5"/>
  <c r="T1920" i="5"/>
  <c r="S1920" i="5"/>
  <c r="R1920" i="5"/>
  <c r="Q1920" i="5"/>
  <c r="N1920" i="5"/>
  <c r="M1920" i="5"/>
  <c r="L1920" i="5"/>
  <c r="C1920" i="5"/>
  <c r="B1920" i="5"/>
  <c r="T1919" i="5"/>
  <c r="S1919" i="5"/>
  <c r="R1919" i="5"/>
  <c r="Q1919" i="5"/>
  <c r="N1919" i="5"/>
  <c r="M1919" i="5"/>
  <c r="L1919" i="5"/>
  <c r="C1919" i="5"/>
  <c r="B1919" i="5"/>
  <c r="T1918" i="5"/>
  <c r="S1918" i="5"/>
  <c r="R1918" i="5"/>
  <c r="Q1918" i="5"/>
  <c r="N1918" i="5"/>
  <c r="M1918" i="5"/>
  <c r="L1918" i="5"/>
  <c r="C1918" i="5"/>
  <c r="B1918" i="5"/>
  <c r="T1917" i="5"/>
  <c r="S1917" i="5"/>
  <c r="R1917" i="5"/>
  <c r="Q1917" i="5"/>
  <c r="M1917" i="5"/>
  <c r="L1917" i="5"/>
  <c r="C1917" i="5"/>
  <c r="N1917" i="5" s="1"/>
  <c r="B1917" i="5"/>
  <c r="T1916" i="5"/>
  <c r="S1916" i="5"/>
  <c r="R1916" i="5"/>
  <c r="Q1916" i="5"/>
  <c r="M1916" i="5"/>
  <c r="L1916" i="5"/>
  <c r="C1916" i="5"/>
  <c r="N1916" i="5" s="1"/>
  <c r="B1916" i="5"/>
  <c r="T1915" i="5"/>
  <c r="S1915" i="5"/>
  <c r="R1915" i="5"/>
  <c r="Q1915" i="5"/>
  <c r="M1915" i="5"/>
  <c r="L1915" i="5"/>
  <c r="C1915" i="5"/>
  <c r="N1915" i="5" s="1"/>
  <c r="B1915" i="5"/>
  <c r="T1914" i="5"/>
  <c r="S1914" i="5"/>
  <c r="R1914" i="5"/>
  <c r="Q1914" i="5"/>
  <c r="N1914" i="5"/>
  <c r="M1914" i="5"/>
  <c r="L1914" i="5"/>
  <c r="C1914" i="5"/>
  <c r="B1914" i="5"/>
  <c r="T1913" i="5"/>
  <c r="S1913" i="5"/>
  <c r="R1913" i="5"/>
  <c r="Q1913" i="5"/>
  <c r="N1913" i="5"/>
  <c r="M1913" i="5"/>
  <c r="L1913" i="5"/>
  <c r="C1913" i="5"/>
  <c r="B1913" i="5"/>
  <c r="T1912" i="5"/>
  <c r="S1912" i="5"/>
  <c r="R1912" i="5"/>
  <c r="Q1912" i="5"/>
  <c r="N1912" i="5"/>
  <c r="M1912" i="5"/>
  <c r="L1912" i="5"/>
  <c r="C1912" i="5"/>
  <c r="B1912" i="5"/>
  <c r="T1911" i="5"/>
  <c r="S1911" i="5"/>
  <c r="R1911" i="5"/>
  <c r="Q1911" i="5"/>
  <c r="N1911" i="5"/>
  <c r="M1911" i="5"/>
  <c r="L1911" i="5"/>
  <c r="C1911" i="5"/>
  <c r="B1911" i="5"/>
  <c r="T1910" i="5"/>
  <c r="S1910" i="5"/>
  <c r="R1910" i="5"/>
  <c r="Q1910" i="5"/>
  <c r="M1910" i="5"/>
  <c r="L1910" i="5"/>
  <c r="C1910" i="5"/>
  <c r="N1910" i="5" s="1"/>
  <c r="B1910" i="5"/>
  <c r="T1909" i="5"/>
  <c r="S1909" i="5"/>
  <c r="R1909" i="5"/>
  <c r="Q1909" i="5"/>
  <c r="N1909" i="5"/>
  <c r="M1909" i="5"/>
  <c r="L1909" i="5"/>
  <c r="C1909" i="5"/>
  <c r="B1909" i="5"/>
  <c r="T1908" i="5"/>
  <c r="S1908" i="5"/>
  <c r="R1908" i="5"/>
  <c r="Q1908" i="5"/>
  <c r="M1908" i="5"/>
  <c r="L1908" i="5"/>
  <c r="C1908" i="5"/>
  <c r="N1908" i="5" s="1"/>
  <c r="B1908" i="5"/>
  <c r="T1907" i="5"/>
  <c r="S1907" i="5"/>
  <c r="R1907" i="5"/>
  <c r="Q1907" i="5"/>
  <c r="M1907" i="5"/>
  <c r="L1907" i="5"/>
  <c r="C1907" i="5"/>
  <c r="N1907" i="5" s="1"/>
  <c r="B1907" i="5"/>
  <c r="T1906" i="5"/>
  <c r="S1906" i="5"/>
  <c r="R1906" i="5"/>
  <c r="Q1906" i="5"/>
  <c r="M1906" i="5"/>
  <c r="L1906" i="5"/>
  <c r="C1906" i="5"/>
  <c r="N1906" i="5" s="1"/>
  <c r="B1906" i="5"/>
  <c r="T1905" i="5"/>
  <c r="S1905" i="5"/>
  <c r="R1905" i="5"/>
  <c r="Q1905" i="5"/>
  <c r="M1905" i="5"/>
  <c r="L1905" i="5"/>
  <c r="C1905" i="5"/>
  <c r="N1905" i="5" s="1"/>
  <c r="B1905" i="5"/>
  <c r="T1904" i="5"/>
  <c r="S1904" i="5"/>
  <c r="R1904" i="5"/>
  <c r="Q1904" i="5"/>
  <c r="N1904" i="5"/>
  <c r="M1904" i="5"/>
  <c r="L1904" i="5"/>
  <c r="C1904" i="5"/>
  <c r="B1904" i="5"/>
  <c r="T1903" i="5"/>
  <c r="S1903" i="5"/>
  <c r="R1903" i="5"/>
  <c r="Q1903" i="5"/>
  <c r="N1903" i="5"/>
  <c r="M1903" i="5"/>
  <c r="L1903" i="5"/>
  <c r="C1903" i="5"/>
  <c r="B1903" i="5"/>
  <c r="T1902" i="5"/>
  <c r="S1902" i="5"/>
  <c r="R1902" i="5"/>
  <c r="Q1902" i="5"/>
  <c r="N1902" i="5"/>
  <c r="M1902" i="5"/>
  <c r="L1902" i="5"/>
  <c r="C1902" i="5"/>
  <c r="B1902" i="5"/>
  <c r="T1901" i="5"/>
  <c r="S1901" i="5"/>
  <c r="R1901" i="5"/>
  <c r="Q1901" i="5"/>
  <c r="N1901" i="5"/>
  <c r="M1901" i="5"/>
  <c r="L1901" i="5"/>
  <c r="C1901" i="5"/>
  <c r="B1901" i="5"/>
  <c r="T1900" i="5"/>
  <c r="S1900" i="5"/>
  <c r="R1900" i="5"/>
  <c r="Q1900" i="5"/>
  <c r="M1900" i="5"/>
  <c r="L1900" i="5"/>
  <c r="C1900" i="5"/>
  <c r="N1900" i="5" s="1"/>
  <c r="B1900" i="5"/>
  <c r="T1899" i="5"/>
  <c r="S1899" i="5"/>
  <c r="R1899" i="5"/>
  <c r="Q1899" i="5"/>
  <c r="N1899" i="5"/>
  <c r="M1899" i="5"/>
  <c r="L1899" i="5"/>
  <c r="C1899" i="5"/>
  <c r="B1899" i="5"/>
  <c r="T1898" i="5"/>
  <c r="S1898" i="5"/>
  <c r="R1898" i="5"/>
  <c r="Q1898" i="5"/>
  <c r="N1898" i="5"/>
  <c r="M1898" i="5"/>
  <c r="L1898" i="5"/>
  <c r="C1898" i="5"/>
  <c r="B1898" i="5"/>
  <c r="T1897" i="5"/>
  <c r="S1897" i="5"/>
  <c r="R1897" i="5"/>
  <c r="Q1897" i="5"/>
  <c r="M1897" i="5"/>
  <c r="L1897" i="5"/>
  <c r="C1897" i="5"/>
  <c r="N1897" i="5" s="1"/>
  <c r="B1897" i="5"/>
  <c r="T1896" i="5"/>
  <c r="S1896" i="5"/>
  <c r="R1896" i="5"/>
  <c r="Q1896" i="5"/>
  <c r="M1896" i="5"/>
  <c r="L1896" i="5"/>
  <c r="C1896" i="5"/>
  <c r="N1896" i="5" s="1"/>
  <c r="B1896" i="5"/>
  <c r="T1895" i="5"/>
  <c r="S1895" i="5"/>
  <c r="R1895" i="5"/>
  <c r="Q1895" i="5"/>
  <c r="M1895" i="5"/>
  <c r="L1895" i="5"/>
  <c r="C1895" i="5"/>
  <c r="N1895" i="5" s="1"/>
  <c r="B1895" i="5"/>
  <c r="T1894" i="5"/>
  <c r="S1894" i="5"/>
  <c r="R1894" i="5"/>
  <c r="Q1894" i="5"/>
  <c r="N1894" i="5"/>
  <c r="M1894" i="5"/>
  <c r="L1894" i="5"/>
  <c r="C1894" i="5"/>
  <c r="B1894" i="5"/>
  <c r="T1893" i="5"/>
  <c r="S1893" i="5"/>
  <c r="R1893" i="5"/>
  <c r="Q1893" i="5"/>
  <c r="N1893" i="5"/>
  <c r="M1893" i="5"/>
  <c r="L1893" i="5"/>
  <c r="C1893" i="5"/>
  <c r="B1893" i="5"/>
  <c r="T1892" i="5"/>
  <c r="S1892" i="5"/>
  <c r="R1892" i="5"/>
  <c r="Q1892" i="5"/>
  <c r="N1892" i="5"/>
  <c r="M1892" i="5"/>
  <c r="L1892" i="5"/>
  <c r="C1892" i="5"/>
  <c r="B1892" i="5"/>
  <c r="T1891" i="5"/>
  <c r="S1891" i="5"/>
  <c r="R1891" i="5"/>
  <c r="Q1891" i="5"/>
  <c r="N1891" i="5"/>
  <c r="M1891" i="5"/>
  <c r="L1891" i="5"/>
  <c r="C1891" i="5"/>
  <c r="B1891" i="5"/>
  <c r="T1890" i="5"/>
  <c r="S1890" i="5"/>
  <c r="R1890" i="5"/>
  <c r="Q1890" i="5"/>
  <c r="N1890" i="5"/>
  <c r="M1890" i="5"/>
  <c r="L1890" i="5"/>
  <c r="C1890" i="5"/>
  <c r="B1890" i="5"/>
  <c r="T1889" i="5"/>
  <c r="S1889" i="5"/>
  <c r="R1889" i="5"/>
  <c r="Q1889" i="5"/>
  <c r="N1889" i="5"/>
  <c r="M1889" i="5"/>
  <c r="L1889" i="5"/>
  <c r="C1889" i="5"/>
  <c r="B1889" i="5"/>
  <c r="T1888" i="5"/>
  <c r="S1888" i="5"/>
  <c r="R1888" i="5"/>
  <c r="Q1888" i="5"/>
  <c r="N1888" i="5"/>
  <c r="M1888" i="5"/>
  <c r="L1888" i="5"/>
  <c r="C1888" i="5"/>
  <c r="B1888" i="5"/>
  <c r="T1887" i="5"/>
  <c r="S1887" i="5"/>
  <c r="R1887" i="5"/>
  <c r="Q1887" i="5"/>
  <c r="M1887" i="5"/>
  <c r="L1887" i="5"/>
  <c r="C1887" i="5"/>
  <c r="N1887" i="5" s="1"/>
  <c r="B1887" i="5"/>
  <c r="T1886" i="5"/>
  <c r="S1886" i="5"/>
  <c r="R1886" i="5"/>
  <c r="Q1886" i="5"/>
  <c r="M1886" i="5"/>
  <c r="L1886" i="5"/>
  <c r="C1886" i="5"/>
  <c r="N1886" i="5" s="1"/>
  <c r="B1886" i="5"/>
  <c r="T1885" i="5"/>
  <c r="S1885" i="5"/>
  <c r="R1885" i="5"/>
  <c r="Q1885" i="5"/>
  <c r="M1885" i="5"/>
  <c r="L1885" i="5"/>
  <c r="C1885" i="5"/>
  <c r="N1885" i="5" s="1"/>
  <c r="B1885" i="5"/>
  <c r="T1884" i="5"/>
  <c r="S1884" i="5"/>
  <c r="R1884" i="5"/>
  <c r="Q1884" i="5"/>
  <c r="N1884" i="5"/>
  <c r="M1884" i="5"/>
  <c r="L1884" i="5"/>
  <c r="C1884" i="5"/>
  <c r="B1884" i="5"/>
  <c r="T1883" i="5"/>
  <c r="S1883" i="5"/>
  <c r="R1883" i="5"/>
  <c r="Q1883" i="5"/>
  <c r="N1883" i="5"/>
  <c r="M1883" i="5"/>
  <c r="L1883" i="5"/>
  <c r="C1883" i="5"/>
  <c r="B1883" i="5"/>
  <c r="T1882" i="5"/>
  <c r="S1882" i="5"/>
  <c r="R1882" i="5"/>
  <c r="Q1882" i="5"/>
  <c r="N1882" i="5"/>
  <c r="M1882" i="5"/>
  <c r="L1882" i="5"/>
  <c r="C1882" i="5"/>
  <c r="B1882" i="5"/>
  <c r="T1881" i="5"/>
  <c r="S1881" i="5"/>
  <c r="R1881" i="5"/>
  <c r="Q1881" i="5"/>
  <c r="N1881" i="5"/>
  <c r="M1881" i="5"/>
  <c r="L1881" i="5"/>
  <c r="C1881" i="5"/>
  <c r="B1881" i="5"/>
  <c r="T1880" i="5"/>
  <c r="S1880" i="5"/>
  <c r="R1880" i="5"/>
  <c r="Q1880" i="5"/>
  <c r="N1880" i="5"/>
  <c r="M1880" i="5"/>
  <c r="L1880" i="5"/>
  <c r="C1880" i="5"/>
  <c r="B1880" i="5"/>
  <c r="T1879" i="5"/>
  <c r="S1879" i="5"/>
  <c r="R1879" i="5"/>
  <c r="Q1879" i="5"/>
  <c r="N1879" i="5"/>
  <c r="M1879" i="5"/>
  <c r="L1879" i="5"/>
  <c r="C1879" i="5"/>
  <c r="B1879" i="5"/>
  <c r="T1878" i="5"/>
  <c r="S1878" i="5"/>
  <c r="R1878" i="5"/>
  <c r="Q1878" i="5"/>
  <c r="M1878" i="5"/>
  <c r="L1878" i="5"/>
  <c r="C1878" i="5"/>
  <c r="N1878" i="5" s="1"/>
  <c r="B1878" i="5"/>
  <c r="T1877" i="5"/>
  <c r="S1877" i="5"/>
  <c r="R1877" i="5"/>
  <c r="Q1877" i="5"/>
  <c r="M1877" i="5"/>
  <c r="L1877" i="5"/>
  <c r="C1877" i="5"/>
  <c r="N1877" i="5" s="1"/>
  <c r="B1877" i="5"/>
  <c r="T1876" i="5"/>
  <c r="S1876" i="5"/>
  <c r="R1876" i="5"/>
  <c r="Q1876" i="5"/>
  <c r="M1876" i="5"/>
  <c r="L1876" i="5"/>
  <c r="C1876" i="5"/>
  <c r="N1876" i="5" s="1"/>
  <c r="B1876" i="5"/>
  <c r="T1875" i="5"/>
  <c r="S1875" i="5"/>
  <c r="R1875" i="5"/>
  <c r="Q1875" i="5"/>
  <c r="M1875" i="5"/>
  <c r="L1875" i="5"/>
  <c r="C1875" i="5"/>
  <c r="N1875" i="5" s="1"/>
  <c r="B1875" i="5"/>
  <c r="T1874" i="5"/>
  <c r="S1874" i="5"/>
  <c r="R1874" i="5"/>
  <c r="Q1874" i="5"/>
  <c r="N1874" i="5"/>
  <c r="M1874" i="5"/>
  <c r="L1874" i="5"/>
  <c r="C1874" i="5"/>
  <c r="B1874" i="5"/>
  <c r="T1873" i="5"/>
  <c r="S1873" i="5"/>
  <c r="R1873" i="5"/>
  <c r="Q1873" i="5"/>
  <c r="N1873" i="5"/>
  <c r="M1873" i="5"/>
  <c r="L1873" i="5"/>
  <c r="C1873" i="5"/>
  <c r="B1873" i="5"/>
  <c r="T1872" i="5"/>
  <c r="S1872" i="5"/>
  <c r="R1872" i="5"/>
  <c r="Q1872" i="5"/>
  <c r="N1872" i="5"/>
  <c r="M1872" i="5"/>
  <c r="L1872" i="5"/>
  <c r="C1872" i="5"/>
  <c r="B1872" i="5"/>
  <c r="T1871" i="5"/>
  <c r="S1871" i="5"/>
  <c r="R1871" i="5"/>
  <c r="Q1871" i="5"/>
  <c r="N1871" i="5"/>
  <c r="M1871" i="5"/>
  <c r="L1871" i="5"/>
  <c r="C1871" i="5"/>
  <c r="B1871" i="5"/>
  <c r="T1870" i="5"/>
  <c r="S1870" i="5"/>
  <c r="R1870" i="5"/>
  <c r="Q1870" i="5"/>
  <c r="M1870" i="5"/>
  <c r="L1870" i="5"/>
  <c r="C1870" i="5"/>
  <c r="N1870" i="5" s="1"/>
  <c r="B1870" i="5"/>
  <c r="T1869" i="5"/>
  <c r="S1869" i="5"/>
  <c r="R1869" i="5"/>
  <c r="Q1869" i="5"/>
  <c r="N1869" i="5"/>
  <c r="M1869" i="5"/>
  <c r="L1869" i="5"/>
  <c r="C1869" i="5"/>
  <c r="B1869" i="5"/>
  <c r="T1868" i="5"/>
  <c r="S1868" i="5"/>
  <c r="R1868" i="5"/>
  <c r="Q1868" i="5"/>
  <c r="M1868" i="5"/>
  <c r="L1868" i="5"/>
  <c r="C1868" i="5"/>
  <c r="N1868" i="5" s="1"/>
  <c r="B1868" i="5"/>
  <c r="T1867" i="5"/>
  <c r="S1867" i="5"/>
  <c r="R1867" i="5"/>
  <c r="Q1867" i="5"/>
  <c r="M1867" i="5"/>
  <c r="L1867" i="5"/>
  <c r="C1867" i="5"/>
  <c r="N1867" i="5" s="1"/>
  <c r="B1867" i="5"/>
  <c r="T1866" i="5"/>
  <c r="S1866" i="5"/>
  <c r="R1866" i="5"/>
  <c r="Q1866" i="5"/>
  <c r="M1866" i="5"/>
  <c r="L1866" i="5"/>
  <c r="C1866" i="5"/>
  <c r="N1866" i="5" s="1"/>
  <c r="B1866" i="5"/>
  <c r="T1865" i="5"/>
  <c r="S1865" i="5"/>
  <c r="R1865" i="5"/>
  <c r="Q1865" i="5"/>
  <c r="M1865" i="5"/>
  <c r="L1865" i="5"/>
  <c r="C1865" i="5"/>
  <c r="N1865" i="5" s="1"/>
  <c r="B1865" i="5"/>
  <c r="T1864" i="5"/>
  <c r="S1864" i="5"/>
  <c r="R1864" i="5"/>
  <c r="Q1864" i="5"/>
  <c r="N1864" i="5"/>
  <c r="M1864" i="5"/>
  <c r="L1864" i="5"/>
  <c r="C1864" i="5"/>
  <c r="B1864" i="5"/>
  <c r="T1863" i="5"/>
  <c r="S1863" i="5"/>
  <c r="R1863" i="5"/>
  <c r="Q1863" i="5"/>
  <c r="N1863" i="5"/>
  <c r="M1863" i="5"/>
  <c r="L1863" i="5"/>
  <c r="C1863" i="5"/>
  <c r="B1863" i="5"/>
  <c r="T1862" i="5"/>
  <c r="S1862" i="5"/>
  <c r="R1862" i="5"/>
  <c r="Q1862" i="5"/>
  <c r="N1862" i="5"/>
  <c r="M1862" i="5"/>
  <c r="L1862" i="5"/>
  <c r="C1862" i="5"/>
  <c r="B1862" i="5"/>
  <c r="T1861" i="5"/>
  <c r="S1861" i="5"/>
  <c r="R1861" i="5"/>
  <c r="Q1861" i="5"/>
  <c r="N1861" i="5"/>
  <c r="M1861" i="5"/>
  <c r="L1861" i="5"/>
  <c r="C1861" i="5"/>
  <c r="B1861" i="5"/>
  <c r="T1860" i="5"/>
  <c r="S1860" i="5"/>
  <c r="R1860" i="5"/>
  <c r="Q1860" i="5"/>
  <c r="N1860" i="5"/>
  <c r="M1860" i="5"/>
  <c r="L1860" i="5"/>
  <c r="C1860" i="5"/>
  <c r="B1860" i="5"/>
  <c r="T1859" i="5"/>
  <c r="S1859" i="5"/>
  <c r="R1859" i="5"/>
  <c r="Q1859" i="5"/>
  <c r="N1859" i="5"/>
  <c r="M1859" i="5"/>
  <c r="L1859" i="5"/>
  <c r="C1859" i="5"/>
  <c r="B1859" i="5"/>
  <c r="T1858" i="5"/>
  <c r="S1858" i="5"/>
  <c r="R1858" i="5"/>
  <c r="Q1858" i="5"/>
  <c r="N1858" i="5"/>
  <c r="M1858" i="5"/>
  <c r="L1858" i="5"/>
  <c r="C1858" i="5"/>
  <c r="B1858" i="5"/>
  <c r="T1857" i="5"/>
  <c r="S1857" i="5"/>
  <c r="R1857" i="5"/>
  <c r="Q1857" i="5"/>
  <c r="M1857" i="5"/>
  <c r="L1857" i="5"/>
  <c r="C1857" i="5"/>
  <c r="N1857" i="5" s="1"/>
  <c r="B1857" i="5"/>
  <c r="T1856" i="5"/>
  <c r="S1856" i="5"/>
  <c r="R1856" i="5"/>
  <c r="Q1856" i="5"/>
  <c r="M1856" i="5"/>
  <c r="L1856" i="5"/>
  <c r="C1856" i="5"/>
  <c r="N1856" i="5" s="1"/>
  <c r="B1856" i="5"/>
  <c r="T1855" i="5"/>
  <c r="S1855" i="5"/>
  <c r="R1855" i="5"/>
  <c r="Q1855" i="5"/>
  <c r="M1855" i="5"/>
  <c r="L1855" i="5"/>
  <c r="C1855" i="5"/>
  <c r="N1855" i="5" s="1"/>
  <c r="B1855" i="5"/>
  <c r="T1854" i="5"/>
  <c r="S1854" i="5"/>
  <c r="R1854" i="5"/>
  <c r="Q1854" i="5"/>
  <c r="N1854" i="5"/>
  <c r="M1854" i="5"/>
  <c r="L1854" i="5"/>
  <c r="C1854" i="5"/>
  <c r="B1854" i="5"/>
  <c r="T1853" i="5"/>
  <c r="S1853" i="5"/>
  <c r="R1853" i="5"/>
  <c r="Q1853" i="5"/>
  <c r="N1853" i="5"/>
  <c r="M1853" i="5"/>
  <c r="L1853" i="5"/>
  <c r="C1853" i="5"/>
  <c r="B1853" i="5"/>
  <c r="T1852" i="5"/>
  <c r="S1852" i="5"/>
  <c r="R1852" i="5"/>
  <c r="Q1852" i="5"/>
  <c r="N1852" i="5"/>
  <c r="M1852" i="5"/>
  <c r="L1852" i="5"/>
  <c r="C1852" i="5"/>
  <c r="B1852" i="5"/>
  <c r="T1851" i="5"/>
  <c r="S1851" i="5"/>
  <c r="R1851" i="5"/>
  <c r="Q1851" i="5"/>
  <c r="N1851" i="5"/>
  <c r="M1851" i="5"/>
  <c r="L1851" i="5"/>
  <c r="C1851" i="5"/>
  <c r="B1851" i="5"/>
  <c r="T1850" i="5"/>
  <c r="S1850" i="5"/>
  <c r="R1850" i="5"/>
  <c r="Q1850" i="5"/>
  <c r="N1850" i="5"/>
  <c r="M1850" i="5"/>
  <c r="L1850" i="5"/>
  <c r="C1850" i="5"/>
  <c r="B1850" i="5"/>
  <c r="T1849" i="5"/>
  <c r="S1849" i="5"/>
  <c r="R1849" i="5"/>
  <c r="Q1849" i="5"/>
  <c r="N1849" i="5"/>
  <c r="M1849" i="5"/>
  <c r="L1849" i="5"/>
  <c r="C1849" i="5"/>
  <c r="B1849" i="5"/>
  <c r="T1848" i="5"/>
  <c r="S1848" i="5"/>
  <c r="R1848" i="5"/>
  <c r="Q1848" i="5"/>
  <c r="M1848" i="5"/>
  <c r="L1848" i="5"/>
  <c r="C1848" i="5"/>
  <c r="N1848" i="5" s="1"/>
  <c r="B1848" i="5"/>
  <c r="T1847" i="5"/>
  <c r="S1847" i="5"/>
  <c r="R1847" i="5"/>
  <c r="Q1847" i="5"/>
  <c r="M1847" i="5"/>
  <c r="L1847" i="5"/>
  <c r="C1847" i="5"/>
  <c r="N1847" i="5" s="1"/>
  <c r="B1847" i="5"/>
  <c r="T1846" i="5"/>
  <c r="S1846" i="5"/>
  <c r="R1846" i="5"/>
  <c r="Q1846" i="5"/>
  <c r="M1846" i="5"/>
  <c r="L1846" i="5"/>
  <c r="C1846" i="5"/>
  <c r="N1846" i="5" s="1"/>
  <c r="B1846" i="5"/>
  <c r="T1845" i="5"/>
  <c r="S1845" i="5"/>
  <c r="R1845" i="5"/>
  <c r="Q1845" i="5"/>
  <c r="M1845" i="5"/>
  <c r="L1845" i="5"/>
  <c r="C1845" i="5"/>
  <c r="N1845" i="5" s="1"/>
  <c r="B1845" i="5"/>
  <c r="T1844" i="5"/>
  <c r="S1844" i="5"/>
  <c r="R1844" i="5"/>
  <c r="Q1844" i="5"/>
  <c r="N1844" i="5"/>
  <c r="M1844" i="5"/>
  <c r="L1844" i="5"/>
  <c r="C1844" i="5"/>
  <c r="B1844" i="5"/>
  <c r="T1843" i="5"/>
  <c r="S1843" i="5"/>
  <c r="R1843" i="5"/>
  <c r="Q1843" i="5"/>
  <c r="N1843" i="5"/>
  <c r="M1843" i="5"/>
  <c r="L1843" i="5"/>
  <c r="C1843" i="5"/>
  <c r="B1843" i="5"/>
  <c r="T1842" i="5"/>
  <c r="S1842" i="5"/>
  <c r="R1842" i="5"/>
  <c r="Q1842" i="5"/>
  <c r="N1842" i="5"/>
  <c r="M1842" i="5"/>
  <c r="L1842" i="5"/>
  <c r="C1842" i="5"/>
  <c r="B1842" i="5"/>
  <c r="T1841" i="5"/>
  <c r="S1841" i="5"/>
  <c r="R1841" i="5"/>
  <c r="Q1841" i="5"/>
  <c r="N1841" i="5"/>
  <c r="M1841" i="5"/>
  <c r="L1841" i="5"/>
  <c r="C1841" i="5"/>
  <c r="B1841" i="5"/>
  <c r="T1840" i="5"/>
  <c r="S1840" i="5"/>
  <c r="R1840" i="5"/>
  <c r="Q1840" i="5"/>
  <c r="M1840" i="5"/>
  <c r="L1840" i="5"/>
  <c r="C1840" i="5"/>
  <c r="N1840" i="5" s="1"/>
  <c r="B1840" i="5"/>
  <c r="T1839" i="5"/>
  <c r="S1839" i="5"/>
  <c r="R1839" i="5"/>
  <c r="Q1839" i="5"/>
  <c r="N1839" i="5"/>
  <c r="M1839" i="5"/>
  <c r="L1839" i="5"/>
  <c r="C1839" i="5"/>
  <c r="B1839" i="5"/>
  <c r="T1838" i="5"/>
  <c r="S1838" i="5"/>
  <c r="R1838" i="5"/>
  <c r="Q1838" i="5"/>
  <c r="M1838" i="5"/>
  <c r="L1838" i="5"/>
  <c r="C1838" i="5"/>
  <c r="N1838" i="5" s="1"/>
  <c r="B1838" i="5"/>
  <c r="T1837" i="5"/>
  <c r="S1837" i="5"/>
  <c r="R1837" i="5"/>
  <c r="Q1837" i="5"/>
  <c r="M1837" i="5"/>
  <c r="L1837" i="5"/>
  <c r="C1837" i="5"/>
  <c r="N1837" i="5" s="1"/>
  <c r="B1837" i="5"/>
  <c r="T1836" i="5"/>
  <c r="S1836" i="5"/>
  <c r="R1836" i="5"/>
  <c r="Q1836" i="5"/>
  <c r="M1836" i="5"/>
  <c r="L1836" i="5"/>
  <c r="C1836" i="5"/>
  <c r="N1836" i="5" s="1"/>
  <c r="B1836" i="5"/>
  <c r="T1835" i="5"/>
  <c r="S1835" i="5"/>
  <c r="R1835" i="5"/>
  <c r="Q1835" i="5"/>
  <c r="M1835" i="5"/>
  <c r="L1835" i="5"/>
  <c r="C1835" i="5"/>
  <c r="N1835" i="5" s="1"/>
  <c r="B1835" i="5"/>
  <c r="T1834" i="5"/>
  <c r="S1834" i="5"/>
  <c r="R1834" i="5"/>
  <c r="Q1834" i="5"/>
  <c r="N1834" i="5"/>
  <c r="M1834" i="5"/>
  <c r="L1834" i="5"/>
  <c r="C1834" i="5"/>
  <c r="B1834" i="5"/>
  <c r="T1833" i="5"/>
  <c r="S1833" i="5"/>
  <c r="R1833" i="5"/>
  <c r="Q1833" i="5"/>
  <c r="N1833" i="5"/>
  <c r="M1833" i="5"/>
  <c r="L1833" i="5"/>
  <c r="C1833" i="5"/>
  <c r="B1833" i="5"/>
  <c r="T1832" i="5"/>
  <c r="S1832" i="5"/>
  <c r="R1832" i="5"/>
  <c r="Q1832" i="5"/>
  <c r="N1832" i="5"/>
  <c r="M1832" i="5"/>
  <c r="L1832" i="5"/>
  <c r="C1832" i="5"/>
  <c r="B1832" i="5"/>
  <c r="T1831" i="5"/>
  <c r="S1831" i="5"/>
  <c r="R1831" i="5"/>
  <c r="Q1831" i="5"/>
  <c r="N1831" i="5"/>
  <c r="M1831" i="5"/>
  <c r="L1831" i="5"/>
  <c r="C1831" i="5"/>
  <c r="B1831" i="5"/>
  <c r="T1830" i="5"/>
  <c r="S1830" i="5"/>
  <c r="R1830" i="5"/>
  <c r="Q1830" i="5"/>
  <c r="M1830" i="5"/>
  <c r="L1830" i="5"/>
  <c r="C1830" i="5"/>
  <c r="N1830" i="5" s="1"/>
  <c r="B1830" i="5"/>
  <c r="T1829" i="5"/>
  <c r="S1829" i="5"/>
  <c r="R1829" i="5"/>
  <c r="Q1829" i="5"/>
  <c r="N1829" i="5"/>
  <c r="M1829" i="5"/>
  <c r="L1829" i="5"/>
  <c r="C1829" i="5"/>
  <c r="B1829" i="5"/>
  <c r="T1828" i="5"/>
  <c r="S1828" i="5"/>
  <c r="R1828" i="5"/>
  <c r="Q1828" i="5"/>
  <c r="N1828" i="5"/>
  <c r="M1828" i="5"/>
  <c r="L1828" i="5"/>
  <c r="C1828" i="5"/>
  <c r="B1828" i="5"/>
  <c r="T1827" i="5"/>
  <c r="S1827" i="5"/>
  <c r="R1827" i="5"/>
  <c r="Q1827" i="5"/>
  <c r="M1827" i="5"/>
  <c r="L1827" i="5"/>
  <c r="C1827" i="5"/>
  <c r="N1827" i="5" s="1"/>
  <c r="B1827" i="5"/>
  <c r="T1826" i="5"/>
  <c r="S1826" i="5"/>
  <c r="R1826" i="5"/>
  <c r="Q1826" i="5"/>
  <c r="M1826" i="5"/>
  <c r="L1826" i="5"/>
  <c r="C1826" i="5"/>
  <c r="N1826" i="5" s="1"/>
  <c r="B1826" i="5"/>
  <c r="T1825" i="5"/>
  <c r="S1825" i="5"/>
  <c r="R1825" i="5"/>
  <c r="Q1825" i="5"/>
  <c r="M1825" i="5"/>
  <c r="L1825" i="5"/>
  <c r="C1825" i="5"/>
  <c r="N1825" i="5" s="1"/>
  <c r="B1825" i="5"/>
  <c r="T1824" i="5"/>
  <c r="S1824" i="5"/>
  <c r="R1824" i="5"/>
  <c r="Q1824" i="5"/>
  <c r="N1824" i="5"/>
  <c r="M1824" i="5"/>
  <c r="L1824" i="5"/>
  <c r="C1824" i="5"/>
  <c r="B1824" i="5"/>
  <c r="T1823" i="5"/>
  <c r="S1823" i="5"/>
  <c r="R1823" i="5"/>
  <c r="Q1823" i="5"/>
  <c r="N1823" i="5"/>
  <c r="M1823" i="5"/>
  <c r="L1823" i="5"/>
  <c r="C1823" i="5"/>
  <c r="B1823" i="5"/>
  <c r="T1822" i="5"/>
  <c r="S1822" i="5"/>
  <c r="R1822" i="5"/>
  <c r="Q1822" i="5"/>
  <c r="N1822" i="5"/>
  <c r="M1822" i="5"/>
  <c r="L1822" i="5"/>
  <c r="C1822" i="5"/>
  <c r="B1822" i="5"/>
  <c r="T1821" i="5"/>
  <c r="S1821" i="5"/>
  <c r="R1821" i="5"/>
  <c r="Q1821" i="5"/>
  <c r="N1821" i="5"/>
  <c r="M1821" i="5"/>
  <c r="L1821" i="5"/>
  <c r="C1821" i="5"/>
  <c r="B1821" i="5"/>
  <c r="T1820" i="5"/>
  <c r="S1820" i="5"/>
  <c r="R1820" i="5"/>
  <c r="Q1820" i="5"/>
  <c r="N1820" i="5"/>
  <c r="M1820" i="5"/>
  <c r="L1820" i="5"/>
  <c r="C1820" i="5"/>
  <c r="B1820" i="5"/>
  <c r="T1819" i="5"/>
  <c r="S1819" i="5"/>
  <c r="R1819" i="5"/>
  <c r="Q1819" i="5"/>
  <c r="N1819" i="5"/>
  <c r="M1819" i="5"/>
  <c r="L1819" i="5"/>
  <c r="C1819" i="5"/>
  <c r="B1819" i="5"/>
  <c r="T1818" i="5"/>
  <c r="S1818" i="5"/>
  <c r="R1818" i="5"/>
  <c r="Q1818" i="5"/>
  <c r="N1818" i="5"/>
  <c r="M1818" i="5"/>
  <c r="L1818" i="5"/>
  <c r="C1818" i="5"/>
  <c r="B1818" i="5"/>
  <c r="T1817" i="5"/>
  <c r="S1817" i="5"/>
  <c r="R1817" i="5"/>
  <c r="Q1817" i="5"/>
  <c r="M1817" i="5"/>
  <c r="L1817" i="5"/>
  <c r="C1817" i="5"/>
  <c r="N1817" i="5" s="1"/>
  <c r="B1817" i="5"/>
  <c r="T1816" i="5"/>
  <c r="S1816" i="5"/>
  <c r="R1816" i="5"/>
  <c r="Q1816" i="5"/>
  <c r="M1816" i="5"/>
  <c r="L1816" i="5"/>
  <c r="C1816" i="5"/>
  <c r="N1816" i="5" s="1"/>
  <c r="B1816" i="5"/>
  <c r="T1815" i="5"/>
  <c r="S1815" i="5"/>
  <c r="R1815" i="5"/>
  <c r="Q1815" i="5"/>
  <c r="M1815" i="5"/>
  <c r="L1815" i="5"/>
  <c r="C1815" i="5"/>
  <c r="N1815" i="5" s="1"/>
  <c r="B1815" i="5"/>
  <c r="T1814" i="5"/>
  <c r="S1814" i="5"/>
  <c r="R1814" i="5"/>
  <c r="Q1814" i="5"/>
  <c r="N1814" i="5"/>
  <c r="M1814" i="5"/>
  <c r="L1814" i="5"/>
  <c r="C1814" i="5"/>
  <c r="B1814" i="5"/>
  <c r="T1813" i="5"/>
  <c r="S1813" i="5"/>
  <c r="R1813" i="5"/>
  <c r="Q1813" i="5"/>
  <c r="N1813" i="5"/>
  <c r="M1813" i="5"/>
  <c r="L1813" i="5"/>
  <c r="C1813" i="5"/>
  <c r="B1813" i="5"/>
  <c r="T1812" i="5"/>
  <c r="S1812" i="5"/>
  <c r="R1812" i="5"/>
  <c r="Q1812" i="5"/>
  <c r="N1812" i="5"/>
  <c r="M1812" i="5"/>
  <c r="L1812" i="5"/>
  <c r="C1812" i="5"/>
  <c r="B1812" i="5"/>
  <c r="T1811" i="5"/>
  <c r="S1811" i="5"/>
  <c r="R1811" i="5"/>
  <c r="Q1811" i="5"/>
  <c r="N1811" i="5"/>
  <c r="M1811" i="5"/>
  <c r="L1811" i="5"/>
  <c r="C1811" i="5"/>
  <c r="B1811" i="5"/>
  <c r="T1810" i="5"/>
  <c r="S1810" i="5"/>
  <c r="R1810" i="5"/>
  <c r="Q1810" i="5"/>
  <c r="M1810" i="5"/>
  <c r="L1810" i="5"/>
  <c r="C1810" i="5"/>
  <c r="N1810" i="5" s="1"/>
  <c r="B1810" i="5"/>
  <c r="T1809" i="5"/>
  <c r="S1809" i="5"/>
  <c r="R1809" i="5"/>
  <c r="Q1809" i="5"/>
  <c r="N1809" i="5"/>
  <c r="M1809" i="5"/>
  <c r="L1809" i="5"/>
  <c r="C1809" i="5"/>
  <c r="B1809" i="5"/>
  <c r="T1808" i="5"/>
  <c r="S1808" i="5"/>
  <c r="R1808" i="5"/>
  <c r="Q1808" i="5"/>
  <c r="M1808" i="5"/>
  <c r="L1808" i="5"/>
  <c r="C1808" i="5"/>
  <c r="N1808" i="5" s="1"/>
  <c r="B1808" i="5"/>
  <c r="T1807" i="5"/>
  <c r="S1807" i="5"/>
  <c r="R1807" i="5"/>
  <c r="Q1807" i="5"/>
  <c r="M1807" i="5"/>
  <c r="L1807" i="5"/>
  <c r="C1807" i="5"/>
  <c r="N1807" i="5" s="1"/>
  <c r="B1807" i="5"/>
  <c r="T1806" i="5"/>
  <c r="S1806" i="5"/>
  <c r="R1806" i="5"/>
  <c r="Q1806" i="5"/>
  <c r="M1806" i="5"/>
  <c r="L1806" i="5"/>
  <c r="C1806" i="5"/>
  <c r="N1806" i="5" s="1"/>
  <c r="B1806" i="5"/>
  <c r="T1805" i="5"/>
  <c r="S1805" i="5"/>
  <c r="R1805" i="5"/>
  <c r="Q1805" i="5"/>
  <c r="M1805" i="5"/>
  <c r="L1805" i="5"/>
  <c r="C1805" i="5"/>
  <c r="N1805" i="5" s="1"/>
  <c r="B1805" i="5"/>
  <c r="T1804" i="5"/>
  <c r="S1804" i="5"/>
  <c r="R1804" i="5"/>
  <c r="Q1804" i="5"/>
  <c r="N1804" i="5"/>
  <c r="M1804" i="5"/>
  <c r="L1804" i="5"/>
  <c r="C1804" i="5"/>
  <c r="B1804" i="5"/>
  <c r="T1803" i="5"/>
  <c r="S1803" i="5"/>
  <c r="R1803" i="5"/>
  <c r="Q1803" i="5"/>
  <c r="N1803" i="5"/>
  <c r="M1803" i="5"/>
  <c r="L1803" i="5"/>
  <c r="C1803" i="5"/>
  <c r="B1803" i="5"/>
  <c r="T1802" i="5"/>
  <c r="S1802" i="5"/>
  <c r="R1802" i="5"/>
  <c r="Q1802" i="5"/>
  <c r="N1802" i="5"/>
  <c r="M1802" i="5"/>
  <c r="L1802" i="5"/>
  <c r="C1802" i="5"/>
  <c r="B1802" i="5"/>
  <c r="T1801" i="5"/>
  <c r="S1801" i="5"/>
  <c r="R1801" i="5"/>
  <c r="Q1801" i="5"/>
  <c r="N1801" i="5"/>
  <c r="M1801" i="5"/>
  <c r="L1801" i="5"/>
  <c r="C1801" i="5"/>
  <c r="B1801" i="5"/>
  <c r="T1800" i="5"/>
  <c r="S1800" i="5"/>
  <c r="R1800" i="5"/>
  <c r="Q1800" i="5"/>
  <c r="M1800" i="5"/>
  <c r="L1800" i="5"/>
  <c r="C1800" i="5"/>
  <c r="N1800" i="5" s="1"/>
  <c r="B1800" i="5"/>
  <c r="T1799" i="5"/>
  <c r="S1799" i="5"/>
  <c r="R1799" i="5"/>
  <c r="Q1799" i="5"/>
  <c r="N1799" i="5"/>
  <c r="M1799" i="5"/>
  <c r="L1799" i="5"/>
  <c r="C1799" i="5"/>
  <c r="B1799" i="5"/>
  <c r="T1798" i="5"/>
  <c r="S1798" i="5"/>
  <c r="R1798" i="5"/>
  <c r="Q1798" i="5"/>
  <c r="N1798" i="5"/>
  <c r="M1798" i="5"/>
  <c r="L1798" i="5"/>
  <c r="C1798" i="5"/>
  <c r="B1798" i="5"/>
  <c r="T1797" i="5"/>
  <c r="S1797" i="5"/>
  <c r="R1797" i="5"/>
  <c r="Q1797" i="5"/>
  <c r="M1797" i="5"/>
  <c r="L1797" i="5"/>
  <c r="C1797" i="5"/>
  <c r="N1797" i="5" s="1"/>
  <c r="B1797" i="5"/>
  <c r="T1796" i="5"/>
  <c r="S1796" i="5"/>
  <c r="R1796" i="5"/>
  <c r="Q1796" i="5"/>
  <c r="M1796" i="5"/>
  <c r="L1796" i="5"/>
  <c r="C1796" i="5"/>
  <c r="N1796" i="5" s="1"/>
  <c r="B1796" i="5"/>
  <c r="T1795" i="5"/>
  <c r="S1795" i="5"/>
  <c r="R1795" i="5"/>
  <c r="Q1795" i="5"/>
  <c r="M1795" i="5"/>
  <c r="L1795" i="5"/>
  <c r="C1795" i="5"/>
  <c r="N1795" i="5" s="1"/>
  <c r="B1795" i="5"/>
  <c r="T1794" i="5"/>
  <c r="S1794" i="5"/>
  <c r="R1794" i="5"/>
  <c r="Q1794" i="5"/>
  <c r="N1794" i="5"/>
  <c r="M1794" i="5"/>
  <c r="L1794" i="5"/>
  <c r="C1794" i="5"/>
  <c r="B1794" i="5"/>
  <c r="T1793" i="5"/>
  <c r="S1793" i="5"/>
  <c r="R1793" i="5"/>
  <c r="Q1793" i="5"/>
  <c r="N1793" i="5"/>
  <c r="M1793" i="5"/>
  <c r="L1793" i="5"/>
  <c r="C1793" i="5"/>
  <c r="B1793" i="5"/>
  <c r="T1792" i="5"/>
  <c r="S1792" i="5"/>
  <c r="R1792" i="5"/>
  <c r="Q1792" i="5"/>
  <c r="N1792" i="5"/>
  <c r="M1792" i="5"/>
  <c r="L1792" i="5"/>
  <c r="C1792" i="5"/>
  <c r="B1792" i="5"/>
  <c r="T1791" i="5"/>
  <c r="S1791" i="5"/>
  <c r="R1791" i="5"/>
  <c r="Q1791" i="5"/>
  <c r="N1791" i="5"/>
  <c r="M1791" i="5"/>
  <c r="L1791" i="5"/>
  <c r="C1791" i="5"/>
  <c r="B1791" i="5"/>
  <c r="T1790" i="5"/>
  <c r="S1790" i="5"/>
  <c r="R1790" i="5"/>
  <c r="Q1790" i="5"/>
  <c r="N1790" i="5"/>
  <c r="M1790" i="5"/>
  <c r="L1790" i="5"/>
  <c r="C1790" i="5"/>
  <c r="B1790" i="5"/>
  <c r="T1789" i="5"/>
  <c r="S1789" i="5"/>
  <c r="R1789" i="5"/>
  <c r="Q1789" i="5"/>
  <c r="N1789" i="5"/>
  <c r="M1789" i="5"/>
  <c r="L1789" i="5"/>
  <c r="C1789" i="5"/>
  <c r="B1789" i="5"/>
  <c r="T1788" i="5"/>
  <c r="S1788" i="5"/>
  <c r="R1788" i="5"/>
  <c r="Q1788" i="5"/>
  <c r="N1788" i="5"/>
  <c r="M1788" i="5"/>
  <c r="L1788" i="5"/>
  <c r="C1788" i="5"/>
  <c r="B1788" i="5"/>
  <c r="T1787" i="5"/>
  <c r="S1787" i="5"/>
  <c r="R1787" i="5"/>
  <c r="Q1787" i="5"/>
  <c r="M1787" i="5"/>
  <c r="L1787" i="5"/>
  <c r="C1787" i="5"/>
  <c r="N1787" i="5" s="1"/>
  <c r="B1787" i="5"/>
  <c r="T1786" i="5"/>
  <c r="S1786" i="5"/>
  <c r="R1786" i="5"/>
  <c r="Q1786" i="5"/>
  <c r="M1786" i="5"/>
  <c r="L1786" i="5"/>
  <c r="C1786" i="5"/>
  <c r="N1786" i="5" s="1"/>
  <c r="B1786" i="5"/>
  <c r="T1785" i="5"/>
  <c r="S1785" i="5"/>
  <c r="R1785" i="5"/>
  <c r="Q1785" i="5"/>
  <c r="M1785" i="5"/>
  <c r="L1785" i="5"/>
  <c r="C1785" i="5"/>
  <c r="N1785" i="5" s="1"/>
  <c r="B1785" i="5"/>
  <c r="T1784" i="5"/>
  <c r="S1784" i="5"/>
  <c r="R1784" i="5"/>
  <c r="Q1784" i="5"/>
  <c r="N1784" i="5"/>
  <c r="M1784" i="5"/>
  <c r="L1784" i="5"/>
  <c r="C1784" i="5"/>
  <c r="B1784" i="5"/>
  <c r="T1783" i="5"/>
  <c r="S1783" i="5"/>
  <c r="R1783" i="5"/>
  <c r="Q1783" i="5"/>
  <c r="N1783" i="5"/>
  <c r="M1783" i="5"/>
  <c r="L1783" i="5"/>
  <c r="C1783" i="5"/>
  <c r="B1783" i="5"/>
  <c r="T1782" i="5"/>
  <c r="S1782" i="5"/>
  <c r="R1782" i="5"/>
  <c r="Q1782" i="5"/>
  <c r="N1782" i="5"/>
  <c r="M1782" i="5"/>
  <c r="L1782" i="5"/>
  <c r="C1782" i="5"/>
  <c r="B1782" i="5"/>
  <c r="T1781" i="5"/>
  <c r="S1781" i="5"/>
  <c r="R1781" i="5"/>
  <c r="Q1781" i="5"/>
  <c r="N1781" i="5"/>
  <c r="M1781" i="5"/>
  <c r="L1781" i="5"/>
  <c r="C1781" i="5"/>
  <c r="B1781" i="5"/>
  <c r="T1780" i="5"/>
  <c r="S1780" i="5"/>
  <c r="R1780" i="5"/>
  <c r="Q1780" i="5"/>
  <c r="N1780" i="5"/>
  <c r="M1780" i="5"/>
  <c r="L1780" i="5"/>
  <c r="C1780" i="5"/>
  <c r="B1780" i="5"/>
  <c r="T1779" i="5"/>
  <c r="S1779" i="5"/>
  <c r="R1779" i="5"/>
  <c r="Q1779" i="5"/>
  <c r="N1779" i="5"/>
  <c r="M1779" i="5"/>
  <c r="L1779" i="5"/>
  <c r="C1779" i="5"/>
  <c r="B1779" i="5"/>
  <c r="T1778" i="5"/>
  <c r="S1778" i="5"/>
  <c r="R1778" i="5"/>
  <c r="Q1778" i="5"/>
  <c r="M1778" i="5"/>
  <c r="L1778" i="5"/>
  <c r="C1778" i="5"/>
  <c r="N1778" i="5" s="1"/>
  <c r="B1778" i="5"/>
  <c r="T1777" i="5"/>
  <c r="S1777" i="5"/>
  <c r="R1777" i="5"/>
  <c r="Q1777" i="5"/>
  <c r="M1777" i="5"/>
  <c r="L1777" i="5"/>
  <c r="C1777" i="5"/>
  <c r="N1777" i="5" s="1"/>
  <c r="B1777" i="5"/>
  <c r="T1776" i="5"/>
  <c r="S1776" i="5"/>
  <c r="R1776" i="5"/>
  <c r="Q1776" i="5"/>
  <c r="M1776" i="5"/>
  <c r="L1776" i="5"/>
  <c r="C1776" i="5"/>
  <c r="N1776" i="5" s="1"/>
  <c r="B1776" i="5"/>
  <c r="T1775" i="5"/>
  <c r="S1775" i="5"/>
  <c r="R1775" i="5"/>
  <c r="Q1775" i="5"/>
  <c r="M1775" i="5"/>
  <c r="L1775" i="5"/>
  <c r="C1775" i="5"/>
  <c r="N1775" i="5" s="1"/>
  <c r="B1775" i="5"/>
  <c r="T1774" i="5"/>
  <c r="S1774" i="5"/>
  <c r="R1774" i="5"/>
  <c r="Q1774" i="5"/>
  <c r="N1774" i="5"/>
  <c r="M1774" i="5"/>
  <c r="L1774" i="5"/>
  <c r="C1774" i="5"/>
  <c r="B1774" i="5"/>
  <c r="T1773" i="5"/>
  <c r="S1773" i="5"/>
  <c r="R1773" i="5"/>
  <c r="Q1773" i="5"/>
  <c r="N1773" i="5"/>
  <c r="M1773" i="5"/>
  <c r="L1773" i="5"/>
  <c r="C1773" i="5"/>
  <c r="B1773" i="5"/>
  <c r="T1772" i="5"/>
  <c r="S1772" i="5"/>
  <c r="R1772" i="5"/>
  <c r="Q1772" i="5"/>
  <c r="N1772" i="5"/>
  <c r="M1772" i="5"/>
  <c r="L1772" i="5"/>
  <c r="C1772" i="5"/>
  <c r="B1772" i="5"/>
  <c r="T1771" i="5"/>
  <c r="S1771" i="5"/>
  <c r="R1771" i="5"/>
  <c r="Q1771" i="5"/>
  <c r="N1771" i="5"/>
  <c r="M1771" i="5"/>
  <c r="L1771" i="5"/>
  <c r="C1771" i="5"/>
  <c r="B1771" i="5"/>
  <c r="T1770" i="5"/>
  <c r="S1770" i="5"/>
  <c r="R1770" i="5"/>
  <c r="Q1770" i="5"/>
  <c r="M1770" i="5"/>
  <c r="L1770" i="5"/>
  <c r="C1770" i="5"/>
  <c r="N1770" i="5" s="1"/>
  <c r="B1770" i="5"/>
  <c r="T1769" i="5"/>
  <c r="S1769" i="5"/>
  <c r="R1769" i="5"/>
  <c r="Q1769" i="5"/>
  <c r="N1769" i="5"/>
  <c r="M1769" i="5"/>
  <c r="L1769" i="5"/>
  <c r="C1769" i="5"/>
  <c r="B1769" i="5"/>
  <c r="T1768" i="5"/>
  <c r="S1768" i="5"/>
  <c r="R1768" i="5"/>
  <c r="Q1768" i="5"/>
  <c r="M1768" i="5"/>
  <c r="L1768" i="5"/>
  <c r="C1768" i="5"/>
  <c r="N1768" i="5" s="1"/>
  <c r="B1768" i="5"/>
  <c r="T1767" i="5"/>
  <c r="S1767" i="5"/>
  <c r="R1767" i="5"/>
  <c r="Q1767" i="5"/>
  <c r="M1767" i="5"/>
  <c r="L1767" i="5"/>
  <c r="C1767" i="5"/>
  <c r="N1767" i="5" s="1"/>
  <c r="B1767" i="5"/>
  <c r="T1766" i="5"/>
  <c r="S1766" i="5"/>
  <c r="R1766" i="5"/>
  <c r="Q1766" i="5"/>
  <c r="M1766" i="5"/>
  <c r="L1766" i="5"/>
  <c r="C1766" i="5"/>
  <c r="N1766" i="5" s="1"/>
  <c r="B1766" i="5"/>
  <c r="T1765" i="5"/>
  <c r="S1765" i="5"/>
  <c r="R1765" i="5"/>
  <c r="Q1765" i="5"/>
  <c r="M1765" i="5"/>
  <c r="L1765" i="5"/>
  <c r="C1765" i="5"/>
  <c r="N1765" i="5" s="1"/>
  <c r="B1765" i="5"/>
  <c r="T1764" i="5"/>
  <c r="S1764" i="5"/>
  <c r="R1764" i="5"/>
  <c r="Q1764" i="5"/>
  <c r="N1764" i="5"/>
  <c r="M1764" i="5"/>
  <c r="L1764" i="5"/>
  <c r="C1764" i="5"/>
  <c r="B1764" i="5"/>
  <c r="T1763" i="5"/>
  <c r="S1763" i="5"/>
  <c r="R1763" i="5"/>
  <c r="Q1763" i="5"/>
  <c r="N1763" i="5"/>
  <c r="M1763" i="5"/>
  <c r="L1763" i="5"/>
  <c r="C1763" i="5"/>
  <c r="B1763" i="5"/>
  <c r="T1762" i="5"/>
  <c r="S1762" i="5"/>
  <c r="R1762" i="5"/>
  <c r="Q1762" i="5"/>
  <c r="N1762" i="5"/>
  <c r="M1762" i="5"/>
  <c r="L1762" i="5"/>
  <c r="C1762" i="5"/>
  <c r="B1762" i="5"/>
  <c r="T1761" i="5"/>
  <c r="S1761" i="5"/>
  <c r="R1761" i="5"/>
  <c r="Q1761" i="5"/>
  <c r="N1761" i="5"/>
  <c r="M1761" i="5"/>
  <c r="L1761" i="5"/>
  <c r="C1761" i="5"/>
  <c r="B1761" i="5"/>
  <c r="T1760" i="5"/>
  <c r="S1760" i="5"/>
  <c r="R1760" i="5"/>
  <c r="Q1760" i="5"/>
  <c r="N1760" i="5"/>
  <c r="M1760" i="5"/>
  <c r="L1760" i="5"/>
  <c r="C1760" i="5"/>
  <c r="B1760" i="5"/>
  <c r="T1759" i="5"/>
  <c r="S1759" i="5"/>
  <c r="R1759" i="5"/>
  <c r="Q1759" i="5"/>
  <c r="N1759" i="5"/>
  <c r="M1759" i="5"/>
  <c r="L1759" i="5"/>
  <c r="C1759" i="5"/>
  <c r="B1759" i="5"/>
  <c r="T1758" i="5"/>
  <c r="S1758" i="5"/>
  <c r="R1758" i="5"/>
  <c r="Q1758" i="5"/>
  <c r="N1758" i="5"/>
  <c r="M1758" i="5"/>
  <c r="L1758" i="5"/>
  <c r="C1758" i="5"/>
  <c r="B1758" i="5"/>
  <c r="T1757" i="5"/>
  <c r="S1757" i="5"/>
  <c r="R1757" i="5"/>
  <c r="Q1757" i="5"/>
  <c r="M1757" i="5"/>
  <c r="L1757" i="5"/>
  <c r="C1757" i="5"/>
  <c r="N1757" i="5" s="1"/>
  <c r="B1757" i="5"/>
  <c r="T1756" i="5"/>
  <c r="S1756" i="5"/>
  <c r="R1756" i="5"/>
  <c r="Q1756" i="5"/>
  <c r="M1756" i="5"/>
  <c r="L1756" i="5"/>
  <c r="C1756" i="5"/>
  <c r="N1756" i="5" s="1"/>
  <c r="B1756" i="5"/>
  <c r="T1755" i="5"/>
  <c r="S1755" i="5"/>
  <c r="R1755" i="5"/>
  <c r="Q1755" i="5"/>
  <c r="M1755" i="5"/>
  <c r="L1755" i="5"/>
  <c r="C1755" i="5"/>
  <c r="N1755" i="5" s="1"/>
  <c r="B1755" i="5"/>
  <c r="T1754" i="5"/>
  <c r="S1754" i="5"/>
  <c r="R1754" i="5"/>
  <c r="Q1754" i="5"/>
  <c r="N1754" i="5"/>
  <c r="M1754" i="5"/>
  <c r="L1754" i="5"/>
  <c r="C1754" i="5"/>
  <c r="B1754" i="5"/>
  <c r="T1753" i="5"/>
  <c r="S1753" i="5"/>
  <c r="R1753" i="5"/>
  <c r="Q1753" i="5"/>
  <c r="N1753" i="5"/>
  <c r="M1753" i="5"/>
  <c r="L1753" i="5"/>
  <c r="C1753" i="5"/>
  <c r="B1753" i="5"/>
  <c r="T1752" i="5"/>
  <c r="S1752" i="5"/>
  <c r="R1752" i="5"/>
  <c r="Q1752" i="5"/>
  <c r="N1752" i="5"/>
  <c r="M1752" i="5"/>
  <c r="L1752" i="5"/>
  <c r="C1752" i="5"/>
  <c r="B1752" i="5"/>
  <c r="T1751" i="5"/>
  <c r="S1751" i="5"/>
  <c r="R1751" i="5"/>
  <c r="Q1751" i="5"/>
  <c r="N1751" i="5"/>
  <c r="M1751" i="5"/>
  <c r="L1751" i="5"/>
  <c r="C1751" i="5"/>
  <c r="B1751" i="5"/>
  <c r="T1750" i="5"/>
  <c r="S1750" i="5"/>
  <c r="R1750" i="5"/>
  <c r="Q1750" i="5"/>
  <c r="N1750" i="5"/>
  <c r="M1750" i="5"/>
  <c r="L1750" i="5"/>
  <c r="C1750" i="5"/>
  <c r="B1750" i="5"/>
  <c r="T1749" i="5"/>
  <c r="S1749" i="5"/>
  <c r="R1749" i="5"/>
  <c r="Q1749" i="5"/>
  <c r="N1749" i="5"/>
  <c r="M1749" i="5"/>
  <c r="L1749" i="5"/>
  <c r="C1749" i="5"/>
  <c r="B1749" i="5"/>
  <c r="T1748" i="5"/>
  <c r="S1748" i="5"/>
  <c r="R1748" i="5"/>
  <c r="Q1748" i="5"/>
  <c r="M1748" i="5"/>
  <c r="L1748" i="5"/>
  <c r="C1748" i="5"/>
  <c r="N1748" i="5" s="1"/>
  <c r="B1748" i="5"/>
  <c r="T1747" i="5"/>
  <c r="S1747" i="5"/>
  <c r="R1747" i="5"/>
  <c r="Q1747" i="5"/>
  <c r="M1747" i="5"/>
  <c r="L1747" i="5"/>
  <c r="C1747" i="5"/>
  <c r="N1747" i="5" s="1"/>
  <c r="B1747" i="5"/>
  <c r="T1746" i="5"/>
  <c r="S1746" i="5"/>
  <c r="R1746" i="5"/>
  <c r="Q1746" i="5"/>
  <c r="M1746" i="5"/>
  <c r="L1746" i="5"/>
  <c r="C1746" i="5"/>
  <c r="N1746" i="5" s="1"/>
  <c r="B1746" i="5"/>
  <c r="T1745" i="5"/>
  <c r="S1745" i="5"/>
  <c r="R1745" i="5"/>
  <c r="Q1745" i="5"/>
  <c r="M1745" i="5"/>
  <c r="L1745" i="5"/>
  <c r="C1745" i="5"/>
  <c r="N1745" i="5" s="1"/>
  <c r="B1745" i="5"/>
  <c r="T1744" i="5"/>
  <c r="S1744" i="5"/>
  <c r="R1744" i="5"/>
  <c r="Q1744" i="5"/>
  <c r="N1744" i="5"/>
  <c r="M1744" i="5"/>
  <c r="L1744" i="5"/>
  <c r="C1744" i="5"/>
  <c r="B1744" i="5"/>
  <c r="T1743" i="5"/>
  <c r="S1743" i="5"/>
  <c r="R1743" i="5"/>
  <c r="Q1743" i="5"/>
  <c r="N1743" i="5"/>
  <c r="M1743" i="5"/>
  <c r="L1743" i="5"/>
  <c r="C1743" i="5"/>
  <c r="B1743" i="5"/>
  <c r="T1742" i="5"/>
  <c r="S1742" i="5"/>
  <c r="R1742" i="5"/>
  <c r="Q1742" i="5"/>
  <c r="N1742" i="5"/>
  <c r="M1742" i="5"/>
  <c r="L1742" i="5"/>
  <c r="C1742" i="5"/>
  <c r="B1742" i="5"/>
  <c r="T1741" i="5"/>
  <c r="S1741" i="5"/>
  <c r="R1741" i="5"/>
  <c r="Q1741" i="5"/>
  <c r="N1741" i="5"/>
  <c r="M1741" i="5"/>
  <c r="L1741" i="5"/>
  <c r="C1741" i="5"/>
  <c r="B1741" i="5"/>
  <c r="T1740" i="5"/>
  <c r="S1740" i="5"/>
  <c r="R1740" i="5"/>
  <c r="Q1740" i="5"/>
  <c r="M1740" i="5"/>
  <c r="L1740" i="5"/>
  <c r="C1740" i="5"/>
  <c r="N1740" i="5" s="1"/>
  <c r="B1740" i="5"/>
  <c r="T1739" i="5"/>
  <c r="S1739" i="5"/>
  <c r="R1739" i="5"/>
  <c r="Q1739" i="5"/>
  <c r="N1739" i="5"/>
  <c r="M1739" i="5"/>
  <c r="L1739" i="5"/>
  <c r="C1739" i="5"/>
  <c r="B1739" i="5"/>
  <c r="T1738" i="5"/>
  <c r="S1738" i="5"/>
  <c r="R1738" i="5"/>
  <c r="Q1738" i="5"/>
  <c r="M1738" i="5"/>
  <c r="L1738" i="5"/>
  <c r="C1738" i="5"/>
  <c r="N1738" i="5" s="1"/>
  <c r="B1738" i="5"/>
  <c r="T1737" i="5"/>
  <c r="S1737" i="5"/>
  <c r="R1737" i="5"/>
  <c r="Q1737" i="5"/>
  <c r="M1737" i="5"/>
  <c r="L1737" i="5"/>
  <c r="C1737" i="5"/>
  <c r="N1737" i="5" s="1"/>
  <c r="B1737" i="5"/>
  <c r="T1736" i="5"/>
  <c r="S1736" i="5"/>
  <c r="R1736" i="5"/>
  <c r="Q1736" i="5"/>
  <c r="M1736" i="5"/>
  <c r="L1736" i="5"/>
  <c r="C1736" i="5"/>
  <c r="N1736" i="5" s="1"/>
  <c r="B1736" i="5"/>
  <c r="T1735" i="5"/>
  <c r="S1735" i="5"/>
  <c r="R1735" i="5"/>
  <c r="Q1735" i="5"/>
  <c r="M1735" i="5"/>
  <c r="L1735" i="5"/>
  <c r="C1735" i="5"/>
  <c r="N1735" i="5" s="1"/>
  <c r="B1735" i="5"/>
  <c r="T1734" i="5"/>
  <c r="S1734" i="5"/>
  <c r="R1734" i="5"/>
  <c r="Q1734" i="5"/>
  <c r="N1734" i="5"/>
  <c r="M1734" i="5"/>
  <c r="L1734" i="5"/>
  <c r="C1734" i="5"/>
  <c r="B1734" i="5"/>
  <c r="T1733" i="5"/>
  <c r="S1733" i="5"/>
  <c r="R1733" i="5"/>
  <c r="Q1733" i="5"/>
  <c r="N1733" i="5"/>
  <c r="M1733" i="5"/>
  <c r="L1733" i="5"/>
  <c r="C1733" i="5"/>
  <c r="B1733" i="5"/>
  <c r="T1732" i="5"/>
  <c r="S1732" i="5"/>
  <c r="R1732" i="5"/>
  <c r="Q1732" i="5"/>
  <c r="N1732" i="5"/>
  <c r="M1732" i="5"/>
  <c r="L1732" i="5"/>
  <c r="C1732" i="5"/>
  <c r="B1732" i="5"/>
  <c r="T1731" i="5"/>
  <c r="S1731" i="5"/>
  <c r="R1731" i="5"/>
  <c r="Q1731" i="5"/>
  <c r="N1731" i="5"/>
  <c r="M1731" i="5"/>
  <c r="L1731" i="5"/>
  <c r="C1731" i="5"/>
  <c r="B1731" i="5"/>
  <c r="T1730" i="5"/>
  <c r="S1730" i="5"/>
  <c r="R1730" i="5"/>
  <c r="Q1730" i="5"/>
  <c r="M1730" i="5"/>
  <c r="L1730" i="5"/>
  <c r="C1730" i="5"/>
  <c r="N1730" i="5" s="1"/>
  <c r="B1730" i="5"/>
  <c r="T1729" i="5"/>
  <c r="S1729" i="5"/>
  <c r="R1729" i="5"/>
  <c r="Q1729" i="5"/>
  <c r="N1729" i="5"/>
  <c r="M1729" i="5"/>
  <c r="L1729" i="5"/>
  <c r="C1729" i="5"/>
  <c r="B1729" i="5"/>
  <c r="T1728" i="5"/>
  <c r="S1728" i="5"/>
  <c r="R1728" i="5"/>
  <c r="Q1728" i="5"/>
  <c r="N1728" i="5"/>
  <c r="M1728" i="5"/>
  <c r="L1728" i="5"/>
  <c r="C1728" i="5"/>
  <c r="B1728" i="5"/>
  <c r="T1727" i="5"/>
  <c r="S1727" i="5"/>
  <c r="R1727" i="5"/>
  <c r="Q1727" i="5"/>
  <c r="M1727" i="5"/>
  <c r="L1727" i="5"/>
  <c r="C1727" i="5"/>
  <c r="N1727" i="5" s="1"/>
  <c r="B1727" i="5"/>
  <c r="T1726" i="5"/>
  <c r="S1726" i="5"/>
  <c r="R1726" i="5"/>
  <c r="Q1726" i="5"/>
  <c r="M1726" i="5"/>
  <c r="L1726" i="5"/>
  <c r="C1726" i="5"/>
  <c r="N1726" i="5" s="1"/>
  <c r="B1726" i="5"/>
  <c r="T1725" i="5"/>
  <c r="S1725" i="5"/>
  <c r="R1725" i="5"/>
  <c r="Q1725" i="5"/>
  <c r="M1725" i="5"/>
  <c r="L1725" i="5"/>
  <c r="C1725" i="5"/>
  <c r="N1725" i="5" s="1"/>
  <c r="B1725" i="5"/>
  <c r="T1724" i="5"/>
  <c r="S1724" i="5"/>
  <c r="R1724" i="5"/>
  <c r="Q1724" i="5"/>
  <c r="N1724" i="5"/>
  <c r="M1724" i="5"/>
  <c r="L1724" i="5"/>
  <c r="C1724" i="5"/>
  <c r="B1724" i="5"/>
  <c r="T1723" i="5"/>
  <c r="S1723" i="5"/>
  <c r="R1723" i="5"/>
  <c r="Q1723" i="5"/>
  <c r="N1723" i="5"/>
  <c r="M1723" i="5"/>
  <c r="L1723" i="5"/>
  <c r="C1723" i="5"/>
  <c r="B1723" i="5"/>
  <c r="T1722" i="5"/>
  <c r="S1722" i="5"/>
  <c r="R1722" i="5"/>
  <c r="Q1722" i="5"/>
  <c r="N1722" i="5"/>
  <c r="M1722" i="5"/>
  <c r="L1722" i="5"/>
  <c r="C1722" i="5"/>
  <c r="B1722" i="5"/>
  <c r="T1721" i="5"/>
  <c r="S1721" i="5"/>
  <c r="R1721" i="5"/>
  <c r="Q1721" i="5"/>
  <c r="N1721" i="5"/>
  <c r="M1721" i="5"/>
  <c r="L1721" i="5"/>
  <c r="C1721" i="5"/>
  <c r="B1721" i="5"/>
  <c r="T1720" i="5"/>
  <c r="S1720" i="5"/>
  <c r="R1720" i="5"/>
  <c r="Q1720" i="5"/>
  <c r="N1720" i="5"/>
  <c r="M1720" i="5"/>
  <c r="L1720" i="5"/>
  <c r="C1720" i="5"/>
  <c r="B1720" i="5"/>
  <c r="T1719" i="5"/>
  <c r="S1719" i="5"/>
  <c r="R1719" i="5"/>
  <c r="Q1719" i="5"/>
  <c r="N1719" i="5"/>
  <c r="M1719" i="5"/>
  <c r="L1719" i="5"/>
  <c r="C1719" i="5"/>
  <c r="B1719" i="5"/>
  <c r="T1718" i="5"/>
  <c r="S1718" i="5"/>
  <c r="R1718" i="5"/>
  <c r="Q1718" i="5"/>
  <c r="N1718" i="5"/>
  <c r="M1718" i="5"/>
  <c r="L1718" i="5"/>
  <c r="C1718" i="5"/>
  <c r="B1718" i="5"/>
  <c r="T1717" i="5"/>
  <c r="S1717" i="5"/>
  <c r="R1717" i="5"/>
  <c r="Q1717" i="5"/>
  <c r="M1717" i="5"/>
  <c r="L1717" i="5"/>
  <c r="C1717" i="5"/>
  <c r="N1717" i="5" s="1"/>
  <c r="B1717" i="5"/>
  <c r="T1716" i="5"/>
  <c r="S1716" i="5"/>
  <c r="R1716" i="5"/>
  <c r="Q1716" i="5"/>
  <c r="M1716" i="5"/>
  <c r="L1716" i="5"/>
  <c r="C1716" i="5"/>
  <c r="N1716" i="5" s="1"/>
  <c r="B1716" i="5"/>
  <c r="T1715" i="5"/>
  <c r="S1715" i="5"/>
  <c r="R1715" i="5"/>
  <c r="Q1715" i="5"/>
  <c r="M1715" i="5"/>
  <c r="L1715" i="5"/>
  <c r="C1715" i="5"/>
  <c r="N1715" i="5" s="1"/>
  <c r="B1715" i="5"/>
  <c r="T1714" i="5"/>
  <c r="S1714" i="5"/>
  <c r="R1714" i="5"/>
  <c r="Q1714" i="5"/>
  <c r="N1714" i="5"/>
  <c r="M1714" i="5"/>
  <c r="L1714" i="5"/>
  <c r="C1714" i="5"/>
  <c r="B1714" i="5"/>
  <c r="T1713" i="5"/>
  <c r="S1713" i="5"/>
  <c r="R1713" i="5"/>
  <c r="Q1713" i="5"/>
  <c r="N1713" i="5"/>
  <c r="M1713" i="5"/>
  <c r="L1713" i="5"/>
  <c r="C1713" i="5"/>
  <c r="B1713" i="5"/>
  <c r="T1712" i="5"/>
  <c r="S1712" i="5"/>
  <c r="R1712" i="5"/>
  <c r="Q1712" i="5"/>
  <c r="N1712" i="5"/>
  <c r="M1712" i="5"/>
  <c r="L1712" i="5"/>
  <c r="C1712" i="5"/>
  <c r="B1712" i="5"/>
  <c r="T1711" i="5"/>
  <c r="S1711" i="5"/>
  <c r="R1711" i="5"/>
  <c r="Q1711" i="5"/>
  <c r="N1711" i="5"/>
  <c r="M1711" i="5"/>
  <c r="L1711" i="5"/>
  <c r="C1711" i="5"/>
  <c r="B1711" i="5"/>
  <c r="T1710" i="5"/>
  <c r="S1710" i="5"/>
  <c r="R1710" i="5"/>
  <c r="Q1710" i="5"/>
  <c r="M1710" i="5"/>
  <c r="L1710" i="5"/>
  <c r="C1710" i="5"/>
  <c r="N1710" i="5" s="1"/>
  <c r="B1710" i="5"/>
  <c r="T1709" i="5"/>
  <c r="S1709" i="5"/>
  <c r="R1709" i="5"/>
  <c r="Q1709" i="5"/>
  <c r="N1709" i="5"/>
  <c r="M1709" i="5"/>
  <c r="L1709" i="5"/>
  <c r="C1709" i="5"/>
  <c r="B1709" i="5"/>
  <c r="T1708" i="5"/>
  <c r="S1708" i="5"/>
  <c r="R1708" i="5"/>
  <c r="Q1708" i="5"/>
  <c r="M1708" i="5"/>
  <c r="L1708" i="5"/>
  <c r="C1708" i="5"/>
  <c r="N1708" i="5" s="1"/>
  <c r="B1708" i="5"/>
  <c r="T1707" i="5"/>
  <c r="S1707" i="5"/>
  <c r="R1707" i="5"/>
  <c r="Q1707" i="5"/>
  <c r="M1707" i="5"/>
  <c r="L1707" i="5"/>
  <c r="C1707" i="5"/>
  <c r="N1707" i="5" s="1"/>
  <c r="B1707" i="5"/>
  <c r="T1706" i="5"/>
  <c r="S1706" i="5"/>
  <c r="R1706" i="5"/>
  <c r="Q1706" i="5"/>
  <c r="M1706" i="5"/>
  <c r="L1706" i="5"/>
  <c r="C1706" i="5"/>
  <c r="N1706" i="5" s="1"/>
  <c r="B1706" i="5"/>
  <c r="T1705" i="5"/>
  <c r="S1705" i="5"/>
  <c r="R1705" i="5"/>
  <c r="Q1705" i="5"/>
  <c r="M1705" i="5"/>
  <c r="L1705" i="5"/>
  <c r="C1705" i="5"/>
  <c r="N1705" i="5" s="1"/>
  <c r="B1705" i="5"/>
  <c r="T1704" i="5"/>
  <c r="S1704" i="5"/>
  <c r="R1704" i="5"/>
  <c r="Q1704" i="5"/>
  <c r="N1704" i="5"/>
  <c r="M1704" i="5"/>
  <c r="L1704" i="5"/>
  <c r="C1704" i="5"/>
  <c r="B1704" i="5"/>
  <c r="T1703" i="5"/>
  <c r="S1703" i="5"/>
  <c r="R1703" i="5"/>
  <c r="Q1703" i="5"/>
  <c r="N1703" i="5"/>
  <c r="M1703" i="5"/>
  <c r="L1703" i="5"/>
  <c r="C1703" i="5"/>
  <c r="B1703" i="5"/>
  <c r="T1702" i="5"/>
  <c r="S1702" i="5"/>
  <c r="R1702" i="5"/>
  <c r="Q1702" i="5"/>
  <c r="N1702" i="5"/>
  <c r="M1702" i="5"/>
  <c r="L1702" i="5"/>
  <c r="C1702" i="5"/>
  <c r="B1702" i="5"/>
  <c r="T1701" i="5"/>
  <c r="S1701" i="5"/>
  <c r="R1701" i="5"/>
  <c r="Q1701" i="5"/>
  <c r="N1701" i="5"/>
  <c r="M1701" i="5"/>
  <c r="L1701" i="5"/>
  <c r="C1701" i="5"/>
  <c r="B1701" i="5"/>
  <c r="T1700" i="5"/>
  <c r="S1700" i="5"/>
  <c r="R1700" i="5"/>
  <c r="Q1700" i="5"/>
  <c r="M1700" i="5"/>
  <c r="L1700" i="5"/>
  <c r="C1700" i="5"/>
  <c r="N1700" i="5" s="1"/>
  <c r="B1700" i="5"/>
  <c r="T1699" i="5"/>
  <c r="S1699" i="5"/>
  <c r="R1699" i="5"/>
  <c r="Q1699" i="5"/>
  <c r="N1699" i="5"/>
  <c r="M1699" i="5"/>
  <c r="L1699" i="5"/>
  <c r="C1699" i="5"/>
  <c r="B1699" i="5"/>
  <c r="T1698" i="5"/>
  <c r="S1698" i="5"/>
  <c r="R1698" i="5"/>
  <c r="Q1698" i="5"/>
  <c r="N1698" i="5"/>
  <c r="M1698" i="5"/>
  <c r="L1698" i="5"/>
  <c r="C1698" i="5"/>
  <c r="B1698" i="5"/>
  <c r="T1697" i="5"/>
  <c r="S1697" i="5"/>
  <c r="R1697" i="5"/>
  <c r="Q1697" i="5"/>
  <c r="M1697" i="5"/>
  <c r="L1697" i="5"/>
  <c r="C1697" i="5"/>
  <c r="N1697" i="5" s="1"/>
  <c r="B1697" i="5"/>
  <c r="T1696" i="5"/>
  <c r="S1696" i="5"/>
  <c r="R1696" i="5"/>
  <c r="Q1696" i="5"/>
  <c r="M1696" i="5"/>
  <c r="L1696" i="5"/>
  <c r="C1696" i="5"/>
  <c r="N1696" i="5" s="1"/>
  <c r="B1696" i="5"/>
  <c r="T1695" i="5"/>
  <c r="S1695" i="5"/>
  <c r="R1695" i="5"/>
  <c r="Q1695" i="5"/>
  <c r="M1695" i="5"/>
  <c r="L1695" i="5"/>
  <c r="C1695" i="5"/>
  <c r="N1695" i="5" s="1"/>
  <c r="B1695" i="5"/>
  <c r="T1694" i="5"/>
  <c r="S1694" i="5"/>
  <c r="R1694" i="5"/>
  <c r="Q1694" i="5"/>
  <c r="N1694" i="5"/>
  <c r="M1694" i="5"/>
  <c r="L1694" i="5"/>
  <c r="C1694" i="5"/>
  <c r="B1694" i="5"/>
  <c r="T1693" i="5"/>
  <c r="S1693" i="5"/>
  <c r="R1693" i="5"/>
  <c r="Q1693" i="5"/>
  <c r="N1693" i="5"/>
  <c r="M1693" i="5"/>
  <c r="L1693" i="5"/>
  <c r="C1693" i="5"/>
  <c r="B1693" i="5"/>
  <c r="T1692" i="5"/>
  <c r="S1692" i="5"/>
  <c r="R1692" i="5"/>
  <c r="Q1692" i="5"/>
  <c r="N1692" i="5"/>
  <c r="M1692" i="5"/>
  <c r="L1692" i="5"/>
  <c r="C1692" i="5"/>
  <c r="B1692" i="5"/>
  <c r="T1691" i="5"/>
  <c r="S1691" i="5"/>
  <c r="R1691" i="5"/>
  <c r="Q1691" i="5"/>
  <c r="N1691" i="5"/>
  <c r="M1691" i="5"/>
  <c r="L1691" i="5"/>
  <c r="C1691" i="5"/>
  <c r="B1691" i="5"/>
  <c r="T1690" i="5"/>
  <c r="S1690" i="5"/>
  <c r="R1690" i="5"/>
  <c r="Q1690" i="5"/>
  <c r="N1690" i="5"/>
  <c r="M1690" i="5"/>
  <c r="L1690" i="5"/>
  <c r="C1690" i="5"/>
  <c r="B1690" i="5"/>
  <c r="T1689" i="5"/>
  <c r="S1689" i="5"/>
  <c r="R1689" i="5"/>
  <c r="Q1689" i="5"/>
  <c r="N1689" i="5"/>
  <c r="M1689" i="5"/>
  <c r="L1689" i="5"/>
  <c r="C1689" i="5"/>
  <c r="B1689" i="5"/>
  <c r="T1688" i="5"/>
  <c r="S1688" i="5"/>
  <c r="R1688" i="5"/>
  <c r="Q1688" i="5"/>
  <c r="N1688" i="5"/>
  <c r="M1688" i="5"/>
  <c r="L1688" i="5"/>
  <c r="C1688" i="5"/>
  <c r="B1688" i="5"/>
  <c r="T1687" i="5"/>
  <c r="S1687" i="5"/>
  <c r="R1687" i="5"/>
  <c r="Q1687" i="5"/>
  <c r="M1687" i="5"/>
  <c r="L1687" i="5"/>
  <c r="C1687" i="5"/>
  <c r="N1687" i="5" s="1"/>
  <c r="B1687" i="5"/>
  <c r="T1686" i="5"/>
  <c r="S1686" i="5"/>
  <c r="R1686" i="5"/>
  <c r="Q1686" i="5"/>
  <c r="M1686" i="5"/>
  <c r="L1686" i="5"/>
  <c r="C1686" i="5"/>
  <c r="N1686" i="5" s="1"/>
  <c r="B1686" i="5"/>
  <c r="T1685" i="5"/>
  <c r="S1685" i="5"/>
  <c r="R1685" i="5"/>
  <c r="Q1685" i="5"/>
  <c r="M1685" i="5"/>
  <c r="L1685" i="5"/>
  <c r="C1685" i="5"/>
  <c r="N1685" i="5" s="1"/>
  <c r="B1685" i="5"/>
  <c r="T1684" i="5"/>
  <c r="S1684" i="5"/>
  <c r="R1684" i="5"/>
  <c r="Q1684" i="5"/>
  <c r="N1684" i="5"/>
  <c r="M1684" i="5"/>
  <c r="L1684" i="5"/>
  <c r="C1684" i="5"/>
  <c r="B1684" i="5"/>
  <c r="T1683" i="5"/>
  <c r="S1683" i="5"/>
  <c r="R1683" i="5"/>
  <c r="Q1683" i="5"/>
  <c r="N1683" i="5"/>
  <c r="M1683" i="5"/>
  <c r="L1683" i="5"/>
  <c r="C1683" i="5"/>
  <c r="B1683" i="5"/>
  <c r="T1682" i="5"/>
  <c r="S1682" i="5"/>
  <c r="R1682" i="5"/>
  <c r="Q1682" i="5"/>
  <c r="N1682" i="5"/>
  <c r="M1682" i="5"/>
  <c r="L1682" i="5"/>
  <c r="C1682" i="5"/>
  <c r="B1682" i="5"/>
  <c r="T1681" i="5"/>
  <c r="S1681" i="5"/>
  <c r="R1681" i="5"/>
  <c r="Q1681" i="5"/>
  <c r="N1681" i="5"/>
  <c r="M1681" i="5"/>
  <c r="L1681" i="5"/>
  <c r="C1681" i="5"/>
  <c r="B1681" i="5"/>
  <c r="T1680" i="5"/>
  <c r="S1680" i="5"/>
  <c r="R1680" i="5"/>
  <c r="Q1680" i="5"/>
  <c r="N1680" i="5"/>
  <c r="M1680" i="5"/>
  <c r="L1680" i="5"/>
  <c r="C1680" i="5"/>
  <c r="B1680" i="5"/>
  <c r="T1679" i="5"/>
  <c r="S1679" i="5"/>
  <c r="R1679" i="5"/>
  <c r="Q1679" i="5"/>
  <c r="N1679" i="5"/>
  <c r="M1679" i="5"/>
  <c r="L1679" i="5"/>
  <c r="C1679" i="5"/>
  <c r="B1679" i="5"/>
  <c r="T1678" i="5"/>
  <c r="S1678" i="5"/>
  <c r="R1678" i="5"/>
  <c r="Q1678" i="5"/>
  <c r="M1678" i="5"/>
  <c r="L1678" i="5"/>
  <c r="C1678" i="5"/>
  <c r="N1678" i="5" s="1"/>
  <c r="B1678" i="5"/>
  <c r="T1677" i="5"/>
  <c r="S1677" i="5"/>
  <c r="R1677" i="5"/>
  <c r="Q1677" i="5"/>
  <c r="M1677" i="5"/>
  <c r="L1677" i="5"/>
  <c r="C1677" i="5"/>
  <c r="N1677" i="5" s="1"/>
  <c r="B1677" i="5"/>
  <c r="T1676" i="5"/>
  <c r="S1676" i="5"/>
  <c r="R1676" i="5"/>
  <c r="Q1676" i="5"/>
  <c r="M1676" i="5"/>
  <c r="L1676" i="5"/>
  <c r="C1676" i="5"/>
  <c r="N1676" i="5" s="1"/>
  <c r="B1676" i="5"/>
  <c r="T1675" i="5"/>
  <c r="S1675" i="5"/>
  <c r="R1675" i="5"/>
  <c r="Q1675" i="5"/>
  <c r="M1675" i="5"/>
  <c r="L1675" i="5"/>
  <c r="C1675" i="5"/>
  <c r="N1675" i="5" s="1"/>
  <c r="B1675" i="5"/>
  <c r="T1674" i="5"/>
  <c r="S1674" i="5"/>
  <c r="R1674" i="5"/>
  <c r="Q1674" i="5"/>
  <c r="N1674" i="5"/>
  <c r="M1674" i="5"/>
  <c r="L1674" i="5"/>
  <c r="C1674" i="5"/>
  <c r="B1674" i="5"/>
  <c r="T1673" i="5"/>
  <c r="S1673" i="5"/>
  <c r="R1673" i="5"/>
  <c r="Q1673" i="5"/>
  <c r="N1673" i="5"/>
  <c r="M1673" i="5"/>
  <c r="L1673" i="5"/>
  <c r="C1673" i="5"/>
  <c r="B1673" i="5"/>
  <c r="T1672" i="5"/>
  <c r="S1672" i="5"/>
  <c r="R1672" i="5"/>
  <c r="Q1672" i="5"/>
  <c r="N1672" i="5"/>
  <c r="M1672" i="5"/>
  <c r="L1672" i="5"/>
  <c r="C1672" i="5"/>
  <c r="B1672" i="5"/>
  <c r="T1671" i="5"/>
  <c r="S1671" i="5"/>
  <c r="R1671" i="5"/>
  <c r="Q1671" i="5"/>
  <c r="N1671" i="5"/>
  <c r="M1671" i="5"/>
  <c r="L1671" i="5"/>
  <c r="C1671" i="5"/>
  <c r="B1671" i="5"/>
  <c r="T1670" i="5"/>
  <c r="S1670" i="5"/>
  <c r="R1670" i="5"/>
  <c r="Q1670" i="5"/>
  <c r="M1670" i="5"/>
  <c r="L1670" i="5"/>
  <c r="C1670" i="5"/>
  <c r="N1670" i="5" s="1"/>
  <c r="B1670" i="5"/>
  <c r="T1669" i="5"/>
  <c r="S1669" i="5"/>
  <c r="R1669" i="5"/>
  <c r="Q1669" i="5"/>
  <c r="N1669" i="5"/>
  <c r="M1669" i="5"/>
  <c r="L1669" i="5"/>
  <c r="C1669" i="5"/>
  <c r="B1669" i="5"/>
  <c r="T1668" i="5"/>
  <c r="S1668" i="5"/>
  <c r="R1668" i="5"/>
  <c r="Q1668" i="5"/>
  <c r="M1668" i="5"/>
  <c r="L1668" i="5"/>
  <c r="C1668" i="5"/>
  <c r="N1668" i="5" s="1"/>
  <c r="B1668" i="5"/>
  <c r="T1667" i="5"/>
  <c r="S1667" i="5"/>
  <c r="R1667" i="5"/>
  <c r="Q1667" i="5"/>
  <c r="M1667" i="5"/>
  <c r="L1667" i="5"/>
  <c r="C1667" i="5"/>
  <c r="N1667" i="5" s="1"/>
  <c r="B1667" i="5"/>
  <c r="T1666" i="5"/>
  <c r="S1666" i="5"/>
  <c r="R1666" i="5"/>
  <c r="Q1666" i="5"/>
  <c r="M1666" i="5"/>
  <c r="L1666" i="5"/>
  <c r="C1666" i="5"/>
  <c r="N1666" i="5" s="1"/>
  <c r="B1666" i="5"/>
  <c r="T1665" i="5"/>
  <c r="S1665" i="5"/>
  <c r="R1665" i="5"/>
  <c r="Q1665" i="5"/>
  <c r="M1665" i="5"/>
  <c r="L1665" i="5"/>
  <c r="C1665" i="5"/>
  <c r="N1665" i="5" s="1"/>
  <c r="B1665" i="5"/>
  <c r="T1664" i="5"/>
  <c r="S1664" i="5"/>
  <c r="R1664" i="5"/>
  <c r="Q1664" i="5"/>
  <c r="N1664" i="5"/>
  <c r="M1664" i="5"/>
  <c r="L1664" i="5"/>
  <c r="C1664" i="5"/>
  <c r="B1664" i="5"/>
  <c r="T1663" i="5"/>
  <c r="S1663" i="5"/>
  <c r="R1663" i="5"/>
  <c r="Q1663" i="5"/>
  <c r="N1663" i="5"/>
  <c r="M1663" i="5"/>
  <c r="L1663" i="5"/>
  <c r="C1663" i="5"/>
  <c r="B1663" i="5"/>
  <c r="T1662" i="5"/>
  <c r="S1662" i="5"/>
  <c r="R1662" i="5"/>
  <c r="Q1662" i="5"/>
  <c r="N1662" i="5"/>
  <c r="M1662" i="5"/>
  <c r="L1662" i="5"/>
  <c r="C1662" i="5"/>
  <c r="B1662" i="5"/>
  <c r="T1661" i="5"/>
  <c r="S1661" i="5"/>
  <c r="R1661" i="5"/>
  <c r="Q1661" i="5"/>
  <c r="N1661" i="5"/>
  <c r="M1661" i="5"/>
  <c r="L1661" i="5"/>
  <c r="C1661" i="5"/>
  <c r="B1661" i="5"/>
  <c r="T1660" i="5"/>
  <c r="S1660" i="5"/>
  <c r="R1660" i="5"/>
  <c r="Q1660" i="5"/>
  <c r="N1660" i="5"/>
  <c r="M1660" i="5"/>
  <c r="L1660" i="5"/>
  <c r="C1660" i="5"/>
  <c r="B1660" i="5"/>
  <c r="T1659" i="5"/>
  <c r="S1659" i="5"/>
  <c r="R1659" i="5"/>
  <c r="Q1659" i="5"/>
  <c r="N1659" i="5"/>
  <c r="M1659" i="5"/>
  <c r="L1659" i="5"/>
  <c r="C1659" i="5"/>
  <c r="B1659" i="5"/>
  <c r="T1658" i="5"/>
  <c r="S1658" i="5"/>
  <c r="R1658" i="5"/>
  <c r="Q1658" i="5"/>
  <c r="N1658" i="5"/>
  <c r="M1658" i="5"/>
  <c r="L1658" i="5"/>
  <c r="C1658" i="5"/>
  <c r="B1658" i="5"/>
  <c r="T1657" i="5"/>
  <c r="S1657" i="5"/>
  <c r="R1657" i="5"/>
  <c r="Q1657" i="5"/>
  <c r="M1657" i="5"/>
  <c r="L1657" i="5"/>
  <c r="C1657" i="5"/>
  <c r="N1657" i="5" s="1"/>
  <c r="B1657" i="5"/>
  <c r="T1656" i="5"/>
  <c r="S1656" i="5"/>
  <c r="R1656" i="5"/>
  <c r="Q1656" i="5"/>
  <c r="M1656" i="5"/>
  <c r="L1656" i="5"/>
  <c r="C1656" i="5"/>
  <c r="N1656" i="5" s="1"/>
  <c r="B1656" i="5"/>
  <c r="T1655" i="5"/>
  <c r="S1655" i="5"/>
  <c r="R1655" i="5"/>
  <c r="Q1655" i="5"/>
  <c r="M1655" i="5"/>
  <c r="L1655" i="5"/>
  <c r="C1655" i="5"/>
  <c r="N1655" i="5" s="1"/>
  <c r="B1655" i="5"/>
  <c r="T1654" i="5"/>
  <c r="S1654" i="5"/>
  <c r="R1654" i="5"/>
  <c r="Q1654" i="5"/>
  <c r="N1654" i="5"/>
  <c r="M1654" i="5"/>
  <c r="L1654" i="5"/>
  <c r="C1654" i="5"/>
  <c r="B1654" i="5"/>
  <c r="T1653" i="5"/>
  <c r="S1653" i="5"/>
  <c r="R1653" i="5"/>
  <c r="Q1653" i="5"/>
  <c r="N1653" i="5"/>
  <c r="M1653" i="5"/>
  <c r="L1653" i="5"/>
  <c r="C1653" i="5"/>
  <c r="B1653" i="5"/>
  <c r="T1652" i="5"/>
  <c r="S1652" i="5"/>
  <c r="R1652" i="5"/>
  <c r="Q1652" i="5"/>
  <c r="N1652" i="5"/>
  <c r="M1652" i="5"/>
  <c r="L1652" i="5"/>
  <c r="C1652" i="5"/>
  <c r="B1652" i="5"/>
  <c r="T1651" i="5"/>
  <c r="S1651" i="5"/>
  <c r="R1651" i="5"/>
  <c r="Q1651" i="5"/>
  <c r="N1651" i="5"/>
  <c r="M1651" i="5"/>
  <c r="L1651" i="5"/>
  <c r="C1651" i="5"/>
  <c r="B1651" i="5"/>
  <c r="T1650" i="5"/>
  <c r="S1650" i="5"/>
  <c r="R1650" i="5"/>
  <c r="Q1650" i="5"/>
  <c r="N1650" i="5"/>
  <c r="M1650" i="5"/>
  <c r="L1650" i="5"/>
  <c r="C1650" i="5"/>
  <c r="B1650" i="5"/>
  <c r="T1649" i="5"/>
  <c r="S1649" i="5"/>
  <c r="R1649" i="5"/>
  <c r="Q1649" i="5"/>
  <c r="N1649" i="5"/>
  <c r="M1649" i="5"/>
  <c r="L1649" i="5"/>
  <c r="C1649" i="5"/>
  <c r="B1649" i="5"/>
  <c r="T1648" i="5"/>
  <c r="S1648" i="5"/>
  <c r="R1648" i="5"/>
  <c r="Q1648" i="5"/>
  <c r="M1648" i="5"/>
  <c r="L1648" i="5"/>
  <c r="C1648" i="5"/>
  <c r="N1648" i="5" s="1"/>
  <c r="B1648" i="5"/>
  <c r="T1647" i="5"/>
  <c r="S1647" i="5"/>
  <c r="R1647" i="5"/>
  <c r="Q1647" i="5"/>
  <c r="M1647" i="5"/>
  <c r="L1647" i="5"/>
  <c r="C1647" i="5"/>
  <c r="N1647" i="5" s="1"/>
  <c r="B1647" i="5"/>
  <c r="T1646" i="5"/>
  <c r="S1646" i="5"/>
  <c r="R1646" i="5"/>
  <c r="Q1646" i="5"/>
  <c r="M1646" i="5"/>
  <c r="L1646" i="5"/>
  <c r="C1646" i="5"/>
  <c r="N1646" i="5" s="1"/>
  <c r="B1646" i="5"/>
  <c r="T1645" i="5"/>
  <c r="S1645" i="5"/>
  <c r="R1645" i="5"/>
  <c r="Q1645" i="5"/>
  <c r="M1645" i="5"/>
  <c r="L1645" i="5"/>
  <c r="C1645" i="5"/>
  <c r="N1645" i="5" s="1"/>
  <c r="B1645" i="5"/>
  <c r="T1644" i="5"/>
  <c r="S1644" i="5"/>
  <c r="R1644" i="5"/>
  <c r="Q1644" i="5"/>
  <c r="N1644" i="5"/>
  <c r="M1644" i="5"/>
  <c r="L1644" i="5"/>
  <c r="C1644" i="5"/>
  <c r="B1644" i="5"/>
  <c r="T1643" i="5"/>
  <c r="S1643" i="5"/>
  <c r="R1643" i="5"/>
  <c r="Q1643" i="5"/>
  <c r="N1643" i="5"/>
  <c r="M1643" i="5"/>
  <c r="L1643" i="5"/>
  <c r="C1643" i="5"/>
  <c r="B1643" i="5"/>
  <c r="T1642" i="5"/>
  <c r="S1642" i="5"/>
  <c r="R1642" i="5"/>
  <c r="Q1642" i="5"/>
  <c r="N1642" i="5"/>
  <c r="M1642" i="5"/>
  <c r="L1642" i="5"/>
  <c r="C1642" i="5"/>
  <c r="B1642" i="5"/>
  <c r="T1641" i="5"/>
  <c r="S1641" i="5"/>
  <c r="R1641" i="5"/>
  <c r="Q1641" i="5"/>
  <c r="N1641" i="5"/>
  <c r="M1641" i="5"/>
  <c r="L1641" i="5"/>
  <c r="C1641" i="5"/>
  <c r="B1641" i="5"/>
  <c r="T1640" i="5"/>
  <c r="S1640" i="5"/>
  <c r="R1640" i="5"/>
  <c r="Q1640" i="5"/>
  <c r="M1640" i="5"/>
  <c r="L1640" i="5"/>
  <c r="C1640" i="5"/>
  <c r="N1640" i="5" s="1"/>
  <c r="B1640" i="5"/>
  <c r="T1639" i="5"/>
  <c r="S1639" i="5"/>
  <c r="R1639" i="5"/>
  <c r="Q1639" i="5"/>
  <c r="N1639" i="5"/>
  <c r="M1639" i="5"/>
  <c r="L1639" i="5"/>
  <c r="C1639" i="5"/>
  <c r="B1639" i="5"/>
  <c r="T1638" i="5"/>
  <c r="S1638" i="5"/>
  <c r="R1638" i="5"/>
  <c r="Q1638" i="5"/>
  <c r="M1638" i="5"/>
  <c r="L1638" i="5"/>
  <c r="C1638" i="5"/>
  <c r="N1638" i="5" s="1"/>
  <c r="B1638" i="5"/>
  <c r="T1637" i="5"/>
  <c r="S1637" i="5"/>
  <c r="R1637" i="5"/>
  <c r="Q1637" i="5"/>
  <c r="M1637" i="5"/>
  <c r="L1637" i="5"/>
  <c r="C1637" i="5"/>
  <c r="N1637" i="5" s="1"/>
  <c r="B1637" i="5"/>
  <c r="T1636" i="5"/>
  <c r="S1636" i="5"/>
  <c r="R1636" i="5"/>
  <c r="Q1636" i="5"/>
  <c r="M1636" i="5"/>
  <c r="L1636" i="5"/>
  <c r="C1636" i="5"/>
  <c r="N1636" i="5" s="1"/>
  <c r="B1636" i="5"/>
  <c r="T1635" i="5"/>
  <c r="S1635" i="5"/>
  <c r="R1635" i="5"/>
  <c r="Q1635" i="5"/>
  <c r="M1635" i="5"/>
  <c r="L1635" i="5"/>
  <c r="C1635" i="5"/>
  <c r="N1635" i="5" s="1"/>
  <c r="B1635" i="5"/>
  <c r="T1634" i="5"/>
  <c r="S1634" i="5"/>
  <c r="R1634" i="5"/>
  <c r="Q1634" i="5"/>
  <c r="N1634" i="5"/>
  <c r="M1634" i="5"/>
  <c r="L1634" i="5"/>
  <c r="C1634" i="5"/>
  <c r="B1634" i="5"/>
  <c r="T1633" i="5"/>
  <c r="S1633" i="5"/>
  <c r="R1633" i="5"/>
  <c r="Q1633" i="5"/>
  <c r="N1633" i="5"/>
  <c r="M1633" i="5"/>
  <c r="L1633" i="5"/>
  <c r="C1633" i="5"/>
  <c r="B1633" i="5"/>
  <c r="T1632" i="5"/>
  <c r="S1632" i="5"/>
  <c r="R1632" i="5"/>
  <c r="Q1632" i="5"/>
  <c r="N1632" i="5"/>
  <c r="M1632" i="5"/>
  <c r="L1632" i="5"/>
  <c r="C1632" i="5"/>
  <c r="B1632" i="5"/>
  <c r="T1631" i="5"/>
  <c r="S1631" i="5"/>
  <c r="R1631" i="5"/>
  <c r="Q1631" i="5"/>
  <c r="N1631" i="5"/>
  <c r="M1631" i="5"/>
  <c r="L1631" i="5"/>
  <c r="C1631" i="5"/>
  <c r="B1631" i="5"/>
  <c r="T1630" i="5"/>
  <c r="S1630" i="5"/>
  <c r="R1630" i="5"/>
  <c r="Q1630" i="5"/>
  <c r="M1630" i="5"/>
  <c r="L1630" i="5"/>
  <c r="C1630" i="5"/>
  <c r="N1630" i="5" s="1"/>
  <c r="B1630" i="5"/>
  <c r="T1629" i="5"/>
  <c r="S1629" i="5"/>
  <c r="R1629" i="5"/>
  <c r="Q1629" i="5"/>
  <c r="N1629" i="5"/>
  <c r="M1629" i="5"/>
  <c r="L1629" i="5"/>
  <c r="C1629" i="5"/>
  <c r="B1629" i="5"/>
  <c r="T1628" i="5"/>
  <c r="S1628" i="5"/>
  <c r="R1628" i="5"/>
  <c r="Q1628" i="5"/>
  <c r="N1628" i="5"/>
  <c r="M1628" i="5"/>
  <c r="L1628" i="5"/>
  <c r="C1628" i="5"/>
  <c r="B1628" i="5"/>
  <c r="T1627" i="5"/>
  <c r="S1627" i="5"/>
  <c r="R1627" i="5"/>
  <c r="Q1627" i="5"/>
  <c r="M1627" i="5"/>
  <c r="L1627" i="5"/>
  <c r="C1627" i="5"/>
  <c r="N1627" i="5" s="1"/>
  <c r="B1627" i="5"/>
  <c r="T1626" i="5"/>
  <c r="S1626" i="5"/>
  <c r="R1626" i="5"/>
  <c r="Q1626" i="5"/>
  <c r="M1626" i="5"/>
  <c r="L1626" i="5"/>
  <c r="C1626" i="5"/>
  <c r="N1626" i="5" s="1"/>
  <c r="B1626" i="5"/>
  <c r="T1625" i="5"/>
  <c r="S1625" i="5"/>
  <c r="R1625" i="5"/>
  <c r="Q1625" i="5"/>
  <c r="M1625" i="5"/>
  <c r="L1625" i="5"/>
  <c r="C1625" i="5"/>
  <c r="N1625" i="5" s="1"/>
  <c r="B1625" i="5"/>
  <c r="T1624" i="5"/>
  <c r="S1624" i="5"/>
  <c r="R1624" i="5"/>
  <c r="Q1624" i="5"/>
  <c r="N1624" i="5"/>
  <c r="M1624" i="5"/>
  <c r="L1624" i="5"/>
  <c r="C1624" i="5"/>
  <c r="B1624" i="5"/>
  <c r="T1623" i="5"/>
  <c r="S1623" i="5"/>
  <c r="R1623" i="5"/>
  <c r="Q1623" i="5"/>
  <c r="N1623" i="5"/>
  <c r="M1623" i="5"/>
  <c r="L1623" i="5"/>
  <c r="C1623" i="5"/>
  <c r="B1623" i="5"/>
  <c r="T1622" i="5"/>
  <c r="S1622" i="5"/>
  <c r="R1622" i="5"/>
  <c r="Q1622" i="5"/>
  <c r="N1622" i="5"/>
  <c r="M1622" i="5"/>
  <c r="L1622" i="5"/>
  <c r="C1622" i="5"/>
  <c r="B1622" i="5"/>
  <c r="T1621" i="5"/>
  <c r="S1621" i="5"/>
  <c r="R1621" i="5"/>
  <c r="Q1621" i="5"/>
  <c r="N1621" i="5"/>
  <c r="M1621" i="5"/>
  <c r="L1621" i="5"/>
  <c r="C1621" i="5"/>
  <c r="B1621" i="5"/>
  <c r="T1620" i="5"/>
  <c r="S1620" i="5"/>
  <c r="R1620" i="5"/>
  <c r="Q1620" i="5"/>
  <c r="N1620" i="5"/>
  <c r="M1620" i="5"/>
  <c r="L1620" i="5"/>
  <c r="C1620" i="5"/>
  <c r="B1620" i="5"/>
  <c r="T1619" i="5"/>
  <c r="S1619" i="5"/>
  <c r="R1619" i="5"/>
  <c r="Q1619" i="5"/>
  <c r="N1619" i="5"/>
  <c r="M1619" i="5"/>
  <c r="L1619" i="5"/>
  <c r="C1619" i="5"/>
  <c r="B1619" i="5"/>
  <c r="T1618" i="5"/>
  <c r="S1618" i="5"/>
  <c r="R1618" i="5"/>
  <c r="Q1618" i="5"/>
  <c r="N1618" i="5"/>
  <c r="M1618" i="5"/>
  <c r="L1618" i="5"/>
  <c r="C1618" i="5"/>
  <c r="B1618" i="5"/>
  <c r="T1617" i="5"/>
  <c r="S1617" i="5"/>
  <c r="R1617" i="5"/>
  <c r="Q1617" i="5"/>
  <c r="M1617" i="5"/>
  <c r="L1617" i="5"/>
  <c r="C1617" i="5"/>
  <c r="N1617" i="5" s="1"/>
  <c r="B1617" i="5"/>
  <c r="T1616" i="5"/>
  <c r="S1616" i="5"/>
  <c r="R1616" i="5"/>
  <c r="Q1616" i="5"/>
  <c r="M1616" i="5"/>
  <c r="L1616" i="5"/>
  <c r="C1616" i="5"/>
  <c r="N1616" i="5" s="1"/>
  <c r="B1616" i="5"/>
  <c r="T1615" i="5"/>
  <c r="S1615" i="5"/>
  <c r="R1615" i="5"/>
  <c r="Q1615" i="5"/>
  <c r="M1615" i="5"/>
  <c r="L1615" i="5"/>
  <c r="C1615" i="5"/>
  <c r="N1615" i="5" s="1"/>
  <c r="B1615" i="5"/>
  <c r="T1614" i="5"/>
  <c r="S1614" i="5"/>
  <c r="R1614" i="5"/>
  <c r="Q1614" i="5"/>
  <c r="N1614" i="5"/>
  <c r="M1614" i="5"/>
  <c r="L1614" i="5"/>
  <c r="C1614" i="5"/>
  <c r="B1614" i="5"/>
  <c r="T1613" i="5"/>
  <c r="S1613" i="5"/>
  <c r="R1613" i="5"/>
  <c r="Q1613" i="5"/>
  <c r="N1613" i="5"/>
  <c r="M1613" i="5"/>
  <c r="L1613" i="5"/>
  <c r="C1613" i="5"/>
  <c r="B1613" i="5"/>
  <c r="T1612" i="5"/>
  <c r="S1612" i="5"/>
  <c r="R1612" i="5"/>
  <c r="Q1612" i="5"/>
  <c r="N1612" i="5"/>
  <c r="M1612" i="5"/>
  <c r="L1612" i="5"/>
  <c r="C1612" i="5"/>
  <c r="B1612" i="5"/>
  <c r="T1611" i="5"/>
  <c r="S1611" i="5"/>
  <c r="R1611" i="5"/>
  <c r="Q1611" i="5"/>
  <c r="N1611" i="5"/>
  <c r="M1611" i="5"/>
  <c r="L1611" i="5"/>
  <c r="C1611" i="5"/>
  <c r="B1611" i="5"/>
  <c r="T1610" i="5"/>
  <c r="S1610" i="5"/>
  <c r="R1610" i="5"/>
  <c r="Q1610" i="5"/>
  <c r="M1610" i="5"/>
  <c r="L1610" i="5"/>
  <c r="C1610" i="5"/>
  <c r="N1610" i="5" s="1"/>
  <c r="B1610" i="5"/>
  <c r="T1609" i="5"/>
  <c r="S1609" i="5"/>
  <c r="R1609" i="5"/>
  <c r="Q1609" i="5"/>
  <c r="N1609" i="5"/>
  <c r="M1609" i="5"/>
  <c r="L1609" i="5"/>
  <c r="C1609" i="5"/>
  <c r="B1609" i="5"/>
  <c r="T1608" i="5"/>
  <c r="S1608" i="5"/>
  <c r="R1608" i="5"/>
  <c r="Q1608" i="5"/>
  <c r="M1608" i="5"/>
  <c r="L1608" i="5"/>
  <c r="C1608" i="5"/>
  <c r="N1608" i="5" s="1"/>
  <c r="B1608" i="5"/>
  <c r="T1607" i="5"/>
  <c r="S1607" i="5"/>
  <c r="R1607" i="5"/>
  <c r="Q1607" i="5"/>
  <c r="M1607" i="5"/>
  <c r="L1607" i="5"/>
  <c r="C1607" i="5"/>
  <c r="N1607" i="5" s="1"/>
  <c r="B1607" i="5"/>
  <c r="T1606" i="5"/>
  <c r="S1606" i="5"/>
  <c r="R1606" i="5"/>
  <c r="Q1606" i="5"/>
  <c r="M1606" i="5"/>
  <c r="L1606" i="5"/>
  <c r="C1606" i="5"/>
  <c r="N1606" i="5" s="1"/>
  <c r="B1606" i="5"/>
  <c r="T1605" i="5"/>
  <c r="S1605" i="5"/>
  <c r="R1605" i="5"/>
  <c r="Q1605" i="5"/>
  <c r="M1605" i="5"/>
  <c r="L1605" i="5"/>
  <c r="C1605" i="5"/>
  <c r="N1605" i="5" s="1"/>
  <c r="B1605" i="5"/>
  <c r="T1604" i="5"/>
  <c r="S1604" i="5"/>
  <c r="R1604" i="5"/>
  <c r="Q1604" i="5"/>
  <c r="N1604" i="5"/>
  <c r="M1604" i="5"/>
  <c r="L1604" i="5"/>
  <c r="C1604" i="5"/>
  <c r="B1604" i="5"/>
  <c r="T1603" i="5"/>
  <c r="S1603" i="5"/>
  <c r="R1603" i="5"/>
  <c r="Q1603" i="5"/>
  <c r="N1603" i="5"/>
  <c r="M1603" i="5"/>
  <c r="L1603" i="5"/>
  <c r="C1603" i="5"/>
  <c r="B1603" i="5"/>
  <c r="T1602" i="5"/>
  <c r="S1602" i="5"/>
  <c r="R1602" i="5"/>
  <c r="Q1602" i="5"/>
  <c r="N1602" i="5"/>
  <c r="M1602" i="5"/>
  <c r="L1602" i="5"/>
  <c r="C1602" i="5"/>
  <c r="B1602" i="5"/>
  <c r="T1601" i="5"/>
  <c r="S1601" i="5"/>
  <c r="R1601" i="5"/>
  <c r="Q1601" i="5"/>
  <c r="N1601" i="5"/>
  <c r="M1601" i="5"/>
  <c r="L1601" i="5"/>
  <c r="C1601" i="5"/>
  <c r="B1601" i="5"/>
  <c r="T1600" i="5"/>
  <c r="S1600" i="5"/>
  <c r="R1600" i="5"/>
  <c r="Q1600" i="5"/>
  <c r="M1600" i="5"/>
  <c r="L1600" i="5"/>
  <c r="C1600" i="5"/>
  <c r="N1600" i="5" s="1"/>
  <c r="B1600" i="5"/>
  <c r="T1599" i="5"/>
  <c r="S1599" i="5"/>
  <c r="R1599" i="5"/>
  <c r="Q1599" i="5"/>
  <c r="N1599" i="5"/>
  <c r="M1599" i="5"/>
  <c r="L1599" i="5"/>
  <c r="C1599" i="5"/>
  <c r="B1599" i="5"/>
  <c r="T1598" i="5"/>
  <c r="S1598" i="5"/>
  <c r="R1598" i="5"/>
  <c r="Q1598" i="5"/>
  <c r="N1598" i="5"/>
  <c r="M1598" i="5"/>
  <c r="L1598" i="5"/>
  <c r="C1598" i="5"/>
  <c r="B1598" i="5"/>
  <c r="T1597" i="5"/>
  <c r="S1597" i="5"/>
  <c r="R1597" i="5"/>
  <c r="Q1597" i="5"/>
  <c r="M1597" i="5"/>
  <c r="L1597" i="5"/>
  <c r="C1597" i="5"/>
  <c r="N1597" i="5" s="1"/>
  <c r="B1597" i="5"/>
  <c r="T1596" i="5"/>
  <c r="S1596" i="5"/>
  <c r="R1596" i="5"/>
  <c r="Q1596" i="5"/>
  <c r="M1596" i="5"/>
  <c r="L1596" i="5"/>
  <c r="C1596" i="5"/>
  <c r="N1596" i="5" s="1"/>
  <c r="B1596" i="5"/>
  <c r="T1595" i="5"/>
  <c r="S1595" i="5"/>
  <c r="R1595" i="5"/>
  <c r="Q1595" i="5"/>
  <c r="M1595" i="5"/>
  <c r="L1595" i="5"/>
  <c r="C1595" i="5"/>
  <c r="N1595" i="5" s="1"/>
  <c r="B1595" i="5"/>
  <c r="T1594" i="5"/>
  <c r="S1594" i="5"/>
  <c r="R1594" i="5"/>
  <c r="Q1594" i="5"/>
  <c r="N1594" i="5"/>
  <c r="M1594" i="5"/>
  <c r="L1594" i="5"/>
  <c r="C1594" i="5"/>
  <c r="B1594" i="5"/>
  <c r="T1593" i="5"/>
  <c r="S1593" i="5"/>
  <c r="R1593" i="5"/>
  <c r="Q1593" i="5"/>
  <c r="N1593" i="5"/>
  <c r="M1593" i="5"/>
  <c r="L1593" i="5"/>
  <c r="C1593" i="5"/>
  <c r="B1593" i="5"/>
  <c r="T1592" i="5"/>
  <c r="S1592" i="5"/>
  <c r="R1592" i="5"/>
  <c r="Q1592" i="5"/>
  <c r="N1592" i="5"/>
  <c r="M1592" i="5"/>
  <c r="L1592" i="5"/>
  <c r="C1592" i="5"/>
  <c r="B1592" i="5"/>
  <c r="T1591" i="5"/>
  <c r="S1591" i="5"/>
  <c r="R1591" i="5"/>
  <c r="Q1591" i="5"/>
  <c r="N1591" i="5"/>
  <c r="M1591" i="5"/>
  <c r="L1591" i="5"/>
  <c r="C1591" i="5"/>
  <c r="B1591" i="5"/>
  <c r="T1590" i="5"/>
  <c r="S1590" i="5"/>
  <c r="R1590" i="5"/>
  <c r="Q1590" i="5"/>
  <c r="N1590" i="5"/>
  <c r="M1590" i="5"/>
  <c r="L1590" i="5"/>
  <c r="C1590" i="5"/>
  <c r="B1590" i="5"/>
  <c r="T1589" i="5"/>
  <c r="S1589" i="5"/>
  <c r="R1589" i="5"/>
  <c r="Q1589" i="5"/>
  <c r="N1589" i="5"/>
  <c r="M1589" i="5"/>
  <c r="L1589" i="5"/>
  <c r="C1589" i="5"/>
  <c r="B1589" i="5"/>
  <c r="T1588" i="5"/>
  <c r="S1588" i="5"/>
  <c r="R1588" i="5"/>
  <c r="Q1588" i="5"/>
  <c r="N1588" i="5"/>
  <c r="M1588" i="5"/>
  <c r="L1588" i="5"/>
  <c r="C1588" i="5"/>
  <c r="B1588" i="5"/>
  <c r="T1587" i="5"/>
  <c r="S1587" i="5"/>
  <c r="R1587" i="5"/>
  <c r="Q1587" i="5"/>
  <c r="M1587" i="5"/>
  <c r="L1587" i="5"/>
  <c r="C1587" i="5"/>
  <c r="N1587" i="5" s="1"/>
  <c r="B1587" i="5"/>
  <c r="T1586" i="5"/>
  <c r="S1586" i="5"/>
  <c r="R1586" i="5"/>
  <c r="Q1586" i="5"/>
  <c r="M1586" i="5"/>
  <c r="L1586" i="5"/>
  <c r="C1586" i="5"/>
  <c r="N1586" i="5" s="1"/>
  <c r="B1586" i="5"/>
  <c r="T1585" i="5"/>
  <c r="S1585" i="5"/>
  <c r="R1585" i="5"/>
  <c r="Q1585" i="5"/>
  <c r="M1585" i="5"/>
  <c r="L1585" i="5"/>
  <c r="C1585" i="5"/>
  <c r="N1585" i="5" s="1"/>
  <c r="B1585" i="5"/>
  <c r="T1584" i="5"/>
  <c r="S1584" i="5"/>
  <c r="R1584" i="5"/>
  <c r="Q1584" i="5"/>
  <c r="N1584" i="5"/>
  <c r="M1584" i="5"/>
  <c r="L1584" i="5"/>
  <c r="C1584" i="5"/>
  <c r="B1584" i="5"/>
  <c r="T1583" i="5"/>
  <c r="S1583" i="5"/>
  <c r="R1583" i="5"/>
  <c r="Q1583" i="5"/>
  <c r="N1583" i="5"/>
  <c r="M1583" i="5"/>
  <c r="L1583" i="5"/>
  <c r="C1583" i="5"/>
  <c r="B1583" i="5"/>
  <c r="T1582" i="5"/>
  <c r="S1582" i="5"/>
  <c r="R1582" i="5"/>
  <c r="Q1582" i="5"/>
  <c r="N1582" i="5"/>
  <c r="M1582" i="5"/>
  <c r="L1582" i="5"/>
  <c r="C1582" i="5"/>
  <c r="B1582" i="5"/>
  <c r="T1581" i="5"/>
  <c r="S1581" i="5"/>
  <c r="R1581" i="5"/>
  <c r="Q1581" i="5"/>
  <c r="N1581" i="5"/>
  <c r="M1581" i="5"/>
  <c r="L1581" i="5"/>
  <c r="C1581" i="5"/>
  <c r="B1581" i="5"/>
  <c r="T1580" i="5"/>
  <c r="S1580" i="5"/>
  <c r="R1580" i="5"/>
  <c r="Q1580" i="5"/>
  <c r="N1580" i="5"/>
  <c r="M1580" i="5"/>
  <c r="L1580" i="5"/>
  <c r="C1580" i="5"/>
  <c r="B1580" i="5"/>
  <c r="T1579" i="5"/>
  <c r="S1579" i="5"/>
  <c r="R1579" i="5"/>
  <c r="Q1579" i="5"/>
  <c r="N1579" i="5"/>
  <c r="M1579" i="5"/>
  <c r="L1579" i="5"/>
  <c r="C1579" i="5"/>
  <c r="B1579" i="5"/>
  <c r="T1578" i="5"/>
  <c r="S1578" i="5"/>
  <c r="R1578" i="5"/>
  <c r="Q1578" i="5"/>
  <c r="M1578" i="5"/>
  <c r="L1578" i="5"/>
  <c r="C1578" i="5"/>
  <c r="N1578" i="5" s="1"/>
  <c r="B1578" i="5"/>
  <c r="T1577" i="5"/>
  <c r="S1577" i="5"/>
  <c r="R1577" i="5"/>
  <c r="Q1577" i="5"/>
  <c r="M1577" i="5"/>
  <c r="L1577" i="5"/>
  <c r="C1577" i="5"/>
  <c r="N1577" i="5" s="1"/>
  <c r="B1577" i="5"/>
  <c r="T1576" i="5"/>
  <c r="S1576" i="5"/>
  <c r="R1576" i="5"/>
  <c r="Q1576" i="5"/>
  <c r="M1576" i="5"/>
  <c r="L1576" i="5"/>
  <c r="C1576" i="5"/>
  <c r="N1576" i="5" s="1"/>
  <c r="B1576" i="5"/>
  <c r="T1575" i="5"/>
  <c r="S1575" i="5"/>
  <c r="R1575" i="5"/>
  <c r="Q1575" i="5"/>
  <c r="M1575" i="5"/>
  <c r="L1575" i="5"/>
  <c r="C1575" i="5"/>
  <c r="N1575" i="5" s="1"/>
  <c r="B1575" i="5"/>
  <c r="T1574" i="5"/>
  <c r="S1574" i="5"/>
  <c r="R1574" i="5"/>
  <c r="Q1574" i="5"/>
  <c r="N1574" i="5"/>
  <c r="M1574" i="5"/>
  <c r="L1574" i="5"/>
  <c r="C1574" i="5"/>
  <c r="B1574" i="5"/>
  <c r="T1573" i="5"/>
  <c r="S1573" i="5"/>
  <c r="R1573" i="5"/>
  <c r="Q1573" i="5"/>
  <c r="N1573" i="5"/>
  <c r="M1573" i="5"/>
  <c r="L1573" i="5"/>
  <c r="C1573" i="5"/>
  <c r="B1573" i="5"/>
  <c r="T1572" i="5"/>
  <c r="S1572" i="5"/>
  <c r="R1572" i="5"/>
  <c r="Q1572" i="5"/>
  <c r="N1572" i="5"/>
  <c r="M1572" i="5"/>
  <c r="L1572" i="5"/>
  <c r="C1572" i="5"/>
  <c r="B1572" i="5"/>
  <c r="T1571" i="5"/>
  <c r="S1571" i="5"/>
  <c r="R1571" i="5"/>
  <c r="Q1571" i="5"/>
  <c r="N1571" i="5"/>
  <c r="M1571" i="5"/>
  <c r="L1571" i="5"/>
  <c r="C1571" i="5"/>
  <c r="B1571" i="5"/>
  <c r="T1570" i="5"/>
  <c r="S1570" i="5"/>
  <c r="R1570" i="5"/>
  <c r="Q1570" i="5"/>
  <c r="M1570" i="5"/>
  <c r="L1570" i="5"/>
  <c r="C1570" i="5"/>
  <c r="N1570" i="5" s="1"/>
  <c r="B1570" i="5"/>
  <c r="T1569" i="5"/>
  <c r="S1569" i="5"/>
  <c r="R1569" i="5"/>
  <c r="Q1569" i="5"/>
  <c r="N1569" i="5"/>
  <c r="M1569" i="5"/>
  <c r="L1569" i="5"/>
  <c r="C1569" i="5"/>
  <c r="B1569" i="5"/>
  <c r="T1568" i="5"/>
  <c r="S1568" i="5"/>
  <c r="R1568" i="5"/>
  <c r="Q1568" i="5"/>
  <c r="M1568" i="5"/>
  <c r="L1568" i="5"/>
  <c r="C1568" i="5"/>
  <c r="N1568" i="5" s="1"/>
  <c r="B1568" i="5"/>
  <c r="T1567" i="5"/>
  <c r="S1567" i="5"/>
  <c r="R1567" i="5"/>
  <c r="Q1567" i="5"/>
  <c r="M1567" i="5"/>
  <c r="L1567" i="5"/>
  <c r="C1567" i="5"/>
  <c r="N1567" i="5" s="1"/>
  <c r="B1567" i="5"/>
  <c r="T1566" i="5"/>
  <c r="S1566" i="5"/>
  <c r="R1566" i="5"/>
  <c r="Q1566" i="5"/>
  <c r="M1566" i="5"/>
  <c r="L1566" i="5"/>
  <c r="C1566" i="5"/>
  <c r="N1566" i="5" s="1"/>
  <c r="B1566" i="5"/>
  <c r="T1565" i="5"/>
  <c r="S1565" i="5"/>
  <c r="R1565" i="5"/>
  <c r="Q1565" i="5"/>
  <c r="M1565" i="5"/>
  <c r="L1565" i="5"/>
  <c r="C1565" i="5"/>
  <c r="N1565" i="5" s="1"/>
  <c r="B1565" i="5"/>
  <c r="T1564" i="5"/>
  <c r="S1564" i="5"/>
  <c r="R1564" i="5"/>
  <c r="Q1564" i="5"/>
  <c r="N1564" i="5"/>
  <c r="M1564" i="5"/>
  <c r="L1564" i="5"/>
  <c r="C1564" i="5"/>
  <c r="B1564" i="5"/>
  <c r="T1563" i="5"/>
  <c r="S1563" i="5"/>
  <c r="R1563" i="5"/>
  <c r="Q1563" i="5"/>
  <c r="N1563" i="5"/>
  <c r="M1563" i="5"/>
  <c r="L1563" i="5"/>
  <c r="C1563" i="5"/>
  <c r="B1563" i="5"/>
  <c r="T1562" i="5"/>
  <c r="S1562" i="5"/>
  <c r="R1562" i="5"/>
  <c r="Q1562" i="5"/>
  <c r="N1562" i="5"/>
  <c r="M1562" i="5"/>
  <c r="L1562" i="5"/>
  <c r="C1562" i="5"/>
  <c r="B1562" i="5"/>
  <c r="T1561" i="5"/>
  <c r="S1561" i="5"/>
  <c r="R1561" i="5"/>
  <c r="Q1561" i="5"/>
  <c r="N1561" i="5"/>
  <c r="M1561" i="5"/>
  <c r="L1561" i="5"/>
  <c r="C1561" i="5"/>
  <c r="B1561" i="5"/>
  <c r="T1560" i="5"/>
  <c r="S1560" i="5"/>
  <c r="R1560" i="5"/>
  <c r="Q1560" i="5"/>
  <c r="N1560" i="5"/>
  <c r="M1560" i="5"/>
  <c r="L1560" i="5"/>
  <c r="C1560" i="5"/>
  <c r="B1560" i="5"/>
  <c r="T1559" i="5"/>
  <c r="S1559" i="5"/>
  <c r="R1559" i="5"/>
  <c r="Q1559" i="5"/>
  <c r="N1559" i="5"/>
  <c r="M1559" i="5"/>
  <c r="L1559" i="5"/>
  <c r="C1559" i="5"/>
  <c r="B1559" i="5"/>
  <c r="T1558" i="5"/>
  <c r="S1558" i="5"/>
  <c r="R1558" i="5"/>
  <c r="Q1558" i="5"/>
  <c r="N1558" i="5"/>
  <c r="M1558" i="5"/>
  <c r="L1558" i="5"/>
  <c r="C1558" i="5"/>
  <c r="B1558" i="5"/>
  <c r="T1557" i="5"/>
  <c r="S1557" i="5"/>
  <c r="R1557" i="5"/>
  <c r="Q1557" i="5"/>
  <c r="M1557" i="5"/>
  <c r="L1557" i="5"/>
  <c r="C1557" i="5"/>
  <c r="N1557" i="5" s="1"/>
  <c r="B1557" i="5"/>
  <c r="T1556" i="5"/>
  <c r="S1556" i="5"/>
  <c r="R1556" i="5"/>
  <c r="Q1556" i="5"/>
  <c r="M1556" i="5"/>
  <c r="L1556" i="5"/>
  <c r="C1556" i="5"/>
  <c r="N1556" i="5" s="1"/>
  <c r="B1556" i="5"/>
  <c r="T1555" i="5"/>
  <c r="S1555" i="5"/>
  <c r="R1555" i="5"/>
  <c r="Q1555" i="5"/>
  <c r="M1555" i="5"/>
  <c r="L1555" i="5"/>
  <c r="C1555" i="5"/>
  <c r="N1555" i="5" s="1"/>
  <c r="B1555" i="5"/>
  <c r="T1554" i="5"/>
  <c r="S1554" i="5"/>
  <c r="R1554" i="5"/>
  <c r="Q1554" i="5"/>
  <c r="N1554" i="5"/>
  <c r="M1554" i="5"/>
  <c r="L1554" i="5"/>
  <c r="C1554" i="5"/>
  <c r="B1554" i="5"/>
  <c r="T1553" i="5"/>
  <c r="S1553" i="5"/>
  <c r="R1553" i="5"/>
  <c r="Q1553" i="5"/>
  <c r="N1553" i="5"/>
  <c r="M1553" i="5"/>
  <c r="L1553" i="5"/>
  <c r="C1553" i="5"/>
  <c r="B1553" i="5"/>
  <c r="T1552" i="5"/>
  <c r="S1552" i="5"/>
  <c r="R1552" i="5"/>
  <c r="Q1552" i="5"/>
  <c r="N1552" i="5"/>
  <c r="M1552" i="5"/>
  <c r="L1552" i="5"/>
  <c r="C1552" i="5"/>
  <c r="B1552" i="5"/>
  <c r="T1551" i="5"/>
  <c r="S1551" i="5"/>
  <c r="R1551" i="5"/>
  <c r="Q1551" i="5"/>
  <c r="N1551" i="5"/>
  <c r="M1551" i="5"/>
  <c r="L1551" i="5"/>
  <c r="C1551" i="5"/>
  <c r="B1551" i="5"/>
  <c r="T1550" i="5"/>
  <c r="S1550" i="5"/>
  <c r="R1550" i="5"/>
  <c r="Q1550" i="5"/>
  <c r="N1550" i="5"/>
  <c r="M1550" i="5"/>
  <c r="L1550" i="5"/>
  <c r="C1550" i="5"/>
  <c r="B1550" i="5"/>
  <c r="T1549" i="5"/>
  <c r="S1549" i="5"/>
  <c r="R1549" i="5"/>
  <c r="Q1549" i="5"/>
  <c r="N1549" i="5"/>
  <c r="M1549" i="5"/>
  <c r="L1549" i="5"/>
  <c r="C1549" i="5"/>
  <c r="B1549" i="5"/>
  <c r="T1548" i="5"/>
  <c r="S1548" i="5"/>
  <c r="R1548" i="5"/>
  <c r="Q1548" i="5"/>
  <c r="M1548" i="5"/>
  <c r="L1548" i="5"/>
  <c r="C1548" i="5"/>
  <c r="N1548" i="5" s="1"/>
  <c r="B1548" i="5"/>
  <c r="T1547" i="5"/>
  <c r="S1547" i="5"/>
  <c r="R1547" i="5"/>
  <c r="Q1547" i="5"/>
  <c r="M1547" i="5"/>
  <c r="L1547" i="5"/>
  <c r="C1547" i="5"/>
  <c r="N1547" i="5" s="1"/>
  <c r="B1547" i="5"/>
  <c r="T1546" i="5"/>
  <c r="S1546" i="5"/>
  <c r="R1546" i="5"/>
  <c r="Q1546" i="5"/>
  <c r="M1546" i="5"/>
  <c r="L1546" i="5"/>
  <c r="C1546" i="5"/>
  <c r="N1546" i="5" s="1"/>
  <c r="B1546" i="5"/>
  <c r="T1545" i="5"/>
  <c r="S1545" i="5"/>
  <c r="R1545" i="5"/>
  <c r="Q1545" i="5"/>
  <c r="M1545" i="5"/>
  <c r="L1545" i="5"/>
  <c r="C1545" i="5"/>
  <c r="N1545" i="5" s="1"/>
  <c r="B1545" i="5"/>
  <c r="T1544" i="5"/>
  <c r="S1544" i="5"/>
  <c r="R1544" i="5"/>
  <c r="Q1544" i="5"/>
  <c r="N1544" i="5"/>
  <c r="M1544" i="5"/>
  <c r="L1544" i="5"/>
  <c r="C1544" i="5"/>
  <c r="B1544" i="5"/>
  <c r="T1543" i="5"/>
  <c r="S1543" i="5"/>
  <c r="R1543" i="5"/>
  <c r="Q1543" i="5"/>
  <c r="N1543" i="5"/>
  <c r="M1543" i="5"/>
  <c r="L1543" i="5"/>
  <c r="C1543" i="5"/>
  <c r="B1543" i="5"/>
  <c r="T1542" i="5"/>
  <c r="S1542" i="5"/>
  <c r="R1542" i="5"/>
  <c r="Q1542" i="5"/>
  <c r="N1542" i="5"/>
  <c r="M1542" i="5"/>
  <c r="L1542" i="5"/>
  <c r="C1542" i="5"/>
  <c r="B1542" i="5"/>
  <c r="T1541" i="5"/>
  <c r="S1541" i="5"/>
  <c r="R1541" i="5"/>
  <c r="Q1541" i="5"/>
  <c r="N1541" i="5"/>
  <c r="M1541" i="5"/>
  <c r="L1541" i="5"/>
  <c r="C1541" i="5"/>
  <c r="B1541" i="5"/>
  <c r="T1540" i="5"/>
  <c r="S1540" i="5"/>
  <c r="R1540" i="5"/>
  <c r="Q1540" i="5"/>
  <c r="M1540" i="5"/>
  <c r="L1540" i="5"/>
  <c r="C1540" i="5"/>
  <c r="N1540" i="5" s="1"/>
  <c r="B1540" i="5"/>
  <c r="T1539" i="5"/>
  <c r="S1539" i="5"/>
  <c r="R1539" i="5"/>
  <c r="Q1539" i="5"/>
  <c r="N1539" i="5"/>
  <c r="M1539" i="5"/>
  <c r="L1539" i="5"/>
  <c r="C1539" i="5"/>
  <c r="B1539" i="5"/>
  <c r="T1538" i="5"/>
  <c r="S1538" i="5"/>
  <c r="R1538" i="5"/>
  <c r="Q1538" i="5"/>
  <c r="M1538" i="5"/>
  <c r="L1538" i="5"/>
  <c r="C1538" i="5"/>
  <c r="N1538" i="5" s="1"/>
  <c r="B1538" i="5"/>
  <c r="T1537" i="5"/>
  <c r="S1537" i="5"/>
  <c r="R1537" i="5"/>
  <c r="Q1537" i="5"/>
  <c r="M1537" i="5"/>
  <c r="L1537" i="5"/>
  <c r="C1537" i="5"/>
  <c r="N1537" i="5" s="1"/>
  <c r="B1537" i="5"/>
  <c r="T1536" i="5"/>
  <c r="S1536" i="5"/>
  <c r="R1536" i="5"/>
  <c r="Q1536" i="5"/>
  <c r="M1536" i="5"/>
  <c r="L1536" i="5"/>
  <c r="C1536" i="5"/>
  <c r="N1536" i="5" s="1"/>
  <c r="B1536" i="5"/>
  <c r="T1535" i="5"/>
  <c r="S1535" i="5"/>
  <c r="R1535" i="5"/>
  <c r="Q1535" i="5"/>
  <c r="M1535" i="5"/>
  <c r="L1535" i="5"/>
  <c r="C1535" i="5"/>
  <c r="N1535" i="5" s="1"/>
  <c r="B1535" i="5"/>
  <c r="T1534" i="5"/>
  <c r="S1534" i="5"/>
  <c r="R1534" i="5"/>
  <c r="Q1534" i="5"/>
  <c r="N1534" i="5"/>
  <c r="M1534" i="5"/>
  <c r="L1534" i="5"/>
  <c r="C1534" i="5"/>
  <c r="B1534" i="5"/>
  <c r="T1533" i="5"/>
  <c r="S1533" i="5"/>
  <c r="R1533" i="5"/>
  <c r="Q1533" i="5"/>
  <c r="N1533" i="5"/>
  <c r="M1533" i="5"/>
  <c r="L1533" i="5"/>
  <c r="C1533" i="5"/>
  <c r="B1533" i="5"/>
  <c r="T1532" i="5"/>
  <c r="S1532" i="5"/>
  <c r="R1532" i="5"/>
  <c r="Q1532" i="5"/>
  <c r="N1532" i="5"/>
  <c r="M1532" i="5"/>
  <c r="L1532" i="5"/>
  <c r="C1532" i="5"/>
  <c r="B1532" i="5"/>
  <c r="T1531" i="5"/>
  <c r="S1531" i="5"/>
  <c r="R1531" i="5"/>
  <c r="Q1531" i="5"/>
  <c r="N1531" i="5"/>
  <c r="M1531" i="5"/>
  <c r="L1531" i="5"/>
  <c r="C1531" i="5"/>
  <c r="B1531" i="5"/>
  <c r="T1530" i="5"/>
  <c r="S1530" i="5"/>
  <c r="R1530" i="5"/>
  <c r="Q1530" i="5"/>
  <c r="M1530" i="5"/>
  <c r="L1530" i="5"/>
  <c r="C1530" i="5"/>
  <c r="N1530" i="5" s="1"/>
  <c r="B1530" i="5"/>
  <c r="T1529" i="5"/>
  <c r="S1529" i="5"/>
  <c r="R1529" i="5"/>
  <c r="Q1529" i="5"/>
  <c r="N1529" i="5"/>
  <c r="M1529" i="5"/>
  <c r="L1529" i="5"/>
  <c r="C1529" i="5"/>
  <c r="B1529" i="5"/>
  <c r="T1528" i="5"/>
  <c r="S1528" i="5"/>
  <c r="R1528" i="5"/>
  <c r="Q1528" i="5"/>
  <c r="N1528" i="5"/>
  <c r="M1528" i="5"/>
  <c r="L1528" i="5"/>
  <c r="C1528" i="5"/>
  <c r="B1528" i="5"/>
  <c r="T1527" i="5"/>
  <c r="S1527" i="5"/>
  <c r="R1527" i="5"/>
  <c r="Q1527" i="5"/>
  <c r="M1527" i="5"/>
  <c r="L1527" i="5"/>
  <c r="C1527" i="5"/>
  <c r="N1527" i="5" s="1"/>
  <c r="B1527" i="5"/>
  <c r="T1526" i="5"/>
  <c r="S1526" i="5"/>
  <c r="R1526" i="5"/>
  <c r="Q1526" i="5"/>
  <c r="M1526" i="5"/>
  <c r="L1526" i="5"/>
  <c r="C1526" i="5"/>
  <c r="N1526" i="5" s="1"/>
  <c r="B1526" i="5"/>
  <c r="T1525" i="5"/>
  <c r="S1525" i="5"/>
  <c r="R1525" i="5"/>
  <c r="Q1525" i="5"/>
  <c r="M1525" i="5"/>
  <c r="L1525" i="5"/>
  <c r="C1525" i="5"/>
  <c r="N1525" i="5" s="1"/>
  <c r="B1525" i="5"/>
  <c r="T1524" i="5"/>
  <c r="S1524" i="5"/>
  <c r="R1524" i="5"/>
  <c r="Q1524" i="5"/>
  <c r="N1524" i="5"/>
  <c r="M1524" i="5"/>
  <c r="L1524" i="5"/>
  <c r="C1524" i="5"/>
  <c r="B1524" i="5"/>
  <c r="T1523" i="5"/>
  <c r="S1523" i="5"/>
  <c r="R1523" i="5"/>
  <c r="Q1523" i="5"/>
  <c r="N1523" i="5"/>
  <c r="M1523" i="5"/>
  <c r="L1523" i="5"/>
  <c r="C1523" i="5"/>
  <c r="B1523" i="5"/>
  <c r="T1522" i="5"/>
  <c r="S1522" i="5"/>
  <c r="R1522" i="5"/>
  <c r="Q1522" i="5"/>
  <c r="N1522" i="5"/>
  <c r="M1522" i="5"/>
  <c r="L1522" i="5"/>
  <c r="C1522" i="5"/>
  <c r="B1522" i="5"/>
  <c r="T1521" i="5"/>
  <c r="S1521" i="5"/>
  <c r="R1521" i="5"/>
  <c r="Q1521" i="5"/>
  <c r="N1521" i="5"/>
  <c r="M1521" i="5"/>
  <c r="L1521" i="5"/>
  <c r="C1521" i="5"/>
  <c r="B1521" i="5"/>
  <c r="T1520" i="5"/>
  <c r="S1520" i="5"/>
  <c r="R1520" i="5"/>
  <c r="Q1520" i="5"/>
  <c r="N1520" i="5"/>
  <c r="M1520" i="5"/>
  <c r="L1520" i="5"/>
  <c r="C1520" i="5"/>
  <c r="B1520" i="5"/>
  <c r="T1519" i="5"/>
  <c r="S1519" i="5"/>
  <c r="R1519" i="5"/>
  <c r="Q1519" i="5"/>
  <c r="N1519" i="5"/>
  <c r="M1519" i="5"/>
  <c r="L1519" i="5"/>
  <c r="C1519" i="5"/>
  <c r="B1519" i="5"/>
  <c r="T1518" i="5"/>
  <c r="S1518" i="5"/>
  <c r="R1518" i="5"/>
  <c r="Q1518" i="5"/>
  <c r="N1518" i="5"/>
  <c r="M1518" i="5"/>
  <c r="L1518" i="5"/>
  <c r="C1518" i="5"/>
  <c r="B1518" i="5"/>
  <c r="T1517" i="5"/>
  <c r="S1517" i="5"/>
  <c r="R1517" i="5"/>
  <c r="Q1517" i="5"/>
  <c r="M1517" i="5"/>
  <c r="L1517" i="5"/>
  <c r="C1517" i="5"/>
  <c r="N1517" i="5" s="1"/>
  <c r="B1517" i="5"/>
  <c r="T1516" i="5"/>
  <c r="S1516" i="5"/>
  <c r="R1516" i="5"/>
  <c r="Q1516" i="5"/>
  <c r="M1516" i="5"/>
  <c r="L1516" i="5"/>
  <c r="C1516" i="5"/>
  <c r="N1516" i="5" s="1"/>
  <c r="B1516" i="5"/>
  <c r="T1515" i="5"/>
  <c r="S1515" i="5"/>
  <c r="R1515" i="5"/>
  <c r="Q1515" i="5"/>
  <c r="M1515" i="5"/>
  <c r="L1515" i="5"/>
  <c r="C1515" i="5"/>
  <c r="N1515" i="5" s="1"/>
  <c r="B1515" i="5"/>
  <c r="T1514" i="5"/>
  <c r="S1514" i="5"/>
  <c r="R1514" i="5"/>
  <c r="Q1514" i="5"/>
  <c r="N1514" i="5"/>
  <c r="M1514" i="5"/>
  <c r="L1514" i="5"/>
  <c r="C1514" i="5"/>
  <c r="B1514" i="5"/>
  <c r="T1513" i="5"/>
  <c r="S1513" i="5"/>
  <c r="R1513" i="5"/>
  <c r="Q1513" i="5"/>
  <c r="N1513" i="5"/>
  <c r="M1513" i="5"/>
  <c r="L1513" i="5"/>
  <c r="C1513" i="5"/>
  <c r="B1513" i="5"/>
  <c r="T1512" i="5"/>
  <c r="S1512" i="5"/>
  <c r="R1512" i="5"/>
  <c r="Q1512" i="5"/>
  <c r="N1512" i="5"/>
  <c r="M1512" i="5"/>
  <c r="L1512" i="5"/>
  <c r="C1512" i="5"/>
  <c r="B1512" i="5"/>
  <c r="T1511" i="5"/>
  <c r="S1511" i="5"/>
  <c r="R1511" i="5"/>
  <c r="Q1511" i="5"/>
  <c r="N1511" i="5"/>
  <c r="M1511" i="5"/>
  <c r="L1511" i="5"/>
  <c r="C1511" i="5"/>
  <c r="B1511" i="5"/>
  <c r="T1510" i="5"/>
  <c r="S1510" i="5"/>
  <c r="R1510" i="5"/>
  <c r="Q1510" i="5"/>
  <c r="M1510" i="5"/>
  <c r="L1510" i="5"/>
  <c r="C1510" i="5"/>
  <c r="N1510" i="5" s="1"/>
  <c r="B1510" i="5"/>
  <c r="T1509" i="5"/>
  <c r="S1509" i="5"/>
  <c r="R1509" i="5"/>
  <c r="Q1509" i="5"/>
  <c r="N1509" i="5"/>
  <c r="M1509" i="5"/>
  <c r="L1509" i="5"/>
  <c r="C1509" i="5"/>
  <c r="B1509" i="5"/>
  <c r="T1508" i="5"/>
  <c r="S1508" i="5"/>
  <c r="R1508" i="5"/>
  <c r="Q1508" i="5"/>
  <c r="M1508" i="5"/>
  <c r="L1508" i="5"/>
  <c r="C1508" i="5"/>
  <c r="N1508" i="5" s="1"/>
  <c r="B1508" i="5"/>
  <c r="T1507" i="5"/>
  <c r="S1507" i="5"/>
  <c r="R1507" i="5"/>
  <c r="Q1507" i="5"/>
  <c r="M1507" i="5"/>
  <c r="L1507" i="5"/>
  <c r="C1507" i="5"/>
  <c r="N1507" i="5" s="1"/>
  <c r="B1507" i="5"/>
  <c r="T1506" i="5"/>
  <c r="S1506" i="5"/>
  <c r="R1506" i="5"/>
  <c r="Q1506" i="5"/>
  <c r="M1506" i="5"/>
  <c r="L1506" i="5"/>
  <c r="C1506" i="5"/>
  <c r="N1506" i="5" s="1"/>
  <c r="B1506" i="5"/>
  <c r="T1505" i="5"/>
  <c r="S1505" i="5"/>
  <c r="R1505" i="5"/>
  <c r="Q1505" i="5"/>
  <c r="M1505" i="5"/>
  <c r="L1505" i="5"/>
  <c r="C1505" i="5"/>
  <c r="N1505" i="5" s="1"/>
  <c r="B1505" i="5"/>
  <c r="T1504" i="5"/>
  <c r="S1504" i="5"/>
  <c r="R1504" i="5"/>
  <c r="Q1504" i="5"/>
  <c r="N1504" i="5"/>
  <c r="M1504" i="5"/>
  <c r="L1504" i="5"/>
  <c r="C1504" i="5"/>
  <c r="B1504" i="5"/>
  <c r="T1503" i="5"/>
  <c r="S1503" i="5"/>
  <c r="R1503" i="5"/>
  <c r="Q1503" i="5"/>
  <c r="N1503" i="5"/>
  <c r="M1503" i="5"/>
  <c r="L1503" i="5"/>
  <c r="C1503" i="5"/>
  <c r="B1503" i="5"/>
  <c r="T1502" i="5"/>
  <c r="S1502" i="5"/>
  <c r="R1502" i="5"/>
  <c r="Q1502" i="5"/>
  <c r="N1502" i="5"/>
  <c r="M1502" i="5"/>
  <c r="L1502" i="5"/>
  <c r="C1502" i="5"/>
  <c r="B1502" i="5"/>
  <c r="T1501" i="5"/>
  <c r="S1501" i="5"/>
  <c r="R1501" i="5"/>
  <c r="Q1501" i="5"/>
  <c r="N1501" i="5"/>
  <c r="M1501" i="5"/>
  <c r="L1501" i="5"/>
  <c r="C1501" i="5"/>
  <c r="B1501" i="5"/>
  <c r="T1500" i="5"/>
  <c r="S1500" i="5"/>
  <c r="R1500" i="5"/>
  <c r="Q1500" i="5"/>
  <c r="M1500" i="5"/>
  <c r="L1500" i="5"/>
  <c r="C1500" i="5"/>
  <c r="N1500" i="5" s="1"/>
  <c r="B1500" i="5"/>
  <c r="T1499" i="5"/>
  <c r="S1499" i="5"/>
  <c r="R1499" i="5"/>
  <c r="Q1499" i="5"/>
  <c r="N1499" i="5"/>
  <c r="M1499" i="5"/>
  <c r="L1499" i="5"/>
  <c r="C1499" i="5"/>
  <c r="B1499" i="5"/>
  <c r="T1498" i="5"/>
  <c r="S1498" i="5"/>
  <c r="R1498" i="5"/>
  <c r="Q1498" i="5"/>
  <c r="N1498" i="5"/>
  <c r="M1498" i="5"/>
  <c r="L1498" i="5"/>
  <c r="C1498" i="5"/>
  <c r="B1498" i="5"/>
  <c r="T1497" i="5"/>
  <c r="S1497" i="5"/>
  <c r="R1497" i="5"/>
  <c r="Q1497" i="5"/>
  <c r="M1497" i="5"/>
  <c r="L1497" i="5"/>
  <c r="C1497" i="5"/>
  <c r="N1497" i="5" s="1"/>
  <c r="B1497" i="5"/>
  <c r="T1496" i="5"/>
  <c r="S1496" i="5"/>
  <c r="R1496" i="5"/>
  <c r="Q1496" i="5"/>
  <c r="M1496" i="5"/>
  <c r="L1496" i="5"/>
  <c r="C1496" i="5"/>
  <c r="N1496" i="5" s="1"/>
  <c r="B1496" i="5"/>
  <c r="T1495" i="5"/>
  <c r="S1495" i="5"/>
  <c r="R1495" i="5"/>
  <c r="Q1495" i="5"/>
  <c r="M1495" i="5"/>
  <c r="L1495" i="5"/>
  <c r="C1495" i="5"/>
  <c r="N1495" i="5" s="1"/>
  <c r="B1495" i="5"/>
  <c r="T1494" i="5"/>
  <c r="S1494" i="5"/>
  <c r="R1494" i="5"/>
  <c r="Q1494" i="5"/>
  <c r="N1494" i="5"/>
  <c r="M1494" i="5"/>
  <c r="L1494" i="5"/>
  <c r="C1494" i="5"/>
  <c r="B1494" i="5"/>
  <c r="T1493" i="5"/>
  <c r="S1493" i="5"/>
  <c r="R1493" i="5"/>
  <c r="Q1493" i="5"/>
  <c r="N1493" i="5"/>
  <c r="M1493" i="5"/>
  <c r="L1493" i="5"/>
  <c r="C1493" i="5"/>
  <c r="B1493" i="5"/>
  <c r="T1492" i="5"/>
  <c r="S1492" i="5"/>
  <c r="R1492" i="5"/>
  <c r="Q1492" i="5"/>
  <c r="N1492" i="5"/>
  <c r="M1492" i="5"/>
  <c r="L1492" i="5"/>
  <c r="C1492" i="5"/>
  <c r="B1492" i="5"/>
  <c r="T1491" i="5"/>
  <c r="S1491" i="5"/>
  <c r="R1491" i="5"/>
  <c r="Q1491" i="5"/>
  <c r="N1491" i="5"/>
  <c r="M1491" i="5"/>
  <c r="L1491" i="5"/>
  <c r="C1491" i="5"/>
  <c r="B1491" i="5"/>
  <c r="T1490" i="5"/>
  <c r="S1490" i="5"/>
  <c r="R1490" i="5"/>
  <c r="Q1490" i="5"/>
  <c r="N1490" i="5"/>
  <c r="M1490" i="5"/>
  <c r="L1490" i="5"/>
  <c r="C1490" i="5"/>
  <c r="B1490" i="5"/>
  <c r="T1489" i="5"/>
  <c r="S1489" i="5"/>
  <c r="R1489" i="5"/>
  <c r="Q1489" i="5"/>
  <c r="N1489" i="5"/>
  <c r="M1489" i="5"/>
  <c r="L1489" i="5"/>
  <c r="C1489" i="5"/>
  <c r="B1489" i="5"/>
  <c r="T1488" i="5"/>
  <c r="S1488" i="5"/>
  <c r="R1488" i="5"/>
  <c r="Q1488" i="5"/>
  <c r="N1488" i="5"/>
  <c r="M1488" i="5"/>
  <c r="L1488" i="5"/>
  <c r="C1488" i="5"/>
  <c r="B1488" i="5"/>
  <c r="T1487" i="5"/>
  <c r="S1487" i="5"/>
  <c r="R1487" i="5"/>
  <c r="Q1487" i="5"/>
  <c r="M1487" i="5"/>
  <c r="L1487" i="5"/>
  <c r="C1487" i="5"/>
  <c r="N1487" i="5" s="1"/>
  <c r="B1487" i="5"/>
  <c r="T1486" i="5"/>
  <c r="S1486" i="5"/>
  <c r="R1486" i="5"/>
  <c r="Q1486" i="5"/>
  <c r="M1486" i="5"/>
  <c r="L1486" i="5"/>
  <c r="C1486" i="5"/>
  <c r="N1486" i="5" s="1"/>
  <c r="B1486" i="5"/>
  <c r="T1485" i="5"/>
  <c r="S1485" i="5"/>
  <c r="R1485" i="5"/>
  <c r="Q1485" i="5"/>
  <c r="M1485" i="5"/>
  <c r="L1485" i="5"/>
  <c r="C1485" i="5"/>
  <c r="N1485" i="5" s="1"/>
  <c r="B1485" i="5"/>
  <c r="T1484" i="5"/>
  <c r="S1484" i="5"/>
  <c r="R1484" i="5"/>
  <c r="Q1484" i="5"/>
  <c r="N1484" i="5"/>
  <c r="M1484" i="5"/>
  <c r="L1484" i="5"/>
  <c r="C1484" i="5"/>
  <c r="B1484" i="5"/>
  <c r="T1483" i="5"/>
  <c r="S1483" i="5"/>
  <c r="R1483" i="5"/>
  <c r="Q1483" i="5"/>
  <c r="N1483" i="5"/>
  <c r="M1483" i="5"/>
  <c r="L1483" i="5"/>
  <c r="C1483" i="5"/>
  <c r="B1483" i="5"/>
  <c r="T1482" i="5"/>
  <c r="S1482" i="5"/>
  <c r="R1482" i="5"/>
  <c r="Q1482" i="5"/>
  <c r="N1482" i="5"/>
  <c r="M1482" i="5"/>
  <c r="L1482" i="5"/>
  <c r="C1482" i="5"/>
  <c r="B1482" i="5"/>
  <c r="T1481" i="5"/>
  <c r="S1481" i="5"/>
  <c r="R1481" i="5"/>
  <c r="Q1481" i="5"/>
  <c r="N1481" i="5"/>
  <c r="M1481" i="5"/>
  <c r="L1481" i="5"/>
  <c r="C1481" i="5"/>
  <c r="B1481" i="5"/>
  <c r="T1480" i="5"/>
  <c r="S1480" i="5"/>
  <c r="R1480" i="5"/>
  <c r="Q1480" i="5"/>
  <c r="N1480" i="5"/>
  <c r="M1480" i="5"/>
  <c r="L1480" i="5"/>
  <c r="C1480" i="5"/>
  <c r="B1480" i="5"/>
  <c r="T1479" i="5"/>
  <c r="S1479" i="5"/>
  <c r="R1479" i="5"/>
  <c r="Q1479" i="5"/>
  <c r="N1479" i="5"/>
  <c r="M1479" i="5"/>
  <c r="L1479" i="5"/>
  <c r="C1479" i="5"/>
  <c r="B1479" i="5"/>
  <c r="T1478" i="5"/>
  <c r="S1478" i="5"/>
  <c r="R1478" i="5"/>
  <c r="Q1478" i="5"/>
  <c r="M1478" i="5"/>
  <c r="L1478" i="5"/>
  <c r="C1478" i="5"/>
  <c r="N1478" i="5" s="1"/>
  <c r="B1478" i="5"/>
  <c r="T1477" i="5"/>
  <c r="S1477" i="5"/>
  <c r="R1477" i="5"/>
  <c r="Q1477" i="5"/>
  <c r="M1477" i="5"/>
  <c r="L1477" i="5"/>
  <c r="C1477" i="5"/>
  <c r="N1477" i="5" s="1"/>
  <c r="B1477" i="5"/>
  <c r="T1476" i="5"/>
  <c r="S1476" i="5"/>
  <c r="R1476" i="5"/>
  <c r="Q1476" i="5"/>
  <c r="M1476" i="5"/>
  <c r="L1476" i="5"/>
  <c r="C1476" i="5"/>
  <c r="N1476" i="5" s="1"/>
  <c r="B1476" i="5"/>
  <c r="T1475" i="5"/>
  <c r="S1475" i="5"/>
  <c r="R1475" i="5"/>
  <c r="Q1475" i="5"/>
  <c r="M1475" i="5"/>
  <c r="L1475" i="5"/>
  <c r="C1475" i="5"/>
  <c r="N1475" i="5" s="1"/>
  <c r="B1475" i="5"/>
  <c r="T1474" i="5"/>
  <c r="S1474" i="5"/>
  <c r="R1474" i="5"/>
  <c r="Q1474" i="5"/>
  <c r="N1474" i="5"/>
  <c r="M1474" i="5"/>
  <c r="L1474" i="5"/>
  <c r="C1474" i="5"/>
  <c r="B1474" i="5"/>
  <c r="T1473" i="5"/>
  <c r="S1473" i="5"/>
  <c r="R1473" i="5"/>
  <c r="Q1473" i="5"/>
  <c r="N1473" i="5"/>
  <c r="M1473" i="5"/>
  <c r="L1473" i="5"/>
  <c r="C1473" i="5"/>
  <c r="B1473" i="5"/>
  <c r="T1472" i="5"/>
  <c r="S1472" i="5"/>
  <c r="R1472" i="5"/>
  <c r="Q1472" i="5"/>
  <c r="N1472" i="5"/>
  <c r="M1472" i="5"/>
  <c r="L1472" i="5"/>
  <c r="C1472" i="5"/>
  <c r="B1472" i="5"/>
  <c r="T1471" i="5"/>
  <c r="S1471" i="5"/>
  <c r="R1471" i="5"/>
  <c r="Q1471" i="5"/>
  <c r="N1471" i="5"/>
  <c r="M1471" i="5"/>
  <c r="L1471" i="5"/>
  <c r="C1471" i="5"/>
  <c r="B1471" i="5"/>
  <c r="T1470" i="5"/>
  <c r="S1470" i="5"/>
  <c r="R1470" i="5"/>
  <c r="Q1470" i="5"/>
  <c r="M1470" i="5"/>
  <c r="L1470" i="5"/>
  <c r="C1470" i="5"/>
  <c r="N1470" i="5" s="1"/>
  <c r="B1470" i="5"/>
  <c r="T1469" i="5"/>
  <c r="S1469" i="5"/>
  <c r="R1469" i="5"/>
  <c r="Q1469" i="5"/>
  <c r="N1469" i="5"/>
  <c r="M1469" i="5"/>
  <c r="L1469" i="5"/>
  <c r="C1469" i="5"/>
  <c r="B1469" i="5"/>
  <c r="T1468" i="5"/>
  <c r="S1468" i="5"/>
  <c r="R1468" i="5"/>
  <c r="Q1468" i="5"/>
  <c r="M1468" i="5"/>
  <c r="L1468" i="5"/>
  <c r="C1468" i="5"/>
  <c r="N1468" i="5" s="1"/>
  <c r="B1468" i="5"/>
  <c r="T1467" i="5"/>
  <c r="S1467" i="5"/>
  <c r="R1467" i="5"/>
  <c r="Q1467" i="5"/>
  <c r="M1467" i="5"/>
  <c r="L1467" i="5"/>
  <c r="C1467" i="5"/>
  <c r="N1467" i="5" s="1"/>
  <c r="B1467" i="5"/>
  <c r="T1466" i="5"/>
  <c r="S1466" i="5"/>
  <c r="R1466" i="5"/>
  <c r="Q1466" i="5"/>
  <c r="M1466" i="5"/>
  <c r="L1466" i="5"/>
  <c r="C1466" i="5"/>
  <c r="N1466" i="5" s="1"/>
  <c r="B1466" i="5"/>
  <c r="T1465" i="5"/>
  <c r="S1465" i="5"/>
  <c r="R1465" i="5"/>
  <c r="Q1465" i="5"/>
  <c r="M1465" i="5"/>
  <c r="L1465" i="5"/>
  <c r="C1465" i="5"/>
  <c r="N1465" i="5" s="1"/>
  <c r="B1465" i="5"/>
  <c r="T1464" i="5"/>
  <c r="S1464" i="5"/>
  <c r="R1464" i="5"/>
  <c r="Q1464" i="5"/>
  <c r="N1464" i="5"/>
  <c r="M1464" i="5"/>
  <c r="L1464" i="5"/>
  <c r="C1464" i="5"/>
  <c r="B1464" i="5"/>
  <c r="T1463" i="5"/>
  <c r="S1463" i="5"/>
  <c r="R1463" i="5"/>
  <c r="Q1463" i="5"/>
  <c r="N1463" i="5"/>
  <c r="M1463" i="5"/>
  <c r="L1463" i="5"/>
  <c r="C1463" i="5"/>
  <c r="B1463" i="5"/>
  <c r="T1462" i="5"/>
  <c r="S1462" i="5"/>
  <c r="R1462" i="5"/>
  <c r="Q1462" i="5"/>
  <c r="N1462" i="5"/>
  <c r="M1462" i="5"/>
  <c r="L1462" i="5"/>
  <c r="C1462" i="5"/>
  <c r="B1462" i="5"/>
  <c r="T1461" i="5"/>
  <c r="S1461" i="5"/>
  <c r="R1461" i="5"/>
  <c r="Q1461" i="5"/>
  <c r="N1461" i="5"/>
  <c r="M1461" i="5"/>
  <c r="L1461" i="5"/>
  <c r="C1461" i="5"/>
  <c r="B1461" i="5"/>
  <c r="T1460" i="5"/>
  <c r="S1460" i="5"/>
  <c r="R1460" i="5"/>
  <c r="Q1460" i="5"/>
  <c r="N1460" i="5"/>
  <c r="M1460" i="5"/>
  <c r="L1460" i="5"/>
  <c r="C1460" i="5"/>
  <c r="B1460" i="5"/>
  <c r="T1459" i="5"/>
  <c r="S1459" i="5"/>
  <c r="R1459" i="5"/>
  <c r="Q1459" i="5"/>
  <c r="N1459" i="5"/>
  <c r="M1459" i="5"/>
  <c r="L1459" i="5"/>
  <c r="C1459" i="5"/>
  <c r="B1459" i="5"/>
  <c r="T1458" i="5"/>
  <c r="S1458" i="5"/>
  <c r="R1458" i="5"/>
  <c r="Q1458" i="5"/>
  <c r="N1458" i="5"/>
  <c r="M1458" i="5"/>
  <c r="L1458" i="5"/>
  <c r="C1458" i="5"/>
  <c r="B1458" i="5"/>
  <c r="T1457" i="5"/>
  <c r="S1457" i="5"/>
  <c r="R1457" i="5"/>
  <c r="Q1457" i="5"/>
  <c r="M1457" i="5"/>
  <c r="L1457" i="5"/>
  <c r="C1457" i="5"/>
  <c r="N1457" i="5" s="1"/>
  <c r="B1457" i="5"/>
  <c r="T1456" i="5"/>
  <c r="S1456" i="5"/>
  <c r="R1456" i="5"/>
  <c r="Q1456" i="5"/>
  <c r="M1456" i="5"/>
  <c r="L1456" i="5"/>
  <c r="C1456" i="5"/>
  <c r="N1456" i="5" s="1"/>
  <c r="B1456" i="5"/>
  <c r="T1455" i="5"/>
  <c r="S1455" i="5"/>
  <c r="R1455" i="5"/>
  <c r="Q1455" i="5"/>
  <c r="M1455" i="5"/>
  <c r="L1455" i="5"/>
  <c r="C1455" i="5"/>
  <c r="N1455" i="5" s="1"/>
  <c r="B1455" i="5"/>
  <c r="T1454" i="5"/>
  <c r="S1454" i="5"/>
  <c r="R1454" i="5"/>
  <c r="Q1454" i="5"/>
  <c r="N1454" i="5"/>
  <c r="M1454" i="5"/>
  <c r="L1454" i="5"/>
  <c r="C1454" i="5"/>
  <c r="B1454" i="5"/>
  <c r="T1453" i="5"/>
  <c r="S1453" i="5"/>
  <c r="R1453" i="5"/>
  <c r="Q1453" i="5"/>
  <c r="N1453" i="5"/>
  <c r="M1453" i="5"/>
  <c r="L1453" i="5"/>
  <c r="C1453" i="5"/>
  <c r="B1453" i="5"/>
  <c r="T1452" i="5"/>
  <c r="S1452" i="5"/>
  <c r="R1452" i="5"/>
  <c r="Q1452" i="5"/>
  <c r="N1452" i="5"/>
  <c r="M1452" i="5"/>
  <c r="L1452" i="5"/>
  <c r="C1452" i="5"/>
  <c r="B1452" i="5"/>
  <c r="T1451" i="5"/>
  <c r="S1451" i="5"/>
  <c r="R1451" i="5"/>
  <c r="Q1451" i="5"/>
  <c r="N1451" i="5"/>
  <c r="M1451" i="5"/>
  <c r="L1451" i="5"/>
  <c r="C1451" i="5"/>
  <c r="B1451" i="5"/>
  <c r="T1450" i="5"/>
  <c r="S1450" i="5"/>
  <c r="R1450" i="5"/>
  <c r="Q1450" i="5"/>
  <c r="N1450" i="5"/>
  <c r="M1450" i="5"/>
  <c r="L1450" i="5"/>
  <c r="C1450" i="5"/>
  <c r="B1450" i="5"/>
  <c r="T1449" i="5"/>
  <c r="S1449" i="5"/>
  <c r="R1449" i="5"/>
  <c r="Q1449" i="5"/>
  <c r="N1449" i="5"/>
  <c r="M1449" i="5"/>
  <c r="L1449" i="5"/>
  <c r="C1449" i="5"/>
  <c r="B1449" i="5"/>
  <c r="T1448" i="5"/>
  <c r="S1448" i="5"/>
  <c r="R1448" i="5"/>
  <c r="Q1448" i="5"/>
  <c r="M1448" i="5"/>
  <c r="L1448" i="5"/>
  <c r="C1448" i="5"/>
  <c r="N1448" i="5" s="1"/>
  <c r="B1448" i="5"/>
  <c r="T1447" i="5"/>
  <c r="S1447" i="5"/>
  <c r="R1447" i="5"/>
  <c r="Q1447" i="5"/>
  <c r="M1447" i="5"/>
  <c r="L1447" i="5"/>
  <c r="C1447" i="5"/>
  <c r="N1447" i="5" s="1"/>
  <c r="B1447" i="5"/>
  <c r="T1446" i="5"/>
  <c r="S1446" i="5"/>
  <c r="R1446" i="5"/>
  <c r="Q1446" i="5"/>
  <c r="M1446" i="5"/>
  <c r="L1446" i="5"/>
  <c r="C1446" i="5"/>
  <c r="N1446" i="5" s="1"/>
  <c r="B1446" i="5"/>
  <c r="T1445" i="5"/>
  <c r="S1445" i="5"/>
  <c r="R1445" i="5"/>
  <c r="Q1445" i="5"/>
  <c r="M1445" i="5"/>
  <c r="L1445" i="5"/>
  <c r="C1445" i="5"/>
  <c r="N1445" i="5" s="1"/>
  <c r="B1445" i="5"/>
  <c r="T1444" i="5"/>
  <c r="S1444" i="5"/>
  <c r="R1444" i="5"/>
  <c r="Q1444" i="5"/>
  <c r="N1444" i="5"/>
  <c r="M1444" i="5"/>
  <c r="L1444" i="5"/>
  <c r="C1444" i="5"/>
  <c r="B1444" i="5"/>
  <c r="T1443" i="5"/>
  <c r="S1443" i="5"/>
  <c r="R1443" i="5"/>
  <c r="Q1443" i="5"/>
  <c r="N1443" i="5"/>
  <c r="M1443" i="5"/>
  <c r="L1443" i="5"/>
  <c r="C1443" i="5"/>
  <c r="B1443" i="5"/>
  <c r="T1442" i="5"/>
  <c r="S1442" i="5"/>
  <c r="R1442" i="5"/>
  <c r="Q1442" i="5"/>
  <c r="N1442" i="5"/>
  <c r="M1442" i="5"/>
  <c r="L1442" i="5"/>
  <c r="C1442" i="5"/>
  <c r="B1442" i="5"/>
  <c r="T1441" i="5"/>
  <c r="S1441" i="5"/>
  <c r="R1441" i="5"/>
  <c r="Q1441" i="5"/>
  <c r="N1441" i="5"/>
  <c r="M1441" i="5"/>
  <c r="L1441" i="5"/>
  <c r="C1441" i="5"/>
  <c r="B1441" i="5"/>
  <c r="T1440" i="5"/>
  <c r="S1440" i="5"/>
  <c r="R1440" i="5"/>
  <c r="Q1440" i="5"/>
  <c r="M1440" i="5"/>
  <c r="L1440" i="5"/>
  <c r="C1440" i="5"/>
  <c r="N1440" i="5" s="1"/>
  <c r="B1440" i="5"/>
  <c r="T1439" i="5"/>
  <c r="S1439" i="5"/>
  <c r="R1439" i="5"/>
  <c r="Q1439" i="5"/>
  <c r="N1439" i="5"/>
  <c r="M1439" i="5"/>
  <c r="L1439" i="5"/>
  <c r="C1439" i="5"/>
  <c r="B1439" i="5"/>
  <c r="T1438" i="5"/>
  <c r="S1438" i="5"/>
  <c r="R1438" i="5"/>
  <c r="Q1438" i="5"/>
  <c r="M1438" i="5"/>
  <c r="L1438" i="5"/>
  <c r="C1438" i="5"/>
  <c r="N1438" i="5" s="1"/>
  <c r="B1438" i="5"/>
  <c r="T1437" i="5"/>
  <c r="S1437" i="5"/>
  <c r="R1437" i="5"/>
  <c r="Q1437" i="5"/>
  <c r="M1437" i="5"/>
  <c r="L1437" i="5"/>
  <c r="C1437" i="5"/>
  <c r="N1437" i="5" s="1"/>
  <c r="B1437" i="5"/>
  <c r="T1436" i="5"/>
  <c r="S1436" i="5"/>
  <c r="R1436" i="5"/>
  <c r="Q1436" i="5"/>
  <c r="M1436" i="5"/>
  <c r="L1436" i="5"/>
  <c r="C1436" i="5"/>
  <c r="N1436" i="5" s="1"/>
  <c r="B1436" i="5"/>
  <c r="T1435" i="5"/>
  <c r="S1435" i="5"/>
  <c r="R1435" i="5"/>
  <c r="Q1435" i="5"/>
  <c r="M1435" i="5"/>
  <c r="L1435" i="5"/>
  <c r="C1435" i="5"/>
  <c r="N1435" i="5" s="1"/>
  <c r="B1435" i="5"/>
  <c r="T1434" i="5"/>
  <c r="S1434" i="5"/>
  <c r="R1434" i="5"/>
  <c r="Q1434" i="5"/>
  <c r="N1434" i="5"/>
  <c r="M1434" i="5"/>
  <c r="L1434" i="5"/>
  <c r="C1434" i="5"/>
  <c r="B1434" i="5"/>
  <c r="T1433" i="5"/>
  <c r="S1433" i="5"/>
  <c r="R1433" i="5"/>
  <c r="Q1433" i="5"/>
  <c r="N1433" i="5"/>
  <c r="M1433" i="5"/>
  <c r="L1433" i="5"/>
  <c r="C1433" i="5"/>
  <c r="B1433" i="5"/>
  <c r="T1432" i="5"/>
  <c r="S1432" i="5"/>
  <c r="R1432" i="5"/>
  <c r="Q1432" i="5"/>
  <c r="N1432" i="5"/>
  <c r="M1432" i="5"/>
  <c r="L1432" i="5"/>
  <c r="C1432" i="5"/>
  <c r="B1432" i="5"/>
  <c r="T1431" i="5"/>
  <c r="S1431" i="5"/>
  <c r="R1431" i="5"/>
  <c r="Q1431" i="5"/>
  <c r="N1431" i="5"/>
  <c r="M1431" i="5"/>
  <c r="L1431" i="5"/>
  <c r="C1431" i="5"/>
  <c r="B1431" i="5"/>
  <c r="T1430" i="5"/>
  <c r="S1430" i="5"/>
  <c r="R1430" i="5"/>
  <c r="Q1430" i="5"/>
  <c r="M1430" i="5"/>
  <c r="L1430" i="5"/>
  <c r="C1430" i="5"/>
  <c r="N1430" i="5" s="1"/>
  <c r="B1430" i="5"/>
  <c r="T1429" i="5"/>
  <c r="S1429" i="5"/>
  <c r="R1429" i="5"/>
  <c r="Q1429" i="5"/>
  <c r="N1429" i="5"/>
  <c r="M1429" i="5"/>
  <c r="L1429" i="5"/>
  <c r="C1429" i="5"/>
  <c r="B1429" i="5"/>
  <c r="T1428" i="5"/>
  <c r="S1428" i="5"/>
  <c r="R1428" i="5"/>
  <c r="Q1428" i="5"/>
  <c r="N1428" i="5"/>
  <c r="M1428" i="5"/>
  <c r="L1428" i="5"/>
  <c r="C1428" i="5"/>
  <c r="B1428" i="5"/>
  <c r="T1427" i="5"/>
  <c r="S1427" i="5"/>
  <c r="R1427" i="5"/>
  <c r="Q1427" i="5"/>
  <c r="M1427" i="5"/>
  <c r="L1427" i="5"/>
  <c r="C1427" i="5"/>
  <c r="N1427" i="5" s="1"/>
  <c r="B1427" i="5"/>
  <c r="T1426" i="5"/>
  <c r="S1426" i="5"/>
  <c r="R1426" i="5"/>
  <c r="Q1426" i="5"/>
  <c r="M1426" i="5"/>
  <c r="L1426" i="5"/>
  <c r="C1426" i="5"/>
  <c r="N1426" i="5" s="1"/>
  <c r="B1426" i="5"/>
  <c r="T1425" i="5"/>
  <c r="S1425" i="5"/>
  <c r="R1425" i="5"/>
  <c r="Q1425" i="5"/>
  <c r="M1425" i="5"/>
  <c r="L1425" i="5"/>
  <c r="C1425" i="5"/>
  <c r="N1425" i="5" s="1"/>
  <c r="B1425" i="5"/>
  <c r="T1424" i="5"/>
  <c r="S1424" i="5"/>
  <c r="R1424" i="5"/>
  <c r="Q1424" i="5"/>
  <c r="N1424" i="5"/>
  <c r="M1424" i="5"/>
  <c r="L1424" i="5"/>
  <c r="C1424" i="5"/>
  <c r="B1424" i="5"/>
  <c r="T1423" i="5"/>
  <c r="S1423" i="5"/>
  <c r="R1423" i="5"/>
  <c r="Q1423" i="5"/>
  <c r="N1423" i="5"/>
  <c r="M1423" i="5"/>
  <c r="L1423" i="5"/>
  <c r="C1423" i="5"/>
  <c r="B1423" i="5"/>
  <c r="T1422" i="5"/>
  <c r="S1422" i="5"/>
  <c r="R1422" i="5"/>
  <c r="Q1422" i="5"/>
  <c r="N1422" i="5"/>
  <c r="M1422" i="5"/>
  <c r="L1422" i="5"/>
  <c r="C1422" i="5"/>
  <c r="B1422" i="5"/>
  <c r="T1421" i="5"/>
  <c r="S1421" i="5"/>
  <c r="R1421" i="5"/>
  <c r="Q1421" i="5"/>
  <c r="N1421" i="5"/>
  <c r="M1421" i="5"/>
  <c r="L1421" i="5"/>
  <c r="C1421" i="5"/>
  <c r="B1421" i="5"/>
  <c r="T1420" i="5"/>
  <c r="S1420" i="5"/>
  <c r="R1420" i="5"/>
  <c r="Q1420" i="5"/>
  <c r="N1420" i="5"/>
  <c r="M1420" i="5"/>
  <c r="L1420" i="5"/>
  <c r="C1420" i="5"/>
  <c r="B1420" i="5"/>
  <c r="T1419" i="5"/>
  <c r="S1419" i="5"/>
  <c r="R1419" i="5"/>
  <c r="Q1419" i="5"/>
  <c r="N1419" i="5"/>
  <c r="M1419" i="5"/>
  <c r="L1419" i="5"/>
  <c r="C1419" i="5"/>
  <c r="B1419" i="5"/>
  <c r="T1418" i="5"/>
  <c r="S1418" i="5"/>
  <c r="R1418" i="5"/>
  <c r="Q1418" i="5"/>
  <c r="M1418" i="5"/>
  <c r="L1418" i="5"/>
  <c r="C1418" i="5"/>
  <c r="N1418" i="5" s="1"/>
  <c r="B1418" i="5"/>
  <c r="T1417" i="5"/>
  <c r="S1417" i="5"/>
  <c r="R1417" i="5"/>
  <c r="Q1417" i="5"/>
  <c r="M1417" i="5"/>
  <c r="L1417" i="5"/>
  <c r="C1417" i="5"/>
  <c r="N1417" i="5" s="1"/>
  <c r="B1417" i="5"/>
  <c r="T1416" i="5"/>
  <c r="S1416" i="5"/>
  <c r="R1416" i="5"/>
  <c r="Q1416" i="5"/>
  <c r="M1416" i="5"/>
  <c r="L1416" i="5"/>
  <c r="C1416" i="5"/>
  <c r="N1416" i="5" s="1"/>
  <c r="B1416" i="5"/>
  <c r="T1415" i="5"/>
  <c r="S1415" i="5"/>
  <c r="R1415" i="5"/>
  <c r="Q1415" i="5"/>
  <c r="M1415" i="5"/>
  <c r="L1415" i="5"/>
  <c r="C1415" i="5"/>
  <c r="N1415" i="5" s="1"/>
  <c r="B1415" i="5"/>
  <c r="T1414" i="5"/>
  <c r="S1414" i="5"/>
  <c r="R1414" i="5"/>
  <c r="Q1414" i="5"/>
  <c r="N1414" i="5"/>
  <c r="M1414" i="5"/>
  <c r="L1414" i="5"/>
  <c r="C1414" i="5"/>
  <c r="B1414" i="5"/>
  <c r="T1413" i="5"/>
  <c r="S1413" i="5"/>
  <c r="R1413" i="5"/>
  <c r="Q1413" i="5"/>
  <c r="N1413" i="5"/>
  <c r="M1413" i="5"/>
  <c r="L1413" i="5"/>
  <c r="C1413" i="5"/>
  <c r="B1413" i="5"/>
  <c r="T1412" i="5"/>
  <c r="S1412" i="5"/>
  <c r="R1412" i="5"/>
  <c r="Q1412" i="5"/>
  <c r="N1412" i="5"/>
  <c r="M1412" i="5"/>
  <c r="L1412" i="5"/>
  <c r="C1412" i="5"/>
  <c r="B1412" i="5"/>
  <c r="T1411" i="5"/>
  <c r="S1411" i="5"/>
  <c r="R1411" i="5"/>
  <c r="Q1411" i="5"/>
  <c r="N1411" i="5"/>
  <c r="M1411" i="5"/>
  <c r="L1411" i="5"/>
  <c r="C1411" i="5"/>
  <c r="B1411" i="5"/>
  <c r="T1410" i="5"/>
  <c r="S1410" i="5"/>
  <c r="R1410" i="5"/>
  <c r="Q1410" i="5"/>
  <c r="M1410" i="5"/>
  <c r="L1410" i="5"/>
  <c r="C1410" i="5"/>
  <c r="N1410" i="5" s="1"/>
  <c r="B1410" i="5"/>
  <c r="T1409" i="5"/>
  <c r="S1409" i="5"/>
  <c r="R1409" i="5"/>
  <c r="Q1409" i="5"/>
  <c r="N1409" i="5"/>
  <c r="M1409" i="5"/>
  <c r="L1409" i="5"/>
  <c r="C1409" i="5"/>
  <c r="B1409" i="5"/>
  <c r="T1408" i="5"/>
  <c r="S1408" i="5"/>
  <c r="R1408" i="5"/>
  <c r="Q1408" i="5"/>
  <c r="M1408" i="5"/>
  <c r="L1408" i="5"/>
  <c r="C1408" i="5"/>
  <c r="N1408" i="5" s="1"/>
  <c r="B1408" i="5"/>
  <c r="T1407" i="5"/>
  <c r="S1407" i="5"/>
  <c r="R1407" i="5"/>
  <c r="Q1407" i="5"/>
  <c r="M1407" i="5"/>
  <c r="L1407" i="5"/>
  <c r="C1407" i="5"/>
  <c r="N1407" i="5" s="1"/>
  <c r="B1407" i="5"/>
  <c r="T1406" i="5"/>
  <c r="S1406" i="5"/>
  <c r="R1406" i="5"/>
  <c r="Q1406" i="5"/>
  <c r="M1406" i="5"/>
  <c r="L1406" i="5"/>
  <c r="C1406" i="5"/>
  <c r="N1406" i="5" s="1"/>
  <c r="B1406" i="5"/>
  <c r="T1405" i="5"/>
  <c r="S1405" i="5"/>
  <c r="R1405" i="5"/>
  <c r="Q1405" i="5"/>
  <c r="M1405" i="5"/>
  <c r="L1405" i="5"/>
  <c r="C1405" i="5"/>
  <c r="N1405" i="5" s="1"/>
  <c r="B1405" i="5"/>
  <c r="T1404" i="5"/>
  <c r="S1404" i="5"/>
  <c r="R1404" i="5"/>
  <c r="Q1404" i="5"/>
  <c r="N1404" i="5"/>
  <c r="M1404" i="5"/>
  <c r="L1404" i="5"/>
  <c r="C1404" i="5"/>
  <c r="B1404" i="5"/>
  <c r="T1403" i="5"/>
  <c r="S1403" i="5"/>
  <c r="R1403" i="5"/>
  <c r="Q1403" i="5"/>
  <c r="N1403" i="5"/>
  <c r="M1403" i="5"/>
  <c r="L1403" i="5"/>
  <c r="C1403" i="5"/>
  <c r="B1403" i="5"/>
  <c r="T1402" i="5"/>
  <c r="S1402" i="5"/>
  <c r="R1402" i="5"/>
  <c r="Q1402" i="5"/>
  <c r="N1402" i="5"/>
  <c r="M1402" i="5"/>
  <c r="L1402" i="5"/>
  <c r="C1402" i="5"/>
  <c r="B1402" i="5"/>
  <c r="T1401" i="5"/>
  <c r="S1401" i="5"/>
  <c r="R1401" i="5"/>
  <c r="Q1401" i="5"/>
  <c r="N1401" i="5"/>
  <c r="M1401" i="5"/>
  <c r="L1401" i="5"/>
  <c r="C1401" i="5"/>
  <c r="B1401" i="5"/>
  <c r="T1400" i="5"/>
  <c r="S1400" i="5"/>
  <c r="R1400" i="5"/>
  <c r="Q1400" i="5"/>
  <c r="M1400" i="5"/>
  <c r="L1400" i="5"/>
  <c r="C1400" i="5"/>
  <c r="N1400" i="5" s="1"/>
  <c r="B1400" i="5"/>
  <c r="T1399" i="5"/>
  <c r="S1399" i="5"/>
  <c r="R1399" i="5"/>
  <c r="Q1399" i="5"/>
  <c r="N1399" i="5"/>
  <c r="M1399" i="5"/>
  <c r="L1399" i="5"/>
  <c r="C1399" i="5"/>
  <c r="B1399" i="5"/>
  <c r="T1398" i="5"/>
  <c r="S1398" i="5"/>
  <c r="R1398" i="5"/>
  <c r="Q1398" i="5"/>
  <c r="M1398" i="5"/>
  <c r="L1398" i="5"/>
  <c r="C1398" i="5"/>
  <c r="N1398" i="5" s="1"/>
  <c r="B1398" i="5"/>
  <c r="T1397" i="5"/>
  <c r="S1397" i="5"/>
  <c r="R1397" i="5"/>
  <c r="Q1397" i="5"/>
  <c r="M1397" i="5"/>
  <c r="L1397" i="5"/>
  <c r="C1397" i="5"/>
  <c r="N1397" i="5" s="1"/>
  <c r="B1397" i="5"/>
  <c r="T1396" i="5"/>
  <c r="S1396" i="5"/>
  <c r="R1396" i="5"/>
  <c r="Q1396" i="5"/>
  <c r="M1396" i="5"/>
  <c r="L1396" i="5"/>
  <c r="C1396" i="5"/>
  <c r="N1396" i="5" s="1"/>
  <c r="B1396" i="5"/>
  <c r="T1395" i="5"/>
  <c r="S1395" i="5"/>
  <c r="R1395" i="5"/>
  <c r="Q1395" i="5"/>
  <c r="M1395" i="5"/>
  <c r="L1395" i="5"/>
  <c r="C1395" i="5"/>
  <c r="N1395" i="5" s="1"/>
  <c r="B1395" i="5"/>
  <c r="T1394" i="5"/>
  <c r="S1394" i="5"/>
  <c r="R1394" i="5"/>
  <c r="Q1394" i="5"/>
  <c r="N1394" i="5"/>
  <c r="M1394" i="5"/>
  <c r="L1394" i="5"/>
  <c r="C1394" i="5"/>
  <c r="B1394" i="5"/>
  <c r="T1393" i="5"/>
  <c r="S1393" i="5"/>
  <c r="R1393" i="5"/>
  <c r="Q1393" i="5"/>
  <c r="N1393" i="5"/>
  <c r="M1393" i="5"/>
  <c r="L1393" i="5"/>
  <c r="C1393" i="5"/>
  <c r="B1393" i="5"/>
  <c r="T1392" i="5"/>
  <c r="S1392" i="5"/>
  <c r="R1392" i="5"/>
  <c r="Q1392" i="5"/>
  <c r="N1392" i="5"/>
  <c r="M1392" i="5"/>
  <c r="L1392" i="5"/>
  <c r="C1392" i="5"/>
  <c r="B1392" i="5"/>
  <c r="T1391" i="5"/>
  <c r="S1391" i="5"/>
  <c r="R1391" i="5"/>
  <c r="Q1391" i="5"/>
  <c r="N1391" i="5"/>
  <c r="M1391" i="5"/>
  <c r="L1391" i="5"/>
  <c r="C1391" i="5"/>
  <c r="B1391" i="5"/>
  <c r="T1390" i="5"/>
  <c r="S1390" i="5"/>
  <c r="R1390" i="5"/>
  <c r="Q1390" i="5"/>
  <c r="N1390" i="5"/>
  <c r="M1390" i="5"/>
  <c r="L1390" i="5"/>
  <c r="C1390" i="5"/>
  <c r="B1390" i="5"/>
  <c r="T1389" i="5"/>
  <c r="S1389" i="5"/>
  <c r="R1389" i="5"/>
  <c r="Q1389" i="5"/>
  <c r="N1389" i="5"/>
  <c r="M1389" i="5"/>
  <c r="L1389" i="5"/>
  <c r="C1389" i="5"/>
  <c r="B1389" i="5"/>
  <c r="T1388" i="5"/>
  <c r="S1388" i="5"/>
  <c r="R1388" i="5"/>
  <c r="Q1388" i="5"/>
  <c r="N1388" i="5"/>
  <c r="M1388" i="5"/>
  <c r="L1388" i="5"/>
  <c r="C1388" i="5"/>
  <c r="B1388" i="5"/>
  <c r="T1387" i="5"/>
  <c r="S1387" i="5"/>
  <c r="R1387" i="5"/>
  <c r="Q1387" i="5"/>
  <c r="M1387" i="5"/>
  <c r="L1387" i="5"/>
  <c r="C1387" i="5"/>
  <c r="N1387" i="5" s="1"/>
  <c r="B1387" i="5"/>
  <c r="T1386" i="5"/>
  <c r="S1386" i="5"/>
  <c r="R1386" i="5"/>
  <c r="Q1386" i="5"/>
  <c r="M1386" i="5"/>
  <c r="L1386" i="5"/>
  <c r="C1386" i="5"/>
  <c r="N1386" i="5" s="1"/>
  <c r="B1386" i="5"/>
  <c r="T1385" i="5"/>
  <c r="S1385" i="5"/>
  <c r="R1385" i="5"/>
  <c r="Q1385" i="5"/>
  <c r="M1385" i="5"/>
  <c r="L1385" i="5"/>
  <c r="C1385" i="5"/>
  <c r="N1385" i="5" s="1"/>
  <c r="B1385" i="5"/>
  <c r="T1384" i="5"/>
  <c r="S1384" i="5"/>
  <c r="R1384" i="5"/>
  <c r="Q1384" i="5"/>
  <c r="N1384" i="5"/>
  <c r="M1384" i="5"/>
  <c r="L1384" i="5"/>
  <c r="C1384" i="5"/>
  <c r="B1384" i="5"/>
  <c r="T1383" i="5"/>
  <c r="S1383" i="5"/>
  <c r="R1383" i="5"/>
  <c r="Q1383" i="5"/>
  <c r="N1383" i="5"/>
  <c r="M1383" i="5"/>
  <c r="L1383" i="5"/>
  <c r="C1383" i="5"/>
  <c r="B1383" i="5"/>
  <c r="T1382" i="5"/>
  <c r="S1382" i="5"/>
  <c r="R1382" i="5"/>
  <c r="Q1382" i="5"/>
  <c r="N1382" i="5"/>
  <c r="M1382" i="5"/>
  <c r="L1382" i="5"/>
  <c r="C1382" i="5"/>
  <c r="B1382" i="5"/>
  <c r="T1381" i="5"/>
  <c r="S1381" i="5"/>
  <c r="R1381" i="5"/>
  <c r="Q1381" i="5"/>
  <c r="N1381" i="5"/>
  <c r="M1381" i="5"/>
  <c r="L1381" i="5"/>
  <c r="C1381" i="5"/>
  <c r="B1381" i="5"/>
  <c r="T1380" i="5"/>
  <c r="S1380" i="5"/>
  <c r="R1380" i="5"/>
  <c r="Q1380" i="5"/>
  <c r="M1380" i="5"/>
  <c r="L1380" i="5"/>
  <c r="C1380" i="5"/>
  <c r="N1380" i="5" s="1"/>
  <c r="B1380" i="5"/>
  <c r="T1379" i="5"/>
  <c r="S1379" i="5"/>
  <c r="R1379" i="5"/>
  <c r="Q1379" i="5"/>
  <c r="N1379" i="5"/>
  <c r="M1379" i="5"/>
  <c r="L1379" i="5"/>
  <c r="C1379" i="5"/>
  <c r="B1379" i="5"/>
  <c r="T1378" i="5"/>
  <c r="S1378" i="5"/>
  <c r="R1378" i="5"/>
  <c r="Q1378" i="5"/>
  <c r="M1378" i="5"/>
  <c r="L1378" i="5"/>
  <c r="C1378" i="5"/>
  <c r="N1378" i="5" s="1"/>
  <c r="B1378" i="5"/>
  <c r="T1377" i="5"/>
  <c r="S1377" i="5"/>
  <c r="R1377" i="5"/>
  <c r="Q1377" i="5"/>
  <c r="M1377" i="5"/>
  <c r="L1377" i="5"/>
  <c r="C1377" i="5"/>
  <c r="N1377" i="5" s="1"/>
  <c r="B1377" i="5"/>
  <c r="T1376" i="5"/>
  <c r="S1376" i="5"/>
  <c r="R1376" i="5"/>
  <c r="Q1376" i="5"/>
  <c r="M1376" i="5"/>
  <c r="L1376" i="5"/>
  <c r="C1376" i="5"/>
  <c r="N1376" i="5" s="1"/>
  <c r="B1376" i="5"/>
  <c r="T1375" i="5"/>
  <c r="S1375" i="5"/>
  <c r="R1375" i="5"/>
  <c r="Q1375" i="5"/>
  <c r="M1375" i="5"/>
  <c r="L1375" i="5"/>
  <c r="C1375" i="5"/>
  <c r="N1375" i="5" s="1"/>
  <c r="B1375" i="5"/>
  <c r="T1374" i="5"/>
  <c r="S1374" i="5"/>
  <c r="R1374" i="5"/>
  <c r="Q1374" i="5"/>
  <c r="N1374" i="5"/>
  <c r="M1374" i="5"/>
  <c r="L1374" i="5"/>
  <c r="C1374" i="5"/>
  <c r="B1374" i="5"/>
  <c r="T1373" i="5"/>
  <c r="S1373" i="5"/>
  <c r="R1373" i="5"/>
  <c r="Q1373" i="5"/>
  <c r="N1373" i="5"/>
  <c r="M1373" i="5"/>
  <c r="L1373" i="5"/>
  <c r="C1373" i="5"/>
  <c r="B1373" i="5"/>
  <c r="T1372" i="5"/>
  <c r="S1372" i="5"/>
  <c r="R1372" i="5"/>
  <c r="Q1372" i="5"/>
  <c r="N1372" i="5"/>
  <c r="M1372" i="5"/>
  <c r="L1372" i="5"/>
  <c r="C1372" i="5"/>
  <c r="B1372" i="5"/>
  <c r="T1371" i="5"/>
  <c r="S1371" i="5"/>
  <c r="R1371" i="5"/>
  <c r="Q1371" i="5"/>
  <c r="N1371" i="5"/>
  <c r="M1371" i="5"/>
  <c r="L1371" i="5"/>
  <c r="C1371" i="5"/>
  <c r="B1371" i="5"/>
  <c r="T1370" i="5"/>
  <c r="S1370" i="5"/>
  <c r="R1370" i="5"/>
  <c r="Q1370" i="5"/>
  <c r="M1370" i="5"/>
  <c r="L1370" i="5"/>
  <c r="C1370" i="5"/>
  <c r="N1370" i="5" s="1"/>
  <c r="B1370" i="5"/>
  <c r="T1369" i="5"/>
  <c r="S1369" i="5"/>
  <c r="R1369" i="5"/>
  <c r="Q1369" i="5"/>
  <c r="N1369" i="5"/>
  <c r="M1369" i="5"/>
  <c r="L1369" i="5"/>
  <c r="C1369" i="5"/>
  <c r="B1369" i="5"/>
  <c r="T1368" i="5"/>
  <c r="S1368" i="5"/>
  <c r="R1368" i="5"/>
  <c r="Q1368" i="5"/>
  <c r="M1368" i="5"/>
  <c r="L1368" i="5"/>
  <c r="C1368" i="5"/>
  <c r="N1368" i="5" s="1"/>
  <c r="B1368" i="5"/>
  <c r="T1367" i="5"/>
  <c r="S1367" i="5"/>
  <c r="R1367" i="5"/>
  <c r="Q1367" i="5"/>
  <c r="M1367" i="5"/>
  <c r="L1367" i="5"/>
  <c r="C1367" i="5"/>
  <c r="N1367" i="5" s="1"/>
  <c r="B1367" i="5"/>
  <c r="T1366" i="5"/>
  <c r="S1366" i="5"/>
  <c r="R1366" i="5"/>
  <c r="Q1366" i="5"/>
  <c r="M1366" i="5"/>
  <c r="L1366" i="5"/>
  <c r="C1366" i="5"/>
  <c r="N1366" i="5" s="1"/>
  <c r="B1366" i="5"/>
  <c r="T1365" i="5"/>
  <c r="S1365" i="5"/>
  <c r="R1365" i="5"/>
  <c r="Q1365" i="5"/>
  <c r="M1365" i="5"/>
  <c r="L1365" i="5"/>
  <c r="C1365" i="5"/>
  <c r="N1365" i="5" s="1"/>
  <c r="B1365" i="5"/>
  <c r="T1364" i="5"/>
  <c r="S1364" i="5"/>
  <c r="R1364" i="5"/>
  <c r="Q1364" i="5"/>
  <c r="N1364" i="5"/>
  <c r="M1364" i="5"/>
  <c r="L1364" i="5"/>
  <c r="C1364" i="5"/>
  <c r="B1364" i="5"/>
  <c r="T1363" i="5"/>
  <c r="S1363" i="5"/>
  <c r="R1363" i="5"/>
  <c r="Q1363" i="5"/>
  <c r="N1363" i="5"/>
  <c r="M1363" i="5"/>
  <c r="L1363" i="5"/>
  <c r="C1363" i="5"/>
  <c r="B1363" i="5"/>
  <c r="T1362" i="5"/>
  <c r="S1362" i="5"/>
  <c r="R1362" i="5"/>
  <c r="Q1362" i="5"/>
  <c r="N1362" i="5"/>
  <c r="M1362" i="5"/>
  <c r="L1362" i="5"/>
  <c r="C1362" i="5"/>
  <c r="B1362" i="5"/>
  <c r="T1361" i="5"/>
  <c r="S1361" i="5"/>
  <c r="R1361" i="5"/>
  <c r="Q1361" i="5"/>
  <c r="N1361" i="5"/>
  <c r="M1361" i="5"/>
  <c r="L1361" i="5"/>
  <c r="C1361" i="5"/>
  <c r="B1361" i="5"/>
  <c r="T1360" i="5"/>
  <c r="S1360" i="5"/>
  <c r="R1360" i="5"/>
  <c r="Q1360" i="5"/>
  <c r="M1360" i="5"/>
  <c r="L1360" i="5"/>
  <c r="C1360" i="5"/>
  <c r="N1360" i="5" s="1"/>
  <c r="B1360" i="5"/>
  <c r="T1359" i="5"/>
  <c r="S1359" i="5"/>
  <c r="R1359" i="5"/>
  <c r="Q1359" i="5"/>
  <c r="N1359" i="5"/>
  <c r="M1359" i="5"/>
  <c r="L1359" i="5"/>
  <c r="C1359" i="5"/>
  <c r="B1359" i="5"/>
  <c r="T1358" i="5"/>
  <c r="S1358" i="5"/>
  <c r="R1358" i="5"/>
  <c r="Q1358" i="5"/>
  <c r="N1358" i="5"/>
  <c r="M1358" i="5"/>
  <c r="L1358" i="5"/>
  <c r="C1358" i="5"/>
  <c r="B1358" i="5"/>
  <c r="T1357" i="5"/>
  <c r="S1357" i="5"/>
  <c r="R1357" i="5"/>
  <c r="Q1357" i="5"/>
  <c r="M1357" i="5"/>
  <c r="L1357" i="5"/>
  <c r="C1357" i="5"/>
  <c r="N1357" i="5" s="1"/>
  <c r="B1357" i="5"/>
  <c r="T1356" i="5"/>
  <c r="S1356" i="5"/>
  <c r="R1356" i="5"/>
  <c r="Q1356" i="5"/>
  <c r="M1356" i="5"/>
  <c r="L1356" i="5"/>
  <c r="C1356" i="5"/>
  <c r="N1356" i="5" s="1"/>
  <c r="B1356" i="5"/>
  <c r="T1355" i="5"/>
  <c r="S1355" i="5"/>
  <c r="R1355" i="5"/>
  <c r="Q1355" i="5"/>
  <c r="M1355" i="5"/>
  <c r="L1355" i="5"/>
  <c r="C1355" i="5"/>
  <c r="N1355" i="5" s="1"/>
  <c r="B1355" i="5"/>
  <c r="T1354" i="5"/>
  <c r="S1354" i="5"/>
  <c r="R1354" i="5"/>
  <c r="Q1354" i="5"/>
  <c r="N1354" i="5"/>
  <c r="M1354" i="5"/>
  <c r="L1354" i="5"/>
  <c r="C1354" i="5"/>
  <c r="B1354" i="5"/>
  <c r="T1353" i="5"/>
  <c r="S1353" i="5"/>
  <c r="R1353" i="5"/>
  <c r="Q1353" i="5"/>
  <c r="N1353" i="5"/>
  <c r="M1353" i="5"/>
  <c r="L1353" i="5"/>
  <c r="C1353" i="5"/>
  <c r="B1353" i="5"/>
  <c r="T1352" i="5"/>
  <c r="S1352" i="5"/>
  <c r="R1352" i="5"/>
  <c r="Q1352" i="5"/>
  <c r="N1352" i="5"/>
  <c r="M1352" i="5"/>
  <c r="L1352" i="5"/>
  <c r="C1352" i="5"/>
  <c r="B1352" i="5"/>
  <c r="T1351" i="5"/>
  <c r="S1351" i="5"/>
  <c r="R1351" i="5"/>
  <c r="Q1351" i="5"/>
  <c r="N1351" i="5"/>
  <c r="M1351" i="5"/>
  <c r="L1351" i="5"/>
  <c r="C1351" i="5"/>
  <c r="B1351" i="5"/>
  <c r="T1350" i="5"/>
  <c r="S1350" i="5"/>
  <c r="R1350" i="5"/>
  <c r="Q1350" i="5"/>
  <c r="N1350" i="5"/>
  <c r="M1350" i="5"/>
  <c r="L1350" i="5"/>
  <c r="C1350" i="5"/>
  <c r="B1350" i="5"/>
  <c r="T1349" i="5"/>
  <c r="S1349" i="5"/>
  <c r="R1349" i="5"/>
  <c r="Q1349" i="5"/>
  <c r="N1349" i="5"/>
  <c r="M1349" i="5"/>
  <c r="L1349" i="5"/>
  <c r="C1349" i="5"/>
  <c r="B1349" i="5"/>
  <c r="T1348" i="5"/>
  <c r="S1348" i="5"/>
  <c r="R1348" i="5"/>
  <c r="Q1348" i="5"/>
  <c r="M1348" i="5"/>
  <c r="L1348" i="5"/>
  <c r="C1348" i="5"/>
  <c r="N1348" i="5" s="1"/>
  <c r="B1348" i="5"/>
  <c r="T1347" i="5"/>
  <c r="S1347" i="5"/>
  <c r="R1347" i="5"/>
  <c r="Q1347" i="5"/>
  <c r="M1347" i="5"/>
  <c r="L1347" i="5"/>
  <c r="C1347" i="5"/>
  <c r="N1347" i="5" s="1"/>
  <c r="B1347" i="5"/>
  <c r="T1346" i="5"/>
  <c r="S1346" i="5"/>
  <c r="R1346" i="5"/>
  <c r="Q1346" i="5"/>
  <c r="M1346" i="5"/>
  <c r="L1346" i="5"/>
  <c r="C1346" i="5"/>
  <c r="N1346" i="5" s="1"/>
  <c r="B1346" i="5"/>
  <c r="T1345" i="5"/>
  <c r="S1345" i="5"/>
  <c r="R1345" i="5"/>
  <c r="Q1345" i="5"/>
  <c r="M1345" i="5"/>
  <c r="L1345" i="5"/>
  <c r="C1345" i="5"/>
  <c r="N1345" i="5" s="1"/>
  <c r="B1345" i="5"/>
  <c r="T1344" i="5"/>
  <c r="S1344" i="5"/>
  <c r="R1344" i="5"/>
  <c r="Q1344" i="5"/>
  <c r="N1344" i="5"/>
  <c r="M1344" i="5"/>
  <c r="L1344" i="5"/>
  <c r="C1344" i="5"/>
  <c r="B1344" i="5"/>
  <c r="T1343" i="5"/>
  <c r="S1343" i="5"/>
  <c r="R1343" i="5"/>
  <c r="Q1343" i="5"/>
  <c r="N1343" i="5"/>
  <c r="M1343" i="5"/>
  <c r="L1343" i="5"/>
  <c r="C1343" i="5"/>
  <c r="B1343" i="5"/>
  <c r="T1342" i="5"/>
  <c r="S1342" i="5"/>
  <c r="R1342" i="5"/>
  <c r="Q1342" i="5"/>
  <c r="N1342" i="5"/>
  <c r="M1342" i="5"/>
  <c r="L1342" i="5"/>
  <c r="C1342" i="5"/>
  <c r="B1342" i="5"/>
  <c r="T1341" i="5"/>
  <c r="S1341" i="5"/>
  <c r="R1341" i="5"/>
  <c r="Q1341" i="5"/>
  <c r="N1341" i="5"/>
  <c r="M1341" i="5"/>
  <c r="L1341" i="5"/>
  <c r="C1341" i="5"/>
  <c r="B1341" i="5"/>
  <c r="T1340" i="5"/>
  <c r="S1340" i="5"/>
  <c r="R1340" i="5"/>
  <c r="Q1340" i="5"/>
  <c r="M1340" i="5"/>
  <c r="L1340" i="5"/>
  <c r="C1340" i="5"/>
  <c r="N1340" i="5" s="1"/>
  <c r="B1340" i="5"/>
  <c r="T1339" i="5"/>
  <c r="S1339" i="5"/>
  <c r="R1339" i="5"/>
  <c r="Q1339" i="5"/>
  <c r="N1339" i="5"/>
  <c r="M1339" i="5"/>
  <c r="L1339" i="5"/>
  <c r="C1339" i="5"/>
  <c r="B1339" i="5"/>
  <c r="T1338" i="5"/>
  <c r="S1338" i="5"/>
  <c r="R1338" i="5"/>
  <c r="Q1338" i="5"/>
  <c r="M1338" i="5"/>
  <c r="L1338" i="5"/>
  <c r="C1338" i="5"/>
  <c r="N1338" i="5" s="1"/>
  <c r="B1338" i="5"/>
  <c r="T1337" i="5"/>
  <c r="S1337" i="5"/>
  <c r="R1337" i="5"/>
  <c r="Q1337" i="5"/>
  <c r="M1337" i="5"/>
  <c r="L1337" i="5"/>
  <c r="C1337" i="5"/>
  <c r="N1337" i="5" s="1"/>
  <c r="B1337" i="5"/>
  <c r="T1336" i="5"/>
  <c r="S1336" i="5"/>
  <c r="R1336" i="5"/>
  <c r="Q1336" i="5"/>
  <c r="M1336" i="5"/>
  <c r="L1336" i="5"/>
  <c r="C1336" i="5"/>
  <c r="N1336" i="5" s="1"/>
  <c r="B1336" i="5"/>
  <c r="T1335" i="5"/>
  <c r="S1335" i="5"/>
  <c r="R1335" i="5"/>
  <c r="Q1335" i="5"/>
  <c r="M1335" i="5"/>
  <c r="L1335" i="5"/>
  <c r="C1335" i="5"/>
  <c r="N1335" i="5" s="1"/>
  <c r="B1335" i="5"/>
  <c r="T1334" i="5"/>
  <c r="S1334" i="5"/>
  <c r="R1334" i="5"/>
  <c r="Q1334" i="5"/>
  <c r="N1334" i="5"/>
  <c r="M1334" i="5"/>
  <c r="L1334" i="5"/>
  <c r="C1334" i="5"/>
  <c r="B1334" i="5"/>
  <c r="T1333" i="5"/>
  <c r="S1333" i="5"/>
  <c r="R1333" i="5"/>
  <c r="Q1333" i="5"/>
  <c r="N1333" i="5"/>
  <c r="M1333" i="5"/>
  <c r="L1333" i="5"/>
  <c r="C1333" i="5"/>
  <c r="B1333" i="5"/>
  <c r="T1332" i="5"/>
  <c r="S1332" i="5"/>
  <c r="R1332" i="5"/>
  <c r="Q1332" i="5"/>
  <c r="N1332" i="5"/>
  <c r="M1332" i="5"/>
  <c r="L1332" i="5"/>
  <c r="C1332" i="5"/>
  <c r="B1332" i="5"/>
  <c r="T1331" i="5"/>
  <c r="S1331" i="5"/>
  <c r="R1331" i="5"/>
  <c r="Q1331" i="5"/>
  <c r="N1331" i="5"/>
  <c r="M1331" i="5"/>
  <c r="L1331" i="5"/>
  <c r="C1331" i="5"/>
  <c r="B1331" i="5"/>
  <c r="T1330" i="5"/>
  <c r="S1330" i="5"/>
  <c r="R1330" i="5"/>
  <c r="Q1330" i="5"/>
  <c r="M1330" i="5"/>
  <c r="L1330" i="5"/>
  <c r="C1330" i="5"/>
  <c r="N1330" i="5" s="1"/>
  <c r="B1330" i="5"/>
  <c r="T1329" i="5"/>
  <c r="S1329" i="5"/>
  <c r="R1329" i="5"/>
  <c r="Q1329" i="5"/>
  <c r="N1329" i="5"/>
  <c r="M1329" i="5"/>
  <c r="L1329" i="5"/>
  <c r="C1329" i="5"/>
  <c r="B1329" i="5"/>
  <c r="T1328" i="5"/>
  <c r="S1328" i="5"/>
  <c r="R1328" i="5"/>
  <c r="Q1328" i="5"/>
  <c r="N1328" i="5"/>
  <c r="M1328" i="5"/>
  <c r="L1328" i="5"/>
  <c r="C1328" i="5"/>
  <c r="B1328" i="5"/>
  <c r="T1327" i="5"/>
  <c r="S1327" i="5"/>
  <c r="R1327" i="5"/>
  <c r="Q1327" i="5"/>
  <c r="M1327" i="5"/>
  <c r="L1327" i="5"/>
  <c r="C1327" i="5"/>
  <c r="N1327" i="5" s="1"/>
  <c r="B1327" i="5"/>
  <c r="T1326" i="5"/>
  <c r="S1326" i="5"/>
  <c r="R1326" i="5"/>
  <c r="Q1326" i="5"/>
  <c r="M1326" i="5"/>
  <c r="L1326" i="5"/>
  <c r="C1326" i="5"/>
  <c r="N1326" i="5" s="1"/>
  <c r="B1326" i="5"/>
  <c r="T1325" i="5"/>
  <c r="S1325" i="5"/>
  <c r="R1325" i="5"/>
  <c r="Q1325" i="5"/>
  <c r="M1325" i="5"/>
  <c r="L1325" i="5"/>
  <c r="C1325" i="5"/>
  <c r="N1325" i="5" s="1"/>
  <c r="B1325" i="5"/>
  <c r="T1324" i="5"/>
  <c r="S1324" i="5"/>
  <c r="R1324" i="5"/>
  <c r="Q1324" i="5"/>
  <c r="N1324" i="5"/>
  <c r="M1324" i="5"/>
  <c r="L1324" i="5"/>
  <c r="C1324" i="5"/>
  <c r="B1324" i="5"/>
  <c r="T1323" i="5"/>
  <c r="S1323" i="5"/>
  <c r="R1323" i="5"/>
  <c r="Q1323" i="5"/>
  <c r="N1323" i="5"/>
  <c r="M1323" i="5"/>
  <c r="L1323" i="5"/>
  <c r="C1323" i="5"/>
  <c r="B1323" i="5"/>
  <c r="T1322" i="5"/>
  <c r="S1322" i="5"/>
  <c r="R1322" i="5"/>
  <c r="Q1322" i="5"/>
  <c r="N1322" i="5"/>
  <c r="M1322" i="5"/>
  <c r="L1322" i="5"/>
  <c r="C1322" i="5"/>
  <c r="B1322" i="5"/>
  <c r="T1321" i="5"/>
  <c r="S1321" i="5"/>
  <c r="R1321" i="5"/>
  <c r="Q1321" i="5"/>
  <c r="N1321" i="5"/>
  <c r="M1321" i="5"/>
  <c r="L1321" i="5"/>
  <c r="C1321" i="5"/>
  <c r="B1321" i="5"/>
  <c r="T1320" i="5"/>
  <c r="S1320" i="5"/>
  <c r="R1320" i="5"/>
  <c r="Q1320" i="5"/>
  <c r="N1320" i="5"/>
  <c r="M1320" i="5"/>
  <c r="L1320" i="5"/>
  <c r="C1320" i="5"/>
  <c r="B1320" i="5"/>
  <c r="T1319" i="5"/>
  <c r="S1319" i="5"/>
  <c r="R1319" i="5"/>
  <c r="Q1319" i="5"/>
  <c r="N1319" i="5"/>
  <c r="M1319" i="5"/>
  <c r="L1319" i="5"/>
  <c r="C1319" i="5"/>
  <c r="B1319" i="5"/>
  <c r="T1318" i="5"/>
  <c r="S1318" i="5"/>
  <c r="R1318" i="5"/>
  <c r="Q1318" i="5"/>
  <c r="M1318" i="5"/>
  <c r="L1318" i="5"/>
  <c r="C1318" i="5"/>
  <c r="N1318" i="5" s="1"/>
  <c r="B1318" i="5"/>
  <c r="T1317" i="5"/>
  <c r="S1317" i="5"/>
  <c r="R1317" i="5"/>
  <c r="Q1317" i="5"/>
  <c r="M1317" i="5"/>
  <c r="L1317" i="5"/>
  <c r="C1317" i="5"/>
  <c r="N1317" i="5" s="1"/>
  <c r="B1317" i="5"/>
  <c r="T1316" i="5"/>
  <c r="S1316" i="5"/>
  <c r="R1316" i="5"/>
  <c r="Q1316" i="5"/>
  <c r="M1316" i="5"/>
  <c r="L1316" i="5"/>
  <c r="C1316" i="5"/>
  <c r="N1316" i="5" s="1"/>
  <c r="B1316" i="5"/>
  <c r="T1315" i="5"/>
  <c r="S1315" i="5"/>
  <c r="R1315" i="5"/>
  <c r="Q1315" i="5"/>
  <c r="M1315" i="5"/>
  <c r="L1315" i="5"/>
  <c r="C1315" i="5"/>
  <c r="N1315" i="5" s="1"/>
  <c r="B1315" i="5"/>
  <c r="T1314" i="5"/>
  <c r="S1314" i="5"/>
  <c r="R1314" i="5"/>
  <c r="Q1314" i="5"/>
  <c r="N1314" i="5"/>
  <c r="M1314" i="5"/>
  <c r="L1314" i="5"/>
  <c r="C1314" i="5"/>
  <c r="B1314" i="5"/>
  <c r="T1313" i="5"/>
  <c r="S1313" i="5"/>
  <c r="R1313" i="5"/>
  <c r="Q1313" i="5"/>
  <c r="N1313" i="5"/>
  <c r="M1313" i="5"/>
  <c r="L1313" i="5"/>
  <c r="C1313" i="5"/>
  <c r="B1313" i="5"/>
  <c r="T1312" i="5"/>
  <c r="S1312" i="5"/>
  <c r="R1312" i="5"/>
  <c r="Q1312" i="5"/>
  <c r="N1312" i="5"/>
  <c r="M1312" i="5"/>
  <c r="L1312" i="5"/>
  <c r="C1312" i="5"/>
  <c r="B1312" i="5"/>
  <c r="T1311" i="5"/>
  <c r="S1311" i="5"/>
  <c r="R1311" i="5"/>
  <c r="Q1311" i="5"/>
  <c r="N1311" i="5"/>
  <c r="M1311" i="5"/>
  <c r="L1311" i="5"/>
  <c r="C1311" i="5"/>
  <c r="B1311" i="5"/>
  <c r="T1310" i="5"/>
  <c r="S1310" i="5"/>
  <c r="R1310" i="5"/>
  <c r="Q1310" i="5"/>
  <c r="M1310" i="5"/>
  <c r="L1310" i="5"/>
  <c r="C1310" i="5"/>
  <c r="N1310" i="5" s="1"/>
  <c r="B1310" i="5"/>
  <c r="T1309" i="5"/>
  <c r="S1309" i="5"/>
  <c r="R1309" i="5"/>
  <c r="Q1309" i="5"/>
  <c r="N1309" i="5"/>
  <c r="M1309" i="5"/>
  <c r="L1309" i="5"/>
  <c r="C1309" i="5"/>
  <c r="B1309" i="5"/>
  <c r="T1308" i="5"/>
  <c r="S1308" i="5"/>
  <c r="R1308" i="5"/>
  <c r="Q1308" i="5"/>
  <c r="M1308" i="5"/>
  <c r="L1308" i="5"/>
  <c r="C1308" i="5"/>
  <c r="N1308" i="5" s="1"/>
  <c r="B1308" i="5"/>
  <c r="T1307" i="5"/>
  <c r="S1307" i="5"/>
  <c r="R1307" i="5"/>
  <c r="Q1307" i="5"/>
  <c r="M1307" i="5"/>
  <c r="L1307" i="5"/>
  <c r="C1307" i="5"/>
  <c r="N1307" i="5" s="1"/>
  <c r="B1307" i="5"/>
  <c r="T1306" i="5"/>
  <c r="S1306" i="5"/>
  <c r="R1306" i="5"/>
  <c r="Q1306" i="5"/>
  <c r="M1306" i="5"/>
  <c r="L1306" i="5"/>
  <c r="C1306" i="5"/>
  <c r="N1306" i="5" s="1"/>
  <c r="B1306" i="5"/>
  <c r="T1305" i="5"/>
  <c r="S1305" i="5"/>
  <c r="R1305" i="5"/>
  <c r="Q1305" i="5"/>
  <c r="M1305" i="5"/>
  <c r="L1305" i="5"/>
  <c r="C1305" i="5"/>
  <c r="N1305" i="5" s="1"/>
  <c r="B1305" i="5"/>
  <c r="T1304" i="5"/>
  <c r="S1304" i="5"/>
  <c r="R1304" i="5"/>
  <c r="Q1304" i="5"/>
  <c r="N1304" i="5"/>
  <c r="M1304" i="5"/>
  <c r="L1304" i="5"/>
  <c r="C1304" i="5"/>
  <c r="B1304" i="5"/>
  <c r="T1303" i="5"/>
  <c r="S1303" i="5"/>
  <c r="R1303" i="5"/>
  <c r="Q1303" i="5"/>
  <c r="N1303" i="5"/>
  <c r="M1303" i="5"/>
  <c r="L1303" i="5"/>
  <c r="C1303" i="5"/>
  <c r="B1303" i="5"/>
  <c r="T1302" i="5"/>
  <c r="S1302" i="5"/>
  <c r="R1302" i="5"/>
  <c r="Q1302" i="5"/>
  <c r="N1302" i="5"/>
  <c r="M1302" i="5"/>
  <c r="L1302" i="5"/>
  <c r="C1302" i="5"/>
  <c r="B1302" i="5"/>
  <c r="T1301" i="5"/>
  <c r="S1301" i="5"/>
  <c r="R1301" i="5"/>
  <c r="Q1301" i="5"/>
  <c r="N1301" i="5"/>
  <c r="M1301" i="5"/>
  <c r="L1301" i="5"/>
  <c r="C1301" i="5"/>
  <c r="B1301" i="5"/>
  <c r="T1300" i="5"/>
  <c r="S1300" i="5"/>
  <c r="R1300" i="5"/>
  <c r="Q1300" i="5"/>
  <c r="M1300" i="5"/>
  <c r="L1300" i="5"/>
  <c r="C1300" i="5"/>
  <c r="N1300" i="5" s="1"/>
  <c r="B1300" i="5"/>
  <c r="T1299" i="5"/>
  <c r="S1299" i="5"/>
  <c r="R1299" i="5"/>
  <c r="Q1299" i="5"/>
  <c r="N1299" i="5"/>
  <c r="M1299" i="5"/>
  <c r="L1299" i="5"/>
  <c r="C1299" i="5"/>
  <c r="B1299" i="5"/>
  <c r="T1298" i="5"/>
  <c r="S1298" i="5"/>
  <c r="R1298" i="5"/>
  <c r="Q1298" i="5"/>
  <c r="M1298" i="5"/>
  <c r="L1298" i="5"/>
  <c r="C1298" i="5"/>
  <c r="N1298" i="5" s="1"/>
  <c r="B1298" i="5"/>
  <c r="T1297" i="5"/>
  <c r="S1297" i="5"/>
  <c r="R1297" i="5"/>
  <c r="Q1297" i="5"/>
  <c r="M1297" i="5"/>
  <c r="L1297" i="5"/>
  <c r="C1297" i="5"/>
  <c r="N1297" i="5" s="1"/>
  <c r="B1297" i="5"/>
  <c r="T1296" i="5"/>
  <c r="S1296" i="5"/>
  <c r="R1296" i="5"/>
  <c r="Q1296" i="5"/>
  <c r="M1296" i="5"/>
  <c r="L1296" i="5"/>
  <c r="C1296" i="5"/>
  <c r="N1296" i="5" s="1"/>
  <c r="B1296" i="5"/>
  <c r="T1295" i="5"/>
  <c r="S1295" i="5"/>
  <c r="R1295" i="5"/>
  <c r="Q1295" i="5"/>
  <c r="M1295" i="5"/>
  <c r="L1295" i="5"/>
  <c r="C1295" i="5"/>
  <c r="N1295" i="5" s="1"/>
  <c r="B1295" i="5"/>
  <c r="T1294" i="5"/>
  <c r="S1294" i="5"/>
  <c r="R1294" i="5"/>
  <c r="Q1294" i="5"/>
  <c r="N1294" i="5"/>
  <c r="M1294" i="5"/>
  <c r="L1294" i="5"/>
  <c r="C1294" i="5"/>
  <c r="B1294" i="5"/>
  <c r="T1293" i="5"/>
  <c r="S1293" i="5"/>
  <c r="R1293" i="5"/>
  <c r="Q1293" i="5"/>
  <c r="N1293" i="5"/>
  <c r="M1293" i="5"/>
  <c r="L1293" i="5"/>
  <c r="C1293" i="5"/>
  <c r="B1293" i="5"/>
  <c r="T1292" i="5"/>
  <c r="S1292" i="5"/>
  <c r="R1292" i="5"/>
  <c r="Q1292" i="5"/>
  <c r="N1292" i="5"/>
  <c r="M1292" i="5"/>
  <c r="L1292" i="5"/>
  <c r="C1292" i="5"/>
  <c r="B1292" i="5"/>
  <c r="T1291" i="5"/>
  <c r="S1291" i="5"/>
  <c r="R1291" i="5"/>
  <c r="Q1291" i="5"/>
  <c r="N1291" i="5"/>
  <c r="M1291" i="5"/>
  <c r="L1291" i="5"/>
  <c r="C1291" i="5"/>
  <c r="B1291" i="5"/>
  <c r="T1290" i="5"/>
  <c r="S1290" i="5"/>
  <c r="R1290" i="5"/>
  <c r="Q1290" i="5"/>
  <c r="N1290" i="5"/>
  <c r="M1290" i="5"/>
  <c r="L1290" i="5"/>
  <c r="C1290" i="5"/>
  <c r="B1290" i="5"/>
  <c r="T1289" i="5"/>
  <c r="S1289" i="5"/>
  <c r="R1289" i="5"/>
  <c r="Q1289" i="5"/>
  <c r="N1289" i="5"/>
  <c r="M1289" i="5"/>
  <c r="L1289" i="5"/>
  <c r="C1289" i="5"/>
  <c r="B1289" i="5"/>
  <c r="T1288" i="5"/>
  <c r="S1288" i="5"/>
  <c r="R1288" i="5"/>
  <c r="Q1288" i="5"/>
  <c r="N1288" i="5"/>
  <c r="M1288" i="5"/>
  <c r="L1288" i="5"/>
  <c r="C1288" i="5"/>
  <c r="B1288" i="5"/>
  <c r="T1287" i="5"/>
  <c r="S1287" i="5"/>
  <c r="R1287" i="5"/>
  <c r="Q1287" i="5"/>
  <c r="M1287" i="5"/>
  <c r="L1287" i="5"/>
  <c r="C1287" i="5"/>
  <c r="N1287" i="5" s="1"/>
  <c r="B1287" i="5"/>
  <c r="T1286" i="5"/>
  <c r="S1286" i="5"/>
  <c r="R1286" i="5"/>
  <c r="Q1286" i="5"/>
  <c r="M1286" i="5"/>
  <c r="L1286" i="5"/>
  <c r="C1286" i="5"/>
  <c r="N1286" i="5" s="1"/>
  <c r="B1286" i="5"/>
  <c r="T1285" i="5"/>
  <c r="S1285" i="5"/>
  <c r="R1285" i="5"/>
  <c r="Q1285" i="5"/>
  <c r="M1285" i="5"/>
  <c r="L1285" i="5"/>
  <c r="C1285" i="5"/>
  <c r="N1285" i="5" s="1"/>
  <c r="B1285" i="5"/>
  <c r="T1284" i="5"/>
  <c r="S1284" i="5"/>
  <c r="R1284" i="5"/>
  <c r="Q1284" i="5"/>
  <c r="N1284" i="5"/>
  <c r="M1284" i="5"/>
  <c r="L1284" i="5"/>
  <c r="C1284" i="5"/>
  <c r="B1284" i="5"/>
  <c r="T1283" i="5"/>
  <c r="S1283" i="5"/>
  <c r="R1283" i="5"/>
  <c r="Q1283" i="5"/>
  <c r="N1283" i="5"/>
  <c r="M1283" i="5"/>
  <c r="L1283" i="5"/>
  <c r="C1283" i="5"/>
  <c r="B1283" i="5"/>
  <c r="T1282" i="5"/>
  <c r="S1282" i="5"/>
  <c r="R1282" i="5"/>
  <c r="Q1282" i="5"/>
  <c r="N1282" i="5"/>
  <c r="M1282" i="5"/>
  <c r="L1282" i="5"/>
  <c r="C1282" i="5"/>
  <c r="B1282" i="5"/>
  <c r="T1281" i="5"/>
  <c r="S1281" i="5"/>
  <c r="R1281" i="5"/>
  <c r="Q1281" i="5"/>
  <c r="N1281" i="5"/>
  <c r="M1281" i="5"/>
  <c r="L1281" i="5"/>
  <c r="C1281" i="5"/>
  <c r="B1281" i="5"/>
  <c r="T1280" i="5"/>
  <c r="S1280" i="5"/>
  <c r="R1280" i="5"/>
  <c r="Q1280" i="5"/>
  <c r="M1280" i="5"/>
  <c r="L1280" i="5"/>
  <c r="C1280" i="5"/>
  <c r="N1280" i="5" s="1"/>
  <c r="B1280" i="5"/>
  <c r="T1279" i="5"/>
  <c r="S1279" i="5"/>
  <c r="R1279" i="5"/>
  <c r="Q1279" i="5"/>
  <c r="N1279" i="5"/>
  <c r="M1279" i="5"/>
  <c r="L1279" i="5"/>
  <c r="C1279" i="5"/>
  <c r="B1279" i="5"/>
  <c r="T1278" i="5"/>
  <c r="S1278" i="5"/>
  <c r="R1278" i="5"/>
  <c r="Q1278" i="5"/>
  <c r="M1278" i="5"/>
  <c r="L1278" i="5"/>
  <c r="C1278" i="5"/>
  <c r="N1278" i="5" s="1"/>
  <c r="B1278" i="5"/>
  <c r="T1277" i="5"/>
  <c r="S1277" i="5"/>
  <c r="R1277" i="5"/>
  <c r="Q1277" i="5"/>
  <c r="M1277" i="5"/>
  <c r="L1277" i="5"/>
  <c r="C1277" i="5"/>
  <c r="N1277" i="5" s="1"/>
  <c r="B1277" i="5"/>
  <c r="T1276" i="5"/>
  <c r="S1276" i="5"/>
  <c r="R1276" i="5"/>
  <c r="Q1276" i="5"/>
  <c r="M1276" i="5"/>
  <c r="L1276" i="5"/>
  <c r="C1276" i="5"/>
  <c r="N1276" i="5" s="1"/>
  <c r="B1276" i="5"/>
  <c r="T1275" i="5"/>
  <c r="S1275" i="5"/>
  <c r="R1275" i="5"/>
  <c r="Q1275" i="5"/>
  <c r="M1275" i="5"/>
  <c r="L1275" i="5"/>
  <c r="C1275" i="5"/>
  <c r="N1275" i="5" s="1"/>
  <c r="B1275" i="5"/>
  <c r="T1274" i="5"/>
  <c r="S1274" i="5"/>
  <c r="R1274" i="5"/>
  <c r="Q1274" i="5"/>
  <c r="N1274" i="5"/>
  <c r="M1274" i="5"/>
  <c r="L1274" i="5"/>
  <c r="C1274" i="5"/>
  <c r="B1274" i="5"/>
  <c r="T1273" i="5"/>
  <c r="S1273" i="5"/>
  <c r="R1273" i="5"/>
  <c r="Q1273" i="5"/>
  <c r="N1273" i="5"/>
  <c r="M1273" i="5"/>
  <c r="L1273" i="5"/>
  <c r="C1273" i="5"/>
  <c r="B1273" i="5"/>
  <c r="T1272" i="5"/>
  <c r="S1272" i="5"/>
  <c r="R1272" i="5"/>
  <c r="Q1272" i="5"/>
  <c r="N1272" i="5"/>
  <c r="M1272" i="5"/>
  <c r="L1272" i="5"/>
  <c r="C1272" i="5"/>
  <c r="B1272" i="5"/>
  <c r="T1271" i="5"/>
  <c r="S1271" i="5"/>
  <c r="R1271" i="5"/>
  <c r="Q1271" i="5"/>
  <c r="N1271" i="5"/>
  <c r="M1271" i="5"/>
  <c r="L1271" i="5"/>
  <c r="C1271" i="5"/>
  <c r="B1271" i="5"/>
  <c r="T1270" i="5"/>
  <c r="S1270" i="5"/>
  <c r="R1270" i="5"/>
  <c r="Q1270" i="5"/>
  <c r="M1270" i="5"/>
  <c r="L1270" i="5"/>
  <c r="C1270" i="5"/>
  <c r="N1270" i="5" s="1"/>
  <c r="B1270" i="5"/>
  <c r="T1269" i="5"/>
  <c r="S1269" i="5"/>
  <c r="R1269" i="5"/>
  <c r="Q1269" i="5"/>
  <c r="N1269" i="5"/>
  <c r="M1269" i="5"/>
  <c r="L1269" i="5"/>
  <c r="C1269" i="5"/>
  <c r="B1269" i="5"/>
  <c r="T1268" i="5"/>
  <c r="S1268" i="5"/>
  <c r="R1268" i="5"/>
  <c r="Q1268" i="5"/>
  <c r="M1268" i="5"/>
  <c r="L1268" i="5"/>
  <c r="C1268" i="5"/>
  <c r="N1268" i="5" s="1"/>
  <c r="B1268" i="5"/>
  <c r="T1267" i="5"/>
  <c r="S1267" i="5"/>
  <c r="R1267" i="5"/>
  <c r="Q1267" i="5"/>
  <c r="M1267" i="5"/>
  <c r="L1267" i="5"/>
  <c r="C1267" i="5"/>
  <c r="N1267" i="5" s="1"/>
  <c r="B1267" i="5"/>
  <c r="T1266" i="5"/>
  <c r="S1266" i="5"/>
  <c r="R1266" i="5"/>
  <c r="Q1266" i="5"/>
  <c r="M1266" i="5"/>
  <c r="L1266" i="5"/>
  <c r="C1266" i="5"/>
  <c r="N1266" i="5" s="1"/>
  <c r="B1266" i="5"/>
  <c r="T1265" i="5"/>
  <c r="S1265" i="5"/>
  <c r="R1265" i="5"/>
  <c r="Q1265" i="5"/>
  <c r="M1265" i="5"/>
  <c r="L1265" i="5"/>
  <c r="C1265" i="5"/>
  <c r="N1265" i="5" s="1"/>
  <c r="B1265" i="5"/>
  <c r="T1264" i="5"/>
  <c r="S1264" i="5"/>
  <c r="R1264" i="5"/>
  <c r="Q1264" i="5"/>
  <c r="N1264" i="5"/>
  <c r="M1264" i="5"/>
  <c r="L1264" i="5"/>
  <c r="C1264" i="5"/>
  <c r="B1264" i="5"/>
  <c r="T1263" i="5"/>
  <c r="S1263" i="5"/>
  <c r="R1263" i="5"/>
  <c r="Q1263" i="5"/>
  <c r="N1263" i="5"/>
  <c r="M1263" i="5"/>
  <c r="L1263" i="5"/>
  <c r="C1263" i="5"/>
  <c r="B1263" i="5"/>
  <c r="T1262" i="5"/>
  <c r="S1262" i="5"/>
  <c r="R1262" i="5"/>
  <c r="Q1262" i="5"/>
  <c r="N1262" i="5"/>
  <c r="M1262" i="5"/>
  <c r="L1262" i="5"/>
  <c r="C1262" i="5"/>
  <c r="B1262" i="5"/>
  <c r="T1261" i="5"/>
  <c r="S1261" i="5"/>
  <c r="R1261" i="5"/>
  <c r="Q1261" i="5"/>
  <c r="N1261" i="5"/>
  <c r="M1261" i="5"/>
  <c r="L1261" i="5"/>
  <c r="C1261" i="5"/>
  <c r="B1261" i="5"/>
  <c r="T1260" i="5"/>
  <c r="S1260" i="5"/>
  <c r="R1260" i="5"/>
  <c r="Q1260" i="5"/>
  <c r="M1260" i="5"/>
  <c r="L1260" i="5"/>
  <c r="C1260" i="5"/>
  <c r="N1260" i="5" s="1"/>
  <c r="B1260" i="5"/>
  <c r="T1259" i="5"/>
  <c r="S1259" i="5"/>
  <c r="R1259" i="5"/>
  <c r="Q1259" i="5"/>
  <c r="N1259" i="5"/>
  <c r="M1259" i="5"/>
  <c r="L1259" i="5"/>
  <c r="C1259" i="5"/>
  <c r="B1259" i="5"/>
  <c r="T1258" i="5"/>
  <c r="S1258" i="5"/>
  <c r="R1258" i="5"/>
  <c r="Q1258" i="5"/>
  <c r="N1258" i="5"/>
  <c r="M1258" i="5"/>
  <c r="L1258" i="5"/>
  <c r="C1258" i="5"/>
  <c r="B1258" i="5"/>
  <c r="T1257" i="5"/>
  <c r="S1257" i="5"/>
  <c r="R1257" i="5"/>
  <c r="Q1257" i="5"/>
  <c r="M1257" i="5"/>
  <c r="L1257" i="5"/>
  <c r="C1257" i="5"/>
  <c r="N1257" i="5" s="1"/>
  <c r="B1257" i="5"/>
  <c r="T1256" i="5"/>
  <c r="S1256" i="5"/>
  <c r="R1256" i="5"/>
  <c r="Q1256" i="5"/>
  <c r="M1256" i="5"/>
  <c r="L1256" i="5"/>
  <c r="C1256" i="5"/>
  <c r="N1256" i="5" s="1"/>
  <c r="B1256" i="5"/>
  <c r="T1255" i="5"/>
  <c r="S1255" i="5"/>
  <c r="R1255" i="5"/>
  <c r="Q1255" i="5"/>
  <c r="M1255" i="5"/>
  <c r="L1255" i="5"/>
  <c r="C1255" i="5"/>
  <c r="N1255" i="5" s="1"/>
  <c r="B1255" i="5"/>
  <c r="T1254" i="5"/>
  <c r="S1254" i="5"/>
  <c r="R1254" i="5"/>
  <c r="Q1254" i="5"/>
  <c r="N1254" i="5"/>
  <c r="M1254" i="5"/>
  <c r="L1254" i="5"/>
  <c r="C1254" i="5"/>
  <c r="B1254" i="5"/>
  <c r="T1253" i="5"/>
  <c r="S1253" i="5"/>
  <c r="R1253" i="5"/>
  <c r="Q1253" i="5"/>
  <c r="N1253" i="5"/>
  <c r="M1253" i="5"/>
  <c r="L1253" i="5"/>
  <c r="C1253" i="5"/>
  <c r="B1253" i="5"/>
  <c r="T1252" i="5"/>
  <c r="S1252" i="5"/>
  <c r="R1252" i="5"/>
  <c r="Q1252" i="5"/>
  <c r="N1252" i="5"/>
  <c r="M1252" i="5"/>
  <c r="L1252" i="5"/>
  <c r="C1252" i="5"/>
  <c r="B1252" i="5"/>
  <c r="T1251" i="5"/>
  <c r="S1251" i="5"/>
  <c r="R1251" i="5"/>
  <c r="Q1251" i="5"/>
  <c r="N1251" i="5"/>
  <c r="M1251" i="5"/>
  <c r="L1251" i="5"/>
  <c r="C1251" i="5"/>
  <c r="B1251" i="5"/>
  <c r="T1250" i="5"/>
  <c r="S1250" i="5"/>
  <c r="R1250" i="5"/>
  <c r="Q1250" i="5"/>
  <c r="N1250" i="5"/>
  <c r="M1250" i="5"/>
  <c r="L1250" i="5"/>
  <c r="C1250" i="5"/>
  <c r="B1250" i="5"/>
  <c r="T1249" i="5"/>
  <c r="S1249" i="5"/>
  <c r="R1249" i="5"/>
  <c r="Q1249" i="5"/>
  <c r="N1249" i="5"/>
  <c r="M1249" i="5"/>
  <c r="L1249" i="5"/>
  <c r="C1249" i="5"/>
  <c r="B1249" i="5"/>
  <c r="T1248" i="5"/>
  <c r="S1248" i="5"/>
  <c r="R1248" i="5"/>
  <c r="Q1248" i="5"/>
  <c r="M1248" i="5"/>
  <c r="L1248" i="5"/>
  <c r="C1248" i="5"/>
  <c r="N1248" i="5" s="1"/>
  <c r="B1248" i="5"/>
  <c r="T1247" i="5"/>
  <c r="S1247" i="5"/>
  <c r="R1247" i="5"/>
  <c r="Q1247" i="5"/>
  <c r="M1247" i="5"/>
  <c r="L1247" i="5"/>
  <c r="C1247" i="5"/>
  <c r="N1247" i="5" s="1"/>
  <c r="B1247" i="5"/>
  <c r="T1246" i="5"/>
  <c r="S1246" i="5"/>
  <c r="R1246" i="5"/>
  <c r="Q1246" i="5"/>
  <c r="M1246" i="5"/>
  <c r="L1246" i="5"/>
  <c r="C1246" i="5"/>
  <c r="N1246" i="5" s="1"/>
  <c r="B1246" i="5"/>
  <c r="T1245" i="5"/>
  <c r="S1245" i="5"/>
  <c r="R1245" i="5"/>
  <c r="Q1245" i="5"/>
  <c r="M1245" i="5"/>
  <c r="L1245" i="5"/>
  <c r="C1245" i="5"/>
  <c r="N1245" i="5" s="1"/>
  <c r="B1245" i="5"/>
  <c r="T1244" i="5"/>
  <c r="S1244" i="5"/>
  <c r="R1244" i="5"/>
  <c r="Q1244" i="5"/>
  <c r="N1244" i="5"/>
  <c r="M1244" i="5"/>
  <c r="L1244" i="5"/>
  <c r="C1244" i="5"/>
  <c r="B1244" i="5"/>
  <c r="T1243" i="5"/>
  <c r="S1243" i="5"/>
  <c r="R1243" i="5"/>
  <c r="Q1243" i="5"/>
  <c r="N1243" i="5"/>
  <c r="M1243" i="5"/>
  <c r="L1243" i="5"/>
  <c r="C1243" i="5"/>
  <c r="B1243" i="5"/>
  <c r="T1242" i="5"/>
  <c r="S1242" i="5"/>
  <c r="R1242" i="5"/>
  <c r="Q1242" i="5"/>
  <c r="N1242" i="5"/>
  <c r="M1242" i="5"/>
  <c r="L1242" i="5"/>
  <c r="C1242" i="5"/>
  <c r="B1242" i="5"/>
  <c r="T1241" i="5"/>
  <c r="S1241" i="5"/>
  <c r="R1241" i="5"/>
  <c r="Q1241" i="5"/>
  <c r="N1241" i="5"/>
  <c r="M1241" i="5"/>
  <c r="L1241" i="5"/>
  <c r="C1241" i="5"/>
  <c r="B1241" i="5"/>
  <c r="T1240" i="5"/>
  <c r="S1240" i="5"/>
  <c r="R1240" i="5"/>
  <c r="Q1240" i="5"/>
  <c r="M1240" i="5"/>
  <c r="L1240" i="5"/>
  <c r="C1240" i="5"/>
  <c r="N1240" i="5" s="1"/>
  <c r="B1240" i="5"/>
  <c r="T1239" i="5"/>
  <c r="S1239" i="5"/>
  <c r="R1239" i="5"/>
  <c r="Q1239" i="5"/>
  <c r="N1239" i="5"/>
  <c r="M1239" i="5"/>
  <c r="L1239" i="5"/>
  <c r="C1239" i="5"/>
  <c r="B1239" i="5"/>
  <c r="T1238" i="5"/>
  <c r="S1238" i="5"/>
  <c r="R1238" i="5"/>
  <c r="Q1238" i="5"/>
  <c r="M1238" i="5"/>
  <c r="L1238" i="5"/>
  <c r="C1238" i="5"/>
  <c r="N1238" i="5" s="1"/>
  <c r="B1238" i="5"/>
  <c r="T1237" i="5"/>
  <c r="S1237" i="5"/>
  <c r="R1237" i="5"/>
  <c r="Q1237" i="5"/>
  <c r="M1237" i="5"/>
  <c r="L1237" i="5"/>
  <c r="C1237" i="5"/>
  <c r="N1237" i="5" s="1"/>
  <c r="B1237" i="5"/>
  <c r="T1236" i="5"/>
  <c r="S1236" i="5"/>
  <c r="R1236" i="5"/>
  <c r="Q1236" i="5"/>
  <c r="M1236" i="5"/>
  <c r="L1236" i="5"/>
  <c r="C1236" i="5"/>
  <c r="N1236" i="5" s="1"/>
  <c r="B1236" i="5"/>
  <c r="T1235" i="5"/>
  <c r="S1235" i="5"/>
  <c r="R1235" i="5"/>
  <c r="Q1235" i="5"/>
  <c r="M1235" i="5"/>
  <c r="L1235" i="5"/>
  <c r="C1235" i="5"/>
  <c r="N1235" i="5" s="1"/>
  <c r="B1235" i="5"/>
  <c r="T1234" i="5"/>
  <c r="S1234" i="5"/>
  <c r="R1234" i="5"/>
  <c r="Q1234" i="5"/>
  <c r="N1234" i="5"/>
  <c r="M1234" i="5"/>
  <c r="L1234" i="5"/>
  <c r="C1234" i="5"/>
  <c r="B1234" i="5"/>
  <c r="T1233" i="5"/>
  <c r="S1233" i="5"/>
  <c r="R1233" i="5"/>
  <c r="Q1233" i="5"/>
  <c r="N1233" i="5"/>
  <c r="M1233" i="5"/>
  <c r="L1233" i="5"/>
  <c r="C1233" i="5"/>
  <c r="B1233" i="5"/>
  <c r="T1232" i="5"/>
  <c r="S1232" i="5"/>
  <c r="R1232" i="5"/>
  <c r="Q1232" i="5"/>
  <c r="N1232" i="5"/>
  <c r="M1232" i="5"/>
  <c r="L1232" i="5"/>
  <c r="C1232" i="5"/>
  <c r="B1232" i="5"/>
  <c r="T1231" i="5"/>
  <c r="S1231" i="5"/>
  <c r="R1231" i="5"/>
  <c r="Q1231" i="5"/>
  <c r="N1231" i="5"/>
  <c r="M1231" i="5"/>
  <c r="L1231" i="5"/>
  <c r="C1231" i="5"/>
  <c r="B1231" i="5"/>
  <c r="T1230" i="5"/>
  <c r="S1230" i="5"/>
  <c r="R1230" i="5"/>
  <c r="Q1230" i="5"/>
  <c r="M1230" i="5"/>
  <c r="L1230" i="5"/>
  <c r="C1230" i="5"/>
  <c r="N1230" i="5" s="1"/>
  <c r="B1230" i="5"/>
  <c r="T1229" i="5"/>
  <c r="S1229" i="5"/>
  <c r="R1229" i="5"/>
  <c r="Q1229" i="5"/>
  <c r="N1229" i="5"/>
  <c r="M1229" i="5"/>
  <c r="L1229" i="5"/>
  <c r="C1229" i="5"/>
  <c r="B1229" i="5"/>
  <c r="T1228" i="5"/>
  <c r="S1228" i="5"/>
  <c r="R1228" i="5"/>
  <c r="Q1228" i="5"/>
  <c r="N1228" i="5"/>
  <c r="M1228" i="5"/>
  <c r="L1228" i="5"/>
  <c r="C1228" i="5"/>
  <c r="B1228" i="5"/>
  <c r="T1227" i="5"/>
  <c r="S1227" i="5"/>
  <c r="R1227" i="5"/>
  <c r="Q1227" i="5"/>
  <c r="M1227" i="5"/>
  <c r="L1227" i="5"/>
  <c r="C1227" i="5"/>
  <c r="N1227" i="5" s="1"/>
  <c r="B1227" i="5"/>
  <c r="T1226" i="5"/>
  <c r="S1226" i="5"/>
  <c r="R1226" i="5"/>
  <c r="Q1226" i="5"/>
  <c r="M1226" i="5"/>
  <c r="L1226" i="5"/>
  <c r="C1226" i="5"/>
  <c r="N1226" i="5" s="1"/>
  <c r="B1226" i="5"/>
  <c r="T1225" i="5"/>
  <c r="S1225" i="5"/>
  <c r="R1225" i="5"/>
  <c r="Q1225" i="5"/>
  <c r="M1225" i="5"/>
  <c r="L1225" i="5"/>
  <c r="C1225" i="5"/>
  <c r="N1225" i="5" s="1"/>
  <c r="B1225" i="5"/>
  <c r="T1224" i="5"/>
  <c r="S1224" i="5"/>
  <c r="R1224" i="5"/>
  <c r="Q1224" i="5"/>
  <c r="N1224" i="5"/>
  <c r="M1224" i="5"/>
  <c r="L1224" i="5"/>
  <c r="C1224" i="5"/>
  <c r="B1224" i="5"/>
  <c r="T1223" i="5"/>
  <c r="S1223" i="5"/>
  <c r="R1223" i="5"/>
  <c r="Q1223" i="5"/>
  <c r="N1223" i="5"/>
  <c r="M1223" i="5"/>
  <c r="L1223" i="5"/>
  <c r="C1223" i="5"/>
  <c r="B1223" i="5"/>
  <c r="T1222" i="5"/>
  <c r="S1222" i="5"/>
  <c r="R1222" i="5"/>
  <c r="Q1222" i="5"/>
  <c r="N1222" i="5"/>
  <c r="M1222" i="5"/>
  <c r="L1222" i="5"/>
  <c r="C1222" i="5"/>
  <c r="B1222" i="5"/>
  <c r="T1221" i="5"/>
  <c r="S1221" i="5"/>
  <c r="R1221" i="5"/>
  <c r="Q1221" i="5"/>
  <c r="N1221" i="5"/>
  <c r="M1221" i="5"/>
  <c r="L1221" i="5"/>
  <c r="C1221" i="5"/>
  <c r="B1221" i="5"/>
  <c r="T1220" i="5"/>
  <c r="S1220" i="5"/>
  <c r="R1220" i="5"/>
  <c r="Q1220" i="5"/>
  <c r="N1220" i="5"/>
  <c r="M1220" i="5"/>
  <c r="L1220" i="5"/>
  <c r="C1220" i="5"/>
  <c r="B1220" i="5"/>
  <c r="T1219" i="5"/>
  <c r="S1219" i="5"/>
  <c r="R1219" i="5"/>
  <c r="Q1219" i="5"/>
  <c r="N1219" i="5"/>
  <c r="M1219" i="5"/>
  <c r="L1219" i="5"/>
  <c r="C1219" i="5"/>
  <c r="B1219" i="5"/>
  <c r="T1218" i="5"/>
  <c r="S1218" i="5"/>
  <c r="R1218" i="5"/>
  <c r="Q1218" i="5"/>
  <c r="M1218" i="5"/>
  <c r="L1218" i="5"/>
  <c r="C1218" i="5"/>
  <c r="N1218" i="5" s="1"/>
  <c r="B1218" i="5"/>
  <c r="T1217" i="5"/>
  <c r="S1217" i="5"/>
  <c r="R1217" i="5"/>
  <c r="Q1217" i="5"/>
  <c r="M1217" i="5"/>
  <c r="L1217" i="5"/>
  <c r="C1217" i="5"/>
  <c r="N1217" i="5" s="1"/>
  <c r="B1217" i="5"/>
  <c r="T1216" i="5"/>
  <c r="S1216" i="5"/>
  <c r="R1216" i="5"/>
  <c r="Q1216" i="5"/>
  <c r="M1216" i="5"/>
  <c r="L1216" i="5"/>
  <c r="C1216" i="5"/>
  <c r="N1216" i="5" s="1"/>
  <c r="B1216" i="5"/>
  <c r="T1215" i="5"/>
  <c r="S1215" i="5"/>
  <c r="R1215" i="5"/>
  <c r="Q1215" i="5"/>
  <c r="M1215" i="5"/>
  <c r="L1215" i="5"/>
  <c r="C1215" i="5"/>
  <c r="N1215" i="5" s="1"/>
  <c r="B1215" i="5"/>
  <c r="T1214" i="5"/>
  <c r="S1214" i="5"/>
  <c r="R1214" i="5"/>
  <c r="Q1214" i="5"/>
  <c r="N1214" i="5"/>
  <c r="M1214" i="5"/>
  <c r="L1214" i="5"/>
  <c r="C1214" i="5"/>
  <c r="B1214" i="5"/>
  <c r="T1213" i="5"/>
  <c r="S1213" i="5"/>
  <c r="R1213" i="5"/>
  <c r="Q1213" i="5"/>
  <c r="N1213" i="5"/>
  <c r="M1213" i="5"/>
  <c r="L1213" i="5"/>
  <c r="C1213" i="5"/>
  <c r="B1213" i="5"/>
  <c r="T1212" i="5"/>
  <c r="S1212" i="5"/>
  <c r="R1212" i="5"/>
  <c r="Q1212" i="5"/>
  <c r="N1212" i="5"/>
  <c r="M1212" i="5"/>
  <c r="L1212" i="5"/>
  <c r="C1212" i="5"/>
  <c r="B1212" i="5"/>
  <c r="T1211" i="5"/>
  <c r="S1211" i="5"/>
  <c r="R1211" i="5"/>
  <c r="Q1211" i="5"/>
  <c r="N1211" i="5"/>
  <c r="M1211" i="5"/>
  <c r="L1211" i="5"/>
  <c r="C1211" i="5"/>
  <c r="B1211" i="5"/>
  <c r="T1210" i="5"/>
  <c r="S1210" i="5"/>
  <c r="R1210" i="5"/>
  <c r="Q1210" i="5"/>
  <c r="M1210" i="5"/>
  <c r="L1210" i="5"/>
  <c r="C1210" i="5"/>
  <c r="N1210" i="5" s="1"/>
  <c r="B1210" i="5"/>
  <c r="T1209" i="5"/>
  <c r="S1209" i="5"/>
  <c r="R1209" i="5"/>
  <c r="Q1209" i="5"/>
  <c r="N1209" i="5"/>
  <c r="M1209" i="5"/>
  <c r="L1209" i="5"/>
  <c r="C1209" i="5"/>
  <c r="B1209" i="5"/>
  <c r="T1208" i="5"/>
  <c r="S1208" i="5"/>
  <c r="R1208" i="5"/>
  <c r="Q1208" i="5"/>
  <c r="M1208" i="5"/>
  <c r="L1208" i="5"/>
  <c r="C1208" i="5"/>
  <c r="N1208" i="5" s="1"/>
  <c r="B1208" i="5"/>
  <c r="T1207" i="5"/>
  <c r="S1207" i="5"/>
  <c r="R1207" i="5"/>
  <c r="Q1207" i="5"/>
  <c r="M1207" i="5"/>
  <c r="L1207" i="5"/>
  <c r="C1207" i="5"/>
  <c r="N1207" i="5" s="1"/>
  <c r="B1207" i="5"/>
  <c r="T1206" i="5"/>
  <c r="S1206" i="5"/>
  <c r="R1206" i="5"/>
  <c r="Q1206" i="5"/>
  <c r="M1206" i="5"/>
  <c r="L1206" i="5"/>
  <c r="C1206" i="5"/>
  <c r="N1206" i="5" s="1"/>
  <c r="B1206" i="5"/>
  <c r="T1205" i="5"/>
  <c r="S1205" i="5"/>
  <c r="R1205" i="5"/>
  <c r="Q1205" i="5"/>
  <c r="M1205" i="5"/>
  <c r="L1205" i="5"/>
  <c r="C1205" i="5"/>
  <c r="N1205" i="5" s="1"/>
  <c r="B1205" i="5"/>
  <c r="T1204" i="5"/>
  <c r="S1204" i="5"/>
  <c r="R1204" i="5"/>
  <c r="Q1204" i="5"/>
  <c r="N1204" i="5"/>
  <c r="M1204" i="5"/>
  <c r="L1204" i="5"/>
  <c r="C1204" i="5"/>
  <c r="B1204" i="5"/>
  <c r="T1203" i="5"/>
  <c r="S1203" i="5"/>
  <c r="R1203" i="5"/>
  <c r="Q1203" i="5"/>
  <c r="N1203" i="5"/>
  <c r="M1203" i="5"/>
  <c r="L1203" i="5"/>
  <c r="C1203" i="5"/>
  <c r="B1203" i="5"/>
  <c r="T1202" i="5"/>
  <c r="S1202" i="5"/>
  <c r="R1202" i="5"/>
  <c r="Q1202" i="5"/>
  <c r="N1202" i="5"/>
  <c r="M1202" i="5"/>
  <c r="L1202" i="5"/>
  <c r="C1202" i="5"/>
  <c r="B1202" i="5"/>
  <c r="T1201" i="5"/>
  <c r="S1201" i="5"/>
  <c r="R1201" i="5"/>
  <c r="Q1201" i="5"/>
  <c r="N1201" i="5"/>
  <c r="M1201" i="5"/>
  <c r="L1201" i="5"/>
  <c r="C1201" i="5"/>
  <c r="B1201" i="5"/>
  <c r="T1200" i="5"/>
  <c r="S1200" i="5"/>
  <c r="R1200" i="5"/>
  <c r="Q1200" i="5"/>
  <c r="M1200" i="5"/>
  <c r="L1200" i="5"/>
  <c r="C1200" i="5"/>
  <c r="N1200" i="5" s="1"/>
  <c r="B1200" i="5"/>
  <c r="T1199" i="5"/>
  <c r="S1199" i="5"/>
  <c r="R1199" i="5"/>
  <c r="Q1199" i="5"/>
  <c r="N1199" i="5"/>
  <c r="M1199" i="5"/>
  <c r="L1199" i="5"/>
  <c r="C1199" i="5"/>
  <c r="B1199" i="5"/>
  <c r="T1198" i="5"/>
  <c r="S1198" i="5"/>
  <c r="R1198" i="5"/>
  <c r="Q1198" i="5"/>
  <c r="M1198" i="5"/>
  <c r="L1198" i="5"/>
  <c r="C1198" i="5"/>
  <c r="N1198" i="5" s="1"/>
  <c r="B1198" i="5"/>
  <c r="T1197" i="5"/>
  <c r="S1197" i="5"/>
  <c r="R1197" i="5"/>
  <c r="Q1197" i="5"/>
  <c r="M1197" i="5"/>
  <c r="L1197" i="5"/>
  <c r="C1197" i="5"/>
  <c r="N1197" i="5" s="1"/>
  <c r="B1197" i="5"/>
  <c r="T1196" i="5"/>
  <c r="S1196" i="5"/>
  <c r="R1196" i="5"/>
  <c r="Q1196" i="5"/>
  <c r="M1196" i="5"/>
  <c r="L1196" i="5"/>
  <c r="C1196" i="5"/>
  <c r="N1196" i="5" s="1"/>
  <c r="B1196" i="5"/>
  <c r="T1195" i="5"/>
  <c r="S1195" i="5"/>
  <c r="R1195" i="5"/>
  <c r="Q1195" i="5"/>
  <c r="M1195" i="5"/>
  <c r="L1195" i="5"/>
  <c r="C1195" i="5"/>
  <c r="N1195" i="5" s="1"/>
  <c r="B1195" i="5"/>
  <c r="T1194" i="5"/>
  <c r="S1194" i="5"/>
  <c r="R1194" i="5"/>
  <c r="Q1194" i="5"/>
  <c r="N1194" i="5"/>
  <c r="M1194" i="5"/>
  <c r="L1194" i="5"/>
  <c r="C1194" i="5"/>
  <c r="B1194" i="5"/>
  <c r="T1193" i="5"/>
  <c r="S1193" i="5"/>
  <c r="R1193" i="5"/>
  <c r="Q1193" i="5"/>
  <c r="N1193" i="5"/>
  <c r="M1193" i="5"/>
  <c r="L1193" i="5"/>
  <c r="C1193" i="5"/>
  <c r="B1193" i="5"/>
  <c r="T1192" i="5"/>
  <c r="S1192" i="5"/>
  <c r="R1192" i="5"/>
  <c r="Q1192" i="5"/>
  <c r="N1192" i="5"/>
  <c r="M1192" i="5"/>
  <c r="L1192" i="5"/>
  <c r="C1192" i="5"/>
  <c r="B1192" i="5"/>
  <c r="T1191" i="5"/>
  <c r="S1191" i="5"/>
  <c r="R1191" i="5"/>
  <c r="Q1191" i="5"/>
  <c r="N1191" i="5"/>
  <c r="M1191" i="5"/>
  <c r="L1191" i="5"/>
  <c r="C1191" i="5"/>
  <c r="B1191" i="5"/>
  <c r="T1190" i="5"/>
  <c r="S1190" i="5"/>
  <c r="R1190" i="5"/>
  <c r="Q1190" i="5"/>
  <c r="N1190" i="5"/>
  <c r="M1190" i="5"/>
  <c r="L1190" i="5"/>
  <c r="C1190" i="5"/>
  <c r="B1190" i="5"/>
  <c r="T1189" i="5"/>
  <c r="S1189" i="5"/>
  <c r="R1189" i="5"/>
  <c r="Q1189" i="5"/>
  <c r="N1189" i="5"/>
  <c r="M1189" i="5"/>
  <c r="L1189" i="5"/>
  <c r="C1189" i="5"/>
  <c r="B1189" i="5"/>
  <c r="T1188" i="5"/>
  <c r="S1188" i="5"/>
  <c r="R1188" i="5"/>
  <c r="Q1188" i="5"/>
  <c r="N1188" i="5"/>
  <c r="M1188" i="5"/>
  <c r="L1188" i="5"/>
  <c r="C1188" i="5"/>
  <c r="B1188" i="5"/>
  <c r="T1187" i="5"/>
  <c r="S1187" i="5"/>
  <c r="R1187" i="5"/>
  <c r="Q1187" i="5"/>
  <c r="M1187" i="5"/>
  <c r="L1187" i="5"/>
  <c r="C1187" i="5"/>
  <c r="N1187" i="5" s="1"/>
  <c r="B1187" i="5"/>
  <c r="T1186" i="5"/>
  <c r="S1186" i="5"/>
  <c r="R1186" i="5"/>
  <c r="Q1186" i="5"/>
  <c r="M1186" i="5"/>
  <c r="L1186" i="5"/>
  <c r="C1186" i="5"/>
  <c r="N1186" i="5" s="1"/>
  <c r="B1186" i="5"/>
  <c r="T1185" i="5"/>
  <c r="S1185" i="5"/>
  <c r="R1185" i="5"/>
  <c r="Q1185" i="5"/>
  <c r="M1185" i="5"/>
  <c r="L1185" i="5"/>
  <c r="C1185" i="5"/>
  <c r="N1185" i="5" s="1"/>
  <c r="B1185" i="5"/>
  <c r="T1184" i="5"/>
  <c r="S1184" i="5"/>
  <c r="R1184" i="5"/>
  <c r="Q1184" i="5"/>
  <c r="N1184" i="5"/>
  <c r="M1184" i="5"/>
  <c r="L1184" i="5"/>
  <c r="C1184" i="5"/>
  <c r="B1184" i="5"/>
  <c r="T1183" i="5"/>
  <c r="S1183" i="5"/>
  <c r="R1183" i="5"/>
  <c r="Q1183" i="5"/>
  <c r="N1183" i="5"/>
  <c r="M1183" i="5"/>
  <c r="L1183" i="5"/>
  <c r="C1183" i="5"/>
  <c r="B1183" i="5"/>
  <c r="T1182" i="5"/>
  <c r="S1182" i="5"/>
  <c r="R1182" i="5"/>
  <c r="Q1182" i="5"/>
  <c r="N1182" i="5"/>
  <c r="M1182" i="5"/>
  <c r="L1182" i="5"/>
  <c r="C1182" i="5"/>
  <c r="B1182" i="5"/>
  <c r="T1181" i="5"/>
  <c r="S1181" i="5"/>
  <c r="R1181" i="5"/>
  <c r="Q1181" i="5"/>
  <c r="N1181" i="5"/>
  <c r="M1181" i="5"/>
  <c r="L1181" i="5"/>
  <c r="C1181" i="5"/>
  <c r="B1181" i="5"/>
  <c r="T1180" i="5"/>
  <c r="S1180" i="5"/>
  <c r="R1180" i="5"/>
  <c r="Q1180" i="5"/>
  <c r="M1180" i="5"/>
  <c r="L1180" i="5"/>
  <c r="C1180" i="5"/>
  <c r="N1180" i="5" s="1"/>
  <c r="B1180" i="5"/>
  <c r="T1179" i="5"/>
  <c r="S1179" i="5"/>
  <c r="R1179" i="5"/>
  <c r="Q1179" i="5"/>
  <c r="N1179" i="5"/>
  <c r="M1179" i="5"/>
  <c r="L1179" i="5"/>
  <c r="C1179" i="5"/>
  <c r="B1179" i="5"/>
  <c r="T1178" i="5"/>
  <c r="S1178" i="5"/>
  <c r="R1178" i="5"/>
  <c r="Q1178" i="5"/>
  <c r="M1178" i="5"/>
  <c r="L1178" i="5"/>
  <c r="C1178" i="5"/>
  <c r="N1178" i="5" s="1"/>
  <c r="B1178" i="5"/>
  <c r="T1177" i="5"/>
  <c r="S1177" i="5"/>
  <c r="R1177" i="5"/>
  <c r="Q1177" i="5"/>
  <c r="M1177" i="5"/>
  <c r="L1177" i="5"/>
  <c r="C1177" i="5"/>
  <c r="N1177" i="5" s="1"/>
  <c r="B1177" i="5"/>
  <c r="T1176" i="5"/>
  <c r="S1176" i="5"/>
  <c r="R1176" i="5"/>
  <c r="Q1176" i="5"/>
  <c r="M1176" i="5"/>
  <c r="L1176" i="5"/>
  <c r="C1176" i="5"/>
  <c r="N1176" i="5" s="1"/>
  <c r="B1176" i="5"/>
  <c r="T1175" i="5"/>
  <c r="S1175" i="5"/>
  <c r="R1175" i="5"/>
  <c r="Q1175" i="5"/>
  <c r="M1175" i="5"/>
  <c r="L1175" i="5"/>
  <c r="C1175" i="5"/>
  <c r="N1175" i="5" s="1"/>
  <c r="B1175" i="5"/>
  <c r="T1174" i="5"/>
  <c r="S1174" i="5"/>
  <c r="R1174" i="5"/>
  <c r="Q1174" i="5"/>
  <c r="N1174" i="5"/>
  <c r="M1174" i="5"/>
  <c r="L1174" i="5"/>
  <c r="C1174" i="5"/>
  <c r="B1174" i="5"/>
  <c r="T1173" i="5"/>
  <c r="S1173" i="5"/>
  <c r="R1173" i="5"/>
  <c r="Q1173" i="5"/>
  <c r="N1173" i="5"/>
  <c r="M1173" i="5"/>
  <c r="L1173" i="5"/>
  <c r="C1173" i="5"/>
  <c r="B1173" i="5"/>
  <c r="T1172" i="5"/>
  <c r="S1172" i="5"/>
  <c r="R1172" i="5"/>
  <c r="Q1172" i="5"/>
  <c r="N1172" i="5"/>
  <c r="M1172" i="5"/>
  <c r="L1172" i="5"/>
  <c r="C1172" i="5"/>
  <c r="B1172" i="5"/>
  <c r="T1171" i="5"/>
  <c r="S1171" i="5"/>
  <c r="R1171" i="5"/>
  <c r="Q1171" i="5"/>
  <c r="N1171" i="5"/>
  <c r="M1171" i="5"/>
  <c r="L1171" i="5"/>
  <c r="C1171" i="5"/>
  <c r="B1171" i="5"/>
  <c r="T1170" i="5"/>
  <c r="S1170" i="5"/>
  <c r="R1170" i="5"/>
  <c r="Q1170" i="5"/>
  <c r="M1170" i="5"/>
  <c r="L1170" i="5"/>
  <c r="C1170" i="5"/>
  <c r="N1170" i="5" s="1"/>
  <c r="B1170" i="5"/>
  <c r="T1169" i="5"/>
  <c r="S1169" i="5"/>
  <c r="R1169" i="5"/>
  <c r="Q1169" i="5"/>
  <c r="N1169" i="5"/>
  <c r="M1169" i="5"/>
  <c r="L1169" i="5"/>
  <c r="C1169" i="5"/>
  <c r="B1169" i="5"/>
  <c r="T1168" i="5"/>
  <c r="S1168" i="5"/>
  <c r="R1168" i="5"/>
  <c r="Q1168" i="5"/>
  <c r="M1168" i="5"/>
  <c r="L1168" i="5"/>
  <c r="C1168" i="5"/>
  <c r="N1168" i="5" s="1"/>
  <c r="B1168" i="5"/>
  <c r="T1167" i="5"/>
  <c r="S1167" i="5"/>
  <c r="R1167" i="5"/>
  <c r="Q1167" i="5"/>
  <c r="M1167" i="5"/>
  <c r="L1167" i="5"/>
  <c r="C1167" i="5"/>
  <c r="N1167" i="5" s="1"/>
  <c r="B1167" i="5"/>
  <c r="T1166" i="5"/>
  <c r="S1166" i="5"/>
  <c r="R1166" i="5"/>
  <c r="Q1166" i="5"/>
  <c r="M1166" i="5"/>
  <c r="L1166" i="5"/>
  <c r="C1166" i="5"/>
  <c r="N1166" i="5" s="1"/>
  <c r="B1166" i="5"/>
  <c r="T1165" i="5"/>
  <c r="S1165" i="5"/>
  <c r="R1165" i="5"/>
  <c r="Q1165" i="5"/>
  <c r="M1165" i="5"/>
  <c r="L1165" i="5"/>
  <c r="C1165" i="5"/>
  <c r="N1165" i="5" s="1"/>
  <c r="B1165" i="5"/>
  <c r="T1164" i="5"/>
  <c r="S1164" i="5"/>
  <c r="R1164" i="5"/>
  <c r="Q1164" i="5"/>
  <c r="N1164" i="5"/>
  <c r="M1164" i="5"/>
  <c r="L1164" i="5"/>
  <c r="C1164" i="5"/>
  <c r="B1164" i="5"/>
  <c r="T1163" i="5"/>
  <c r="S1163" i="5"/>
  <c r="R1163" i="5"/>
  <c r="Q1163" i="5"/>
  <c r="N1163" i="5"/>
  <c r="M1163" i="5"/>
  <c r="L1163" i="5"/>
  <c r="C1163" i="5"/>
  <c r="B1163" i="5"/>
  <c r="T1162" i="5"/>
  <c r="S1162" i="5"/>
  <c r="R1162" i="5"/>
  <c r="Q1162" i="5"/>
  <c r="N1162" i="5"/>
  <c r="M1162" i="5"/>
  <c r="L1162" i="5"/>
  <c r="C1162" i="5"/>
  <c r="B1162" i="5"/>
  <c r="T1161" i="5"/>
  <c r="S1161" i="5"/>
  <c r="R1161" i="5"/>
  <c r="Q1161" i="5"/>
  <c r="N1161" i="5"/>
  <c r="M1161" i="5"/>
  <c r="L1161" i="5"/>
  <c r="C1161" i="5"/>
  <c r="B1161" i="5"/>
  <c r="T1160" i="5"/>
  <c r="S1160" i="5"/>
  <c r="R1160" i="5"/>
  <c r="Q1160" i="5"/>
  <c r="M1160" i="5"/>
  <c r="L1160" i="5"/>
  <c r="C1160" i="5"/>
  <c r="N1160" i="5" s="1"/>
  <c r="B1160" i="5"/>
  <c r="T1159" i="5"/>
  <c r="S1159" i="5"/>
  <c r="R1159" i="5"/>
  <c r="Q1159" i="5"/>
  <c r="N1159" i="5"/>
  <c r="M1159" i="5"/>
  <c r="L1159" i="5"/>
  <c r="C1159" i="5"/>
  <c r="B1159" i="5"/>
  <c r="T1158" i="5"/>
  <c r="S1158" i="5"/>
  <c r="R1158" i="5"/>
  <c r="Q1158" i="5"/>
  <c r="N1158" i="5"/>
  <c r="M1158" i="5"/>
  <c r="L1158" i="5"/>
  <c r="C1158" i="5"/>
  <c r="B1158" i="5"/>
  <c r="T1157" i="5"/>
  <c r="S1157" i="5"/>
  <c r="R1157" i="5"/>
  <c r="Q1157" i="5"/>
  <c r="M1157" i="5"/>
  <c r="L1157" i="5"/>
  <c r="C1157" i="5"/>
  <c r="N1157" i="5" s="1"/>
  <c r="B1157" i="5"/>
  <c r="T1156" i="5"/>
  <c r="S1156" i="5"/>
  <c r="R1156" i="5"/>
  <c r="Q1156" i="5"/>
  <c r="M1156" i="5"/>
  <c r="L1156" i="5"/>
  <c r="C1156" i="5"/>
  <c r="N1156" i="5" s="1"/>
  <c r="B1156" i="5"/>
  <c r="T1155" i="5"/>
  <c r="S1155" i="5"/>
  <c r="R1155" i="5"/>
  <c r="Q1155" i="5"/>
  <c r="M1155" i="5"/>
  <c r="L1155" i="5"/>
  <c r="C1155" i="5"/>
  <c r="N1155" i="5" s="1"/>
  <c r="B1155" i="5"/>
  <c r="T1154" i="5"/>
  <c r="S1154" i="5"/>
  <c r="R1154" i="5"/>
  <c r="Q1154" i="5"/>
  <c r="N1154" i="5"/>
  <c r="M1154" i="5"/>
  <c r="L1154" i="5"/>
  <c r="C1154" i="5"/>
  <c r="B1154" i="5"/>
  <c r="T1153" i="5"/>
  <c r="S1153" i="5"/>
  <c r="R1153" i="5"/>
  <c r="Q1153" i="5"/>
  <c r="N1153" i="5"/>
  <c r="M1153" i="5"/>
  <c r="L1153" i="5"/>
  <c r="C1153" i="5"/>
  <c r="B1153" i="5"/>
  <c r="T1152" i="5"/>
  <c r="S1152" i="5"/>
  <c r="R1152" i="5"/>
  <c r="Q1152" i="5"/>
  <c r="N1152" i="5"/>
  <c r="M1152" i="5"/>
  <c r="L1152" i="5"/>
  <c r="C1152" i="5"/>
  <c r="B1152" i="5"/>
  <c r="T1151" i="5"/>
  <c r="S1151" i="5"/>
  <c r="R1151" i="5"/>
  <c r="Q1151" i="5"/>
  <c r="N1151" i="5"/>
  <c r="M1151" i="5"/>
  <c r="L1151" i="5"/>
  <c r="C1151" i="5"/>
  <c r="B1151" i="5"/>
  <c r="T1150" i="5"/>
  <c r="S1150" i="5"/>
  <c r="R1150" i="5"/>
  <c r="Q1150" i="5"/>
  <c r="N1150" i="5"/>
  <c r="M1150" i="5"/>
  <c r="L1150" i="5"/>
  <c r="C1150" i="5"/>
  <c r="B1150" i="5"/>
  <c r="T1149" i="5"/>
  <c r="S1149" i="5"/>
  <c r="R1149" i="5"/>
  <c r="Q1149" i="5"/>
  <c r="N1149" i="5"/>
  <c r="M1149" i="5"/>
  <c r="L1149" i="5"/>
  <c r="C1149" i="5"/>
  <c r="B1149" i="5"/>
  <c r="T1148" i="5"/>
  <c r="S1148" i="5"/>
  <c r="R1148" i="5"/>
  <c r="Q1148" i="5"/>
  <c r="M1148" i="5"/>
  <c r="L1148" i="5"/>
  <c r="C1148" i="5"/>
  <c r="N1148" i="5" s="1"/>
  <c r="B1148" i="5"/>
  <c r="T1147" i="5"/>
  <c r="S1147" i="5"/>
  <c r="R1147" i="5"/>
  <c r="Q1147" i="5"/>
  <c r="M1147" i="5"/>
  <c r="L1147" i="5"/>
  <c r="C1147" i="5"/>
  <c r="N1147" i="5" s="1"/>
  <c r="B1147" i="5"/>
  <c r="T1146" i="5"/>
  <c r="S1146" i="5"/>
  <c r="R1146" i="5"/>
  <c r="Q1146" i="5"/>
  <c r="M1146" i="5"/>
  <c r="L1146" i="5"/>
  <c r="C1146" i="5"/>
  <c r="N1146" i="5" s="1"/>
  <c r="B1146" i="5"/>
  <c r="T1145" i="5"/>
  <c r="S1145" i="5"/>
  <c r="R1145" i="5"/>
  <c r="Q1145" i="5"/>
  <c r="M1145" i="5"/>
  <c r="L1145" i="5"/>
  <c r="C1145" i="5"/>
  <c r="N1145" i="5" s="1"/>
  <c r="B1145" i="5"/>
  <c r="T1144" i="5"/>
  <c r="S1144" i="5"/>
  <c r="R1144" i="5"/>
  <c r="Q1144" i="5"/>
  <c r="N1144" i="5"/>
  <c r="M1144" i="5"/>
  <c r="L1144" i="5"/>
  <c r="C1144" i="5"/>
  <c r="B1144" i="5"/>
  <c r="T1143" i="5"/>
  <c r="S1143" i="5"/>
  <c r="R1143" i="5"/>
  <c r="Q1143" i="5"/>
  <c r="N1143" i="5"/>
  <c r="M1143" i="5"/>
  <c r="L1143" i="5"/>
  <c r="C1143" i="5"/>
  <c r="B1143" i="5"/>
  <c r="T1142" i="5"/>
  <c r="S1142" i="5"/>
  <c r="R1142" i="5"/>
  <c r="Q1142" i="5"/>
  <c r="N1142" i="5"/>
  <c r="M1142" i="5"/>
  <c r="L1142" i="5"/>
  <c r="C1142" i="5"/>
  <c r="B1142" i="5"/>
  <c r="T1141" i="5"/>
  <c r="S1141" i="5"/>
  <c r="R1141" i="5"/>
  <c r="Q1141" i="5"/>
  <c r="N1141" i="5"/>
  <c r="M1141" i="5"/>
  <c r="L1141" i="5"/>
  <c r="C1141" i="5"/>
  <c r="B1141" i="5"/>
  <c r="T1140" i="5"/>
  <c r="S1140" i="5"/>
  <c r="R1140" i="5"/>
  <c r="Q1140" i="5"/>
  <c r="M1140" i="5"/>
  <c r="L1140" i="5"/>
  <c r="C1140" i="5"/>
  <c r="N1140" i="5" s="1"/>
  <c r="B1140" i="5"/>
  <c r="T1139" i="5"/>
  <c r="S1139" i="5"/>
  <c r="R1139" i="5"/>
  <c r="Q1139" i="5"/>
  <c r="N1139" i="5"/>
  <c r="M1139" i="5"/>
  <c r="L1139" i="5"/>
  <c r="C1139" i="5"/>
  <c r="B1139" i="5"/>
  <c r="T1138" i="5"/>
  <c r="S1138" i="5"/>
  <c r="R1138" i="5"/>
  <c r="Q1138" i="5"/>
  <c r="M1138" i="5"/>
  <c r="L1138" i="5"/>
  <c r="C1138" i="5"/>
  <c r="N1138" i="5" s="1"/>
  <c r="B1138" i="5"/>
  <c r="T1137" i="5"/>
  <c r="S1137" i="5"/>
  <c r="R1137" i="5"/>
  <c r="Q1137" i="5"/>
  <c r="M1137" i="5"/>
  <c r="L1137" i="5"/>
  <c r="C1137" i="5"/>
  <c r="N1137" i="5" s="1"/>
  <c r="B1137" i="5"/>
  <c r="T1136" i="5"/>
  <c r="S1136" i="5"/>
  <c r="R1136" i="5"/>
  <c r="Q1136" i="5"/>
  <c r="M1136" i="5"/>
  <c r="L1136" i="5"/>
  <c r="C1136" i="5"/>
  <c r="N1136" i="5" s="1"/>
  <c r="B1136" i="5"/>
  <c r="T1135" i="5"/>
  <c r="S1135" i="5"/>
  <c r="R1135" i="5"/>
  <c r="Q1135" i="5"/>
  <c r="M1135" i="5"/>
  <c r="L1135" i="5"/>
  <c r="C1135" i="5"/>
  <c r="N1135" i="5" s="1"/>
  <c r="B1135" i="5"/>
  <c r="T1134" i="5"/>
  <c r="S1134" i="5"/>
  <c r="R1134" i="5"/>
  <c r="Q1134" i="5"/>
  <c r="N1134" i="5"/>
  <c r="M1134" i="5"/>
  <c r="L1134" i="5"/>
  <c r="C1134" i="5"/>
  <c r="B1134" i="5"/>
  <c r="T1133" i="5"/>
  <c r="S1133" i="5"/>
  <c r="R1133" i="5"/>
  <c r="Q1133" i="5"/>
  <c r="N1133" i="5"/>
  <c r="M1133" i="5"/>
  <c r="L1133" i="5"/>
  <c r="C1133" i="5"/>
  <c r="B1133" i="5"/>
  <c r="T1132" i="5"/>
  <c r="S1132" i="5"/>
  <c r="R1132" i="5"/>
  <c r="Q1132" i="5"/>
  <c r="N1132" i="5"/>
  <c r="M1132" i="5"/>
  <c r="L1132" i="5"/>
  <c r="C1132" i="5"/>
  <c r="B1132" i="5"/>
  <c r="T1131" i="5"/>
  <c r="S1131" i="5"/>
  <c r="R1131" i="5"/>
  <c r="Q1131" i="5"/>
  <c r="N1131" i="5"/>
  <c r="M1131" i="5"/>
  <c r="L1131" i="5"/>
  <c r="C1131" i="5"/>
  <c r="B1131" i="5"/>
  <c r="T1130" i="5"/>
  <c r="S1130" i="5"/>
  <c r="R1130" i="5"/>
  <c r="Q1130" i="5"/>
  <c r="M1130" i="5"/>
  <c r="L1130" i="5"/>
  <c r="C1130" i="5"/>
  <c r="N1130" i="5" s="1"/>
  <c r="B1130" i="5"/>
  <c r="T1129" i="5"/>
  <c r="S1129" i="5"/>
  <c r="R1129" i="5"/>
  <c r="Q1129" i="5"/>
  <c r="N1129" i="5"/>
  <c r="M1129" i="5"/>
  <c r="L1129" i="5"/>
  <c r="C1129" i="5"/>
  <c r="B1129" i="5"/>
  <c r="T1128" i="5"/>
  <c r="S1128" i="5"/>
  <c r="R1128" i="5"/>
  <c r="Q1128" i="5"/>
  <c r="N1128" i="5"/>
  <c r="M1128" i="5"/>
  <c r="L1128" i="5"/>
  <c r="C1128" i="5"/>
  <c r="B1128" i="5"/>
  <c r="T1127" i="5"/>
  <c r="S1127" i="5"/>
  <c r="R1127" i="5"/>
  <c r="Q1127" i="5"/>
  <c r="M1127" i="5"/>
  <c r="L1127" i="5"/>
  <c r="C1127" i="5"/>
  <c r="N1127" i="5" s="1"/>
  <c r="B1127" i="5"/>
  <c r="T1126" i="5"/>
  <c r="S1126" i="5"/>
  <c r="R1126" i="5"/>
  <c r="Q1126" i="5"/>
  <c r="M1126" i="5"/>
  <c r="L1126" i="5"/>
  <c r="C1126" i="5"/>
  <c r="N1126" i="5" s="1"/>
  <c r="B1126" i="5"/>
  <c r="T1125" i="5"/>
  <c r="S1125" i="5"/>
  <c r="R1125" i="5"/>
  <c r="Q1125" i="5"/>
  <c r="M1125" i="5"/>
  <c r="L1125" i="5"/>
  <c r="C1125" i="5"/>
  <c r="N1125" i="5" s="1"/>
  <c r="B1125" i="5"/>
  <c r="T1124" i="5"/>
  <c r="S1124" i="5"/>
  <c r="R1124" i="5"/>
  <c r="Q1124" i="5"/>
  <c r="N1124" i="5"/>
  <c r="M1124" i="5"/>
  <c r="L1124" i="5"/>
  <c r="C1124" i="5"/>
  <c r="B1124" i="5"/>
  <c r="T1123" i="5"/>
  <c r="S1123" i="5"/>
  <c r="R1123" i="5"/>
  <c r="Q1123" i="5"/>
  <c r="N1123" i="5"/>
  <c r="M1123" i="5"/>
  <c r="L1123" i="5"/>
  <c r="C1123" i="5"/>
  <c r="B1123" i="5"/>
  <c r="T1122" i="5"/>
  <c r="S1122" i="5"/>
  <c r="R1122" i="5"/>
  <c r="Q1122" i="5"/>
  <c r="N1122" i="5"/>
  <c r="M1122" i="5"/>
  <c r="L1122" i="5"/>
  <c r="C1122" i="5"/>
  <c r="B1122" i="5"/>
  <c r="T1121" i="5"/>
  <c r="S1121" i="5"/>
  <c r="R1121" i="5"/>
  <c r="Q1121" i="5"/>
  <c r="N1121" i="5"/>
  <c r="M1121" i="5"/>
  <c r="L1121" i="5"/>
  <c r="C1121" i="5"/>
  <c r="B1121" i="5"/>
  <c r="T1120" i="5"/>
  <c r="S1120" i="5"/>
  <c r="R1120" i="5"/>
  <c r="Q1120" i="5"/>
  <c r="N1120" i="5"/>
  <c r="M1120" i="5"/>
  <c r="L1120" i="5"/>
  <c r="C1120" i="5"/>
  <c r="B1120" i="5"/>
  <c r="T1119" i="5"/>
  <c r="S1119" i="5"/>
  <c r="R1119" i="5"/>
  <c r="Q1119" i="5"/>
  <c r="N1119" i="5"/>
  <c r="M1119" i="5"/>
  <c r="L1119" i="5"/>
  <c r="C1119" i="5"/>
  <c r="B1119" i="5"/>
  <c r="T1118" i="5"/>
  <c r="S1118" i="5"/>
  <c r="R1118" i="5"/>
  <c r="Q1118" i="5"/>
  <c r="M1118" i="5"/>
  <c r="L1118" i="5"/>
  <c r="C1118" i="5"/>
  <c r="N1118" i="5" s="1"/>
  <c r="B1118" i="5"/>
  <c r="T1117" i="5"/>
  <c r="S1117" i="5"/>
  <c r="R1117" i="5"/>
  <c r="Q1117" i="5"/>
  <c r="M1117" i="5"/>
  <c r="L1117" i="5"/>
  <c r="C1117" i="5"/>
  <c r="N1117" i="5" s="1"/>
  <c r="B1117" i="5"/>
  <c r="T1116" i="5"/>
  <c r="S1116" i="5"/>
  <c r="R1116" i="5"/>
  <c r="Q1116" i="5"/>
  <c r="M1116" i="5"/>
  <c r="L1116" i="5"/>
  <c r="C1116" i="5"/>
  <c r="N1116" i="5" s="1"/>
  <c r="B1116" i="5"/>
  <c r="T1115" i="5"/>
  <c r="S1115" i="5"/>
  <c r="R1115" i="5"/>
  <c r="Q1115" i="5"/>
  <c r="M1115" i="5"/>
  <c r="L1115" i="5"/>
  <c r="C1115" i="5"/>
  <c r="N1115" i="5" s="1"/>
  <c r="B1115" i="5"/>
  <c r="T1114" i="5"/>
  <c r="S1114" i="5"/>
  <c r="R1114" i="5"/>
  <c r="Q1114" i="5"/>
  <c r="N1114" i="5"/>
  <c r="M1114" i="5"/>
  <c r="L1114" i="5"/>
  <c r="C1114" i="5"/>
  <c r="B1114" i="5"/>
  <c r="T1113" i="5"/>
  <c r="S1113" i="5"/>
  <c r="R1113" i="5"/>
  <c r="Q1113" i="5"/>
  <c r="N1113" i="5"/>
  <c r="M1113" i="5"/>
  <c r="L1113" i="5"/>
  <c r="C1113" i="5"/>
  <c r="B1113" i="5"/>
  <c r="T1112" i="5"/>
  <c r="S1112" i="5"/>
  <c r="R1112" i="5"/>
  <c r="Q1112" i="5"/>
  <c r="N1112" i="5"/>
  <c r="M1112" i="5"/>
  <c r="L1112" i="5"/>
  <c r="C1112" i="5"/>
  <c r="B1112" i="5"/>
  <c r="T1111" i="5"/>
  <c r="S1111" i="5"/>
  <c r="R1111" i="5"/>
  <c r="Q1111" i="5"/>
  <c r="N1111" i="5"/>
  <c r="M1111" i="5"/>
  <c r="L1111" i="5"/>
  <c r="C1111" i="5"/>
  <c r="B1111" i="5"/>
  <c r="T1110" i="5"/>
  <c r="S1110" i="5"/>
  <c r="R1110" i="5"/>
  <c r="Q1110" i="5"/>
  <c r="M1110" i="5"/>
  <c r="L1110" i="5"/>
  <c r="C1110" i="5"/>
  <c r="N1110" i="5" s="1"/>
  <c r="B1110" i="5"/>
  <c r="T1109" i="5"/>
  <c r="S1109" i="5"/>
  <c r="R1109" i="5"/>
  <c r="Q1109" i="5"/>
  <c r="N1109" i="5"/>
  <c r="M1109" i="5"/>
  <c r="L1109" i="5"/>
  <c r="C1109" i="5"/>
  <c r="B1109" i="5"/>
  <c r="T1108" i="5"/>
  <c r="S1108" i="5"/>
  <c r="R1108" i="5"/>
  <c r="Q1108" i="5"/>
  <c r="M1108" i="5"/>
  <c r="L1108" i="5"/>
  <c r="C1108" i="5"/>
  <c r="N1108" i="5" s="1"/>
  <c r="B1108" i="5"/>
  <c r="T1107" i="5"/>
  <c r="S1107" i="5"/>
  <c r="R1107" i="5"/>
  <c r="Q1107" i="5"/>
  <c r="M1107" i="5"/>
  <c r="L1107" i="5"/>
  <c r="C1107" i="5"/>
  <c r="N1107" i="5" s="1"/>
  <c r="B1107" i="5"/>
  <c r="T1106" i="5"/>
  <c r="S1106" i="5"/>
  <c r="R1106" i="5"/>
  <c r="Q1106" i="5"/>
  <c r="M1106" i="5"/>
  <c r="L1106" i="5"/>
  <c r="C1106" i="5"/>
  <c r="N1106" i="5" s="1"/>
  <c r="B1106" i="5"/>
  <c r="T1105" i="5"/>
  <c r="S1105" i="5"/>
  <c r="R1105" i="5"/>
  <c r="Q1105" i="5"/>
  <c r="M1105" i="5"/>
  <c r="L1105" i="5"/>
  <c r="C1105" i="5"/>
  <c r="N1105" i="5" s="1"/>
  <c r="B1105" i="5"/>
  <c r="T1104" i="5"/>
  <c r="S1104" i="5"/>
  <c r="R1104" i="5"/>
  <c r="Q1104" i="5"/>
  <c r="N1104" i="5"/>
  <c r="M1104" i="5"/>
  <c r="L1104" i="5"/>
  <c r="C1104" i="5"/>
  <c r="B1104" i="5"/>
  <c r="T1103" i="5"/>
  <c r="S1103" i="5"/>
  <c r="R1103" i="5"/>
  <c r="Q1103" i="5"/>
  <c r="N1103" i="5"/>
  <c r="M1103" i="5"/>
  <c r="L1103" i="5"/>
  <c r="C1103" i="5"/>
  <c r="B1103" i="5"/>
  <c r="T1102" i="5"/>
  <c r="S1102" i="5"/>
  <c r="R1102" i="5"/>
  <c r="Q1102" i="5"/>
  <c r="N1102" i="5"/>
  <c r="M1102" i="5"/>
  <c r="L1102" i="5"/>
  <c r="C1102" i="5"/>
  <c r="B1102" i="5"/>
  <c r="T1101" i="5"/>
  <c r="S1101" i="5"/>
  <c r="R1101" i="5"/>
  <c r="Q1101" i="5"/>
  <c r="N1101" i="5"/>
  <c r="M1101" i="5"/>
  <c r="L1101" i="5"/>
  <c r="C1101" i="5"/>
  <c r="B1101" i="5"/>
  <c r="T1100" i="5"/>
  <c r="S1100" i="5"/>
  <c r="R1100" i="5"/>
  <c r="Q1100" i="5"/>
  <c r="M1100" i="5"/>
  <c r="L1100" i="5"/>
  <c r="C1100" i="5"/>
  <c r="N1100" i="5" s="1"/>
  <c r="B1100" i="5"/>
  <c r="T1099" i="5"/>
  <c r="S1099" i="5"/>
  <c r="R1099" i="5"/>
  <c r="Q1099" i="5"/>
  <c r="N1099" i="5"/>
  <c r="M1099" i="5"/>
  <c r="L1099" i="5"/>
  <c r="C1099" i="5"/>
  <c r="B1099" i="5"/>
  <c r="T1098" i="5"/>
  <c r="S1098" i="5"/>
  <c r="R1098" i="5"/>
  <c r="Q1098" i="5"/>
  <c r="M1098" i="5"/>
  <c r="L1098" i="5"/>
  <c r="C1098" i="5"/>
  <c r="N1098" i="5" s="1"/>
  <c r="B1098" i="5"/>
  <c r="T1097" i="5"/>
  <c r="S1097" i="5"/>
  <c r="R1097" i="5"/>
  <c r="Q1097" i="5"/>
  <c r="M1097" i="5"/>
  <c r="L1097" i="5"/>
  <c r="C1097" i="5"/>
  <c r="N1097" i="5" s="1"/>
  <c r="B1097" i="5"/>
  <c r="T1096" i="5"/>
  <c r="S1096" i="5"/>
  <c r="R1096" i="5"/>
  <c r="Q1096" i="5"/>
  <c r="M1096" i="5"/>
  <c r="L1096" i="5"/>
  <c r="C1096" i="5"/>
  <c r="N1096" i="5" s="1"/>
  <c r="B1096" i="5"/>
  <c r="T1095" i="5"/>
  <c r="S1095" i="5"/>
  <c r="R1095" i="5"/>
  <c r="Q1095" i="5"/>
  <c r="M1095" i="5"/>
  <c r="L1095" i="5"/>
  <c r="C1095" i="5"/>
  <c r="N1095" i="5" s="1"/>
  <c r="B1095" i="5"/>
  <c r="T1094" i="5"/>
  <c r="S1094" i="5"/>
  <c r="R1094" i="5"/>
  <c r="Q1094" i="5"/>
  <c r="N1094" i="5"/>
  <c r="M1094" i="5"/>
  <c r="L1094" i="5"/>
  <c r="C1094" i="5"/>
  <c r="B1094" i="5"/>
  <c r="T1093" i="5"/>
  <c r="S1093" i="5"/>
  <c r="R1093" i="5"/>
  <c r="Q1093" i="5"/>
  <c r="N1093" i="5"/>
  <c r="M1093" i="5"/>
  <c r="L1093" i="5"/>
  <c r="C1093" i="5"/>
  <c r="B1093" i="5"/>
  <c r="T1092" i="5"/>
  <c r="S1092" i="5"/>
  <c r="R1092" i="5"/>
  <c r="Q1092" i="5"/>
  <c r="N1092" i="5"/>
  <c r="M1092" i="5"/>
  <c r="L1092" i="5"/>
  <c r="C1092" i="5"/>
  <c r="B1092" i="5"/>
  <c r="T1091" i="5"/>
  <c r="S1091" i="5"/>
  <c r="R1091" i="5"/>
  <c r="Q1091" i="5"/>
  <c r="N1091" i="5"/>
  <c r="M1091" i="5"/>
  <c r="L1091" i="5"/>
  <c r="C1091" i="5"/>
  <c r="B1091" i="5"/>
  <c r="T1090" i="5"/>
  <c r="S1090" i="5"/>
  <c r="R1090" i="5"/>
  <c r="Q1090" i="5"/>
  <c r="N1090" i="5"/>
  <c r="M1090" i="5"/>
  <c r="L1090" i="5"/>
  <c r="C1090" i="5"/>
  <c r="B1090" i="5"/>
  <c r="T1089" i="5"/>
  <c r="S1089" i="5"/>
  <c r="R1089" i="5"/>
  <c r="Q1089" i="5"/>
  <c r="N1089" i="5"/>
  <c r="M1089" i="5"/>
  <c r="L1089" i="5"/>
  <c r="C1089" i="5"/>
  <c r="B1089" i="5"/>
  <c r="T1088" i="5"/>
  <c r="S1088" i="5"/>
  <c r="R1088" i="5"/>
  <c r="Q1088" i="5"/>
  <c r="N1088" i="5"/>
  <c r="M1088" i="5"/>
  <c r="L1088" i="5"/>
  <c r="C1088" i="5"/>
  <c r="B1088" i="5"/>
  <c r="T1087" i="5"/>
  <c r="S1087" i="5"/>
  <c r="R1087" i="5"/>
  <c r="Q1087" i="5"/>
  <c r="M1087" i="5"/>
  <c r="L1087" i="5"/>
  <c r="C1087" i="5"/>
  <c r="N1087" i="5" s="1"/>
  <c r="B1087" i="5"/>
  <c r="T1086" i="5"/>
  <c r="S1086" i="5"/>
  <c r="R1086" i="5"/>
  <c r="Q1086" i="5"/>
  <c r="M1086" i="5"/>
  <c r="L1086" i="5"/>
  <c r="C1086" i="5"/>
  <c r="N1086" i="5" s="1"/>
  <c r="B1086" i="5"/>
  <c r="T1085" i="5"/>
  <c r="S1085" i="5"/>
  <c r="R1085" i="5"/>
  <c r="Q1085" i="5"/>
  <c r="M1085" i="5"/>
  <c r="L1085" i="5"/>
  <c r="C1085" i="5"/>
  <c r="N1085" i="5" s="1"/>
  <c r="B1085" i="5"/>
  <c r="T1084" i="5"/>
  <c r="S1084" i="5"/>
  <c r="R1084" i="5"/>
  <c r="Q1084" i="5"/>
  <c r="N1084" i="5"/>
  <c r="M1084" i="5"/>
  <c r="L1084" i="5"/>
  <c r="C1084" i="5"/>
  <c r="B1084" i="5"/>
  <c r="T1083" i="5"/>
  <c r="S1083" i="5"/>
  <c r="R1083" i="5"/>
  <c r="Q1083" i="5"/>
  <c r="N1083" i="5"/>
  <c r="M1083" i="5"/>
  <c r="L1083" i="5"/>
  <c r="C1083" i="5"/>
  <c r="B1083" i="5"/>
  <c r="T1082" i="5"/>
  <c r="S1082" i="5"/>
  <c r="R1082" i="5"/>
  <c r="Q1082" i="5"/>
  <c r="N1082" i="5"/>
  <c r="M1082" i="5"/>
  <c r="L1082" i="5"/>
  <c r="C1082" i="5"/>
  <c r="B1082" i="5"/>
  <c r="T1081" i="5"/>
  <c r="S1081" i="5"/>
  <c r="R1081" i="5"/>
  <c r="Q1081" i="5"/>
  <c r="N1081" i="5"/>
  <c r="M1081" i="5"/>
  <c r="L1081" i="5"/>
  <c r="C1081" i="5"/>
  <c r="B1081" i="5"/>
  <c r="T1080" i="5"/>
  <c r="S1080" i="5"/>
  <c r="R1080" i="5"/>
  <c r="Q1080" i="5"/>
  <c r="M1080" i="5"/>
  <c r="L1080" i="5"/>
  <c r="C1080" i="5"/>
  <c r="N1080" i="5" s="1"/>
  <c r="B1080" i="5"/>
  <c r="T1079" i="5"/>
  <c r="S1079" i="5"/>
  <c r="R1079" i="5"/>
  <c r="Q1079" i="5"/>
  <c r="N1079" i="5"/>
  <c r="M1079" i="5"/>
  <c r="L1079" i="5"/>
  <c r="C1079" i="5"/>
  <c r="B1079" i="5"/>
  <c r="T1078" i="5"/>
  <c r="S1078" i="5"/>
  <c r="R1078" i="5"/>
  <c r="Q1078" i="5"/>
  <c r="M1078" i="5"/>
  <c r="L1078" i="5"/>
  <c r="C1078" i="5"/>
  <c r="N1078" i="5" s="1"/>
  <c r="B1078" i="5"/>
  <c r="T1077" i="5"/>
  <c r="S1077" i="5"/>
  <c r="R1077" i="5"/>
  <c r="Q1077" i="5"/>
  <c r="M1077" i="5"/>
  <c r="L1077" i="5"/>
  <c r="C1077" i="5"/>
  <c r="N1077" i="5" s="1"/>
  <c r="B1077" i="5"/>
  <c r="T1076" i="5"/>
  <c r="S1076" i="5"/>
  <c r="R1076" i="5"/>
  <c r="Q1076" i="5"/>
  <c r="M1076" i="5"/>
  <c r="L1076" i="5"/>
  <c r="C1076" i="5"/>
  <c r="N1076" i="5" s="1"/>
  <c r="B1076" i="5"/>
  <c r="T1075" i="5"/>
  <c r="S1075" i="5"/>
  <c r="R1075" i="5"/>
  <c r="Q1075" i="5"/>
  <c r="M1075" i="5"/>
  <c r="L1075" i="5"/>
  <c r="C1075" i="5"/>
  <c r="N1075" i="5" s="1"/>
  <c r="B1075" i="5"/>
  <c r="T1074" i="5"/>
  <c r="S1074" i="5"/>
  <c r="R1074" i="5"/>
  <c r="Q1074" i="5"/>
  <c r="N1074" i="5"/>
  <c r="M1074" i="5"/>
  <c r="L1074" i="5"/>
  <c r="C1074" i="5"/>
  <c r="B1074" i="5"/>
  <c r="T1073" i="5"/>
  <c r="S1073" i="5"/>
  <c r="R1073" i="5"/>
  <c r="Q1073" i="5"/>
  <c r="N1073" i="5"/>
  <c r="M1073" i="5"/>
  <c r="L1073" i="5"/>
  <c r="C1073" i="5"/>
  <c r="B1073" i="5"/>
  <c r="T1072" i="5"/>
  <c r="S1072" i="5"/>
  <c r="R1072" i="5"/>
  <c r="Q1072" i="5"/>
  <c r="N1072" i="5"/>
  <c r="M1072" i="5"/>
  <c r="L1072" i="5"/>
  <c r="C1072" i="5"/>
  <c r="B1072" i="5"/>
  <c r="T1071" i="5"/>
  <c r="S1071" i="5"/>
  <c r="R1071" i="5"/>
  <c r="Q1071" i="5"/>
  <c r="N1071" i="5"/>
  <c r="M1071" i="5"/>
  <c r="L1071" i="5"/>
  <c r="C1071" i="5"/>
  <c r="B1071" i="5"/>
  <c r="T1070" i="5"/>
  <c r="S1070" i="5"/>
  <c r="R1070" i="5"/>
  <c r="Q1070" i="5"/>
  <c r="M1070" i="5"/>
  <c r="L1070" i="5"/>
  <c r="C1070" i="5"/>
  <c r="N1070" i="5" s="1"/>
  <c r="B1070" i="5"/>
  <c r="T1069" i="5"/>
  <c r="S1069" i="5"/>
  <c r="R1069" i="5"/>
  <c r="Q1069" i="5"/>
  <c r="N1069" i="5"/>
  <c r="M1069" i="5"/>
  <c r="L1069" i="5"/>
  <c r="C1069" i="5"/>
  <c r="B1069" i="5"/>
  <c r="T1068" i="5"/>
  <c r="S1068" i="5"/>
  <c r="R1068" i="5"/>
  <c r="Q1068" i="5"/>
  <c r="M1068" i="5"/>
  <c r="L1068" i="5"/>
  <c r="C1068" i="5"/>
  <c r="N1068" i="5" s="1"/>
  <c r="B1068" i="5"/>
  <c r="T1067" i="5"/>
  <c r="S1067" i="5"/>
  <c r="R1067" i="5"/>
  <c r="Q1067" i="5"/>
  <c r="M1067" i="5"/>
  <c r="L1067" i="5"/>
  <c r="C1067" i="5"/>
  <c r="N1067" i="5" s="1"/>
  <c r="B1067" i="5"/>
  <c r="T1066" i="5"/>
  <c r="S1066" i="5"/>
  <c r="R1066" i="5"/>
  <c r="Q1066" i="5"/>
  <c r="M1066" i="5"/>
  <c r="L1066" i="5"/>
  <c r="C1066" i="5"/>
  <c r="N1066" i="5" s="1"/>
  <c r="B1066" i="5"/>
  <c r="T1065" i="5"/>
  <c r="S1065" i="5"/>
  <c r="R1065" i="5"/>
  <c r="Q1065" i="5"/>
  <c r="M1065" i="5"/>
  <c r="L1065" i="5"/>
  <c r="C1065" i="5"/>
  <c r="N1065" i="5" s="1"/>
  <c r="B1065" i="5"/>
  <c r="T1064" i="5"/>
  <c r="S1064" i="5"/>
  <c r="R1064" i="5"/>
  <c r="Q1064" i="5"/>
  <c r="N1064" i="5"/>
  <c r="M1064" i="5"/>
  <c r="L1064" i="5"/>
  <c r="C1064" i="5"/>
  <c r="B1064" i="5"/>
  <c r="T1063" i="5"/>
  <c r="S1063" i="5"/>
  <c r="R1063" i="5"/>
  <c r="Q1063" i="5"/>
  <c r="N1063" i="5"/>
  <c r="M1063" i="5"/>
  <c r="L1063" i="5"/>
  <c r="C1063" i="5"/>
  <c r="B1063" i="5"/>
  <c r="T1062" i="5"/>
  <c r="S1062" i="5"/>
  <c r="R1062" i="5"/>
  <c r="Q1062" i="5"/>
  <c r="N1062" i="5"/>
  <c r="M1062" i="5"/>
  <c r="L1062" i="5"/>
  <c r="C1062" i="5"/>
  <c r="B1062" i="5"/>
  <c r="T1061" i="5"/>
  <c r="S1061" i="5"/>
  <c r="R1061" i="5"/>
  <c r="Q1061" i="5"/>
  <c r="N1061" i="5"/>
  <c r="M1061" i="5"/>
  <c r="L1061" i="5"/>
  <c r="C1061" i="5"/>
  <c r="B1061" i="5"/>
  <c r="T1060" i="5"/>
  <c r="S1060" i="5"/>
  <c r="R1060" i="5"/>
  <c r="Q1060" i="5"/>
  <c r="M1060" i="5"/>
  <c r="L1060" i="5"/>
  <c r="C1060" i="5"/>
  <c r="N1060" i="5" s="1"/>
  <c r="B1060" i="5"/>
  <c r="T1059" i="5"/>
  <c r="S1059" i="5"/>
  <c r="R1059" i="5"/>
  <c r="Q1059" i="5"/>
  <c r="N1059" i="5"/>
  <c r="M1059" i="5"/>
  <c r="L1059" i="5"/>
  <c r="C1059" i="5"/>
  <c r="B1059" i="5"/>
  <c r="T1058" i="5"/>
  <c r="S1058" i="5"/>
  <c r="R1058" i="5"/>
  <c r="Q1058" i="5"/>
  <c r="N1058" i="5"/>
  <c r="M1058" i="5"/>
  <c r="L1058" i="5"/>
  <c r="C1058" i="5"/>
  <c r="B1058" i="5"/>
  <c r="T1057" i="5"/>
  <c r="S1057" i="5"/>
  <c r="R1057" i="5"/>
  <c r="Q1057" i="5"/>
  <c r="M1057" i="5"/>
  <c r="L1057" i="5"/>
  <c r="C1057" i="5"/>
  <c r="N1057" i="5" s="1"/>
  <c r="B1057" i="5"/>
  <c r="T1056" i="5"/>
  <c r="S1056" i="5"/>
  <c r="R1056" i="5"/>
  <c r="Q1056" i="5"/>
  <c r="M1056" i="5"/>
  <c r="L1056" i="5"/>
  <c r="C1056" i="5"/>
  <c r="N1056" i="5" s="1"/>
  <c r="B1056" i="5"/>
  <c r="T1055" i="5"/>
  <c r="S1055" i="5"/>
  <c r="R1055" i="5"/>
  <c r="Q1055" i="5"/>
  <c r="M1055" i="5"/>
  <c r="L1055" i="5"/>
  <c r="C1055" i="5"/>
  <c r="N1055" i="5" s="1"/>
  <c r="B1055" i="5"/>
  <c r="T1054" i="5"/>
  <c r="S1054" i="5"/>
  <c r="R1054" i="5"/>
  <c r="Q1054" i="5"/>
  <c r="N1054" i="5"/>
  <c r="M1054" i="5"/>
  <c r="L1054" i="5"/>
  <c r="C1054" i="5"/>
  <c r="B1054" i="5"/>
  <c r="T1053" i="5"/>
  <c r="S1053" i="5"/>
  <c r="R1053" i="5"/>
  <c r="Q1053" i="5"/>
  <c r="N1053" i="5"/>
  <c r="M1053" i="5"/>
  <c r="L1053" i="5"/>
  <c r="C1053" i="5"/>
  <c r="B1053" i="5"/>
  <c r="T1052" i="5"/>
  <c r="S1052" i="5"/>
  <c r="R1052" i="5"/>
  <c r="Q1052" i="5"/>
  <c r="N1052" i="5"/>
  <c r="M1052" i="5"/>
  <c r="L1052" i="5"/>
  <c r="C1052" i="5"/>
  <c r="B1052" i="5"/>
  <c r="T1051" i="5"/>
  <c r="S1051" i="5"/>
  <c r="R1051" i="5"/>
  <c r="Q1051" i="5"/>
  <c r="N1051" i="5"/>
  <c r="M1051" i="5"/>
  <c r="L1051" i="5"/>
  <c r="C1051" i="5"/>
  <c r="B1051" i="5"/>
  <c r="T1050" i="5"/>
  <c r="S1050" i="5"/>
  <c r="R1050" i="5"/>
  <c r="Q1050" i="5"/>
  <c r="N1050" i="5"/>
  <c r="M1050" i="5"/>
  <c r="L1050" i="5"/>
  <c r="C1050" i="5"/>
  <c r="B1050" i="5"/>
  <c r="T1049" i="5"/>
  <c r="S1049" i="5"/>
  <c r="R1049" i="5"/>
  <c r="Q1049" i="5"/>
  <c r="N1049" i="5"/>
  <c r="M1049" i="5"/>
  <c r="L1049" i="5"/>
  <c r="C1049" i="5"/>
  <c r="B1049" i="5"/>
  <c r="T1048" i="5"/>
  <c r="S1048" i="5"/>
  <c r="R1048" i="5"/>
  <c r="Q1048" i="5"/>
  <c r="M1048" i="5"/>
  <c r="L1048" i="5"/>
  <c r="C1048" i="5"/>
  <c r="N1048" i="5" s="1"/>
  <c r="B1048" i="5"/>
  <c r="T1047" i="5"/>
  <c r="S1047" i="5"/>
  <c r="R1047" i="5"/>
  <c r="Q1047" i="5"/>
  <c r="M1047" i="5"/>
  <c r="L1047" i="5"/>
  <c r="C1047" i="5"/>
  <c r="N1047" i="5" s="1"/>
  <c r="B1047" i="5"/>
  <c r="T1046" i="5"/>
  <c r="S1046" i="5"/>
  <c r="R1046" i="5"/>
  <c r="Q1046" i="5"/>
  <c r="M1046" i="5"/>
  <c r="L1046" i="5"/>
  <c r="C1046" i="5"/>
  <c r="N1046" i="5" s="1"/>
  <c r="B1046" i="5"/>
  <c r="T1045" i="5"/>
  <c r="S1045" i="5"/>
  <c r="R1045" i="5"/>
  <c r="Q1045" i="5"/>
  <c r="M1045" i="5"/>
  <c r="L1045" i="5"/>
  <c r="C1045" i="5"/>
  <c r="N1045" i="5" s="1"/>
  <c r="B1045" i="5"/>
  <c r="T1044" i="5"/>
  <c r="S1044" i="5"/>
  <c r="R1044" i="5"/>
  <c r="Q1044" i="5"/>
  <c r="N1044" i="5"/>
  <c r="M1044" i="5"/>
  <c r="L1044" i="5"/>
  <c r="C1044" i="5"/>
  <c r="B1044" i="5"/>
  <c r="T1043" i="5"/>
  <c r="S1043" i="5"/>
  <c r="R1043" i="5"/>
  <c r="Q1043" i="5"/>
  <c r="N1043" i="5"/>
  <c r="M1043" i="5"/>
  <c r="L1043" i="5"/>
  <c r="C1043" i="5"/>
  <c r="B1043" i="5"/>
  <c r="T1042" i="5"/>
  <c r="S1042" i="5"/>
  <c r="R1042" i="5"/>
  <c r="Q1042" i="5"/>
  <c r="N1042" i="5"/>
  <c r="M1042" i="5"/>
  <c r="L1042" i="5"/>
  <c r="C1042" i="5"/>
  <c r="B1042" i="5"/>
  <c r="T1041" i="5"/>
  <c r="S1041" i="5"/>
  <c r="R1041" i="5"/>
  <c r="Q1041" i="5"/>
  <c r="N1041" i="5"/>
  <c r="M1041" i="5"/>
  <c r="L1041" i="5"/>
  <c r="C1041" i="5"/>
  <c r="B1041" i="5"/>
  <c r="T1040" i="5"/>
  <c r="S1040" i="5"/>
  <c r="R1040" i="5"/>
  <c r="Q1040" i="5"/>
  <c r="M1040" i="5"/>
  <c r="L1040" i="5"/>
  <c r="C1040" i="5"/>
  <c r="N1040" i="5" s="1"/>
  <c r="B1040" i="5"/>
  <c r="T1039" i="5"/>
  <c r="S1039" i="5"/>
  <c r="R1039" i="5"/>
  <c r="Q1039" i="5"/>
  <c r="N1039" i="5"/>
  <c r="M1039" i="5"/>
  <c r="L1039" i="5"/>
  <c r="C1039" i="5"/>
  <c r="B1039" i="5"/>
  <c r="T1038" i="5"/>
  <c r="S1038" i="5"/>
  <c r="R1038" i="5"/>
  <c r="Q1038" i="5"/>
  <c r="M1038" i="5"/>
  <c r="L1038" i="5"/>
  <c r="C1038" i="5"/>
  <c r="N1038" i="5" s="1"/>
  <c r="B1038" i="5"/>
  <c r="T1037" i="5"/>
  <c r="S1037" i="5"/>
  <c r="R1037" i="5"/>
  <c r="Q1037" i="5"/>
  <c r="M1037" i="5"/>
  <c r="L1037" i="5"/>
  <c r="C1037" i="5"/>
  <c r="N1037" i="5" s="1"/>
  <c r="B1037" i="5"/>
  <c r="T1036" i="5"/>
  <c r="S1036" i="5"/>
  <c r="R1036" i="5"/>
  <c r="Q1036" i="5"/>
  <c r="M1036" i="5"/>
  <c r="L1036" i="5"/>
  <c r="C1036" i="5"/>
  <c r="N1036" i="5" s="1"/>
  <c r="B1036" i="5"/>
  <c r="T1035" i="5"/>
  <c r="S1035" i="5"/>
  <c r="R1035" i="5"/>
  <c r="Q1035" i="5"/>
  <c r="M1035" i="5"/>
  <c r="L1035" i="5"/>
  <c r="C1035" i="5"/>
  <c r="N1035" i="5" s="1"/>
  <c r="B1035" i="5"/>
  <c r="T1034" i="5"/>
  <c r="S1034" i="5"/>
  <c r="R1034" i="5"/>
  <c r="Q1034" i="5"/>
  <c r="N1034" i="5"/>
  <c r="M1034" i="5"/>
  <c r="L1034" i="5"/>
  <c r="C1034" i="5"/>
  <c r="B1034" i="5"/>
  <c r="T1033" i="5"/>
  <c r="S1033" i="5"/>
  <c r="R1033" i="5"/>
  <c r="Q1033" i="5"/>
  <c r="N1033" i="5"/>
  <c r="M1033" i="5"/>
  <c r="L1033" i="5"/>
  <c r="C1033" i="5"/>
  <c r="B1033" i="5"/>
  <c r="T1032" i="5"/>
  <c r="S1032" i="5"/>
  <c r="R1032" i="5"/>
  <c r="Q1032" i="5"/>
  <c r="N1032" i="5"/>
  <c r="M1032" i="5"/>
  <c r="L1032" i="5"/>
  <c r="C1032" i="5"/>
  <c r="B1032" i="5"/>
  <c r="T1031" i="5"/>
  <c r="S1031" i="5"/>
  <c r="R1031" i="5"/>
  <c r="Q1031" i="5"/>
  <c r="N1031" i="5"/>
  <c r="M1031" i="5"/>
  <c r="L1031" i="5"/>
  <c r="C1031" i="5"/>
  <c r="B1031" i="5"/>
  <c r="T1030" i="5"/>
  <c r="S1030" i="5"/>
  <c r="R1030" i="5"/>
  <c r="Q1030" i="5"/>
  <c r="M1030" i="5"/>
  <c r="L1030" i="5"/>
  <c r="C1030" i="5"/>
  <c r="N1030" i="5" s="1"/>
  <c r="B1030" i="5"/>
  <c r="T1029" i="5"/>
  <c r="S1029" i="5"/>
  <c r="R1029" i="5"/>
  <c r="Q1029" i="5"/>
  <c r="N1029" i="5"/>
  <c r="M1029" i="5"/>
  <c r="L1029" i="5"/>
  <c r="C1029" i="5"/>
  <c r="B1029" i="5"/>
  <c r="T1028" i="5"/>
  <c r="S1028" i="5"/>
  <c r="R1028" i="5"/>
  <c r="Q1028" i="5"/>
  <c r="N1028" i="5"/>
  <c r="M1028" i="5"/>
  <c r="L1028" i="5"/>
  <c r="C1028" i="5"/>
  <c r="B1028" i="5"/>
  <c r="T1027" i="5"/>
  <c r="S1027" i="5"/>
  <c r="R1027" i="5"/>
  <c r="Q1027" i="5"/>
  <c r="M1027" i="5"/>
  <c r="L1027" i="5"/>
  <c r="C1027" i="5"/>
  <c r="N1027" i="5" s="1"/>
  <c r="B1027" i="5"/>
  <c r="T1026" i="5"/>
  <c r="S1026" i="5"/>
  <c r="R1026" i="5"/>
  <c r="Q1026" i="5"/>
  <c r="M1026" i="5"/>
  <c r="L1026" i="5"/>
  <c r="C1026" i="5"/>
  <c r="N1026" i="5" s="1"/>
  <c r="B1026" i="5"/>
  <c r="T1025" i="5"/>
  <c r="S1025" i="5"/>
  <c r="R1025" i="5"/>
  <c r="Q1025" i="5"/>
  <c r="M1025" i="5"/>
  <c r="L1025" i="5"/>
  <c r="C1025" i="5"/>
  <c r="N1025" i="5" s="1"/>
  <c r="B1025" i="5"/>
  <c r="T1024" i="5"/>
  <c r="S1024" i="5"/>
  <c r="R1024" i="5"/>
  <c r="Q1024" i="5"/>
  <c r="N1024" i="5"/>
  <c r="M1024" i="5"/>
  <c r="L1024" i="5"/>
  <c r="C1024" i="5"/>
  <c r="B1024" i="5"/>
  <c r="T1023" i="5"/>
  <c r="S1023" i="5"/>
  <c r="R1023" i="5"/>
  <c r="Q1023" i="5"/>
  <c r="N1023" i="5"/>
  <c r="M1023" i="5"/>
  <c r="L1023" i="5"/>
  <c r="C1023" i="5"/>
  <c r="B1023" i="5"/>
  <c r="T1022" i="5"/>
  <c r="S1022" i="5"/>
  <c r="R1022" i="5"/>
  <c r="Q1022" i="5"/>
  <c r="N1022" i="5"/>
  <c r="M1022" i="5"/>
  <c r="L1022" i="5"/>
  <c r="C1022" i="5"/>
  <c r="B1022" i="5"/>
  <c r="T1021" i="5"/>
  <c r="S1021" i="5"/>
  <c r="R1021" i="5"/>
  <c r="Q1021" i="5"/>
  <c r="N1021" i="5"/>
  <c r="M1021" i="5"/>
  <c r="L1021" i="5"/>
  <c r="C1021" i="5"/>
  <c r="B1021" i="5"/>
  <c r="T1020" i="5"/>
  <c r="S1020" i="5"/>
  <c r="R1020" i="5"/>
  <c r="Q1020" i="5"/>
  <c r="N1020" i="5"/>
  <c r="M1020" i="5"/>
  <c r="L1020" i="5"/>
  <c r="C1020" i="5"/>
  <c r="B1020" i="5"/>
  <c r="T1019" i="5"/>
  <c r="S1019" i="5"/>
  <c r="R1019" i="5"/>
  <c r="Q1019" i="5"/>
  <c r="N1019" i="5"/>
  <c r="M1019" i="5"/>
  <c r="L1019" i="5"/>
  <c r="C1019" i="5"/>
  <c r="B1019" i="5"/>
  <c r="T1018" i="5"/>
  <c r="S1018" i="5"/>
  <c r="R1018" i="5"/>
  <c r="Q1018" i="5"/>
  <c r="M1018" i="5"/>
  <c r="L1018" i="5"/>
  <c r="C1018" i="5"/>
  <c r="N1018" i="5" s="1"/>
  <c r="B1018" i="5"/>
  <c r="T1017" i="5"/>
  <c r="S1017" i="5"/>
  <c r="R1017" i="5"/>
  <c r="Q1017" i="5"/>
  <c r="M1017" i="5"/>
  <c r="L1017" i="5"/>
  <c r="C1017" i="5"/>
  <c r="N1017" i="5" s="1"/>
  <c r="B1017" i="5"/>
  <c r="T1016" i="5"/>
  <c r="S1016" i="5"/>
  <c r="R1016" i="5"/>
  <c r="Q1016" i="5"/>
  <c r="M1016" i="5"/>
  <c r="L1016" i="5"/>
  <c r="C1016" i="5"/>
  <c r="N1016" i="5" s="1"/>
  <c r="B1016" i="5"/>
  <c r="T1015" i="5"/>
  <c r="S1015" i="5"/>
  <c r="R1015" i="5"/>
  <c r="Q1015" i="5"/>
  <c r="M1015" i="5"/>
  <c r="L1015" i="5"/>
  <c r="C1015" i="5"/>
  <c r="N1015" i="5" s="1"/>
  <c r="B1015" i="5"/>
  <c r="T1014" i="5"/>
  <c r="S1014" i="5"/>
  <c r="R1014" i="5"/>
  <c r="Q1014" i="5"/>
  <c r="N1014" i="5"/>
  <c r="M1014" i="5"/>
  <c r="L1014" i="5"/>
  <c r="C1014" i="5"/>
  <c r="B1014" i="5"/>
  <c r="T1013" i="5"/>
  <c r="S1013" i="5"/>
  <c r="R1013" i="5"/>
  <c r="Q1013" i="5"/>
  <c r="N1013" i="5"/>
  <c r="M1013" i="5"/>
  <c r="L1013" i="5"/>
  <c r="C1013" i="5"/>
  <c r="B1013" i="5"/>
  <c r="T1012" i="5"/>
  <c r="S1012" i="5"/>
  <c r="R1012" i="5"/>
  <c r="Q1012" i="5"/>
  <c r="N1012" i="5"/>
  <c r="M1012" i="5"/>
  <c r="L1012" i="5"/>
  <c r="C1012" i="5"/>
  <c r="B1012" i="5"/>
  <c r="T1011" i="5"/>
  <c r="S1011" i="5"/>
  <c r="R1011" i="5"/>
  <c r="Q1011" i="5"/>
  <c r="N1011" i="5"/>
  <c r="M1011" i="5"/>
  <c r="L1011" i="5"/>
  <c r="C1011" i="5"/>
  <c r="B1011" i="5"/>
  <c r="T1010" i="5"/>
  <c r="S1010" i="5"/>
  <c r="R1010" i="5"/>
  <c r="Q1010" i="5"/>
  <c r="M1010" i="5"/>
  <c r="L1010" i="5"/>
  <c r="C1010" i="5"/>
  <c r="N1010" i="5" s="1"/>
  <c r="B1010" i="5"/>
  <c r="T1009" i="5"/>
  <c r="S1009" i="5"/>
  <c r="R1009" i="5"/>
  <c r="Q1009" i="5"/>
  <c r="N1009" i="5"/>
  <c r="M1009" i="5"/>
  <c r="L1009" i="5"/>
  <c r="C1009" i="5"/>
  <c r="B1009" i="5"/>
  <c r="T1008" i="5"/>
  <c r="S1008" i="5"/>
  <c r="R1008" i="5"/>
  <c r="Q1008" i="5"/>
  <c r="M1008" i="5"/>
  <c r="L1008" i="5"/>
  <c r="C1008" i="5"/>
  <c r="N1008" i="5" s="1"/>
  <c r="B1008" i="5"/>
  <c r="T1007" i="5"/>
  <c r="S1007" i="5"/>
  <c r="R1007" i="5"/>
  <c r="Q1007" i="5"/>
  <c r="M1007" i="5"/>
  <c r="L1007" i="5"/>
  <c r="C1007" i="5"/>
  <c r="N1007" i="5" s="1"/>
  <c r="B1007" i="5"/>
  <c r="T1006" i="5"/>
  <c r="S1006" i="5"/>
  <c r="R1006" i="5"/>
  <c r="Q1006" i="5"/>
  <c r="M1006" i="5"/>
  <c r="L1006" i="5"/>
  <c r="C1006" i="5"/>
  <c r="N1006" i="5" s="1"/>
  <c r="B1006" i="5"/>
  <c r="T1005" i="5"/>
  <c r="S1005" i="5"/>
  <c r="R1005" i="5"/>
  <c r="Q1005" i="5"/>
  <c r="M1005" i="5"/>
  <c r="L1005" i="5"/>
  <c r="C1005" i="5"/>
  <c r="N1005" i="5" s="1"/>
  <c r="B1005" i="5"/>
  <c r="T1004" i="5"/>
  <c r="S1004" i="5"/>
  <c r="R1004" i="5"/>
  <c r="Q1004" i="5"/>
  <c r="N1004" i="5"/>
  <c r="M1004" i="5"/>
  <c r="L1004" i="5"/>
  <c r="C1004" i="5"/>
  <c r="B1004" i="5"/>
  <c r="T1003" i="5"/>
  <c r="S1003" i="5"/>
  <c r="R1003" i="5"/>
  <c r="Q1003" i="5"/>
  <c r="N1003" i="5"/>
  <c r="M1003" i="5"/>
  <c r="L1003" i="5"/>
  <c r="C1003" i="5"/>
  <c r="B1003" i="5"/>
  <c r="T1002" i="5"/>
  <c r="S1002" i="5"/>
  <c r="R1002" i="5"/>
  <c r="Q1002" i="5"/>
  <c r="N1002" i="5"/>
  <c r="M1002" i="5"/>
  <c r="L1002" i="5"/>
  <c r="C1002" i="5"/>
  <c r="B1002" i="5"/>
  <c r="T1001" i="5"/>
  <c r="S1001" i="5"/>
  <c r="R1001" i="5"/>
  <c r="Q1001" i="5"/>
  <c r="N1001" i="5"/>
  <c r="M1001" i="5"/>
  <c r="L1001" i="5"/>
  <c r="C1001" i="5"/>
  <c r="B1001" i="5"/>
  <c r="T1000" i="5"/>
  <c r="S1000" i="5"/>
  <c r="R1000" i="5"/>
  <c r="Q1000" i="5"/>
  <c r="M1000" i="5"/>
  <c r="L1000" i="5"/>
  <c r="C1000" i="5"/>
  <c r="N1000" i="5" s="1"/>
  <c r="B1000" i="5"/>
  <c r="T999" i="5"/>
  <c r="S999" i="5"/>
  <c r="R999" i="5"/>
  <c r="Q999" i="5"/>
  <c r="N999" i="5"/>
  <c r="M999" i="5"/>
  <c r="L999" i="5"/>
  <c r="C999" i="5"/>
  <c r="B999" i="5"/>
  <c r="T998" i="5"/>
  <c r="S998" i="5"/>
  <c r="R998" i="5"/>
  <c r="Q998" i="5"/>
  <c r="M998" i="5"/>
  <c r="L998" i="5"/>
  <c r="C998" i="5"/>
  <c r="N998" i="5" s="1"/>
  <c r="B998" i="5"/>
  <c r="T997" i="5"/>
  <c r="S997" i="5"/>
  <c r="R997" i="5"/>
  <c r="Q997" i="5"/>
  <c r="M997" i="5"/>
  <c r="L997" i="5"/>
  <c r="C997" i="5"/>
  <c r="N997" i="5" s="1"/>
  <c r="B997" i="5"/>
  <c r="T996" i="5"/>
  <c r="S996" i="5"/>
  <c r="R996" i="5"/>
  <c r="Q996" i="5"/>
  <c r="M996" i="5"/>
  <c r="L996" i="5"/>
  <c r="C996" i="5"/>
  <c r="N996" i="5" s="1"/>
  <c r="B996" i="5"/>
  <c r="T995" i="5"/>
  <c r="S995" i="5"/>
  <c r="R995" i="5"/>
  <c r="Q995" i="5"/>
  <c r="M995" i="5"/>
  <c r="L995" i="5"/>
  <c r="C995" i="5"/>
  <c r="N995" i="5" s="1"/>
  <c r="B995" i="5"/>
  <c r="T994" i="5"/>
  <c r="S994" i="5"/>
  <c r="R994" i="5"/>
  <c r="Q994" i="5"/>
  <c r="N994" i="5"/>
  <c r="M994" i="5"/>
  <c r="L994" i="5"/>
  <c r="C994" i="5"/>
  <c r="B994" i="5"/>
  <c r="T993" i="5"/>
  <c r="S993" i="5"/>
  <c r="R993" i="5"/>
  <c r="Q993" i="5"/>
  <c r="N993" i="5"/>
  <c r="M993" i="5"/>
  <c r="L993" i="5"/>
  <c r="C993" i="5"/>
  <c r="B993" i="5"/>
  <c r="T992" i="5"/>
  <c r="S992" i="5"/>
  <c r="R992" i="5"/>
  <c r="Q992" i="5"/>
  <c r="N992" i="5"/>
  <c r="M992" i="5"/>
  <c r="L992" i="5"/>
  <c r="C992" i="5"/>
  <c r="B992" i="5"/>
  <c r="T991" i="5"/>
  <c r="S991" i="5"/>
  <c r="R991" i="5"/>
  <c r="Q991" i="5"/>
  <c r="N991" i="5"/>
  <c r="M991" i="5"/>
  <c r="L991" i="5"/>
  <c r="C991" i="5"/>
  <c r="B991" i="5"/>
  <c r="T990" i="5"/>
  <c r="S990" i="5"/>
  <c r="R990" i="5"/>
  <c r="Q990" i="5"/>
  <c r="N990" i="5"/>
  <c r="M990" i="5"/>
  <c r="L990" i="5"/>
  <c r="C990" i="5"/>
  <c r="B990" i="5"/>
  <c r="T989" i="5"/>
  <c r="S989" i="5"/>
  <c r="R989" i="5"/>
  <c r="Q989" i="5"/>
  <c r="N989" i="5"/>
  <c r="M989" i="5"/>
  <c r="L989" i="5"/>
  <c r="C989" i="5"/>
  <c r="B989" i="5"/>
  <c r="T988" i="5"/>
  <c r="S988" i="5"/>
  <c r="R988" i="5"/>
  <c r="Q988" i="5"/>
  <c r="N988" i="5"/>
  <c r="M988" i="5"/>
  <c r="L988" i="5"/>
  <c r="C988" i="5"/>
  <c r="B988" i="5"/>
  <c r="T987" i="5"/>
  <c r="S987" i="5"/>
  <c r="R987" i="5"/>
  <c r="Q987" i="5"/>
  <c r="M987" i="5"/>
  <c r="L987" i="5"/>
  <c r="C987" i="5"/>
  <c r="N987" i="5" s="1"/>
  <c r="B987" i="5"/>
  <c r="T986" i="5"/>
  <c r="S986" i="5"/>
  <c r="R986" i="5"/>
  <c r="Q986" i="5"/>
  <c r="M986" i="5"/>
  <c r="L986" i="5"/>
  <c r="C986" i="5"/>
  <c r="N986" i="5" s="1"/>
  <c r="B986" i="5"/>
  <c r="T985" i="5"/>
  <c r="S985" i="5"/>
  <c r="R985" i="5"/>
  <c r="Q985" i="5"/>
  <c r="M985" i="5"/>
  <c r="L985" i="5"/>
  <c r="C985" i="5"/>
  <c r="N985" i="5" s="1"/>
  <c r="B985" i="5"/>
  <c r="T984" i="5"/>
  <c r="S984" i="5"/>
  <c r="R984" i="5"/>
  <c r="Q984" i="5"/>
  <c r="N984" i="5"/>
  <c r="M984" i="5"/>
  <c r="L984" i="5"/>
  <c r="C984" i="5"/>
  <c r="B984" i="5"/>
  <c r="T983" i="5"/>
  <c r="S983" i="5"/>
  <c r="R983" i="5"/>
  <c r="Q983" i="5"/>
  <c r="N983" i="5"/>
  <c r="M983" i="5"/>
  <c r="L983" i="5"/>
  <c r="C983" i="5"/>
  <c r="B983" i="5"/>
  <c r="T982" i="5"/>
  <c r="S982" i="5"/>
  <c r="R982" i="5"/>
  <c r="Q982" i="5"/>
  <c r="N982" i="5"/>
  <c r="M982" i="5"/>
  <c r="L982" i="5"/>
  <c r="C982" i="5"/>
  <c r="B982" i="5"/>
  <c r="T981" i="5"/>
  <c r="S981" i="5"/>
  <c r="R981" i="5"/>
  <c r="Q981" i="5"/>
  <c r="N981" i="5"/>
  <c r="M981" i="5"/>
  <c r="L981" i="5"/>
  <c r="C981" i="5"/>
  <c r="B981" i="5"/>
  <c r="T980" i="5"/>
  <c r="S980" i="5"/>
  <c r="R980" i="5"/>
  <c r="Q980" i="5"/>
  <c r="M980" i="5"/>
  <c r="L980" i="5"/>
  <c r="C980" i="5"/>
  <c r="N980" i="5" s="1"/>
  <c r="B980" i="5"/>
  <c r="T979" i="5"/>
  <c r="S979" i="5"/>
  <c r="R979" i="5"/>
  <c r="Q979" i="5"/>
  <c r="N979" i="5"/>
  <c r="M979" i="5"/>
  <c r="L979" i="5"/>
  <c r="C979" i="5"/>
  <c r="B979" i="5"/>
  <c r="T978" i="5"/>
  <c r="S978" i="5"/>
  <c r="R978" i="5"/>
  <c r="Q978" i="5"/>
  <c r="M978" i="5"/>
  <c r="L978" i="5"/>
  <c r="C978" i="5"/>
  <c r="N978" i="5" s="1"/>
  <c r="B978" i="5"/>
  <c r="T977" i="5"/>
  <c r="S977" i="5"/>
  <c r="R977" i="5"/>
  <c r="Q977" i="5"/>
  <c r="M977" i="5"/>
  <c r="L977" i="5"/>
  <c r="C977" i="5"/>
  <c r="N977" i="5" s="1"/>
  <c r="B977" i="5"/>
  <c r="T976" i="5"/>
  <c r="S976" i="5"/>
  <c r="R976" i="5"/>
  <c r="Q976" i="5"/>
  <c r="M976" i="5"/>
  <c r="L976" i="5"/>
  <c r="C976" i="5"/>
  <c r="N976" i="5" s="1"/>
  <c r="B976" i="5"/>
  <c r="T975" i="5"/>
  <c r="S975" i="5"/>
  <c r="R975" i="5"/>
  <c r="Q975" i="5"/>
  <c r="M975" i="5"/>
  <c r="L975" i="5"/>
  <c r="C975" i="5"/>
  <c r="N975" i="5" s="1"/>
  <c r="B975" i="5"/>
  <c r="T974" i="5"/>
  <c r="S974" i="5"/>
  <c r="R974" i="5"/>
  <c r="Q974" i="5"/>
  <c r="N974" i="5"/>
  <c r="M974" i="5"/>
  <c r="L974" i="5"/>
  <c r="C974" i="5"/>
  <c r="B974" i="5"/>
  <c r="T973" i="5"/>
  <c r="S973" i="5"/>
  <c r="R973" i="5"/>
  <c r="Q973" i="5"/>
  <c r="N973" i="5"/>
  <c r="M973" i="5"/>
  <c r="L973" i="5"/>
  <c r="C973" i="5"/>
  <c r="B973" i="5"/>
  <c r="T972" i="5"/>
  <c r="S972" i="5"/>
  <c r="R972" i="5"/>
  <c r="Q972" i="5"/>
  <c r="N972" i="5"/>
  <c r="M972" i="5"/>
  <c r="L972" i="5"/>
  <c r="C972" i="5"/>
  <c r="B972" i="5"/>
  <c r="T971" i="5"/>
  <c r="S971" i="5"/>
  <c r="R971" i="5"/>
  <c r="Q971" i="5"/>
  <c r="N971" i="5"/>
  <c r="M971" i="5"/>
  <c r="L971" i="5"/>
  <c r="C971" i="5"/>
  <c r="B971" i="5"/>
  <c r="T970" i="5"/>
  <c r="S970" i="5"/>
  <c r="R970" i="5"/>
  <c r="Q970" i="5"/>
  <c r="M970" i="5"/>
  <c r="L970" i="5"/>
  <c r="C970" i="5"/>
  <c r="N970" i="5" s="1"/>
  <c r="B970" i="5"/>
  <c r="T969" i="5"/>
  <c r="S969" i="5"/>
  <c r="R969" i="5"/>
  <c r="Q969" i="5"/>
  <c r="N969" i="5"/>
  <c r="M969" i="5"/>
  <c r="L969" i="5"/>
  <c r="C969" i="5"/>
  <c r="B969" i="5"/>
  <c r="T968" i="5"/>
  <c r="S968" i="5"/>
  <c r="R968" i="5"/>
  <c r="Q968" i="5"/>
  <c r="M968" i="5"/>
  <c r="L968" i="5"/>
  <c r="C968" i="5"/>
  <c r="N968" i="5" s="1"/>
  <c r="B968" i="5"/>
  <c r="T967" i="5"/>
  <c r="S967" i="5"/>
  <c r="R967" i="5"/>
  <c r="Q967" i="5"/>
  <c r="M967" i="5"/>
  <c r="L967" i="5"/>
  <c r="C967" i="5"/>
  <c r="N967" i="5" s="1"/>
  <c r="B967" i="5"/>
  <c r="T966" i="5"/>
  <c r="S966" i="5"/>
  <c r="R966" i="5"/>
  <c r="Q966" i="5"/>
  <c r="M966" i="5"/>
  <c r="L966" i="5"/>
  <c r="C966" i="5"/>
  <c r="N966" i="5" s="1"/>
  <c r="B966" i="5"/>
  <c r="T965" i="5"/>
  <c r="S965" i="5"/>
  <c r="R965" i="5"/>
  <c r="Q965" i="5"/>
  <c r="M965" i="5"/>
  <c r="L965" i="5"/>
  <c r="C965" i="5"/>
  <c r="N965" i="5" s="1"/>
  <c r="B965" i="5"/>
  <c r="T964" i="5"/>
  <c r="S964" i="5"/>
  <c r="R964" i="5"/>
  <c r="Q964" i="5"/>
  <c r="N964" i="5"/>
  <c r="M964" i="5"/>
  <c r="L964" i="5"/>
  <c r="C964" i="5"/>
  <c r="B964" i="5"/>
  <c r="T963" i="5"/>
  <c r="S963" i="5"/>
  <c r="R963" i="5"/>
  <c r="Q963" i="5"/>
  <c r="N963" i="5"/>
  <c r="M963" i="5"/>
  <c r="L963" i="5"/>
  <c r="C963" i="5"/>
  <c r="B963" i="5"/>
  <c r="T962" i="5"/>
  <c r="S962" i="5"/>
  <c r="R962" i="5"/>
  <c r="Q962" i="5"/>
  <c r="N962" i="5"/>
  <c r="M962" i="5"/>
  <c r="L962" i="5"/>
  <c r="C962" i="5"/>
  <c r="B962" i="5"/>
  <c r="T961" i="5"/>
  <c r="S961" i="5"/>
  <c r="R961" i="5"/>
  <c r="Q961" i="5"/>
  <c r="N961" i="5"/>
  <c r="M961" i="5"/>
  <c r="L961" i="5"/>
  <c r="C961" i="5"/>
  <c r="B961" i="5"/>
  <c r="T960" i="5"/>
  <c r="S960" i="5"/>
  <c r="R960" i="5"/>
  <c r="Q960" i="5"/>
  <c r="M960" i="5"/>
  <c r="L960" i="5"/>
  <c r="C960" i="5"/>
  <c r="N960" i="5" s="1"/>
  <c r="B960" i="5"/>
  <c r="T959" i="5"/>
  <c r="S959" i="5"/>
  <c r="R959" i="5"/>
  <c r="Q959" i="5"/>
  <c r="N959" i="5"/>
  <c r="M959" i="5"/>
  <c r="L959" i="5"/>
  <c r="C959" i="5"/>
  <c r="B959" i="5"/>
  <c r="T958" i="5"/>
  <c r="S958" i="5"/>
  <c r="R958" i="5"/>
  <c r="Q958" i="5"/>
  <c r="N958" i="5"/>
  <c r="M958" i="5"/>
  <c r="L958" i="5"/>
  <c r="C958" i="5"/>
  <c r="B958" i="5"/>
  <c r="T957" i="5"/>
  <c r="S957" i="5"/>
  <c r="R957" i="5"/>
  <c r="Q957" i="5"/>
  <c r="M957" i="5"/>
  <c r="L957" i="5"/>
  <c r="C957" i="5"/>
  <c r="N957" i="5" s="1"/>
  <c r="B957" i="5"/>
  <c r="T956" i="5"/>
  <c r="S956" i="5"/>
  <c r="R956" i="5"/>
  <c r="Q956" i="5"/>
  <c r="M956" i="5"/>
  <c r="L956" i="5"/>
  <c r="C956" i="5"/>
  <c r="N956" i="5" s="1"/>
  <c r="B956" i="5"/>
  <c r="T955" i="5"/>
  <c r="S955" i="5"/>
  <c r="R955" i="5"/>
  <c r="Q955" i="5"/>
  <c r="M955" i="5"/>
  <c r="L955" i="5"/>
  <c r="C955" i="5"/>
  <c r="N955" i="5" s="1"/>
  <c r="B955" i="5"/>
  <c r="T954" i="5"/>
  <c r="S954" i="5"/>
  <c r="R954" i="5"/>
  <c r="Q954" i="5"/>
  <c r="N954" i="5"/>
  <c r="M954" i="5"/>
  <c r="L954" i="5"/>
  <c r="C954" i="5"/>
  <c r="B954" i="5"/>
  <c r="T953" i="5"/>
  <c r="S953" i="5"/>
  <c r="R953" i="5"/>
  <c r="Q953" i="5"/>
  <c r="N953" i="5"/>
  <c r="M953" i="5"/>
  <c r="L953" i="5"/>
  <c r="C953" i="5"/>
  <c r="B953" i="5"/>
  <c r="T952" i="5"/>
  <c r="S952" i="5"/>
  <c r="R952" i="5"/>
  <c r="Q952" i="5"/>
  <c r="N952" i="5"/>
  <c r="M952" i="5"/>
  <c r="L952" i="5"/>
  <c r="C952" i="5"/>
  <c r="B952" i="5"/>
  <c r="T951" i="5"/>
  <c r="S951" i="5"/>
  <c r="R951" i="5"/>
  <c r="Q951" i="5"/>
  <c r="N951" i="5"/>
  <c r="M951" i="5"/>
  <c r="L951" i="5"/>
  <c r="C951" i="5"/>
  <c r="B951" i="5"/>
  <c r="T950" i="5"/>
  <c r="S950" i="5"/>
  <c r="R950" i="5"/>
  <c r="Q950" i="5"/>
  <c r="N950" i="5"/>
  <c r="M950" i="5"/>
  <c r="L950" i="5"/>
  <c r="C950" i="5"/>
  <c r="B950" i="5"/>
  <c r="T949" i="5"/>
  <c r="S949" i="5"/>
  <c r="R949" i="5"/>
  <c r="Q949" i="5"/>
  <c r="N949" i="5"/>
  <c r="M949" i="5"/>
  <c r="L949" i="5"/>
  <c r="C949" i="5"/>
  <c r="B949" i="5"/>
  <c r="T948" i="5"/>
  <c r="S948" i="5"/>
  <c r="R948" i="5"/>
  <c r="Q948" i="5"/>
  <c r="M948" i="5"/>
  <c r="L948" i="5"/>
  <c r="C948" i="5"/>
  <c r="N948" i="5" s="1"/>
  <c r="B948" i="5"/>
  <c r="T947" i="5"/>
  <c r="S947" i="5"/>
  <c r="R947" i="5"/>
  <c r="Q947" i="5"/>
  <c r="M947" i="5"/>
  <c r="L947" i="5"/>
  <c r="C947" i="5"/>
  <c r="N947" i="5" s="1"/>
  <c r="B947" i="5"/>
  <c r="T946" i="5"/>
  <c r="S946" i="5"/>
  <c r="R946" i="5"/>
  <c r="Q946" i="5"/>
  <c r="M946" i="5"/>
  <c r="L946" i="5"/>
  <c r="C946" i="5"/>
  <c r="N946" i="5" s="1"/>
  <c r="B946" i="5"/>
  <c r="T945" i="5"/>
  <c r="S945" i="5"/>
  <c r="R945" i="5"/>
  <c r="Q945" i="5"/>
  <c r="M945" i="5"/>
  <c r="L945" i="5"/>
  <c r="C945" i="5"/>
  <c r="N945" i="5" s="1"/>
  <c r="B945" i="5"/>
  <c r="T944" i="5"/>
  <c r="S944" i="5"/>
  <c r="R944" i="5"/>
  <c r="Q944" i="5"/>
  <c r="N944" i="5"/>
  <c r="M944" i="5"/>
  <c r="L944" i="5"/>
  <c r="C944" i="5"/>
  <c r="B944" i="5"/>
  <c r="T943" i="5"/>
  <c r="S943" i="5"/>
  <c r="R943" i="5"/>
  <c r="Q943" i="5"/>
  <c r="N943" i="5"/>
  <c r="M943" i="5"/>
  <c r="L943" i="5"/>
  <c r="C943" i="5"/>
  <c r="B943" i="5"/>
  <c r="T942" i="5"/>
  <c r="S942" i="5"/>
  <c r="R942" i="5"/>
  <c r="Q942" i="5"/>
  <c r="N942" i="5"/>
  <c r="M942" i="5"/>
  <c r="L942" i="5"/>
  <c r="C942" i="5"/>
  <c r="B942" i="5"/>
  <c r="T941" i="5"/>
  <c r="S941" i="5"/>
  <c r="R941" i="5"/>
  <c r="Q941" i="5"/>
  <c r="N941" i="5"/>
  <c r="M941" i="5"/>
  <c r="L941" i="5"/>
  <c r="C941" i="5"/>
  <c r="B941" i="5"/>
  <c r="T940" i="5"/>
  <c r="S940" i="5"/>
  <c r="R940" i="5"/>
  <c r="Q940" i="5"/>
  <c r="M940" i="5"/>
  <c r="L940" i="5"/>
  <c r="C940" i="5"/>
  <c r="N940" i="5" s="1"/>
  <c r="B940" i="5"/>
  <c r="T939" i="5"/>
  <c r="S939" i="5"/>
  <c r="R939" i="5"/>
  <c r="Q939" i="5"/>
  <c r="N939" i="5"/>
  <c r="M939" i="5"/>
  <c r="L939" i="5"/>
  <c r="C939" i="5"/>
  <c r="B939" i="5"/>
  <c r="T938" i="5"/>
  <c r="S938" i="5"/>
  <c r="R938" i="5"/>
  <c r="Q938" i="5"/>
  <c r="M938" i="5"/>
  <c r="L938" i="5"/>
  <c r="C938" i="5"/>
  <c r="N938" i="5" s="1"/>
  <c r="B938" i="5"/>
  <c r="T937" i="5"/>
  <c r="S937" i="5"/>
  <c r="R937" i="5"/>
  <c r="Q937" i="5"/>
  <c r="M937" i="5"/>
  <c r="L937" i="5"/>
  <c r="C937" i="5"/>
  <c r="N937" i="5" s="1"/>
  <c r="B937" i="5"/>
  <c r="T936" i="5"/>
  <c r="S936" i="5"/>
  <c r="R936" i="5"/>
  <c r="Q936" i="5"/>
  <c r="M936" i="5"/>
  <c r="L936" i="5"/>
  <c r="C936" i="5"/>
  <c r="N936" i="5" s="1"/>
  <c r="B936" i="5"/>
  <c r="T935" i="5"/>
  <c r="S935" i="5"/>
  <c r="R935" i="5"/>
  <c r="Q935" i="5"/>
  <c r="M935" i="5"/>
  <c r="L935" i="5"/>
  <c r="C935" i="5"/>
  <c r="N935" i="5" s="1"/>
  <c r="B935" i="5"/>
  <c r="T934" i="5"/>
  <c r="S934" i="5"/>
  <c r="R934" i="5"/>
  <c r="Q934" i="5"/>
  <c r="N934" i="5"/>
  <c r="M934" i="5"/>
  <c r="L934" i="5"/>
  <c r="C934" i="5"/>
  <c r="B934" i="5"/>
  <c r="T933" i="5"/>
  <c r="S933" i="5"/>
  <c r="R933" i="5"/>
  <c r="Q933" i="5"/>
  <c r="N933" i="5"/>
  <c r="M933" i="5"/>
  <c r="L933" i="5"/>
  <c r="C933" i="5"/>
  <c r="B933" i="5"/>
  <c r="T932" i="5"/>
  <c r="S932" i="5"/>
  <c r="R932" i="5"/>
  <c r="Q932" i="5"/>
  <c r="N932" i="5"/>
  <c r="M932" i="5"/>
  <c r="L932" i="5"/>
  <c r="C932" i="5"/>
  <c r="B932" i="5"/>
  <c r="T931" i="5"/>
  <c r="S931" i="5"/>
  <c r="R931" i="5"/>
  <c r="Q931" i="5"/>
  <c r="N931" i="5"/>
  <c r="M931" i="5"/>
  <c r="L931" i="5"/>
  <c r="C931" i="5"/>
  <c r="B931" i="5"/>
  <c r="T930" i="5"/>
  <c r="S930" i="5"/>
  <c r="R930" i="5"/>
  <c r="Q930" i="5"/>
  <c r="M930" i="5"/>
  <c r="L930" i="5"/>
  <c r="C930" i="5"/>
  <c r="N930" i="5" s="1"/>
  <c r="B930" i="5"/>
  <c r="T929" i="5"/>
  <c r="S929" i="5"/>
  <c r="R929" i="5"/>
  <c r="Q929" i="5"/>
  <c r="N929" i="5"/>
  <c r="M929" i="5"/>
  <c r="L929" i="5"/>
  <c r="C929" i="5"/>
  <c r="B929" i="5"/>
  <c r="T928" i="5"/>
  <c r="S928" i="5"/>
  <c r="R928" i="5"/>
  <c r="Q928" i="5"/>
  <c r="N928" i="5"/>
  <c r="M928" i="5"/>
  <c r="L928" i="5"/>
  <c r="C928" i="5"/>
  <c r="B928" i="5"/>
  <c r="T927" i="5"/>
  <c r="S927" i="5"/>
  <c r="R927" i="5"/>
  <c r="Q927" i="5"/>
  <c r="M927" i="5"/>
  <c r="L927" i="5"/>
  <c r="C927" i="5"/>
  <c r="N927" i="5" s="1"/>
  <c r="B927" i="5"/>
  <c r="T926" i="5"/>
  <c r="S926" i="5"/>
  <c r="R926" i="5"/>
  <c r="Q926" i="5"/>
  <c r="M926" i="5"/>
  <c r="L926" i="5"/>
  <c r="C926" i="5"/>
  <c r="N926" i="5" s="1"/>
  <c r="B926" i="5"/>
  <c r="T925" i="5"/>
  <c r="S925" i="5"/>
  <c r="R925" i="5"/>
  <c r="Q925" i="5"/>
  <c r="M925" i="5"/>
  <c r="L925" i="5"/>
  <c r="C925" i="5"/>
  <c r="N925" i="5" s="1"/>
  <c r="B925" i="5"/>
  <c r="T924" i="5"/>
  <c r="S924" i="5"/>
  <c r="R924" i="5"/>
  <c r="Q924" i="5"/>
  <c r="N924" i="5"/>
  <c r="M924" i="5"/>
  <c r="L924" i="5"/>
  <c r="C924" i="5"/>
  <c r="B924" i="5"/>
  <c r="T923" i="5"/>
  <c r="S923" i="5"/>
  <c r="R923" i="5"/>
  <c r="Q923" i="5"/>
  <c r="N923" i="5"/>
  <c r="M923" i="5"/>
  <c r="L923" i="5"/>
  <c r="C923" i="5"/>
  <c r="B923" i="5"/>
  <c r="T922" i="5"/>
  <c r="S922" i="5"/>
  <c r="R922" i="5"/>
  <c r="Q922" i="5"/>
  <c r="N922" i="5"/>
  <c r="M922" i="5"/>
  <c r="L922" i="5"/>
  <c r="C922" i="5"/>
  <c r="B922" i="5"/>
  <c r="T921" i="5"/>
  <c r="S921" i="5"/>
  <c r="R921" i="5"/>
  <c r="Q921" i="5"/>
  <c r="N921" i="5"/>
  <c r="M921" i="5"/>
  <c r="L921" i="5"/>
  <c r="C921" i="5"/>
  <c r="B921" i="5"/>
  <c r="T920" i="5"/>
  <c r="S920" i="5"/>
  <c r="R920" i="5"/>
  <c r="Q920" i="5"/>
  <c r="N920" i="5"/>
  <c r="M920" i="5"/>
  <c r="L920" i="5"/>
  <c r="C920" i="5"/>
  <c r="B920" i="5"/>
  <c r="T919" i="5"/>
  <c r="S919" i="5"/>
  <c r="R919" i="5"/>
  <c r="Q919" i="5"/>
  <c r="N919" i="5"/>
  <c r="M919" i="5"/>
  <c r="L919" i="5"/>
  <c r="C919" i="5"/>
  <c r="B919" i="5"/>
  <c r="T918" i="5"/>
  <c r="S918" i="5"/>
  <c r="R918" i="5"/>
  <c r="Q918" i="5"/>
  <c r="M918" i="5"/>
  <c r="L918" i="5"/>
  <c r="C918" i="5"/>
  <c r="N918" i="5" s="1"/>
  <c r="B918" i="5"/>
  <c r="T917" i="5"/>
  <c r="S917" i="5"/>
  <c r="R917" i="5"/>
  <c r="Q917" i="5"/>
  <c r="M917" i="5"/>
  <c r="L917" i="5"/>
  <c r="C917" i="5"/>
  <c r="N917" i="5" s="1"/>
  <c r="B917" i="5"/>
  <c r="T916" i="5"/>
  <c r="S916" i="5"/>
  <c r="R916" i="5"/>
  <c r="Q916" i="5"/>
  <c r="M916" i="5"/>
  <c r="L916" i="5"/>
  <c r="C916" i="5"/>
  <c r="N916" i="5" s="1"/>
  <c r="B916" i="5"/>
  <c r="T915" i="5"/>
  <c r="S915" i="5"/>
  <c r="R915" i="5"/>
  <c r="Q915" i="5"/>
  <c r="M915" i="5"/>
  <c r="L915" i="5"/>
  <c r="C915" i="5"/>
  <c r="N915" i="5" s="1"/>
  <c r="B915" i="5"/>
  <c r="T914" i="5"/>
  <c r="S914" i="5"/>
  <c r="R914" i="5"/>
  <c r="Q914" i="5"/>
  <c r="N914" i="5"/>
  <c r="M914" i="5"/>
  <c r="L914" i="5"/>
  <c r="C914" i="5"/>
  <c r="B914" i="5"/>
  <c r="T913" i="5"/>
  <c r="S913" i="5"/>
  <c r="R913" i="5"/>
  <c r="Q913" i="5"/>
  <c r="N913" i="5"/>
  <c r="M913" i="5"/>
  <c r="L913" i="5"/>
  <c r="C913" i="5"/>
  <c r="B913" i="5"/>
  <c r="T912" i="5"/>
  <c r="S912" i="5"/>
  <c r="R912" i="5"/>
  <c r="Q912" i="5"/>
  <c r="N912" i="5"/>
  <c r="M912" i="5"/>
  <c r="L912" i="5"/>
  <c r="C912" i="5"/>
  <c r="B912" i="5"/>
  <c r="T911" i="5"/>
  <c r="S911" i="5"/>
  <c r="R911" i="5"/>
  <c r="Q911" i="5"/>
  <c r="N911" i="5"/>
  <c r="M911" i="5"/>
  <c r="L911" i="5"/>
  <c r="C911" i="5"/>
  <c r="B911" i="5"/>
  <c r="T910" i="5"/>
  <c r="S910" i="5"/>
  <c r="R910" i="5"/>
  <c r="Q910" i="5"/>
  <c r="M910" i="5"/>
  <c r="L910" i="5"/>
  <c r="C910" i="5"/>
  <c r="N910" i="5" s="1"/>
  <c r="B910" i="5"/>
  <c r="T909" i="5"/>
  <c r="S909" i="5"/>
  <c r="R909" i="5"/>
  <c r="Q909" i="5"/>
  <c r="N909" i="5"/>
  <c r="M909" i="5"/>
  <c r="L909" i="5"/>
  <c r="C909" i="5"/>
  <c r="B909" i="5"/>
  <c r="T908" i="5"/>
  <c r="S908" i="5"/>
  <c r="R908" i="5"/>
  <c r="Q908" i="5"/>
  <c r="M908" i="5"/>
  <c r="L908" i="5"/>
  <c r="C908" i="5"/>
  <c r="N908" i="5" s="1"/>
  <c r="B908" i="5"/>
  <c r="T907" i="5"/>
  <c r="S907" i="5"/>
  <c r="R907" i="5"/>
  <c r="Q907" i="5"/>
  <c r="M907" i="5"/>
  <c r="L907" i="5"/>
  <c r="C907" i="5"/>
  <c r="N907" i="5" s="1"/>
  <c r="B907" i="5"/>
  <c r="T906" i="5"/>
  <c r="S906" i="5"/>
  <c r="R906" i="5"/>
  <c r="Q906" i="5"/>
  <c r="M906" i="5"/>
  <c r="L906" i="5"/>
  <c r="C906" i="5"/>
  <c r="N906" i="5" s="1"/>
  <c r="B906" i="5"/>
  <c r="T905" i="5"/>
  <c r="S905" i="5"/>
  <c r="R905" i="5"/>
  <c r="Q905" i="5"/>
  <c r="M905" i="5"/>
  <c r="L905" i="5"/>
  <c r="C905" i="5"/>
  <c r="N905" i="5" s="1"/>
  <c r="B905" i="5"/>
  <c r="T904" i="5"/>
  <c r="S904" i="5"/>
  <c r="R904" i="5"/>
  <c r="Q904" i="5"/>
  <c r="N904" i="5"/>
  <c r="M904" i="5"/>
  <c r="L904" i="5"/>
  <c r="C904" i="5"/>
  <c r="B904" i="5"/>
  <c r="T903" i="5"/>
  <c r="S903" i="5"/>
  <c r="R903" i="5"/>
  <c r="Q903" i="5"/>
  <c r="N903" i="5"/>
  <c r="M903" i="5"/>
  <c r="L903" i="5"/>
  <c r="C903" i="5"/>
  <c r="B903" i="5"/>
  <c r="T902" i="5"/>
  <c r="S902" i="5"/>
  <c r="R902" i="5"/>
  <c r="Q902" i="5"/>
  <c r="N902" i="5"/>
  <c r="M902" i="5"/>
  <c r="L902" i="5"/>
  <c r="C902" i="5"/>
  <c r="B902" i="5"/>
  <c r="T901" i="5"/>
  <c r="S901" i="5"/>
  <c r="R901" i="5"/>
  <c r="Q901" i="5"/>
  <c r="N901" i="5"/>
  <c r="M901" i="5"/>
  <c r="L901" i="5"/>
  <c r="C901" i="5"/>
  <c r="B901" i="5"/>
  <c r="T900" i="5"/>
  <c r="S900" i="5"/>
  <c r="R900" i="5"/>
  <c r="Q900" i="5"/>
  <c r="M900" i="5"/>
  <c r="L900" i="5"/>
  <c r="C900" i="5"/>
  <c r="N900" i="5" s="1"/>
  <c r="B900" i="5"/>
  <c r="T899" i="5"/>
  <c r="S899" i="5"/>
  <c r="R899" i="5"/>
  <c r="Q899" i="5"/>
  <c r="N899" i="5"/>
  <c r="M899" i="5"/>
  <c r="L899" i="5"/>
  <c r="C899" i="5"/>
  <c r="B899" i="5"/>
  <c r="T898" i="5"/>
  <c r="S898" i="5"/>
  <c r="R898" i="5"/>
  <c r="Q898" i="5"/>
  <c r="M898" i="5"/>
  <c r="L898" i="5"/>
  <c r="C898" i="5"/>
  <c r="N898" i="5" s="1"/>
  <c r="B898" i="5"/>
  <c r="T897" i="5"/>
  <c r="S897" i="5"/>
  <c r="R897" i="5"/>
  <c r="Q897" i="5"/>
  <c r="M897" i="5"/>
  <c r="L897" i="5"/>
  <c r="C897" i="5"/>
  <c r="N897" i="5" s="1"/>
  <c r="B897" i="5"/>
  <c r="T896" i="5"/>
  <c r="S896" i="5"/>
  <c r="R896" i="5"/>
  <c r="Q896" i="5"/>
  <c r="M896" i="5"/>
  <c r="L896" i="5"/>
  <c r="C896" i="5"/>
  <c r="N896" i="5" s="1"/>
  <c r="B896" i="5"/>
  <c r="T895" i="5"/>
  <c r="S895" i="5"/>
  <c r="R895" i="5"/>
  <c r="Q895" i="5"/>
  <c r="M895" i="5"/>
  <c r="L895" i="5"/>
  <c r="C895" i="5"/>
  <c r="N895" i="5" s="1"/>
  <c r="B895" i="5"/>
  <c r="T894" i="5"/>
  <c r="S894" i="5"/>
  <c r="R894" i="5"/>
  <c r="Q894" i="5"/>
  <c r="N894" i="5"/>
  <c r="M894" i="5"/>
  <c r="L894" i="5"/>
  <c r="C894" i="5"/>
  <c r="B894" i="5"/>
  <c r="T893" i="5"/>
  <c r="S893" i="5"/>
  <c r="R893" i="5"/>
  <c r="Q893" i="5"/>
  <c r="N893" i="5"/>
  <c r="M893" i="5"/>
  <c r="L893" i="5"/>
  <c r="C893" i="5"/>
  <c r="B893" i="5"/>
  <c r="T892" i="5"/>
  <c r="S892" i="5"/>
  <c r="R892" i="5"/>
  <c r="Q892" i="5"/>
  <c r="N892" i="5"/>
  <c r="M892" i="5"/>
  <c r="L892" i="5"/>
  <c r="C892" i="5"/>
  <c r="B892" i="5"/>
  <c r="T891" i="5"/>
  <c r="S891" i="5"/>
  <c r="R891" i="5"/>
  <c r="Q891" i="5"/>
  <c r="N891" i="5"/>
  <c r="M891" i="5"/>
  <c r="L891" i="5"/>
  <c r="C891" i="5"/>
  <c r="B891" i="5"/>
  <c r="T890" i="5"/>
  <c r="S890" i="5"/>
  <c r="R890" i="5"/>
  <c r="Q890" i="5"/>
  <c r="N890" i="5"/>
  <c r="M890" i="5"/>
  <c r="L890" i="5"/>
  <c r="C890" i="5"/>
  <c r="B890" i="5"/>
  <c r="T889" i="5"/>
  <c r="S889" i="5"/>
  <c r="R889" i="5"/>
  <c r="Q889" i="5"/>
  <c r="N889" i="5"/>
  <c r="M889" i="5"/>
  <c r="L889" i="5"/>
  <c r="C889" i="5"/>
  <c r="B889" i="5"/>
  <c r="T888" i="5"/>
  <c r="S888" i="5"/>
  <c r="R888" i="5"/>
  <c r="Q888" i="5"/>
  <c r="N888" i="5"/>
  <c r="M888" i="5"/>
  <c r="L888" i="5"/>
  <c r="C888" i="5"/>
  <c r="B888" i="5"/>
  <c r="T887" i="5"/>
  <c r="S887" i="5"/>
  <c r="R887" i="5"/>
  <c r="Q887" i="5"/>
  <c r="M887" i="5"/>
  <c r="L887" i="5"/>
  <c r="C887" i="5"/>
  <c r="N887" i="5" s="1"/>
  <c r="B887" i="5"/>
  <c r="T886" i="5"/>
  <c r="S886" i="5"/>
  <c r="R886" i="5"/>
  <c r="Q886" i="5"/>
  <c r="M886" i="5"/>
  <c r="L886" i="5"/>
  <c r="C886" i="5"/>
  <c r="N886" i="5" s="1"/>
  <c r="B886" i="5"/>
  <c r="T885" i="5"/>
  <c r="S885" i="5"/>
  <c r="R885" i="5"/>
  <c r="Q885" i="5"/>
  <c r="M885" i="5"/>
  <c r="L885" i="5"/>
  <c r="C885" i="5"/>
  <c r="N885" i="5" s="1"/>
  <c r="B885" i="5"/>
  <c r="T884" i="5"/>
  <c r="S884" i="5"/>
  <c r="R884" i="5"/>
  <c r="Q884" i="5"/>
  <c r="N884" i="5"/>
  <c r="M884" i="5"/>
  <c r="L884" i="5"/>
  <c r="C884" i="5"/>
  <c r="B884" i="5"/>
  <c r="T883" i="5"/>
  <c r="S883" i="5"/>
  <c r="R883" i="5"/>
  <c r="Q883" i="5"/>
  <c r="N883" i="5"/>
  <c r="M883" i="5"/>
  <c r="L883" i="5"/>
  <c r="C883" i="5"/>
  <c r="B883" i="5"/>
  <c r="T882" i="5"/>
  <c r="S882" i="5"/>
  <c r="R882" i="5"/>
  <c r="Q882" i="5"/>
  <c r="N882" i="5"/>
  <c r="M882" i="5"/>
  <c r="L882" i="5"/>
  <c r="C882" i="5"/>
  <c r="B882" i="5"/>
  <c r="T881" i="5"/>
  <c r="S881" i="5"/>
  <c r="R881" i="5"/>
  <c r="Q881" i="5"/>
  <c r="N881" i="5"/>
  <c r="M881" i="5"/>
  <c r="L881" i="5"/>
  <c r="C881" i="5"/>
  <c r="B881" i="5"/>
  <c r="T880" i="5"/>
  <c r="S880" i="5"/>
  <c r="R880" i="5"/>
  <c r="Q880" i="5"/>
  <c r="M880" i="5"/>
  <c r="L880" i="5"/>
  <c r="C880" i="5"/>
  <c r="N880" i="5" s="1"/>
  <c r="B880" i="5"/>
  <c r="T879" i="5"/>
  <c r="S879" i="5"/>
  <c r="R879" i="5"/>
  <c r="Q879" i="5"/>
  <c r="N879" i="5"/>
  <c r="M879" i="5"/>
  <c r="L879" i="5"/>
  <c r="C879" i="5"/>
  <c r="B879" i="5"/>
  <c r="T878" i="5"/>
  <c r="S878" i="5"/>
  <c r="R878" i="5"/>
  <c r="Q878" i="5"/>
  <c r="M878" i="5"/>
  <c r="L878" i="5"/>
  <c r="C878" i="5"/>
  <c r="N878" i="5" s="1"/>
  <c r="B878" i="5"/>
  <c r="T877" i="5"/>
  <c r="S877" i="5"/>
  <c r="R877" i="5"/>
  <c r="Q877" i="5"/>
  <c r="M877" i="5"/>
  <c r="L877" i="5"/>
  <c r="C877" i="5"/>
  <c r="N877" i="5" s="1"/>
  <c r="B877" i="5"/>
  <c r="T876" i="5"/>
  <c r="S876" i="5"/>
  <c r="R876" i="5"/>
  <c r="Q876" i="5"/>
  <c r="M876" i="5"/>
  <c r="L876" i="5"/>
  <c r="C876" i="5"/>
  <c r="N876" i="5" s="1"/>
  <c r="B876" i="5"/>
  <c r="T875" i="5"/>
  <c r="S875" i="5"/>
  <c r="R875" i="5"/>
  <c r="Q875" i="5"/>
  <c r="M875" i="5"/>
  <c r="L875" i="5"/>
  <c r="C875" i="5"/>
  <c r="N875" i="5" s="1"/>
  <c r="B875" i="5"/>
  <c r="T874" i="5"/>
  <c r="S874" i="5"/>
  <c r="R874" i="5"/>
  <c r="Q874" i="5"/>
  <c r="N874" i="5"/>
  <c r="M874" i="5"/>
  <c r="L874" i="5"/>
  <c r="C874" i="5"/>
  <c r="B874" i="5"/>
  <c r="T873" i="5"/>
  <c r="S873" i="5"/>
  <c r="R873" i="5"/>
  <c r="Q873" i="5"/>
  <c r="N873" i="5"/>
  <c r="M873" i="5"/>
  <c r="L873" i="5"/>
  <c r="C873" i="5"/>
  <c r="B873" i="5"/>
  <c r="T872" i="5"/>
  <c r="S872" i="5"/>
  <c r="R872" i="5"/>
  <c r="Q872" i="5"/>
  <c r="N872" i="5"/>
  <c r="M872" i="5"/>
  <c r="L872" i="5"/>
  <c r="C872" i="5"/>
  <c r="B872" i="5"/>
  <c r="T871" i="5"/>
  <c r="S871" i="5"/>
  <c r="R871" i="5"/>
  <c r="Q871" i="5"/>
  <c r="N871" i="5"/>
  <c r="M871" i="5"/>
  <c r="L871" i="5"/>
  <c r="C871" i="5"/>
  <c r="B871" i="5"/>
  <c r="T870" i="5"/>
  <c r="S870" i="5"/>
  <c r="R870" i="5"/>
  <c r="Q870" i="5"/>
  <c r="M870" i="5"/>
  <c r="L870" i="5"/>
  <c r="C870" i="5"/>
  <c r="N870" i="5" s="1"/>
  <c r="B870" i="5"/>
  <c r="T869" i="5"/>
  <c r="S869" i="5"/>
  <c r="R869" i="5"/>
  <c r="Q869" i="5"/>
  <c r="N869" i="5"/>
  <c r="M869" i="5"/>
  <c r="L869" i="5"/>
  <c r="C869" i="5"/>
  <c r="B869" i="5"/>
  <c r="T868" i="5"/>
  <c r="S868" i="5"/>
  <c r="R868" i="5"/>
  <c r="Q868" i="5"/>
  <c r="M868" i="5"/>
  <c r="L868" i="5"/>
  <c r="C868" i="5"/>
  <c r="N868" i="5" s="1"/>
  <c r="B868" i="5"/>
  <c r="T867" i="5"/>
  <c r="S867" i="5"/>
  <c r="R867" i="5"/>
  <c r="Q867" i="5"/>
  <c r="M867" i="5"/>
  <c r="L867" i="5"/>
  <c r="C867" i="5"/>
  <c r="N867" i="5" s="1"/>
  <c r="B867" i="5"/>
  <c r="T866" i="5"/>
  <c r="S866" i="5"/>
  <c r="R866" i="5"/>
  <c r="Q866" i="5"/>
  <c r="M866" i="5"/>
  <c r="L866" i="5"/>
  <c r="C866" i="5"/>
  <c r="N866" i="5" s="1"/>
  <c r="B866" i="5"/>
  <c r="T865" i="5"/>
  <c r="S865" i="5"/>
  <c r="R865" i="5"/>
  <c r="Q865" i="5"/>
  <c r="M865" i="5"/>
  <c r="L865" i="5"/>
  <c r="C865" i="5"/>
  <c r="N865" i="5" s="1"/>
  <c r="B865" i="5"/>
  <c r="T864" i="5"/>
  <c r="S864" i="5"/>
  <c r="R864" i="5"/>
  <c r="Q864" i="5"/>
  <c r="N864" i="5"/>
  <c r="M864" i="5"/>
  <c r="L864" i="5"/>
  <c r="C864" i="5"/>
  <c r="B864" i="5"/>
  <c r="T863" i="5"/>
  <c r="S863" i="5"/>
  <c r="R863" i="5"/>
  <c r="Q863" i="5"/>
  <c r="N863" i="5"/>
  <c r="M863" i="5"/>
  <c r="L863" i="5"/>
  <c r="C863" i="5"/>
  <c r="B863" i="5"/>
  <c r="T862" i="5"/>
  <c r="S862" i="5"/>
  <c r="R862" i="5"/>
  <c r="Q862" i="5"/>
  <c r="N862" i="5"/>
  <c r="M862" i="5"/>
  <c r="L862" i="5"/>
  <c r="C862" i="5"/>
  <c r="B862" i="5"/>
  <c r="T861" i="5"/>
  <c r="S861" i="5"/>
  <c r="R861" i="5"/>
  <c r="Q861" i="5"/>
  <c r="N861" i="5"/>
  <c r="M861" i="5"/>
  <c r="L861" i="5"/>
  <c r="C861" i="5"/>
  <c r="B861" i="5"/>
  <c r="T860" i="5"/>
  <c r="S860" i="5"/>
  <c r="R860" i="5"/>
  <c r="Q860" i="5"/>
  <c r="M860" i="5"/>
  <c r="L860" i="5"/>
  <c r="C860" i="5"/>
  <c r="N860" i="5" s="1"/>
  <c r="B860" i="5"/>
  <c r="T859" i="5"/>
  <c r="S859" i="5"/>
  <c r="R859" i="5"/>
  <c r="Q859" i="5"/>
  <c r="N859" i="5"/>
  <c r="M859" i="5"/>
  <c r="L859" i="5"/>
  <c r="C859" i="5"/>
  <c r="B859" i="5"/>
  <c r="T858" i="5"/>
  <c r="S858" i="5"/>
  <c r="R858" i="5"/>
  <c r="Q858" i="5"/>
  <c r="N858" i="5"/>
  <c r="M858" i="5"/>
  <c r="L858" i="5"/>
  <c r="C858" i="5"/>
  <c r="B858" i="5"/>
  <c r="T857" i="5"/>
  <c r="S857" i="5"/>
  <c r="R857" i="5"/>
  <c r="Q857" i="5"/>
  <c r="M857" i="5"/>
  <c r="L857" i="5"/>
  <c r="C857" i="5"/>
  <c r="N857" i="5" s="1"/>
  <c r="B857" i="5"/>
  <c r="T856" i="5"/>
  <c r="S856" i="5"/>
  <c r="R856" i="5"/>
  <c r="Q856" i="5"/>
  <c r="M856" i="5"/>
  <c r="L856" i="5"/>
  <c r="C856" i="5"/>
  <c r="N856" i="5" s="1"/>
  <c r="B856" i="5"/>
  <c r="T855" i="5"/>
  <c r="S855" i="5"/>
  <c r="R855" i="5"/>
  <c r="Q855" i="5"/>
  <c r="M855" i="5"/>
  <c r="L855" i="5"/>
  <c r="C855" i="5"/>
  <c r="N855" i="5" s="1"/>
  <c r="B855" i="5"/>
  <c r="T854" i="5"/>
  <c r="S854" i="5"/>
  <c r="R854" i="5"/>
  <c r="Q854" i="5"/>
  <c r="N854" i="5"/>
  <c r="M854" i="5"/>
  <c r="L854" i="5"/>
  <c r="C854" i="5"/>
  <c r="B854" i="5"/>
  <c r="T853" i="5"/>
  <c r="S853" i="5"/>
  <c r="R853" i="5"/>
  <c r="Q853" i="5"/>
  <c r="N853" i="5"/>
  <c r="M853" i="5"/>
  <c r="L853" i="5"/>
  <c r="C853" i="5"/>
  <c r="B853" i="5"/>
  <c r="T852" i="5"/>
  <c r="S852" i="5"/>
  <c r="R852" i="5"/>
  <c r="Q852" i="5"/>
  <c r="N852" i="5"/>
  <c r="M852" i="5"/>
  <c r="L852" i="5"/>
  <c r="C852" i="5"/>
  <c r="B852" i="5"/>
  <c r="T851" i="5"/>
  <c r="S851" i="5"/>
  <c r="R851" i="5"/>
  <c r="Q851" i="5"/>
  <c r="N851" i="5"/>
  <c r="M851" i="5"/>
  <c r="L851" i="5"/>
  <c r="C851" i="5"/>
  <c r="B851" i="5"/>
  <c r="T850" i="5"/>
  <c r="S850" i="5"/>
  <c r="R850" i="5"/>
  <c r="Q850" i="5"/>
  <c r="N850" i="5"/>
  <c r="M850" i="5"/>
  <c r="L850" i="5"/>
  <c r="C850" i="5"/>
  <c r="B850" i="5"/>
  <c r="T849" i="5"/>
  <c r="S849" i="5"/>
  <c r="R849" i="5"/>
  <c r="Q849" i="5"/>
  <c r="N849" i="5"/>
  <c r="M849" i="5"/>
  <c r="L849" i="5"/>
  <c r="C849" i="5"/>
  <c r="B849" i="5"/>
  <c r="T848" i="5"/>
  <c r="S848" i="5"/>
  <c r="R848" i="5"/>
  <c r="Q848" i="5"/>
  <c r="M848" i="5"/>
  <c r="L848" i="5"/>
  <c r="C848" i="5"/>
  <c r="N848" i="5" s="1"/>
  <c r="B848" i="5"/>
  <c r="T847" i="5"/>
  <c r="S847" i="5"/>
  <c r="R847" i="5"/>
  <c r="Q847" i="5"/>
  <c r="M847" i="5"/>
  <c r="L847" i="5"/>
  <c r="C847" i="5"/>
  <c r="N847" i="5" s="1"/>
  <c r="B847" i="5"/>
  <c r="T846" i="5"/>
  <c r="S846" i="5"/>
  <c r="R846" i="5"/>
  <c r="Q846" i="5"/>
  <c r="M846" i="5"/>
  <c r="L846" i="5"/>
  <c r="C846" i="5"/>
  <c r="N846" i="5" s="1"/>
  <c r="B846" i="5"/>
  <c r="T845" i="5"/>
  <c r="S845" i="5"/>
  <c r="R845" i="5"/>
  <c r="Q845" i="5"/>
  <c r="M845" i="5"/>
  <c r="L845" i="5"/>
  <c r="C845" i="5"/>
  <c r="N845" i="5" s="1"/>
  <c r="B845" i="5"/>
  <c r="T844" i="5"/>
  <c r="S844" i="5"/>
  <c r="R844" i="5"/>
  <c r="Q844" i="5"/>
  <c r="N844" i="5"/>
  <c r="M844" i="5"/>
  <c r="L844" i="5"/>
  <c r="C844" i="5"/>
  <c r="B844" i="5"/>
  <c r="T843" i="5"/>
  <c r="S843" i="5"/>
  <c r="R843" i="5"/>
  <c r="Q843" i="5"/>
  <c r="N843" i="5"/>
  <c r="M843" i="5"/>
  <c r="L843" i="5"/>
  <c r="C843" i="5"/>
  <c r="B843" i="5"/>
  <c r="T842" i="5"/>
  <c r="S842" i="5"/>
  <c r="R842" i="5"/>
  <c r="Q842" i="5"/>
  <c r="N842" i="5"/>
  <c r="M842" i="5"/>
  <c r="L842" i="5"/>
  <c r="C842" i="5"/>
  <c r="B842" i="5"/>
  <c r="T841" i="5"/>
  <c r="S841" i="5"/>
  <c r="R841" i="5"/>
  <c r="Q841" i="5"/>
  <c r="N841" i="5"/>
  <c r="M841" i="5"/>
  <c r="L841" i="5"/>
  <c r="C841" i="5"/>
  <c r="B841" i="5"/>
  <c r="T840" i="5"/>
  <c r="S840" i="5"/>
  <c r="R840" i="5"/>
  <c r="Q840" i="5"/>
  <c r="M840" i="5"/>
  <c r="L840" i="5"/>
  <c r="C840" i="5"/>
  <c r="N840" i="5" s="1"/>
  <c r="B840" i="5"/>
  <c r="T839" i="5"/>
  <c r="S839" i="5"/>
  <c r="R839" i="5"/>
  <c r="Q839" i="5"/>
  <c r="N839" i="5"/>
  <c r="M839" i="5"/>
  <c r="L839" i="5"/>
  <c r="C839" i="5"/>
  <c r="B839" i="5"/>
  <c r="T838" i="5"/>
  <c r="S838" i="5"/>
  <c r="R838" i="5"/>
  <c r="Q838" i="5"/>
  <c r="M838" i="5"/>
  <c r="L838" i="5"/>
  <c r="C838" i="5"/>
  <c r="N838" i="5" s="1"/>
  <c r="B838" i="5"/>
  <c r="T837" i="5"/>
  <c r="S837" i="5"/>
  <c r="R837" i="5"/>
  <c r="Q837" i="5"/>
  <c r="M837" i="5"/>
  <c r="L837" i="5"/>
  <c r="C837" i="5"/>
  <c r="N837" i="5" s="1"/>
  <c r="B837" i="5"/>
  <c r="T836" i="5"/>
  <c r="S836" i="5"/>
  <c r="R836" i="5"/>
  <c r="Q836" i="5"/>
  <c r="M836" i="5"/>
  <c r="L836" i="5"/>
  <c r="C836" i="5"/>
  <c r="N836" i="5" s="1"/>
  <c r="B836" i="5"/>
  <c r="T835" i="5"/>
  <c r="S835" i="5"/>
  <c r="R835" i="5"/>
  <c r="Q835" i="5"/>
  <c r="M835" i="5"/>
  <c r="L835" i="5"/>
  <c r="C835" i="5"/>
  <c r="N835" i="5" s="1"/>
  <c r="B835" i="5"/>
  <c r="T834" i="5"/>
  <c r="S834" i="5"/>
  <c r="R834" i="5"/>
  <c r="Q834" i="5"/>
  <c r="N834" i="5"/>
  <c r="M834" i="5"/>
  <c r="L834" i="5"/>
  <c r="C834" i="5"/>
  <c r="B834" i="5"/>
  <c r="T833" i="5"/>
  <c r="S833" i="5"/>
  <c r="R833" i="5"/>
  <c r="Q833" i="5"/>
  <c r="N833" i="5"/>
  <c r="M833" i="5"/>
  <c r="L833" i="5"/>
  <c r="C833" i="5"/>
  <c r="B833" i="5"/>
  <c r="T832" i="5"/>
  <c r="S832" i="5"/>
  <c r="R832" i="5"/>
  <c r="Q832" i="5"/>
  <c r="N832" i="5"/>
  <c r="M832" i="5"/>
  <c r="L832" i="5"/>
  <c r="C832" i="5"/>
  <c r="B832" i="5"/>
  <c r="T831" i="5"/>
  <c r="S831" i="5"/>
  <c r="R831" i="5"/>
  <c r="Q831" i="5"/>
  <c r="N831" i="5"/>
  <c r="M831" i="5"/>
  <c r="L831" i="5"/>
  <c r="C831" i="5"/>
  <c r="B831" i="5"/>
  <c r="T830" i="5"/>
  <c r="S830" i="5"/>
  <c r="R830" i="5"/>
  <c r="Q830" i="5"/>
  <c r="M830" i="5"/>
  <c r="L830" i="5"/>
  <c r="C830" i="5"/>
  <c r="N830" i="5" s="1"/>
  <c r="B830" i="5"/>
  <c r="T829" i="5"/>
  <c r="S829" i="5"/>
  <c r="R829" i="5"/>
  <c r="Q829" i="5"/>
  <c r="N829" i="5"/>
  <c r="M829" i="5"/>
  <c r="L829" i="5"/>
  <c r="C829" i="5"/>
  <c r="B829" i="5"/>
  <c r="T828" i="5"/>
  <c r="S828" i="5"/>
  <c r="R828" i="5"/>
  <c r="Q828" i="5"/>
  <c r="N828" i="5"/>
  <c r="M828" i="5"/>
  <c r="L828" i="5"/>
  <c r="C828" i="5"/>
  <c r="B828" i="5"/>
  <c r="T827" i="5"/>
  <c r="S827" i="5"/>
  <c r="R827" i="5"/>
  <c r="Q827" i="5"/>
  <c r="M827" i="5"/>
  <c r="L827" i="5"/>
  <c r="C827" i="5"/>
  <c r="N827" i="5" s="1"/>
  <c r="B827" i="5"/>
  <c r="T826" i="5"/>
  <c r="S826" i="5"/>
  <c r="R826" i="5"/>
  <c r="Q826" i="5"/>
  <c r="M826" i="5"/>
  <c r="L826" i="5"/>
  <c r="C826" i="5"/>
  <c r="N826" i="5" s="1"/>
  <c r="B826" i="5"/>
  <c r="T825" i="5"/>
  <c r="S825" i="5"/>
  <c r="R825" i="5"/>
  <c r="Q825" i="5"/>
  <c r="M825" i="5"/>
  <c r="L825" i="5"/>
  <c r="C825" i="5"/>
  <c r="N825" i="5" s="1"/>
  <c r="B825" i="5"/>
  <c r="T824" i="5"/>
  <c r="S824" i="5"/>
  <c r="R824" i="5"/>
  <c r="Q824" i="5"/>
  <c r="N824" i="5"/>
  <c r="M824" i="5"/>
  <c r="L824" i="5"/>
  <c r="C824" i="5"/>
  <c r="B824" i="5"/>
  <c r="T823" i="5"/>
  <c r="S823" i="5"/>
  <c r="R823" i="5"/>
  <c r="Q823" i="5"/>
  <c r="N823" i="5"/>
  <c r="M823" i="5"/>
  <c r="L823" i="5"/>
  <c r="C823" i="5"/>
  <c r="B823" i="5"/>
  <c r="T822" i="5"/>
  <c r="S822" i="5"/>
  <c r="R822" i="5"/>
  <c r="Q822" i="5"/>
  <c r="N822" i="5"/>
  <c r="M822" i="5"/>
  <c r="L822" i="5"/>
  <c r="C822" i="5"/>
  <c r="B822" i="5"/>
  <c r="T821" i="5"/>
  <c r="S821" i="5"/>
  <c r="R821" i="5"/>
  <c r="Q821" i="5"/>
  <c r="N821" i="5"/>
  <c r="M821" i="5"/>
  <c r="L821" i="5"/>
  <c r="C821" i="5"/>
  <c r="B821" i="5"/>
  <c r="T820" i="5"/>
  <c r="S820" i="5"/>
  <c r="R820" i="5"/>
  <c r="Q820" i="5"/>
  <c r="N820" i="5"/>
  <c r="M820" i="5"/>
  <c r="L820" i="5"/>
  <c r="C820" i="5"/>
  <c r="B820" i="5"/>
  <c r="T819" i="5"/>
  <c r="S819" i="5"/>
  <c r="R819" i="5"/>
  <c r="Q819" i="5"/>
  <c r="N819" i="5"/>
  <c r="M819" i="5"/>
  <c r="L819" i="5"/>
  <c r="C819" i="5"/>
  <c r="B819" i="5"/>
  <c r="T818" i="5"/>
  <c r="S818" i="5"/>
  <c r="R818" i="5"/>
  <c r="Q818" i="5"/>
  <c r="M818" i="5"/>
  <c r="L818" i="5"/>
  <c r="C818" i="5"/>
  <c r="N818" i="5" s="1"/>
  <c r="B818" i="5"/>
  <c r="T817" i="5"/>
  <c r="S817" i="5"/>
  <c r="R817" i="5"/>
  <c r="Q817" i="5"/>
  <c r="M817" i="5"/>
  <c r="L817" i="5"/>
  <c r="C817" i="5"/>
  <c r="N817" i="5" s="1"/>
  <c r="B817" i="5"/>
  <c r="T816" i="5"/>
  <c r="S816" i="5"/>
  <c r="R816" i="5"/>
  <c r="Q816" i="5"/>
  <c r="M816" i="5"/>
  <c r="L816" i="5"/>
  <c r="C816" i="5"/>
  <c r="N816" i="5" s="1"/>
  <c r="B816" i="5"/>
  <c r="T815" i="5"/>
  <c r="S815" i="5"/>
  <c r="R815" i="5"/>
  <c r="Q815" i="5"/>
  <c r="M815" i="5"/>
  <c r="L815" i="5"/>
  <c r="C815" i="5"/>
  <c r="N815" i="5" s="1"/>
  <c r="B815" i="5"/>
  <c r="T814" i="5"/>
  <c r="S814" i="5"/>
  <c r="R814" i="5"/>
  <c r="Q814" i="5"/>
  <c r="N814" i="5"/>
  <c r="M814" i="5"/>
  <c r="L814" i="5"/>
  <c r="C814" i="5"/>
  <c r="B814" i="5"/>
  <c r="T813" i="5"/>
  <c r="S813" i="5"/>
  <c r="R813" i="5"/>
  <c r="Q813" i="5"/>
  <c r="N813" i="5"/>
  <c r="M813" i="5"/>
  <c r="L813" i="5"/>
  <c r="C813" i="5"/>
  <c r="B813" i="5"/>
  <c r="T812" i="5"/>
  <c r="S812" i="5"/>
  <c r="R812" i="5"/>
  <c r="Q812" i="5"/>
  <c r="N812" i="5"/>
  <c r="M812" i="5"/>
  <c r="L812" i="5"/>
  <c r="C812" i="5"/>
  <c r="B812" i="5"/>
  <c r="T811" i="5"/>
  <c r="S811" i="5"/>
  <c r="R811" i="5"/>
  <c r="Q811" i="5"/>
  <c r="N811" i="5"/>
  <c r="M811" i="5"/>
  <c r="L811" i="5"/>
  <c r="C811" i="5"/>
  <c r="B811" i="5"/>
  <c r="T810" i="5"/>
  <c r="S810" i="5"/>
  <c r="R810" i="5"/>
  <c r="Q810" i="5"/>
  <c r="M810" i="5"/>
  <c r="L810" i="5"/>
  <c r="C810" i="5"/>
  <c r="N810" i="5" s="1"/>
  <c r="B810" i="5"/>
  <c r="T809" i="5"/>
  <c r="S809" i="5"/>
  <c r="R809" i="5"/>
  <c r="Q809" i="5"/>
  <c r="N809" i="5"/>
  <c r="M809" i="5"/>
  <c r="L809" i="5"/>
  <c r="C809" i="5"/>
  <c r="B809" i="5"/>
  <c r="T808" i="5"/>
  <c r="S808" i="5"/>
  <c r="R808" i="5"/>
  <c r="Q808" i="5"/>
  <c r="M808" i="5"/>
  <c r="L808" i="5"/>
  <c r="C808" i="5"/>
  <c r="N808" i="5" s="1"/>
  <c r="B808" i="5"/>
  <c r="T807" i="5"/>
  <c r="S807" i="5"/>
  <c r="R807" i="5"/>
  <c r="Q807" i="5"/>
  <c r="M807" i="5"/>
  <c r="L807" i="5"/>
  <c r="C807" i="5"/>
  <c r="N807" i="5" s="1"/>
  <c r="B807" i="5"/>
  <c r="T806" i="5"/>
  <c r="S806" i="5"/>
  <c r="R806" i="5"/>
  <c r="Q806" i="5"/>
  <c r="M806" i="5"/>
  <c r="L806" i="5"/>
  <c r="C806" i="5"/>
  <c r="N806" i="5" s="1"/>
  <c r="B806" i="5"/>
  <c r="T805" i="5"/>
  <c r="S805" i="5"/>
  <c r="R805" i="5"/>
  <c r="Q805" i="5"/>
  <c r="M805" i="5"/>
  <c r="L805" i="5"/>
  <c r="C805" i="5"/>
  <c r="N805" i="5" s="1"/>
  <c r="B805" i="5"/>
  <c r="T804" i="5"/>
  <c r="S804" i="5"/>
  <c r="R804" i="5"/>
  <c r="Q804" i="5"/>
  <c r="N804" i="5"/>
  <c r="M804" i="5"/>
  <c r="L804" i="5"/>
  <c r="C804" i="5"/>
  <c r="B804" i="5"/>
  <c r="T803" i="5"/>
  <c r="S803" i="5"/>
  <c r="R803" i="5"/>
  <c r="Q803" i="5"/>
  <c r="N803" i="5"/>
  <c r="M803" i="5"/>
  <c r="L803" i="5"/>
  <c r="C803" i="5"/>
  <c r="B803" i="5"/>
  <c r="T802" i="5"/>
  <c r="S802" i="5"/>
  <c r="R802" i="5"/>
  <c r="Q802" i="5"/>
  <c r="N802" i="5"/>
  <c r="M802" i="5"/>
  <c r="L802" i="5"/>
  <c r="C802" i="5"/>
  <c r="B802" i="5"/>
  <c r="T801" i="5"/>
  <c r="S801" i="5"/>
  <c r="R801" i="5"/>
  <c r="Q801" i="5"/>
  <c r="N801" i="5"/>
  <c r="M801" i="5"/>
  <c r="L801" i="5"/>
  <c r="C801" i="5"/>
  <c r="B801" i="5"/>
  <c r="T800" i="5"/>
  <c r="S800" i="5"/>
  <c r="R800" i="5"/>
  <c r="Q800" i="5"/>
  <c r="M800" i="5"/>
  <c r="L800" i="5"/>
  <c r="C800" i="5"/>
  <c r="N800" i="5" s="1"/>
  <c r="B800" i="5"/>
  <c r="T799" i="5"/>
  <c r="S799" i="5"/>
  <c r="R799" i="5"/>
  <c r="Q799" i="5"/>
  <c r="N799" i="5"/>
  <c r="M799" i="5"/>
  <c r="L799" i="5"/>
  <c r="C799" i="5"/>
  <c r="B799" i="5"/>
  <c r="T798" i="5"/>
  <c r="S798" i="5"/>
  <c r="R798" i="5"/>
  <c r="Q798" i="5"/>
  <c r="M798" i="5"/>
  <c r="L798" i="5"/>
  <c r="C798" i="5"/>
  <c r="N798" i="5" s="1"/>
  <c r="B798" i="5"/>
  <c r="T797" i="5"/>
  <c r="S797" i="5"/>
  <c r="R797" i="5"/>
  <c r="Q797" i="5"/>
  <c r="M797" i="5"/>
  <c r="L797" i="5"/>
  <c r="C797" i="5"/>
  <c r="N797" i="5" s="1"/>
  <c r="B797" i="5"/>
  <c r="T796" i="5"/>
  <c r="S796" i="5"/>
  <c r="R796" i="5"/>
  <c r="Q796" i="5"/>
  <c r="M796" i="5"/>
  <c r="L796" i="5"/>
  <c r="C796" i="5"/>
  <c r="N796" i="5" s="1"/>
  <c r="B796" i="5"/>
  <c r="T795" i="5"/>
  <c r="S795" i="5"/>
  <c r="R795" i="5"/>
  <c r="Q795" i="5"/>
  <c r="M795" i="5"/>
  <c r="L795" i="5"/>
  <c r="C795" i="5"/>
  <c r="N795" i="5" s="1"/>
  <c r="B795" i="5"/>
  <c r="T794" i="5"/>
  <c r="S794" i="5"/>
  <c r="R794" i="5"/>
  <c r="Q794" i="5"/>
  <c r="N794" i="5"/>
  <c r="M794" i="5"/>
  <c r="L794" i="5"/>
  <c r="C794" i="5"/>
  <c r="B794" i="5"/>
  <c r="T793" i="5"/>
  <c r="S793" i="5"/>
  <c r="R793" i="5"/>
  <c r="Q793" i="5"/>
  <c r="N793" i="5"/>
  <c r="M793" i="5"/>
  <c r="L793" i="5"/>
  <c r="C793" i="5"/>
  <c r="B793" i="5"/>
  <c r="T792" i="5"/>
  <c r="S792" i="5"/>
  <c r="R792" i="5"/>
  <c r="Q792" i="5"/>
  <c r="N792" i="5"/>
  <c r="M792" i="5"/>
  <c r="L792" i="5"/>
  <c r="C792" i="5"/>
  <c r="B792" i="5"/>
  <c r="T791" i="5"/>
  <c r="S791" i="5"/>
  <c r="R791" i="5"/>
  <c r="Q791" i="5"/>
  <c r="N791" i="5"/>
  <c r="M791" i="5"/>
  <c r="L791" i="5"/>
  <c r="C791" i="5"/>
  <c r="B791" i="5"/>
  <c r="T790" i="5"/>
  <c r="S790" i="5"/>
  <c r="R790" i="5"/>
  <c r="Q790" i="5"/>
  <c r="N790" i="5"/>
  <c r="M790" i="5"/>
  <c r="L790" i="5"/>
  <c r="C790" i="5"/>
  <c r="B790" i="5"/>
  <c r="T789" i="5"/>
  <c r="S789" i="5"/>
  <c r="R789" i="5"/>
  <c r="Q789" i="5"/>
  <c r="N789" i="5"/>
  <c r="M789" i="5"/>
  <c r="L789" i="5"/>
  <c r="C789" i="5"/>
  <c r="B789" i="5"/>
  <c r="T788" i="5"/>
  <c r="S788" i="5"/>
  <c r="R788" i="5"/>
  <c r="Q788" i="5"/>
  <c r="N788" i="5"/>
  <c r="M788" i="5"/>
  <c r="L788" i="5"/>
  <c r="C788" i="5"/>
  <c r="B788" i="5"/>
  <c r="T787" i="5"/>
  <c r="S787" i="5"/>
  <c r="R787" i="5"/>
  <c r="Q787" i="5"/>
  <c r="M787" i="5"/>
  <c r="L787" i="5"/>
  <c r="C787" i="5"/>
  <c r="N787" i="5" s="1"/>
  <c r="B787" i="5"/>
  <c r="T786" i="5"/>
  <c r="S786" i="5"/>
  <c r="R786" i="5"/>
  <c r="Q786" i="5"/>
  <c r="M786" i="5"/>
  <c r="L786" i="5"/>
  <c r="C786" i="5"/>
  <c r="N786" i="5" s="1"/>
  <c r="B786" i="5"/>
  <c r="T785" i="5"/>
  <c r="S785" i="5"/>
  <c r="R785" i="5"/>
  <c r="Q785" i="5"/>
  <c r="M785" i="5"/>
  <c r="L785" i="5"/>
  <c r="C785" i="5"/>
  <c r="N785" i="5" s="1"/>
  <c r="B785" i="5"/>
  <c r="T784" i="5"/>
  <c r="S784" i="5"/>
  <c r="R784" i="5"/>
  <c r="Q784" i="5"/>
  <c r="N784" i="5"/>
  <c r="M784" i="5"/>
  <c r="L784" i="5"/>
  <c r="C784" i="5"/>
  <c r="B784" i="5"/>
  <c r="T783" i="5"/>
  <c r="S783" i="5"/>
  <c r="R783" i="5"/>
  <c r="Q783" i="5"/>
  <c r="N783" i="5"/>
  <c r="M783" i="5"/>
  <c r="L783" i="5"/>
  <c r="C783" i="5"/>
  <c r="B783" i="5"/>
  <c r="T782" i="5"/>
  <c r="S782" i="5"/>
  <c r="R782" i="5"/>
  <c r="Q782" i="5"/>
  <c r="N782" i="5"/>
  <c r="M782" i="5"/>
  <c r="L782" i="5"/>
  <c r="C782" i="5"/>
  <c r="B782" i="5"/>
  <c r="T781" i="5"/>
  <c r="S781" i="5"/>
  <c r="R781" i="5"/>
  <c r="Q781" i="5"/>
  <c r="N781" i="5"/>
  <c r="M781" i="5"/>
  <c r="L781" i="5"/>
  <c r="C781" i="5"/>
  <c r="B781" i="5"/>
  <c r="T780" i="5"/>
  <c r="S780" i="5"/>
  <c r="R780" i="5"/>
  <c r="Q780" i="5"/>
  <c r="M780" i="5"/>
  <c r="L780" i="5"/>
  <c r="C780" i="5"/>
  <c r="N780" i="5" s="1"/>
  <c r="B780" i="5"/>
  <c r="T779" i="5"/>
  <c r="S779" i="5"/>
  <c r="R779" i="5"/>
  <c r="Q779" i="5"/>
  <c r="N779" i="5"/>
  <c r="M779" i="5"/>
  <c r="L779" i="5"/>
  <c r="C779" i="5"/>
  <c r="B779" i="5"/>
  <c r="T778" i="5"/>
  <c r="S778" i="5"/>
  <c r="R778" i="5"/>
  <c r="Q778" i="5"/>
  <c r="M778" i="5"/>
  <c r="L778" i="5"/>
  <c r="C778" i="5"/>
  <c r="N778" i="5" s="1"/>
  <c r="B778" i="5"/>
  <c r="T777" i="5"/>
  <c r="S777" i="5"/>
  <c r="R777" i="5"/>
  <c r="Q777" i="5"/>
  <c r="M777" i="5"/>
  <c r="L777" i="5"/>
  <c r="C777" i="5"/>
  <c r="N777" i="5" s="1"/>
  <c r="B777" i="5"/>
  <c r="T776" i="5"/>
  <c r="S776" i="5"/>
  <c r="R776" i="5"/>
  <c r="Q776" i="5"/>
  <c r="M776" i="5"/>
  <c r="L776" i="5"/>
  <c r="C776" i="5"/>
  <c r="N776" i="5" s="1"/>
  <c r="B776" i="5"/>
  <c r="T775" i="5"/>
  <c r="S775" i="5"/>
  <c r="R775" i="5"/>
  <c r="Q775" i="5"/>
  <c r="M775" i="5"/>
  <c r="L775" i="5"/>
  <c r="C775" i="5"/>
  <c r="N775" i="5" s="1"/>
  <c r="B775" i="5"/>
  <c r="T774" i="5"/>
  <c r="S774" i="5"/>
  <c r="R774" i="5"/>
  <c r="Q774" i="5"/>
  <c r="N774" i="5"/>
  <c r="M774" i="5"/>
  <c r="L774" i="5"/>
  <c r="C774" i="5"/>
  <c r="B774" i="5"/>
  <c r="T773" i="5"/>
  <c r="S773" i="5"/>
  <c r="R773" i="5"/>
  <c r="Q773" i="5"/>
  <c r="N773" i="5"/>
  <c r="M773" i="5"/>
  <c r="L773" i="5"/>
  <c r="C773" i="5"/>
  <c r="B773" i="5"/>
  <c r="T772" i="5"/>
  <c r="S772" i="5"/>
  <c r="R772" i="5"/>
  <c r="Q772" i="5"/>
  <c r="N772" i="5"/>
  <c r="M772" i="5"/>
  <c r="L772" i="5"/>
  <c r="C772" i="5"/>
  <c r="B772" i="5"/>
  <c r="T771" i="5"/>
  <c r="S771" i="5"/>
  <c r="R771" i="5"/>
  <c r="Q771" i="5"/>
  <c r="N771" i="5"/>
  <c r="M771" i="5"/>
  <c r="L771" i="5"/>
  <c r="C771" i="5"/>
  <c r="B771" i="5"/>
  <c r="T770" i="5"/>
  <c r="S770" i="5"/>
  <c r="R770" i="5"/>
  <c r="Q770" i="5"/>
  <c r="M770" i="5"/>
  <c r="L770" i="5"/>
  <c r="C770" i="5"/>
  <c r="N770" i="5" s="1"/>
  <c r="B770" i="5"/>
  <c r="T769" i="5"/>
  <c r="S769" i="5"/>
  <c r="R769" i="5"/>
  <c r="Q769" i="5"/>
  <c r="N769" i="5"/>
  <c r="M769" i="5"/>
  <c r="L769" i="5"/>
  <c r="C769" i="5"/>
  <c r="B769" i="5"/>
  <c r="T768" i="5"/>
  <c r="S768" i="5"/>
  <c r="R768" i="5"/>
  <c r="Q768" i="5"/>
  <c r="M768" i="5"/>
  <c r="L768" i="5"/>
  <c r="C768" i="5"/>
  <c r="N768" i="5" s="1"/>
  <c r="B768" i="5"/>
  <c r="T767" i="5"/>
  <c r="S767" i="5"/>
  <c r="R767" i="5"/>
  <c r="Q767" i="5"/>
  <c r="M767" i="5"/>
  <c r="L767" i="5"/>
  <c r="C767" i="5"/>
  <c r="N767" i="5" s="1"/>
  <c r="B767" i="5"/>
  <c r="T766" i="5"/>
  <c r="S766" i="5"/>
  <c r="R766" i="5"/>
  <c r="Q766" i="5"/>
  <c r="M766" i="5"/>
  <c r="L766" i="5"/>
  <c r="C766" i="5"/>
  <c r="N766" i="5" s="1"/>
  <c r="B766" i="5"/>
  <c r="T765" i="5"/>
  <c r="S765" i="5"/>
  <c r="R765" i="5"/>
  <c r="Q765" i="5"/>
  <c r="M765" i="5"/>
  <c r="L765" i="5"/>
  <c r="C765" i="5"/>
  <c r="N765" i="5" s="1"/>
  <c r="B765" i="5"/>
  <c r="T764" i="5"/>
  <c r="S764" i="5"/>
  <c r="R764" i="5"/>
  <c r="Q764" i="5"/>
  <c r="N764" i="5"/>
  <c r="M764" i="5"/>
  <c r="L764" i="5"/>
  <c r="C764" i="5"/>
  <c r="B764" i="5"/>
  <c r="T763" i="5"/>
  <c r="S763" i="5"/>
  <c r="R763" i="5"/>
  <c r="Q763" i="5"/>
  <c r="N763" i="5"/>
  <c r="M763" i="5"/>
  <c r="L763" i="5"/>
  <c r="C763" i="5"/>
  <c r="B763" i="5"/>
  <c r="T762" i="5"/>
  <c r="S762" i="5"/>
  <c r="R762" i="5"/>
  <c r="Q762" i="5"/>
  <c r="N762" i="5"/>
  <c r="M762" i="5"/>
  <c r="L762" i="5"/>
  <c r="C762" i="5"/>
  <c r="B762" i="5"/>
  <c r="T761" i="5"/>
  <c r="S761" i="5"/>
  <c r="R761" i="5"/>
  <c r="Q761" i="5"/>
  <c r="N761" i="5"/>
  <c r="M761" i="5"/>
  <c r="L761" i="5"/>
  <c r="C761" i="5"/>
  <c r="B761" i="5"/>
  <c r="T760" i="5"/>
  <c r="S760" i="5"/>
  <c r="R760" i="5"/>
  <c r="Q760" i="5"/>
  <c r="M760" i="5"/>
  <c r="L760" i="5"/>
  <c r="C760" i="5"/>
  <c r="N760" i="5" s="1"/>
  <c r="B760" i="5"/>
  <c r="T759" i="5"/>
  <c r="S759" i="5"/>
  <c r="R759" i="5"/>
  <c r="Q759" i="5"/>
  <c r="N759" i="5"/>
  <c r="M759" i="5"/>
  <c r="L759" i="5"/>
  <c r="C759" i="5"/>
  <c r="B759" i="5"/>
  <c r="T758" i="5"/>
  <c r="S758" i="5"/>
  <c r="R758" i="5"/>
  <c r="Q758" i="5"/>
  <c r="N758" i="5"/>
  <c r="M758" i="5"/>
  <c r="L758" i="5"/>
  <c r="C758" i="5"/>
  <c r="B758" i="5"/>
  <c r="T757" i="5"/>
  <c r="S757" i="5"/>
  <c r="R757" i="5"/>
  <c r="Q757" i="5"/>
  <c r="M757" i="5"/>
  <c r="L757" i="5"/>
  <c r="C757" i="5"/>
  <c r="N757" i="5" s="1"/>
  <c r="B757" i="5"/>
  <c r="T756" i="5"/>
  <c r="S756" i="5"/>
  <c r="R756" i="5"/>
  <c r="Q756" i="5"/>
  <c r="M756" i="5"/>
  <c r="L756" i="5"/>
  <c r="C756" i="5"/>
  <c r="N756" i="5" s="1"/>
  <c r="B756" i="5"/>
  <c r="T755" i="5"/>
  <c r="S755" i="5"/>
  <c r="R755" i="5"/>
  <c r="Q755" i="5"/>
  <c r="M755" i="5"/>
  <c r="L755" i="5"/>
  <c r="C755" i="5"/>
  <c r="N755" i="5" s="1"/>
  <c r="B755" i="5"/>
  <c r="T754" i="5"/>
  <c r="S754" i="5"/>
  <c r="R754" i="5"/>
  <c r="Q754" i="5"/>
  <c r="N754" i="5"/>
  <c r="M754" i="5"/>
  <c r="L754" i="5"/>
  <c r="C754" i="5"/>
  <c r="B754" i="5"/>
  <c r="T753" i="5"/>
  <c r="S753" i="5"/>
  <c r="R753" i="5"/>
  <c r="Q753" i="5"/>
  <c r="N753" i="5"/>
  <c r="M753" i="5"/>
  <c r="L753" i="5"/>
  <c r="C753" i="5"/>
  <c r="B753" i="5"/>
  <c r="T752" i="5"/>
  <c r="S752" i="5"/>
  <c r="R752" i="5"/>
  <c r="Q752" i="5"/>
  <c r="N752" i="5"/>
  <c r="M752" i="5"/>
  <c r="L752" i="5"/>
  <c r="C752" i="5"/>
  <c r="B752" i="5"/>
  <c r="T751" i="5"/>
  <c r="S751" i="5"/>
  <c r="R751" i="5"/>
  <c r="Q751" i="5"/>
  <c r="N751" i="5"/>
  <c r="M751" i="5"/>
  <c r="L751" i="5"/>
  <c r="C751" i="5"/>
  <c r="B751" i="5"/>
  <c r="T750" i="5"/>
  <c r="S750" i="5"/>
  <c r="R750" i="5"/>
  <c r="Q750" i="5"/>
  <c r="N750" i="5"/>
  <c r="M750" i="5"/>
  <c r="L750" i="5"/>
  <c r="C750" i="5"/>
  <c r="B750" i="5"/>
  <c r="T749" i="5"/>
  <c r="S749" i="5"/>
  <c r="R749" i="5"/>
  <c r="Q749" i="5"/>
  <c r="N749" i="5"/>
  <c r="M749" i="5"/>
  <c r="L749" i="5"/>
  <c r="C749" i="5"/>
  <c r="B749" i="5"/>
  <c r="T748" i="5"/>
  <c r="S748" i="5"/>
  <c r="R748" i="5"/>
  <c r="Q748" i="5"/>
  <c r="M748" i="5"/>
  <c r="L748" i="5"/>
  <c r="C748" i="5"/>
  <c r="N748" i="5" s="1"/>
  <c r="B748" i="5"/>
  <c r="T747" i="5"/>
  <c r="S747" i="5"/>
  <c r="R747" i="5"/>
  <c r="Q747" i="5"/>
  <c r="M747" i="5"/>
  <c r="L747" i="5"/>
  <c r="C747" i="5"/>
  <c r="N747" i="5" s="1"/>
  <c r="B747" i="5"/>
  <c r="T746" i="5"/>
  <c r="S746" i="5"/>
  <c r="R746" i="5"/>
  <c r="Q746" i="5"/>
  <c r="M746" i="5"/>
  <c r="L746" i="5"/>
  <c r="C746" i="5"/>
  <c r="N746" i="5" s="1"/>
  <c r="B746" i="5"/>
  <c r="T745" i="5"/>
  <c r="S745" i="5"/>
  <c r="R745" i="5"/>
  <c r="Q745" i="5"/>
  <c r="M745" i="5"/>
  <c r="L745" i="5"/>
  <c r="C745" i="5"/>
  <c r="N745" i="5" s="1"/>
  <c r="B745" i="5"/>
  <c r="T744" i="5"/>
  <c r="S744" i="5"/>
  <c r="R744" i="5"/>
  <c r="Q744" i="5"/>
  <c r="N744" i="5"/>
  <c r="M744" i="5"/>
  <c r="L744" i="5"/>
  <c r="C744" i="5"/>
  <c r="B744" i="5"/>
  <c r="T743" i="5"/>
  <c r="S743" i="5"/>
  <c r="R743" i="5"/>
  <c r="Q743" i="5"/>
  <c r="N743" i="5"/>
  <c r="M743" i="5"/>
  <c r="L743" i="5"/>
  <c r="C743" i="5"/>
  <c r="B743" i="5"/>
  <c r="T742" i="5"/>
  <c r="S742" i="5"/>
  <c r="R742" i="5"/>
  <c r="Q742" i="5"/>
  <c r="N742" i="5"/>
  <c r="M742" i="5"/>
  <c r="L742" i="5"/>
  <c r="C742" i="5"/>
  <c r="B742" i="5"/>
  <c r="T741" i="5"/>
  <c r="S741" i="5"/>
  <c r="R741" i="5"/>
  <c r="Q741" i="5"/>
  <c r="N741" i="5"/>
  <c r="M741" i="5"/>
  <c r="L741" i="5"/>
  <c r="C741" i="5"/>
  <c r="B741" i="5"/>
  <c r="T740" i="5"/>
  <c r="S740" i="5"/>
  <c r="R740" i="5"/>
  <c r="Q740" i="5"/>
  <c r="M740" i="5"/>
  <c r="L740" i="5"/>
  <c r="C740" i="5"/>
  <c r="N740" i="5" s="1"/>
  <c r="B740" i="5"/>
  <c r="T739" i="5"/>
  <c r="S739" i="5"/>
  <c r="R739" i="5"/>
  <c r="Q739" i="5"/>
  <c r="N739" i="5"/>
  <c r="M739" i="5"/>
  <c r="L739" i="5"/>
  <c r="C739" i="5"/>
  <c r="B739" i="5"/>
  <c r="T738" i="5"/>
  <c r="S738" i="5"/>
  <c r="R738" i="5"/>
  <c r="Q738" i="5"/>
  <c r="M738" i="5"/>
  <c r="L738" i="5"/>
  <c r="C738" i="5"/>
  <c r="N738" i="5" s="1"/>
  <c r="B738" i="5"/>
  <c r="T737" i="5"/>
  <c r="S737" i="5"/>
  <c r="R737" i="5"/>
  <c r="Q737" i="5"/>
  <c r="M737" i="5"/>
  <c r="L737" i="5"/>
  <c r="C737" i="5"/>
  <c r="N737" i="5" s="1"/>
  <c r="B737" i="5"/>
  <c r="T736" i="5"/>
  <c r="S736" i="5"/>
  <c r="R736" i="5"/>
  <c r="Q736" i="5"/>
  <c r="M736" i="5"/>
  <c r="L736" i="5"/>
  <c r="C736" i="5"/>
  <c r="N736" i="5" s="1"/>
  <c r="B736" i="5"/>
  <c r="T735" i="5"/>
  <c r="S735" i="5"/>
  <c r="R735" i="5"/>
  <c r="Q735" i="5"/>
  <c r="M735" i="5"/>
  <c r="L735" i="5"/>
  <c r="C735" i="5"/>
  <c r="N735" i="5" s="1"/>
  <c r="B735" i="5"/>
  <c r="T734" i="5"/>
  <c r="S734" i="5"/>
  <c r="R734" i="5"/>
  <c r="Q734" i="5"/>
  <c r="N734" i="5"/>
  <c r="M734" i="5"/>
  <c r="L734" i="5"/>
  <c r="C734" i="5"/>
  <c r="B734" i="5"/>
  <c r="T733" i="5"/>
  <c r="S733" i="5"/>
  <c r="R733" i="5"/>
  <c r="Q733" i="5"/>
  <c r="N733" i="5"/>
  <c r="M733" i="5"/>
  <c r="L733" i="5"/>
  <c r="C733" i="5"/>
  <c r="B733" i="5"/>
  <c r="T732" i="5"/>
  <c r="S732" i="5"/>
  <c r="R732" i="5"/>
  <c r="Q732" i="5"/>
  <c r="N732" i="5"/>
  <c r="M732" i="5"/>
  <c r="L732" i="5"/>
  <c r="C732" i="5"/>
  <c r="B732" i="5"/>
  <c r="T731" i="5"/>
  <c r="S731" i="5"/>
  <c r="R731" i="5"/>
  <c r="Q731" i="5"/>
  <c r="N731" i="5"/>
  <c r="M731" i="5"/>
  <c r="L731" i="5"/>
  <c r="C731" i="5"/>
  <c r="B731" i="5"/>
  <c r="T730" i="5"/>
  <c r="S730" i="5"/>
  <c r="R730" i="5"/>
  <c r="Q730" i="5"/>
  <c r="M730" i="5"/>
  <c r="L730" i="5"/>
  <c r="C730" i="5"/>
  <c r="N730" i="5" s="1"/>
  <c r="B730" i="5"/>
  <c r="T729" i="5"/>
  <c r="S729" i="5"/>
  <c r="R729" i="5"/>
  <c r="Q729" i="5"/>
  <c r="N729" i="5"/>
  <c r="M729" i="5"/>
  <c r="L729" i="5"/>
  <c r="C729" i="5"/>
  <c r="B729" i="5"/>
  <c r="T728" i="5"/>
  <c r="S728" i="5"/>
  <c r="R728" i="5"/>
  <c r="Q728" i="5"/>
  <c r="N728" i="5"/>
  <c r="M728" i="5"/>
  <c r="L728" i="5"/>
  <c r="C728" i="5"/>
  <c r="B728" i="5"/>
  <c r="T727" i="5"/>
  <c r="S727" i="5"/>
  <c r="R727" i="5"/>
  <c r="Q727" i="5"/>
  <c r="M727" i="5"/>
  <c r="L727" i="5"/>
  <c r="C727" i="5"/>
  <c r="N727" i="5" s="1"/>
  <c r="B727" i="5"/>
  <c r="T726" i="5"/>
  <c r="S726" i="5"/>
  <c r="R726" i="5"/>
  <c r="Q726" i="5"/>
  <c r="M726" i="5"/>
  <c r="L726" i="5"/>
  <c r="C726" i="5"/>
  <c r="N726" i="5" s="1"/>
  <c r="B726" i="5"/>
  <c r="T725" i="5"/>
  <c r="S725" i="5"/>
  <c r="R725" i="5"/>
  <c r="Q725" i="5"/>
  <c r="M725" i="5"/>
  <c r="L725" i="5"/>
  <c r="C725" i="5"/>
  <c r="N725" i="5" s="1"/>
  <c r="B725" i="5"/>
  <c r="T724" i="5"/>
  <c r="S724" i="5"/>
  <c r="R724" i="5"/>
  <c r="Q724" i="5"/>
  <c r="N724" i="5"/>
  <c r="M724" i="5"/>
  <c r="L724" i="5"/>
  <c r="C724" i="5"/>
  <c r="B724" i="5"/>
  <c r="T723" i="5"/>
  <c r="S723" i="5"/>
  <c r="R723" i="5"/>
  <c r="Q723" i="5"/>
  <c r="N723" i="5"/>
  <c r="M723" i="5"/>
  <c r="L723" i="5"/>
  <c r="C723" i="5"/>
  <c r="B723" i="5"/>
  <c r="T722" i="5"/>
  <c r="S722" i="5"/>
  <c r="R722" i="5"/>
  <c r="Q722" i="5"/>
  <c r="N722" i="5"/>
  <c r="M722" i="5"/>
  <c r="L722" i="5"/>
  <c r="C722" i="5"/>
  <c r="B722" i="5"/>
  <c r="T721" i="5"/>
  <c r="S721" i="5"/>
  <c r="R721" i="5"/>
  <c r="Q721" i="5"/>
  <c r="N721" i="5"/>
  <c r="M721" i="5"/>
  <c r="L721" i="5"/>
  <c r="C721" i="5"/>
  <c r="B721" i="5"/>
  <c r="T720" i="5"/>
  <c r="S720" i="5"/>
  <c r="R720" i="5"/>
  <c r="Q720" i="5"/>
  <c r="N720" i="5"/>
  <c r="M720" i="5"/>
  <c r="L720" i="5"/>
  <c r="C720" i="5"/>
  <c r="B720" i="5"/>
  <c r="T719" i="5"/>
  <c r="S719" i="5"/>
  <c r="R719" i="5"/>
  <c r="Q719" i="5"/>
  <c r="N719" i="5"/>
  <c r="M719" i="5"/>
  <c r="L719" i="5"/>
  <c r="C719" i="5"/>
  <c r="B719" i="5"/>
  <c r="T718" i="5"/>
  <c r="S718" i="5"/>
  <c r="R718" i="5"/>
  <c r="Q718" i="5"/>
  <c r="M718" i="5"/>
  <c r="L718" i="5"/>
  <c r="C718" i="5"/>
  <c r="N718" i="5" s="1"/>
  <c r="B718" i="5"/>
  <c r="T717" i="5"/>
  <c r="S717" i="5"/>
  <c r="R717" i="5"/>
  <c r="Q717" i="5"/>
  <c r="M717" i="5"/>
  <c r="L717" i="5"/>
  <c r="C717" i="5"/>
  <c r="N717" i="5" s="1"/>
  <c r="B717" i="5"/>
  <c r="T716" i="5"/>
  <c r="S716" i="5"/>
  <c r="R716" i="5"/>
  <c r="Q716" i="5"/>
  <c r="M716" i="5"/>
  <c r="L716" i="5"/>
  <c r="C716" i="5"/>
  <c r="N716" i="5" s="1"/>
  <c r="B716" i="5"/>
  <c r="T715" i="5"/>
  <c r="S715" i="5"/>
  <c r="R715" i="5"/>
  <c r="Q715" i="5"/>
  <c r="M715" i="5"/>
  <c r="L715" i="5"/>
  <c r="C715" i="5"/>
  <c r="N715" i="5" s="1"/>
  <c r="B715" i="5"/>
  <c r="T714" i="5"/>
  <c r="S714" i="5"/>
  <c r="R714" i="5"/>
  <c r="Q714" i="5"/>
  <c r="N714" i="5"/>
  <c r="M714" i="5"/>
  <c r="L714" i="5"/>
  <c r="C714" i="5"/>
  <c r="B714" i="5"/>
  <c r="T713" i="5"/>
  <c r="S713" i="5"/>
  <c r="R713" i="5"/>
  <c r="Q713" i="5"/>
  <c r="N713" i="5"/>
  <c r="M713" i="5"/>
  <c r="L713" i="5"/>
  <c r="C713" i="5"/>
  <c r="B713" i="5"/>
  <c r="T712" i="5"/>
  <c r="S712" i="5"/>
  <c r="R712" i="5"/>
  <c r="Q712" i="5"/>
  <c r="N712" i="5"/>
  <c r="M712" i="5"/>
  <c r="L712" i="5"/>
  <c r="C712" i="5"/>
  <c r="B712" i="5"/>
  <c r="T711" i="5"/>
  <c r="S711" i="5"/>
  <c r="R711" i="5"/>
  <c r="Q711" i="5"/>
  <c r="N711" i="5"/>
  <c r="M711" i="5"/>
  <c r="L711" i="5"/>
  <c r="C711" i="5"/>
  <c r="B711" i="5"/>
  <c r="T710" i="5"/>
  <c r="S710" i="5"/>
  <c r="R710" i="5"/>
  <c r="Q710" i="5"/>
  <c r="M710" i="5"/>
  <c r="L710" i="5"/>
  <c r="C710" i="5"/>
  <c r="N710" i="5" s="1"/>
  <c r="B710" i="5"/>
  <c r="T709" i="5"/>
  <c r="S709" i="5"/>
  <c r="R709" i="5"/>
  <c r="Q709" i="5"/>
  <c r="N709" i="5"/>
  <c r="M709" i="5"/>
  <c r="L709" i="5"/>
  <c r="C709" i="5"/>
  <c r="B709" i="5"/>
  <c r="T708" i="5"/>
  <c r="S708" i="5"/>
  <c r="R708" i="5"/>
  <c r="Q708" i="5"/>
  <c r="M708" i="5"/>
  <c r="L708" i="5"/>
  <c r="C708" i="5"/>
  <c r="N708" i="5" s="1"/>
  <c r="B708" i="5"/>
  <c r="T707" i="5"/>
  <c r="S707" i="5"/>
  <c r="R707" i="5"/>
  <c r="Q707" i="5"/>
  <c r="M707" i="5"/>
  <c r="L707" i="5"/>
  <c r="C707" i="5"/>
  <c r="N707" i="5" s="1"/>
  <c r="B707" i="5"/>
  <c r="T706" i="5"/>
  <c r="S706" i="5"/>
  <c r="R706" i="5"/>
  <c r="Q706" i="5"/>
  <c r="M706" i="5"/>
  <c r="L706" i="5"/>
  <c r="C706" i="5"/>
  <c r="N706" i="5" s="1"/>
  <c r="B706" i="5"/>
  <c r="T705" i="5"/>
  <c r="S705" i="5"/>
  <c r="R705" i="5"/>
  <c r="Q705" i="5"/>
  <c r="M705" i="5"/>
  <c r="L705" i="5"/>
  <c r="C705" i="5"/>
  <c r="N705" i="5" s="1"/>
  <c r="B705" i="5"/>
  <c r="T704" i="5"/>
  <c r="S704" i="5"/>
  <c r="R704" i="5"/>
  <c r="Q704" i="5"/>
  <c r="N704" i="5"/>
  <c r="M704" i="5"/>
  <c r="L704" i="5"/>
  <c r="C704" i="5"/>
  <c r="B704" i="5"/>
  <c r="T703" i="5"/>
  <c r="S703" i="5"/>
  <c r="R703" i="5"/>
  <c r="Q703" i="5"/>
  <c r="N703" i="5"/>
  <c r="M703" i="5"/>
  <c r="L703" i="5"/>
  <c r="C703" i="5"/>
  <c r="B703" i="5"/>
  <c r="T702" i="5"/>
  <c r="S702" i="5"/>
  <c r="R702" i="5"/>
  <c r="Q702" i="5"/>
  <c r="N702" i="5"/>
  <c r="M702" i="5"/>
  <c r="L702" i="5"/>
  <c r="C702" i="5"/>
  <c r="B702" i="5"/>
  <c r="T701" i="5"/>
  <c r="S701" i="5"/>
  <c r="R701" i="5"/>
  <c r="Q701" i="5"/>
  <c r="N701" i="5"/>
  <c r="M701" i="5"/>
  <c r="L701" i="5"/>
  <c r="C701" i="5"/>
  <c r="B701" i="5"/>
  <c r="T700" i="5"/>
  <c r="S700" i="5"/>
  <c r="R700" i="5"/>
  <c r="Q700" i="5"/>
  <c r="M700" i="5"/>
  <c r="L700" i="5"/>
  <c r="C700" i="5"/>
  <c r="N700" i="5" s="1"/>
  <c r="B700" i="5"/>
  <c r="T699" i="5"/>
  <c r="S699" i="5"/>
  <c r="R699" i="5"/>
  <c r="Q699" i="5"/>
  <c r="N699" i="5"/>
  <c r="M699" i="5"/>
  <c r="L699" i="5"/>
  <c r="C699" i="5"/>
  <c r="B699" i="5"/>
  <c r="T698" i="5"/>
  <c r="S698" i="5"/>
  <c r="R698" i="5"/>
  <c r="Q698" i="5"/>
  <c r="M698" i="5"/>
  <c r="L698" i="5"/>
  <c r="C698" i="5"/>
  <c r="N698" i="5" s="1"/>
  <c r="B698" i="5"/>
  <c r="T697" i="5"/>
  <c r="S697" i="5"/>
  <c r="R697" i="5"/>
  <c r="Q697" i="5"/>
  <c r="M697" i="5"/>
  <c r="L697" i="5"/>
  <c r="C697" i="5"/>
  <c r="N697" i="5" s="1"/>
  <c r="B697" i="5"/>
  <c r="T696" i="5"/>
  <c r="S696" i="5"/>
  <c r="R696" i="5"/>
  <c r="Q696" i="5"/>
  <c r="M696" i="5"/>
  <c r="L696" i="5"/>
  <c r="C696" i="5"/>
  <c r="N696" i="5" s="1"/>
  <c r="B696" i="5"/>
  <c r="T695" i="5"/>
  <c r="S695" i="5"/>
  <c r="R695" i="5"/>
  <c r="Q695" i="5"/>
  <c r="M695" i="5"/>
  <c r="L695" i="5"/>
  <c r="C695" i="5"/>
  <c r="N695" i="5" s="1"/>
  <c r="B695" i="5"/>
  <c r="T694" i="5"/>
  <c r="S694" i="5"/>
  <c r="R694" i="5"/>
  <c r="Q694" i="5"/>
  <c r="N694" i="5"/>
  <c r="M694" i="5"/>
  <c r="L694" i="5"/>
  <c r="C694" i="5"/>
  <c r="B694" i="5"/>
  <c r="T693" i="5"/>
  <c r="S693" i="5"/>
  <c r="R693" i="5"/>
  <c r="Q693" i="5"/>
  <c r="N693" i="5"/>
  <c r="M693" i="5"/>
  <c r="L693" i="5"/>
  <c r="C693" i="5"/>
  <c r="B693" i="5"/>
  <c r="T692" i="5"/>
  <c r="S692" i="5"/>
  <c r="R692" i="5"/>
  <c r="Q692" i="5"/>
  <c r="N692" i="5"/>
  <c r="M692" i="5"/>
  <c r="L692" i="5"/>
  <c r="C692" i="5"/>
  <c r="B692" i="5"/>
  <c r="T691" i="5"/>
  <c r="S691" i="5"/>
  <c r="R691" i="5"/>
  <c r="Q691" i="5"/>
  <c r="N691" i="5"/>
  <c r="M691" i="5"/>
  <c r="L691" i="5"/>
  <c r="C691" i="5"/>
  <c r="B691" i="5"/>
  <c r="T690" i="5"/>
  <c r="S690" i="5"/>
  <c r="R690" i="5"/>
  <c r="Q690" i="5"/>
  <c r="N690" i="5"/>
  <c r="M690" i="5"/>
  <c r="L690" i="5"/>
  <c r="C690" i="5"/>
  <c r="B690" i="5"/>
  <c r="T689" i="5"/>
  <c r="S689" i="5"/>
  <c r="R689" i="5"/>
  <c r="Q689" i="5"/>
  <c r="N689" i="5"/>
  <c r="M689" i="5"/>
  <c r="L689" i="5"/>
  <c r="C689" i="5"/>
  <c r="B689" i="5"/>
  <c r="T688" i="5"/>
  <c r="S688" i="5"/>
  <c r="R688" i="5"/>
  <c r="Q688" i="5"/>
  <c r="N688" i="5"/>
  <c r="M688" i="5"/>
  <c r="L688" i="5"/>
  <c r="C688" i="5"/>
  <c r="B688" i="5"/>
  <c r="T687" i="5"/>
  <c r="S687" i="5"/>
  <c r="R687" i="5"/>
  <c r="Q687" i="5"/>
  <c r="M687" i="5"/>
  <c r="L687" i="5"/>
  <c r="C687" i="5"/>
  <c r="N687" i="5" s="1"/>
  <c r="B687" i="5"/>
  <c r="T686" i="5"/>
  <c r="S686" i="5"/>
  <c r="R686" i="5"/>
  <c r="Q686" i="5"/>
  <c r="M686" i="5"/>
  <c r="L686" i="5"/>
  <c r="C686" i="5"/>
  <c r="N686" i="5" s="1"/>
  <c r="B686" i="5"/>
  <c r="T685" i="5"/>
  <c r="S685" i="5"/>
  <c r="R685" i="5"/>
  <c r="Q685" i="5"/>
  <c r="M685" i="5"/>
  <c r="L685" i="5"/>
  <c r="C685" i="5"/>
  <c r="N685" i="5" s="1"/>
  <c r="B685" i="5"/>
  <c r="T684" i="5"/>
  <c r="S684" i="5"/>
  <c r="R684" i="5"/>
  <c r="Q684" i="5"/>
  <c r="N684" i="5"/>
  <c r="M684" i="5"/>
  <c r="L684" i="5"/>
  <c r="C684" i="5"/>
  <c r="B684" i="5"/>
  <c r="T683" i="5"/>
  <c r="S683" i="5"/>
  <c r="R683" i="5"/>
  <c r="Q683" i="5"/>
  <c r="N683" i="5"/>
  <c r="M683" i="5"/>
  <c r="L683" i="5"/>
  <c r="C683" i="5"/>
  <c r="B683" i="5"/>
  <c r="T682" i="5"/>
  <c r="S682" i="5"/>
  <c r="R682" i="5"/>
  <c r="Q682" i="5"/>
  <c r="N682" i="5"/>
  <c r="M682" i="5"/>
  <c r="L682" i="5"/>
  <c r="C682" i="5"/>
  <c r="B682" i="5"/>
  <c r="T681" i="5"/>
  <c r="S681" i="5"/>
  <c r="R681" i="5"/>
  <c r="Q681" i="5"/>
  <c r="N681" i="5"/>
  <c r="M681" i="5"/>
  <c r="L681" i="5"/>
  <c r="C681" i="5"/>
  <c r="B681" i="5"/>
  <c r="T680" i="5"/>
  <c r="S680" i="5"/>
  <c r="R680" i="5"/>
  <c r="Q680" i="5"/>
  <c r="M680" i="5"/>
  <c r="L680" i="5"/>
  <c r="C680" i="5"/>
  <c r="N680" i="5" s="1"/>
  <c r="B680" i="5"/>
  <c r="T679" i="5"/>
  <c r="S679" i="5"/>
  <c r="R679" i="5"/>
  <c r="Q679" i="5"/>
  <c r="N679" i="5"/>
  <c r="M679" i="5"/>
  <c r="L679" i="5"/>
  <c r="C679" i="5"/>
  <c r="B679" i="5"/>
  <c r="T678" i="5"/>
  <c r="S678" i="5"/>
  <c r="R678" i="5"/>
  <c r="Q678" i="5"/>
  <c r="M678" i="5"/>
  <c r="L678" i="5"/>
  <c r="C678" i="5"/>
  <c r="N678" i="5" s="1"/>
  <c r="B678" i="5"/>
  <c r="T677" i="5"/>
  <c r="S677" i="5"/>
  <c r="R677" i="5"/>
  <c r="Q677" i="5"/>
  <c r="M677" i="5"/>
  <c r="L677" i="5"/>
  <c r="C677" i="5"/>
  <c r="N677" i="5" s="1"/>
  <c r="B677" i="5"/>
  <c r="T676" i="5"/>
  <c r="S676" i="5"/>
  <c r="R676" i="5"/>
  <c r="Q676" i="5"/>
  <c r="M676" i="5"/>
  <c r="L676" i="5"/>
  <c r="C676" i="5"/>
  <c r="N676" i="5" s="1"/>
  <c r="B676" i="5"/>
  <c r="T675" i="5"/>
  <c r="S675" i="5"/>
  <c r="R675" i="5"/>
  <c r="Q675" i="5"/>
  <c r="M675" i="5"/>
  <c r="L675" i="5"/>
  <c r="C675" i="5"/>
  <c r="N675" i="5" s="1"/>
  <c r="B675" i="5"/>
  <c r="T674" i="5"/>
  <c r="S674" i="5"/>
  <c r="R674" i="5"/>
  <c r="Q674" i="5"/>
  <c r="N674" i="5"/>
  <c r="M674" i="5"/>
  <c r="L674" i="5"/>
  <c r="C674" i="5"/>
  <c r="B674" i="5"/>
  <c r="T673" i="5"/>
  <c r="S673" i="5"/>
  <c r="R673" i="5"/>
  <c r="Q673" i="5"/>
  <c r="N673" i="5"/>
  <c r="M673" i="5"/>
  <c r="L673" i="5"/>
  <c r="C673" i="5"/>
  <c r="B673" i="5"/>
  <c r="T672" i="5"/>
  <c r="S672" i="5"/>
  <c r="R672" i="5"/>
  <c r="Q672" i="5"/>
  <c r="N672" i="5"/>
  <c r="M672" i="5"/>
  <c r="L672" i="5"/>
  <c r="C672" i="5"/>
  <c r="B672" i="5"/>
  <c r="T671" i="5"/>
  <c r="S671" i="5"/>
  <c r="R671" i="5"/>
  <c r="Q671" i="5"/>
  <c r="N671" i="5"/>
  <c r="M671" i="5"/>
  <c r="L671" i="5"/>
  <c r="C671" i="5"/>
  <c r="B671" i="5"/>
  <c r="T670" i="5"/>
  <c r="S670" i="5"/>
  <c r="R670" i="5"/>
  <c r="Q670" i="5"/>
  <c r="M670" i="5"/>
  <c r="L670" i="5"/>
  <c r="C670" i="5"/>
  <c r="N670" i="5" s="1"/>
  <c r="B670" i="5"/>
  <c r="T669" i="5"/>
  <c r="S669" i="5"/>
  <c r="R669" i="5"/>
  <c r="Q669" i="5"/>
  <c r="N669" i="5"/>
  <c r="M669" i="5"/>
  <c r="L669" i="5"/>
  <c r="C669" i="5"/>
  <c r="B669" i="5"/>
  <c r="T668" i="5"/>
  <c r="S668" i="5"/>
  <c r="R668" i="5"/>
  <c r="Q668" i="5"/>
  <c r="M668" i="5"/>
  <c r="L668" i="5"/>
  <c r="C668" i="5"/>
  <c r="N668" i="5" s="1"/>
  <c r="B668" i="5"/>
  <c r="T667" i="5"/>
  <c r="S667" i="5"/>
  <c r="R667" i="5"/>
  <c r="Q667" i="5"/>
  <c r="M667" i="5"/>
  <c r="L667" i="5"/>
  <c r="C667" i="5"/>
  <c r="N667" i="5" s="1"/>
  <c r="B667" i="5"/>
  <c r="T666" i="5"/>
  <c r="S666" i="5"/>
  <c r="R666" i="5"/>
  <c r="Q666" i="5"/>
  <c r="M666" i="5"/>
  <c r="L666" i="5"/>
  <c r="C666" i="5"/>
  <c r="N666" i="5" s="1"/>
  <c r="B666" i="5"/>
  <c r="T665" i="5"/>
  <c r="S665" i="5"/>
  <c r="R665" i="5"/>
  <c r="Q665" i="5"/>
  <c r="M665" i="5"/>
  <c r="L665" i="5"/>
  <c r="C665" i="5"/>
  <c r="N665" i="5" s="1"/>
  <c r="B665" i="5"/>
  <c r="T664" i="5"/>
  <c r="S664" i="5"/>
  <c r="R664" i="5"/>
  <c r="Q664" i="5"/>
  <c r="N664" i="5"/>
  <c r="M664" i="5"/>
  <c r="L664" i="5"/>
  <c r="C664" i="5"/>
  <c r="B664" i="5"/>
  <c r="T663" i="5"/>
  <c r="S663" i="5"/>
  <c r="R663" i="5"/>
  <c r="Q663" i="5"/>
  <c r="N663" i="5"/>
  <c r="M663" i="5"/>
  <c r="L663" i="5"/>
  <c r="C663" i="5"/>
  <c r="B663" i="5"/>
  <c r="T662" i="5"/>
  <c r="S662" i="5"/>
  <c r="R662" i="5"/>
  <c r="Q662" i="5"/>
  <c r="N662" i="5"/>
  <c r="M662" i="5"/>
  <c r="L662" i="5"/>
  <c r="C662" i="5"/>
  <c r="B662" i="5"/>
  <c r="T661" i="5"/>
  <c r="S661" i="5"/>
  <c r="R661" i="5"/>
  <c r="Q661" i="5"/>
  <c r="N661" i="5"/>
  <c r="M661" i="5"/>
  <c r="L661" i="5"/>
  <c r="C661" i="5"/>
  <c r="B661" i="5"/>
  <c r="T660" i="5"/>
  <c r="S660" i="5"/>
  <c r="R660" i="5"/>
  <c r="Q660" i="5"/>
  <c r="M660" i="5"/>
  <c r="L660" i="5"/>
  <c r="C660" i="5"/>
  <c r="N660" i="5" s="1"/>
  <c r="B660" i="5"/>
  <c r="T659" i="5"/>
  <c r="S659" i="5"/>
  <c r="R659" i="5"/>
  <c r="Q659" i="5"/>
  <c r="N659" i="5"/>
  <c r="M659" i="5"/>
  <c r="L659" i="5"/>
  <c r="C659" i="5"/>
  <c r="B659" i="5"/>
  <c r="T658" i="5"/>
  <c r="S658" i="5"/>
  <c r="R658" i="5"/>
  <c r="Q658" i="5"/>
  <c r="N658" i="5"/>
  <c r="M658" i="5"/>
  <c r="L658" i="5"/>
  <c r="C658" i="5"/>
  <c r="B658" i="5"/>
  <c r="T657" i="5"/>
  <c r="S657" i="5"/>
  <c r="R657" i="5"/>
  <c r="Q657" i="5"/>
  <c r="M657" i="5"/>
  <c r="L657" i="5"/>
  <c r="C657" i="5"/>
  <c r="N657" i="5" s="1"/>
  <c r="B657" i="5"/>
  <c r="T656" i="5"/>
  <c r="S656" i="5"/>
  <c r="R656" i="5"/>
  <c r="Q656" i="5"/>
  <c r="M656" i="5"/>
  <c r="L656" i="5"/>
  <c r="C656" i="5"/>
  <c r="N656" i="5" s="1"/>
  <c r="B656" i="5"/>
  <c r="T655" i="5"/>
  <c r="S655" i="5"/>
  <c r="R655" i="5"/>
  <c r="Q655" i="5"/>
  <c r="M655" i="5"/>
  <c r="L655" i="5"/>
  <c r="C655" i="5"/>
  <c r="N655" i="5" s="1"/>
  <c r="B655" i="5"/>
  <c r="T654" i="5"/>
  <c r="S654" i="5"/>
  <c r="R654" i="5"/>
  <c r="Q654" i="5"/>
  <c r="N654" i="5"/>
  <c r="M654" i="5"/>
  <c r="L654" i="5"/>
  <c r="C654" i="5"/>
  <c r="B654" i="5"/>
  <c r="T653" i="5"/>
  <c r="S653" i="5"/>
  <c r="R653" i="5"/>
  <c r="Q653" i="5"/>
  <c r="N653" i="5"/>
  <c r="M653" i="5"/>
  <c r="L653" i="5"/>
  <c r="C653" i="5"/>
  <c r="B653" i="5"/>
  <c r="T652" i="5"/>
  <c r="S652" i="5"/>
  <c r="R652" i="5"/>
  <c r="Q652" i="5"/>
  <c r="N652" i="5"/>
  <c r="M652" i="5"/>
  <c r="L652" i="5"/>
  <c r="C652" i="5"/>
  <c r="B652" i="5"/>
  <c r="T651" i="5"/>
  <c r="S651" i="5"/>
  <c r="R651" i="5"/>
  <c r="Q651" i="5"/>
  <c r="N651" i="5"/>
  <c r="M651" i="5"/>
  <c r="L651" i="5"/>
  <c r="C651" i="5"/>
  <c r="B651" i="5"/>
  <c r="T650" i="5"/>
  <c r="S650" i="5"/>
  <c r="R650" i="5"/>
  <c r="Q650" i="5"/>
  <c r="N650" i="5"/>
  <c r="M650" i="5"/>
  <c r="L650" i="5"/>
  <c r="C650" i="5"/>
  <c r="B650" i="5"/>
  <c r="T649" i="5"/>
  <c r="S649" i="5"/>
  <c r="R649" i="5"/>
  <c r="Q649" i="5"/>
  <c r="N649" i="5"/>
  <c r="M649" i="5"/>
  <c r="L649" i="5"/>
  <c r="C649" i="5"/>
  <c r="B649" i="5"/>
  <c r="T648" i="5"/>
  <c r="S648" i="5"/>
  <c r="R648" i="5"/>
  <c r="Q648" i="5"/>
  <c r="M648" i="5"/>
  <c r="L648" i="5"/>
  <c r="C648" i="5"/>
  <c r="N648" i="5" s="1"/>
  <c r="B648" i="5"/>
  <c r="T647" i="5"/>
  <c r="S647" i="5"/>
  <c r="R647" i="5"/>
  <c r="Q647" i="5"/>
  <c r="M647" i="5"/>
  <c r="L647" i="5"/>
  <c r="C647" i="5"/>
  <c r="N647" i="5" s="1"/>
  <c r="B647" i="5"/>
  <c r="T646" i="5"/>
  <c r="S646" i="5"/>
  <c r="R646" i="5"/>
  <c r="Q646" i="5"/>
  <c r="M646" i="5"/>
  <c r="L646" i="5"/>
  <c r="C646" i="5"/>
  <c r="N646" i="5" s="1"/>
  <c r="B646" i="5"/>
  <c r="T645" i="5"/>
  <c r="S645" i="5"/>
  <c r="R645" i="5"/>
  <c r="Q645" i="5"/>
  <c r="M645" i="5"/>
  <c r="L645" i="5"/>
  <c r="C645" i="5"/>
  <c r="N645" i="5" s="1"/>
  <c r="B645" i="5"/>
  <c r="T644" i="5"/>
  <c r="S644" i="5"/>
  <c r="R644" i="5"/>
  <c r="Q644" i="5"/>
  <c r="N644" i="5"/>
  <c r="M644" i="5"/>
  <c r="L644" i="5"/>
  <c r="C644" i="5"/>
  <c r="B644" i="5"/>
  <c r="T643" i="5"/>
  <c r="S643" i="5"/>
  <c r="R643" i="5"/>
  <c r="Q643" i="5"/>
  <c r="N643" i="5"/>
  <c r="M643" i="5"/>
  <c r="L643" i="5"/>
  <c r="C643" i="5"/>
  <c r="B643" i="5"/>
  <c r="T642" i="5"/>
  <c r="S642" i="5"/>
  <c r="R642" i="5"/>
  <c r="Q642" i="5"/>
  <c r="N642" i="5"/>
  <c r="M642" i="5"/>
  <c r="L642" i="5"/>
  <c r="C642" i="5"/>
  <c r="B642" i="5"/>
  <c r="T641" i="5"/>
  <c r="S641" i="5"/>
  <c r="R641" i="5"/>
  <c r="Q641" i="5"/>
  <c r="N641" i="5"/>
  <c r="M641" i="5"/>
  <c r="L641" i="5"/>
  <c r="C641" i="5"/>
  <c r="B641" i="5"/>
  <c r="T640" i="5"/>
  <c r="S640" i="5"/>
  <c r="R640" i="5"/>
  <c r="Q640" i="5"/>
  <c r="M640" i="5"/>
  <c r="L640" i="5"/>
  <c r="C640" i="5"/>
  <c r="N640" i="5" s="1"/>
  <c r="B640" i="5"/>
  <c r="T639" i="5"/>
  <c r="S639" i="5"/>
  <c r="R639" i="5"/>
  <c r="Q639" i="5"/>
  <c r="N639" i="5"/>
  <c r="M639" i="5"/>
  <c r="L639" i="5"/>
  <c r="C639" i="5"/>
  <c r="B639" i="5"/>
  <c r="T638" i="5"/>
  <c r="S638" i="5"/>
  <c r="R638" i="5"/>
  <c r="Q638" i="5"/>
  <c r="M638" i="5"/>
  <c r="L638" i="5"/>
  <c r="C638" i="5"/>
  <c r="N638" i="5" s="1"/>
  <c r="B638" i="5"/>
  <c r="T637" i="5"/>
  <c r="S637" i="5"/>
  <c r="R637" i="5"/>
  <c r="Q637" i="5"/>
  <c r="M637" i="5"/>
  <c r="L637" i="5"/>
  <c r="C637" i="5"/>
  <c r="N637" i="5" s="1"/>
  <c r="B637" i="5"/>
  <c r="T636" i="5"/>
  <c r="S636" i="5"/>
  <c r="R636" i="5"/>
  <c r="Q636" i="5"/>
  <c r="M636" i="5"/>
  <c r="L636" i="5"/>
  <c r="C636" i="5"/>
  <c r="N636" i="5" s="1"/>
  <c r="B636" i="5"/>
  <c r="T635" i="5"/>
  <c r="S635" i="5"/>
  <c r="R635" i="5"/>
  <c r="Q635" i="5"/>
  <c r="M635" i="5"/>
  <c r="L635" i="5"/>
  <c r="C635" i="5"/>
  <c r="N635" i="5" s="1"/>
  <c r="B635" i="5"/>
  <c r="T634" i="5"/>
  <c r="S634" i="5"/>
  <c r="R634" i="5"/>
  <c r="Q634" i="5"/>
  <c r="N634" i="5"/>
  <c r="M634" i="5"/>
  <c r="L634" i="5"/>
  <c r="C634" i="5"/>
  <c r="B634" i="5"/>
  <c r="T633" i="5"/>
  <c r="S633" i="5"/>
  <c r="R633" i="5"/>
  <c r="Q633" i="5"/>
  <c r="N633" i="5"/>
  <c r="M633" i="5"/>
  <c r="L633" i="5"/>
  <c r="C633" i="5"/>
  <c r="B633" i="5"/>
  <c r="T632" i="5"/>
  <c r="S632" i="5"/>
  <c r="R632" i="5"/>
  <c r="Q632" i="5"/>
  <c r="N632" i="5"/>
  <c r="M632" i="5"/>
  <c r="L632" i="5"/>
  <c r="C632" i="5"/>
  <c r="B632" i="5"/>
  <c r="T631" i="5"/>
  <c r="S631" i="5"/>
  <c r="R631" i="5"/>
  <c r="Q631" i="5"/>
  <c r="N631" i="5"/>
  <c r="M631" i="5"/>
  <c r="L631" i="5"/>
  <c r="C631" i="5"/>
  <c r="B631" i="5"/>
  <c r="T630" i="5"/>
  <c r="S630" i="5"/>
  <c r="R630" i="5"/>
  <c r="Q630" i="5"/>
  <c r="M630" i="5"/>
  <c r="L630" i="5"/>
  <c r="C630" i="5"/>
  <c r="N630" i="5" s="1"/>
  <c r="B630" i="5"/>
  <c r="T629" i="5"/>
  <c r="S629" i="5"/>
  <c r="R629" i="5"/>
  <c r="Q629" i="5"/>
  <c r="N629" i="5"/>
  <c r="M629" i="5"/>
  <c r="L629" i="5"/>
  <c r="C629" i="5"/>
  <c r="B629" i="5"/>
  <c r="T628" i="5"/>
  <c r="S628" i="5"/>
  <c r="R628" i="5"/>
  <c r="Q628" i="5"/>
  <c r="N628" i="5"/>
  <c r="M628" i="5"/>
  <c r="L628" i="5"/>
  <c r="C628" i="5"/>
  <c r="B628" i="5"/>
  <c r="T627" i="5"/>
  <c r="S627" i="5"/>
  <c r="R627" i="5"/>
  <c r="Q627" i="5"/>
  <c r="M627" i="5"/>
  <c r="L627" i="5"/>
  <c r="C627" i="5"/>
  <c r="N627" i="5" s="1"/>
  <c r="B627" i="5"/>
  <c r="T626" i="5"/>
  <c r="S626" i="5"/>
  <c r="R626" i="5"/>
  <c r="Q626" i="5"/>
  <c r="M626" i="5"/>
  <c r="L626" i="5"/>
  <c r="C626" i="5"/>
  <c r="N626" i="5" s="1"/>
  <c r="B626" i="5"/>
  <c r="T625" i="5"/>
  <c r="S625" i="5"/>
  <c r="R625" i="5"/>
  <c r="Q625" i="5"/>
  <c r="M625" i="5"/>
  <c r="L625" i="5"/>
  <c r="C625" i="5"/>
  <c r="N625" i="5" s="1"/>
  <c r="B625" i="5"/>
  <c r="T624" i="5"/>
  <c r="S624" i="5"/>
  <c r="R624" i="5"/>
  <c r="Q624" i="5"/>
  <c r="N624" i="5"/>
  <c r="M624" i="5"/>
  <c r="L624" i="5"/>
  <c r="C624" i="5"/>
  <c r="B624" i="5"/>
  <c r="T623" i="5"/>
  <c r="S623" i="5"/>
  <c r="R623" i="5"/>
  <c r="Q623" i="5"/>
  <c r="N623" i="5"/>
  <c r="M623" i="5"/>
  <c r="L623" i="5"/>
  <c r="C623" i="5"/>
  <c r="B623" i="5"/>
  <c r="T622" i="5"/>
  <c r="S622" i="5"/>
  <c r="R622" i="5"/>
  <c r="Q622" i="5"/>
  <c r="N622" i="5"/>
  <c r="M622" i="5"/>
  <c r="L622" i="5"/>
  <c r="C622" i="5"/>
  <c r="B622" i="5"/>
  <c r="T621" i="5"/>
  <c r="S621" i="5"/>
  <c r="R621" i="5"/>
  <c r="Q621" i="5"/>
  <c r="N621" i="5"/>
  <c r="M621" i="5"/>
  <c r="L621" i="5"/>
  <c r="C621" i="5"/>
  <c r="B621" i="5"/>
  <c r="T620" i="5"/>
  <c r="S620" i="5"/>
  <c r="R620" i="5"/>
  <c r="Q620" i="5"/>
  <c r="N620" i="5"/>
  <c r="M620" i="5"/>
  <c r="L620" i="5"/>
  <c r="C620" i="5"/>
  <c r="B620" i="5"/>
  <c r="T619" i="5"/>
  <c r="S619" i="5"/>
  <c r="R619" i="5"/>
  <c r="Q619" i="5"/>
  <c r="N619" i="5"/>
  <c r="M619" i="5"/>
  <c r="L619" i="5"/>
  <c r="C619" i="5"/>
  <c r="B619" i="5"/>
  <c r="T618" i="5"/>
  <c r="S618" i="5"/>
  <c r="R618" i="5"/>
  <c r="Q618" i="5"/>
  <c r="M618" i="5"/>
  <c r="L618" i="5"/>
  <c r="C618" i="5"/>
  <c r="N618" i="5" s="1"/>
  <c r="B618" i="5"/>
  <c r="T617" i="5"/>
  <c r="S617" i="5"/>
  <c r="R617" i="5"/>
  <c r="Q617" i="5"/>
  <c r="M617" i="5"/>
  <c r="L617" i="5"/>
  <c r="C617" i="5"/>
  <c r="N617" i="5" s="1"/>
  <c r="B617" i="5"/>
  <c r="T616" i="5"/>
  <c r="S616" i="5"/>
  <c r="R616" i="5"/>
  <c r="Q616" i="5"/>
  <c r="M616" i="5"/>
  <c r="L616" i="5"/>
  <c r="C616" i="5"/>
  <c r="N616" i="5" s="1"/>
  <c r="B616" i="5"/>
  <c r="T615" i="5"/>
  <c r="S615" i="5"/>
  <c r="R615" i="5"/>
  <c r="Q615" i="5"/>
  <c r="M615" i="5"/>
  <c r="L615" i="5"/>
  <c r="C615" i="5"/>
  <c r="N615" i="5" s="1"/>
  <c r="B615" i="5"/>
  <c r="T614" i="5"/>
  <c r="S614" i="5"/>
  <c r="R614" i="5"/>
  <c r="Q614" i="5"/>
  <c r="N614" i="5"/>
  <c r="M614" i="5"/>
  <c r="L614" i="5"/>
  <c r="C614" i="5"/>
  <c r="B614" i="5"/>
  <c r="T613" i="5"/>
  <c r="S613" i="5"/>
  <c r="R613" i="5"/>
  <c r="Q613" i="5"/>
  <c r="N613" i="5"/>
  <c r="M613" i="5"/>
  <c r="L613" i="5"/>
  <c r="C613" i="5"/>
  <c r="B613" i="5"/>
  <c r="T612" i="5"/>
  <c r="S612" i="5"/>
  <c r="R612" i="5"/>
  <c r="Q612" i="5"/>
  <c r="N612" i="5"/>
  <c r="M612" i="5"/>
  <c r="L612" i="5"/>
  <c r="C612" i="5"/>
  <c r="B612" i="5"/>
  <c r="T611" i="5"/>
  <c r="S611" i="5"/>
  <c r="R611" i="5"/>
  <c r="Q611" i="5"/>
  <c r="N611" i="5"/>
  <c r="M611" i="5"/>
  <c r="L611" i="5"/>
  <c r="C611" i="5"/>
  <c r="B611" i="5"/>
  <c r="T610" i="5"/>
  <c r="S610" i="5"/>
  <c r="R610" i="5"/>
  <c r="Q610" i="5"/>
  <c r="M610" i="5"/>
  <c r="L610" i="5"/>
  <c r="C610" i="5"/>
  <c r="N610" i="5" s="1"/>
  <c r="B610" i="5"/>
  <c r="T609" i="5"/>
  <c r="S609" i="5"/>
  <c r="R609" i="5"/>
  <c r="Q609" i="5"/>
  <c r="N609" i="5"/>
  <c r="M609" i="5"/>
  <c r="L609" i="5"/>
  <c r="C609" i="5"/>
  <c r="B609" i="5"/>
  <c r="T608" i="5"/>
  <c r="S608" i="5"/>
  <c r="R608" i="5"/>
  <c r="Q608" i="5"/>
  <c r="M608" i="5"/>
  <c r="L608" i="5"/>
  <c r="C608" i="5"/>
  <c r="N608" i="5" s="1"/>
  <c r="B608" i="5"/>
  <c r="T607" i="5"/>
  <c r="S607" i="5"/>
  <c r="R607" i="5"/>
  <c r="Q607" i="5"/>
  <c r="M607" i="5"/>
  <c r="L607" i="5"/>
  <c r="C607" i="5"/>
  <c r="N607" i="5" s="1"/>
  <c r="B607" i="5"/>
  <c r="T606" i="5"/>
  <c r="S606" i="5"/>
  <c r="R606" i="5"/>
  <c r="Q606" i="5"/>
  <c r="M606" i="5"/>
  <c r="L606" i="5"/>
  <c r="C606" i="5"/>
  <c r="N606" i="5" s="1"/>
  <c r="B606" i="5"/>
  <c r="T605" i="5"/>
  <c r="S605" i="5"/>
  <c r="R605" i="5"/>
  <c r="Q605" i="5"/>
  <c r="M605" i="5"/>
  <c r="L605" i="5"/>
  <c r="C605" i="5"/>
  <c r="N605" i="5" s="1"/>
  <c r="B605" i="5"/>
  <c r="T604" i="5"/>
  <c r="S604" i="5"/>
  <c r="R604" i="5"/>
  <c r="Q604" i="5"/>
  <c r="N604" i="5"/>
  <c r="M604" i="5"/>
  <c r="L604" i="5"/>
  <c r="C604" i="5"/>
  <c r="B604" i="5"/>
  <c r="T603" i="5"/>
  <c r="S603" i="5"/>
  <c r="R603" i="5"/>
  <c r="Q603" i="5"/>
  <c r="N603" i="5"/>
  <c r="M603" i="5"/>
  <c r="L603" i="5"/>
  <c r="C603" i="5"/>
  <c r="B603" i="5"/>
  <c r="T602" i="5"/>
  <c r="S602" i="5"/>
  <c r="R602" i="5"/>
  <c r="Q602" i="5"/>
  <c r="N602" i="5"/>
  <c r="M602" i="5"/>
  <c r="L602" i="5"/>
  <c r="C602" i="5"/>
  <c r="B602" i="5"/>
  <c r="T601" i="5"/>
  <c r="S601" i="5"/>
  <c r="R601" i="5"/>
  <c r="Q601" i="5"/>
  <c r="N601" i="5"/>
  <c r="M601" i="5"/>
  <c r="L601" i="5"/>
  <c r="C601" i="5"/>
  <c r="B601" i="5"/>
  <c r="T600" i="5"/>
  <c r="S600" i="5"/>
  <c r="R600" i="5"/>
  <c r="Q600" i="5"/>
  <c r="M600" i="5"/>
  <c r="L600" i="5"/>
  <c r="C600" i="5"/>
  <c r="N600" i="5" s="1"/>
  <c r="B600" i="5"/>
  <c r="T599" i="5"/>
  <c r="S599" i="5"/>
  <c r="R599" i="5"/>
  <c r="Q599" i="5"/>
  <c r="N599" i="5"/>
  <c r="M599" i="5"/>
  <c r="L599" i="5"/>
  <c r="C599" i="5"/>
  <c r="B599" i="5"/>
  <c r="T598" i="5"/>
  <c r="S598" i="5"/>
  <c r="R598" i="5"/>
  <c r="Q598" i="5"/>
  <c r="M598" i="5"/>
  <c r="L598" i="5"/>
  <c r="C598" i="5"/>
  <c r="N598" i="5" s="1"/>
  <c r="B598" i="5"/>
  <c r="T597" i="5"/>
  <c r="S597" i="5"/>
  <c r="R597" i="5"/>
  <c r="Q597" i="5"/>
  <c r="M597" i="5"/>
  <c r="L597" i="5"/>
  <c r="C597" i="5"/>
  <c r="N597" i="5" s="1"/>
  <c r="B597" i="5"/>
  <c r="T596" i="5"/>
  <c r="S596" i="5"/>
  <c r="R596" i="5"/>
  <c r="Q596" i="5"/>
  <c r="M596" i="5"/>
  <c r="L596" i="5"/>
  <c r="C596" i="5"/>
  <c r="N596" i="5" s="1"/>
  <c r="B596" i="5"/>
  <c r="T595" i="5"/>
  <c r="S595" i="5"/>
  <c r="R595" i="5"/>
  <c r="Q595" i="5"/>
  <c r="M595" i="5"/>
  <c r="L595" i="5"/>
  <c r="C595" i="5"/>
  <c r="N595" i="5" s="1"/>
  <c r="B595" i="5"/>
  <c r="T594" i="5"/>
  <c r="S594" i="5"/>
  <c r="R594" i="5"/>
  <c r="Q594" i="5"/>
  <c r="N594" i="5"/>
  <c r="M594" i="5"/>
  <c r="L594" i="5"/>
  <c r="C594" i="5"/>
  <c r="B594" i="5"/>
  <c r="T593" i="5"/>
  <c r="S593" i="5"/>
  <c r="R593" i="5"/>
  <c r="Q593" i="5"/>
  <c r="N593" i="5"/>
  <c r="M593" i="5"/>
  <c r="L593" i="5"/>
  <c r="C593" i="5"/>
  <c r="B593" i="5"/>
  <c r="T592" i="5"/>
  <c r="S592" i="5"/>
  <c r="R592" i="5"/>
  <c r="Q592" i="5"/>
  <c r="N592" i="5"/>
  <c r="M592" i="5"/>
  <c r="L592" i="5"/>
  <c r="C592" i="5"/>
  <c r="B592" i="5"/>
  <c r="T591" i="5"/>
  <c r="S591" i="5"/>
  <c r="R591" i="5"/>
  <c r="Q591" i="5"/>
  <c r="N591" i="5"/>
  <c r="M591" i="5"/>
  <c r="L591" i="5"/>
  <c r="C591" i="5"/>
  <c r="B591" i="5"/>
  <c r="T590" i="5"/>
  <c r="S590" i="5"/>
  <c r="R590" i="5"/>
  <c r="Q590" i="5"/>
  <c r="N590" i="5"/>
  <c r="M590" i="5"/>
  <c r="L590" i="5"/>
  <c r="C590" i="5"/>
  <c r="B590" i="5"/>
  <c r="T589" i="5"/>
  <c r="S589" i="5"/>
  <c r="R589" i="5"/>
  <c r="Q589" i="5"/>
  <c r="N589" i="5"/>
  <c r="M589" i="5"/>
  <c r="L589" i="5"/>
  <c r="C589" i="5"/>
  <c r="B589" i="5"/>
  <c r="T588" i="5"/>
  <c r="S588" i="5"/>
  <c r="R588" i="5"/>
  <c r="Q588" i="5"/>
  <c r="N588" i="5"/>
  <c r="M588" i="5"/>
  <c r="L588" i="5"/>
  <c r="C588" i="5"/>
  <c r="B588" i="5"/>
  <c r="T587" i="5"/>
  <c r="S587" i="5"/>
  <c r="R587" i="5"/>
  <c r="Q587" i="5"/>
  <c r="M587" i="5"/>
  <c r="L587" i="5"/>
  <c r="C587" i="5"/>
  <c r="N587" i="5" s="1"/>
  <c r="B587" i="5"/>
  <c r="T586" i="5"/>
  <c r="S586" i="5"/>
  <c r="R586" i="5"/>
  <c r="Q586" i="5"/>
  <c r="M586" i="5"/>
  <c r="L586" i="5"/>
  <c r="C586" i="5"/>
  <c r="N586" i="5" s="1"/>
  <c r="B586" i="5"/>
  <c r="T585" i="5"/>
  <c r="S585" i="5"/>
  <c r="R585" i="5"/>
  <c r="Q585" i="5"/>
  <c r="M585" i="5"/>
  <c r="L585" i="5"/>
  <c r="C585" i="5"/>
  <c r="N585" i="5" s="1"/>
  <c r="B585" i="5"/>
  <c r="T584" i="5"/>
  <c r="S584" i="5"/>
  <c r="R584" i="5"/>
  <c r="Q584" i="5"/>
  <c r="N584" i="5"/>
  <c r="M584" i="5"/>
  <c r="L584" i="5"/>
  <c r="C584" i="5"/>
  <c r="B584" i="5"/>
  <c r="T583" i="5"/>
  <c r="S583" i="5"/>
  <c r="R583" i="5"/>
  <c r="Q583" i="5"/>
  <c r="N583" i="5"/>
  <c r="M583" i="5"/>
  <c r="L583" i="5"/>
  <c r="C583" i="5"/>
  <c r="B583" i="5"/>
  <c r="T582" i="5"/>
  <c r="S582" i="5"/>
  <c r="R582" i="5"/>
  <c r="Q582" i="5"/>
  <c r="N582" i="5"/>
  <c r="M582" i="5"/>
  <c r="L582" i="5"/>
  <c r="C582" i="5"/>
  <c r="B582" i="5"/>
  <c r="T581" i="5"/>
  <c r="S581" i="5"/>
  <c r="R581" i="5"/>
  <c r="Q581" i="5"/>
  <c r="N581" i="5"/>
  <c r="M581" i="5"/>
  <c r="L581" i="5"/>
  <c r="C581" i="5"/>
  <c r="B581" i="5"/>
  <c r="T580" i="5"/>
  <c r="S580" i="5"/>
  <c r="R580" i="5"/>
  <c r="Q580" i="5"/>
  <c r="M580" i="5"/>
  <c r="L580" i="5"/>
  <c r="C580" i="5"/>
  <c r="N580" i="5" s="1"/>
  <c r="B580" i="5"/>
  <c r="T579" i="5"/>
  <c r="S579" i="5"/>
  <c r="R579" i="5"/>
  <c r="Q579" i="5"/>
  <c r="N579" i="5"/>
  <c r="M579" i="5"/>
  <c r="L579" i="5"/>
  <c r="C579" i="5"/>
  <c r="B579" i="5"/>
  <c r="T578" i="5"/>
  <c r="S578" i="5"/>
  <c r="R578" i="5"/>
  <c r="Q578" i="5"/>
  <c r="M578" i="5"/>
  <c r="L578" i="5"/>
  <c r="C578" i="5"/>
  <c r="N578" i="5" s="1"/>
  <c r="B578" i="5"/>
  <c r="T577" i="5"/>
  <c r="S577" i="5"/>
  <c r="R577" i="5"/>
  <c r="Q577" i="5"/>
  <c r="M577" i="5"/>
  <c r="L577" i="5"/>
  <c r="C577" i="5"/>
  <c r="N577" i="5" s="1"/>
  <c r="B577" i="5"/>
  <c r="T576" i="5"/>
  <c r="S576" i="5"/>
  <c r="R576" i="5"/>
  <c r="Q576" i="5"/>
  <c r="M576" i="5"/>
  <c r="L576" i="5"/>
  <c r="C576" i="5"/>
  <c r="N576" i="5" s="1"/>
  <c r="B576" i="5"/>
  <c r="T575" i="5"/>
  <c r="S575" i="5"/>
  <c r="R575" i="5"/>
  <c r="Q575" i="5"/>
  <c r="M575" i="5"/>
  <c r="L575" i="5"/>
  <c r="C575" i="5"/>
  <c r="N575" i="5" s="1"/>
  <c r="B575" i="5"/>
  <c r="T574" i="5"/>
  <c r="S574" i="5"/>
  <c r="R574" i="5"/>
  <c r="Q574" i="5"/>
  <c r="N574" i="5"/>
  <c r="M574" i="5"/>
  <c r="L574" i="5"/>
  <c r="C574" i="5"/>
  <c r="B574" i="5"/>
  <c r="T573" i="5"/>
  <c r="S573" i="5"/>
  <c r="R573" i="5"/>
  <c r="Q573" i="5"/>
  <c r="N573" i="5"/>
  <c r="M573" i="5"/>
  <c r="L573" i="5"/>
  <c r="C573" i="5"/>
  <c r="B573" i="5"/>
  <c r="T572" i="5"/>
  <c r="S572" i="5"/>
  <c r="R572" i="5"/>
  <c r="Q572" i="5"/>
  <c r="N572" i="5"/>
  <c r="M572" i="5"/>
  <c r="L572" i="5"/>
  <c r="C572" i="5"/>
  <c r="B572" i="5"/>
  <c r="T571" i="5"/>
  <c r="S571" i="5"/>
  <c r="R571" i="5"/>
  <c r="Q571" i="5"/>
  <c r="N571" i="5"/>
  <c r="M571" i="5"/>
  <c r="L571" i="5"/>
  <c r="C571" i="5"/>
  <c r="B571" i="5"/>
  <c r="T570" i="5"/>
  <c r="S570" i="5"/>
  <c r="R570" i="5"/>
  <c r="Q570" i="5"/>
  <c r="M570" i="5"/>
  <c r="L570" i="5"/>
  <c r="C570" i="5"/>
  <c r="N570" i="5" s="1"/>
  <c r="B570" i="5"/>
  <c r="T569" i="5"/>
  <c r="S569" i="5"/>
  <c r="R569" i="5"/>
  <c r="Q569" i="5"/>
  <c r="N569" i="5"/>
  <c r="M569" i="5"/>
  <c r="L569" i="5"/>
  <c r="C569" i="5"/>
  <c r="B569" i="5"/>
  <c r="T568" i="5"/>
  <c r="S568" i="5"/>
  <c r="R568" i="5"/>
  <c r="Q568" i="5"/>
  <c r="M568" i="5"/>
  <c r="L568" i="5"/>
  <c r="C568" i="5"/>
  <c r="N568" i="5" s="1"/>
  <c r="B568" i="5"/>
  <c r="T567" i="5"/>
  <c r="S567" i="5"/>
  <c r="R567" i="5"/>
  <c r="Q567" i="5"/>
  <c r="M567" i="5"/>
  <c r="L567" i="5"/>
  <c r="C567" i="5"/>
  <c r="N567" i="5" s="1"/>
  <c r="B567" i="5"/>
  <c r="T566" i="5"/>
  <c r="S566" i="5"/>
  <c r="R566" i="5"/>
  <c r="Q566" i="5"/>
  <c r="M566" i="5"/>
  <c r="L566" i="5"/>
  <c r="C566" i="5"/>
  <c r="N566" i="5" s="1"/>
  <c r="B566" i="5"/>
  <c r="T565" i="5"/>
  <c r="S565" i="5"/>
  <c r="R565" i="5"/>
  <c r="Q565" i="5"/>
  <c r="M565" i="5"/>
  <c r="L565" i="5"/>
  <c r="C565" i="5"/>
  <c r="N565" i="5" s="1"/>
  <c r="B565" i="5"/>
  <c r="T564" i="5"/>
  <c r="S564" i="5"/>
  <c r="R564" i="5"/>
  <c r="Q564" i="5"/>
  <c r="N564" i="5"/>
  <c r="M564" i="5"/>
  <c r="L564" i="5"/>
  <c r="C564" i="5"/>
  <c r="B564" i="5"/>
  <c r="T563" i="5"/>
  <c r="S563" i="5"/>
  <c r="R563" i="5"/>
  <c r="Q563" i="5"/>
  <c r="N563" i="5"/>
  <c r="M563" i="5"/>
  <c r="L563" i="5"/>
  <c r="C563" i="5"/>
  <c r="B563" i="5"/>
  <c r="T562" i="5"/>
  <c r="S562" i="5"/>
  <c r="R562" i="5"/>
  <c r="Q562" i="5"/>
  <c r="N562" i="5"/>
  <c r="M562" i="5"/>
  <c r="L562" i="5"/>
  <c r="C562" i="5"/>
  <c r="B562" i="5"/>
  <c r="T561" i="5"/>
  <c r="S561" i="5"/>
  <c r="R561" i="5"/>
  <c r="Q561" i="5"/>
  <c r="N561" i="5"/>
  <c r="M561" i="5"/>
  <c r="L561" i="5"/>
  <c r="C561" i="5"/>
  <c r="B561" i="5"/>
  <c r="T560" i="5"/>
  <c r="S560" i="5"/>
  <c r="R560" i="5"/>
  <c r="Q560" i="5"/>
  <c r="M560" i="5"/>
  <c r="L560" i="5"/>
  <c r="C560" i="5"/>
  <c r="N560" i="5" s="1"/>
  <c r="B560" i="5"/>
  <c r="T559" i="5"/>
  <c r="S559" i="5"/>
  <c r="R559" i="5"/>
  <c r="Q559" i="5"/>
  <c r="N559" i="5"/>
  <c r="M559" i="5"/>
  <c r="L559" i="5"/>
  <c r="C559" i="5"/>
  <c r="B559" i="5"/>
  <c r="T558" i="5"/>
  <c r="S558" i="5"/>
  <c r="R558" i="5"/>
  <c r="Q558" i="5"/>
  <c r="N558" i="5"/>
  <c r="M558" i="5"/>
  <c r="L558" i="5"/>
  <c r="C558" i="5"/>
  <c r="B558" i="5"/>
  <c r="T557" i="5"/>
  <c r="S557" i="5"/>
  <c r="R557" i="5"/>
  <c r="Q557" i="5"/>
  <c r="M557" i="5"/>
  <c r="L557" i="5"/>
  <c r="C557" i="5"/>
  <c r="N557" i="5" s="1"/>
  <c r="B557" i="5"/>
  <c r="T556" i="5"/>
  <c r="S556" i="5"/>
  <c r="R556" i="5"/>
  <c r="Q556" i="5"/>
  <c r="M556" i="5"/>
  <c r="L556" i="5"/>
  <c r="C556" i="5"/>
  <c r="N556" i="5" s="1"/>
  <c r="B556" i="5"/>
  <c r="T555" i="5"/>
  <c r="S555" i="5"/>
  <c r="R555" i="5"/>
  <c r="Q555" i="5"/>
  <c r="M555" i="5"/>
  <c r="L555" i="5"/>
  <c r="C555" i="5"/>
  <c r="N555" i="5" s="1"/>
  <c r="B555" i="5"/>
  <c r="T554" i="5"/>
  <c r="S554" i="5"/>
  <c r="R554" i="5"/>
  <c r="Q554" i="5"/>
  <c r="N554" i="5"/>
  <c r="M554" i="5"/>
  <c r="L554" i="5"/>
  <c r="C554" i="5"/>
  <c r="B554" i="5"/>
  <c r="T553" i="5"/>
  <c r="S553" i="5"/>
  <c r="R553" i="5"/>
  <c r="Q553" i="5"/>
  <c r="N553" i="5"/>
  <c r="M553" i="5"/>
  <c r="L553" i="5"/>
  <c r="C553" i="5"/>
  <c r="B553" i="5"/>
  <c r="T552" i="5"/>
  <c r="S552" i="5"/>
  <c r="R552" i="5"/>
  <c r="Q552" i="5"/>
  <c r="N552" i="5"/>
  <c r="M552" i="5"/>
  <c r="L552" i="5"/>
  <c r="C552" i="5"/>
  <c r="B552" i="5"/>
  <c r="T551" i="5"/>
  <c r="S551" i="5"/>
  <c r="R551" i="5"/>
  <c r="Q551" i="5"/>
  <c r="N551" i="5"/>
  <c r="M551" i="5"/>
  <c r="L551" i="5"/>
  <c r="C551" i="5"/>
  <c r="B551" i="5"/>
  <c r="T550" i="5"/>
  <c r="S550" i="5"/>
  <c r="R550" i="5"/>
  <c r="Q550" i="5"/>
  <c r="N550" i="5"/>
  <c r="M550" i="5"/>
  <c r="L550" i="5"/>
  <c r="C550" i="5"/>
  <c r="B550" i="5"/>
  <c r="T549" i="5"/>
  <c r="S549" i="5"/>
  <c r="R549" i="5"/>
  <c r="Q549" i="5"/>
  <c r="N549" i="5"/>
  <c r="M549" i="5"/>
  <c r="L549" i="5"/>
  <c r="C549" i="5"/>
  <c r="B549" i="5"/>
  <c r="T548" i="5"/>
  <c r="S548" i="5"/>
  <c r="R548" i="5"/>
  <c r="Q548" i="5"/>
  <c r="M548" i="5"/>
  <c r="L548" i="5"/>
  <c r="C548" i="5"/>
  <c r="N548" i="5" s="1"/>
  <c r="B548" i="5"/>
  <c r="T547" i="5"/>
  <c r="S547" i="5"/>
  <c r="R547" i="5"/>
  <c r="Q547" i="5"/>
  <c r="M547" i="5"/>
  <c r="L547" i="5"/>
  <c r="C547" i="5"/>
  <c r="N547" i="5" s="1"/>
  <c r="B547" i="5"/>
  <c r="T546" i="5"/>
  <c r="S546" i="5"/>
  <c r="R546" i="5"/>
  <c r="Q546" i="5"/>
  <c r="M546" i="5"/>
  <c r="L546" i="5"/>
  <c r="C546" i="5"/>
  <c r="N546" i="5" s="1"/>
  <c r="B546" i="5"/>
  <c r="T545" i="5"/>
  <c r="S545" i="5"/>
  <c r="R545" i="5"/>
  <c r="Q545" i="5"/>
  <c r="M545" i="5"/>
  <c r="L545" i="5"/>
  <c r="C545" i="5"/>
  <c r="N545" i="5" s="1"/>
  <c r="B545" i="5"/>
  <c r="T544" i="5"/>
  <c r="S544" i="5"/>
  <c r="R544" i="5"/>
  <c r="Q544" i="5"/>
  <c r="N544" i="5"/>
  <c r="M544" i="5"/>
  <c r="L544" i="5"/>
  <c r="C544" i="5"/>
  <c r="B544" i="5"/>
  <c r="T543" i="5"/>
  <c r="S543" i="5"/>
  <c r="R543" i="5"/>
  <c r="Q543" i="5"/>
  <c r="N543" i="5"/>
  <c r="M543" i="5"/>
  <c r="L543" i="5"/>
  <c r="C543" i="5"/>
  <c r="B543" i="5"/>
  <c r="T542" i="5"/>
  <c r="S542" i="5"/>
  <c r="R542" i="5"/>
  <c r="Q542" i="5"/>
  <c r="N542" i="5"/>
  <c r="M542" i="5"/>
  <c r="L542" i="5"/>
  <c r="C542" i="5"/>
  <c r="B542" i="5"/>
  <c r="T541" i="5"/>
  <c r="S541" i="5"/>
  <c r="R541" i="5"/>
  <c r="Q541" i="5"/>
  <c r="N541" i="5"/>
  <c r="M541" i="5"/>
  <c r="L541" i="5"/>
  <c r="C541" i="5"/>
  <c r="B541" i="5"/>
  <c r="T540" i="5"/>
  <c r="S540" i="5"/>
  <c r="R540" i="5"/>
  <c r="Q540" i="5"/>
  <c r="M540" i="5"/>
  <c r="L540" i="5"/>
  <c r="C540" i="5"/>
  <c r="N540" i="5" s="1"/>
  <c r="B540" i="5"/>
  <c r="T539" i="5"/>
  <c r="S539" i="5"/>
  <c r="R539" i="5"/>
  <c r="Q539" i="5"/>
  <c r="N539" i="5"/>
  <c r="M539" i="5"/>
  <c r="L539" i="5"/>
  <c r="C539" i="5"/>
  <c r="B539" i="5"/>
  <c r="T538" i="5"/>
  <c r="S538" i="5"/>
  <c r="R538" i="5"/>
  <c r="Q538" i="5"/>
  <c r="M538" i="5"/>
  <c r="L538" i="5"/>
  <c r="C538" i="5"/>
  <c r="N538" i="5" s="1"/>
  <c r="B538" i="5"/>
  <c r="T537" i="5"/>
  <c r="S537" i="5"/>
  <c r="R537" i="5"/>
  <c r="Q537" i="5"/>
  <c r="M537" i="5"/>
  <c r="L537" i="5"/>
  <c r="C537" i="5"/>
  <c r="N537" i="5" s="1"/>
  <c r="B537" i="5"/>
  <c r="T536" i="5"/>
  <c r="S536" i="5"/>
  <c r="R536" i="5"/>
  <c r="Q536" i="5"/>
  <c r="M536" i="5"/>
  <c r="L536" i="5"/>
  <c r="C536" i="5"/>
  <c r="N536" i="5" s="1"/>
  <c r="B536" i="5"/>
  <c r="T535" i="5"/>
  <c r="S535" i="5"/>
  <c r="R535" i="5"/>
  <c r="Q535" i="5"/>
  <c r="M535" i="5"/>
  <c r="L535" i="5"/>
  <c r="C535" i="5"/>
  <c r="N535" i="5" s="1"/>
  <c r="B535" i="5"/>
  <c r="T534" i="5"/>
  <c r="S534" i="5"/>
  <c r="R534" i="5"/>
  <c r="Q534" i="5"/>
  <c r="N534" i="5"/>
  <c r="M534" i="5"/>
  <c r="L534" i="5"/>
  <c r="C534" i="5"/>
  <c r="B534" i="5"/>
  <c r="T533" i="5"/>
  <c r="S533" i="5"/>
  <c r="R533" i="5"/>
  <c r="Q533" i="5"/>
  <c r="N533" i="5"/>
  <c r="M533" i="5"/>
  <c r="L533" i="5"/>
  <c r="C533" i="5"/>
  <c r="B533" i="5"/>
  <c r="T532" i="5"/>
  <c r="S532" i="5"/>
  <c r="R532" i="5"/>
  <c r="Q532" i="5"/>
  <c r="N532" i="5"/>
  <c r="M532" i="5"/>
  <c r="L532" i="5"/>
  <c r="C532" i="5"/>
  <c r="B532" i="5"/>
  <c r="T531" i="5"/>
  <c r="S531" i="5"/>
  <c r="R531" i="5"/>
  <c r="Q531" i="5"/>
  <c r="N531" i="5"/>
  <c r="M531" i="5"/>
  <c r="L531" i="5"/>
  <c r="C531" i="5"/>
  <c r="B531" i="5"/>
  <c r="T530" i="5"/>
  <c r="S530" i="5"/>
  <c r="R530" i="5"/>
  <c r="Q530" i="5"/>
  <c r="M530" i="5"/>
  <c r="L530" i="5"/>
  <c r="C530" i="5"/>
  <c r="N530" i="5" s="1"/>
  <c r="B530" i="5"/>
  <c r="T529" i="5"/>
  <c r="S529" i="5"/>
  <c r="R529" i="5"/>
  <c r="Q529" i="5"/>
  <c r="N529" i="5"/>
  <c r="M529" i="5"/>
  <c r="L529" i="5"/>
  <c r="C529" i="5"/>
  <c r="B529" i="5"/>
  <c r="T528" i="5"/>
  <c r="S528" i="5"/>
  <c r="R528" i="5"/>
  <c r="Q528" i="5"/>
  <c r="N528" i="5"/>
  <c r="M528" i="5"/>
  <c r="L528" i="5"/>
  <c r="C528" i="5"/>
  <c r="B528" i="5"/>
  <c r="T527" i="5"/>
  <c r="S527" i="5"/>
  <c r="R527" i="5"/>
  <c r="Q527" i="5"/>
  <c r="M527" i="5"/>
  <c r="L527" i="5"/>
  <c r="C527" i="5"/>
  <c r="N527" i="5" s="1"/>
  <c r="B527" i="5"/>
  <c r="T526" i="5"/>
  <c r="S526" i="5"/>
  <c r="R526" i="5"/>
  <c r="Q526" i="5"/>
  <c r="M526" i="5"/>
  <c r="L526" i="5"/>
  <c r="C526" i="5"/>
  <c r="N526" i="5" s="1"/>
  <c r="B526" i="5"/>
  <c r="T525" i="5"/>
  <c r="S525" i="5"/>
  <c r="R525" i="5"/>
  <c r="Q525" i="5"/>
  <c r="M525" i="5"/>
  <c r="L525" i="5"/>
  <c r="C525" i="5"/>
  <c r="N525" i="5" s="1"/>
  <c r="B525" i="5"/>
  <c r="T524" i="5"/>
  <c r="S524" i="5"/>
  <c r="R524" i="5"/>
  <c r="Q524" i="5"/>
  <c r="N524" i="5"/>
  <c r="M524" i="5"/>
  <c r="L524" i="5"/>
  <c r="C524" i="5"/>
  <c r="B524" i="5"/>
  <c r="T523" i="5"/>
  <c r="S523" i="5"/>
  <c r="R523" i="5"/>
  <c r="Q523" i="5"/>
  <c r="N523" i="5"/>
  <c r="M523" i="5"/>
  <c r="L523" i="5"/>
  <c r="C523" i="5"/>
  <c r="B523" i="5"/>
  <c r="T522" i="5"/>
  <c r="S522" i="5"/>
  <c r="R522" i="5"/>
  <c r="Q522" i="5"/>
  <c r="N522" i="5"/>
  <c r="M522" i="5"/>
  <c r="L522" i="5"/>
  <c r="C522" i="5"/>
  <c r="B522" i="5"/>
  <c r="T521" i="5"/>
  <c r="S521" i="5"/>
  <c r="R521" i="5"/>
  <c r="Q521" i="5"/>
  <c r="N521" i="5"/>
  <c r="M521" i="5"/>
  <c r="L521" i="5"/>
  <c r="C521" i="5"/>
  <c r="B521" i="5"/>
  <c r="T520" i="5"/>
  <c r="S520" i="5"/>
  <c r="R520" i="5"/>
  <c r="Q520" i="5"/>
  <c r="N520" i="5"/>
  <c r="M520" i="5"/>
  <c r="L520" i="5"/>
  <c r="C520" i="5"/>
  <c r="B520" i="5"/>
  <c r="T519" i="5"/>
  <c r="R519" i="5"/>
  <c r="C519" i="5" s="1"/>
  <c r="L519" i="5"/>
  <c r="B519" i="5"/>
  <c r="T518" i="5"/>
  <c r="R518" i="5"/>
  <c r="L518" i="5"/>
  <c r="B518" i="5"/>
  <c r="T517" i="5"/>
  <c r="R517" i="5"/>
  <c r="L517" i="5"/>
  <c r="B517" i="5"/>
  <c r="T516" i="5"/>
  <c r="R516" i="5"/>
  <c r="L516" i="5"/>
  <c r="B516" i="5"/>
  <c r="T515" i="5"/>
  <c r="R515" i="5"/>
  <c r="L515" i="5"/>
  <c r="B515" i="5"/>
  <c r="T514" i="5"/>
  <c r="R514" i="5"/>
  <c r="L514" i="5"/>
  <c r="B514" i="5"/>
  <c r="T513" i="5"/>
  <c r="R513" i="5"/>
  <c r="L513" i="5"/>
  <c r="B513" i="5"/>
  <c r="T512" i="5"/>
  <c r="R512" i="5"/>
  <c r="L512" i="5"/>
  <c r="B512" i="5"/>
  <c r="T511" i="5"/>
  <c r="R511" i="5"/>
  <c r="L511" i="5"/>
  <c r="B511" i="5"/>
  <c r="T510" i="5"/>
  <c r="R510" i="5"/>
  <c r="L510" i="5"/>
  <c r="B510" i="5"/>
  <c r="T509" i="5"/>
  <c r="R509" i="5"/>
  <c r="L509" i="5"/>
  <c r="B509" i="5"/>
  <c r="T508" i="5"/>
  <c r="R508" i="5"/>
  <c r="L508" i="5"/>
  <c r="B508" i="5"/>
  <c r="T507" i="5"/>
  <c r="R507" i="5"/>
  <c r="L507" i="5"/>
  <c r="B507" i="5"/>
  <c r="T506" i="5"/>
  <c r="R506" i="5"/>
  <c r="L506" i="5"/>
  <c r="B506" i="5"/>
  <c r="T505" i="5"/>
  <c r="R505" i="5"/>
  <c r="L505" i="5"/>
  <c r="B505" i="5"/>
  <c r="T504" i="5"/>
  <c r="R504" i="5"/>
  <c r="L504" i="5"/>
  <c r="B504" i="5"/>
  <c r="T503" i="5"/>
  <c r="R503" i="5"/>
  <c r="L503" i="5"/>
  <c r="B503" i="5"/>
  <c r="T502" i="5"/>
  <c r="R502" i="5"/>
  <c r="L502" i="5"/>
  <c r="B502" i="5"/>
  <c r="T501" i="5"/>
  <c r="R501" i="5"/>
  <c r="L501" i="5"/>
  <c r="B501" i="5"/>
  <c r="T500" i="5"/>
  <c r="R500" i="5"/>
  <c r="L500" i="5"/>
  <c r="B500" i="5"/>
  <c r="T499" i="5"/>
  <c r="R499" i="5"/>
  <c r="L499" i="5"/>
  <c r="B499" i="5"/>
  <c r="T498" i="5"/>
  <c r="R498" i="5"/>
  <c r="L498" i="5"/>
  <c r="B498" i="5"/>
  <c r="T497" i="5"/>
  <c r="R497" i="5"/>
  <c r="L497" i="5"/>
  <c r="B497" i="5"/>
  <c r="T496" i="5"/>
  <c r="R496" i="5"/>
  <c r="L496" i="5"/>
  <c r="B496" i="5"/>
  <c r="T495" i="5"/>
  <c r="R495" i="5"/>
  <c r="L495" i="5"/>
  <c r="B495" i="5"/>
  <c r="T494" i="5"/>
  <c r="R494" i="5"/>
  <c r="L494" i="5"/>
  <c r="B494" i="5"/>
  <c r="T493" i="5"/>
  <c r="R493" i="5"/>
  <c r="L493" i="5"/>
  <c r="B493" i="5"/>
  <c r="T492" i="5"/>
  <c r="R492" i="5"/>
  <c r="L492" i="5"/>
  <c r="B492" i="5"/>
  <c r="T491" i="5"/>
  <c r="R491" i="5"/>
  <c r="L491" i="5"/>
  <c r="B491" i="5"/>
  <c r="T490" i="5"/>
  <c r="R490" i="5"/>
  <c r="L490" i="5"/>
  <c r="B490" i="5"/>
  <c r="T489" i="5"/>
  <c r="R489" i="5"/>
  <c r="L489" i="5"/>
  <c r="B489" i="5"/>
  <c r="T488" i="5"/>
  <c r="R488" i="5"/>
  <c r="L488" i="5"/>
  <c r="B488" i="5"/>
  <c r="T487" i="5"/>
  <c r="R487" i="5"/>
  <c r="L487" i="5"/>
  <c r="B487" i="5"/>
  <c r="T486" i="5"/>
  <c r="R486" i="5"/>
  <c r="L486" i="5"/>
  <c r="B486" i="5"/>
  <c r="T485" i="5"/>
  <c r="R485" i="5"/>
  <c r="L485" i="5"/>
  <c r="B485" i="5"/>
  <c r="T484" i="5"/>
  <c r="R484" i="5"/>
  <c r="L484" i="5"/>
  <c r="B484" i="5"/>
  <c r="T483" i="5"/>
  <c r="R483" i="5"/>
  <c r="L483" i="5"/>
  <c r="B483" i="5"/>
  <c r="T482" i="5"/>
  <c r="R482" i="5"/>
  <c r="L482" i="5"/>
  <c r="B482" i="5"/>
  <c r="T481" i="5"/>
  <c r="R481" i="5"/>
  <c r="L481" i="5"/>
  <c r="B481" i="5"/>
  <c r="T480" i="5"/>
  <c r="R480" i="5"/>
  <c r="L480" i="5"/>
  <c r="B480" i="5"/>
  <c r="T479" i="5"/>
  <c r="R479" i="5"/>
  <c r="L479" i="5"/>
  <c r="B479" i="5"/>
  <c r="T478" i="5"/>
  <c r="R478" i="5"/>
  <c r="L478" i="5"/>
  <c r="B478" i="5"/>
  <c r="T477" i="5"/>
  <c r="R477" i="5"/>
  <c r="L477" i="5"/>
  <c r="B477" i="5"/>
  <c r="T476" i="5"/>
  <c r="R476" i="5"/>
  <c r="L476" i="5"/>
  <c r="B476" i="5"/>
  <c r="T475" i="5"/>
  <c r="R475" i="5"/>
  <c r="L475" i="5"/>
  <c r="B475" i="5"/>
  <c r="T474" i="5"/>
  <c r="R474" i="5"/>
  <c r="L474" i="5"/>
  <c r="B474" i="5"/>
  <c r="T473" i="5"/>
  <c r="R473" i="5"/>
  <c r="L473" i="5"/>
  <c r="B473" i="5"/>
  <c r="T472" i="5"/>
  <c r="R472" i="5"/>
  <c r="L472" i="5"/>
  <c r="B472" i="5"/>
  <c r="T471" i="5"/>
  <c r="R471" i="5"/>
  <c r="L471" i="5"/>
  <c r="B471" i="5"/>
  <c r="T470" i="5"/>
  <c r="R470" i="5"/>
  <c r="L470" i="5"/>
  <c r="B470" i="5"/>
  <c r="T469" i="5"/>
  <c r="R469" i="5"/>
  <c r="L469" i="5"/>
  <c r="B469" i="5"/>
  <c r="T468" i="5"/>
  <c r="R468" i="5"/>
  <c r="L468" i="5"/>
  <c r="B468" i="5"/>
  <c r="T467" i="5"/>
  <c r="R467" i="5"/>
  <c r="L467" i="5"/>
  <c r="B467" i="5"/>
  <c r="T466" i="5"/>
  <c r="R466" i="5"/>
  <c r="L466" i="5"/>
  <c r="B466" i="5"/>
  <c r="T465" i="5"/>
  <c r="R465" i="5"/>
  <c r="L465" i="5"/>
  <c r="B465" i="5"/>
  <c r="T464" i="5"/>
  <c r="R464" i="5"/>
  <c r="L464" i="5"/>
  <c r="B464" i="5"/>
  <c r="T463" i="5"/>
  <c r="R463" i="5"/>
  <c r="L463" i="5"/>
  <c r="B463" i="5"/>
  <c r="T462" i="5"/>
  <c r="R462" i="5"/>
  <c r="L462" i="5"/>
  <c r="B462" i="5"/>
  <c r="T461" i="5"/>
  <c r="R461" i="5"/>
  <c r="L461" i="5"/>
  <c r="B461" i="5"/>
  <c r="T460" i="5"/>
  <c r="R460" i="5"/>
  <c r="L460" i="5"/>
  <c r="B460" i="5"/>
  <c r="T459" i="5"/>
  <c r="R459" i="5"/>
  <c r="L459" i="5"/>
  <c r="B459" i="5"/>
  <c r="T458" i="5"/>
  <c r="R458" i="5"/>
  <c r="L458" i="5"/>
  <c r="B458" i="5"/>
  <c r="T457" i="5"/>
  <c r="R457" i="5"/>
  <c r="L457" i="5"/>
  <c r="B457" i="5"/>
  <c r="T456" i="5"/>
  <c r="R456" i="5"/>
  <c r="L456" i="5"/>
  <c r="B456" i="5"/>
  <c r="T455" i="5"/>
  <c r="R455" i="5"/>
  <c r="L455" i="5"/>
  <c r="B455" i="5"/>
  <c r="T454" i="5"/>
  <c r="R454" i="5"/>
  <c r="L454" i="5"/>
  <c r="B454" i="5"/>
  <c r="T453" i="5"/>
  <c r="R453" i="5"/>
  <c r="L453" i="5"/>
  <c r="B453" i="5"/>
  <c r="T452" i="5"/>
  <c r="R452" i="5"/>
  <c r="L452" i="5"/>
  <c r="B452" i="5"/>
  <c r="T451" i="5"/>
  <c r="R451" i="5"/>
  <c r="L451" i="5"/>
  <c r="B451" i="5"/>
  <c r="T450" i="5"/>
  <c r="R450" i="5"/>
  <c r="L450" i="5"/>
  <c r="B450" i="5"/>
  <c r="T449" i="5"/>
  <c r="R449" i="5"/>
  <c r="L449" i="5"/>
  <c r="B449" i="5"/>
  <c r="T448" i="5"/>
  <c r="R448" i="5"/>
  <c r="L448" i="5"/>
  <c r="B448" i="5"/>
  <c r="T447" i="5"/>
  <c r="R447" i="5"/>
  <c r="L447" i="5"/>
  <c r="B447" i="5"/>
  <c r="T446" i="5"/>
  <c r="R446" i="5"/>
  <c r="L446" i="5"/>
  <c r="B446" i="5"/>
  <c r="T445" i="5"/>
  <c r="R445" i="5"/>
  <c r="L445" i="5"/>
  <c r="B445" i="5"/>
  <c r="T444" i="5"/>
  <c r="R444" i="5"/>
  <c r="L444" i="5"/>
  <c r="B444" i="5"/>
  <c r="T443" i="5"/>
  <c r="R443" i="5"/>
  <c r="L443" i="5"/>
  <c r="B443" i="5"/>
  <c r="T442" i="5"/>
  <c r="R442" i="5"/>
  <c r="L442" i="5"/>
  <c r="B442" i="5"/>
  <c r="T441" i="5"/>
  <c r="R441" i="5"/>
  <c r="L441" i="5"/>
  <c r="B441" i="5"/>
  <c r="T440" i="5"/>
  <c r="R440" i="5"/>
  <c r="L440" i="5"/>
  <c r="B440" i="5"/>
  <c r="T439" i="5"/>
  <c r="R439" i="5"/>
  <c r="L439" i="5"/>
  <c r="B439" i="5"/>
  <c r="T438" i="5"/>
  <c r="R438" i="5"/>
  <c r="L438" i="5"/>
  <c r="B438" i="5"/>
  <c r="T437" i="5"/>
  <c r="R437" i="5"/>
  <c r="L437" i="5"/>
  <c r="B437" i="5"/>
  <c r="T436" i="5"/>
  <c r="R436" i="5"/>
  <c r="L436" i="5"/>
  <c r="B436" i="5"/>
  <c r="T435" i="5"/>
  <c r="R435" i="5"/>
  <c r="L435" i="5"/>
  <c r="B435" i="5"/>
  <c r="T434" i="5"/>
  <c r="R434" i="5"/>
  <c r="L434" i="5"/>
  <c r="B434" i="5"/>
  <c r="T433" i="5"/>
  <c r="R433" i="5"/>
  <c r="L433" i="5"/>
  <c r="B433" i="5"/>
  <c r="T432" i="5"/>
  <c r="R432" i="5"/>
  <c r="L432" i="5"/>
  <c r="B432" i="5"/>
  <c r="T431" i="5"/>
  <c r="R431" i="5"/>
  <c r="L431" i="5"/>
  <c r="B431" i="5"/>
  <c r="T430" i="5"/>
  <c r="R430" i="5"/>
  <c r="L430" i="5"/>
  <c r="B430" i="5"/>
  <c r="T429" i="5"/>
  <c r="R429" i="5"/>
  <c r="L429" i="5"/>
  <c r="B429" i="5"/>
  <c r="T428" i="5"/>
  <c r="R428" i="5"/>
  <c r="L428" i="5"/>
  <c r="B428" i="5"/>
  <c r="T427" i="5"/>
  <c r="R427" i="5"/>
  <c r="L427" i="5"/>
  <c r="B427" i="5"/>
  <c r="T426" i="5"/>
  <c r="R426" i="5"/>
  <c r="L426" i="5"/>
  <c r="B426" i="5"/>
  <c r="T425" i="5"/>
  <c r="R425" i="5"/>
  <c r="L425" i="5"/>
  <c r="B425" i="5"/>
  <c r="T424" i="5"/>
  <c r="R424" i="5"/>
  <c r="L424" i="5"/>
  <c r="B424" i="5"/>
  <c r="T423" i="5"/>
  <c r="R423" i="5"/>
  <c r="L423" i="5"/>
  <c r="B423" i="5"/>
  <c r="T422" i="5"/>
  <c r="R422" i="5"/>
  <c r="L422" i="5"/>
  <c r="B422" i="5"/>
  <c r="T421" i="5"/>
  <c r="R421" i="5"/>
  <c r="L421" i="5"/>
  <c r="B421" i="5"/>
  <c r="T420" i="5"/>
  <c r="R420" i="5"/>
  <c r="L420" i="5"/>
  <c r="B420" i="5"/>
  <c r="T419" i="5"/>
  <c r="R419" i="5"/>
  <c r="L419" i="5"/>
  <c r="B419" i="5"/>
  <c r="T418" i="5"/>
  <c r="R418" i="5"/>
  <c r="L418" i="5"/>
  <c r="B418" i="5"/>
  <c r="T417" i="5"/>
  <c r="R417" i="5"/>
  <c r="L417" i="5"/>
  <c r="B417" i="5"/>
  <c r="T416" i="5"/>
  <c r="R416" i="5"/>
  <c r="L416" i="5"/>
  <c r="B416" i="5"/>
  <c r="T415" i="5"/>
  <c r="R415" i="5"/>
  <c r="L415" i="5"/>
  <c r="B415" i="5"/>
  <c r="T414" i="5"/>
  <c r="R414" i="5"/>
  <c r="L414" i="5"/>
  <c r="B414" i="5"/>
  <c r="T413" i="5"/>
  <c r="R413" i="5"/>
  <c r="L413" i="5"/>
  <c r="B413" i="5"/>
  <c r="T412" i="5"/>
  <c r="R412" i="5"/>
  <c r="L412" i="5"/>
  <c r="B412" i="5"/>
  <c r="T411" i="5"/>
  <c r="R411" i="5"/>
  <c r="L411" i="5"/>
  <c r="B411" i="5"/>
  <c r="T410" i="5"/>
  <c r="R410" i="5"/>
  <c r="L410" i="5"/>
  <c r="B410" i="5"/>
  <c r="T409" i="5"/>
  <c r="R409" i="5"/>
  <c r="L409" i="5"/>
  <c r="B409" i="5"/>
  <c r="T408" i="5"/>
  <c r="R408" i="5"/>
  <c r="L408" i="5"/>
  <c r="B408" i="5"/>
  <c r="T407" i="5"/>
  <c r="R407" i="5"/>
  <c r="L407" i="5"/>
  <c r="B407" i="5"/>
  <c r="T406" i="5"/>
  <c r="R406" i="5"/>
  <c r="L406" i="5"/>
  <c r="B406" i="5"/>
  <c r="T405" i="5"/>
  <c r="R405" i="5"/>
  <c r="L405" i="5"/>
  <c r="B405" i="5"/>
  <c r="T404" i="5"/>
  <c r="R404" i="5"/>
  <c r="L404" i="5"/>
  <c r="B404" i="5"/>
  <c r="T403" i="5"/>
  <c r="R403" i="5"/>
  <c r="L403" i="5"/>
  <c r="B403" i="5"/>
  <c r="T402" i="5"/>
  <c r="R402" i="5"/>
  <c r="L402" i="5"/>
  <c r="B402" i="5"/>
  <c r="T401" i="5"/>
  <c r="R401" i="5"/>
  <c r="L401" i="5"/>
  <c r="B401" i="5"/>
  <c r="T400" i="5"/>
  <c r="R400" i="5"/>
  <c r="L400" i="5"/>
  <c r="B400" i="5"/>
  <c r="T399" i="5"/>
  <c r="R399" i="5"/>
  <c r="L399" i="5"/>
  <c r="B399" i="5"/>
  <c r="T398" i="5"/>
  <c r="R398" i="5"/>
  <c r="L398" i="5"/>
  <c r="B398" i="5"/>
  <c r="T397" i="5"/>
  <c r="R397" i="5"/>
  <c r="L397" i="5"/>
  <c r="B397" i="5"/>
  <c r="T396" i="5"/>
  <c r="R396" i="5"/>
  <c r="L396" i="5"/>
  <c r="B396" i="5"/>
  <c r="T395" i="5"/>
  <c r="R395" i="5"/>
  <c r="L395" i="5"/>
  <c r="B395" i="5"/>
  <c r="T394" i="5"/>
  <c r="R394" i="5"/>
  <c r="L394" i="5"/>
  <c r="B394" i="5"/>
  <c r="T393" i="5"/>
  <c r="R393" i="5"/>
  <c r="L393" i="5"/>
  <c r="B393" i="5"/>
  <c r="T392" i="5"/>
  <c r="R392" i="5"/>
  <c r="L392" i="5"/>
  <c r="B392" i="5"/>
  <c r="T391" i="5"/>
  <c r="R391" i="5"/>
  <c r="L391" i="5"/>
  <c r="B391" i="5"/>
  <c r="T390" i="5"/>
  <c r="R390" i="5"/>
  <c r="L390" i="5"/>
  <c r="B390" i="5"/>
  <c r="T389" i="5"/>
  <c r="R389" i="5"/>
  <c r="L389" i="5"/>
  <c r="B389" i="5"/>
  <c r="T388" i="5"/>
  <c r="R388" i="5"/>
  <c r="L388" i="5"/>
  <c r="B388" i="5"/>
  <c r="T387" i="5"/>
  <c r="R387" i="5"/>
  <c r="L387" i="5"/>
  <c r="B387" i="5"/>
  <c r="T386" i="5"/>
  <c r="R386" i="5"/>
  <c r="L386" i="5"/>
  <c r="B386" i="5"/>
  <c r="T385" i="5"/>
  <c r="R385" i="5"/>
  <c r="L385" i="5"/>
  <c r="B385" i="5"/>
  <c r="T384" i="5"/>
  <c r="R384" i="5"/>
  <c r="L384" i="5"/>
  <c r="B384" i="5"/>
  <c r="T383" i="5"/>
  <c r="R383" i="5"/>
  <c r="L383" i="5"/>
  <c r="B383" i="5"/>
  <c r="T382" i="5"/>
  <c r="R382" i="5"/>
  <c r="L382" i="5"/>
  <c r="B382" i="5"/>
  <c r="T381" i="5"/>
  <c r="R381" i="5"/>
  <c r="L381" i="5"/>
  <c r="B381" i="5"/>
  <c r="T380" i="5"/>
  <c r="R380" i="5"/>
  <c r="L380" i="5"/>
  <c r="B380" i="5"/>
  <c r="T379" i="5"/>
  <c r="R379" i="5"/>
  <c r="L379" i="5"/>
  <c r="B379" i="5"/>
  <c r="T378" i="5"/>
  <c r="R378" i="5"/>
  <c r="L378" i="5"/>
  <c r="B378" i="5"/>
  <c r="T377" i="5"/>
  <c r="R377" i="5"/>
  <c r="L377" i="5"/>
  <c r="B377" i="5"/>
  <c r="T376" i="5"/>
  <c r="R376" i="5"/>
  <c r="L376" i="5"/>
  <c r="B376" i="5"/>
  <c r="T375" i="5"/>
  <c r="R375" i="5"/>
  <c r="L375" i="5"/>
  <c r="B375" i="5"/>
  <c r="T374" i="5"/>
  <c r="R374" i="5"/>
  <c r="L374" i="5"/>
  <c r="B374" i="5"/>
  <c r="T373" i="5"/>
  <c r="R373" i="5"/>
  <c r="L373" i="5"/>
  <c r="B373" i="5"/>
  <c r="T372" i="5"/>
  <c r="R372" i="5"/>
  <c r="L372" i="5"/>
  <c r="B372" i="5"/>
  <c r="T371" i="5"/>
  <c r="R371" i="5"/>
  <c r="L371" i="5"/>
  <c r="B371" i="5"/>
  <c r="T370" i="5"/>
  <c r="R370" i="5"/>
  <c r="L370" i="5"/>
  <c r="B370" i="5"/>
  <c r="T369" i="5"/>
  <c r="R369" i="5"/>
  <c r="L369" i="5"/>
  <c r="B369" i="5"/>
  <c r="T368" i="5"/>
  <c r="R368" i="5"/>
  <c r="L368" i="5"/>
  <c r="B368" i="5"/>
  <c r="T367" i="5"/>
  <c r="R367" i="5"/>
  <c r="L367" i="5"/>
  <c r="B367" i="5"/>
  <c r="T366" i="5"/>
  <c r="R366" i="5"/>
  <c r="L366" i="5"/>
  <c r="B366" i="5"/>
  <c r="T365" i="5"/>
  <c r="R365" i="5"/>
  <c r="L365" i="5"/>
  <c r="B365" i="5"/>
  <c r="T364" i="5"/>
  <c r="R364" i="5"/>
  <c r="L364" i="5"/>
  <c r="B364" i="5"/>
  <c r="T363" i="5"/>
  <c r="R363" i="5"/>
  <c r="L363" i="5"/>
  <c r="B363" i="5"/>
  <c r="T362" i="5"/>
  <c r="R362" i="5"/>
  <c r="L362" i="5"/>
  <c r="B362" i="5"/>
  <c r="T361" i="5"/>
  <c r="R361" i="5"/>
  <c r="L361" i="5"/>
  <c r="B361" i="5"/>
  <c r="T360" i="5"/>
  <c r="R360" i="5"/>
  <c r="L360" i="5"/>
  <c r="B360" i="5"/>
  <c r="T359" i="5"/>
  <c r="R359" i="5"/>
  <c r="L359" i="5"/>
  <c r="B359" i="5"/>
  <c r="T358" i="5"/>
  <c r="R358" i="5"/>
  <c r="L358" i="5"/>
  <c r="B358" i="5"/>
  <c r="T357" i="5"/>
  <c r="R357" i="5"/>
  <c r="L357" i="5"/>
  <c r="B357" i="5"/>
  <c r="T356" i="5"/>
  <c r="R356" i="5"/>
  <c r="L356" i="5"/>
  <c r="B356" i="5"/>
  <c r="T355" i="5"/>
  <c r="R355" i="5"/>
  <c r="L355" i="5"/>
  <c r="B355" i="5"/>
  <c r="T354" i="5"/>
  <c r="R354" i="5"/>
  <c r="L354" i="5"/>
  <c r="B354" i="5"/>
  <c r="T353" i="5"/>
  <c r="R353" i="5"/>
  <c r="L353" i="5"/>
  <c r="B353" i="5"/>
  <c r="T352" i="5"/>
  <c r="R352" i="5"/>
  <c r="L352" i="5"/>
  <c r="B352" i="5"/>
  <c r="T351" i="5"/>
  <c r="R351" i="5"/>
  <c r="L351" i="5"/>
  <c r="B351" i="5"/>
  <c r="T350" i="5"/>
  <c r="R350" i="5"/>
  <c r="L350" i="5"/>
  <c r="B350" i="5"/>
  <c r="T349" i="5"/>
  <c r="R349" i="5"/>
  <c r="L349" i="5"/>
  <c r="B349" i="5"/>
  <c r="T348" i="5"/>
  <c r="R348" i="5"/>
  <c r="L348" i="5"/>
  <c r="B348" i="5"/>
  <c r="T347" i="5"/>
  <c r="R347" i="5"/>
  <c r="L347" i="5"/>
  <c r="B347" i="5"/>
  <c r="T346" i="5"/>
  <c r="R346" i="5"/>
  <c r="L346" i="5"/>
  <c r="B346" i="5"/>
  <c r="T345" i="5"/>
  <c r="R345" i="5"/>
  <c r="L345" i="5"/>
  <c r="B345" i="5"/>
  <c r="T344" i="5"/>
  <c r="R344" i="5"/>
  <c r="L344" i="5"/>
  <c r="B344" i="5"/>
  <c r="T343" i="5"/>
  <c r="R343" i="5"/>
  <c r="L343" i="5"/>
  <c r="B343" i="5"/>
  <c r="T342" i="5"/>
  <c r="R342" i="5"/>
  <c r="L342" i="5"/>
  <c r="B342" i="5"/>
  <c r="T341" i="5"/>
  <c r="R341" i="5"/>
  <c r="L341" i="5"/>
  <c r="B341" i="5"/>
  <c r="T340" i="5"/>
  <c r="R340" i="5"/>
  <c r="L340" i="5"/>
  <c r="B340" i="5"/>
  <c r="T339" i="5"/>
  <c r="R339" i="5"/>
  <c r="L339" i="5"/>
  <c r="B339" i="5"/>
  <c r="T338" i="5"/>
  <c r="R338" i="5"/>
  <c r="L338" i="5"/>
  <c r="B338" i="5"/>
  <c r="T337" i="5"/>
  <c r="R337" i="5"/>
  <c r="L337" i="5"/>
  <c r="B337" i="5"/>
  <c r="T336" i="5"/>
  <c r="R336" i="5"/>
  <c r="L336" i="5"/>
  <c r="B336" i="5"/>
  <c r="T335" i="5"/>
  <c r="R335" i="5"/>
  <c r="L335" i="5"/>
  <c r="B335" i="5"/>
  <c r="T334" i="5"/>
  <c r="R334" i="5"/>
  <c r="L334" i="5"/>
  <c r="B334" i="5"/>
  <c r="T333" i="5"/>
  <c r="R333" i="5"/>
  <c r="L333" i="5"/>
  <c r="B333" i="5"/>
  <c r="T332" i="5"/>
  <c r="R332" i="5"/>
  <c r="L332" i="5"/>
  <c r="B332" i="5"/>
  <c r="T331" i="5"/>
  <c r="R331" i="5"/>
  <c r="L331" i="5"/>
  <c r="B331" i="5"/>
  <c r="T330" i="5"/>
  <c r="R330" i="5"/>
  <c r="L330" i="5"/>
  <c r="B330" i="5"/>
  <c r="T329" i="5"/>
  <c r="R329" i="5"/>
  <c r="L329" i="5"/>
  <c r="B329" i="5"/>
  <c r="T328" i="5"/>
  <c r="R328" i="5"/>
  <c r="L328" i="5"/>
  <c r="B328" i="5"/>
  <c r="T327" i="5"/>
  <c r="R327" i="5"/>
  <c r="L327" i="5"/>
  <c r="B327" i="5"/>
  <c r="T326" i="5"/>
  <c r="R326" i="5"/>
  <c r="L326" i="5"/>
  <c r="B326" i="5"/>
  <c r="T325" i="5"/>
  <c r="R325" i="5"/>
  <c r="L325" i="5"/>
  <c r="B325" i="5"/>
  <c r="T324" i="5"/>
  <c r="R324" i="5"/>
  <c r="L324" i="5"/>
  <c r="B324" i="5"/>
  <c r="T323" i="5"/>
  <c r="R323" i="5"/>
  <c r="L323" i="5"/>
  <c r="B323" i="5"/>
  <c r="T322" i="5"/>
  <c r="R322" i="5"/>
  <c r="L322" i="5"/>
  <c r="B322" i="5"/>
  <c r="T321" i="5"/>
  <c r="R321" i="5"/>
  <c r="L321" i="5"/>
  <c r="B321" i="5"/>
  <c r="T320" i="5"/>
  <c r="R320" i="5"/>
  <c r="L320" i="5"/>
  <c r="B320" i="5"/>
  <c r="T319" i="5"/>
  <c r="R319" i="5"/>
  <c r="L319" i="5"/>
  <c r="B319" i="5"/>
  <c r="T318" i="5"/>
  <c r="R318" i="5"/>
  <c r="L318" i="5"/>
  <c r="B318" i="5"/>
  <c r="T317" i="5"/>
  <c r="R317" i="5"/>
  <c r="L317" i="5"/>
  <c r="B317" i="5"/>
  <c r="T316" i="5"/>
  <c r="R316" i="5"/>
  <c r="L316" i="5"/>
  <c r="B316" i="5"/>
  <c r="T315" i="5"/>
  <c r="R315" i="5"/>
  <c r="L315" i="5"/>
  <c r="B315" i="5"/>
  <c r="T314" i="5"/>
  <c r="R314" i="5"/>
  <c r="L314" i="5"/>
  <c r="B314" i="5"/>
  <c r="T313" i="5"/>
  <c r="R313" i="5"/>
  <c r="L313" i="5"/>
  <c r="B313" i="5"/>
  <c r="T312" i="5"/>
  <c r="R312" i="5"/>
  <c r="L312" i="5"/>
  <c r="B312" i="5"/>
  <c r="T311" i="5"/>
  <c r="R311" i="5"/>
  <c r="L311" i="5"/>
  <c r="B311" i="5"/>
  <c r="T310" i="5"/>
  <c r="R310" i="5"/>
  <c r="L310" i="5"/>
  <c r="B310" i="5"/>
  <c r="T309" i="5"/>
  <c r="R309" i="5"/>
  <c r="L309" i="5"/>
  <c r="B309" i="5"/>
  <c r="T308" i="5"/>
  <c r="R308" i="5"/>
  <c r="L308" i="5"/>
  <c r="B308" i="5"/>
  <c r="T307" i="5"/>
  <c r="R307" i="5"/>
  <c r="L307" i="5"/>
  <c r="B307" i="5"/>
  <c r="T306" i="5"/>
  <c r="R306" i="5"/>
  <c r="L306" i="5"/>
  <c r="B306" i="5"/>
  <c r="T305" i="5"/>
  <c r="R305" i="5"/>
  <c r="L305" i="5"/>
  <c r="B305" i="5"/>
  <c r="T304" i="5"/>
  <c r="R304" i="5"/>
  <c r="L304" i="5"/>
  <c r="B304" i="5"/>
  <c r="T303" i="5"/>
  <c r="R303" i="5"/>
  <c r="L303" i="5"/>
  <c r="B303" i="5"/>
  <c r="T302" i="5"/>
  <c r="R302" i="5"/>
  <c r="L302" i="5"/>
  <c r="B302" i="5"/>
  <c r="T301" i="5"/>
  <c r="R301" i="5"/>
  <c r="L301" i="5"/>
  <c r="B301" i="5"/>
  <c r="T300" i="5"/>
  <c r="R300" i="5"/>
  <c r="L300" i="5"/>
  <c r="B300" i="5"/>
  <c r="T299" i="5"/>
  <c r="R299" i="5"/>
  <c r="L299" i="5"/>
  <c r="B299" i="5"/>
  <c r="T298" i="5"/>
  <c r="R298" i="5"/>
  <c r="L298" i="5"/>
  <c r="B298" i="5"/>
  <c r="T297" i="5"/>
  <c r="R297" i="5"/>
  <c r="L297" i="5"/>
  <c r="B297" i="5"/>
  <c r="T296" i="5"/>
  <c r="R296" i="5"/>
  <c r="L296" i="5"/>
  <c r="B296" i="5"/>
  <c r="T295" i="5"/>
  <c r="R295" i="5"/>
  <c r="L295" i="5"/>
  <c r="B295" i="5"/>
  <c r="T294" i="5"/>
  <c r="R294" i="5"/>
  <c r="L294" i="5"/>
  <c r="B294" i="5"/>
  <c r="T293" i="5"/>
  <c r="R293" i="5"/>
  <c r="L293" i="5"/>
  <c r="B293" i="5"/>
  <c r="T292" i="5"/>
  <c r="R292" i="5"/>
  <c r="L292" i="5"/>
  <c r="B292" i="5"/>
  <c r="T291" i="5"/>
  <c r="R291" i="5"/>
  <c r="L291" i="5"/>
  <c r="B291" i="5"/>
  <c r="T290" i="5"/>
  <c r="R290" i="5"/>
  <c r="L290" i="5"/>
  <c r="B290" i="5"/>
  <c r="T289" i="5"/>
  <c r="R289" i="5"/>
  <c r="L289" i="5"/>
  <c r="B289" i="5"/>
  <c r="T288" i="5"/>
  <c r="R288" i="5"/>
  <c r="L288" i="5"/>
  <c r="B288" i="5"/>
  <c r="T287" i="5"/>
  <c r="R287" i="5"/>
  <c r="L287" i="5"/>
  <c r="B287" i="5"/>
  <c r="T286" i="5"/>
  <c r="R286" i="5"/>
  <c r="L286" i="5"/>
  <c r="B286" i="5"/>
  <c r="T285" i="5"/>
  <c r="R285" i="5"/>
  <c r="L285" i="5"/>
  <c r="B285" i="5"/>
  <c r="T284" i="5"/>
  <c r="R284" i="5"/>
  <c r="L284" i="5"/>
  <c r="B284" i="5"/>
  <c r="T283" i="5"/>
  <c r="R283" i="5"/>
  <c r="L283" i="5"/>
  <c r="B283" i="5"/>
  <c r="T282" i="5"/>
  <c r="R282" i="5"/>
  <c r="L282" i="5"/>
  <c r="B282" i="5"/>
  <c r="T281" i="5"/>
  <c r="R281" i="5"/>
  <c r="L281" i="5"/>
  <c r="B281" i="5"/>
  <c r="T280" i="5"/>
  <c r="R280" i="5"/>
  <c r="L280" i="5"/>
  <c r="B280" i="5"/>
  <c r="T279" i="5"/>
  <c r="R279" i="5"/>
  <c r="L279" i="5"/>
  <c r="B279" i="5"/>
  <c r="T278" i="5"/>
  <c r="R278" i="5"/>
  <c r="L278" i="5"/>
  <c r="B278" i="5"/>
  <c r="T277" i="5"/>
  <c r="R277" i="5"/>
  <c r="L277" i="5"/>
  <c r="B277" i="5"/>
  <c r="T276" i="5"/>
  <c r="R276" i="5"/>
  <c r="L276" i="5"/>
  <c r="B276" i="5"/>
  <c r="T275" i="5"/>
  <c r="R275" i="5"/>
  <c r="L275" i="5"/>
  <c r="B275" i="5"/>
  <c r="T274" i="5"/>
  <c r="R274" i="5"/>
  <c r="L274" i="5"/>
  <c r="B274" i="5"/>
  <c r="T273" i="5"/>
  <c r="R273" i="5"/>
  <c r="L273" i="5"/>
  <c r="B273" i="5"/>
  <c r="T272" i="5"/>
  <c r="R272" i="5"/>
  <c r="L272" i="5"/>
  <c r="B272" i="5"/>
  <c r="T271" i="5"/>
  <c r="R271" i="5"/>
  <c r="L271" i="5"/>
  <c r="B271" i="5"/>
  <c r="T270" i="5"/>
  <c r="R270" i="5"/>
  <c r="L270" i="5"/>
  <c r="B270" i="5"/>
  <c r="T269" i="5"/>
  <c r="R269" i="5"/>
  <c r="L269" i="5"/>
  <c r="B269" i="5"/>
  <c r="T268" i="5"/>
  <c r="R268" i="5"/>
  <c r="L268" i="5"/>
  <c r="B268" i="5"/>
  <c r="T267" i="5"/>
  <c r="R267" i="5"/>
  <c r="L267" i="5"/>
  <c r="B267" i="5"/>
  <c r="T266" i="5"/>
  <c r="R266" i="5"/>
  <c r="L266" i="5"/>
  <c r="B266" i="5"/>
  <c r="T265" i="5"/>
  <c r="R265" i="5"/>
  <c r="L265" i="5"/>
  <c r="B265" i="5"/>
  <c r="T264" i="5"/>
  <c r="R264" i="5"/>
  <c r="L264" i="5"/>
  <c r="B264" i="5"/>
  <c r="T263" i="5"/>
  <c r="R263" i="5"/>
  <c r="L263" i="5"/>
  <c r="B263" i="5"/>
  <c r="T262" i="5"/>
  <c r="R262" i="5"/>
  <c r="L262" i="5"/>
  <c r="B262" i="5"/>
  <c r="T261" i="5"/>
  <c r="R261" i="5"/>
  <c r="L261" i="5"/>
  <c r="B261" i="5"/>
  <c r="T260" i="5"/>
  <c r="R260" i="5"/>
  <c r="L260" i="5"/>
  <c r="B260" i="5"/>
  <c r="T259" i="5"/>
  <c r="R259" i="5"/>
  <c r="L259" i="5"/>
  <c r="B259" i="5"/>
  <c r="T258" i="5"/>
  <c r="R258" i="5"/>
  <c r="L258" i="5"/>
  <c r="B258" i="5"/>
  <c r="T257" i="5"/>
  <c r="R257" i="5"/>
  <c r="L257" i="5"/>
  <c r="B257" i="5"/>
  <c r="T256" i="5"/>
  <c r="R256" i="5"/>
  <c r="L256" i="5"/>
  <c r="B256" i="5"/>
  <c r="T255" i="5"/>
  <c r="R255" i="5"/>
  <c r="L255" i="5"/>
  <c r="B255" i="5"/>
  <c r="T254" i="5"/>
  <c r="R254" i="5"/>
  <c r="L254" i="5"/>
  <c r="B254" i="5"/>
  <c r="T253" i="5"/>
  <c r="R253" i="5"/>
  <c r="L253" i="5"/>
  <c r="B253" i="5"/>
  <c r="T252" i="5"/>
  <c r="R252" i="5"/>
  <c r="L252" i="5"/>
  <c r="B252" i="5"/>
  <c r="T251" i="5"/>
  <c r="R251" i="5"/>
  <c r="L251" i="5"/>
  <c r="B251" i="5"/>
  <c r="T250" i="5"/>
  <c r="R250" i="5"/>
  <c r="L250" i="5"/>
  <c r="B250" i="5"/>
  <c r="T249" i="5"/>
  <c r="R249" i="5"/>
  <c r="L249" i="5"/>
  <c r="B249" i="5"/>
  <c r="T248" i="5"/>
  <c r="R248" i="5"/>
  <c r="L248" i="5"/>
  <c r="B248" i="5"/>
  <c r="T247" i="5"/>
  <c r="R247" i="5"/>
  <c r="L247" i="5"/>
  <c r="B247" i="5"/>
  <c r="T246" i="5"/>
  <c r="R246" i="5"/>
  <c r="L246" i="5"/>
  <c r="B246" i="5"/>
  <c r="T245" i="5"/>
  <c r="R245" i="5"/>
  <c r="L245" i="5"/>
  <c r="B245" i="5"/>
  <c r="T244" i="5"/>
  <c r="R244" i="5"/>
  <c r="L244" i="5"/>
  <c r="B244" i="5"/>
  <c r="T243" i="5"/>
  <c r="R243" i="5"/>
  <c r="L243" i="5"/>
  <c r="B243" i="5"/>
  <c r="T242" i="5"/>
  <c r="R242" i="5"/>
  <c r="L242" i="5"/>
  <c r="B242" i="5"/>
  <c r="T241" i="5"/>
  <c r="R241" i="5"/>
  <c r="L241" i="5"/>
  <c r="B241" i="5"/>
  <c r="T240" i="5"/>
  <c r="R240" i="5"/>
  <c r="L240" i="5"/>
  <c r="B240" i="5"/>
  <c r="T239" i="5"/>
  <c r="R239" i="5"/>
  <c r="L239" i="5"/>
  <c r="B239" i="5"/>
  <c r="T238" i="5"/>
  <c r="R238" i="5"/>
  <c r="L238" i="5"/>
  <c r="B238" i="5"/>
  <c r="T237" i="5"/>
  <c r="R237" i="5"/>
  <c r="L237" i="5"/>
  <c r="B237" i="5"/>
  <c r="T236" i="5"/>
  <c r="R236" i="5"/>
  <c r="L236" i="5"/>
  <c r="B236" i="5"/>
  <c r="T235" i="5"/>
  <c r="R235" i="5"/>
  <c r="L235" i="5"/>
  <c r="B235" i="5"/>
  <c r="T234" i="5"/>
  <c r="R234" i="5"/>
  <c r="L234" i="5"/>
  <c r="B234" i="5"/>
  <c r="T233" i="5"/>
  <c r="R233" i="5"/>
  <c r="L233" i="5"/>
  <c r="B233" i="5"/>
  <c r="T232" i="5"/>
  <c r="R232" i="5"/>
  <c r="L232" i="5"/>
  <c r="B232" i="5"/>
  <c r="T231" i="5"/>
  <c r="R231" i="5"/>
  <c r="L231" i="5"/>
  <c r="B231" i="5"/>
  <c r="T230" i="5"/>
  <c r="R230" i="5"/>
  <c r="L230" i="5"/>
  <c r="B230" i="5"/>
  <c r="T229" i="5"/>
  <c r="R229" i="5"/>
  <c r="L229" i="5"/>
  <c r="B229" i="5"/>
  <c r="T228" i="5"/>
  <c r="R228" i="5"/>
  <c r="L228" i="5"/>
  <c r="B228" i="5"/>
  <c r="T227" i="5"/>
  <c r="R227" i="5"/>
  <c r="L227" i="5"/>
  <c r="B227" i="5"/>
  <c r="T226" i="5"/>
  <c r="R226" i="5"/>
  <c r="L226" i="5"/>
  <c r="B226" i="5"/>
  <c r="T225" i="5"/>
  <c r="R225" i="5"/>
  <c r="L225" i="5"/>
  <c r="B225" i="5"/>
  <c r="T224" i="5"/>
  <c r="R224" i="5"/>
  <c r="L224" i="5"/>
  <c r="B224" i="5"/>
  <c r="T223" i="5"/>
  <c r="R223" i="5"/>
  <c r="L223" i="5"/>
  <c r="B223" i="5"/>
  <c r="T222" i="5"/>
  <c r="R222" i="5"/>
  <c r="L222" i="5"/>
  <c r="B222" i="5"/>
  <c r="T221" i="5"/>
  <c r="R221" i="5"/>
  <c r="L221" i="5"/>
  <c r="B221" i="5"/>
  <c r="T220" i="5"/>
  <c r="R220" i="5"/>
  <c r="L220" i="5"/>
  <c r="B220" i="5"/>
  <c r="T219" i="5"/>
  <c r="R219" i="5"/>
  <c r="L219" i="5"/>
  <c r="B219" i="5"/>
  <c r="T218" i="5"/>
  <c r="R218" i="5"/>
  <c r="L218" i="5"/>
  <c r="B218" i="5"/>
  <c r="T217" i="5"/>
  <c r="R217" i="5"/>
  <c r="L217" i="5"/>
  <c r="B217" i="5"/>
  <c r="T216" i="5"/>
  <c r="R216" i="5"/>
  <c r="L216" i="5"/>
  <c r="B216" i="5"/>
  <c r="T215" i="5"/>
  <c r="R215" i="5"/>
  <c r="L215" i="5"/>
  <c r="B215" i="5"/>
  <c r="T214" i="5"/>
  <c r="R214" i="5"/>
  <c r="L214" i="5"/>
  <c r="B214" i="5"/>
  <c r="T213" i="5"/>
  <c r="R213" i="5"/>
  <c r="L213" i="5"/>
  <c r="B213" i="5"/>
  <c r="T212" i="5"/>
  <c r="R212" i="5"/>
  <c r="L212" i="5"/>
  <c r="B212" i="5"/>
  <c r="T211" i="5"/>
  <c r="R211" i="5"/>
  <c r="L211" i="5"/>
  <c r="B211" i="5"/>
  <c r="T210" i="5"/>
  <c r="R210" i="5"/>
  <c r="L210" i="5"/>
  <c r="B210" i="5"/>
  <c r="T209" i="5"/>
  <c r="R209" i="5"/>
  <c r="L209" i="5"/>
  <c r="B209" i="5"/>
  <c r="T208" i="5"/>
  <c r="R208" i="5"/>
  <c r="L208" i="5"/>
  <c r="B208" i="5"/>
  <c r="T207" i="5"/>
  <c r="R207" i="5"/>
  <c r="L207" i="5"/>
  <c r="B207" i="5"/>
  <c r="T206" i="5"/>
  <c r="R206" i="5"/>
  <c r="L206" i="5"/>
  <c r="B206" i="5"/>
  <c r="T205" i="5"/>
  <c r="R205" i="5"/>
  <c r="L205" i="5"/>
  <c r="B205" i="5"/>
  <c r="T204" i="5"/>
  <c r="R204" i="5"/>
  <c r="L204" i="5"/>
  <c r="B204" i="5"/>
  <c r="T203" i="5"/>
  <c r="R203" i="5"/>
  <c r="L203" i="5"/>
  <c r="B203" i="5"/>
  <c r="T202" i="5"/>
  <c r="R202" i="5"/>
  <c r="L202" i="5"/>
  <c r="B202" i="5"/>
  <c r="T201" i="5"/>
  <c r="R201" i="5"/>
  <c r="L201" i="5"/>
  <c r="B201" i="5"/>
  <c r="T200" i="5"/>
  <c r="R200" i="5"/>
  <c r="L200" i="5"/>
  <c r="B200" i="5"/>
  <c r="T199" i="5"/>
  <c r="R199" i="5"/>
  <c r="L199" i="5"/>
  <c r="B199" i="5"/>
  <c r="T198" i="5"/>
  <c r="R198" i="5"/>
  <c r="L198" i="5"/>
  <c r="B198" i="5"/>
  <c r="T197" i="5"/>
  <c r="R197" i="5"/>
  <c r="L197" i="5"/>
  <c r="B197" i="5"/>
  <c r="T196" i="5"/>
  <c r="R196" i="5"/>
  <c r="L196" i="5"/>
  <c r="B196" i="5"/>
  <c r="T195" i="5"/>
  <c r="R195" i="5"/>
  <c r="L195" i="5"/>
  <c r="B195" i="5"/>
  <c r="T194" i="5"/>
  <c r="R194" i="5"/>
  <c r="L194" i="5"/>
  <c r="B194" i="5"/>
  <c r="T193" i="5"/>
  <c r="R193" i="5"/>
  <c r="L193" i="5"/>
  <c r="B193" i="5"/>
  <c r="T192" i="5"/>
  <c r="R192" i="5"/>
  <c r="L192" i="5"/>
  <c r="B192" i="5"/>
  <c r="T191" i="5"/>
  <c r="R191" i="5"/>
  <c r="L191" i="5"/>
  <c r="B191" i="5"/>
  <c r="T190" i="5"/>
  <c r="R190" i="5"/>
  <c r="L190" i="5"/>
  <c r="B190" i="5"/>
  <c r="T189" i="5"/>
  <c r="R189" i="5"/>
  <c r="L189" i="5"/>
  <c r="B189" i="5"/>
  <c r="T188" i="5"/>
  <c r="R188" i="5"/>
  <c r="L188" i="5"/>
  <c r="B188" i="5"/>
  <c r="T187" i="5"/>
  <c r="R187" i="5"/>
  <c r="L187" i="5"/>
  <c r="B187" i="5"/>
  <c r="T186" i="5"/>
  <c r="R186" i="5"/>
  <c r="L186" i="5"/>
  <c r="B186" i="5"/>
  <c r="T185" i="5"/>
  <c r="R185" i="5"/>
  <c r="L185" i="5"/>
  <c r="B185" i="5"/>
  <c r="T184" i="5"/>
  <c r="R184" i="5"/>
  <c r="L184" i="5"/>
  <c r="B184" i="5"/>
  <c r="T183" i="5"/>
  <c r="R183" i="5"/>
  <c r="L183" i="5"/>
  <c r="B183" i="5"/>
  <c r="T182" i="5"/>
  <c r="R182" i="5"/>
  <c r="L182" i="5"/>
  <c r="B182" i="5"/>
  <c r="T181" i="5"/>
  <c r="R181" i="5"/>
  <c r="L181" i="5"/>
  <c r="B181" i="5"/>
  <c r="T180" i="5"/>
  <c r="R180" i="5"/>
  <c r="L180" i="5"/>
  <c r="B180" i="5"/>
  <c r="T179" i="5"/>
  <c r="R179" i="5"/>
  <c r="L179" i="5"/>
  <c r="B179" i="5"/>
  <c r="T178" i="5"/>
  <c r="R178" i="5"/>
  <c r="L178" i="5"/>
  <c r="B178" i="5"/>
  <c r="T177" i="5"/>
  <c r="R177" i="5"/>
  <c r="L177" i="5"/>
  <c r="B177" i="5"/>
  <c r="T176" i="5"/>
  <c r="R176" i="5"/>
  <c r="L176" i="5"/>
  <c r="B176" i="5"/>
  <c r="T175" i="5"/>
  <c r="R175" i="5"/>
  <c r="L175" i="5"/>
  <c r="B175" i="5"/>
  <c r="T174" i="5"/>
  <c r="R174" i="5"/>
  <c r="L174" i="5"/>
  <c r="B174" i="5"/>
  <c r="T173" i="5"/>
  <c r="R173" i="5"/>
  <c r="L173" i="5"/>
  <c r="B173" i="5"/>
  <c r="T172" i="5"/>
  <c r="R172" i="5"/>
  <c r="L172" i="5"/>
  <c r="B172" i="5"/>
  <c r="T171" i="5"/>
  <c r="R171" i="5"/>
  <c r="L171" i="5"/>
  <c r="B171" i="5"/>
  <c r="T170" i="5"/>
  <c r="R170" i="5"/>
  <c r="L170" i="5"/>
  <c r="B170" i="5"/>
  <c r="T169" i="5"/>
  <c r="R169" i="5"/>
  <c r="L169" i="5"/>
  <c r="B169" i="5"/>
  <c r="T168" i="5"/>
  <c r="R168" i="5"/>
  <c r="L168" i="5"/>
  <c r="B168" i="5"/>
  <c r="T167" i="5"/>
  <c r="R167" i="5"/>
  <c r="L167" i="5"/>
  <c r="B167" i="5"/>
  <c r="T166" i="5"/>
  <c r="R166" i="5"/>
  <c r="L166" i="5"/>
  <c r="B166" i="5"/>
  <c r="T165" i="5"/>
  <c r="R165" i="5"/>
  <c r="L165" i="5"/>
  <c r="B165" i="5"/>
  <c r="T164" i="5"/>
  <c r="R164" i="5"/>
  <c r="L164" i="5"/>
  <c r="B164" i="5"/>
  <c r="T163" i="5"/>
  <c r="R163" i="5"/>
  <c r="L163" i="5"/>
  <c r="B163" i="5"/>
  <c r="T162" i="5"/>
  <c r="R162" i="5"/>
  <c r="L162" i="5"/>
  <c r="B162" i="5"/>
  <c r="T161" i="5"/>
  <c r="R161" i="5"/>
  <c r="L161" i="5"/>
  <c r="B161" i="5"/>
  <c r="T160" i="5"/>
  <c r="R160" i="5"/>
  <c r="L160" i="5"/>
  <c r="B160" i="5"/>
  <c r="T159" i="5"/>
  <c r="R159" i="5"/>
  <c r="L159" i="5"/>
  <c r="B159" i="5"/>
  <c r="T158" i="5"/>
  <c r="R158" i="5"/>
  <c r="L158" i="5"/>
  <c r="B158" i="5"/>
  <c r="T157" i="5"/>
  <c r="R157" i="5"/>
  <c r="L157" i="5"/>
  <c r="B157" i="5"/>
  <c r="T156" i="5"/>
  <c r="R156" i="5"/>
  <c r="L156" i="5"/>
  <c r="B156" i="5"/>
  <c r="T155" i="5"/>
  <c r="R155" i="5"/>
  <c r="L155" i="5"/>
  <c r="B155" i="5"/>
  <c r="T154" i="5"/>
  <c r="R154" i="5"/>
  <c r="L154" i="5"/>
  <c r="B154" i="5"/>
  <c r="T153" i="5"/>
  <c r="R153" i="5"/>
  <c r="L153" i="5"/>
  <c r="B153" i="5"/>
  <c r="T152" i="5"/>
  <c r="R152" i="5"/>
  <c r="L152" i="5"/>
  <c r="B152" i="5"/>
  <c r="T151" i="5"/>
  <c r="R151" i="5"/>
  <c r="L151" i="5"/>
  <c r="B151" i="5"/>
  <c r="T150" i="5"/>
  <c r="R150" i="5"/>
  <c r="L150" i="5"/>
  <c r="B150" i="5"/>
  <c r="T149" i="5"/>
  <c r="R149" i="5"/>
  <c r="L149" i="5"/>
  <c r="B149" i="5"/>
  <c r="T148" i="5"/>
  <c r="R148" i="5"/>
  <c r="L148" i="5"/>
  <c r="B148" i="5"/>
  <c r="T147" i="5"/>
  <c r="R147" i="5"/>
  <c r="L147" i="5"/>
  <c r="B147" i="5"/>
  <c r="T146" i="5"/>
  <c r="R146" i="5"/>
  <c r="L146" i="5"/>
  <c r="B146" i="5"/>
  <c r="T145" i="5"/>
  <c r="R145" i="5"/>
  <c r="L145" i="5"/>
  <c r="B145" i="5"/>
  <c r="T144" i="5"/>
  <c r="R144" i="5"/>
  <c r="L144" i="5"/>
  <c r="B144" i="5"/>
  <c r="T143" i="5"/>
  <c r="R143" i="5"/>
  <c r="L143" i="5"/>
  <c r="B143" i="5"/>
  <c r="T142" i="5"/>
  <c r="R142" i="5"/>
  <c r="L142" i="5"/>
  <c r="B142" i="5"/>
  <c r="T141" i="5"/>
  <c r="R141" i="5"/>
  <c r="L141" i="5"/>
  <c r="B141" i="5"/>
  <c r="T140" i="5"/>
  <c r="R140" i="5"/>
  <c r="L140" i="5"/>
  <c r="B140" i="5"/>
  <c r="T139" i="5"/>
  <c r="R139" i="5"/>
  <c r="L139" i="5"/>
  <c r="B139" i="5"/>
  <c r="T138" i="5"/>
  <c r="R138" i="5"/>
  <c r="L138" i="5"/>
  <c r="B138" i="5"/>
  <c r="T137" i="5"/>
  <c r="R137" i="5"/>
  <c r="L137" i="5"/>
  <c r="B137" i="5"/>
  <c r="T136" i="5"/>
  <c r="R136" i="5"/>
  <c r="L136" i="5"/>
  <c r="B136" i="5"/>
  <c r="T135" i="5"/>
  <c r="R135" i="5"/>
  <c r="L135" i="5"/>
  <c r="B135" i="5"/>
  <c r="T134" i="5"/>
  <c r="R134" i="5"/>
  <c r="L134" i="5"/>
  <c r="B134" i="5"/>
  <c r="T133" i="5"/>
  <c r="R133" i="5"/>
  <c r="L133" i="5"/>
  <c r="B133" i="5"/>
  <c r="T132" i="5"/>
  <c r="R132" i="5"/>
  <c r="L132" i="5"/>
  <c r="B132" i="5"/>
  <c r="T131" i="5"/>
  <c r="R131" i="5"/>
  <c r="L131" i="5"/>
  <c r="B131" i="5"/>
  <c r="T130" i="5"/>
  <c r="R130" i="5"/>
  <c r="L130" i="5"/>
  <c r="B130" i="5"/>
  <c r="T129" i="5"/>
  <c r="R129" i="5"/>
  <c r="L129" i="5"/>
  <c r="B129" i="5"/>
  <c r="T128" i="5"/>
  <c r="R128" i="5"/>
  <c r="L128" i="5"/>
  <c r="B128" i="5"/>
  <c r="T127" i="5"/>
  <c r="R127" i="5"/>
  <c r="L127" i="5"/>
  <c r="B127" i="5"/>
  <c r="T126" i="5"/>
  <c r="R126" i="5"/>
  <c r="L126" i="5"/>
  <c r="B126" i="5"/>
  <c r="T125" i="5"/>
  <c r="R125" i="5"/>
  <c r="L125" i="5"/>
  <c r="B125" i="5"/>
  <c r="T124" i="5"/>
  <c r="R124" i="5"/>
  <c r="L124" i="5"/>
  <c r="B124" i="5"/>
  <c r="T123" i="5"/>
  <c r="R123" i="5"/>
  <c r="L123" i="5"/>
  <c r="B123" i="5"/>
  <c r="T122" i="5"/>
  <c r="R122" i="5"/>
  <c r="L122" i="5"/>
  <c r="B122" i="5"/>
  <c r="T121" i="5"/>
  <c r="R121" i="5"/>
  <c r="L121" i="5"/>
  <c r="B121" i="5"/>
  <c r="T120" i="5"/>
  <c r="R120" i="5"/>
  <c r="L120" i="5"/>
  <c r="B120" i="5"/>
  <c r="T119" i="5"/>
  <c r="R119" i="5"/>
  <c r="L119" i="5"/>
  <c r="B119" i="5"/>
  <c r="T118" i="5"/>
  <c r="R118" i="5"/>
  <c r="L118" i="5"/>
  <c r="B118" i="5"/>
  <c r="T117" i="5"/>
  <c r="R117" i="5"/>
  <c r="L117" i="5"/>
  <c r="B117" i="5"/>
  <c r="T116" i="5"/>
  <c r="R116" i="5"/>
  <c r="L116" i="5"/>
  <c r="B116" i="5"/>
  <c r="T115" i="5"/>
  <c r="R115" i="5"/>
  <c r="L115" i="5"/>
  <c r="B115" i="5"/>
  <c r="T114" i="5"/>
  <c r="R114" i="5"/>
  <c r="L114" i="5"/>
  <c r="B114" i="5"/>
  <c r="T113" i="5"/>
  <c r="R113" i="5"/>
  <c r="L113" i="5"/>
  <c r="B113" i="5"/>
  <c r="T112" i="5"/>
  <c r="R112" i="5"/>
  <c r="L112" i="5"/>
  <c r="B112" i="5"/>
  <c r="T111" i="5"/>
  <c r="R111" i="5"/>
  <c r="L111" i="5"/>
  <c r="B111" i="5"/>
  <c r="T110" i="5"/>
  <c r="R110" i="5"/>
  <c r="L110" i="5"/>
  <c r="B110" i="5"/>
  <c r="T109" i="5"/>
  <c r="R109" i="5"/>
  <c r="L109" i="5"/>
  <c r="B109" i="5"/>
  <c r="T108" i="5"/>
  <c r="R108" i="5"/>
  <c r="L108" i="5"/>
  <c r="B108" i="5"/>
  <c r="T107" i="5"/>
  <c r="R107" i="5"/>
  <c r="L107" i="5"/>
  <c r="B107" i="5"/>
  <c r="T106" i="5"/>
  <c r="R106" i="5"/>
  <c r="L106" i="5"/>
  <c r="B106" i="5"/>
  <c r="T105" i="5"/>
  <c r="R105" i="5"/>
  <c r="L105" i="5"/>
  <c r="B105" i="5"/>
  <c r="T104" i="5"/>
  <c r="R104" i="5"/>
  <c r="L104" i="5"/>
  <c r="B104" i="5"/>
  <c r="T103" i="5"/>
  <c r="R103" i="5"/>
  <c r="L103" i="5"/>
  <c r="B103" i="5"/>
  <c r="T102" i="5"/>
  <c r="R102" i="5"/>
  <c r="L102" i="5"/>
  <c r="B102" i="5"/>
  <c r="T101" i="5"/>
  <c r="R101" i="5"/>
  <c r="L101" i="5"/>
  <c r="B101" i="5"/>
  <c r="T100" i="5"/>
  <c r="R100" i="5"/>
  <c r="L100" i="5"/>
  <c r="B100" i="5"/>
  <c r="T99" i="5"/>
  <c r="R99" i="5"/>
  <c r="L99" i="5"/>
  <c r="B99" i="5"/>
  <c r="T98" i="5"/>
  <c r="R98" i="5"/>
  <c r="L98" i="5"/>
  <c r="B98" i="5"/>
  <c r="T97" i="5"/>
  <c r="R97" i="5"/>
  <c r="L97" i="5"/>
  <c r="B97" i="5"/>
  <c r="T96" i="5"/>
  <c r="R96" i="5"/>
  <c r="L96" i="5"/>
  <c r="B96" i="5"/>
  <c r="T95" i="5"/>
  <c r="R95" i="5"/>
  <c r="L95" i="5"/>
  <c r="B95" i="5"/>
  <c r="T94" i="5"/>
  <c r="R94" i="5"/>
  <c r="L94" i="5"/>
  <c r="B94" i="5"/>
  <c r="T93" i="5"/>
  <c r="R93" i="5"/>
  <c r="L93" i="5"/>
  <c r="B93" i="5"/>
  <c r="T92" i="5"/>
  <c r="R92" i="5"/>
  <c r="L92" i="5"/>
  <c r="B92" i="5"/>
  <c r="T91" i="5"/>
  <c r="R91" i="5"/>
  <c r="L91" i="5"/>
  <c r="B91" i="5"/>
  <c r="T90" i="5"/>
  <c r="R90" i="5"/>
  <c r="L90" i="5"/>
  <c r="B90" i="5"/>
  <c r="T89" i="5"/>
  <c r="R89" i="5"/>
  <c r="L89" i="5"/>
  <c r="B89" i="5"/>
  <c r="T88" i="5"/>
  <c r="R88" i="5"/>
  <c r="L88" i="5"/>
  <c r="B88" i="5"/>
  <c r="T87" i="5"/>
  <c r="R87" i="5"/>
  <c r="L87" i="5"/>
  <c r="B87" i="5"/>
  <c r="T86" i="5"/>
  <c r="R86" i="5"/>
  <c r="L86" i="5"/>
  <c r="B86" i="5"/>
  <c r="T85" i="5"/>
  <c r="R85" i="5"/>
  <c r="L85" i="5"/>
  <c r="B85" i="5"/>
  <c r="T84" i="5"/>
  <c r="R84" i="5"/>
  <c r="L84" i="5"/>
  <c r="B84" i="5"/>
  <c r="T83" i="5"/>
  <c r="R83" i="5"/>
  <c r="L83" i="5"/>
  <c r="B83" i="5"/>
  <c r="T82" i="5"/>
  <c r="R82" i="5"/>
  <c r="L82" i="5"/>
  <c r="B82" i="5"/>
  <c r="T81" i="5"/>
  <c r="R81" i="5"/>
  <c r="L81" i="5"/>
  <c r="B81" i="5"/>
  <c r="T80" i="5"/>
  <c r="R80" i="5"/>
  <c r="L80" i="5"/>
  <c r="B80" i="5"/>
  <c r="T79" i="5"/>
  <c r="R79" i="5"/>
  <c r="L79" i="5"/>
  <c r="B79" i="5"/>
  <c r="T78" i="5"/>
  <c r="R78" i="5"/>
  <c r="L78" i="5"/>
  <c r="B78" i="5"/>
  <c r="T77" i="5"/>
  <c r="R77" i="5"/>
  <c r="L77" i="5"/>
  <c r="B77" i="5"/>
  <c r="T76" i="5"/>
  <c r="R76" i="5"/>
  <c r="L76" i="5"/>
  <c r="B76" i="5"/>
  <c r="T75" i="5"/>
  <c r="R75" i="5"/>
  <c r="L75" i="5"/>
  <c r="B75" i="5"/>
  <c r="T74" i="5"/>
  <c r="R74" i="5"/>
  <c r="L74" i="5"/>
  <c r="B74" i="5"/>
  <c r="T73" i="5"/>
  <c r="R73" i="5"/>
  <c r="L73" i="5"/>
  <c r="B73" i="5"/>
  <c r="T72" i="5"/>
  <c r="R72" i="5"/>
  <c r="L72" i="5"/>
  <c r="B72" i="5"/>
  <c r="T71" i="5"/>
  <c r="R71" i="5"/>
  <c r="L71" i="5"/>
  <c r="B71" i="5"/>
  <c r="T70" i="5"/>
  <c r="R70" i="5"/>
  <c r="L70" i="5"/>
  <c r="B70" i="5"/>
  <c r="T69" i="5"/>
  <c r="R69" i="5"/>
  <c r="L69" i="5"/>
  <c r="B69" i="5"/>
  <c r="T68" i="5"/>
  <c r="R68" i="5"/>
  <c r="L68" i="5"/>
  <c r="B68" i="5"/>
  <c r="T67" i="5"/>
  <c r="R67" i="5"/>
  <c r="L67" i="5"/>
  <c r="B67" i="5"/>
  <c r="T66" i="5"/>
  <c r="R66" i="5"/>
  <c r="L66" i="5"/>
  <c r="B66" i="5"/>
  <c r="T65" i="5"/>
  <c r="R65" i="5"/>
  <c r="L65" i="5"/>
  <c r="B65" i="5"/>
  <c r="T64" i="5"/>
  <c r="R64" i="5"/>
  <c r="L64" i="5"/>
  <c r="B64" i="5"/>
  <c r="T63" i="5"/>
  <c r="R63" i="5"/>
  <c r="L63" i="5"/>
  <c r="B63" i="5"/>
  <c r="T62" i="5"/>
  <c r="R62" i="5"/>
  <c r="L62" i="5"/>
  <c r="B62" i="5"/>
  <c r="T61" i="5"/>
  <c r="R61" i="5"/>
  <c r="L61" i="5"/>
  <c r="B61" i="5"/>
  <c r="T60" i="5"/>
  <c r="R60" i="5"/>
  <c r="L60" i="5"/>
  <c r="B60" i="5"/>
  <c r="T59" i="5"/>
  <c r="R59" i="5"/>
  <c r="L59" i="5"/>
  <c r="B59" i="5"/>
  <c r="T58" i="5"/>
  <c r="R58" i="5"/>
  <c r="L58" i="5"/>
  <c r="B58" i="5"/>
  <c r="T57" i="5"/>
  <c r="R57" i="5"/>
  <c r="L57" i="5"/>
  <c r="B57" i="5"/>
  <c r="T56" i="5"/>
  <c r="R56" i="5"/>
  <c r="L56" i="5"/>
  <c r="B56" i="5"/>
  <c r="T55" i="5"/>
  <c r="R55" i="5"/>
  <c r="L55" i="5"/>
  <c r="B55" i="5"/>
  <c r="T54" i="5"/>
  <c r="R54" i="5"/>
  <c r="L54" i="5"/>
  <c r="B54" i="5"/>
  <c r="T53" i="5"/>
  <c r="R53" i="5"/>
  <c r="L53" i="5"/>
  <c r="B53" i="5"/>
  <c r="T52" i="5"/>
  <c r="R52" i="5"/>
  <c r="L52" i="5"/>
  <c r="B52" i="5"/>
  <c r="T51" i="5"/>
  <c r="R51" i="5"/>
  <c r="L51" i="5"/>
  <c r="B51" i="5"/>
  <c r="T50" i="5"/>
  <c r="R50" i="5"/>
  <c r="L50" i="5"/>
  <c r="B50" i="5"/>
  <c r="T49" i="5"/>
  <c r="R49" i="5"/>
  <c r="L49" i="5"/>
  <c r="B49" i="5"/>
  <c r="T48" i="5"/>
  <c r="R48" i="5"/>
  <c r="L48" i="5"/>
  <c r="B48" i="5"/>
  <c r="T47" i="5"/>
  <c r="R47" i="5"/>
  <c r="L47" i="5"/>
  <c r="B47" i="5"/>
  <c r="T46" i="5"/>
  <c r="R46" i="5"/>
  <c r="L46" i="5"/>
  <c r="B46" i="5"/>
  <c r="T45" i="5"/>
  <c r="R45" i="5"/>
  <c r="L45" i="5"/>
  <c r="B45" i="5"/>
  <c r="T44" i="5"/>
  <c r="R44" i="5"/>
  <c r="L44" i="5"/>
  <c r="B44" i="5"/>
  <c r="T43" i="5"/>
  <c r="R43" i="5"/>
  <c r="L43" i="5"/>
  <c r="B43" i="5"/>
  <c r="T42" i="5"/>
  <c r="R42" i="5"/>
  <c r="L42" i="5"/>
  <c r="B42" i="5"/>
  <c r="T41" i="5"/>
  <c r="R41" i="5"/>
  <c r="L41" i="5"/>
  <c r="B41" i="5"/>
  <c r="T40" i="5"/>
  <c r="R40" i="5"/>
  <c r="L40" i="5"/>
  <c r="B40" i="5"/>
  <c r="T39" i="5"/>
  <c r="R39" i="5"/>
  <c r="L39" i="5"/>
  <c r="B39" i="5"/>
  <c r="T38" i="5"/>
  <c r="R38" i="5"/>
  <c r="L38" i="5"/>
  <c r="B38" i="5"/>
  <c r="T37" i="5"/>
  <c r="R37" i="5"/>
  <c r="L37" i="5"/>
  <c r="B37" i="5"/>
  <c r="T36" i="5"/>
  <c r="R36" i="5"/>
  <c r="L36" i="5"/>
  <c r="B36" i="5"/>
  <c r="T35" i="5"/>
  <c r="R35" i="5"/>
  <c r="L35" i="5"/>
  <c r="B35" i="5"/>
  <c r="T34" i="5"/>
  <c r="R34" i="5"/>
  <c r="L34" i="5"/>
  <c r="B34" i="5"/>
  <c r="T33" i="5"/>
  <c r="R33" i="5"/>
  <c r="L33" i="5"/>
  <c r="B33" i="5"/>
  <c r="T32" i="5"/>
  <c r="R32" i="5"/>
  <c r="L32" i="5"/>
  <c r="B32" i="5"/>
  <c r="T31" i="5"/>
  <c r="R31" i="5"/>
  <c r="L31" i="5"/>
  <c r="B31" i="5"/>
  <c r="T30" i="5"/>
  <c r="R30" i="5"/>
  <c r="L30" i="5"/>
  <c r="B30" i="5"/>
  <c r="T29" i="5"/>
  <c r="R29" i="5"/>
  <c r="L29" i="5"/>
  <c r="B29" i="5"/>
  <c r="T28" i="5"/>
  <c r="R28" i="5"/>
  <c r="L28" i="5"/>
  <c r="B28" i="5"/>
  <c r="T27" i="5"/>
  <c r="R27" i="5"/>
  <c r="L27" i="5"/>
  <c r="B27" i="5"/>
  <c r="T26" i="5"/>
  <c r="R26" i="5"/>
  <c r="L26" i="5"/>
  <c r="B26" i="5"/>
  <c r="T25" i="5"/>
  <c r="R25" i="5"/>
  <c r="L25" i="5"/>
  <c r="B25" i="5"/>
  <c r="T24" i="5"/>
  <c r="R24" i="5"/>
  <c r="L24" i="5"/>
  <c r="B24" i="5"/>
  <c r="T23" i="5"/>
  <c r="R23" i="5"/>
  <c r="L23" i="5"/>
  <c r="B23" i="5"/>
  <c r="T22" i="5"/>
  <c r="R22" i="5"/>
  <c r="L22" i="5"/>
  <c r="B22" i="5"/>
  <c r="T21" i="5"/>
  <c r="R21" i="5"/>
  <c r="L21" i="5"/>
  <c r="B21" i="5"/>
  <c r="T20" i="5"/>
  <c r="R20" i="5"/>
  <c r="L20" i="5"/>
  <c r="B20" i="5"/>
  <c r="T19" i="5"/>
  <c r="R19" i="5"/>
  <c r="L19" i="5"/>
  <c r="B19" i="5"/>
  <c r="T18" i="5"/>
  <c r="R18" i="5"/>
  <c r="L18" i="5"/>
  <c r="B18" i="5"/>
  <c r="T17" i="5"/>
  <c r="R17" i="5"/>
  <c r="L17" i="5"/>
  <c r="B17" i="5"/>
  <c r="T16" i="5"/>
  <c r="R16" i="5"/>
  <c r="L16" i="5"/>
  <c r="B16" i="5"/>
  <c r="T15" i="5"/>
  <c r="R15" i="5"/>
  <c r="L15" i="5"/>
  <c r="B15" i="5"/>
  <c r="T14" i="5"/>
  <c r="R14" i="5"/>
  <c r="L14" i="5"/>
  <c r="B14" i="5"/>
  <c r="T13" i="5"/>
  <c r="R13" i="5"/>
  <c r="L13" i="5"/>
  <c r="B13" i="5"/>
  <c r="T12" i="5"/>
  <c r="R12" i="5"/>
  <c r="L12" i="5"/>
  <c r="B12" i="5"/>
  <c r="T11" i="5"/>
  <c r="R11" i="5"/>
  <c r="L11" i="5"/>
  <c r="B11" i="5"/>
  <c r="T10" i="5"/>
  <c r="R10" i="5"/>
  <c r="L10" i="5"/>
  <c r="B10" i="5"/>
  <c r="T9" i="5"/>
  <c r="R9" i="5"/>
  <c r="L9" i="5"/>
  <c r="B9" i="5"/>
  <c r="T8" i="5"/>
  <c r="R8" i="5"/>
  <c r="L8" i="5"/>
  <c r="B8" i="5"/>
  <c r="T7" i="5"/>
  <c r="R7" i="5"/>
  <c r="L7" i="5"/>
  <c r="B7" i="5"/>
  <c r="F5" i="5"/>
  <c r="B5" i="5"/>
  <c r="F4" i="5"/>
  <c r="D4" i="5"/>
  <c r="C4" i="5"/>
  <c r="B4" i="5"/>
  <c r="Y606" i="4"/>
  <c r="X606" i="4"/>
  <c r="W606" i="4"/>
  <c r="V606" i="4"/>
  <c r="Z606" i="4" s="1"/>
  <c r="U606" i="4"/>
  <c r="T606" i="4"/>
  <c r="O606" i="4"/>
  <c r="N606" i="4"/>
  <c r="M606" i="4"/>
  <c r="L606" i="4"/>
  <c r="K606" i="4"/>
  <c r="J606" i="4"/>
  <c r="I606" i="4"/>
  <c r="B606" i="4"/>
  <c r="S606" i="4" s="1"/>
  <c r="Z605" i="4"/>
  <c r="Y605" i="4"/>
  <c r="W605" i="4"/>
  <c r="V605" i="4"/>
  <c r="T605" i="4"/>
  <c r="S605" i="4"/>
  <c r="O605" i="4"/>
  <c r="U605" i="4" s="1"/>
  <c r="X605" i="4" s="1"/>
  <c r="N605" i="4"/>
  <c r="M605" i="4"/>
  <c r="L605" i="4"/>
  <c r="K605" i="4"/>
  <c r="J605" i="4"/>
  <c r="I605" i="4"/>
  <c r="B605" i="4"/>
  <c r="Z604" i="4"/>
  <c r="X604" i="4"/>
  <c r="W604" i="4"/>
  <c r="V604" i="4"/>
  <c r="Y604" i="4" s="1"/>
  <c r="U604" i="4"/>
  <c r="T604" i="4"/>
  <c r="O604" i="4"/>
  <c r="N604" i="4"/>
  <c r="M604" i="4"/>
  <c r="L604" i="4"/>
  <c r="K604" i="4"/>
  <c r="J604" i="4"/>
  <c r="I604" i="4"/>
  <c r="B604" i="4"/>
  <c r="S604" i="4" s="1"/>
  <c r="W603" i="4"/>
  <c r="V603" i="4"/>
  <c r="T603" i="4"/>
  <c r="S603" i="4"/>
  <c r="O603" i="4"/>
  <c r="U603" i="4" s="1"/>
  <c r="X603" i="4" s="1"/>
  <c r="N603" i="4"/>
  <c r="M603" i="4"/>
  <c r="L603" i="4"/>
  <c r="K603" i="4"/>
  <c r="J603" i="4"/>
  <c r="I603" i="4"/>
  <c r="B603" i="4"/>
  <c r="Z602" i="4"/>
  <c r="Y602" i="4"/>
  <c r="X602" i="4"/>
  <c r="W602" i="4"/>
  <c r="V602" i="4"/>
  <c r="T602" i="4"/>
  <c r="S602" i="4"/>
  <c r="O602" i="4"/>
  <c r="U602" i="4" s="1"/>
  <c r="N602" i="4"/>
  <c r="M602" i="4"/>
  <c r="L602" i="4"/>
  <c r="K602" i="4"/>
  <c r="J602" i="4"/>
  <c r="I602" i="4"/>
  <c r="B602" i="4"/>
  <c r="Z601" i="4"/>
  <c r="Y601" i="4"/>
  <c r="X601" i="4"/>
  <c r="W601" i="4"/>
  <c r="V601" i="4"/>
  <c r="U601" i="4"/>
  <c r="T601" i="4"/>
  <c r="S601" i="4"/>
  <c r="O601" i="4"/>
  <c r="N601" i="4"/>
  <c r="M601" i="4"/>
  <c r="L601" i="4"/>
  <c r="K601" i="4"/>
  <c r="J601" i="4"/>
  <c r="I601" i="4"/>
  <c r="B601" i="4"/>
  <c r="W600" i="4"/>
  <c r="V600" i="4"/>
  <c r="U600" i="4"/>
  <c r="X600" i="4" s="1"/>
  <c r="T600" i="4"/>
  <c r="O600" i="4"/>
  <c r="N600" i="4"/>
  <c r="M600" i="4"/>
  <c r="L600" i="4"/>
  <c r="K600" i="4"/>
  <c r="J600" i="4"/>
  <c r="I600" i="4"/>
  <c r="B600" i="4"/>
  <c r="S600" i="4" s="1"/>
  <c r="Z599" i="4"/>
  <c r="Y599" i="4"/>
  <c r="W599" i="4"/>
  <c r="V599" i="4"/>
  <c r="U599" i="4"/>
  <c r="X599" i="4" s="1"/>
  <c r="T599" i="4"/>
  <c r="O599" i="4"/>
  <c r="N599" i="4"/>
  <c r="M599" i="4"/>
  <c r="L599" i="4"/>
  <c r="K599" i="4"/>
  <c r="J599" i="4"/>
  <c r="I599" i="4"/>
  <c r="B599" i="4"/>
  <c r="S599" i="4" s="1"/>
  <c r="W598" i="4"/>
  <c r="V598" i="4"/>
  <c r="U598" i="4"/>
  <c r="X598" i="4" s="1"/>
  <c r="T598" i="4"/>
  <c r="S598" i="4"/>
  <c r="O598" i="4"/>
  <c r="N598" i="4"/>
  <c r="M598" i="4"/>
  <c r="L598" i="4"/>
  <c r="K598" i="4"/>
  <c r="J598" i="4"/>
  <c r="I598" i="4"/>
  <c r="B598" i="4"/>
  <c r="Z597" i="4"/>
  <c r="Y597" i="4"/>
  <c r="W597" i="4"/>
  <c r="V597" i="4"/>
  <c r="T597" i="4"/>
  <c r="S597" i="4"/>
  <c r="O597" i="4"/>
  <c r="U597" i="4" s="1"/>
  <c r="X597" i="4" s="1"/>
  <c r="N597" i="4"/>
  <c r="M597" i="4"/>
  <c r="L597" i="4"/>
  <c r="K597" i="4"/>
  <c r="J597" i="4"/>
  <c r="I597" i="4"/>
  <c r="B597" i="4"/>
  <c r="W596" i="4"/>
  <c r="V596" i="4"/>
  <c r="U596" i="4"/>
  <c r="X596" i="4" s="1"/>
  <c r="T596" i="4"/>
  <c r="O596" i="4"/>
  <c r="N596" i="4"/>
  <c r="M596" i="4"/>
  <c r="L596" i="4"/>
  <c r="K596" i="4"/>
  <c r="J596" i="4"/>
  <c r="I596" i="4"/>
  <c r="B596" i="4"/>
  <c r="S596" i="4" s="1"/>
  <c r="Z595" i="4"/>
  <c r="Y595" i="4"/>
  <c r="W595" i="4"/>
  <c r="V595" i="4"/>
  <c r="T595" i="4"/>
  <c r="S595" i="4"/>
  <c r="O595" i="4"/>
  <c r="U595" i="4" s="1"/>
  <c r="X595" i="4" s="1"/>
  <c r="N595" i="4"/>
  <c r="M595" i="4"/>
  <c r="L595" i="4"/>
  <c r="K595" i="4"/>
  <c r="J595" i="4"/>
  <c r="I595" i="4"/>
  <c r="B595" i="4"/>
  <c r="Z594" i="4"/>
  <c r="Y594" i="4"/>
  <c r="W594" i="4"/>
  <c r="V594" i="4"/>
  <c r="U594" i="4"/>
  <c r="X594" i="4" s="1"/>
  <c r="T594" i="4"/>
  <c r="O594" i="4"/>
  <c r="N594" i="4"/>
  <c r="M594" i="4"/>
  <c r="L594" i="4"/>
  <c r="K594" i="4"/>
  <c r="J594" i="4"/>
  <c r="I594" i="4"/>
  <c r="B594" i="4"/>
  <c r="S594" i="4" s="1"/>
  <c r="X593" i="4"/>
  <c r="W593" i="4"/>
  <c r="V593" i="4"/>
  <c r="T593" i="4"/>
  <c r="S593" i="4"/>
  <c r="O593" i="4"/>
  <c r="U593" i="4" s="1"/>
  <c r="N593" i="4"/>
  <c r="M593" i="4"/>
  <c r="L593" i="4"/>
  <c r="K593" i="4"/>
  <c r="J593" i="4"/>
  <c r="I593" i="4"/>
  <c r="B593" i="4"/>
  <c r="Z592" i="4"/>
  <c r="Y592" i="4"/>
  <c r="X592" i="4"/>
  <c r="W592" i="4"/>
  <c r="V592" i="4"/>
  <c r="T592" i="4"/>
  <c r="S592" i="4"/>
  <c r="O592" i="4"/>
  <c r="U592" i="4" s="1"/>
  <c r="N592" i="4"/>
  <c r="M592" i="4"/>
  <c r="L592" i="4"/>
  <c r="K592" i="4"/>
  <c r="J592" i="4"/>
  <c r="I592" i="4"/>
  <c r="B592" i="4"/>
  <c r="Z591" i="4"/>
  <c r="Y591" i="4"/>
  <c r="X591" i="4"/>
  <c r="W591" i="4"/>
  <c r="V591" i="4"/>
  <c r="U591" i="4"/>
  <c r="T591" i="4"/>
  <c r="S591" i="4"/>
  <c r="O591" i="4"/>
  <c r="N591" i="4"/>
  <c r="M591" i="4"/>
  <c r="L591" i="4"/>
  <c r="K591" i="4"/>
  <c r="J591" i="4"/>
  <c r="I591" i="4"/>
  <c r="B591" i="4"/>
  <c r="Z590" i="4"/>
  <c r="Y590" i="4"/>
  <c r="W590" i="4"/>
  <c r="V590" i="4"/>
  <c r="U590" i="4"/>
  <c r="X590" i="4" s="1"/>
  <c r="T590" i="4"/>
  <c r="O590" i="4"/>
  <c r="N590" i="4"/>
  <c r="M590" i="4"/>
  <c r="L590" i="4"/>
  <c r="K590" i="4"/>
  <c r="J590" i="4"/>
  <c r="I590" i="4"/>
  <c r="B590" i="4"/>
  <c r="S590" i="4" s="1"/>
  <c r="Z589" i="4"/>
  <c r="Y589" i="4"/>
  <c r="W589" i="4"/>
  <c r="V589" i="4"/>
  <c r="T589" i="4"/>
  <c r="O589" i="4"/>
  <c r="U589" i="4" s="1"/>
  <c r="X589" i="4" s="1"/>
  <c r="N589" i="4"/>
  <c r="M589" i="4"/>
  <c r="L589" i="4"/>
  <c r="K589" i="4"/>
  <c r="J589" i="4"/>
  <c r="I589" i="4"/>
  <c r="B589" i="4"/>
  <c r="S589" i="4" s="1"/>
  <c r="W588" i="4"/>
  <c r="V588" i="4"/>
  <c r="U588" i="4"/>
  <c r="X588" i="4" s="1"/>
  <c r="T588" i="4"/>
  <c r="O588" i="4"/>
  <c r="N588" i="4"/>
  <c r="M588" i="4"/>
  <c r="L588" i="4"/>
  <c r="K588" i="4"/>
  <c r="J588" i="4"/>
  <c r="I588" i="4"/>
  <c r="B588" i="4"/>
  <c r="S588" i="4" s="1"/>
  <c r="Z587" i="4"/>
  <c r="Y587" i="4"/>
  <c r="W587" i="4"/>
  <c r="V587" i="4"/>
  <c r="T587" i="4"/>
  <c r="S587" i="4"/>
  <c r="O587" i="4"/>
  <c r="U587" i="4" s="1"/>
  <c r="X587" i="4" s="1"/>
  <c r="N587" i="4"/>
  <c r="M587" i="4"/>
  <c r="L587" i="4"/>
  <c r="K587" i="4"/>
  <c r="J587" i="4"/>
  <c r="I587" i="4"/>
  <c r="B587" i="4"/>
  <c r="Y586" i="4"/>
  <c r="W586" i="4"/>
  <c r="V586" i="4"/>
  <c r="Z586" i="4" s="1"/>
  <c r="U586" i="4"/>
  <c r="X586" i="4" s="1"/>
  <c r="T586" i="4"/>
  <c r="O586" i="4"/>
  <c r="N586" i="4"/>
  <c r="M586" i="4"/>
  <c r="L586" i="4"/>
  <c r="K586" i="4"/>
  <c r="J586" i="4"/>
  <c r="I586" i="4"/>
  <c r="B586" i="4"/>
  <c r="S586" i="4" s="1"/>
  <c r="Z585" i="4"/>
  <c r="Y585" i="4"/>
  <c r="W585" i="4"/>
  <c r="V585" i="4"/>
  <c r="T585" i="4"/>
  <c r="S585" i="4"/>
  <c r="O585" i="4"/>
  <c r="U585" i="4" s="1"/>
  <c r="X585" i="4" s="1"/>
  <c r="N585" i="4"/>
  <c r="M585" i="4"/>
  <c r="L585" i="4"/>
  <c r="K585" i="4"/>
  <c r="J585" i="4"/>
  <c r="I585" i="4"/>
  <c r="B585" i="4"/>
  <c r="X584" i="4"/>
  <c r="W584" i="4"/>
  <c r="V584" i="4"/>
  <c r="Y584" i="4" s="1"/>
  <c r="U584" i="4"/>
  <c r="T584" i="4"/>
  <c r="O584" i="4"/>
  <c r="N584" i="4"/>
  <c r="M584" i="4"/>
  <c r="L584" i="4"/>
  <c r="K584" i="4"/>
  <c r="J584" i="4"/>
  <c r="I584" i="4"/>
  <c r="B584" i="4"/>
  <c r="S584" i="4" s="1"/>
  <c r="X583" i="4"/>
  <c r="W583" i="4"/>
  <c r="V583" i="4"/>
  <c r="T583" i="4"/>
  <c r="S583" i="4"/>
  <c r="O583" i="4"/>
  <c r="U583" i="4" s="1"/>
  <c r="N583" i="4"/>
  <c r="M583" i="4"/>
  <c r="L583" i="4"/>
  <c r="K583" i="4"/>
  <c r="J583" i="4"/>
  <c r="I583" i="4"/>
  <c r="B583" i="4"/>
  <c r="Z582" i="4"/>
  <c r="Y582" i="4"/>
  <c r="X582" i="4"/>
  <c r="W582" i="4"/>
  <c r="V582" i="4"/>
  <c r="T582" i="4"/>
  <c r="S582" i="4"/>
  <c r="O582" i="4"/>
  <c r="U582" i="4" s="1"/>
  <c r="N582" i="4"/>
  <c r="M582" i="4"/>
  <c r="L582" i="4"/>
  <c r="K582" i="4"/>
  <c r="J582" i="4"/>
  <c r="I582" i="4"/>
  <c r="B582" i="4"/>
  <c r="Z581" i="4"/>
  <c r="Y581" i="4"/>
  <c r="X581" i="4"/>
  <c r="W581" i="4"/>
  <c r="V581" i="4"/>
  <c r="U581" i="4"/>
  <c r="T581" i="4"/>
  <c r="S581" i="4"/>
  <c r="O581" i="4"/>
  <c r="N581" i="4"/>
  <c r="M581" i="4"/>
  <c r="L581" i="4"/>
  <c r="K581" i="4"/>
  <c r="J581" i="4"/>
  <c r="I581" i="4"/>
  <c r="B581" i="4"/>
  <c r="W580" i="4"/>
  <c r="V580" i="4"/>
  <c r="U580" i="4"/>
  <c r="X580" i="4" s="1"/>
  <c r="T580" i="4"/>
  <c r="O580" i="4"/>
  <c r="N580" i="4"/>
  <c r="M580" i="4"/>
  <c r="L580" i="4"/>
  <c r="K580" i="4"/>
  <c r="J580" i="4"/>
  <c r="I580" i="4"/>
  <c r="B580" i="4"/>
  <c r="S580" i="4" s="1"/>
  <c r="Z579" i="4"/>
  <c r="Y579" i="4"/>
  <c r="W579" i="4"/>
  <c r="V579" i="4"/>
  <c r="U579" i="4"/>
  <c r="X579" i="4" s="1"/>
  <c r="T579" i="4"/>
  <c r="O579" i="4"/>
  <c r="N579" i="4"/>
  <c r="M579" i="4"/>
  <c r="L579" i="4"/>
  <c r="K579" i="4"/>
  <c r="J579" i="4"/>
  <c r="I579" i="4"/>
  <c r="B579" i="4"/>
  <c r="S579" i="4" s="1"/>
  <c r="X578" i="4"/>
  <c r="W578" i="4"/>
  <c r="V578" i="4"/>
  <c r="U578" i="4"/>
  <c r="T578" i="4"/>
  <c r="S578" i="4"/>
  <c r="O578" i="4"/>
  <c r="N578" i="4"/>
  <c r="M578" i="4"/>
  <c r="L578" i="4"/>
  <c r="K578" i="4"/>
  <c r="J578" i="4"/>
  <c r="I578" i="4"/>
  <c r="B578" i="4"/>
  <c r="Z577" i="4"/>
  <c r="Y577" i="4"/>
  <c r="W577" i="4"/>
  <c r="V577" i="4"/>
  <c r="T577" i="4"/>
  <c r="S577" i="4"/>
  <c r="O577" i="4"/>
  <c r="U577" i="4" s="1"/>
  <c r="X577" i="4" s="1"/>
  <c r="N577" i="4"/>
  <c r="M577" i="4"/>
  <c r="L577" i="4"/>
  <c r="K577" i="4"/>
  <c r="J577" i="4"/>
  <c r="I577" i="4"/>
  <c r="B577" i="4"/>
  <c r="X576" i="4"/>
  <c r="W576" i="4"/>
  <c r="V576" i="4"/>
  <c r="Z576" i="4" s="1"/>
  <c r="U576" i="4"/>
  <c r="T576" i="4"/>
  <c r="O576" i="4"/>
  <c r="N576" i="4"/>
  <c r="M576" i="4"/>
  <c r="L576" i="4"/>
  <c r="K576" i="4"/>
  <c r="J576" i="4"/>
  <c r="I576" i="4"/>
  <c r="B576" i="4"/>
  <c r="S576" i="4" s="1"/>
  <c r="Z575" i="4"/>
  <c r="Y575" i="4"/>
  <c r="W575" i="4"/>
  <c r="V575" i="4"/>
  <c r="T575" i="4"/>
  <c r="S575" i="4"/>
  <c r="O575" i="4"/>
  <c r="U575" i="4" s="1"/>
  <c r="X575" i="4" s="1"/>
  <c r="N575" i="4"/>
  <c r="M575" i="4"/>
  <c r="L575" i="4"/>
  <c r="K575" i="4"/>
  <c r="J575" i="4"/>
  <c r="I575" i="4"/>
  <c r="B575" i="4"/>
  <c r="W574" i="4"/>
  <c r="V574" i="4"/>
  <c r="U574" i="4"/>
  <c r="X574" i="4" s="1"/>
  <c r="T574" i="4"/>
  <c r="O574" i="4"/>
  <c r="N574" i="4"/>
  <c r="M574" i="4"/>
  <c r="L574" i="4"/>
  <c r="K574" i="4"/>
  <c r="J574" i="4"/>
  <c r="I574" i="4"/>
  <c r="B574" i="4"/>
  <c r="S574" i="4" s="1"/>
  <c r="X573" i="4"/>
  <c r="W573" i="4"/>
  <c r="V573" i="4"/>
  <c r="T573" i="4"/>
  <c r="S573" i="4"/>
  <c r="O573" i="4"/>
  <c r="U573" i="4" s="1"/>
  <c r="N573" i="4"/>
  <c r="M573" i="4"/>
  <c r="L573" i="4"/>
  <c r="K573" i="4"/>
  <c r="J573" i="4"/>
  <c r="I573" i="4"/>
  <c r="B573" i="4"/>
  <c r="Z572" i="4"/>
  <c r="Y572" i="4"/>
  <c r="X572" i="4"/>
  <c r="W572" i="4"/>
  <c r="V572" i="4"/>
  <c r="T572" i="4"/>
  <c r="S572" i="4"/>
  <c r="O572" i="4"/>
  <c r="U572" i="4" s="1"/>
  <c r="N572" i="4"/>
  <c r="M572" i="4"/>
  <c r="L572" i="4"/>
  <c r="K572" i="4"/>
  <c r="J572" i="4"/>
  <c r="I572" i="4"/>
  <c r="B572" i="4"/>
  <c r="Z571" i="4"/>
  <c r="Y571" i="4"/>
  <c r="X571" i="4"/>
  <c r="W571" i="4"/>
  <c r="V571" i="4"/>
  <c r="U571" i="4"/>
  <c r="T571" i="4"/>
  <c r="S571" i="4"/>
  <c r="O571" i="4"/>
  <c r="N571" i="4"/>
  <c r="M571" i="4"/>
  <c r="L571" i="4"/>
  <c r="K571" i="4"/>
  <c r="J571" i="4"/>
  <c r="I571" i="4"/>
  <c r="B571" i="4"/>
  <c r="Z570" i="4"/>
  <c r="W570" i="4"/>
  <c r="V570" i="4"/>
  <c r="Y570" i="4" s="1"/>
  <c r="U570" i="4"/>
  <c r="X570" i="4" s="1"/>
  <c r="T570" i="4"/>
  <c r="O570" i="4"/>
  <c r="N570" i="4"/>
  <c r="M570" i="4"/>
  <c r="L570" i="4"/>
  <c r="K570" i="4"/>
  <c r="J570" i="4"/>
  <c r="I570" i="4"/>
  <c r="B570" i="4"/>
  <c r="S570" i="4" s="1"/>
  <c r="Z569" i="4"/>
  <c r="Y569" i="4"/>
  <c r="W569" i="4"/>
  <c r="V569" i="4"/>
  <c r="T569" i="4"/>
  <c r="O569" i="4"/>
  <c r="U569" i="4" s="1"/>
  <c r="X569" i="4" s="1"/>
  <c r="N569" i="4"/>
  <c r="M569" i="4"/>
  <c r="L569" i="4"/>
  <c r="K569" i="4"/>
  <c r="J569" i="4"/>
  <c r="I569" i="4"/>
  <c r="B569" i="4"/>
  <c r="S569" i="4" s="1"/>
  <c r="W568" i="4"/>
  <c r="V568" i="4"/>
  <c r="U568" i="4"/>
  <c r="X568" i="4" s="1"/>
  <c r="T568" i="4"/>
  <c r="S568" i="4"/>
  <c r="O568" i="4"/>
  <c r="N568" i="4"/>
  <c r="M568" i="4"/>
  <c r="L568" i="4"/>
  <c r="K568" i="4"/>
  <c r="J568" i="4"/>
  <c r="I568" i="4"/>
  <c r="B568" i="4"/>
  <c r="Z567" i="4"/>
  <c r="Y567" i="4"/>
  <c r="W567" i="4"/>
  <c r="V567" i="4"/>
  <c r="T567" i="4"/>
  <c r="S567" i="4"/>
  <c r="O567" i="4"/>
  <c r="U567" i="4" s="1"/>
  <c r="X567" i="4" s="1"/>
  <c r="N567" i="4"/>
  <c r="M567" i="4"/>
  <c r="L567" i="4"/>
  <c r="K567" i="4"/>
  <c r="J567" i="4"/>
  <c r="I567" i="4"/>
  <c r="B567" i="4"/>
  <c r="Y566" i="4"/>
  <c r="W566" i="4"/>
  <c r="V566" i="4"/>
  <c r="Z566" i="4" s="1"/>
  <c r="U566" i="4"/>
  <c r="X566" i="4" s="1"/>
  <c r="T566" i="4"/>
  <c r="O566" i="4"/>
  <c r="N566" i="4"/>
  <c r="M566" i="4"/>
  <c r="L566" i="4"/>
  <c r="K566" i="4"/>
  <c r="J566" i="4"/>
  <c r="I566" i="4"/>
  <c r="B566" i="4"/>
  <c r="S566" i="4" s="1"/>
  <c r="Z565" i="4"/>
  <c r="Y565" i="4"/>
  <c r="W565" i="4"/>
  <c r="V565" i="4"/>
  <c r="T565" i="4"/>
  <c r="S565" i="4"/>
  <c r="O565" i="4"/>
  <c r="U565" i="4" s="1"/>
  <c r="X565" i="4" s="1"/>
  <c r="N565" i="4"/>
  <c r="M565" i="4"/>
  <c r="L565" i="4"/>
  <c r="K565" i="4"/>
  <c r="J565" i="4"/>
  <c r="I565" i="4"/>
  <c r="B565" i="4"/>
  <c r="Z564" i="4"/>
  <c r="Y564" i="4"/>
  <c r="X564" i="4"/>
  <c r="W564" i="4"/>
  <c r="V564" i="4"/>
  <c r="U564" i="4"/>
  <c r="T564" i="4"/>
  <c r="O564" i="4"/>
  <c r="N564" i="4"/>
  <c r="M564" i="4"/>
  <c r="L564" i="4"/>
  <c r="K564" i="4"/>
  <c r="J564" i="4"/>
  <c r="I564" i="4"/>
  <c r="B564" i="4"/>
  <c r="S564" i="4" s="1"/>
  <c r="W563" i="4"/>
  <c r="V563" i="4"/>
  <c r="T563" i="4"/>
  <c r="S563" i="4"/>
  <c r="O563" i="4"/>
  <c r="U563" i="4" s="1"/>
  <c r="X563" i="4" s="1"/>
  <c r="N563" i="4"/>
  <c r="M563" i="4"/>
  <c r="L563" i="4"/>
  <c r="K563" i="4"/>
  <c r="J563" i="4"/>
  <c r="I563" i="4"/>
  <c r="B563" i="4"/>
  <c r="Z562" i="4"/>
  <c r="Y562" i="4"/>
  <c r="X562" i="4"/>
  <c r="W562" i="4"/>
  <c r="V562" i="4"/>
  <c r="T562" i="4"/>
  <c r="S562" i="4"/>
  <c r="O562" i="4"/>
  <c r="U562" i="4" s="1"/>
  <c r="N562" i="4"/>
  <c r="M562" i="4"/>
  <c r="L562" i="4"/>
  <c r="K562" i="4"/>
  <c r="J562" i="4"/>
  <c r="I562" i="4"/>
  <c r="B562" i="4"/>
  <c r="Z561" i="4"/>
  <c r="Y561" i="4"/>
  <c r="X561" i="4"/>
  <c r="W561" i="4"/>
  <c r="V561" i="4"/>
  <c r="U561" i="4"/>
  <c r="T561" i="4"/>
  <c r="S561" i="4"/>
  <c r="O561" i="4"/>
  <c r="N561" i="4"/>
  <c r="M561" i="4"/>
  <c r="L561" i="4"/>
  <c r="K561" i="4"/>
  <c r="J561" i="4"/>
  <c r="I561" i="4"/>
  <c r="B561" i="4"/>
  <c r="Y560" i="4"/>
  <c r="W560" i="4"/>
  <c r="V560" i="4"/>
  <c r="Z560" i="4" s="1"/>
  <c r="U560" i="4"/>
  <c r="X560" i="4" s="1"/>
  <c r="T560" i="4"/>
  <c r="O560" i="4"/>
  <c r="N560" i="4"/>
  <c r="M560" i="4"/>
  <c r="L560" i="4"/>
  <c r="K560" i="4"/>
  <c r="J560" i="4"/>
  <c r="I560" i="4"/>
  <c r="B560" i="4"/>
  <c r="S560" i="4" s="1"/>
  <c r="Z559" i="4"/>
  <c r="Y559" i="4"/>
  <c r="W559" i="4"/>
  <c r="V559" i="4"/>
  <c r="T559" i="4"/>
  <c r="O559" i="4"/>
  <c r="U559" i="4" s="1"/>
  <c r="X559" i="4" s="1"/>
  <c r="N559" i="4"/>
  <c r="M559" i="4"/>
  <c r="L559" i="4"/>
  <c r="K559" i="4"/>
  <c r="J559" i="4"/>
  <c r="I559" i="4"/>
  <c r="B559" i="4"/>
  <c r="S559" i="4" s="1"/>
  <c r="W558" i="4"/>
  <c r="V558" i="4"/>
  <c r="U558" i="4"/>
  <c r="X558" i="4" s="1"/>
  <c r="T558" i="4"/>
  <c r="O558" i="4"/>
  <c r="N558" i="4"/>
  <c r="M558" i="4"/>
  <c r="L558" i="4"/>
  <c r="K558" i="4"/>
  <c r="J558" i="4"/>
  <c r="I558" i="4"/>
  <c r="B558" i="4"/>
  <c r="S558" i="4" s="1"/>
  <c r="Z557" i="4"/>
  <c r="Y557" i="4"/>
  <c r="W557" i="4"/>
  <c r="V557" i="4"/>
  <c r="T557" i="4"/>
  <c r="S557" i="4"/>
  <c r="O557" i="4"/>
  <c r="U557" i="4" s="1"/>
  <c r="X557" i="4" s="1"/>
  <c r="N557" i="4"/>
  <c r="M557" i="4"/>
  <c r="L557" i="4"/>
  <c r="K557" i="4"/>
  <c r="J557" i="4"/>
  <c r="I557" i="4"/>
  <c r="B557" i="4"/>
  <c r="X556" i="4"/>
  <c r="W556" i="4"/>
  <c r="V556" i="4"/>
  <c r="U556" i="4"/>
  <c r="T556" i="4"/>
  <c r="O556" i="4"/>
  <c r="N556" i="4"/>
  <c r="M556" i="4"/>
  <c r="L556" i="4"/>
  <c r="K556" i="4"/>
  <c r="J556" i="4"/>
  <c r="I556" i="4"/>
  <c r="B556" i="4"/>
  <c r="S556" i="4" s="1"/>
  <c r="Z555" i="4"/>
  <c r="Y555" i="4"/>
  <c r="W555" i="4"/>
  <c r="V555" i="4"/>
  <c r="T555" i="4"/>
  <c r="S555" i="4"/>
  <c r="O555" i="4"/>
  <c r="U555" i="4" s="1"/>
  <c r="X555" i="4" s="1"/>
  <c r="N555" i="4"/>
  <c r="M555" i="4"/>
  <c r="L555" i="4"/>
  <c r="K555" i="4"/>
  <c r="J555" i="4"/>
  <c r="I555" i="4"/>
  <c r="B555" i="4"/>
  <c r="Z554" i="4"/>
  <c r="W554" i="4"/>
  <c r="V554" i="4"/>
  <c r="Y554" i="4" s="1"/>
  <c r="U554" i="4"/>
  <c r="X554" i="4" s="1"/>
  <c r="T554" i="4"/>
  <c r="O554" i="4"/>
  <c r="N554" i="4"/>
  <c r="M554" i="4"/>
  <c r="L554" i="4"/>
  <c r="K554" i="4"/>
  <c r="J554" i="4"/>
  <c r="I554" i="4"/>
  <c r="B554" i="4"/>
  <c r="S554" i="4" s="1"/>
  <c r="X553" i="4"/>
  <c r="W553" i="4"/>
  <c r="V553" i="4"/>
  <c r="T553" i="4"/>
  <c r="S553" i="4"/>
  <c r="O553" i="4"/>
  <c r="U553" i="4" s="1"/>
  <c r="N553" i="4"/>
  <c r="M553" i="4"/>
  <c r="L553" i="4"/>
  <c r="K553" i="4"/>
  <c r="J553" i="4"/>
  <c r="I553" i="4"/>
  <c r="B553" i="4"/>
  <c r="Z552" i="4"/>
  <c r="Y552" i="4"/>
  <c r="X552" i="4"/>
  <c r="W552" i="4"/>
  <c r="V552" i="4"/>
  <c r="T552" i="4"/>
  <c r="S552" i="4"/>
  <c r="O552" i="4"/>
  <c r="U552" i="4" s="1"/>
  <c r="N552" i="4"/>
  <c r="M552" i="4"/>
  <c r="L552" i="4"/>
  <c r="K552" i="4"/>
  <c r="J552" i="4"/>
  <c r="I552" i="4"/>
  <c r="B552" i="4"/>
  <c r="Z551" i="4"/>
  <c r="Y551" i="4"/>
  <c r="X551" i="4"/>
  <c r="W551" i="4"/>
  <c r="V551" i="4"/>
  <c r="U551" i="4"/>
  <c r="T551" i="4"/>
  <c r="S551" i="4"/>
  <c r="O551" i="4"/>
  <c r="N551" i="4"/>
  <c r="M551" i="4"/>
  <c r="L551" i="4"/>
  <c r="K551" i="4"/>
  <c r="J551" i="4"/>
  <c r="I551" i="4"/>
  <c r="B551" i="4"/>
  <c r="Z550" i="4"/>
  <c r="Y550" i="4"/>
  <c r="W550" i="4"/>
  <c r="V550" i="4"/>
  <c r="U550" i="4"/>
  <c r="X550" i="4" s="1"/>
  <c r="T550" i="4"/>
  <c r="O550" i="4"/>
  <c r="N550" i="4"/>
  <c r="M550" i="4"/>
  <c r="L550" i="4"/>
  <c r="K550" i="4"/>
  <c r="J550" i="4"/>
  <c r="I550" i="4"/>
  <c r="B550" i="4"/>
  <c r="S550" i="4" s="1"/>
  <c r="Z549" i="4"/>
  <c r="Y549" i="4"/>
  <c r="W549" i="4"/>
  <c r="V549" i="4"/>
  <c r="U549" i="4"/>
  <c r="X549" i="4" s="1"/>
  <c r="T549" i="4"/>
  <c r="O549" i="4"/>
  <c r="N549" i="4"/>
  <c r="M549" i="4"/>
  <c r="L549" i="4"/>
  <c r="K549" i="4"/>
  <c r="J549" i="4"/>
  <c r="I549" i="4"/>
  <c r="B549" i="4"/>
  <c r="S549" i="4" s="1"/>
  <c r="X548" i="4"/>
  <c r="W548" i="4"/>
  <c r="V548" i="4"/>
  <c r="U548" i="4"/>
  <c r="T548" i="4"/>
  <c r="O548" i="4"/>
  <c r="N548" i="4"/>
  <c r="M548" i="4"/>
  <c r="L548" i="4"/>
  <c r="K548" i="4"/>
  <c r="J548" i="4"/>
  <c r="I548" i="4"/>
  <c r="B548" i="4"/>
  <c r="S548" i="4" s="1"/>
  <c r="Z547" i="4"/>
  <c r="Y547" i="4"/>
  <c r="W547" i="4"/>
  <c r="V547" i="4"/>
  <c r="T547" i="4"/>
  <c r="S547" i="4"/>
  <c r="O547" i="4"/>
  <c r="U547" i="4" s="1"/>
  <c r="X547" i="4" s="1"/>
  <c r="N547" i="4"/>
  <c r="M547" i="4"/>
  <c r="L547" i="4"/>
  <c r="K547" i="4"/>
  <c r="J547" i="4"/>
  <c r="I547" i="4"/>
  <c r="B547" i="4"/>
  <c r="Y546" i="4"/>
  <c r="W546" i="4"/>
  <c r="V546" i="4"/>
  <c r="Z546" i="4" s="1"/>
  <c r="U546" i="4"/>
  <c r="X546" i="4" s="1"/>
  <c r="T546" i="4"/>
  <c r="O546" i="4"/>
  <c r="N546" i="4"/>
  <c r="M546" i="4"/>
  <c r="L546" i="4"/>
  <c r="K546" i="4"/>
  <c r="J546" i="4"/>
  <c r="I546" i="4"/>
  <c r="B546" i="4"/>
  <c r="S546" i="4" s="1"/>
  <c r="Z545" i="4"/>
  <c r="Y545" i="4"/>
  <c r="W545" i="4"/>
  <c r="V545" i="4"/>
  <c r="T545" i="4"/>
  <c r="S545" i="4"/>
  <c r="O545" i="4"/>
  <c r="U545" i="4" s="1"/>
  <c r="X545" i="4" s="1"/>
  <c r="N545" i="4"/>
  <c r="M545" i="4"/>
  <c r="L545" i="4"/>
  <c r="K545" i="4"/>
  <c r="J545" i="4"/>
  <c r="I545" i="4"/>
  <c r="B545" i="4"/>
  <c r="W544" i="4"/>
  <c r="V544" i="4"/>
  <c r="Y544" i="4" s="1"/>
  <c r="U544" i="4"/>
  <c r="X544" i="4" s="1"/>
  <c r="T544" i="4"/>
  <c r="O544" i="4"/>
  <c r="N544" i="4"/>
  <c r="M544" i="4"/>
  <c r="L544" i="4"/>
  <c r="K544" i="4"/>
  <c r="J544" i="4"/>
  <c r="I544" i="4"/>
  <c r="B544" i="4"/>
  <c r="S544" i="4" s="1"/>
  <c r="X543" i="4"/>
  <c r="W543" i="4"/>
  <c r="V543" i="4"/>
  <c r="T543" i="4"/>
  <c r="S543" i="4"/>
  <c r="O543" i="4"/>
  <c r="U543" i="4" s="1"/>
  <c r="N543" i="4"/>
  <c r="M543" i="4"/>
  <c r="L543" i="4"/>
  <c r="K543" i="4"/>
  <c r="J543" i="4"/>
  <c r="I543" i="4"/>
  <c r="B543" i="4"/>
  <c r="Z542" i="4"/>
  <c r="Y542" i="4"/>
  <c r="X542" i="4"/>
  <c r="W542" i="4"/>
  <c r="V542" i="4"/>
  <c r="T542" i="4"/>
  <c r="S542" i="4"/>
  <c r="O542" i="4"/>
  <c r="U542" i="4" s="1"/>
  <c r="N542" i="4"/>
  <c r="M542" i="4"/>
  <c r="L542" i="4"/>
  <c r="K542" i="4"/>
  <c r="J542" i="4"/>
  <c r="I542" i="4"/>
  <c r="B542" i="4"/>
  <c r="Z541" i="4"/>
  <c r="Y541" i="4"/>
  <c r="X541" i="4"/>
  <c r="W541" i="4"/>
  <c r="V541" i="4"/>
  <c r="U541" i="4"/>
  <c r="T541" i="4"/>
  <c r="S541" i="4"/>
  <c r="O541" i="4"/>
  <c r="N541" i="4"/>
  <c r="M541" i="4"/>
  <c r="L541" i="4"/>
  <c r="K541" i="4"/>
  <c r="J541" i="4"/>
  <c r="I541" i="4"/>
  <c r="B541" i="4"/>
  <c r="W540" i="4"/>
  <c r="V540" i="4"/>
  <c r="Z540" i="4" s="1"/>
  <c r="U540" i="4"/>
  <c r="X540" i="4" s="1"/>
  <c r="T540" i="4"/>
  <c r="O540" i="4"/>
  <c r="N540" i="4"/>
  <c r="M540" i="4"/>
  <c r="L540" i="4"/>
  <c r="K540" i="4"/>
  <c r="J540" i="4"/>
  <c r="I540" i="4"/>
  <c r="B540" i="4"/>
  <c r="S540" i="4" s="1"/>
  <c r="Z539" i="4"/>
  <c r="Y539" i="4"/>
  <c r="W539" i="4"/>
  <c r="V539" i="4"/>
  <c r="U539" i="4"/>
  <c r="X539" i="4" s="1"/>
  <c r="T539" i="4"/>
  <c r="O539" i="4"/>
  <c r="N539" i="4"/>
  <c r="M539" i="4"/>
  <c r="L539" i="4"/>
  <c r="K539" i="4"/>
  <c r="J539" i="4"/>
  <c r="I539" i="4"/>
  <c r="B539" i="4"/>
  <c r="S539" i="4" s="1"/>
  <c r="W538" i="4"/>
  <c r="V538" i="4"/>
  <c r="U538" i="4"/>
  <c r="X538" i="4" s="1"/>
  <c r="T538" i="4"/>
  <c r="O538" i="4"/>
  <c r="N538" i="4"/>
  <c r="M538" i="4"/>
  <c r="L538" i="4"/>
  <c r="K538" i="4"/>
  <c r="J538" i="4"/>
  <c r="I538" i="4"/>
  <c r="B538" i="4"/>
  <c r="S538" i="4" s="1"/>
  <c r="Z537" i="4"/>
  <c r="Y537" i="4"/>
  <c r="W537" i="4"/>
  <c r="V537" i="4"/>
  <c r="T537" i="4"/>
  <c r="S537" i="4"/>
  <c r="O537" i="4"/>
  <c r="U537" i="4" s="1"/>
  <c r="X537" i="4" s="1"/>
  <c r="N537" i="4"/>
  <c r="M537" i="4"/>
  <c r="L537" i="4"/>
  <c r="K537" i="4"/>
  <c r="J537" i="4"/>
  <c r="I537" i="4"/>
  <c r="B537" i="4"/>
  <c r="Y536" i="4"/>
  <c r="X536" i="4"/>
  <c r="W536" i="4"/>
  <c r="V536" i="4"/>
  <c r="Z536" i="4" s="1"/>
  <c r="U536" i="4"/>
  <c r="T536" i="4"/>
  <c r="O536" i="4"/>
  <c r="N536" i="4"/>
  <c r="M536" i="4"/>
  <c r="L536" i="4"/>
  <c r="K536" i="4"/>
  <c r="J536" i="4"/>
  <c r="I536" i="4"/>
  <c r="B536" i="4"/>
  <c r="S536" i="4" s="1"/>
  <c r="Z535" i="4"/>
  <c r="Y535" i="4"/>
  <c r="W535" i="4"/>
  <c r="V535" i="4"/>
  <c r="T535" i="4"/>
  <c r="S535" i="4"/>
  <c r="O535" i="4"/>
  <c r="U535" i="4" s="1"/>
  <c r="X535" i="4" s="1"/>
  <c r="N535" i="4"/>
  <c r="M535" i="4"/>
  <c r="L535" i="4"/>
  <c r="K535" i="4"/>
  <c r="J535" i="4"/>
  <c r="I535" i="4"/>
  <c r="B535" i="4"/>
  <c r="Y534" i="4"/>
  <c r="X534" i="4"/>
  <c r="W534" i="4"/>
  <c r="V534" i="4"/>
  <c r="Z534" i="4" s="1"/>
  <c r="U534" i="4"/>
  <c r="T534" i="4"/>
  <c r="O534" i="4"/>
  <c r="N534" i="4"/>
  <c r="M534" i="4"/>
  <c r="L534" i="4"/>
  <c r="K534" i="4"/>
  <c r="J534" i="4"/>
  <c r="I534" i="4"/>
  <c r="B534" i="4"/>
  <c r="S534" i="4" s="1"/>
  <c r="W533" i="4"/>
  <c r="V533" i="4"/>
  <c r="T533" i="4"/>
  <c r="S533" i="4"/>
  <c r="O533" i="4"/>
  <c r="U533" i="4" s="1"/>
  <c r="X533" i="4" s="1"/>
  <c r="N533" i="4"/>
  <c r="M533" i="4"/>
  <c r="L533" i="4"/>
  <c r="K533" i="4"/>
  <c r="J533" i="4"/>
  <c r="I533" i="4"/>
  <c r="B533" i="4"/>
  <c r="Z532" i="4"/>
  <c r="Y532" i="4"/>
  <c r="X532" i="4"/>
  <c r="W532" i="4"/>
  <c r="V532" i="4"/>
  <c r="T532" i="4"/>
  <c r="S532" i="4"/>
  <c r="O532" i="4"/>
  <c r="U532" i="4" s="1"/>
  <c r="N532" i="4"/>
  <c r="M532" i="4"/>
  <c r="L532" i="4"/>
  <c r="K532" i="4"/>
  <c r="J532" i="4"/>
  <c r="I532" i="4"/>
  <c r="B532" i="4"/>
  <c r="Z531" i="4"/>
  <c r="Y531" i="4"/>
  <c r="X531" i="4"/>
  <c r="W531" i="4"/>
  <c r="V531" i="4"/>
  <c r="U531" i="4"/>
  <c r="T531" i="4"/>
  <c r="S531" i="4"/>
  <c r="O531" i="4"/>
  <c r="N531" i="4"/>
  <c r="M531" i="4"/>
  <c r="L531" i="4"/>
  <c r="K531" i="4"/>
  <c r="J531" i="4"/>
  <c r="I531" i="4"/>
  <c r="B531" i="4"/>
  <c r="Z530" i="4"/>
  <c r="W530" i="4"/>
  <c r="V530" i="4"/>
  <c r="Y530" i="4" s="1"/>
  <c r="U530" i="4"/>
  <c r="X530" i="4" s="1"/>
  <c r="T530" i="4"/>
  <c r="O530" i="4"/>
  <c r="N530" i="4"/>
  <c r="M530" i="4"/>
  <c r="L530" i="4"/>
  <c r="K530" i="4"/>
  <c r="J530" i="4"/>
  <c r="I530" i="4"/>
  <c r="B530" i="4"/>
  <c r="S530" i="4" s="1"/>
  <c r="Z529" i="4"/>
  <c r="Y529" i="4"/>
  <c r="W529" i="4"/>
  <c r="V529" i="4"/>
  <c r="T529" i="4"/>
  <c r="O529" i="4"/>
  <c r="U529" i="4" s="1"/>
  <c r="X529" i="4" s="1"/>
  <c r="N529" i="4"/>
  <c r="M529" i="4"/>
  <c r="L529" i="4"/>
  <c r="K529" i="4"/>
  <c r="J529" i="4"/>
  <c r="I529" i="4"/>
  <c r="B529" i="4"/>
  <c r="S529" i="4" s="1"/>
  <c r="X528" i="4"/>
  <c r="W528" i="4"/>
  <c r="V528" i="4"/>
  <c r="U528" i="4"/>
  <c r="T528" i="4"/>
  <c r="S528" i="4"/>
  <c r="O528" i="4"/>
  <c r="N528" i="4"/>
  <c r="M528" i="4"/>
  <c r="L528" i="4"/>
  <c r="K528" i="4"/>
  <c r="J528" i="4"/>
  <c r="I528" i="4"/>
  <c r="B528" i="4"/>
  <c r="Z527" i="4"/>
  <c r="Y527" i="4"/>
  <c r="W527" i="4"/>
  <c r="V527" i="4"/>
  <c r="T527" i="4"/>
  <c r="S527" i="4"/>
  <c r="O527" i="4"/>
  <c r="U527" i="4" s="1"/>
  <c r="X527" i="4" s="1"/>
  <c r="N527" i="4"/>
  <c r="M527" i="4"/>
  <c r="L527" i="4"/>
  <c r="K527" i="4"/>
  <c r="J527" i="4"/>
  <c r="I527" i="4"/>
  <c r="B527" i="4"/>
  <c r="W526" i="4"/>
  <c r="V526" i="4"/>
  <c r="Z526" i="4" s="1"/>
  <c r="U526" i="4"/>
  <c r="X526" i="4" s="1"/>
  <c r="T526" i="4"/>
  <c r="O526" i="4"/>
  <c r="N526" i="4"/>
  <c r="M526" i="4"/>
  <c r="L526" i="4"/>
  <c r="K526" i="4"/>
  <c r="J526" i="4"/>
  <c r="I526" i="4"/>
  <c r="B526" i="4"/>
  <c r="S526" i="4" s="1"/>
  <c r="Z525" i="4"/>
  <c r="Y525" i="4"/>
  <c r="W525" i="4"/>
  <c r="V525" i="4"/>
  <c r="T525" i="4"/>
  <c r="S525" i="4"/>
  <c r="O525" i="4"/>
  <c r="U525" i="4" s="1"/>
  <c r="X525" i="4" s="1"/>
  <c r="N525" i="4"/>
  <c r="M525" i="4"/>
  <c r="L525" i="4"/>
  <c r="K525" i="4"/>
  <c r="J525" i="4"/>
  <c r="I525" i="4"/>
  <c r="B525" i="4"/>
  <c r="W524" i="4"/>
  <c r="V524" i="4"/>
  <c r="U524" i="4"/>
  <c r="X524" i="4" s="1"/>
  <c r="T524" i="4"/>
  <c r="O524" i="4"/>
  <c r="N524" i="4"/>
  <c r="M524" i="4"/>
  <c r="L524" i="4"/>
  <c r="K524" i="4"/>
  <c r="J524" i="4"/>
  <c r="I524" i="4"/>
  <c r="B524" i="4"/>
  <c r="S524" i="4" s="1"/>
  <c r="W523" i="4"/>
  <c r="V523" i="4"/>
  <c r="T523" i="4"/>
  <c r="S523" i="4"/>
  <c r="O523" i="4"/>
  <c r="U523" i="4" s="1"/>
  <c r="X523" i="4" s="1"/>
  <c r="N523" i="4"/>
  <c r="M523" i="4"/>
  <c r="L523" i="4"/>
  <c r="K523" i="4"/>
  <c r="J523" i="4"/>
  <c r="I523" i="4"/>
  <c r="B523" i="4"/>
  <c r="Z522" i="4"/>
  <c r="Y522" i="4"/>
  <c r="X522" i="4"/>
  <c r="W522" i="4"/>
  <c r="V522" i="4"/>
  <c r="T522" i="4"/>
  <c r="S522" i="4"/>
  <c r="O522" i="4"/>
  <c r="U522" i="4" s="1"/>
  <c r="N522" i="4"/>
  <c r="M522" i="4"/>
  <c r="L522" i="4"/>
  <c r="K522" i="4"/>
  <c r="J522" i="4"/>
  <c r="I522" i="4"/>
  <c r="B522" i="4"/>
  <c r="Z521" i="4"/>
  <c r="Y521" i="4"/>
  <c r="X521" i="4"/>
  <c r="W521" i="4"/>
  <c r="V521" i="4"/>
  <c r="U521" i="4"/>
  <c r="T521" i="4"/>
  <c r="S521" i="4"/>
  <c r="O521" i="4"/>
  <c r="N521" i="4"/>
  <c r="M521" i="4"/>
  <c r="L521" i="4"/>
  <c r="K521" i="4"/>
  <c r="J521" i="4"/>
  <c r="I521" i="4"/>
  <c r="B521" i="4"/>
  <c r="Z520" i="4"/>
  <c r="Y520" i="4"/>
  <c r="W520" i="4"/>
  <c r="V520" i="4"/>
  <c r="U520" i="4"/>
  <c r="X520" i="4" s="1"/>
  <c r="T520" i="4"/>
  <c r="O520" i="4"/>
  <c r="N520" i="4"/>
  <c r="M520" i="4"/>
  <c r="L520" i="4"/>
  <c r="K520" i="4"/>
  <c r="J520" i="4"/>
  <c r="I520" i="4"/>
  <c r="B520" i="4"/>
  <c r="S520" i="4" s="1"/>
  <c r="Z519" i="4"/>
  <c r="Y519" i="4"/>
  <c r="W519" i="4"/>
  <c r="V519" i="4"/>
  <c r="T519" i="4"/>
  <c r="O519" i="4"/>
  <c r="U519" i="4" s="1"/>
  <c r="X519" i="4" s="1"/>
  <c r="N519" i="4"/>
  <c r="M519" i="4"/>
  <c r="L519" i="4"/>
  <c r="K519" i="4"/>
  <c r="J519" i="4"/>
  <c r="I519" i="4"/>
  <c r="B519" i="4"/>
  <c r="S519" i="4" s="1"/>
  <c r="W518" i="4"/>
  <c r="V518" i="4"/>
  <c r="U518" i="4"/>
  <c r="X518" i="4" s="1"/>
  <c r="T518" i="4"/>
  <c r="O518" i="4"/>
  <c r="N518" i="4"/>
  <c r="M518" i="4"/>
  <c r="L518" i="4"/>
  <c r="K518" i="4"/>
  <c r="J518" i="4"/>
  <c r="I518" i="4"/>
  <c r="B518" i="4"/>
  <c r="S518" i="4" s="1"/>
  <c r="Z517" i="4"/>
  <c r="Y517" i="4"/>
  <c r="W517" i="4"/>
  <c r="V517" i="4"/>
  <c r="T517" i="4"/>
  <c r="S517" i="4"/>
  <c r="O517" i="4"/>
  <c r="U517" i="4" s="1"/>
  <c r="X517" i="4" s="1"/>
  <c r="N517" i="4"/>
  <c r="M517" i="4"/>
  <c r="L517" i="4"/>
  <c r="K517" i="4"/>
  <c r="J517" i="4"/>
  <c r="I517" i="4"/>
  <c r="B517" i="4"/>
  <c r="X516" i="4"/>
  <c r="W516" i="4"/>
  <c r="V516" i="4"/>
  <c r="U516" i="4"/>
  <c r="T516" i="4"/>
  <c r="O516" i="4"/>
  <c r="N516" i="4"/>
  <c r="M516" i="4"/>
  <c r="L516" i="4"/>
  <c r="K516" i="4"/>
  <c r="J516" i="4"/>
  <c r="I516" i="4"/>
  <c r="B516" i="4"/>
  <c r="S516" i="4" s="1"/>
  <c r="Z515" i="4"/>
  <c r="Y515" i="4"/>
  <c r="W515" i="4"/>
  <c r="V515" i="4"/>
  <c r="T515" i="4"/>
  <c r="S515" i="4"/>
  <c r="O515" i="4"/>
  <c r="U515" i="4" s="1"/>
  <c r="X515" i="4" s="1"/>
  <c r="N515" i="4"/>
  <c r="M515" i="4"/>
  <c r="L515" i="4"/>
  <c r="K515" i="4"/>
  <c r="J515" i="4"/>
  <c r="I515" i="4"/>
  <c r="B515" i="4"/>
  <c r="Y514" i="4"/>
  <c r="W514" i="4"/>
  <c r="V514" i="4"/>
  <c r="Z514" i="4" s="1"/>
  <c r="U514" i="4"/>
  <c r="X514" i="4" s="1"/>
  <c r="T514" i="4"/>
  <c r="O514" i="4"/>
  <c r="N514" i="4"/>
  <c r="M514" i="4"/>
  <c r="L514" i="4"/>
  <c r="K514" i="4"/>
  <c r="J514" i="4"/>
  <c r="I514" i="4"/>
  <c r="B514" i="4"/>
  <c r="S514" i="4" s="1"/>
  <c r="X513" i="4"/>
  <c r="W513" i="4"/>
  <c r="V513" i="4"/>
  <c r="T513" i="4"/>
  <c r="S513" i="4"/>
  <c r="O513" i="4"/>
  <c r="U513" i="4" s="1"/>
  <c r="N513" i="4"/>
  <c r="M513" i="4"/>
  <c r="L513" i="4"/>
  <c r="K513" i="4"/>
  <c r="J513" i="4"/>
  <c r="I513" i="4"/>
  <c r="B513" i="4"/>
  <c r="Z512" i="4"/>
  <c r="Y512" i="4"/>
  <c r="X512" i="4"/>
  <c r="W512" i="4"/>
  <c r="V512" i="4"/>
  <c r="T512" i="4"/>
  <c r="S512" i="4"/>
  <c r="O512" i="4"/>
  <c r="U512" i="4" s="1"/>
  <c r="N512" i="4"/>
  <c r="M512" i="4"/>
  <c r="L512" i="4"/>
  <c r="K512" i="4"/>
  <c r="J512" i="4"/>
  <c r="I512" i="4"/>
  <c r="B512" i="4"/>
  <c r="Z511" i="4"/>
  <c r="Y511" i="4"/>
  <c r="X511" i="4"/>
  <c r="W511" i="4"/>
  <c r="V511" i="4"/>
  <c r="U511" i="4"/>
  <c r="T511" i="4"/>
  <c r="S511" i="4"/>
  <c r="O511" i="4"/>
  <c r="N511" i="4"/>
  <c r="M511" i="4"/>
  <c r="L511" i="4"/>
  <c r="K511" i="4"/>
  <c r="J511" i="4"/>
  <c r="I511" i="4"/>
  <c r="B511" i="4"/>
  <c r="Y510" i="4"/>
  <c r="W510" i="4"/>
  <c r="V510" i="4"/>
  <c r="Z510" i="4" s="1"/>
  <c r="U510" i="4"/>
  <c r="X510" i="4" s="1"/>
  <c r="T510" i="4"/>
  <c r="O510" i="4"/>
  <c r="N510" i="4"/>
  <c r="M510" i="4"/>
  <c r="L510" i="4"/>
  <c r="K510" i="4"/>
  <c r="J510" i="4"/>
  <c r="I510" i="4"/>
  <c r="B510" i="4"/>
  <c r="S510" i="4" s="1"/>
  <c r="Z509" i="4"/>
  <c r="Y509" i="4"/>
  <c r="W509" i="4"/>
  <c r="V509" i="4"/>
  <c r="U509" i="4"/>
  <c r="X509" i="4" s="1"/>
  <c r="T509" i="4"/>
  <c r="O509" i="4"/>
  <c r="N509" i="4"/>
  <c r="M509" i="4"/>
  <c r="L509" i="4"/>
  <c r="K509" i="4"/>
  <c r="J509" i="4"/>
  <c r="I509" i="4"/>
  <c r="B509" i="4"/>
  <c r="S509" i="4" s="1"/>
  <c r="X508" i="4"/>
  <c r="W508" i="4"/>
  <c r="V508" i="4"/>
  <c r="U508" i="4"/>
  <c r="T508" i="4"/>
  <c r="O508" i="4"/>
  <c r="N508" i="4"/>
  <c r="M508" i="4"/>
  <c r="L508" i="4"/>
  <c r="K508" i="4"/>
  <c r="J508" i="4"/>
  <c r="I508" i="4"/>
  <c r="B508" i="4"/>
  <c r="S508" i="4" s="1"/>
  <c r="Z507" i="4"/>
  <c r="Y507" i="4"/>
  <c r="W507" i="4"/>
  <c r="V507" i="4"/>
  <c r="T507" i="4"/>
  <c r="S507" i="4"/>
  <c r="O507" i="4"/>
  <c r="U507" i="4" s="1"/>
  <c r="X507" i="4" s="1"/>
  <c r="N507" i="4"/>
  <c r="M507" i="4"/>
  <c r="L507" i="4"/>
  <c r="K507" i="4"/>
  <c r="J507" i="4"/>
  <c r="I507" i="4"/>
  <c r="B507" i="4"/>
  <c r="Y506" i="4"/>
  <c r="X506" i="4"/>
  <c r="W506" i="4"/>
  <c r="V506" i="4"/>
  <c r="Z506" i="4" s="1"/>
  <c r="U506" i="4"/>
  <c r="T506" i="4"/>
  <c r="O506" i="4"/>
  <c r="N506" i="4"/>
  <c r="M506" i="4"/>
  <c r="L506" i="4"/>
  <c r="K506" i="4"/>
  <c r="J506" i="4"/>
  <c r="I506" i="4"/>
  <c r="B506" i="4"/>
  <c r="S506" i="4" s="1"/>
  <c r="Z505" i="4"/>
  <c r="Y505" i="4"/>
  <c r="W505" i="4"/>
  <c r="V505" i="4"/>
  <c r="T505" i="4"/>
  <c r="S505" i="4"/>
  <c r="O505" i="4"/>
  <c r="U505" i="4" s="1"/>
  <c r="X505" i="4" s="1"/>
  <c r="N505" i="4"/>
  <c r="M505" i="4"/>
  <c r="L505" i="4"/>
  <c r="K505" i="4"/>
  <c r="J505" i="4"/>
  <c r="I505" i="4"/>
  <c r="B505" i="4"/>
  <c r="Z504" i="4"/>
  <c r="X504" i="4"/>
  <c r="W504" i="4"/>
  <c r="V504" i="4"/>
  <c r="Y504" i="4" s="1"/>
  <c r="U504" i="4"/>
  <c r="T504" i="4"/>
  <c r="O504" i="4"/>
  <c r="N504" i="4"/>
  <c r="M504" i="4"/>
  <c r="L504" i="4"/>
  <c r="K504" i="4"/>
  <c r="J504" i="4"/>
  <c r="I504" i="4"/>
  <c r="B504" i="4"/>
  <c r="S504" i="4" s="1"/>
  <c r="W503" i="4"/>
  <c r="V503" i="4"/>
  <c r="T503" i="4"/>
  <c r="S503" i="4"/>
  <c r="O503" i="4"/>
  <c r="U503" i="4" s="1"/>
  <c r="X503" i="4" s="1"/>
  <c r="N503" i="4"/>
  <c r="M503" i="4"/>
  <c r="L503" i="4"/>
  <c r="K503" i="4"/>
  <c r="J503" i="4"/>
  <c r="I503" i="4"/>
  <c r="B503" i="4"/>
  <c r="Z502" i="4"/>
  <c r="Y502" i="4"/>
  <c r="X502" i="4"/>
  <c r="W502" i="4"/>
  <c r="V502" i="4"/>
  <c r="T502" i="4"/>
  <c r="S502" i="4"/>
  <c r="O502" i="4"/>
  <c r="U502" i="4" s="1"/>
  <c r="N502" i="4"/>
  <c r="M502" i="4"/>
  <c r="L502" i="4"/>
  <c r="K502" i="4"/>
  <c r="J502" i="4"/>
  <c r="I502" i="4"/>
  <c r="B502" i="4"/>
  <c r="Z501" i="4"/>
  <c r="Y501" i="4"/>
  <c r="X501" i="4"/>
  <c r="W501" i="4"/>
  <c r="V501" i="4"/>
  <c r="U501" i="4"/>
  <c r="T501" i="4"/>
  <c r="S501" i="4"/>
  <c r="O501" i="4"/>
  <c r="N501" i="4"/>
  <c r="M501" i="4"/>
  <c r="L501" i="4"/>
  <c r="K501" i="4"/>
  <c r="J501" i="4"/>
  <c r="I501" i="4"/>
  <c r="B501" i="4"/>
  <c r="W500" i="4"/>
  <c r="V500" i="4"/>
  <c r="Z500" i="4" s="1"/>
  <c r="U500" i="4"/>
  <c r="X500" i="4" s="1"/>
  <c r="T500" i="4"/>
  <c r="O500" i="4"/>
  <c r="N500" i="4"/>
  <c r="M500" i="4"/>
  <c r="L500" i="4"/>
  <c r="K500" i="4"/>
  <c r="J500" i="4"/>
  <c r="I500" i="4"/>
  <c r="B500" i="4"/>
  <c r="S500" i="4" s="1"/>
  <c r="Z499" i="4"/>
  <c r="Y499" i="4"/>
  <c r="W499" i="4"/>
  <c r="V499" i="4"/>
  <c r="U499" i="4"/>
  <c r="X499" i="4" s="1"/>
  <c r="T499" i="4"/>
  <c r="O499" i="4"/>
  <c r="N499" i="4"/>
  <c r="M499" i="4"/>
  <c r="L499" i="4"/>
  <c r="K499" i="4"/>
  <c r="J499" i="4"/>
  <c r="I499" i="4"/>
  <c r="B499" i="4"/>
  <c r="S499" i="4" s="1"/>
  <c r="W498" i="4"/>
  <c r="V498" i="4"/>
  <c r="U498" i="4"/>
  <c r="X498" i="4" s="1"/>
  <c r="T498" i="4"/>
  <c r="S498" i="4"/>
  <c r="O498" i="4"/>
  <c r="N498" i="4"/>
  <c r="M498" i="4"/>
  <c r="L498" i="4"/>
  <c r="K498" i="4"/>
  <c r="J498" i="4"/>
  <c r="I498" i="4"/>
  <c r="B498" i="4"/>
  <c r="Z497" i="4"/>
  <c r="Y497" i="4"/>
  <c r="W497" i="4"/>
  <c r="V497" i="4"/>
  <c r="T497" i="4"/>
  <c r="S497" i="4"/>
  <c r="O497" i="4"/>
  <c r="U497" i="4" s="1"/>
  <c r="X497" i="4" s="1"/>
  <c r="N497" i="4"/>
  <c r="M497" i="4"/>
  <c r="L497" i="4"/>
  <c r="K497" i="4"/>
  <c r="J497" i="4"/>
  <c r="I497" i="4"/>
  <c r="B497" i="4"/>
  <c r="W496" i="4"/>
  <c r="V496" i="4"/>
  <c r="U496" i="4"/>
  <c r="X496" i="4" s="1"/>
  <c r="T496" i="4"/>
  <c r="O496" i="4"/>
  <c r="N496" i="4"/>
  <c r="M496" i="4"/>
  <c r="L496" i="4"/>
  <c r="K496" i="4"/>
  <c r="J496" i="4"/>
  <c r="I496" i="4"/>
  <c r="B496" i="4"/>
  <c r="S496" i="4" s="1"/>
  <c r="Z495" i="4"/>
  <c r="Y495" i="4"/>
  <c r="W495" i="4"/>
  <c r="V495" i="4"/>
  <c r="T495" i="4"/>
  <c r="S495" i="4"/>
  <c r="O495" i="4"/>
  <c r="U495" i="4" s="1"/>
  <c r="X495" i="4" s="1"/>
  <c r="N495" i="4"/>
  <c r="M495" i="4"/>
  <c r="L495" i="4"/>
  <c r="K495" i="4"/>
  <c r="J495" i="4"/>
  <c r="I495" i="4"/>
  <c r="B495" i="4"/>
  <c r="Z494" i="4"/>
  <c r="Y494" i="4"/>
  <c r="W494" i="4"/>
  <c r="V494" i="4"/>
  <c r="U494" i="4"/>
  <c r="X494" i="4" s="1"/>
  <c r="T494" i="4"/>
  <c r="O494" i="4"/>
  <c r="N494" i="4"/>
  <c r="M494" i="4"/>
  <c r="L494" i="4"/>
  <c r="K494" i="4"/>
  <c r="J494" i="4"/>
  <c r="I494" i="4"/>
  <c r="B494" i="4"/>
  <c r="S494" i="4" s="1"/>
  <c r="X493" i="4"/>
  <c r="W493" i="4"/>
  <c r="V493" i="4"/>
  <c r="T493" i="4"/>
  <c r="S493" i="4"/>
  <c r="O493" i="4"/>
  <c r="U493" i="4" s="1"/>
  <c r="N493" i="4"/>
  <c r="M493" i="4"/>
  <c r="L493" i="4"/>
  <c r="K493" i="4"/>
  <c r="J493" i="4"/>
  <c r="I493" i="4"/>
  <c r="B493" i="4"/>
  <c r="Z492" i="4"/>
  <c r="Y492" i="4"/>
  <c r="X492" i="4"/>
  <c r="W492" i="4"/>
  <c r="V492" i="4"/>
  <c r="T492" i="4"/>
  <c r="S492" i="4"/>
  <c r="O492" i="4"/>
  <c r="U492" i="4" s="1"/>
  <c r="N492" i="4"/>
  <c r="M492" i="4"/>
  <c r="L492" i="4"/>
  <c r="K492" i="4"/>
  <c r="J492" i="4"/>
  <c r="I492" i="4"/>
  <c r="B492" i="4"/>
  <c r="Z491" i="4"/>
  <c r="Y491" i="4"/>
  <c r="X491" i="4"/>
  <c r="W491" i="4"/>
  <c r="V491" i="4"/>
  <c r="U491" i="4"/>
  <c r="T491" i="4"/>
  <c r="S491" i="4"/>
  <c r="O491" i="4"/>
  <c r="N491" i="4"/>
  <c r="M491" i="4"/>
  <c r="L491" i="4"/>
  <c r="K491" i="4"/>
  <c r="J491" i="4"/>
  <c r="I491" i="4"/>
  <c r="B491" i="4"/>
  <c r="Z490" i="4"/>
  <c r="Y490" i="4"/>
  <c r="W490" i="4"/>
  <c r="V490" i="4"/>
  <c r="U490" i="4"/>
  <c r="X490" i="4" s="1"/>
  <c r="T490" i="4"/>
  <c r="O490" i="4"/>
  <c r="N490" i="4"/>
  <c r="M490" i="4"/>
  <c r="L490" i="4"/>
  <c r="K490" i="4"/>
  <c r="J490" i="4"/>
  <c r="I490" i="4"/>
  <c r="B490" i="4"/>
  <c r="S490" i="4" s="1"/>
  <c r="Z489" i="4"/>
  <c r="Y489" i="4"/>
  <c r="W489" i="4"/>
  <c r="V489" i="4"/>
  <c r="T489" i="4"/>
  <c r="O489" i="4"/>
  <c r="U489" i="4" s="1"/>
  <c r="X489" i="4" s="1"/>
  <c r="N489" i="4"/>
  <c r="M489" i="4"/>
  <c r="L489" i="4"/>
  <c r="K489" i="4"/>
  <c r="J489" i="4"/>
  <c r="I489" i="4"/>
  <c r="B489" i="4"/>
  <c r="S489" i="4" s="1"/>
  <c r="X488" i="4"/>
  <c r="W488" i="4"/>
  <c r="V488" i="4"/>
  <c r="U488" i="4"/>
  <c r="T488" i="4"/>
  <c r="O488" i="4"/>
  <c r="N488" i="4"/>
  <c r="M488" i="4"/>
  <c r="L488" i="4"/>
  <c r="K488" i="4"/>
  <c r="J488" i="4"/>
  <c r="I488" i="4"/>
  <c r="B488" i="4"/>
  <c r="S488" i="4" s="1"/>
  <c r="Z487" i="4"/>
  <c r="Y487" i="4"/>
  <c r="W487" i="4"/>
  <c r="V487" i="4"/>
  <c r="T487" i="4"/>
  <c r="S487" i="4"/>
  <c r="O487" i="4"/>
  <c r="U487" i="4" s="1"/>
  <c r="X487" i="4" s="1"/>
  <c r="N487" i="4"/>
  <c r="M487" i="4"/>
  <c r="L487" i="4"/>
  <c r="K487" i="4"/>
  <c r="J487" i="4"/>
  <c r="I487" i="4"/>
  <c r="B487" i="4"/>
  <c r="Y486" i="4"/>
  <c r="W486" i="4"/>
  <c r="V486" i="4"/>
  <c r="Z486" i="4" s="1"/>
  <c r="U486" i="4"/>
  <c r="X486" i="4" s="1"/>
  <c r="T486" i="4"/>
  <c r="O486" i="4"/>
  <c r="N486" i="4"/>
  <c r="M486" i="4"/>
  <c r="L486" i="4"/>
  <c r="K486" i="4"/>
  <c r="J486" i="4"/>
  <c r="I486" i="4"/>
  <c r="B486" i="4"/>
  <c r="S486" i="4" s="1"/>
  <c r="Z485" i="4"/>
  <c r="Y485" i="4"/>
  <c r="W485" i="4"/>
  <c r="V485" i="4"/>
  <c r="T485" i="4"/>
  <c r="S485" i="4"/>
  <c r="O485" i="4"/>
  <c r="U485" i="4" s="1"/>
  <c r="X485" i="4" s="1"/>
  <c r="N485" i="4"/>
  <c r="M485" i="4"/>
  <c r="L485" i="4"/>
  <c r="K485" i="4"/>
  <c r="J485" i="4"/>
  <c r="I485" i="4"/>
  <c r="B485" i="4"/>
  <c r="X484" i="4"/>
  <c r="W484" i="4"/>
  <c r="V484" i="4"/>
  <c r="U484" i="4"/>
  <c r="T484" i="4"/>
  <c r="O484" i="4"/>
  <c r="N484" i="4"/>
  <c r="M484" i="4"/>
  <c r="L484" i="4"/>
  <c r="K484" i="4"/>
  <c r="J484" i="4"/>
  <c r="I484" i="4"/>
  <c r="B484" i="4"/>
  <c r="S484" i="4" s="1"/>
  <c r="X483" i="4"/>
  <c r="W483" i="4"/>
  <c r="V483" i="4"/>
  <c r="T483" i="4"/>
  <c r="S483" i="4"/>
  <c r="O483" i="4"/>
  <c r="U483" i="4" s="1"/>
  <c r="N483" i="4"/>
  <c r="M483" i="4"/>
  <c r="L483" i="4"/>
  <c r="K483" i="4"/>
  <c r="J483" i="4"/>
  <c r="I483" i="4"/>
  <c r="B483" i="4"/>
  <c r="Z482" i="4"/>
  <c r="Y482" i="4"/>
  <c r="X482" i="4"/>
  <c r="W482" i="4"/>
  <c r="V482" i="4"/>
  <c r="T482" i="4"/>
  <c r="S482" i="4"/>
  <c r="O482" i="4"/>
  <c r="U482" i="4" s="1"/>
  <c r="N482" i="4"/>
  <c r="M482" i="4"/>
  <c r="L482" i="4"/>
  <c r="K482" i="4"/>
  <c r="J482" i="4"/>
  <c r="I482" i="4"/>
  <c r="B482" i="4"/>
  <c r="Z481" i="4"/>
  <c r="Y481" i="4"/>
  <c r="X481" i="4"/>
  <c r="W481" i="4"/>
  <c r="V481" i="4"/>
  <c r="U481" i="4"/>
  <c r="T481" i="4"/>
  <c r="S481" i="4"/>
  <c r="O481" i="4"/>
  <c r="N481" i="4"/>
  <c r="M481" i="4"/>
  <c r="L481" i="4"/>
  <c r="K481" i="4"/>
  <c r="J481" i="4"/>
  <c r="I481" i="4"/>
  <c r="B481" i="4"/>
  <c r="W480" i="4"/>
  <c r="V480" i="4"/>
  <c r="U480" i="4"/>
  <c r="X480" i="4" s="1"/>
  <c r="T480" i="4"/>
  <c r="O480" i="4"/>
  <c r="N480" i="4"/>
  <c r="M480" i="4"/>
  <c r="L480" i="4"/>
  <c r="K480" i="4"/>
  <c r="J480" i="4"/>
  <c r="I480" i="4"/>
  <c r="B480" i="4"/>
  <c r="S480" i="4" s="1"/>
  <c r="Z479" i="4"/>
  <c r="Y479" i="4"/>
  <c r="W479" i="4"/>
  <c r="V479" i="4"/>
  <c r="U479" i="4"/>
  <c r="X479" i="4" s="1"/>
  <c r="T479" i="4"/>
  <c r="O479" i="4"/>
  <c r="N479" i="4"/>
  <c r="M479" i="4"/>
  <c r="L479" i="4"/>
  <c r="K479" i="4"/>
  <c r="J479" i="4"/>
  <c r="I479" i="4"/>
  <c r="B479" i="4"/>
  <c r="S479" i="4" s="1"/>
  <c r="X478" i="4"/>
  <c r="W478" i="4"/>
  <c r="V478" i="4"/>
  <c r="U478" i="4"/>
  <c r="T478" i="4"/>
  <c r="S478" i="4"/>
  <c r="O478" i="4"/>
  <c r="N478" i="4"/>
  <c r="M478" i="4"/>
  <c r="L478" i="4"/>
  <c r="K478" i="4"/>
  <c r="J478" i="4"/>
  <c r="I478" i="4"/>
  <c r="B478" i="4"/>
  <c r="Z477" i="4"/>
  <c r="Y477" i="4"/>
  <c r="W477" i="4"/>
  <c r="V477" i="4"/>
  <c r="T477" i="4"/>
  <c r="S477" i="4"/>
  <c r="O477" i="4"/>
  <c r="U477" i="4" s="1"/>
  <c r="X477" i="4" s="1"/>
  <c r="N477" i="4"/>
  <c r="M477" i="4"/>
  <c r="L477" i="4"/>
  <c r="K477" i="4"/>
  <c r="J477" i="4"/>
  <c r="I477" i="4"/>
  <c r="B477" i="4"/>
  <c r="X476" i="4"/>
  <c r="W476" i="4"/>
  <c r="V476" i="4"/>
  <c r="Z476" i="4" s="1"/>
  <c r="U476" i="4"/>
  <c r="T476" i="4"/>
  <c r="O476" i="4"/>
  <c r="N476" i="4"/>
  <c r="M476" i="4"/>
  <c r="L476" i="4"/>
  <c r="K476" i="4"/>
  <c r="J476" i="4"/>
  <c r="I476" i="4"/>
  <c r="B476" i="4"/>
  <c r="S476" i="4" s="1"/>
  <c r="Z475" i="4"/>
  <c r="Y475" i="4"/>
  <c r="W475" i="4"/>
  <c r="V475" i="4"/>
  <c r="T475" i="4"/>
  <c r="S475" i="4"/>
  <c r="O475" i="4"/>
  <c r="U475" i="4" s="1"/>
  <c r="X475" i="4" s="1"/>
  <c r="N475" i="4"/>
  <c r="M475" i="4"/>
  <c r="L475" i="4"/>
  <c r="K475" i="4"/>
  <c r="J475" i="4"/>
  <c r="I475" i="4"/>
  <c r="B475" i="4"/>
  <c r="Y474" i="4"/>
  <c r="W474" i="4"/>
  <c r="V474" i="4"/>
  <c r="Z474" i="4" s="1"/>
  <c r="U474" i="4"/>
  <c r="X474" i="4" s="1"/>
  <c r="T474" i="4"/>
  <c r="O474" i="4"/>
  <c r="N474" i="4"/>
  <c r="M474" i="4"/>
  <c r="L474" i="4"/>
  <c r="K474" i="4"/>
  <c r="J474" i="4"/>
  <c r="I474" i="4"/>
  <c r="B474" i="4"/>
  <c r="S474" i="4" s="1"/>
  <c r="X473" i="4"/>
  <c r="W473" i="4"/>
  <c r="V473" i="4"/>
  <c r="T473" i="4"/>
  <c r="S473" i="4"/>
  <c r="O473" i="4"/>
  <c r="U473" i="4" s="1"/>
  <c r="N473" i="4"/>
  <c r="M473" i="4"/>
  <c r="L473" i="4"/>
  <c r="K473" i="4"/>
  <c r="J473" i="4"/>
  <c r="I473" i="4"/>
  <c r="B473" i="4"/>
  <c r="Z472" i="4"/>
  <c r="Y472" i="4"/>
  <c r="X472" i="4"/>
  <c r="W472" i="4"/>
  <c r="V472" i="4"/>
  <c r="T472" i="4"/>
  <c r="S472" i="4"/>
  <c r="O472" i="4"/>
  <c r="U472" i="4" s="1"/>
  <c r="N472" i="4"/>
  <c r="M472" i="4"/>
  <c r="L472" i="4"/>
  <c r="K472" i="4"/>
  <c r="J472" i="4"/>
  <c r="I472" i="4"/>
  <c r="B472" i="4"/>
  <c r="Z471" i="4"/>
  <c r="Y471" i="4"/>
  <c r="X471" i="4"/>
  <c r="W471" i="4"/>
  <c r="V471" i="4"/>
  <c r="U471" i="4"/>
  <c r="T471" i="4"/>
  <c r="S471" i="4"/>
  <c r="O471" i="4"/>
  <c r="N471" i="4"/>
  <c r="M471" i="4"/>
  <c r="L471" i="4"/>
  <c r="K471" i="4"/>
  <c r="J471" i="4"/>
  <c r="I471" i="4"/>
  <c r="B471" i="4"/>
  <c r="Z470" i="4"/>
  <c r="W470" i="4"/>
  <c r="V470" i="4"/>
  <c r="Y470" i="4" s="1"/>
  <c r="U470" i="4"/>
  <c r="X470" i="4" s="1"/>
  <c r="T470" i="4"/>
  <c r="O470" i="4"/>
  <c r="N470" i="4"/>
  <c r="M470" i="4"/>
  <c r="L470" i="4"/>
  <c r="K470" i="4"/>
  <c r="J470" i="4"/>
  <c r="I470" i="4"/>
  <c r="B470" i="4"/>
  <c r="S470" i="4" s="1"/>
  <c r="Z469" i="4"/>
  <c r="Y469" i="4"/>
  <c r="W469" i="4"/>
  <c r="V469" i="4"/>
  <c r="T469" i="4"/>
  <c r="O469" i="4"/>
  <c r="U469" i="4" s="1"/>
  <c r="X469" i="4" s="1"/>
  <c r="N469" i="4"/>
  <c r="M469" i="4"/>
  <c r="L469" i="4"/>
  <c r="K469" i="4"/>
  <c r="J469" i="4"/>
  <c r="I469" i="4"/>
  <c r="B469" i="4"/>
  <c r="S469" i="4" s="1"/>
  <c r="W468" i="4"/>
  <c r="V468" i="4"/>
  <c r="U468" i="4"/>
  <c r="X468" i="4" s="1"/>
  <c r="T468" i="4"/>
  <c r="S468" i="4"/>
  <c r="O468" i="4"/>
  <c r="N468" i="4"/>
  <c r="M468" i="4"/>
  <c r="L468" i="4"/>
  <c r="K468" i="4"/>
  <c r="J468" i="4"/>
  <c r="I468" i="4"/>
  <c r="B468" i="4"/>
  <c r="Z467" i="4"/>
  <c r="Y467" i="4"/>
  <c r="W467" i="4"/>
  <c r="V467" i="4"/>
  <c r="T467" i="4"/>
  <c r="S467" i="4"/>
  <c r="O467" i="4"/>
  <c r="U467" i="4" s="1"/>
  <c r="X467" i="4" s="1"/>
  <c r="N467" i="4"/>
  <c r="M467" i="4"/>
  <c r="L467" i="4"/>
  <c r="K467" i="4"/>
  <c r="J467" i="4"/>
  <c r="I467" i="4"/>
  <c r="B467" i="4"/>
  <c r="Y466" i="4"/>
  <c r="W466" i="4"/>
  <c r="V466" i="4"/>
  <c r="Z466" i="4" s="1"/>
  <c r="U466" i="4"/>
  <c r="X466" i="4" s="1"/>
  <c r="T466" i="4"/>
  <c r="O466" i="4"/>
  <c r="N466" i="4"/>
  <c r="M466" i="4"/>
  <c r="L466" i="4"/>
  <c r="K466" i="4"/>
  <c r="J466" i="4"/>
  <c r="I466" i="4"/>
  <c r="B466" i="4"/>
  <c r="S466" i="4" s="1"/>
  <c r="Z465" i="4"/>
  <c r="Y465" i="4"/>
  <c r="W465" i="4"/>
  <c r="V465" i="4"/>
  <c r="T465" i="4"/>
  <c r="S465" i="4"/>
  <c r="O465" i="4"/>
  <c r="U465" i="4" s="1"/>
  <c r="X465" i="4" s="1"/>
  <c r="N465" i="4"/>
  <c r="M465" i="4"/>
  <c r="L465" i="4"/>
  <c r="K465" i="4"/>
  <c r="J465" i="4"/>
  <c r="I465" i="4"/>
  <c r="B465" i="4"/>
  <c r="Z464" i="4"/>
  <c r="Y464" i="4"/>
  <c r="X464" i="4"/>
  <c r="W464" i="4"/>
  <c r="V464" i="4"/>
  <c r="U464" i="4"/>
  <c r="T464" i="4"/>
  <c r="O464" i="4"/>
  <c r="N464" i="4"/>
  <c r="M464" i="4"/>
  <c r="L464" i="4"/>
  <c r="K464" i="4"/>
  <c r="J464" i="4"/>
  <c r="I464" i="4"/>
  <c r="B464" i="4"/>
  <c r="S464" i="4" s="1"/>
  <c r="W463" i="4"/>
  <c r="V463" i="4"/>
  <c r="T463" i="4"/>
  <c r="S463" i="4"/>
  <c r="O463" i="4"/>
  <c r="U463" i="4" s="1"/>
  <c r="X463" i="4" s="1"/>
  <c r="N463" i="4"/>
  <c r="M463" i="4"/>
  <c r="L463" i="4"/>
  <c r="K463" i="4"/>
  <c r="J463" i="4"/>
  <c r="I463" i="4"/>
  <c r="B463" i="4"/>
  <c r="Z462" i="4"/>
  <c r="Y462" i="4"/>
  <c r="X462" i="4"/>
  <c r="W462" i="4"/>
  <c r="V462" i="4"/>
  <c r="T462" i="4"/>
  <c r="S462" i="4"/>
  <c r="O462" i="4"/>
  <c r="U462" i="4" s="1"/>
  <c r="N462" i="4"/>
  <c r="M462" i="4"/>
  <c r="L462" i="4"/>
  <c r="K462" i="4"/>
  <c r="J462" i="4"/>
  <c r="I462" i="4"/>
  <c r="B462" i="4"/>
  <c r="Z461" i="4"/>
  <c r="Y461" i="4"/>
  <c r="X461" i="4"/>
  <c r="W461" i="4"/>
  <c r="V461" i="4"/>
  <c r="U461" i="4"/>
  <c r="T461" i="4"/>
  <c r="S461" i="4"/>
  <c r="O461" i="4"/>
  <c r="N461" i="4"/>
  <c r="M461" i="4"/>
  <c r="L461" i="4"/>
  <c r="K461" i="4"/>
  <c r="J461" i="4"/>
  <c r="I461" i="4"/>
  <c r="B461" i="4"/>
  <c r="Y460" i="4"/>
  <c r="W460" i="4"/>
  <c r="V460" i="4"/>
  <c r="Z460" i="4" s="1"/>
  <c r="U460" i="4"/>
  <c r="X460" i="4" s="1"/>
  <c r="T460" i="4"/>
  <c r="O460" i="4"/>
  <c r="N460" i="4"/>
  <c r="M460" i="4"/>
  <c r="L460" i="4"/>
  <c r="K460" i="4"/>
  <c r="J460" i="4"/>
  <c r="I460" i="4"/>
  <c r="B460" i="4"/>
  <c r="S460" i="4" s="1"/>
  <c r="Z459" i="4"/>
  <c r="Y459" i="4"/>
  <c r="W459" i="4"/>
  <c r="V459" i="4"/>
  <c r="T459" i="4"/>
  <c r="O459" i="4"/>
  <c r="U459" i="4" s="1"/>
  <c r="X459" i="4" s="1"/>
  <c r="N459" i="4"/>
  <c r="M459" i="4"/>
  <c r="L459" i="4"/>
  <c r="K459" i="4"/>
  <c r="J459" i="4"/>
  <c r="I459" i="4"/>
  <c r="B459" i="4"/>
  <c r="S459" i="4" s="1"/>
  <c r="W458" i="4"/>
  <c r="V458" i="4"/>
  <c r="U458" i="4"/>
  <c r="X458" i="4" s="1"/>
  <c r="T458" i="4"/>
  <c r="O458" i="4"/>
  <c r="N458" i="4"/>
  <c r="M458" i="4"/>
  <c r="L458" i="4"/>
  <c r="K458" i="4"/>
  <c r="J458" i="4"/>
  <c r="I458" i="4"/>
  <c r="B458" i="4"/>
  <c r="S458" i="4" s="1"/>
  <c r="Z457" i="4"/>
  <c r="Y457" i="4"/>
  <c r="W457" i="4"/>
  <c r="V457" i="4"/>
  <c r="T457" i="4"/>
  <c r="S457" i="4"/>
  <c r="O457" i="4"/>
  <c r="U457" i="4" s="1"/>
  <c r="X457" i="4" s="1"/>
  <c r="N457" i="4"/>
  <c r="M457" i="4"/>
  <c r="L457" i="4"/>
  <c r="K457" i="4"/>
  <c r="J457" i="4"/>
  <c r="I457" i="4"/>
  <c r="B457" i="4"/>
  <c r="X456" i="4"/>
  <c r="W456" i="4"/>
  <c r="V456" i="4"/>
  <c r="U456" i="4"/>
  <c r="T456" i="4"/>
  <c r="O456" i="4"/>
  <c r="N456" i="4"/>
  <c r="M456" i="4"/>
  <c r="L456" i="4"/>
  <c r="K456" i="4"/>
  <c r="J456" i="4"/>
  <c r="I456" i="4"/>
  <c r="B456" i="4"/>
  <c r="S456" i="4" s="1"/>
  <c r="Z455" i="4"/>
  <c r="Y455" i="4"/>
  <c r="W455" i="4"/>
  <c r="V455" i="4"/>
  <c r="T455" i="4"/>
  <c r="S455" i="4"/>
  <c r="O455" i="4"/>
  <c r="U455" i="4" s="1"/>
  <c r="X455" i="4" s="1"/>
  <c r="N455" i="4"/>
  <c r="M455" i="4"/>
  <c r="L455" i="4"/>
  <c r="K455" i="4"/>
  <c r="J455" i="4"/>
  <c r="I455" i="4"/>
  <c r="B455" i="4"/>
  <c r="Z454" i="4"/>
  <c r="W454" i="4"/>
  <c r="V454" i="4"/>
  <c r="Y454" i="4" s="1"/>
  <c r="U454" i="4"/>
  <c r="X454" i="4" s="1"/>
  <c r="T454" i="4"/>
  <c r="O454" i="4"/>
  <c r="N454" i="4"/>
  <c r="M454" i="4"/>
  <c r="L454" i="4"/>
  <c r="K454" i="4"/>
  <c r="J454" i="4"/>
  <c r="I454" i="4"/>
  <c r="B454" i="4"/>
  <c r="S454" i="4" s="1"/>
  <c r="X453" i="4"/>
  <c r="W453" i="4"/>
  <c r="V453" i="4"/>
  <c r="T453" i="4"/>
  <c r="S453" i="4"/>
  <c r="O453" i="4"/>
  <c r="U453" i="4" s="1"/>
  <c r="N453" i="4"/>
  <c r="M453" i="4"/>
  <c r="L453" i="4"/>
  <c r="K453" i="4"/>
  <c r="J453" i="4"/>
  <c r="I453" i="4"/>
  <c r="B453" i="4"/>
  <c r="Z452" i="4"/>
  <c r="Y452" i="4"/>
  <c r="X452" i="4"/>
  <c r="W452" i="4"/>
  <c r="V452" i="4"/>
  <c r="T452" i="4"/>
  <c r="S452" i="4"/>
  <c r="O452" i="4"/>
  <c r="U452" i="4" s="1"/>
  <c r="N452" i="4"/>
  <c r="M452" i="4"/>
  <c r="L452" i="4"/>
  <c r="K452" i="4"/>
  <c r="J452" i="4"/>
  <c r="I452" i="4"/>
  <c r="B452" i="4"/>
  <c r="Z451" i="4"/>
  <c r="Y451" i="4"/>
  <c r="X451" i="4"/>
  <c r="W451" i="4"/>
  <c r="V451" i="4"/>
  <c r="U451" i="4"/>
  <c r="T451" i="4"/>
  <c r="S451" i="4"/>
  <c r="O451" i="4"/>
  <c r="N451" i="4"/>
  <c r="M451" i="4"/>
  <c r="L451" i="4"/>
  <c r="K451" i="4"/>
  <c r="J451" i="4"/>
  <c r="I451" i="4"/>
  <c r="B451" i="4"/>
  <c r="Z450" i="4"/>
  <c r="Y450" i="4"/>
  <c r="W450" i="4"/>
  <c r="V450" i="4"/>
  <c r="U450" i="4"/>
  <c r="X450" i="4" s="1"/>
  <c r="T450" i="4"/>
  <c r="O450" i="4"/>
  <c r="N450" i="4"/>
  <c r="M450" i="4"/>
  <c r="L450" i="4"/>
  <c r="K450" i="4"/>
  <c r="J450" i="4"/>
  <c r="I450" i="4"/>
  <c r="B450" i="4"/>
  <c r="S450" i="4" s="1"/>
  <c r="Z449" i="4"/>
  <c r="Y449" i="4"/>
  <c r="W449" i="4"/>
  <c r="V449" i="4"/>
  <c r="U449" i="4"/>
  <c r="X449" i="4" s="1"/>
  <c r="T449" i="4"/>
  <c r="O449" i="4"/>
  <c r="N449" i="4"/>
  <c r="M449" i="4"/>
  <c r="L449" i="4"/>
  <c r="K449" i="4"/>
  <c r="J449" i="4"/>
  <c r="I449" i="4"/>
  <c r="B449" i="4"/>
  <c r="S449" i="4" s="1"/>
  <c r="X448" i="4"/>
  <c r="W448" i="4"/>
  <c r="V448" i="4"/>
  <c r="U448" i="4"/>
  <c r="T448" i="4"/>
  <c r="O448" i="4"/>
  <c r="N448" i="4"/>
  <c r="M448" i="4"/>
  <c r="L448" i="4"/>
  <c r="K448" i="4"/>
  <c r="J448" i="4"/>
  <c r="I448" i="4"/>
  <c r="B448" i="4"/>
  <c r="S448" i="4" s="1"/>
  <c r="Z447" i="4"/>
  <c r="Y447" i="4"/>
  <c r="W447" i="4"/>
  <c r="V447" i="4"/>
  <c r="T447" i="4"/>
  <c r="S447" i="4"/>
  <c r="O447" i="4"/>
  <c r="U447" i="4" s="1"/>
  <c r="X447" i="4" s="1"/>
  <c r="N447" i="4"/>
  <c r="M447" i="4"/>
  <c r="L447" i="4"/>
  <c r="K447" i="4"/>
  <c r="J447" i="4"/>
  <c r="I447" i="4"/>
  <c r="B447" i="4"/>
  <c r="Y446" i="4"/>
  <c r="W446" i="4"/>
  <c r="V446" i="4"/>
  <c r="Z446" i="4" s="1"/>
  <c r="U446" i="4"/>
  <c r="X446" i="4" s="1"/>
  <c r="T446" i="4"/>
  <c r="O446" i="4"/>
  <c r="N446" i="4"/>
  <c r="M446" i="4"/>
  <c r="L446" i="4"/>
  <c r="K446" i="4"/>
  <c r="J446" i="4"/>
  <c r="I446" i="4"/>
  <c r="B446" i="4"/>
  <c r="S446" i="4" s="1"/>
  <c r="Z445" i="4"/>
  <c r="Y445" i="4"/>
  <c r="W445" i="4"/>
  <c r="V445" i="4"/>
  <c r="T445" i="4"/>
  <c r="S445" i="4"/>
  <c r="O445" i="4"/>
  <c r="U445" i="4" s="1"/>
  <c r="X445" i="4" s="1"/>
  <c r="N445" i="4"/>
  <c r="M445" i="4"/>
  <c r="L445" i="4"/>
  <c r="K445" i="4"/>
  <c r="J445" i="4"/>
  <c r="I445" i="4"/>
  <c r="B445" i="4"/>
  <c r="W444" i="4"/>
  <c r="V444" i="4"/>
  <c r="Y444" i="4" s="1"/>
  <c r="U444" i="4"/>
  <c r="X444" i="4" s="1"/>
  <c r="T444" i="4"/>
  <c r="O444" i="4"/>
  <c r="N444" i="4"/>
  <c r="M444" i="4"/>
  <c r="L444" i="4"/>
  <c r="K444" i="4"/>
  <c r="J444" i="4"/>
  <c r="I444" i="4"/>
  <c r="B444" i="4"/>
  <c r="S444" i="4" s="1"/>
  <c r="X443" i="4"/>
  <c r="W443" i="4"/>
  <c r="V443" i="4"/>
  <c r="T443" i="4"/>
  <c r="S443" i="4"/>
  <c r="O443" i="4"/>
  <c r="U443" i="4" s="1"/>
  <c r="N443" i="4"/>
  <c r="M443" i="4"/>
  <c r="L443" i="4"/>
  <c r="K443" i="4"/>
  <c r="J443" i="4"/>
  <c r="I443" i="4"/>
  <c r="B443" i="4"/>
  <c r="Z442" i="4"/>
  <c r="Y442" i="4"/>
  <c r="X442" i="4"/>
  <c r="W442" i="4"/>
  <c r="V442" i="4"/>
  <c r="T442" i="4"/>
  <c r="S442" i="4"/>
  <c r="O442" i="4"/>
  <c r="U442" i="4" s="1"/>
  <c r="N442" i="4"/>
  <c r="M442" i="4"/>
  <c r="L442" i="4"/>
  <c r="K442" i="4"/>
  <c r="J442" i="4"/>
  <c r="I442" i="4"/>
  <c r="B442" i="4"/>
  <c r="Z441" i="4"/>
  <c r="Y441" i="4"/>
  <c r="X441" i="4"/>
  <c r="W441" i="4"/>
  <c r="V441" i="4"/>
  <c r="U441" i="4"/>
  <c r="T441" i="4"/>
  <c r="S441" i="4"/>
  <c r="O441" i="4"/>
  <c r="N441" i="4"/>
  <c r="M441" i="4"/>
  <c r="L441" i="4"/>
  <c r="K441" i="4"/>
  <c r="J441" i="4"/>
  <c r="I441" i="4"/>
  <c r="B441" i="4"/>
  <c r="W440" i="4"/>
  <c r="V440" i="4"/>
  <c r="Z440" i="4" s="1"/>
  <c r="U440" i="4"/>
  <c r="X440" i="4" s="1"/>
  <c r="T440" i="4"/>
  <c r="O440" i="4"/>
  <c r="N440" i="4"/>
  <c r="M440" i="4"/>
  <c r="L440" i="4"/>
  <c r="K440" i="4"/>
  <c r="J440" i="4"/>
  <c r="I440" i="4"/>
  <c r="B440" i="4"/>
  <c r="S440" i="4" s="1"/>
  <c r="Z439" i="4"/>
  <c r="Y439" i="4"/>
  <c r="W439" i="4"/>
  <c r="V439" i="4"/>
  <c r="U439" i="4"/>
  <c r="X439" i="4" s="1"/>
  <c r="T439" i="4"/>
  <c r="O439" i="4"/>
  <c r="N439" i="4"/>
  <c r="M439" i="4"/>
  <c r="L439" i="4"/>
  <c r="K439" i="4"/>
  <c r="J439" i="4"/>
  <c r="I439" i="4"/>
  <c r="B439" i="4"/>
  <c r="S439" i="4" s="1"/>
  <c r="W438" i="4"/>
  <c r="V438" i="4"/>
  <c r="U438" i="4"/>
  <c r="X438" i="4" s="1"/>
  <c r="T438" i="4"/>
  <c r="O438" i="4"/>
  <c r="N438" i="4"/>
  <c r="M438" i="4"/>
  <c r="L438" i="4"/>
  <c r="K438" i="4"/>
  <c r="J438" i="4"/>
  <c r="I438" i="4"/>
  <c r="B438" i="4"/>
  <c r="S438" i="4" s="1"/>
  <c r="Z437" i="4"/>
  <c r="Y437" i="4"/>
  <c r="W437" i="4"/>
  <c r="V437" i="4"/>
  <c r="T437" i="4"/>
  <c r="S437" i="4"/>
  <c r="O437" i="4"/>
  <c r="U437" i="4" s="1"/>
  <c r="X437" i="4" s="1"/>
  <c r="N437" i="4"/>
  <c r="M437" i="4"/>
  <c r="L437" i="4"/>
  <c r="K437" i="4"/>
  <c r="J437" i="4"/>
  <c r="I437" i="4"/>
  <c r="B437" i="4"/>
  <c r="Y436" i="4"/>
  <c r="X436" i="4"/>
  <c r="W436" i="4"/>
  <c r="V436" i="4"/>
  <c r="Z436" i="4" s="1"/>
  <c r="U436" i="4"/>
  <c r="T436" i="4"/>
  <c r="O436" i="4"/>
  <c r="N436" i="4"/>
  <c r="M436" i="4"/>
  <c r="L436" i="4"/>
  <c r="K436" i="4"/>
  <c r="J436" i="4"/>
  <c r="I436" i="4"/>
  <c r="B436" i="4"/>
  <c r="S436" i="4" s="1"/>
  <c r="Z435" i="4"/>
  <c r="Y435" i="4"/>
  <c r="W435" i="4"/>
  <c r="V435" i="4"/>
  <c r="T435" i="4"/>
  <c r="S435" i="4"/>
  <c r="O435" i="4"/>
  <c r="U435" i="4" s="1"/>
  <c r="X435" i="4" s="1"/>
  <c r="N435" i="4"/>
  <c r="M435" i="4"/>
  <c r="L435" i="4"/>
  <c r="K435" i="4"/>
  <c r="J435" i="4"/>
  <c r="I435" i="4"/>
  <c r="B435" i="4"/>
  <c r="Y434" i="4"/>
  <c r="X434" i="4"/>
  <c r="W434" i="4"/>
  <c r="V434" i="4"/>
  <c r="Z434" i="4" s="1"/>
  <c r="U434" i="4"/>
  <c r="T434" i="4"/>
  <c r="O434" i="4"/>
  <c r="N434" i="4"/>
  <c r="M434" i="4"/>
  <c r="L434" i="4"/>
  <c r="K434" i="4"/>
  <c r="J434" i="4"/>
  <c r="I434" i="4"/>
  <c r="B434" i="4"/>
  <c r="S434" i="4" s="1"/>
  <c r="W433" i="4"/>
  <c r="V433" i="4"/>
  <c r="T433" i="4"/>
  <c r="S433" i="4"/>
  <c r="O433" i="4"/>
  <c r="U433" i="4" s="1"/>
  <c r="X433" i="4" s="1"/>
  <c r="N433" i="4"/>
  <c r="M433" i="4"/>
  <c r="L433" i="4"/>
  <c r="K433" i="4"/>
  <c r="J433" i="4"/>
  <c r="I433" i="4"/>
  <c r="B433" i="4"/>
  <c r="Z432" i="4"/>
  <c r="Y432" i="4"/>
  <c r="X432" i="4"/>
  <c r="W432" i="4"/>
  <c r="V432" i="4"/>
  <c r="T432" i="4"/>
  <c r="S432" i="4"/>
  <c r="O432" i="4"/>
  <c r="U432" i="4" s="1"/>
  <c r="N432" i="4"/>
  <c r="M432" i="4"/>
  <c r="L432" i="4"/>
  <c r="K432" i="4"/>
  <c r="J432" i="4"/>
  <c r="I432" i="4"/>
  <c r="B432" i="4"/>
  <c r="Z431" i="4"/>
  <c r="Y431" i="4"/>
  <c r="X431" i="4"/>
  <c r="W431" i="4"/>
  <c r="V431" i="4"/>
  <c r="U431" i="4"/>
  <c r="T431" i="4"/>
  <c r="S431" i="4"/>
  <c r="O431" i="4"/>
  <c r="N431" i="4"/>
  <c r="M431" i="4"/>
  <c r="L431" i="4"/>
  <c r="K431" i="4"/>
  <c r="J431" i="4"/>
  <c r="I431" i="4"/>
  <c r="B431" i="4"/>
  <c r="Z430" i="4"/>
  <c r="W430" i="4"/>
  <c r="V430" i="4"/>
  <c r="Y430" i="4" s="1"/>
  <c r="U430" i="4"/>
  <c r="X430" i="4" s="1"/>
  <c r="T430" i="4"/>
  <c r="O430" i="4"/>
  <c r="N430" i="4"/>
  <c r="M430" i="4"/>
  <c r="L430" i="4"/>
  <c r="K430" i="4"/>
  <c r="J430" i="4"/>
  <c r="I430" i="4"/>
  <c r="B430" i="4"/>
  <c r="S430" i="4" s="1"/>
  <c r="Z429" i="4"/>
  <c r="Y429" i="4"/>
  <c r="W429" i="4"/>
  <c r="V429" i="4"/>
  <c r="T429" i="4"/>
  <c r="O429" i="4"/>
  <c r="U429" i="4" s="1"/>
  <c r="X429" i="4" s="1"/>
  <c r="N429" i="4"/>
  <c r="M429" i="4"/>
  <c r="L429" i="4"/>
  <c r="K429" i="4"/>
  <c r="J429" i="4"/>
  <c r="I429" i="4"/>
  <c r="B429" i="4"/>
  <c r="S429" i="4" s="1"/>
  <c r="X428" i="4"/>
  <c r="W428" i="4"/>
  <c r="V428" i="4"/>
  <c r="U428" i="4"/>
  <c r="T428" i="4"/>
  <c r="S428" i="4"/>
  <c r="O428" i="4"/>
  <c r="N428" i="4"/>
  <c r="M428" i="4"/>
  <c r="L428" i="4"/>
  <c r="K428" i="4"/>
  <c r="J428" i="4"/>
  <c r="I428" i="4"/>
  <c r="B428" i="4"/>
  <c r="Z427" i="4"/>
  <c r="Y427" i="4"/>
  <c r="W427" i="4"/>
  <c r="V427" i="4"/>
  <c r="T427" i="4"/>
  <c r="S427" i="4"/>
  <c r="O427" i="4"/>
  <c r="U427" i="4" s="1"/>
  <c r="X427" i="4" s="1"/>
  <c r="N427" i="4"/>
  <c r="M427" i="4"/>
  <c r="L427" i="4"/>
  <c r="K427" i="4"/>
  <c r="J427" i="4"/>
  <c r="I427" i="4"/>
  <c r="B427" i="4"/>
  <c r="W426" i="4"/>
  <c r="V426" i="4"/>
  <c r="Z426" i="4" s="1"/>
  <c r="U426" i="4"/>
  <c r="X426" i="4" s="1"/>
  <c r="T426" i="4"/>
  <c r="O426" i="4"/>
  <c r="N426" i="4"/>
  <c r="M426" i="4"/>
  <c r="L426" i="4"/>
  <c r="K426" i="4"/>
  <c r="J426" i="4"/>
  <c r="I426" i="4"/>
  <c r="B426" i="4"/>
  <c r="S426" i="4" s="1"/>
  <c r="Z425" i="4"/>
  <c r="Y425" i="4"/>
  <c r="W425" i="4"/>
  <c r="V425" i="4"/>
  <c r="T425" i="4"/>
  <c r="S425" i="4"/>
  <c r="O425" i="4"/>
  <c r="U425" i="4" s="1"/>
  <c r="X425" i="4" s="1"/>
  <c r="N425" i="4"/>
  <c r="M425" i="4"/>
  <c r="L425" i="4"/>
  <c r="K425" i="4"/>
  <c r="J425" i="4"/>
  <c r="I425" i="4"/>
  <c r="B425" i="4"/>
  <c r="W424" i="4"/>
  <c r="V424" i="4"/>
  <c r="U424" i="4"/>
  <c r="X424" i="4" s="1"/>
  <c r="T424" i="4"/>
  <c r="O424" i="4"/>
  <c r="N424" i="4"/>
  <c r="M424" i="4"/>
  <c r="L424" i="4"/>
  <c r="K424" i="4"/>
  <c r="J424" i="4"/>
  <c r="I424" i="4"/>
  <c r="B424" i="4"/>
  <c r="S424" i="4" s="1"/>
  <c r="W423" i="4"/>
  <c r="V423" i="4"/>
  <c r="T423" i="4"/>
  <c r="S423" i="4"/>
  <c r="O423" i="4"/>
  <c r="U423" i="4" s="1"/>
  <c r="X423" i="4" s="1"/>
  <c r="N423" i="4"/>
  <c r="M423" i="4"/>
  <c r="L423" i="4"/>
  <c r="K423" i="4"/>
  <c r="J423" i="4"/>
  <c r="I423" i="4"/>
  <c r="B423" i="4"/>
  <c r="Z422" i="4"/>
  <c r="Y422" i="4"/>
  <c r="X422" i="4"/>
  <c r="W422" i="4"/>
  <c r="V422" i="4"/>
  <c r="T422" i="4"/>
  <c r="S422" i="4"/>
  <c r="O422" i="4"/>
  <c r="U422" i="4" s="1"/>
  <c r="N422" i="4"/>
  <c r="M422" i="4"/>
  <c r="L422" i="4"/>
  <c r="K422" i="4"/>
  <c r="J422" i="4"/>
  <c r="I422" i="4"/>
  <c r="B422" i="4"/>
  <c r="Z421" i="4"/>
  <c r="Y421" i="4"/>
  <c r="X421" i="4"/>
  <c r="W421" i="4"/>
  <c r="V421" i="4"/>
  <c r="U421" i="4"/>
  <c r="T421" i="4"/>
  <c r="S421" i="4"/>
  <c r="O421" i="4"/>
  <c r="N421" i="4"/>
  <c r="M421" i="4"/>
  <c r="L421" i="4"/>
  <c r="K421" i="4"/>
  <c r="J421" i="4"/>
  <c r="I421" i="4"/>
  <c r="B421" i="4"/>
  <c r="Z420" i="4"/>
  <c r="Y420" i="4"/>
  <c r="W420" i="4"/>
  <c r="V420" i="4"/>
  <c r="U420" i="4"/>
  <c r="X420" i="4" s="1"/>
  <c r="T420" i="4"/>
  <c r="O420" i="4"/>
  <c r="N420" i="4"/>
  <c r="M420" i="4"/>
  <c r="L420" i="4"/>
  <c r="K420" i="4"/>
  <c r="J420" i="4"/>
  <c r="I420" i="4"/>
  <c r="B420" i="4"/>
  <c r="S420" i="4" s="1"/>
  <c r="Z419" i="4"/>
  <c r="Y419" i="4"/>
  <c r="W419" i="4"/>
  <c r="V419" i="4"/>
  <c r="T419" i="4"/>
  <c r="O419" i="4"/>
  <c r="U419" i="4" s="1"/>
  <c r="X419" i="4" s="1"/>
  <c r="N419" i="4"/>
  <c r="M419" i="4"/>
  <c r="L419" i="4"/>
  <c r="K419" i="4"/>
  <c r="J419" i="4"/>
  <c r="I419" i="4"/>
  <c r="B419" i="4"/>
  <c r="S419" i="4" s="1"/>
  <c r="W418" i="4"/>
  <c r="V418" i="4"/>
  <c r="U418" i="4"/>
  <c r="X418" i="4" s="1"/>
  <c r="T418" i="4"/>
  <c r="O418" i="4"/>
  <c r="N418" i="4"/>
  <c r="M418" i="4"/>
  <c r="L418" i="4"/>
  <c r="K418" i="4"/>
  <c r="J418" i="4"/>
  <c r="I418" i="4"/>
  <c r="B418" i="4"/>
  <c r="S418" i="4" s="1"/>
  <c r="Z417" i="4"/>
  <c r="Y417" i="4"/>
  <c r="W417" i="4"/>
  <c r="V417" i="4"/>
  <c r="T417" i="4"/>
  <c r="S417" i="4"/>
  <c r="O417" i="4"/>
  <c r="U417" i="4" s="1"/>
  <c r="X417" i="4" s="1"/>
  <c r="N417" i="4"/>
  <c r="M417" i="4"/>
  <c r="L417" i="4"/>
  <c r="K417" i="4"/>
  <c r="J417" i="4"/>
  <c r="I417" i="4"/>
  <c r="B417" i="4"/>
  <c r="X416" i="4"/>
  <c r="W416" i="4"/>
  <c r="V416" i="4"/>
  <c r="U416" i="4"/>
  <c r="T416" i="4"/>
  <c r="O416" i="4"/>
  <c r="N416" i="4"/>
  <c r="M416" i="4"/>
  <c r="L416" i="4"/>
  <c r="K416" i="4"/>
  <c r="J416" i="4"/>
  <c r="I416" i="4"/>
  <c r="B416" i="4"/>
  <c r="S416" i="4" s="1"/>
  <c r="Z415" i="4"/>
  <c r="Y415" i="4"/>
  <c r="W415" i="4"/>
  <c r="V415" i="4"/>
  <c r="T415" i="4"/>
  <c r="S415" i="4"/>
  <c r="O415" i="4"/>
  <c r="U415" i="4" s="1"/>
  <c r="X415" i="4" s="1"/>
  <c r="N415" i="4"/>
  <c r="M415" i="4"/>
  <c r="L415" i="4"/>
  <c r="K415" i="4"/>
  <c r="J415" i="4"/>
  <c r="I415" i="4"/>
  <c r="B415" i="4"/>
  <c r="Y414" i="4"/>
  <c r="W414" i="4"/>
  <c r="V414" i="4"/>
  <c r="Z414" i="4" s="1"/>
  <c r="U414" i="4"/>
  <c r="X414" i="4" s="1"/>
  <c r="T414" i="4"/>
  <c r="O414" i="4"/>
  <c r="N414" i="4"/>
  <c r="M414" i="4"/>
  <c r="L414" i="4"/>
  <c r="K414" i="4"/>
  <c r="J414" i="4"/>
  <c r="I414" i="4"/>
  <c r="B414" i="4"/>
  <c r="S414" i="4" s="1"/>
  <c r="X413" i="4"/>
  <c r="W413" i="4"/>
  <c r="V413" i="4"/>
  <c r="T413" i="4"/>
  <c r="S413" i="4"/>
  <c r="O413" i="4"/>
  <c r="U413" i="4" s="1"/>
  <c r="N413" i="4"/>
  <c r="M413" i="4"/>
  <c r="L413" i="4"/>
  <c r="K413" i="4"/>
  <c r="J413" i="4"/>
  <c r="I413" i="4"/>
  <c r="B413" i="4"/>
  <c r="Z412" i="4"/>
  <c r="Y412" i="4"/>
  <c r="X412" i="4"/>
  <c r="W412" i="4"/>
  <c r="V412" i="4"/>
  <c r="T412" i="4"/>
  <c r="S412" i="4"/>
  <c r="O412" i="4"/>
  <c r="U412" i="4" s="1"/>
  <c r="N412" i="4"/>
  <c r="M412" i="4"/>
  <c r="L412" i="4"/>
  <c r="K412" i="4"/>
  <c r="J412" i="4"/>
  <c r="I412" i="4"/>
  <c r="B412" i="4"/>
  <c r="Z411" i="4"/>
  <c r="Y411" i="4"/>
  <c r="X411" i="4"/>
  <c r="W411" i="4"/>
  <c r="V411" i="4"/>
  <c r="U411" i="4"/>
  <c r="T411" i="4"/>
  <c r="S411" i="4"/>
  <c r="O411" i="4"/>
  <c r="N411" i="4"/>
  <c r="M411" i="4"/>
  <c r="L411" i="4"/>
  <c r="K411" i="4"/>
  <c r="J411" i="4"/>
  <c r="I411" i="4"/>
  <c r="B411" i="4"/>
  <c r="Y410" i="4"/>
  <c r="W410" i="4"/>
  <c r="V410" i="4"/>
  <c r="Z410" i="4" s="1"/>
  <c r="U410" i="4"/>
  <c r="X410" i="4" s="1"/>
  <c r="T410" i="4"/>
  <c r="O410" i="4"/>
  <c r="N410" i="4"/>
  <c r="M410" i="4"/>
  <c r="L410" i="4"/>
  <c r="K410" i="4"/>
  <c r="J410" i="4"/>
  <c r="I410" i="4"/>
  <c r="B410" i="4"/>
  <c r="S410" i="4" s="1"/>
  <c r="Z409" i="4"/>
  <c r="Y409" i="4"/>
  <c r="W409" i="4"/>
  <c r="V409" i="4"/>
  <c r="U409" i="4"/>
  <c r="X409" i="4" s="1"/>
  <c r="T409" i="4"/>
  <c r="O409" i="4"/>
  <c r="N409" i="4"/>
  <c r="M409" i="4"/>
  <c r="L409" i="4"/>
  <c r="K409" i="4"/>
  <c r="J409" i="4"/>
  <c r="I409" i="4"/>
  <c r="B409" i="4"/>
  <c r="S409" i="4" s="1"/>
  <c r="X408" i="4"/>
  <c r="W408" i="4"/>
  <c r="V408" i="4"/>
  <c r="U408" i="4"/>
  <c r="T408" i="4"/>
  <c r="O408" i="4"/>
  <c r="N408" i="4"/>
  <c r="M408" i="4"/>
  <c r="L408" i="4"/>
  <c r="K408" i="4"/>
  <c r="J408" i="4"/>
  <c r="I408" i="4"/>
  <c r="B408" i="4"/>
  <c r="S408" i="4" s="1"/>
  <c r="Z407" i="4"/>
  <c r="Y407" i="4"/>
  <c r="W407" i="4"/>
  <c r="V407" i="4"/>
  <c r="T407" i="4"/>
  <c r="S407" i="4"/>
  <c r="O407" i="4"/>
  <c r="U407" i="4" s="1"/>
  <c r="X407" i="4" s="1"/>
  <c r="N407" i="4"/>
  <c r="M407" i="4"/>
  <c r="L407" i="4"/>
  <c r="K407" i="4"/>
  <c r="J407" i="4"/>
  <c r="I407" i="4"/>
  <c r="B407" i="4"/>
  <c r="Y406" i="4"/>
  <c r="X406" i="4"/>
  <c r="W406" i="4"/>
  <c r="V406" i="4"/>
  <c r="Z406" i="4" s="1"/>
  <c r="U406" i="4"/>
  <c r="T406" i="4"/>
  <c r="O406" i="4"/>
  <c r="N406" i="4"/>
  <c r="M406" i="4"/>
  <c r="L406" i="4"/>
  <c r="K406" i="4"/>
  <c r="J406" i="4"/>
  <c r="I406" i="4"/>
  <c r="B406" i="4"/>
  <c r="S406" i="4" s="1"/>
  <c r="Z405" i="4"/>
  <c r="Y405" i="4"/>
  <c r="W405" i="4"/>
  <c r="V405" i="4"/>
  <c r="T405" i="4"/>
  <c r="S405" i="4"/>
  <c r="O405" i="4"/>
  <c r="U405" i="4" s="1"/>
  <c r="X405" i="4" s="1"/>
  <c r="N405" i="4"/>
  <c r="M405" i="4"/>
  <c r="L405" i="4"/>
  <c r="K405" i="4"/>
  <c r="J405" i="4"/>
  <c r="I405" i="4"/>
  <c r="B405" i="4"/>
  <c r="Z404" i="4"/>
  <c r="X404" i="4"/>
  <c r="W404" i="4"/>
  <c r="V404" i="4"/>
  <c r="Y404" i="4" s="1"/>
  <c r="U404" i="4"/>
  <c r="T404" i="4"/>
  <c r="O404" i="4"/>
  <c r="N404" i="4"/>
  <c r="M404" i="4"/>
  <c r="L404" i="4"/>
  <c r="K404" i="4"/>
  <c r="J404" i="4"/>
  <c r="I404" i="4"/>
  <c r="B404" i="4"/>
  <c r="S404" i="4" s="1"/>
  <c r="W403" i="4"/>
  <c r="V403" i="4"/>
  <c r="T403" i="4"/>
  <c r="S403" i="4"/>
  <c r="O403" i="4"/>
  <c r="U403" i="4" s="1"/>
  <c r="X403" i="4" s="1"/>
  <c r="N403" i="4"/>
  <c r="M403" i="4"/>
  <c r="L403" i="4"/>
  <c r="K403" i="4"/>
  <c r="J403" i="4"/>
  <c r="I403" i="4"/>
  <c r="B403" i="4"/>
  <c r="Z402" i="4"/>
  <c r="Y402" i="4"/>
  <c r="X402" i="4"/>
  <c r="W402" i="4"/>
  <c r="V402" i="4"/>
  <c r="T402" i="4"/>
  <c r="S402" i="4"/>
  <c r="O402" i="4"/>
  <c r="U402" i="4" s="1"/>
  <c r="N402" i="4"/>
  <c r="M402" i="4"/>
  <c r="L402" i="4"/>
  <c r="K402" i="4"/>
  <c r="J402" i="4"/>
  <c r="I402" i="4"/>
  <c r="B402" i="4"/>
  <c r="Z401" i="4"/>
  <c r="Y401" i="4"/>
  <c r="X401" i="4"/>
  <c r="W401" i="4"/>
  <c r="V401" i="4"/>
  <c r="U401" i="4"/>
  <c r="T401" i="4"/>
  <c r="S401" i="4"/>
  <c r="O401" i="4"/>
  <c r="N401" i="4"/>
  <c r="M401" i="4"/>
  <c r="L401" i="4"/>
  <c r="K401" i="4"/>
  <c r="J401" i="4"/>
  <c r="I401" i="4"/>
  <c r="B401" i="4"/>
  <c r="W400" i="4"/>
  <c r="V400" i="4"/>
  <c r="Z400" i="4" s="1"/>
  <c r="U400" i="4"/>
  <c r="X400" i="4" s="1"/>
  <c r="T400" i="4"/>
  <c r="O400" i="4"/>
  <c r="N400" i="4"/>
  <c r="M400" i="4"/>
  <c r="L400" i="4"/>
  <c r="K400" i="4"/>
  <c r="J400" i="4"/>
  <c r="I400" i="4"/>
  <c r="B400" i="4"/>
  <c r="S400" i="4" s="1"/>
  <c r="Z399" i="4"/>
  <c r="Y399" i="4"/>
  <c r="W399" i="4"/>
  <c r="V399" i="4"/>
  <c r="U399" i="4"/>
  <c r="X399" i="4" s="1"/>
  <c r="T399" i="4"/>
  <c r="O399" i="4"/>
  <c r="N399" i="4"/>
  <c r="M399" i="4"/>
  <c r="L399" i="4"/>
  <c r="K399" i="4"/>
  <c r="J399" i="4"/>
  <c r="I399" i="4"/>
  <c r="B399" i="4"/>
  <c r="S399" i="4" s="1"/>
  <c r="W398" i="4"/>
  <c r="V398" i="4"/>
  <c r="U398" i="4"/>
  <c r="X398" i="4" s="1"/>
  <c r="T398" i="4"/>
  <c r="S398" i="4"/>
  <c r="O398" i="4"/>
  <c r="N398" i="4"/>
  <c r="M398" i="4"/>
  <c r="L398" i="4"/>
  <c r="K398" i="4"/>
  <c r="J398" i="4"/>
  <c r="I398" i="4"/>
  <c r="B398" i="4"/>
  <c r="Z397" i="4"/>
  <c r="Y397" i="4"/>
  <c r="W397" i="4"/>
  <c r="V397" i="4"/>
  <c r="T397" i="4"/>
  <c r="S397" i="4"/>
  <c r="O397" i="4"/>
  <c r="U397" i="4" s="1"/>
  <c r="X397" i="4" s="1"/>
  <c r="N397" i="4"/>
  <c r="M397" i="4"/>
  <c r="L397" i="4"/>
  <c r="K397" i="4"/>
  <c r="J397" i="4"/>
  <c r="I397" i="4"/>
  <c r="B397" i="4"/>
  <c r="W396" i="4"/>
  <c r="V396" i="4"/>
  <c r="U396" i="4"/>
  <c r="X396" i="4" s="1"/>
  <c r="T396" i="4"/>
  <c r="O396" i="4"/>
  <c r="N396" i="4"/>
  <c r="M396" i="4"/>
  <c r="L396" i="4"/>
  <c r="K396" i="4"/>
  <c r="J396" i="4"/>
  <c r="I396" i="4"/>
  <c r="B396" i="4"/>
  <c r="S396" i="4" s="1"/>
  <c r="Z395" i="4"/>
  <c r="Y395" i="4"/>
  <c r="W395" i="4"/>
  <c r="V395" i="4"/>
  <c r="T395" i="4"/>
  <c r="S395" i="4"/>
  <c r="O395" i="4"/>
  <c r="U395" i="4" s="1"/>
  <c r="X395" i="4" s="1"/>
  <c r="N395" i="4"/>
  <c r="M395" i="4"/>
  <c r="L395" i="4"/>
  <c r="K395" i="4"/>
  <c r="J395" i="4"/>
  <c r="I395" i="4"/>
  <c r="B395" i="4"/>
  <c r="Z394" i="4"/>
  <c r="Y394" i="4"/>
  <c r="W394" i="4"/>
  <c r="V394" i="4"/>
  <c r="U394" i="4"/>
  <c r="X394" i="4" s="1"/>
  <c r="T394" i="4"/>
  <c r="O394" i="4"/>
  <c r="N394" i="4"/>
  <c r="M394" i="4"/>
  <c r="L394" i="4"/>
  <c r="K394" i="4"/>
  <c r="J394" i="4"/>
  <c r="I394" i="4"/>
  <c r="B394" i="4"/>
  <c r="S394" i="4" s="1"/>
  <c r="X393" i="4"/>
  <c r="W393" i="4"/>
  <c r="V393" i="4"/>
  <c r="T393" i="4"/>
  <c r="S393" i="4"/>
  <c r="O393" i="4"/>
  <c r="U393" i="4" s="1"/>
  <c r="N393" i="4"/>
  <c r="M393" i="4"/>
  <c r="L393" i="4"/>
  <c r="K393" i="4"/>
  <c r="J393" i="4"/>
  <c r="I393" i="4"/>
  <c r="B393" i="4"/>
  <c r="Z392" i="4"/>
  <c r="Y392" i="4"/>
  <c r="X392" i="4"/>
  <c r="W392" i="4"/>
  <c r="V392" i="4"/>
  <c r="T392" i="4"/>
  <c r="S392" i="4"/>
  <c r="O392" i="4"/>
  <c r="U392" i="4" s="1"/>
  <c r="N392" i="4"/>
  <c r="M392" i="4"/>
  <c r="L392" i="4"/>
  <c r="K392" i="4"/>
  <c r="J392" i="4"/>
  <c r="I392" i="4"/>
  <c r="B392" i="4"/>
  <c r="Z391" i="4"/>
  <c r="Y391" i="4"/>
  <c r="X391" i="4"/>
  <c r="W391" i="4"/>
  <c r="V391" i="4"/>
  <c r="U391" i="4"/>
  <c r="T391" i="4"/>
  <c r="S391" i="4"/>
  <c r="O391" i="4"/>
  <c r="N391" i="4"/>
  <c r="M391" i="4"/>
  <c r="L391" i="4"/>
  <c r="K391" i="4"/>
  <c r="J391" i="4"/>
  <c r="I391" i="4"/>
  <c r="B391" i="4"/>
  <c r="Z390" i="4"/>
  <c r="Y390" i="4"/>
  <c r="W390" i="4"/>
  <c r="V390" i="4"/>
  <c r="U390" i="4"/>
  <c r="X390" i="4" s="1"/>
  <c r="T390" i="4"/>
  <c r="O390" i="4"/>
  <c r="N390" i="4"/>
  <c r="M390" i="4"/>
  <c r="L390" i="4"/>
  <c r="K390" i="4"/>
  <c r="J390" i="4"/>
  <c r="I390" i="4"/>
  <c r="B390" i="4"/>
  <c r="S390" i="4" s="1"/>
  <c r="Z389" i="4"/>
  <c r="Y389" i="4"/>
  <c r="W389" i="4"/>
  <c r="V389" i="4"/>
  <c r="T389" i="4"/>
  <c r="O389" i="4"/>
  <c r="U389" i="4" s="1"/>
  <c r="X389" i="4" s="1"/>
  <c r="N389" i="4"/>
  <c r="M389" i="4"/>
  <c r="L389" i="4"/>
  <c r="K389" i="4"/>
  <c r="J389" i="4"/>
  <c r="I389" i="4"/>
  <c r="B389" i="4"/>
  <c r="S389" i="4" s="1"/>
  <c r="X388" i="4"/>
  <c r="W388" i="4"/>
  <c r="V388" i="4"/>
  <c r="U388" i="4"/>
  <c r="T388" i="4"/>
  <c r="O388" i="4"/>
  <c r="N388" i="4"/>
  <c r="M388" i="4"/>
  <c r="L388" i="4"/>
  <c r="K388" i="4"/>
  <c r="J388" i="4"/>
  <c r="I388" i="4"/>
  <c r="B388" i="4"/>
  <c r="S388" i="4" s="1"/>
  <c r="Z387" i="4"/>
  <c r="Y387" i="4"/>
  <c r="W387" i="4"/>
  <c r="V387" i="4"/>
  <c r="T387" i="4"/>
  <c r="S387" i="4"/>
  <c r="O387" i="4"/>
  <c r="U387" i="4" s="1"/>
  <c r="X387" i="4" s="1"/>
  <c r="N387" i="4"/>
  <c r="M387" i="4"/>
  <c r="L387" i="4"/>
  <c r="K387" i="4"/>
  <c r="J387" i="4"/>
  <c r="I387" i="4"/>
  <c r="B387" i="4"/>
  <c r="Y386" i="4"/>
  <c r="W386" i="4"/>
  <c r="V386" i="4"/>
  <c r="Z386" i="4" s="1"/>
  <c r="U386" i="4"/>
  <c r="X386" i="4" s="1"/>
  <c r="T386" i="4"/>
  <c r="O386" i="4"/>
  <c r="N386" i="4"/>
  <c r="M386" i="4"/>
  <c r="L386" i="4"/>
  <c r="K386" i="4"/>
  <c r="J386" i="4"/>
  <c r="I386" i="4"/>
  <c r="B386" i="4"/>
  <c r="S386" i="4" s="1"/>
  <c r="Z385" i="4"/>
  <c r="Y385" i="4"/>
  <c r="W385" i="4"/>
  <c r="V385" i="4"/>
  <c r="T385" i="4"/>
  <c r="S385" i="4"/>
  <c r="O385" i="4"/>
  <c r="U385" i="4" s="1"/>
  <c r="X385" i="4" s="1"/>
  <c r="N385" i="4"/>
  <c r="M385" i="4"/>
  <c r="L385" i="4"/>
  <c r="K385" i="4"/>
  <c r="J385" i="4"/>
  <c r="I385" i="4"/>
  <c r="B385" i="4"/>
  <c r="X384" i="4"/>
  <c r="W384" i="4"/>
  <c r="V384" i="4"/>
  <c r="U384" i="4"/>
  <c r="T384" i="4"/>
  <c r="O384" i="4"/>
  <c r="N384" i="4"/>
  <c r="M384" i="4"/>
  <c r="L384" i="4"/>
  <c r="K384" i="4"/>
  <c r="J384" i="4"/>
  <c r="I384" i="4"/>
  <c r="B384" i="4"/>
  <c r="S384" i="4" s="1"/>
  <c r="X383" i="4"/>
  <c r="W383" i="4"/>
  <c r="V383" i="4"/>
  <c r="T383" i="4"/>
  <c r="S383" i="4"/>
  <c r="O383" i="4"/>
  <c r="U383" i="4" s="1"/>
  <c r="N383" i="4"/>
  <c r="M383" i="4"/>
  <c r="L383" i="4"/>
  <c r="K383" i="4"/>
  <c r="J383" i="4"/>
  <c r="I383" i="4"/>
  <c r="B383" i="4"/>
  <c r="Z382" i="4"/>
  <c r="Y382" i="4"/>
  <c r="X382" i="4"/>
  <c r="W382" i="4"/>
  <c r="V382" i="4"/>
  <c r="T382" i="4"/>
  <c r="S382" i="4"/>
  <c r="O382" i="4"/>
  <c r="U382" i="4" s="1"/>
  <c r="N382" i="4"/>
  <c r="M382" i="4"/>
  <c r="L382" i="4"/>
  <c r="K382" i="4"/>
  <c r="J382" i="4"/>
  <c r="I382" i="4"/>
  <c r="B382" i="4"/>
  <c r="Z381" i="4"/>
  <c r="Y381" i="4"/>
  <c r="X381" i="4"/>
  <c r="W381" i="4"/>
  <c r="V381" i="4"/>
  <c r="U381" i="4"/>
  <c r="T381" i="4"/>
  <c r="S381" i="4"/>
  <c r="O381" i="4"/>
  <c r="N381" i="4"/>
  <c r="M381" i="4"/>
  <c r="L381" i="4"/>
  <c r="K381" i="4"/>
  <c r="J381" i="4"/>
  <c r="I381" i="4"/>
  <c r="B381" i="4"/>
  <c r="W380" i="4"/>
  <c r="V380" i="4"/>
  <c r="U380" i="4"/>
  <c r="X380" i="4" s="1"/>
  <c r="T380" i="4"/>
  <c r="O380" i="4"/>
  <c r="N380" i="4"/>
  <c r="M380" i="4"/>
  <c r="L380" i="4"/>
  <c r="K380" i="4"/>
  <c r="J380" i="4"/>
  <c r="I380" i="4"/>
  <c r="B380" i="4"/>
  <c r="S380" i="4" s="1"/>
  <c r="Z379" i="4"/>
  <c r="Y379" i="4"/>
  <c r="W379" i="4"/>
  <c r="V379" i="4"/>
  <c r="U379" i="4"/>
  <c r="X379" i="4" s="1"/>
  <c r="T379" i="4"/>
  <c r="O379" i="4"/>
  <c r="N379" i="4"/>
  <c r="M379" i="4"/>
  <c r="L379" i="4"/>
  <c r="K379" i="4"/>
  <c r="J379" i="4"/>
  <c r="I379" i="4"/>
  <c r="B379" i="4"/>
  <c r="S379" i="4" s="1"/>
  <c r="X378" i="4"/>
  <c r="W378" i="4"/>
  <c r="V378" i="4"/>
  <c r="U378" i="4"/>
  <c r="T378" i="4"/>
  <c r="S378" i="4"/>
  <c r="O378" i="4"/>
  <c r="N378" i="4"/>
  <c r="M378" i="4"/>
  <c r="L378" i="4"/>
  <c r="K378" i="4"/>
  <c r="J378" i="4"/>
  <c r="I378" i="4"/>
  <c r="B378" i="4"/>
  <c r="Z377" i="4"/>
  <c r="Y377" i="4"/>
  <c r="W377" i="4"/>
  <c r="V377" i="4"/>
  <c r="T377" i="4"/>
  <c r="S377" i="4"/>
  <c r="O377" i="4"/>
  <c r="U377" i="4" s="1"/>
  <c r="X377" i="4" s="1"/>
  <c r="N377" i="4"/>
  <c r="M377" i="4"/>
  <c r="L377" i="4"/>
  <c r="K377" i="4"/>
  <c r="J377" i="4"/>
  <c r="I377" i="4"/>
  <c r="B377" i="4"/>
  <c r="X376" i="4"/>
  <c r="W376" i="4"/>
  <c r="V376" i="4"/>
  <c r="Z376" i="4" s="1"/>
  <c r="U376" i="4"/>
  <c r="T376" i="4"/>
  <c r="O376" i="4"/>
  <c r="N376" i="4"/>
  <c r="M376" i="4"/>
  <c r="L376" i="4"/>
  <c r="K376" i="4"/>
  <c r="J376" i="4"/>
  <c r="I376" i="4"/>
  <c r="B376" i="4"/>
  <c r="S376" i="4" s="1"/>
  <c r="Z375" i="4"/>
  <c r="Y375" i="4"/>
  <c r="W375" i="4"/>
  <c r="V375" i="4"/>
  <c r="T375" i="4"/>
  <c r="S375" i="4"/>
  <c r="O375" i="4"/>
  <c r="U375" i="4" s="1"/>
  <c r="X375" i="4" s="1"/>
  <c r="N375" i="4"/>
  <c r="M375" i="4"/>
  <c r="L375" i="4"/>
  <c r="K375" i="4"/>
  <c r="J375" i="4"/>
  <c r="I375" i="4"/>
  <c r="B375" i="4"/>
  <c r="Y374" i="4"/>
  <c r="W374" i="4"/>
  <c r="V374" i="4"/>
  <c r="Z374" i="4" s="1"/>
  <c r="U374" i="4"/>
  <c r="X374" i="4" s="1"/>
  <c r="T374" i="4"/>
  <c r="O374" i="4"/>
  <c r="N374" i="4"/>
  <c r="M374" i="4"/>
  <c r="L374" i="4"/>
  <c r="K374" i="4"/>
  <c r="J374" i="4"/>
  <c r="I374" i="4"/>
  <c r="B374" i="4"/>
  <c r="S374" i="4" s="1"/>
  <c r="X373" i="4"/>
  <c r="W373" i="4"/>
  <c r="V373" i="4"/>
  <c r="T373" i="4"/>
  <c r="S373" i="4"/>
  <c r="O373" i="4"/>
  <c r="U373" i="4" s="1"/>
  <c r="N373" i="4"/>
  <c r="M373" i="4"/>
  <c r="L373" i="4"/>
  <c r="K373" i="4"/>
  <c r="J373" i="4"/>
  <c r="I373" i="4"/>
  <c r="B373" i="4"/>
  <c r="Z372" i="4"/>
  <c r="Y372" i="4"/>
  <c r="X372" i="4"/>
  <c r="W372" i="4"/>
  <c r="V372" i="4"/>
  <c r="T372" i="4"/>
  <c r="S372" i="4"/>
  <c r="O372" i="4"/>
  <c r="U372" i="4" s="1"/>
  <c r="N372" i="4"/>
  <c r="M372" i="4"/>
  <c r="L372" i="4"/>
  <c r="K372" i="4"/>
  <c r="J372" i="4"/>
  <c r="I372" i="4"/>
  <c r="B372" i="4"/>
  <c r="Z371" i="4"/>
  <c r="Y371" i="4"/>
  <c r="X371" i="4"/>
  <c r="W371" i="4"/>
  <c r="V371" i="4"/>
  <c r="U371" i="4"/>
  <c r="T371" i="4"/>
  <c r="S371" i="4"/>
  <c r="O371" i="4"/>
  <c r="N371" i="4"/>
  <c r="M371" i="4"/>
  <c r="L371" i="4"/>
  <c r="K371" i="4"/>
  <c r="J371" i="4"/>
  <c r="I371" i="4"/>
  <c r="B371" i="4"/>
  <c r="Z370" i="4"/>
  <c r="W370" i="4"/>
  <c r="V370" i="4"/>
  <c r="Y370" i="4" s="1"/>
  <c r="U370" i="4"/>
  <c r="X370" i="4" s="1"/>
  <c r="T370" i="4"/>
  <c r="O370" i="4"/>
  <c r="N370" i="4"/>
  <c r="M370" i="4"/>
  <c r="L370" i="4"/>
  <c r="K370" i="4"/>
  <c r="J370" i="4"/>
  <c r="I370" i="4"/>
  <c r="B370" i="4"/>
  <c r="S370" i="4" s="1"/>
  <c r="Z369" i="4"/>
  <c r="Y369" i="4"/>
  <c r="W369" i="4"/>
  <c r="V369" i="4"/>
  <c r="T369" i="4"/>
  <c r="O369" i="4"/>
  <c r="U369" i="4" s="1"/>
  <c r="X369" i="4" s="1"/>
  <c r="N369" i="4"/>
  <c r="M369" i="4"/>
  <c r="L369" i="4"/>
  <c r="K369" i="4"/>
  <c r="J369" i="4"/>
  <c r="I369" i="4"/>
  <c r="B369" i="4"/>
  <c r="S369" i="4" s="1"/>
  <c r="W368" i="4"/>
  <c r="V368" i="4"/>
  <c r="U368" i="4"/>
  <c r="X368" i="4" s="1"/>
  <c r="T368" i="4"/>
  <c r="S368" i="4"/>
  <c r="O368" i="4"/>
  <c r="N368" i="4"/>
  <c r="M368" i="4"/>
  <c r="L368" i="4"/>
  <c r="K368" i="4"/>
  <c r="J368" i="4"/>
  <c r="I368" i="4"/>
  <c r="B368" i="4"/>
  <c r="Z367" i="4"/>
  <c r="Y367" i="4"/>
  <c r="W367" i="4"/>
  <c r="V367" i="4"/>
  <c r="T367" i="4"/>
  <c r="S367" i="4"/>
  <c r="O367" i="4"/>
  <c r="U367" i="4" s="1"/>
  <c r="X367" i="4" s="1"/>
  <c r="N367" i="4"/>
  <c r="M367" i="4"/>
  <c r="L367" i="4"/>
  <c r="K367" i="4"/>
  <c r="J367" i="4"/>
  <c r="I367" i="4"/>
  <c r="B367" i="4"/>
  <c r="Y366" i="4"/>
  <c r="W366" i="4"/>
  <c r="V366" i="4"/>
  <c r="Z366" i="4" s="1"/>
  <c r="U366" i="4"/>
  <c r="X366" i="4" s="1"/>
  <c r="T366" i="4"/>
  <c r="O366" i="4"/>
  <c r="N366" i="4"/>
  <c r="M366" i="4"/>
  <c r="L366" i="4"/>
  <c r="K366" i="4"/>
  <c r="J366" i="4"/>
  <c r="I366" i="4"/>
  <c r="B366" i="4"/>
  <c r="S366" i="4" s="1"/>
  <c r="Z365" i="4"/>
  <c r="Y365" i="4"/>
  <c r="W365" i="4"/>
  <c r="V365" i="4"/>
  <c r="T365" i="4"/>
  <c r="S365" i="4"/>
  <c r="O365" i="4"/>
  <c r="U365" i="4" s="1"/>
  <c r="X365" i="4" s="1"/>
  <c r="N365" i="4"/>
  <c r="M365" i="4"/>
  <c r="L365" i="4"/>
  <c r="K365" i="4"/>
  <c r="J365" i="4"/>
  <c r="I365" i="4"/>
  <c r="B365" i="4"/>
  <c r="Z364" i="4"/>
  <c r="Y364" i="4"/>
  <c r="X364" i="4"/>
  <c r="W364" i="4"/>
  <c r="V364" i="4"/>
  <c r="U364" i="4"/>
  <c r="T364" i="4"/>
  <c r="O364" i="4"/>
  <c r="N364" i="4"/>
  <c r="M364" i="4"/>
  <c r="L364" i="4"/>
  <c r="K364" i="4"/>
  <c r="J364" i="4"/>
  <c r="I364" i="4"/>
  <c r="B364" i="4"/>
  <c r="S364" i="4" s="1"/>
  <c r="W363" i="4"/>
  <c r="V363" i="4"/>
  <c r="T363" i="4"/>
  <c r="S363" i="4"/>
  <c r="O363" i="4"/>
  <c r="U363" i="4" s="1"/>
  <c r="X363" i="4" s="1"/>
  <c r="N363" i="4"/>
  <c r="M363" i="4"/>
  <c r="L363" i="4"/>
  <c r="K363" i="4"/>
  <c r="J363" i="4"/>
  <c r="I363" i="4"/>
  <c r="B363" i="4"/>
  <c r="Z362" i="4"/>
  <c r="Y362" i="4"/>
  <c r="X362" i="4"/>
  <c r="W362" i="4"/>
  <c r="V362" i="4"/>
  <c r="T362" i="4"/>
  <c r="S362" i="4"/>
  <c r="O362" i="4"/>
  <c r="U362" i="4" s="1"/>
  <c r="N362" i="4"/>
  <c r="M362" i="4"/>
  <c r="L362" i="4"/>
  <c r="K362" i="4"/>
  <c r="J362" i="4"/>
  <c r="I362" i="4"/>
  <c r="B362" i="4"/>
  <c r="Z361" i="4"/>
  <c r="Y361" i="4"/>
  <c r="X361" i="4"/>
  <c r="W361" i="4"/>
  <c r="V361" i="4"/>
  <c r="U361" i="4"/>
  <c r="T361" i="4"/>
  <c r="S361" i="4"/>
  <c r="O361" i="4"/>
  <c r="N361" i="4"/>
  <c r="M361" i="4"/>
  <c r="L361" i="4"/>
  <c r="K361" i="4"/>
  <c r="J361" i="4"/>
  <c r="I361" i="4"/>
  <c r="B361" i="4"/>
  <c r="Y360" i="4"/>
  <c r="W360" i="4"/>
  <c r="V360" i="4"/>
  <c r="Z360" i="4" s="1"/>
  <c r="U360" i="4"/>
  <c r="X360" i="4" s="1"/>
  <c r="T360" i="4"/>
  <c r="O360" i="4"/>
  <c r="N360" i="4"/>
  <c r="M360" i="4"/>
  <c r="L360" i="4"/>
  <c r="K360" i="4"/>
  <c r="J360" i="4"/>
  <c r="I360" i="4"/>
  <c r="B360" i="4"/>
  <c r="S360" i="4" s="1"/>
  <c r="Z359" i="4"/>
  <c r="Y359" i="4"/>
  <c r="W359" i="4"/>
  <c r="V359" i="4"/>
  <c r="T359" i="4"/>
  <c r="O359" i="4"/>
  <c r="U359" i="4" s="1"/>
  <c r="X359" i="4" s="1"/>
  <c r="N359" i="4"/>
  <c r="M359" i="4"/>
  <c r="L359" i="4"/>
  <c r="K359" i="4"/>
  <c r="J359" i="4"/>
  <c r="I359" i="4"/>
  <c r="B359" i="4"/>
  <c r="S359" i="4" s="1"/>
  <c r="W358" i="4"/>
  <c r="V358" i="4"/>
  <c r="U358" i="4"/>
  <c r="X358" i="4" s="1"/>
  <c r="T358" i="4"/>
  <c r="O358" i="4"/>
  <c r="N358" i="4"/>
  <c r="M358" i="4"/>
  <c r="L358" i="4"/>
  <c r="K358" i="4"/>
  <c r="J358" i="4"/>
  <c r="I358" i="4"/>
  <c r="B358" i="4"/>
  <c r="S358" i="4" s="1"/>
  <c r="Z357" i="4"/>
  <c r="Y357" i="4"/>
  <c r="W357" i="4"/>
  <c r="V357" i="4"/>
  <c r="T357" i="4"/>
  <c r="S357" i="4"/>
  <c r="O357" i="4"/>
  <c r="U357" i="4" s="1"/>
  <c r="X357" i="4" s="1"/>
  <c r="N357" i="4"/>
  <c r="M357" i="4"/>
  <c r="L357" i="4"/>
  <c r="K357" i="4"/>
  <c r="J357" i="4"/>
  <c r="I357" i="4"/>
  <c r="B357" i="4"/>
  <c r="X356" i="4"/>
  <c r="W356" i="4"/>
  <c r="V356" i="4"/>
  <c r="U356" i="4"/>
  <c r="T356" i="4"/>
  <c r="O356" i="4"/>
  <c r="N356" i="4"/>
  <c r="M356" i="4"/>
  <c r="L356" i="4"/>
  <c r="K356" i="4"/>
  <c r="J356" i="4"/>
  <c r="I356" i="4"/>
  <c r="B356" i="4"/>
  <c r="S356" i="4" s="1"/>
  <c r="Z355" i="4"/>
  <c r="Y355" i="4"/>
  <c r="W355" i="4"/>
  <c r="V355" i="4"/>
  <c r="T355" i="4"/>
  <c r="S355" i="4"/>
  <c r="O355" i="4"/>
  <c r="U355" i="4" s="1"/>
  <c r="X355" i="4" s="1"/>
  <c r="N355" i="4"/>
  <c r="M355" i="4"/>
  <c r="L355" i="4"/>
  <c r="K355" i="4"/>
  <c r="J355" i="4"/>
  <c r="I355" i="4"/>
  <c r="B355" i="4"/>
  <c r="Z354" i="4"/>
  <c r="W354" i="4"/>
  <c r="V354" i="4"/>
  <c r="Y354" i="4" s="1"/>
  <c r="U354" i="4"/>
  <c r="X354" i="4" s="1"/>
  <c r="T354" i="4"/>
  <c r="O354" i="4"/>
  <c r="N354" i="4"/>
  <c r="M354" i="4"/>
  <c r="L354" i="4"/>
  <c r="K354" i="4"/>
  <c r="J354" i="4"/>
  <c r="I354" i="4"/>
  <c r="B354" i="4"/>
  <c r="S354" i="4" s="1"/>
  <c r="X353" i="4"/>
  <c r="W353" i="4"/>
  <c r="V353" i="4"/>
  <c r="T353" i="4"/>
  <c r="S353" i="4"/>
  <c r="O353" i="4"/>
  <c r="U353" i="4" s="1"/>
  <c r="N353" i="4"/>
  <c r="M353" i="4"/>
  <c r="L353" i="4"/>
  <c r="K353" i="4"/>
  <c r="J353" i="4"/>
  <c r="I353" i="4"/>
  <c r="B353" i="4"/>
  <c r="Z352" i="4"/>
  <c r="Y352" i="4"/>
  <c r="X352" i="4"/>
  <c r="W352" i="4"/>
  <c r="V352" i="4"/>
  <c r="T352" i="4"/>
  <c r="S352" i="4"/>
  <c r="O352" i="4"/>
  <c r="U352" i="4" s="1"/>
  <c r="N352" i="4"/>
  <c r="M352" i="4"/>
  <c r="L352" i="4"/>
  <c r="K352" i="4"/>
  <c r="J352" i="4"/>
  <c r="I352" i="4"/>
  <c r="B352" i="4"/>
  <c r="Z351" i="4"/>
  <c r="Y351" i="4"/>
  <c r="X351" i="4"/>
  <c r="W351" i="4"/>
  <c r="V351" i="4"/>
  <c r="U351" i="4"/>
  <c r="T351" i="4"/>
  <c r="S351" i="4"/>
  <c r="O351" i="4"/>
  <c r="N351" i="4"/>
  <c r="M351" i="4"/>
  <c r="L351" i="4"/>
  <c r="K351" i="4"/>
  <c r="J351" i="4"/>
  <c r="I351" i="4"/>
  <c r="B351" i="4"/>
  <c r="Z350" i="4"/>
  <c r="Y350" i="4"/>
  <c r="W350" i="4"/>
  <c r="V350" i="4"/>
  <c r="U350" i="4"/>
  <c r="X350" i="4" s="1"/>
  <c r="T350" i="4"/>
  <c r="O350" i="4"/>
  <c r="N350" i="4"/>
  <c r="M350" i="4"/>
  <c r="L350" i="4"/>
  <c r="K350" i="4"/>
  <c r="J350" i="4"/>
  <c r="I350" i="4"/>
  <c r="B350" i="4"/>
  <c r="S350" i="4" s="1"/>
  <c r="Z349" i="4"/>
  <c r="Y349" i="4"/>
  <c r="W349" i="4"/>
  <c r="V349" i="4"/>
  <c r="U349" i="4"/>
  <c r="X349" i="4" s="1"/>
  <c r="T349" i="4"/>
  <c r="O349" i="4"/>
  <c r="N349" i="4"/>
  <c r="M349" i="4"/>
  <c r="L349" i="4"/>
  <c r="K349" i="4"/>
  <c r="J349" i="4"/>
  <c r="I349" i="4"/>
  <c r="B349" i="4"/>
  <c r="S349" i="4" s="1"/>
  <c r="X348" i="4"/>
  <c r="W348" i="4"/>
  <c r="V348" i="4"/>
  <c r="U348" i="4"/>
  <c r="T348" i="4"/>
  <c r="O348" i="4"/>
  <c r="N348" i="4"/>
  <c r="M348" i="4"/>
  <c r="L348" i="4"/>
  <c r="K348" i="4"/>
  <c r="J348" i="4"/>
  <c r="I348" i="4"/>
  <c r="B348" i="4"/>
  <c r="S348" i="4" s="1"/>
  <c r="Z347" i="4"/>
  <c r="Y347" i="4"/>
  <c r="W347" i="4"/>
  <c r="V347" i="4"/>
  <c r="T347" i="4"/>
  <c r="S347" i="4"/>
  <c r="O347" i="4"/>
  <c r="U347" i="4" s="1"/>
  <c r="X347" i="4" s="1"/>
  <c r="N347" i="4"/>
  <c r="M347" i="4"/>
  <c r="L347" i="4"/>
  <c r="K347" i="4"/>
  <c r="J347" i="4"/>
  <c r="I347" i="4"/>
  <c r="B347" i="4"/>
  <c r="Y346" i="4"/>
  <c r="W346" i="4"/>
  <c r="V346" i="4"/>
  <c r="Z346" i="4" s="1"/>
  <c r="U346" i="4"/>
  <c r="X346" i="4" s="1"/>
  <c r="T346" i="4"/>
  <c r="O346" i="4"/>
  <c r="N346" i="4"/>
  <c r="M346" i="4"/>
  <c r="L346" i="4"/>
  <c r="K346" i="4"/>
  <c r="J346" i="4"/>
  <c r="I346" i="4"/>
  <c r="B346" i="4"/>
  <c r="S346" i="4" s="1"/>
  <c r="Z345" i="4"/>
  <c r="Y345" i="4"/>
  <c r="W345" i="4"/>
  <c r="V345" i="4"/>
  <c r="T345" i="4"/>
  <c r="S345" i="4"/>
  <c r="O345" i="4"/>
  <c r="U345" i="4" s="1"/>
  <c r="X345" i="4" s="1"/>
  <c r="N345" i="4"/>
  <c r="M345" i="4"/>
  <c r="L345" i="4"/>
  <c r="K345" i="4"/>
  <c r="J345" i="4"/>
  <c r="I345" i="4"/>
  <c r="B345" i="4"/>
  <c r="W344" i="4"/>
  <c r="V344" i="4"/>
  <c r="Y344" i="4" s="1"/>
  <c r="U344" i="4"/>
  <c r="X344" i="4" s="1"/>
  <c r="T344" i="4"/>
  <c r="O344" i="4"/>
  <c r="N344" i="4"/>
  <c r="M344" i="4"/>
  <c r="L344" i="4"/>
  <c r="K344" i="4"/>
  <c r="J344" i="4"/>
  <c r="I344" i="4"/>
  <c r="B344" i="4"/>
  <c r="S344" i="4" s="1"/>
  <c r="X343" i="4"/>
  <c r="W343" i="4"/>
  <c r="V343" i="4"/>
  <c r="T343" i="4"/>
  <c r="S343" i="4"/>
  <c r="O343" i="4"/>
  <c r="U343" i="4" s="1"/>
  <c r="N343" i="4"/>
  <c r="M343" i="4"/>
  <c r="L343" i="4"/>
  <c r="K343" i="4"/>
  <c r="J343" i="4"/>
  <c r="I343" i="4"/>
  <c r="B343" i="4"/>
  <c r="Z342" i="4"/>
  <c r="Y342" i="4"/>
  <c r="X342" i="4"/>
  <c r="W342" i="4"/>
  <c r="V342" i="4"/>
  <c r="T342" i="4"/>
  <c r="S342" i="4"/>
  <c r="O342" i="4"/>
  <c r="U342" i="4" s="1"/>
  <c r="N342" i="4"/>
  <c r="M342" i="4"/>
  <c r="L342" i="4"/>
  <c r="K342" i="4"/>
  <c r="J342" i="4"/>
  <c r="I342" i="4"/>
  <c r="B342" i="4"/>
  <c r="Z341" i="4"/>
  <c r="Y341" i="4"/>
  <c r="X341" i="4"/>
  <c r="W341" i="4"/>
  <c r="V341" i="4"/>
  <c r="U341" i="4"/>
  <c r="T341" i="4"/>
  <c r="S341" i="4"/>
  <c r="O341" i="4"/>
  <c r="N341" i="4"/>
  <c r="M341" i="4"/>
  <c r="L341" i="4"/>
  <c r="K341" i="4"/>
  <c r="J341" i="4"/>
  <c r="I341" i="4"/>
  <c r="B341" i="4"/>
  <c r="W340" i="4"/>
  <c r="V340" i="4"/>
  <c r="Z340" i="4" s="1"/>
  <c r="U340" i="4"/>
  <c r="X340" i="4" s="1"/>
  <c r="T340" i="4"/>
  <c r="O340" i="4"/>
  <c r="N340" i="4"/>
  <c r="M340" i="4"/>
  <c r="L340" i="4"/>
  <c r="K340" i="4"/>
  <c r="J340" i="4"/>
  <c r="I340" i="4"/>
  <c r="B340" i="4"/>
  <c r="S340" i="4" s="1"/>
  <c r="Z339" i="4"/>
  <c r="Y339" i="4"/>
  <c r="W339" i="4"/>
  <c r="V339" i="4"/>
  <c r="U339" i="4"/>
  <c r="X339" i="4" s="1"/>
  <c r="T339" i="4"/>
  <c r="O339" i="4"/>
  <c r="N339" i="4"/>
  <c r="M339" i="4"/>
  <c r="L339" i="4"/>
  <c r="K339" i="4"/>
  <c r="J339" i="4"/>
  <c r="I339" i="4"/>
  <c r="B339" i="4"/>
  <c r="S339" i="4" s="1"/>
  <c r="W338" i="4"/>
  <c r="V338" i="4"/>
  <c r="U338" i="4"/>
  <c r="X338" i="4" s="1"/>
  <c r="T338" i="4"/>
  <c r="O338" i="4"/>
  <c r="N338" i="4"/>
  <c r="M338" i="4"/>
  <c r="L338" i="4"/>
  <c r="K338" i="4"/>
  <c r="J338" i="4"/>
  <c r="I338" i="4"/>
  <c r="B338" i="4"/>
  <c r="S338" i="4" s="1"/>
  <c r="Z337" i="4"/>
  <c r="Y337" i="4"/>
  <c r="W337" i="4"/>
  <c r="V337" i="4"/>
  <c r="T337" i="4"/>
  <c r="S337" i="4"/>
  <c r="O337" i="4"/>
  <c r="U337" i="4" s="1"/>
  <c r="X337" i="4" s="1"/>
  <c r="N337" i="4"/>
  <c r="M337" i="4"/>
  <c r="L337" i="4"/>
  <c r="K337" i="4"/>
  <c r="J337" i="4"/>
  <c r="I337" i="4"/>
  <c r="B337" i="4"/>
  <c r="Y336" i="4"/>
  <c r="X336" i="4"/>
  <c r="W336" i="4"/>
  <c r="V336" i="4"/>
  <c r="Z336" i="4" s="1"/>
  <c r="U336" i="4"/>
  <c r="T336" i="4"/>
  <c r="O336" i="4"/>
  <c r="N336" i="4"/>
  <c r="M336" i="4"/>
  <c r="L336" i="4"/>
  <c r="K336" i="4"/>
  <c r="J336" i="4"/>
  <c r="I336" i="4"/>
  <c r="B336" i="4"/>
  <c r="S336" i="4" s="1"/>
  <c r="Z335" i="4"/>
  <c r="Y335" i="4"/>
  <c r="W335" i="4"/>
  <c r="V335" i="4"/>
  <c r="T335" i="4"/>
  <c r="S335" i="4"/>
  <c r="O335" i="4"/>
  <c r="U335" i="4" s="1"/>
  <c r="X335" i="4" s="1"/>
  <c r="N335" i="4"/>
  <c r="M335" i="4"/>
  <c r="L335" i="4"/>
  <c r="K335" i="4"/>
  <c r="J335" i="4"/>
  <c r="I335" i="4"/>
  <c r="B335" i="4"/>
  <c r="Y334" i="4"/>
  <c r="X334" i="4"/>
  <c r="W334" i="4"/>
  <c r="V334" i="4"/>
  <c r="Z334" i="4" s="1"/>
  <c r="U334" i="4"/>
  <c r="T334" i="4"/>
  <c r="O334" i="4"/>
  <c r="N334" i="4"/>
  <c r="M334" i="4"/>
  <c r="L334" i="4"/>
  <c r="K334" i="4"/>
  <c r="J334" i="4"/>
  <c r="I334" i="4"/>
  <c r="B334" i="4"/>
  <c r="S334" i="4" s="1"/>
  <c r="W333" i="4"/>
  <c r="V333" i="4"/>
  <c r="T333" i="4"/>
  <c r="S333" i="4"/>
  <c r="O333" i="4"/>
  <c r="U333" i="4" s="1"/>
  <c r="X333" i="4" s="1"/>
  <c r="N333" i="4"/>
  <c r="M333" i="4"/>
  <c r="L333" i="4"/>
  <c r="K333" i="4"/>
  <c r="J333" i="4"/>
  <c r="I333" i="4"/>
  <c r="B333" i="4"/>
  <c r="Z332" i="4"/>
  <c r="Y332" i="4"/>
  <c r="X332" i="4"/>
  <c r="W332" i="4"/>
  <c r="V332" i="4"/>
  <c r="T332" i="4"/>
  <c r="S332" i="4"/>
  <c r="O332" i="4"/>
  <c r="U332" i="4" s="1"/>
  <c r="N332" i="4"/>
  <c r="M332" i="4"/>
  <c r="L332" i="4"/>
  <c r="K332" i="4"/>
  <c r="J332" i="4"/>
  <c r="I332" i="4"/>
  <c r="B332" i="4"/>
  <c r="Z331" i="4"/>
  <c r="Y331" i="4"/>
  <c r="X331" i="4"/>
  <c r="W331" i="4"/>
  <c r="V331" i="4"/>
  <c r="U331" i="4"/>
  <c r="T331" i="4"/>
  <c r="S331" i="4"/>
  <c r="O331" i="4"/>
  <c r="N331" i="4"/>
  <c r="M331" i="4"/>
  <c r="L331" i="4"/>
  <c r="K331" i="4"/>
  <c r="J331" i="4"/>
  <c r="I331" i="4"/>
  <c r="B331" i="4"/>
  <c r="Z330" i="4"/>
  <c r="W330" i="4"/>
  <c r="V330" i="4"/>
  <c r="Y330" i="4" s="1"/>
  <c r="U330" i="4"/>
  <c r="X330" i="4" s="1"/>
  <c r="T330" i="4"/>
  <c r="O330" i="4"/>
  <c r="N330" i="4"/>
  <c r="M330" i="4"/>
  <c r="L330" i="4"/>
  <c r="K330" i="4"/>
  <c r="J330" i="4"/>
  <c r="I330" i="4"/>
  <c r="B330" i="4"/>
  <c r="S330" i="4" s="1"/>
  <c r="Z329" i="4"/>
  <c r="Y329" i="4"/>
  <c r="W329" i="4"/>
  <c r="V329" i="4"/>
  <c r="U329" i="4"/>
  <c r="X329" i="4" s="1"/>
  <c r="T329" i="4"/>
  <c r="O329" i="4"/>
  <c r="N329" i="4"/>
  <c r="M329" i="4"/>
  <c r="L329" i="4"/>
  <c r="K329" i="4"/>
  <c r="J329" i="4"/>
  <c r="I329" i="4"/>
  <c r="B329" i="4"/>
  <c r="S329" i="4" s="1"/>
  <c r="X328" i="4"/>
  <c r="W328" i="4"/>
  <c r="V328" i="4"/>
  <c r="U328" i="4"/>
  <c r="T328" i="4"/>
  <c r="S328" i="4"/>
  <c r="O328" i="4"/>
  <c r="N328" i="4"/>
  <c r="M328" i="4"/>
  <c r="L328" i="4"/>
  <c r="K328" i="4"/>
  <c r="J328" i="4"/>
  <c r="I328" i="4"/>
  <c r="B328" i="4"/>
  <c r="Z327" i="4"/>
  <c r="Y327" i="4"/>
  <c r="W327" i="4"/>
  <c r="V327" i="4"/>
  <c r="T327" i="4"/>
  <c r="S327" i="4"/>
  <c r="O327" i="4"/>
  <c r="U327" i="4" s="1"/>
  <c r="X327" i="4" s="1"/>
  <c r="N327" i="4"/>
  <c r="M327" i="4"/>
  <c r="L327" i="4"/>
  <c r="K327" i="4"/>
  <c r="J327" i="4"/>
  <c r="I327" i="4"/>
  <c r="B327" i="4"/>
  <c r="W326" i="4"/>
  <c r="V326" i="4"/>
  <c r="Z326" i="4" s="1"/>
  <c r="U326" i="4"/>
  <c r="X326" i="4" s="1"/>
  <c r="T326" i="4"/>
  <c r="O326" i="4"/>
  <c r="N326" i="4"/>
  <c r="M326" i="4"/>
  <c r="L326" i="4"/>
  <c r="K326" i="4"/>
  <c r="J326" i="4"/>
  <c r="I326" i="4"/>
  <c r="B326" i="4"/>
  <c r="S326" i="4" s="1"/>
  <c r="Z325" i="4"/>
  <c r="Y325" i="4"/>
  <c r="W325" i="4"/>
  <c r="V325" i="4"/>
  <c r="T325" i="4"/>
  <c r="S325" i="4"/>
  <c r="O325" i="4"/>
  <c r="U325" i="4" s="1"/>
  <c r="X325" i="4" s="1"/>
  <c r="N325" i="4"/>
  <c r="M325" i="4"/>
  <c r="L325" i="4"/>
  <c r="K325" i="4"/>
  <c r="J325" i="4"/>
  <c r="I325" i="4"/>
  <c r="B325" i="4"/>
  <c r="W324" i="4"/>
  <c r="V324" i="4"/>
  <c r="U324" i="4"/>
  <c r="X324" i="4" s="1"/>
  <c r="T324" i="4"/>
  <c r="O324" i="4"/>
  <c r="N324" i="4"/>
  <c r="M324" i="4"/>
  <c r="L324" i="4"/>
  <c r="K324" i="4"/>
  <c r="J324" i="4"/>
  <c r="I324" i="4"/>
  <c r="B324" i="4"/>
  <c r="S324" i="4" s="1"/>
  <c r="W323" i="4"/>
  <c r="V323" i="4"/>
  <c r="T323" i="4"/>
  <c r="S323" i="4"/>
  <c r="O323" i="4"/>
  <c r="U323" i="4" s="1"/>
  <c r="X323" i="4" s="1"/>
  <c r="N323" i="4"/>
  <c r="M323" i="4"/>
  <c r="L323" i="4"/>
  <c r="K323" i="4"/>
  <c r="J323" i="4"/>
  <c r="I323" i="4"/>
  <c r="B323" i="4"/>
  <c r="Z322" i="4"/>
  <c r="Y322" i="4"/>
  <c r="X322" i="4"/>
  <c r="W322" i="4"/>
  <c r="V322" i="4"/>
  <c r="T322" i="4"/>
  <c r="S322" i="4"/>
  <c r="O322" i="4"/>
  <c r="U322" i="4" s="1"/>
  <c r="N322" i="4"/>
  <c r="M322" i="4"/>
  <c r="L322" i="4"/>
  <c r="K322" i="4"/>
  <c r="J322" i="4"/>
  <c r="I322" i="4"/>
  <c r="B322" i="4"/>
  <c r="Z321" i="4"/>
  <c r="Y321" i="4"/>
  <c r="X321" i="4"/>
  <c r="W321" i="4"/>
  <c r="V321" i="4"/>
  <c r="U321" i="4"/>
  <c r="T321" i="4"/>
  <c r="S321" i="4"/>
  <c r="O321" i="4"/>
  <c r="N321" i="4"/>
  <c r="M321" i="4"/>
  <c r="L321" i="4"/>
  <c r="K321" i="4"/>
  <c r="J321" i="4"/>
  <c r="I321" i="4"/>
  <c r="B321" i="4"/>
  <c r="Z320" i="4"/>
  <c r="Y320" i="4"/>
  <c r="W320" i="4"/>
  <c r="V320" i="4"/>
  <c r="U320" i="4"/>
  <c r="X320" i="4" s="1"/>
  <c r="T320" i="4"/>
  <c r="O320" i="4"/>
  <c r="N320" i="4"/>
  <c r="M320" i="4"/>
  <c r="L320" i="4"/>
  <c r="K320" i="4"/>
  <c r="J320" i="4"/>
  <c r="I320" i="4"/>
  <c r="B320" i="4"/>
  <c r="S320" i="4" s="1"/>
  <c r="Z319" i="4"/>
  <c r="Y319" i="4"/>
  <c r="W319" i="4"/>
  <c r="V319" i="4"/>
  <c r="T319" i="4"/>
  <c r="O319" i="4"/>
  <c r="U319" i="4" s="1"/>
  <c r="X319" i="4" s="1"/>
  <c r="N319" i="4"/>
  <c r="M319" i="4"/>
  <c r="L319" i="4"/>
  <c r="K319" i="4"/>
  <c r="J319" i="4"/>
  <c r="I319" i="4"/>
  <c r="B319" i="4"/>
  <c r="S319" i="4" s="1"/>
  <c r="W318" i="4"/>
  <c r="V318" i="4"/>
  <c r="U318" i="4"/>
  <c r="X318" i="4" s="1"/>
  <c r="T318" i="4"/>
  <c r="O318" i="4"/>
  <c r="N318" i="4"/>
  <c r="M318" i="4"/>
  <c r="L318" i="4"/>
  <c r="K318" i="4"/>
  <c r="J318" i="4"/>
  <c r="I318" i="4"/>
  <c r="B318" i="4"/>
  <c r="S318" i="4" s="1"/>
  <c r="Z317" i="4"/>
  <c r="Y317" i="4"/>
  <c r="W317" i="4"/>
  <c r="V317" i="4"/>
  <c r="T317" i="4"/>
  <c r="S317" i="4"/>
  <c r="O317" i="4"/>
  <c r="U317" i="4" s="1"/>
  <c r="X317" i="4" s="1"/>
  <c r="N317" i="4"/>
  <c r="M317" i="4"/>
  <c r="L317" i="4"/>
  <c r="K317" i="4"/>
  <c r="J317" i="4"/>
  <c r="I317" i="4"/>
  <c r="B317" i="4"/>
  <c r="X316" i="4"/>
  <c r="W316" i="4"/>
  <c r="V316" i="4"/>
  <c r="U316" i="4"/>
  <c r="T316" i="4"/>
  <c r="O316" i="4"/>
  <c r="N316" i="4"/>
  <c r="M316" i="4"/>
  <c r="L316" i="4"/>
  <c r="K316" i="4"/>
  <c r="J316" i="4"/>
  <c r="I316" i="4"/>
  <c r="B316" i="4"/>
  <c r="S316" i="4" s="1"/>
  <c r="Z315" i="4"/>
  <c r="Y315" i="4"/>
  <c r="W315" i="4"/>
  <c r="V315" i="4"/>
  <c r="T315" i="4"/>
  <c r="S315" i="4"/>
  <c r="O315" i="4"/>
  <c r="U315" i="4" s="1"/>
  <c r="X315" i="4" s="1"/>
  <c r="N315" i="4"/>
  <c r="M315" i="4"/>
  <c r="L315" i="4"/>
  <c r="K315" i="4"/>
  <c r="J315" i="4"/>
  <c r="I315" i="4"/>
  <c r="B315" i="4"/>
  <c r="Y314" i="4"/>
  <c r="W314" i="4"/>
  <c r="V314" i="4"/>
  <c r="Z314" i="4" s="1"/>
  <c r="U314" i="4"/>
  <c r="X314" i="4" s="1"/>
  <c r="T314" i="4"/>
  <c r="O314" i="4"/>
  <c r="N314" i="4"/>
  <c r="M314" i="4"/>
  <c r="L314" i="4"/>
  <c r="K314" i="4"/>
  <c r="J314" i="4"/>
  <c r="I314" i="4"/>
  <c r="B314" i="4"/>
  <c r="S314" i="4" s="1"/>
  <c r="X313" i="4"/>
  <c r="W313" i="4"/>
  <c r="V313" i="4"/>
  <c r="T313" i="4"/>
  <c r="S313" i="4"/>
  <c r="O313" i="4"/>
  <c r="U313" i="4" s="1"/>
  <c r="N313" i="4"/>
  <c r="M313" i="4"/>
  <c r="L313" i="4"/>
  <c r="K313" i="4"/>
  <c r="J313" i="4"/>
  <c r="I313" i="4"/>
  <c r="B313" i="4"/>
  <c r="Z312" i="4"/>
  <c r="Y312" i="4"/>
  <c r="X312" i="4"/>
  <c r="W312" i="4"/>
  <c r="V312" i="4"/>
  <c r="T312" i="4"/>
  <c r="S312" i="4"/>
  <c r="O312" i="4"/>
  <c r="U312" i="4" s="1"/>
  <c r="N312" i="4"/>
  <c r="M312" i="4"/>
  <c r="L312" i="4"/>
  <c r="K312" i="4"/>
  <c r="J312" i="4"/>
  <c r="I312" i="4"/>
  <c r="B312" i="4"/>
  <c r="Z311" i="4"/>
  <c r="Y311" i="4"/>
  <c r="X311" i="4"/>
  <c r="W311" i="4"/>
  <c r="V311" i="4"/>
  <c r="U311" i="4"/>
  <c r="T311" i="4"/>
  <c r="S311" i="4"/>
  <c r="O311" i="4"/>
  <c r="N311" i="4"/>
  <c r="M311" i="4"/>
  <c r="L311" i="4"/>
  <c r="K311" i="4"/>
  <c r="J311" i="4"/>
  <c r="I311" i="4"/>
  <c r="B311" i="4"/>
  <c r="Y310" i="4"/>
  <c r="W310" i="4"/>
  <c r="V310" i="4"/>
  <c r="Z310" i="4" s="1"/>
  <c r="U310" i="4"/>
  <c r="X310" i="4" s="1"/>
  <c r="T310" i="4"/>
  <c r="O310" i="4"/>
  <c r="N310" i="4"/>
  <c r="M310" i="4"/>
  <c r="L310" i="4"/>
  <c r="K310" i="4"/>
  <c r="J310" i="4"/>
  <c r="I310" i="4"/>
  <c r="B310" i="4"/>
  <c r="S310" i="4" s="1"/>
  <c r="Z309" i="4"/>
  <c r="Y309" i="4"/>
  <c r="W309" i="4"/>
  <c r="V309" i="4"/>
  <c r="U309" i="4"/>
  <c r="X309" i="4" s="1"/>
  <c r="T309" i="4"/>
  <c r="O309" i="4"/>
  <c r="N309" i="4"/>
  <c r="M309" i="4"/>
  <c r="L309" i="4"/>
  <c r="K309" i="4"/>
  <c r="J309" i="4"/>
  <c r="I309" i="4"/>
  <c r="B309" i="4"/>
  <c r="S309" i="4" s="1"/>
  <c r="X308" i="4"/>
  <c r="W308" i="4"/>
  <c r="V308" i="4"/>
  <c r="U308" i="4"/>
  <c r="T308" i="4"/>
  <c r="O308" i="4"/>
  <c r="N308" i="4"/>
  <c r="M308" i="4"/>
  <c r="L308" i="4"/>
  <c r="K308" i="4"/>
  <c r="J308" i="4"/>
  <c r="I308" i="4"/>
  <c r="B308" i="4"/>
  <c r="S308" i="4" s="1"/>
  <c r="Z307" i="4"/>
  <c r="Y307" i="4"/>
  <c r="W307" i="4"/>
  <c r="V307" i="4"/>
  <c r="T307" i="4"/>
  <c r="S307" i="4"/>
  <c r="O307" i="4"/>
  <c r="U307" i="4" s="1"/>
  <c r="X307" i="4" s="1"/>
  <c r="N307" i="4"/>
  <c r="M307" i="4"/>
  <c r="L307" i="4"/>
  <c r="K307" i="4"/>
  <c r="J307" i="4"/>
  <c r="I307" i="4"/>
  <c r="B307" i="4"/>
  <c r="Y306" i="4"/>
  <c r="X306" i="4"/>
  <c r="W306" i="4"/>
  <c r="V306" i="4"/>
  <c r="Z306" i="4" s="1"/>
  <c r="U306" i="4"/>
  <c r="T306" i="4"/>
  <c r="O306" i="4"/>
  <c r="N306" i="4"/>
  <c r="M306" i="4"/>
  <c r="L306" i="4"/>
  <c r="K306" i="4"/>
  <c r="J306" i="4"/>
  <c r="I306" i="4"/>
  <c r="B306" i="4"/>
  <c r="S306" i="4" s="1"/>
  <c r="Z305" i="4"/>
  <c r="Y305" i="4"/>
  <c r="W305" i="4"/>
  <c r="V305" i="4"/>
  <c r="U305" i="4"/>
  <c r="X305" i="4" s="1"/>
  <c r="T305" i="4"/>
  <c r="O305" i="4"/>
  <c r="N305" i="4"/>
  <c r="M305" i="4"/>
  <c r="L305" i="4"/>
  <c r="K305" i="4"/>
  <c r="J305" i="4"/>
  <c r="I305" i="4"/>
  <c r="B305" i="4"/>
  <c r="S305" i="4" s="1"/>
  <c r="Y304" i="4"/>
  <c r="X304" i="4"/>
  <c r="W304" i="4"/>
  <c r="V304" i="4"/>
  <c r="Z304" i="4" s="1"/>
  <c r="U304" i="4"/>
  <c r="T304" i="4"/>
  <c r="O304" i="4"/>
  <c r="N304" i="4"/>
  <c r="M304" i="4"/>
  <c r="L304" i="4"/>
  <c r="K304" i="4"/>
  <c r="J304" i="4"/>
  <c r="I304" i="4"/>
  <c r="B304" i="4"/>
  <c r="S304" i="4" s="1"/>
  <c r="Z303" i="4"/>
  <c r="W303" i="4"/>
  <c r="V303" i="4"/>
  <c r="Y303" i="4" s="1"/>
  <c r="T303" i="4"/>
  <c r="S303" i="4"/>
  <c r="O303" i="4"/>
  <c r="U303" i="4" s="1"/>
  <c r="X303" i="4" s="1"/>
  <c r="N303" i="4"/>
  <c r="M303" i="4"/>
  <c r="L303" i="4"/>
  <c r="K303" i="4"/>
  <c r="J303" i="4"/>
  <c r="I303" i="4"/>
  <c r="B303" i="4"/>
  <c r="Z302" i="4"/>
  <c r="X302" i="4"/>
  <c r="W302" i="4"/>
  <c r="V302" i="4"/>
  <c r="Y302" i="4" s="1"/>
  <c r="T302" i="4"/>
  <c r="S302" i="4"/>
  <c r="O302" i="4"/>
  <c r="U302" i="4" s="1"/>
  <c r="N302" i="4"/>
  <c r="M302" i="4"/>
  <c r="L302" i="4"/>
  <c r="K302" i="4"/>
  <c r="J302" i="4"/>
  <c r="I302" i="4"/>
  <c r="B302" i="4"/>
  <c r="W301" i="4"/>
  <c r="V301" i="4"/>
  <c r="T301" i="4"/>
  <c r="O301" i="4"/>
  <c r="U301" i="4" s="1"/>
  <c r="X301" i="4" s="1"/>
  <c r="N301" i="4"/>
  <c r="M301" i="4"/>
  <c r="L301" i="4"/>
  <c r="K301" i="4"/>
  <c r="J301" i="4"/>
  <c r="I301" i="4"/>
  <c r="B301" i="4"/>
  <c r="S301" i="4" s="1"/>
  <c r="Z300" i="4"/>
  <c r="Y300" i="4"/>
  <c r="X300" i="4"/>
  <c r="W300" i="4"/>
  <c r="V300" i="4"/>
  <c r="T300" i="4"/>
  <c r="O300" i="4"/>
  <c r="U300" i="4" s="1"/>
  <c r="N300" i="4"/>
  <c r="M300" i="4"/>
  <c r="L300" i="4"/>
  <c r="K300" i="4"/>
  <c r="J300" i="4"/>
  <c r="I300" i="4"/>
  <c r="B300" i="4"/>
  <c r="S300" i="4" s="1"/>
  <c r="W299" i="4"/>
  <c r="V299" i="4"/>
  <c r="U299" i="4"/>
  <c r="X299" i="4" s="1"/>
  <c r="T299" i="4"/>
  <c r="O299" i="4"/>
  <c r="N299" i="4"/>
  <c r="M299" i="4"/>
  <c r="L299" i="4"/>
  <c r="K299" i="4"/>
  <c r="J299" i="4"/>
  <c r="I299" i="4"/>
  <c r="B299" i="4"/>
  <c r="S299" i="4" s="1"/>
  <c r="Z298" i="4"/>
  <c r="W298" i="4"/>
  <c r="V298" i="4"/>
  <c r="Y298" i="4" s="1"/>
  <c r="T298" i="4"/>
  <c r="O298" i="4"/>
  <c r="U298" i="4" s="1"/>
  <c r="X298" i="4" s="1"/>
  <c r="N298" i="4"/>
  <c r="M298" i="4"/>
  <c r="L298" i="4"/>
  <c r="K298" i="4"/>
  <c r="J298" i="4"/>
  <c r="I298" i="4"/>
  <c r="B298" i="4"/>
  <c r="S298" i="4" s="1"/>
  <c r="X297" i="4"/>
  <c r="W297" i="4"/>
  <c r="V297" i="4"/>
  <c r="T297" i="4"/>
  <c r="S297" i="4"/>
  <c r="O297" i="4"/>
  <c r="U297" i="4" s="1"/>
  <c r="N297" i="4"/>
  <c r="M297" i="4"/>
  <c r="L297" i="4"/>
  <c r="K297" i="4"/>
  <c r="J297" i="4"/>
  <c r="I297" i="4"/>
  <c r="B297" i="4"/>
  <c r="Z296" i="4"/>
  <c r="Y296" i="4"/>
  <c r="W296" i="4"/>
  <c r="V296" i="4"/>
  <c r="T296" i="4"/>
  <c r="S296" i="4"/>
  <c r="O296" i="4"/>
  <c r="U296" i="4" s="1"/>
  <c r="X296" i="4" s="1"/>
  <c r="N296" i="4"/>
  <c r="M296" i="4"/>
  <c r="L296" i="4"/>
  <c r="K296" i="4"/>
  <c r="J296" i="4"/>
  <c r="I296" i="4"/>
  <c r="B296" i="4"/>
  <c r="W295" i="4"/>
  <c r="V295" i="4"/>
  <c r="Z295" i="4" s="1"/>
  <c r="U295" i="4"/>
  <c r="X295" i="4" s="1"/>
  <c r="T295" i="4"/>
  <c r="O295" i="4"/>
  <c r="N295" i="4"/>
  <c r="M295" i="4"/>
  <c r="L295" i="4"/>
  <c r="K295" i="4"/>
  <c r="J295" i="4"/>
  <c r="I295" i="4"/>
  <c r="B295" i="4"/>
  <c r="S295" i="4" s="1"/>
  <c r="Z294" i="4"/>
  <c r="Y294" i="4"/>
  <c r="W294" i="4"/>
  <c r="V294" i="4"/>
  <c r="U294" i="4"/>
  <c r="X294" i="4" s="1"/>
  <c r="T294" i="4"/>
  <c r="O294" i="4"/>
  <c r="N294" i="4"/>
  <c r="M294" i="4"/>
  <c r="L294" i="4"/>
  <c r="K294" i="4"/>
  <c r="J294" i="4"/>
  <c r="I294" i="4"/>
  <c r="B294" i="4"/>
  <c r="S294" i="4" s="1"/>
  <c r="W293" i="4"/>
  <c r="V293" i="4"/>
  <c r="Z293" i="4" s="1"/>
  <c r="U293" i="4"/>
  <c r="X293" i="4" s="1"/>
  <c r="T293" i="4"/>
  <c r="O293" i="4"/>
  <c r="N293" i="4"/>
  <c r="M293" i="4"/>
  <c r="L293" i="4"/>
  <c r="K293" i="4"/>
  <c r="J293" i="4"/>
  <c r="I293" i="4"/>
  <c r="B293" i="4"/>
  <c r="S293" i="4" s="1"/>
  <c r="W292" i="4"/>
  <c r="V292" i="4"/>
  <c r="T292" i="4"/>
  <c r="S292" i="4"/>
  <c r="O292" i="4"/>
  <c r="U292" i="4" s="1"/>
  <c r="X292" i="4" s="1"/>
  <c r="N292" i="4"/>
  <c r="M292" i="4"/>
  <c r="L292" i="4"/>
  <c r="K292" i="4"/>
  <c r="J292" i="4"/>
  <c r="I292" i="4"/>
  <c r="B292" i="4"/>
  <c r="Z291" i="4"/>
  <c r="Y291" i="4"/>
  <c r="W291" i="4"/>
  <c r="V291" i="4"/>
  <c r="T291" i="4"/>
  <c r="O291" i="4"/>
  <c r="U291" i="4" s="1"/>
  <c r="X291" i="4" s="1"/>
  <c r="N291" i="4"/>
  <c r="M291" i="4"/>
  <c r="L291" i="4"/>
  <c r="K291" i="4"/>
  <c r="J291" i="4"/>
  <c r="I291" i="4"/>
  <c r="B291" i="4"/>
  <c r="S291" i="4" s="1"/>
  <c r="W290" i="4"/>
  <c r="V290" i="4"/>
  <c r="U290" i="4"/>
  <c r="X290" i="4" s="1"/>
  <c r="T290" i="4"/>
  <c r="S290" i="4"/>
  <c r="O290" i="4"/>
  <c r="N290" i="4"/>
  <c r="M290" i="4"/>
  <c r="L290" i="4"/>
  <c r="K290" i="4"/>
  <c r="J290" i="4"/>
  <c r="I290" i="4"/>
  <c r="B290" i="4"/>
  <c r="Z289" i="4"/>
  <c r="Y289" i="4"/>
  <c r="W289" i="4"/>
  <c r="V289" i="4"/>
  <c r="T289" i="4"/>
  <c r="S289" i="4"/>
  <c r="O289" i="4"/>
  <c r="U289" i="4" s="1"/>
  <c r="X289" i="4" s="1"/>
  <c r="N289" i="4"/>
  <c r="M289" i="4"/>
  <c r="L289" i="4"/>
  <c r="K289" i="4"/>
  <c r="J289" i="4"/>
  <c r="I289" i="4"/>
  <c r="B289" i="4"/>
  <c r="Y288" i="4"/>
  <c r="W288" i="4"/>
  <c r="V288" i="4"/>
  <c r="Z288" i="4" s="1"/>
  <c r="U288" i="4"/>
  <c r="X288" i="4" s="1"/>
  <c r="T288" i="4"/>
  <c r="O288" i="4"/>
  <c r="N288" i="4"/>
  <c r="M288" i="4"/>
  <c r="L288" i="4"/>
  <c r="K288" i="4"/>
  <c r="J288" i="4"/>
  <c r="I288" i="4"/>
  <c r="B288" i="4"/>
  <c r="S288" i="4" s="1"/>
  <c r="W287" i="4"/>
  <c r="V287" i="4"/>
  <c r="T287" i="4"/>
  <c r="S287" i="4"/>
  <c r="O287" i="4"/>
  <c r="U287" i="4" s="1"/>
  <c r="X287" i="4" s="1"/>
  <c r="N287" i="4"/>
  <c r="M287" i="4"/>
  <c r="L287" i="4"/>
  <c r="K287" i="4"/>
  <c r="J287" i="4"/>
  <c r="I287" i="4"/>
  <c r="B287" i="4"/>
  <c r="Z286" i="4"/>
  <c r="Y286" i="4"/>
  <c r="W286" i="4"/>
  <c r="V286" i="4"/>
  <c r="T286" i="4"/>
  <c r="O286" i="4"/>
  <c r="U286" i="4" s="1"/>
  <c r="X286" i="4" s="1"/>
  <c r="N286" i="4"/>
  <c r="M286" i="4"/>
  <c r="L286" i="4"/>
  <c r="K286" i="4"/>
  <c r="J286" i="4"/>
  <c r="I286" i="4"/>
  <c r="B286" i="4"/>
  <c r="S286" i="4" s="1"/>
  <c r="W285" i="4"/>
  <c r="V285" i="4"/>
  <c r="U285" i="4"/>
  <c r="X285" i="4" s="1"/>
  <c r="T285" i="4"/>
  <c r="S285" i="4"/>
  <c r="O285" i="4"/>
  <c r="N285" i="4"/>
  <c r="M285" i="4"/>
  <c r="L285" i="4"/>
  <c r="K285" i="4"/>
  <c r="J285" i="4"/>
  <c r="I285" i="4"/>
  <c r="B285" i="4"/>
  <c r="Z284" i="4"/>
  <c r="Y284" i="4"/>
  <c r="W284" i="4"/>
  <c r="V284" i="4"/>
  <c r="T284" i="4"/>
  <c r="S284" i="4"/>
  <c r="O284" i="4"/>
  <c r="U284" i="4" s="1"/>
  <c r="X284" i="4" s="1"/>
  <c r="N284" i="4"/>
  <c r="M284" i="4"/>
  <c r="L284" i="4"/>
  <c r="K284" i="4"/>
  <c r="J284" i="4"/>
  <c r="I284" i="4"/>
  <c r="B284" i="4"/>
  <c r="W283" i="4"/>
  <c r="V283" i="4"/>
  <c r="Z283" i="4" s="1"/>
  <c r="U283" i="4"/>
  <c r="X283" i="4" s="1"/>
  <c r="T283" i="4"/>
  <c r="O283" i="4"/>
  <c r="N283" i="4"/>
  <c r="M283" i="4"/>
  <c r="L283" i="4"/>
  <c r="K283" i="4"/>
  <c r="J283" i="4"/>
  <c r="I283" i="4"/>
  <c r="B283" i="4"/>
  <c r="S283" i="4" s="1"/>
  <c r="W282" i="4"/>
  <c r="V282" i="4"/>
  <c r="T282" i="4"/>
  <c r="S282" i="4"/>
  <c r="O282" i="4"/>
  <c r="U282" i="4" s="1"/>
  <c r="X282" i="4" s="1"/>
  <c r="N282" i="4"/>
  <c r="M282" i="4"/>
  <c r="L282" i="4"/>
  <c r="K282" i="4"/>
  <c r="J282" i="4"/>
  <c r="I282" i="4"/>
  <c r="B282" i="4"/>
  <c r="Z281" i="4"/>
  <c r="Y281" i="4"/>
  <c r="W281" i="4"/>
  <c r="V281" i="4"/>
  <c r="T281" i="4"/>
  <c r="O281" i="4"/>
  <c r="U281" i="4" s="1"/>
  <c r="X281" i="4" s="1"/>
  <c r="N281" i="4"/>
  <c r="M281" i="4"/>
  <c r="L281" i="4"/>
  <c r="K281" i="4"/>
  <c r="J281" i="4"/>
  <c r="I281" i="4"/>
  <c r="B281" i="4"/>
  <c r="S281" i="4" s="1"/>
  <c r="W280" i="4"/>
  <c r="V280" i="4"/>
  <c r="U280" i="4"/>
  <c r="X280" i="4" s="1"/>
  <c r="T280" i="4"/>
  <c r="S280" i="4"/>
  <c r="O280" i="4"/>
  <c r="N280" i="4"/>
  <c r="M280" i="4"/>
  <c r="L280" i="4"/>
  <c r="K280" i="4"/>
  <c r="J280" i="4"/>
  <c r="I280" i="4"/>
  <c r="B280" i="4"/>
  <c r="Z279" i="4"/>
  <c r="Y279" i="4"/>
  <c r="W279" i="4"/>
  <c r="V279" i="4"/>
  <c r="T279" i="4"/>
  <c r="S279" i="4"/>
  <c r="O279" i="4"/>
  <c r="U279" i="4" s="1"/>
  <c r="X279" i="4" s="1"/>
  <c r="N279" i="4"/>
  <c r="M279" i="4"/>
  <c r="L279" i="4"/>
  <c r="K279" i="4"/>
  <c r="J279" i="4"/>
  <c r="I279" i="4"/>
  <c r="B279" i="4"/>
  <c r="Y278" i="4"/>
  <c r="W278" i="4"/>
  <c r="V278" i="4"/>
  <c r="Z278" i="4" s="1"/>
  <c r="U278" i="4"/>
  <c r="X278" i="4" s="1"/>
  <c r="T278" i="4"/>
  <c r="O278" i="4"/>
  <c r="N278" i="4"/>
  <c r="M278" i="4"/>
  <c r="L278" i="4"/>
  <c r="K278" i="4"/>
  <c r="J278" i="4"/>
  <c r="I278" i="4"/>
  <c r="B278" i="4"/>
  <c r="S278" i="4" s="1"/>
  <c r="W277" i="4"/>
  <c r="V277" i="4"/>
  <c r="T277" i="4"/>
  <c r="S277" i="4"/>
  <c r="O277" i="4"/>
  <c r="U277" i="4" s="1"/>
  <c r="X277" i="4" s="1"/>
  <c r="N277" i="4"/>
  <c r="M277" i="4"/>
  <c r="L277" i="4"/>
  <c r="K277" i="4"/>
  <c r="J277" i="4"/>
  <c r="I277" i="4"/>
  <c r="B277" i="4"/>
  <c r="Z276" i="4"/>
  <c r="Y276" i="4"/>
  <c r="W276" i="4"/>
  <c r="V276" i="4"/>
  <c r="T276" i="4"/>
  <c r="O276" i="4"/>
  <c r="U276" i="4" s="1"/>
  <c r="X276" i="4" s="1"/>
  <c r="N276" i="4"/>
  <c r="M276" i="4"/>
  <c r="L276" i="4"/>
  <c r="K276" i="4"/>
  <c r="J276" i="4"/>
  <c r="I276" i="4"/>
  <c r="B276" i="4"/>
  <c r="S276" i="4" s="1"/>
  <c r="W275" i="4"/>
  <c r="V275" i="4"/>
  <c r="U275" i="4"/>
  <c r="X275" i="4" s="1"/>
  <c r="T275" i="4"/>
  <c r="S275" i="4"/>
  <c r="O275" i="4"/>
  <c r="N275" i="4"/>
  <c r="M275" i="4"/>
  <c r="L275" i="4"/>
  <c r="K275" i="4"/>
  <c r="J275" i="4"/>
  <c r="I275" i="4"/>
  <c r="B275" i="4"/>
  <c r="Z274" i="4"/>
  <c r="Y274" i="4"/>
  <c r="W274" i="4"/>
  <c r="V274" i="4"/>
  <c r="T274" i="4"/>
  <c r="S274" i="4"/>
  <c r="O274" i="4"/>
  <c r="U274" i="4" s="1"/>
  <c r="X274" i="4" s="1"/>
  <c r="N274" i="4"/>
  <c r="M274" i="4"/>
  <c r="L274" i="4"/>
  <c r="K274" i="4"/>
  <c r="J274" i="4"/>
  <c r="I274" i="4"/>
  <c r="B274" i="4"/>
  <c r="W273" i="4"/>
  <c r="V273" i="4"/>
  <c r="Z273" i="4" s="1"/>
  <c r="U273" i="4"/>
  <c r="X273" i="4" s="1"/>
  <c r="T273" i="4"/>
  <c r="O273" i="4"/>
  <c r="N273" i="4"/>
  <c r="M273" i="4"/>
  <c r="L273" i="4"/>
  <c r="K273" i="4"/>
  <c r="J273" i="4"/>
  <c r="I273" i="4"/>
  <c r="B273" i="4"/>
  <c r="S273" i="4" s="1"/>
  <c r="W272" i="4"/>
  <c r="V272" i="4"/>
  <c r="T272" i="4"/>
  <c r="S272" i="4"/>
  <c r="O272" i="4"/>
  <c r="U272" i="4" s="1"/>
  <c r="X272" i="4" s="1"/>
  <c r="N272" i="4"/>
  <c r="M272" i="4"/>
  <c r="L272" i="4"/>
  <c r="K272" i="4"/>
  <c r="J272" i="4"/>
  <c r="I272" i="4"/>
  <c r="B272" i="4"/>
  <c r="Z271" i="4"/>
  <c r="Y271" i="4"/>
  <c r="W271" i="4"/>
  <c r="V271" i="4"/>
  <c r="T271" i="4"/>
  <c r="O271" i="4"/>
  <c r="U271" i="4" s="1"/>
  <c r="X271" i="4" s="1"/>
  <c r="N271" i="4"/>
  <c r="M271" i="4"/>
  <c r="L271" i="4"/>
  <c r="K271" i="4"/>
  <c r="J271" i="4"/>
  <c r="I271" i="4"/>
  <c r="B271" i="4"/>
  <c r="S271" i="4" s="1"/>
  <c r="W270" i="4"/>
  <c r="V270" i="4"/>
  <c r="U270" i="4"/>
  <c r="X270" i="4" s="1"/>
  <c r="T270" i="4"/>
  <c r="S270" i="4"/>
  <c r="O270" i="4"/>
  <c r="N270" i="4"/>
  <c r="M270" i="4"/>
  <c r="L270" i="4"/>
  <c r="K270" i="4"/>
  <c r="J270" i="4"/>
  <c r="I270" i="4"/>
  <c r="B270" i="4"/>
  <c r="Z269" i="4"/>
  <c r="Y269" i="4"/>
  <c r="W269" i="4"/>
  <c r="V269" i="4"/>
  <c r="T269" i="4"/>
  <c r="S269" i="4"/>
  <c r="O269" i="4"/>
  <c r="U269" i="4" s="1"/>
  <c r="X269" i="4" s="1"/>
  <c r="N269" i="4"/>
  <c r="M269" i="4"/>
  <c r="L269" i="4"/>
  <c r="K269" i="4"/>
  <c r="J269" i="4"/>
  <c r="I269" i="4"/>
  <c r="B269" i="4"/>
  <c r="Y268" i="4"/>
  <c r="W268" i="4"/>
  <c r="V268" i="4"/>
  <c r="Z268" i="4" s="1"/>
  <c r="U268" i="4"/>
  <c r="X268" i="4" s="1"/>
  <c r="T268" i="4"/>
  <c r="O268" i="4"/>
  <c r="N268" i="4"/>
  <c r="M268" i="4"/>
  <c r="L268" i="4"/>
  <c r="K268" i="4"/>
  <c r="J268" i="4"/>
  <c r="I268" i="4"/>
  <c r="B268" i="4"/>
  <c r="S268" i="4" s="1"/>
  <c r="W267" i="4"/>
  <c r="V267" i="4"/>
  <c r="T267" i="4"/>
  <c r="S267" i="4"/>
  <c r="O267" i="4"/>
  <c r="U267" i="4" s="1"/>
  <c r="X267" i="4" s="1"/>
  <c r="N267" i="4"/>
  <c r="M267" i="4"/>
  <c r="L267" i="4"/>
  <c r="K267" i="4"/>
  <c r="J267" i="4"/>
  <c r="I267" i="4"/>
  <c r="B267" i="4"/>
  <c r="Z266" i="4"/>
  <c r="Y266" i="4"/>
  <c r="W266" i="4"/>
  <c r="V266" i="4"/>
  <c r="T266" i="4"/>
  <c r="O266" i="4"/>
  <c r="U266" i="4" s="1"/>
  <c r="X266" i="4" s="1"/>
  <c r="N266" i="4"/>
  <c r="M266" i="4"/>
  <c r="L266" i="4"/>
  <c r="K266" i="4"/>
  <c r="J266" i="4"/>
  <c r="I266" i="4"/>
  <c r="B266" i="4"/>
  <c r="S266" i="4" s="1"/>
  <c r="W265" i="4"/>
  <c r="V265" i="4"/>
  <c r="U265" i="4"/>
  <c r="X265" i="4" s="1"/>
  <c r="T265" i="4"/>
  <c r="S265" i="4"/>
  <c r="O265" i="4"/>
  <c r="N265" i="4"/>
  <c r="M265" i="4"/>
  <c r="L265" i="4"/>
  <c r="K265" i="4"/>
  <c r="J265" i="4"/>
  <c r="I265" i="4"/>
  <c r="B265" i="4"/>
  <c r="Z264" i="4"/>
  <c r="Y264" i="4"/>
  <c r="W264" i="4"/>
  <c r="V264" i="4"/>
  <c r="T264" i="4"/>
  <c r="S264" i="4"/>
  <c r="O264" i="4"/>
  <c r="U264" i="4" s="1"/>
  <c r="X264" i="4" s="1"/>
  <c r="N264" i="4"/>
  <c r="M264" i="4"/>
  <c r="L264" i="4"/>
  <c r="K264" i="4"/>
  <c r="J264" i="4"/>
  <c r="I264" i="4"/>
  <c r="B264" i="4"/>
  <c r="W263" i="4"/>
  <c r="V263" i="4"/>
  <c r="Z263" i="4" s="1"/>
  <c r="U263" i="4"/>
  <c r="X263" i="4" s="1"/>
  <c r="T263" i="4"/>
  <c r="O263" i="4"/>
  <c r="N263" i="4"/>
  <c r="M263" i="4"/>
  <c r="L263" i="4"/>
  <c r="K263" i="4"/>
  <c r="J263" i="4"/>
  <c r="I263" i="4"/>
  <c r="B263" i="4"/>
  <c r="S263" i="4" s="1"/>
  <c r="W262" i="4"/>
  <c r="V262" i="4"/>
  <c r="T262" i="4"/>
  <c r="S262" i="4"/>
  <c r="O262" i="4"/>
  <c r="U262" i="4" s="1"/>
  <c r="X262" i="4" s="1"/>
  <c r="N262" i="4"/>
  <c r="M262" i="4"/>
  <c r="L262" i="4"/>
  <c r="K262" i="4"/>
  <c r="J262" i="4"/>
  <c r="I262" i="4"/>
  <c r="B262" i="4"/>
  <c r="Z261" i="4"/>
  <c r="Y261" i="4"/>
  <c r="W261" i="4"/>
  <c r="V261" i="4"/>
  <c r="T261" i="4"/>
  <c r="O261" i="4"/>
  <c r="U261" i="4" s="1"/>
  <c r="X261" i="4" s="1"/>
  <c r="N261" i="4"/>
  <c r="M261" i="4"/>
  <c r="L261" i="4"/>
  <c r="K261" i="4"/>
  <c r="J261" i="4"/>
  <c r="I261" i="4"/>
  <c r="B261" i="4"/>
  <c r="S261" i="4" s="1"/>
  <c r="W260" i="4"/>
  <c r="V260" i="4"/>
  <c r="U260" i="4"/>
  <c r="X260" i="4" s="1"/>
  <c r="T260" i="4"/>
  <c r="S260" i="4"/>
  <c r="O260" i="4"/>
  <c r="N260" i="4"/>
  <c r="M260" i="4"/>
  <c r="L260" i="4"/>
  <c r="K260" i="4"/>
  <c r="J260" i="4"/>
  <c r="I260" i="4"/>
  <c r="B260" i="4"/>
  <c r="Z259" i="4"/>
  <c r="Y259" i="4"/>
  <c r="W259" i="4"/>
  <c r="V259" i="4"/>
  <c r="T259" i="4"/>
  <c r="S259" i="4"/>
  <c r="O259" i="4"/>
  <c r="U259" i="4" s="1"/>
  <c r="X259" i="4" s="1"/>
  <c r="N259" i="4"/>
  <c r="M259" i="4"/>
  <c r="L259" i="4"/>
  <c r="K259" i="4"/>
  <c r="J259" i="4"/>
  <c r="I259" i="4"/>
  <c r="B259" i="4"/>
  <c r="Y258" i="4"/>
  <c r="W258" i="4"/>
  <c r="V258" i="4"/>
  <c r="Z258" i="4" s="1"/>
  <c r="U258" i="4"/>
  <c r="X258" i="4" s="1"/>
  <c r="T258" i="4"/>
  <c r="O258" i="4"/>
  <c r="N258" i="4"/>
  <c r="M258" i="4"/>
  <c r="L258" i="4"/>
  <c r="K258" i="4"/>
  <c r="J258" i="4"/>
  <c r="I258" i="4"/>
  <c r="B258" i="4"/>
  <c r="S258" i="4" s="1"/>
  <c r="W257" i="4"/>
  <c r="V257" i="4"/>
  <c r="T257" i="4"/>
  <c r="S257" i="4"/>
  <c r="O257" i="4"/>
  <c r="U257" i="4" s="1"/>
  <c r="X257" i="4" s="1"/>
  <c r="N257" i="4"/>
  <c r="M257" i="4"/>
  <c r="L257" i="4"/>
  <c r="K257" i="4"/>
  <c r="J257" i="4"/>
  <c r="I257" i="4"/>
  <c r="B257" i="4"/>
  <c r="Z256" i="4"/>
  <c r="Y256" i="4"/>
  <c r="W256" i="4"/>
  <c r="V256" i="4"/>
  <c r="T256" i="4"/>
  <c r="O256" i="4"/>
  <c r="U256" i="4" s="1"/>
  <c r="X256" i="4" s="1"/>
  <c r="N256" i="4"/>
  <c r="M256" i="4"/>
  <c r="L256" i="4"/>
  <c r="K256" i="4"/>
  <c r="J256" i="4"/>
  <c r="I256" i="4"/>
  <c r="B256" i="4"/>
  <c r="S256" i="4" s="1"/>
  <c r="W255" i="4"/>
  <c r="V255" i="4"/>
  <c r="U255" i="4"/>
  <c r="X255" i="4" s="1"/>
  <c r="T255" i="4"/>
  <c r="S255" i="4"/>
  <c r="O255" i="4"/>
  <c r="N255" i="4"/>
  <c r="M255" i="4"/>
  <c r="L255" i="4"/>
  <c r="K255" i="4"/>
  <c r="J255" i="4"/>
  <c r="I255" i="4"/>
  <c r="B255" i="4"/>
  <c r="Z254" i="4"/>
  <c r="Y254" i="4"/>
  <c r="W254" i="4"/>
  <c r="V254" i="4"/>
  <c r="T254" i="4"/>
  <c r="S254" i="4"/>
  <c r="O254" i="4"/>
  <c r="U254" i="4" s="1"/>
  <c r="X254" i="4" s="1"/>
  <c r="N254" i="4"/>
  <c r="M254" i="4"/>
  <c r="L254" i="4"/>
  <c r="K254" i="4"/>
  <c r="J254" i="4"/>
  <c r="I254" i="4"/>
  <c r="B254" i="4"/>
  <c r="W253" i="4"/>
  <c r="V253" i="4"/>
  <c r="Z253" i="4" s="1"/>
  <c r="U253" i="4"/>
  <c r="X253" i="4" s="1"/>
  <c r="T253" i="4"/>
  <c r="O253" i="4"/>
  <c r="N253" i="4"/>
  <c r="M253" i="4"/>
  <c r="L253" i="4"/>
  <c r="K253" i="4"/>
  <c r="J253" i="4"/>
  <c r="I253" i="4"/>
  <c r="B253" i="4"/>
  <c r="S253" i="4" s="1"/>
  <c r="W252" i="4"/>
  <c r="V252" i="4"/>
  <c r="T252" i="4"/>
  <c r="S252" i="4"/>
  <c r="O252" i="4"/>
  <c r="U252" i="4" s="1"/>
  <c r="X252" i="4" s="1"/>
  <c r="N252" i="4"/>
  <c r="M252" i="4"/>
  <c r="L252" i="4"/>
  <c r="K252" i="4"/>
  <c r="J252" i="4"/>
  <c r="I252" i="4"/>
  <c r="B252" i="4"/>
  <c r="Z251" i="4"/>
  <c r="Y251" i="4"/>
  <c r="W251" i="4"/>
  <c r="V251" i="4"/>
  <c r="T251" i="4"/>
  <c r="O251" i="4"/>
  <c r="U251" i="4" s="1"/>
  <c r="X251" i="4" s="1"/>
  <c r="N251" i="4"/>
  <c r="M251" i="4"/>
  <c r="L251" i="4"/>
  <c r="K251" i="4"/>
  <c r="J251" i="4"/>
  <c r="I251" i="4"/>
  <c r="B251" i="4"/>
  <c r="S251" i="4" s="1"/>
  <c r="W250" i="4"/>
  <c r="V250" i="4"/>
  <c r="U250" i="4"/>
  <c r="X250" i="4" s="1"/>
  <c r="T250" i="4"/>
  <c r="S250" i="4"/>
  <c r="O250" i="4"/>
  <c r="N250" i="4"/>
  <c r="M250" i="4"/>
  <c r="L250" i="4"/>
  <c r="K250" i="4"/>
  <c r="J250" i="4"/>
  <c r="I250" i="4"/>
  <c r="B250" i="4"/>
  <c r="Z249" i="4"/>
  <c r="Y249" i="4"/>
  <c r="W249" i="4"/>
  <c r="V249" i="4"/>
  <c r="T249" i="4"/>
  <c r="S249" i="4"/>
  <c r="O249" i="4"/>
  <c r="U249" i="4" s="1"/>
  <c r="X249" i="4" s="1"/>
  <c r="N249" i="4"/>
  <c r="M249" i="4"/>
  <c r="L249" i="4"/>
  <c r="K249" i="4"/>
  <c r="J249" i="4"/>
  <c r="I249" i="4"/>
  <c r="B249" i="4"/>
  <c r="Y248" i="4"/>
  <c r="W248" i="4"/>
  <c r="V248" i="4"/>
  <c r="Z248" i="4" s="1"/>
  <c r="U248" i="4"/>
  <c r="X248" i="4" s="1"/>
  <c r="T248" i="4"/>
  <c r="O248" i="4"/>
  <c r="N248" i="4"/>
  <c r="M248" i="4"/>
  <c r="L248" i="4"/>
  <c r="K248" i="4"/>
  <c r="J248" i="4"/>
  <c r="I248" i="4"/>
  <c r="B248" i="4"/>
  <c r="S248" i="4" s="1"/>
  <c r="W247" i="4"/>
  <c r="V247" i="4"/>
  <c r="T247" i="4"/>
  <c r="S247" i="4"/>
  <c r="O247" i="4"/>
  <c r="U247" i="4" s="1"/>
  <c r="X247" i="4" s="1"/>
  <c r="N247" i="4"/>
  <c r="M247" i="4"/>
  <c r="L247" i="4"/>
  <c r="K247" i="4"/>
  <c r="J247" i="4"/>
  <c r="I247" i="4"/>
  <c r="B247" i="4"/>
  <c r="Z246" i="4"/>
  <c r="Y246" i="4"/>
  <c r="W246" i="4"/>
  <c r="V246" i="4"/>
  <c r="T246" i="4"/>
  <c r="O246" i="4"/>
  <c r="U246" i="4" s="1"/>
  <c r="X246" i="4" s="1"/>
  <c r="N246" i="4"/>
  <c r="M246" i="4"/>
  <c r="L246" i="4"/>
  <c r="K246" i="4"/>
  <c r="J246" i="4"/>
  <c r="I246" i="4"/>
  <c r="B246" i="4"/>
  <c r="S246" i="4" s="1"/>
  <c r="W245" i="4"/>
  <c r="V245" i="4"/>
  <c r="T245" i="4"/>
  <c r="S245" i="4"/>
  <c r="O245" i="4"/>
  <c r="U245" i="4" s="1"/>
  <c r="X245" i="4" s="1"/>
  <c r="N245" i="4"/>
  <c r="M245" i="4"/>
  <c r="L245" i="4"/>
  <c r="K245" i="4"/>
  <c r="J245" i="4"/>
  <c r="I245" i="4"/>
  <c r="B245" i="4"/>
  <c r="Z244" i="4"/>
  <c r="Y244" i="4"/>
  <c r="X244" i="4"/>
  <c r="W244" i="4"/>
  <c r="V244" i="4"/>
  <c r="T244" i="4"/>
  <c r="S244" i="4"/>
  <c r="O244" i="4"/>
  <c r="U244" i="4" s="1"/>
  <c r="N244" i="4"/>
  <c r="M244" i="4"/>
  <c r="L244" i="4"/>
  <c r="K244" i="4"/>
  <c r="J244" i="4"/>
  <c r="I244" i="4"/>
  <c r="B244" i="4"/>
  <c r="Z243" i="4"/>
  <c r="W243" i="4"/>
  <c r="V243" i="4"/>
  <c r="Y243" i="4" s="1"/>
  <c r="U243" i="4"/>
  <c r="X243" i="4" s="1"/>
  <c r="T243" i="4"/>
  <c r="O243" i="4"/>
  <c r="N243" i="4"/>
  <c r="M243" i="4"/>
  <c r="L243" i="4"/>
  <c r="K243" i="4"/>
  <c r="J243" i="4"/>
  <c r="I243" i="4"/>
  <c r="B243" i="4"/>
  <c r="S243" i="4" s="1"/>
  <c r="W242" i="4"/>
  <c r="V242" i="4"/>
  <c r="Y242" i="4" s="1"/>
  <c r="U242" i="4"/>
  <c r="X242" i="4" s="1"/>
  <c r="T242" i="4"/>
  <c r="O242" i="4"/>
  <c r="N242" i="4"/>
  <c r="M242" i="4"/>
  <c r="L242" i="4"/>
  <c r="K242" i="4"/>
  <c r="J242" i="4"/>
  <c r="I242" i="4"/>
  <c r="B242" i="4"/>
  <c r="S242" i="4" s="1"/>
  <c r="W241" i="4"/>
  <c r="V241" i="4"/>
  <c r="Z241" i="4" s="1"/>
  <c r="T241" i="4"/>
  <c r="O241" i="4"/>
  <c r="U241" i="4" s="1"/>
  <c r="X241" i="4" s="1"/>
  <c r="N241" i="4"/>
  <c r="M241" i="4"/>
  <c r="L241" i="4"/>
  <c r="K241" i="4"/>
  <c r="J241" i="4"/>
  <c r="I241" i="4"/>
  <c r="B241" i="4"/>
  <c r="S241" i="4" s="1"/>
  <c r="W240" i="4"/>
  <c r="V240" i="4"/>
  <c r="T240" i="4"/>
  <c r="S240" i="4"/>
  <c r="O240" i="4"/>
  <c r="U240" i="4" s="1"/>
  <c r="X240" i="4" s="1"/>
  <c r="N240" i="4"/>
  <c r="M240" i="4"/>
  <c r="L240" i="4"/>
  <c r="K240" i="4"/>
  <c r="J240" i="4"/>
  <c r="I240" i="4"/>
  <c r="B240" i="4"/>
  <c r="Z239" i="4"/>
  <c r="Y239" i="4"/>
  <c r="X239" i="4"/>
  <c r="W239" i="4"/>
  <c r="V239" i="4"/>
  <c r="T239" i="4"/>
  <c r="S239" i="4"/>
  <c r="O239" i="4"/>
  <c r="U239" i="4" s="1"/>
  <c r="N239" i="4"/>
  <c r="M239" i="4"/>
  <c r="L239" i="4"/>
  <c r="K239" i="4"/>
  <c r="J239" i="4"/>
  <c r="I239" i="4"/>
  <c r="B239" i="4"/>
  <c r="Y238" i="4"/>
  <c r="W238" i="4"/>
  <c r="V238" i="4"/>
  <c r="Z238" i="4" s="1"/>
  <c r="U238" i="4"/>
  <c r="X238" i="4" s="1"/>
  <c r="T238" i="4"/>
  <c r="O238" i="4"/>
  <c r="N238" i="4"/>
  <c r="M238" i="4"/>
  <c r="L238" i="4"/>
  <c r="K238" i="4"/>
  <c r="J238" i="4"/>
  <c r="I238" i="4"/>
  <c r="B238" i="4"/>
  <c r="S238" i="4" s="1"/>
  <c r="Z237" i="4"/>
  <c r="W237" i="4"/>
  <c r="V237" i="4"/>
  <c r="Y237" i="4" s="1"/>
  <c r="T237" i="4"/>
  <c r="O237" i="4"/>
  <c r="U237" i="4" s="1"/>
  <c r="X237" i="4" s="1"/>
  <c r="N237" i="4"/>
  <c r="M237" i="4"/>
  <c r="L237" i="4"/>
  <c r="K237" i="4"/>
  <c r="J237" i="4"/>
  <c r="I237" i="4"/>
  <c r="B237" i="4"/>
  <c r="S237" i="4" s="1"/>
  <c r="X236" i="4"/>
  <c r="W236" i="4"/>
  <c r="V236" i="4"/>
  <c r="T236" i="4"/>
  <c r="O236" i="4"/>
  <c r="U236" i="4" s="1"/>
  <c r="N236" i="4"/>
  <c r="M236" i="4"/>
  <c r="L236" i="4"/>
  <c r="K236" i="4"/>
  <c r="J236" i="4"/>
  <c r="I236" i="4"/>
  <c r="B236" i="4"/>
  <c r="S236" i="4" s="1"/>
  <c r="X235" i="4"/>
  <c r="W235" i="4"/>
  <c r="V235" i="4"/>
  <c r="U235" i="4"/>
  <c r="T235" i="4"/>
  <c r="O235" i="4"/>
  <c r="N235" i="4"/>
  <c r="M235" i="4"/>
  <c r="L235" i="4"/>
  <c r="K235" i="4"/>
  <c r="J235" i="4"/>
  <c r="I235" i="4"/>
  <c r="B235" i="4"/>
  <c r="S235" i="4" s="1"/>
  <c r="Z234" i="4"/>
  <c r="Y234" i="4"/>
  <c r="W234" i="4"/>
  <c r="V234" i="4"/>
  <c r="T234" i="4"/>
  <c r="S234" i="4"/>
  <c r="O234" i="4"/>
  <c r="U234" i="4" s="1"/>
  <c r="X234" i="4" s="1"/>
  <c r="N234" i="4"/>
  <c r="M234" i="4"/>
  <c r="L234" i="4"/>
  <c r="K234" i="4"/>
  <c r="J234" i="4"/>
  <c r="I234" i="4"/>
  <c r="B234" i="4"/>
  <c r="W233" i="4"/>
  <c r="V233" i="4"/>
  <c r="Z233" i="4" s="1"/>
  <c r="U233" i="4"/>
  <c r="X233" i="4" s="1"/>
  <c r="T233" i="4"/>
  <c r="O233" i="4"/>
  <c r="N233" i="4"/>
  <c r="M233" i="4"/>
  <c r="L233" i="4"/>
  <c r="K233" i="4"/>
  <c r="J233" i="4"/>
  <c r="I233" i="4"/>
  <c r="B233" i="4"/>
  <c r="S233" i="4" s="1"/>
  <c r="Z232" i="4"/>
  <c r="W232" i="4"/>
  <c r="V232" i="4"/>
  <c r="Y232" i="4" s="1"/>
  <c r="T232" i="4"/>
  <c r="O232" i="4"/>
  <c r="U232" i="4" s="1"/>
  <c r="X232" i="4" s="1"/>
  <c r="N232" i="4"/>
  <c r="M232" i="4"/>
  <c r="L232" i="4"/>
  <c r="K232" i="4"/>
  <c r="J232" i="4"/>
  <c r="I232" i="4"/>
  <c r="B232" i="4"/>
  <c r="S232" i="4" s="1"/>
  <c r="Z231" i="4"/>
  <c r="W231" i="4"/>
  <c r="V231" i="4"/>
  <c r="Y231" i="4" s="1"/>
  <c r="T231" i="4"/>
  <c r="O231" i="4"/>
  <c r="U231" i="4" s="1"/>
  <c r="X231" i="4" s="1"/>
  <c r="N231" i="4"/>
  <c r="M231" i="4"/>
  <c r="L231" i="4"/>
  <c r="K231" i="4"/>
  <c r="J231" i="4"/>
  <c r="I231" i="4"/>
  <c r="B231" i="4"/>
  <c r="S231" i="4" s="1"/>
  <c r="W230" i="4"/>
  <c r="V230" i="4"/>
  <c r="U230" i="4"/>
  <c r="X230" i="4" s="1"/>
  <c r="T230" i="4"/>
  <c r="O230" i="4"/>
  <c r="N230" i="4"/>
  <c r="M230" i="4"/>
  <c r="L230" i="4"/>
  <c r="K230" i="4"/>
  <c r="J230" i="4"/>
  <c r="I230" i="4"/>
  <c r="B230" i="4"/>
  <c r="S230" i="4" s="1"/>
  <c r="Z229" i="4"/>
  <c r="Y229" i="4"/>
  <c r="X229" i="4"/>
  <c r="W229" i="4"/>
  <c r="V229" i="4"/>
  <c r="T229" i="4"/>
  <c r="S229" i="4"/>
  <c r="O229" i="4"/>
  <c r="U229" i="4" s="1"/>
  <c r="N229" i="4"/>
  <c r="M229" i="4"/>
  <c r="L229" i="4"/>
  <c r="K229" i="4"/>
  <c r="J229" i="4"/>
  <c r="I229" i="4"/>
  <c r="B229" i="4"/>
  <c r="X228" i="4"/>
  <c r="W228" i="4"/>
  <c r="V228" i="4"/>
  <c r="Z228" i="4" s="1"/>
  <c r="U228" i="4"/>
  <c r="T228" i="4"/>
  <c r="O228" i="4"/>
  <c r="N228" i="4"/>
  <c r="M228" i="4"/>
  <c r="L228" i="4"/>
  <c r="K228" i="4"/>
  <c r="J228" i="4"/>
  <c r="I228" i="4"/>
  <c r="B228" i="4"/>
  <c r="S228" i="4" s="1"/>
  <c r="W227" i="4"/>
  <c r="V227" i="4"/>
  <c r="T227" i="4"/>
  <c r="S227" i="4"/>
  <c r="O227" i="4"/>
  <c r="U227" i="4" s="1"/>
  <c r="X227" i="4" s="1"/>
  <c r="N227" i="4"/>
  <c r="M227" i="4"/>
  <c r="L227" i="4"/>
  <c r="K227" i="4"/>
  <c r="J227" i="4"/>
  <c r="I227" i="4"/>
  <c r="B227" i="4"/>
  <c r="Z226" i="4"/>
  <c r="X226" i="4"/>
  <c r="W226" i="4"/>
  <c r="V226" i="4"/>
  <c r="Y226" i="4" s="1"/>
  <c r="T226" i="4"/>
  <c r="O226" i="4"/>
  <c r="U226" i="4" s="1"/>
  <c r="N226" i="4"/>
  <c r="M226" i="4"/>
  <c r="L226" i="4"/>
  <c r="K226" i="4"/>
  <c r="J226" i="4"/>
  <c r="I226" i="4"/>
  <c r="B226" i="4"/>
  <c r="S226" i="4" s="1"/>
  <c r="X225" i="4"/>
  <c r="W225" i="4"/>
  <c r="V225" i="4"/>
  <c r="T225" i="4"/>
  <c r="O225" i="4"/>
  <c r="U225" i="4" s="1"/>
  <c r="N225" i="4"/>
  <c r="M225" i="4"/>
  <c r="L225" i="4"/>
  <c r="K225" i="4"/>
  <c r="J225" i="4"/>
  <c r="I225" i="4"/>
  <c r="B225" i="4"/>
  <c r="S225" i="4" s="1"/>
  <c r="Z224" i="4"/>
  <c r="Y224" i="4"/>
  <c r="X224" i="4"/>
  <c r="W224" i="4"/>
  <c r="V224" i="4"/>
  <c r="T224" i="4"/>
  <c r="S224" i="4"/>
  <c r="O224" i="4"/>
  <c r="U224" i="4" s="1"/>
  <c r="N224" i="4"/>
  <c r="M224" i="4"/>
  <c r="L224" i="4"/>
  <c r="K224" i="4"/>
  <c r="J224" i="4"/>
  <c r="I224" i="4"/>
  <c r="B224" i="4"/>
  <c r="Z223" i="4"/>
  <c r="Y223" i="4"/>
  <c r="W223" i="4"/>
  <c r="V223" i="4"/>
  <c r="U223" i="4"/>
  <c r="X223" i="4" s="1"/>
  <c r="T223" i="4"/>
  <c r="O223" i="4"/>
  <c r="N223" i="4"/>
  <c r="M223" i="4"/>
  <c r="L223" i="4"/>
  <c r="K223" i="4"/>
  <c r="J223" i="4"/>
  <c r="I223" i="4"/>
  <c r="B223" i="4"/>
  <c r="S223" i="4" s="1"/>
  <c r="W222" i="4"/>
  <c r="V222" i="4"/>
  <c r="Y222" i="4" s="1"/>
  <c r="T222" i="4"/>
  <c r="S222" i="4"/>
  <c r="O222" i="4"/>
  <c r="U222" i="4" s="1"/>
  <c r="X222" i="4" s="1"/>
  <c r="N222" i="4"/>
  <c r="M222" i="4"/>
  <c r="L222" i="4"/>
  <c r="K222" i="4"/>
  <c r="J222" i="4"/>
  <c r="I222" i="4"/>
  <c r="B222" i="4"/>
  <c r="Z221" i="4"/>
  <c r="Y221" i="4"/>
  <c r="X221" i="4"/>
  <c r="W221" i="4"/>
  <c r="V221" i="4"/>
  <c r="T221" i="4"/>
  <c r="O221" i="4"/>
  <c r="U221" i="4" s="1"/>
  <c r="N221" i="4"/>
  <c r="M221" i="4"/>
  <c r="L221" i="4"/>
  <c r="K221" i="4"/>
  <c r="J221" i="4"/>
  <c r="I221" i="4"/>
  <c r="B221" i="4"/>
  <c r="S221" i="4" s="1"/>
  <c r="W220" i="4"/>
  <c r="V220" i="4"/>
  <c r="T220" i="4"/>
  <c r="S220" i="4"/>
  <c r="O220" i="4"/>
  <c r="U220" i="4" s="1"/>
  <c r="X220" i="4" s="1"/>
  <c r="N220" i="4"/>
  <c r="M220" i="4"/>
  <c r="L220" i="4"/>
  <c r="K220" i="4"/>
  <c r="J220" i="4"/>
  <c r="I220" i="4"/>
  <c r="B220" i="4"/>
  <c r="Z219" i="4"/>
  <c r="Y219" i="4"/>
  <c r="X219" i="4"/>
  <c r="W219" i="4"/>
  <c r="V219" i="4"/>
  <c r="T219" i="4"/>
  <c r="S219" i="4"/>
  <c r="O219" i="4"/>
  <c r="U219" i="4" s="1"/>
  <c r="N219" i="4"/>
  <c r="M219" i="4"/>
  <c r="L219" i="4"/>
  <c r="K219" i="4"/>
  <c r="J219" i="4"/>
  <c r="I219" i="4"/>
  <c r="B219" i="4"/>
  <c r="Z218" i="4"/>
  <c r="W218" i="4"/>
  <c r="V218" i="4"/>
  <c r="Y218" i="4" s="1"/>
  <c r="U218" i="4"/>
  <c r="X218" i="4" s="1"/>
  <c r="T218" i="4"/>
  <c r="O218" i="4"/>
  <c r="N218" i="4"/>
  <c r="M218" i="4"/>
  <c r="L218" i="4"/>
  <c r="K218" i="4"/>
  <c r="J218" i="4"/>
  <c r="I218" i="4"/>
  <c r="B218" i="4"/>
  <c r="S218" i="4" s="1"/>
  <c r="W217" i="4"/>
  <c r="V217" i="4"/>
  <c r="Y217" i="4" s="1"/>
  <c r="U217" i="4"/>
  <c r="X217" i="4" s="1"/>
  <c r="T217" i="4"/>
  <c r="S217" i="4"/>
  <c r="O217" i="4"/>
  <c r="N217" i="4"/>
  <c r="M217" i="4"/>
  <c r="L217" i="4"/>
  <c r="K217" i="4"/>
  <c r="J217" i="4"/>
  <c r="I217" i="4"/>
  <c r="B217" i="4"/>
  <c r="W216" i="4"/>
  <c r="V216" i="4"/>
  <c r="Z216" i="4" s="1"/>
  <c r="T216" i="4"/>
  <c r="O216" i="4"/>
  <c r="U216" i="4" s="1"/>
  <c r="X216" i="4" s="1"/>
  <c r="N216" i="4"/>
  <c r="M216" i="4"/>
  <c r="L216" i="4"/>
  <c r="K216" i="4"/>
  <c r="J216" i="4"/>
  <c r="I216" i="4"/>
  <c r="B216" i="4"/>
  <c r="S216" i="4" s="1"/>
  <c r="X215" i="4"/>
  <c r="W215" i="4"/>
  <c r="V215" i="4"/>
  <c r="T215" i="4"/>
  <c r="S215" i="4"/>
  <c r="O215" i="4"/>
  <c r="U215" i="4" s="1"/>
  <c r="N215" i="4"/>
  <c r="M215" i="4"/>
  <c r="L215" i="4"/>
  <c r="K215" i="4"/>
  <c r="J215" i="4"/>
  <c r="I215" i="4"/>
  <c r="B215" i="4"/>
  <c r="Z214" i="4"/>
  <c r="Y214" i="4"/>
  <c r="X214" i="4"/>
  <c r="W214" i="4"/>
  <c r="V214" i="4"/>
  <c r="T214" i="4"/>
  <c r="S214" i="4"/>
  <c r="O214" i="4"/>
  <c r="U214" i="4" s="1"/>
  <c r="N214" i="4"/>
  <c r="M214" i="4"/>
  <c r="L214" i="4"/>
  <c r="K214" i="4"/>
  <c r="J214" i="4"/>
  <c r="I214" i="4"/>
  <c r="B214" i="4"/>
  <c r="Y213" i="4"/>
  <c r="W213" i="4"/>
  <c r="V213" i="4"/>
  <c r="Z213" i="4" s="1"/>
  <c r="U213" i="4"/>
  <c r="X213" i="4" s="1"/>
  <c r="T213" i="4"/>
  <c r="O213" i="4"/>
  <c r="N213" i="4"/>
  <c r="M213" i="4"/>
  <c r="L213" i="4"/>
  <c r="K213" i="4"/>
  <c r="J213" i="4"/>
  <c r="I213" i="4"/>
  <c r="B213" i="4"/>
  <c r="S213" i="4" s="1"/>
  <c r="Z212" i="4"/>
  <c r="W212" i="4"/>
  <c r="V212" i="4"/>
  <c r="Y212" i="4" s="1"/>
  <c r="U212" i="4"/>
  <c r="X212" i="4" s="1"/>
  <c r="T212" i="4"/>
  <c r="O212" i="4"/>
  <c r="N212" i="4"/>
  <c r="M212" i="4"/>
  <c r="L212" i="4"/>
  <c r="K212" i="4"/>
  <c r="J212" i="4"/>
  <c r="I212" i="4"/>
  <c r="B212" i="4"/>
  <c r="S212" i="4" s="1"/>
  <c r="X211" i="4"/>
  <c r="W211" i="4"/>
  <c r="V211" i="4"/>
  <c r="T211" i="4"/>
  <c r="O211" i="4"/>
  <c r="U211" i="4" s="1"/>
  <c r="N211" i="4"/>
  <c r="M211" i="4"/>
  <c r="L211" i="4"/>
  <c r="K211" i="4"/>
  <c r="J211" i="4"/>
  <c r="I211" i="4"/>
  <c r="B211" i="4"/>
  <c r="S211" i="4" s="1"/>
  <c r="W210" i="4"/>
  <c r="V210" i="4"/>
  <c r="U210" i="4"/>
  <c r="X210" i="4" s="1"/>
  <c r="T210" i="4"/>
  <c r="S210" i="4"/>
  <c r="O210" i="4"/>
  <c r="N210" i="4"/>
  <c r="M210" i="4"/>
  <c r="L210" i="4"/>
  <c r="K210" i="4"/>
  <c r="J210" i="4"/>
  <c r="I210" i="4"/>
  <c r="B210" i="4"/>
  <c r="Z209" i="4"/>
  <c r="Y209" i="4"/>
  <c r="W209" i="4"/>
  <c r="V209" i="4"/>
  <c r="T209" i="4"/>
  <c r="S209" i="4"/>
  <c r="O209" i="4"/>
  <c r="U209" i="4" s="1"/>
  <c r="X209" i="4" s="1"/>
  <c r="N209" i="4"/>
  <c r="M209" i="4"/>
  <c r="L209" i="4"/>
  <c r="K209" i="4"/>
  <c r="J209" i="4"/>
  <c r="I209" i="4"/>
  <c r="B209" i="4"/>
  <c r="Y208" i="4"/>
  <c r="W208" i="4"/>
  <c r="V208" i="4"/>
  <c r="Z208" i="4" s="1"/>
  <c r="U208" i="4"/>
  <c r="X208" i="4" s="1"/>
  <c r="T208" i="4"/>
  <c r="O208" i="4"/>
  <c r="N208" i="4"/>
  <c r="M208" i="4"/>
  <c r="L208" i="4"/>
  <c r="K208" i="4"/>
  <c r="J208" i="4"/>
  <c r="I208" i="4"/>
  <c r="B208" i="4"/>
  <c r="S208" i="4" s="1"/>
  <c r="Z207" i="4"/>
  <c r="W207" i="4"/>
  <c r="V207" i="4"/>
  <c r="Y207" i="4" s="1"/>
  <c r="T207" i="4"/>
  <c r="O207" i="4"/>
  <c r="U207" i="4" s="1"/>
  <c r="X207" i="4" s="1"/>
  <c r="N207" i="4"/>
  <c r="M207" i="4"/>
  <c r="L207" i="4"/>
  <c r="K207" i="4"/>
  <c r="J207" i="4"/>
  <c r="I207" i="4"/>
  <c r="B207" i="4"/>
  <c r="S207" i="4" s="1"/>
  <c r="X206" i="4"/>
  <c r="W206" i="4"/>
  <c r="V206" i="4"/>
  <c r="Y206" i="4" s="1"/>
  <c r="T206" i="4"/>
  <c r="O206" i="4"/>
  <c r="U206" i="4" s="1"/>
  <c r="N206" i="4"/>
  <c r="M206" i="4"/>
  <c r="L206" i="4"/>
  <c r="K206" i="4"/>
  <c r="J206" i="4"/>
  <c r="I206" i="4"/>
  <c r="B206" i="4"/>
  <c r="S206" i="4" s="1"/>
  <c r="X205" i="4"/>
  <c r="W205" i="4"/>
  <c r="V205" i="4"/>
  <c r="U205" i="4"/>
  <c r="T205" i="4"/>
  <c r="O205" i="4"/>
  <c r="N205" i="4"/>
  <c r="M205" i="4"/>
  <c r="L205" i="4"/>
  <c r="K205" i="4"/>
  <c r="J205" i="4"/>
  <c r="I205" i="4"/>
  <c r="B205" i="4"/>
  <c r="S205" i="4" s="1"/>
  <c r="Z204" i="4"/>
  <c r="Y204" i="4"/>
  <c r="W204" i="4"/>
  <c r="V204" i="4"/>
  <c r="T204" i="4"/>
  <c r="S204" i="4"/>
  <c r="O204" i="4"/>
  <c r="U204" i="4" s="1"/>
  <c r="X204" i="4" s="1"/>
  <c r="N204" i="4"/>
  <c r="M204" i="4"/>
  <c r="L204" i="4"/>
  <c r="K204" i="4"/>
  <c r="J204" i="4"/>
  <c r="I204" i="4"/>
  <c r="B204" i="4"/>
  <c r="Y203" i="4"/>
  <c r="X203" i="4"/>
  <c r="W203" i="4"/>
  <c r="V203" i="4"/>
  <c r="Z203" i="4" s="1"/>
  <c r="U203" i="4"/>
  <c r="T203" i="4"/>
  <c r="O203" i="4"/>
  <c r="N203" i="4"/>
  <c r="M203" i="4"/>
  <c r="L203" i="4"/>
  <c r="K203" i="4"/>
  <c r="J203" i="4"/>
  <c r="I203" i="4"/>
  <c r="B203" i="4"/>
  <c r="S203" i="4" s="1"/>
  <c r="W202" i="4"/>
  <c r="V202" i="4"/>
  <c r="T202" i="4"/>
  <c r="S202" i="4"/>
  <c r="O202" i="4"/>
  <c r="U202" i="4" s="1"/>
  <c r="X202" i="4" s="1"/>
  <c r="N202" i="4"/>
  <c r="M202" i="4"/>
  <c r="L202" i="4"/>
  <c r="K202" i="4"/>
  <c r="J202" i="4"/>
  <c r="I202" i="4"/>
  <c r="B202" i="4"/>
  <c r="X201" i="4"/>
  <c r="W201" i="4"/>
  <c r="V201" i="4"/>
  <c r="Y201" i="4" s="1"/>
  <c r="T201" i="4"/>
  <c r="O201" i="4"/>
  <c r="U201" i="4" s="1"/>
  <c r="N201" i="4"/>
  <c r="M201" i="4"/>
  <c r="L201" i="4"/>
  <c r="K201" i="4"/>
  <c r="J201" i="4"/>
  <c r="I201" i="4"/>
  <c r="B201" i="4"/>
  <c r="S201" i="4" s="1"/>
  <c r="X200" i="4"/>
  <c r="W200" i="4"/>
  <c r="V200" i="4"/>
  <c r="T200" i="4"/>
  <c r="O200" i="4"/>
  <c r="U200" i="4" s="1"/>
  <c r="N200" i="4"/>
  <c r="M200" i="4"/>
  <c r="L200" i="4"/>
  <c r="K200" i="4"/>
  <c r="J200" i="4"/>
  <c r="I200" i="4"/>
  <c r="B200" i="4"/>
  <c r="S200" i="4" s="1"/>
  <c r="Z199" i="4"/>
  <c r="Y199" i="4"/>
  <c r="W199" i="4"/>
  <c r="V199" i="4"/>
  <c r="T199" i="4"/>
  <c r="S199" i="4"/>
  <c r="O199" i="4"/>
  <c r="U199" i="4" s="1"/>
  <c r="X199" i="4" s="1"/>
  <c r="N199" i="4"/>
  <c r="M199" i="4"/>
  <c r="L199" i="4"/>
  <c r="K199" i="4"/>
  <c r="J199" i="4"/>
  <c r="I199" i="4"/>
  <c r="B199" i="4"/>
  <c r="Z198" i="4"/>
  <c r="Y198" i="4"/>
  <c r="W198" i="4"/>
  <c r="V198" i="4"/>
  <c r="U198" i="4"/>
  <c r="X198" i="4" s="1"/>
  <c r="T198" i="4"/>
  <c r="O198" i="4"/>
  <c r="N198" i="4"/>
  <c r="M198" i="4"/>
  <c r="L198" i="4"/>
  <c r="K198" i="4"/>
  <c r="J198" i="4"/>
  <c r="I198" i="4"/>
  <c r="B198" i="4"/>
  <c r="S198" i="4" s="1"/>
  <c r="Z197" i="4"/>
  <c r="W197" i="4"/>
  <c r="V197" i="4"/>
  <c r="Y197" i="4" s="1"/>
  <c r="T197" i="4"/>
  <c r="S197" i="4"/>
  <c r="O197" i="4"/>
  <c r="U197" i="4" s="1"/>
  <c r="X197" i="4" s="1"/>
  <c r="N197" i="4"/>
  <c r="M197" i="4"/>
  <c r="L197" i="4"/>
  <c r="K197" i="4"/>
  <c r="J197" i="4"/>
  <c r="I197" i="4"/>
  <c r="B197" i="4"/>
  <c r="Z196" i="4"/>
  <c r="Y196" i="4"/>
  <c r="W196" i="4"/>
  <c r="V196" i="4"/>
  <c r="T196" i="4"/>
  <c r="O196" i="4"/>
  <c r="U196" i="4" s="1"/>
  <c r="X196" i="4" s="1"/>
  <c r="N196" i="4"/>
  <c r="M196" i="4"/>
  <c r="L196" i="4"/>
  <c r="K196" i="4"/>
  <c r="J196" i="4"/>
  <c r="I196" i="4"/>
  <c r="B196" i="4"/>
  <c r="S196" i="4" s="1"/>
  <c r="W195" i="4"/>
  <c r="V195" i="4"/>
  <c r="T195" i="4"/>
  <c r="S195" i="4"/>
  <c r="O195" i="4"/>
  <c r="U195" i="4" s="1"/>
  <c r="X195" i="4" s="1"/>
  <c r="N195" i="4"/>
  <c r="M195" i="4"/>
  <c r="L195" i="4"/>
  <c r="K195" i="4"/>
  <c r="J195" i="4"/>
  <c r="I195" i="4"/>
  <c r="B195" i="4"/>
  <c r="Z194" i="4"/>
  <c r="Y194" i="4"/>
  <c r="X194" i="4"/>
  <c r="W194" i="4"/>
  <c r="V194" i="4"/>
  <c r="T194" i="4"/>
  <c r="S194" i="4"/>
  <c r="O194" i="4"/>
  <c r="U194" i="4" s="1"/>
  <c r="N194" i="4"/>
  <c r="M194" i="4"/>
  <c r="L194" i="4"/>
  <c r="K194" i="4"/>
  <c r="J194" i="4"/>
  <c r="I194" i="4"/>
  <c r="B194" i="4"/>
  <c r="Z193" i="4"/>
  <c r="W193" i="4"/>
  <c r="V193" i="4"/>
  <c r="Y193" i="4" s="1"/>
  <c r="U193" i="4"/>
  <c r="X193" i="4" s="1"/>
  <c r="T193" i="4"/>
  <c r="O193" i="4"/>
  <c r="N193" i="4"/>
  <c r="M193" i="4"/>
  <c r="L193" i="4"/>
  <c r="K193" i="4"/>
  <c r="J193" i="4"/>
  <c r="I193" i="4"/>
  <c r="B193" i="4"/>
  <c r="S193" i="4" s="1"/>
  <c r="W192" i="4"/>
  <c r="V192" i="4"/>
  <c r="Y192" i="4" s="1"/>
  <c r="U192" i="4"/>
  <c r="X192" i="4" s="1"/>
  <c r="T192" i="4"/>
  <c r="O192" i="4"/>
  <c r="N192" i="4"/>
  <c r="M192" i="4"/>
  <c r="L192" i="4"/>
  <c r="K192" i="4"/>
  <c r="J192" i="4"/>
  <c r="I192" i="4"/>
  <c r="B192" i="4"/>
  <c r="S192" i="4" s="1"/>
  <c r="Z191" i="4"/>
  <c r="W191" i="4"/>
  <c r="V191" i="4"/>
  <c r="Y191" i="4" s="1"/>
  <c r="T191" i="4"/>
  <c r="O191" i="4"/>
  <c r="U191" i="4" s="1"/>
  <c r="X191" i="4" s="1"/>
  <c r="N191" i="4"/>
  <c r="M191" i="4"/>
  <c r="L191" i="4"/>
  <c r="K191" i="4"/>
  <c r="J191" i="4"/>
  <c r="I191" i="4"/>
  <c r="B191" i="4"/>
  <c r="S191" i="4" s="1"/>
  <c r="W190" i="4"/>
  <c r="V190" i="4"/>
  <c r="T190" i="4"/>
  <c r="S190" i="4"/>
  <c r="O190" i="4"/>
  <c r="U190" i="4" s="1"/>
  <c r="X190" i="4" s="1"/>
  <c r="N190" i="4"/>
  <c r="M190" i="4"/>
  <c r="L190" i="4"/>
  <c r="K190" i="4"/>
  <c r="J190" i="4"/>
  <c r="I190" i="4"/>
  <c r="B190" i="4"/>
  <c r="Z189" i="4"/>
  <c r="Y189" i="4"/>
  <c r="X189" i="4"/>
  <c r="W189" i="4"/>
  <c r="V189" i="4"/>
  <c r="T189" i="4"/>
  <c r="S189" i="4"/>
  <c r="O189" i="4"/>
  <c r="U189" i="4" s="1"/>
  <c r="N189" i="4"/>
  <c r="M189" i="4"/>
  <c r="L189" i="4"/>
  <c r="K189" i="4"/>
  <c r="J189" i="4"/>
  <c r="I189" i="4"/>
  <c r="B189" i="4"/>
  <c r="Y188" i="4"/>
  <c r="W188" i="4"/>
  <c r="V188" i="4"/>
  <c r="Z188" i="4" s="1"/>
  <c r="U188" i="4"/>
  <c r="X188" i="4" s="1"/>
  <c r="T188" i="4"/>
  <c r="O188" i="4"/>
  <c r="N188" i="4"/>
  <c r="M188" i="4"/>
  <c r="L188" i="4"/>
  <c r="K188" i="4"/>
  <c r="J188" i="4"/>
  <c r="I188" i="4"/>
  <c r="B188" i="4"/>
  <c r="S188" i="4" s="1"/>
  <c r="W187" i="4"/>
  <c r="V187" i="4"/>
  <c r="Y187" i="4" s="1"/>
  <c r="T187" i="4"/>
  <c r="O187" i="4"/>
  <c r="U187" i="4" s="1"/>
  <c r="X187" i="4" s="1"/>
  <c r="N187" i="4"/>
  <c r="M187" i="4"/>
  <c r="L187" i="4"/>
  <c r="K187" i="4"/>
  <c r="J187" i="4"/>
  <c r="I187" i="4"/>
  <c r="B187" i="4"/>
  <c r="S187" i="4" s="1"/>
  <c r="X186" i="4"/>
  <c r="W186" i="4"/>
  <c r="V186" i="4"/>
  <c r="T186" i="4"/>
  <c r="O186" i="4"/>
  <c r="U186" i="4" s="1"/>
  <c r="N186" i="4"/>
  <c r="M186" i="4"/>
  <c r="L186" i="4"/>
  <c r="K186" i="4"/>
  <c r="J186" i="4"/>
  <c r="I186" i="4"/>
  <c r="B186" i="4"/>
  <c r="S186" i="4" s="1"/>
  <c r="X185" i="4"/>
  <c r="W185" i="4"/>
  <c r="V185" i="4"/>
  <c r="U185" i="4"/>
  <c r="T185" i="4"/>
  <c r="O185" i="4"/>
  <c r="N185" i="4"/>
  <c r="M185" i="4"/>
  <c r="L185" i="4"/>
  <c r="K185" i="4"/>
  <c r="J185" i="4"/>
  <c r="I185" i="4"/>
  <c r="B185" i="4"/>
  <c r="S185" i="4" s="1"/>
  <c r="Z184" i="4"/>
  <c r="Y184" i="4"/>
  <c r="W184" i="4"/>
  <c r="V184" i="4"/>
  <c r="T184" i="4"/>
  <c r="S184" i="4"/>
  <c r="O184" i="4"/>
  <c r="U184" i="4" s="1"/>
  <c r="X184" i="4" s="1"/>
  <c r="N184" i="4"/>
  <c r="M184" i="4"/>
  <c r="L184" i="4"/>
  <c r="K184" i="4"/>
  <c r="J184" i="4"/>
  <c r="I184" i="4"/>
  <c r="B184" i="4"/>
  <c r="W183" i="4"/>
  <c r="V183" i="4"/>
  <c r="Z183" i="4" s="1"/>
  <c r="U183" i="4"/>
  <c r="X183" i="4" s="1"/>
  <c r="T183" i="4"/>
  <c r="O183" i="4"/>
  <c r="N183" i="4"/>
  <c r="M183" i="4"/>
  <c r="L183" i="4"/>
  <c r="K183" i="4"/>
  <c r="J183" i="4"/>
  <c r="I183" i="4"/>
  <c r="B183" i="4"/>
  <c r="S183" i="4" s="1"/>
  <c r="Z182" i="4"/>
  <c r="W182" i="4"/>
  <c r="V182" i="4"/>
  <c r="Y182" i="4" s="1"/>
  <c r="T182" i="4"/>
  <c r="O182" i="4"/>
  <c r="U182" i="4" s="1"/>
  <c r="X182" i="4" s="1"/>
  <c r="N182" i="4"/>
  <c r="M182" i="4"/>
  <c r="L182" i="4"/>
  <c r="K182" i="4"/>
  <c r="J182" i="4"/>
  <c r="I182" i="4"/>
  <c r="B182" i="4"/>
  <c r="S182" i="4" s="1"/>
  <c r="Z181" i="4"/>
  <c r="W181" i="4"/>
  <c r="V181" i="4"/>
  <c r="Y181" i="4" s="1"/>
  <c r="T181" i="4"/>
  <c r="O181" i="4"/>
  <c r="U181" i="4" s="1"/>
  <c r="X181" i="4" s="1"/>
  <c r="N181" i="4"/>
  <c r="M181" i="4"/>
  <c r="L181" i="4"/>
  <c r="K181" i="4"/>
  <c r="J181" i="4"/>
  <c r="I181" i="4"/>
  <c r="B181" i="4"/>
  <c r="S181" i="4" s="1"/>
  <c r="W180" i="4"/>
  <c r="V180" i="4"/>
  <c r="U180" i="4"/>
  <c r="X180" i="4" s="1"/>
  <c r="T180" i="4"/>
  <c r="O180" i="4"/>
  <c r="N180" i="4"/>
  <c r="M180" i="4"/>
  <c r="L180" i="4"/>
  <c r="K180" i="4"/>
  <c r="J180" i="4"/>
  <c r="I180" i="4"/>
  <c r="B180" i="4"/>
  <c r="S180" i="4" s="1"/>
  <c r="Z179" i="4"/>
  <c r="Y179" i="4"/>
  <c r="X179" i="4"/>
  <c r="W179" i="4"/>
  <c r="V179" i="4"/>
  <c r="T179" i="4"/>
  <c r="S179" i="4"/>
  <c r="O179" i="4"/>
  <c r="U179" i="4" s="1"/>
  <c r="N179" i="4"/>
  <c r="M179" i="4"/>
  <c r="L179" i="4"/>
  <c r="K179" i="4"/>
  <c r="J179" i="4"/>
  <c r="I179" i="4"/>
  <c r="B179" i="4"/>
  <c r="X178" i="4"/>
  <c r="W178" i="4"/>
  <c r="V178" i="4"/>
  <c r="Z178" i="4" s="1"/>
  <c r="U178" i="4"/>
  <c r="T178" i="4"/>
  <c r="O178" i="4"/>
  <c r="N178" i="4"/>
  <c r="M178" i="4"/>
  <c r="L178" i="4"/>
  <c r="K178" i="4"/>
  <c r="J178" i="4"/>
  <c r="I178" i="4"/>
  <c r="B178" i="4"/>
  <c r="S178" i="4" s="1"/>
  <c r="W177" i="4"/>
  <c r="V177" i="4"/>
  <c r="T177" i="4"/>
  <c r="S177" i="4"/>
  <c r="O177" i="4"/>
  <c r="U177" i="4" s="1"/>
  <c r="X177" i="4" s="1"/>
  <c r="N177" i="4"/>
  <c r="M177" i="4"/>
  <c r="L177" i="4"/>
  <c r="K177" i="4"/>
  <c r="J177" i="4"/>
  <c r="I177" i="4"/>
  <c r="B177" i="4"/>
  <c r="Z176" i="4"/>
  <c r="X176" i="4"/>
  <c r="W176" i="4"/>
  <c r="V176" i="4"/>
  <c r="Y176" i="4" s="1"/>
  <c r="T176" i="4"/>
  <c r="O176" i="4"/>
  <c r="U176" i="4" s="1"/>
  <c r="N176" i="4"/>
  <c r="M176" i="4"/>
  <c r="L176" i="4"/>
  <c r="K176" i="4"/>
  <c r="J176" i="4"/>
  <c r="I176" i="4"/>
  <c r="B176" i="4"/>
  <c r="S176" i="4" s="1"/>
  <c r="X175" i="4"/>
  <c r="W175" i="4"/>
  <c r="V175" i="4"/>
  <c r="T175" i="4"/>
  <c r="O175" i="4"/>
  <c r="U175" i="4" s="1"/>
  <c r="N175" i="4"/>
  <c r="M175" i="4"/>
  <c r="L175" i="4"/>
  <c r="K175" i="4"/>
  <c r="J175" i="4"/>
  <c r="I175" i="4"/>
  <c r="B175" i="4"/>
  <c r="S175" i="4" s="1"/>
  <c r="Z174" i="4"/>
  <c r="Y174" i="4"/>
  <c r="X174" i="4"/>
  <c r="W174" i="4"/>
  <c r="V174" i="4"/>
  <c r="T174" i="4"/>
  <c r="S174" i="4"/>
  <c r="O174" i="4"/>
  <c r="U174" i="4" s="1"/>
  <c r="N174" i="4"/>
  <c r="M174" i="4"/>
  <c r="L174" i="4"/>
  <c r="K174" i="4"/>
  <c r="J174" i="4"/>
  <c r="I174" i="4"/>
  <c r="B174" i="4"/>
  <c r="Z173" i="4"/>
  <c r="Y173" i="4"/>
  <c r="W173" i="4"/>
  <c r="V173" i="4"/>
  <c r="U173" i="4"/>
  <c r="X173" i="4" s="1"/>
  <c r="T173" i="4"/>
  <c r="O173" i="4"/>
  <c r="N173" i="4"/>
  <c r="M173" i="4"/>
  <c r="L173" i="4"/>
  <c r="K173" i="4"/>
  <c r="J173" i="4"/>
  <c r="I173" i="4"/>
  <c r="B173" i="4"/>
  <c r="S173" i="4" s="1"/>
  <c r="W172" i="4"/>
  <c r="V172" i="4"/>
  <c r="Y172" i="4" s="1"/>
  <c r="T172" i="4"/>
  <c r="S172" i="4"/>
  <c r="O172" i="4"/>
  <c r="U172" i="4" s="1"/>
  <c r="X172" i="4" s="1"/>
  <c r="N172" i="4"/>
  <c r="M172" i="4"/>
  <c r="L172" i="4"/>
  <c r="K172" i="4"/>
  <c r="J172" i="4"/>
  <c r="I172" i="4"/>
  <c r="B172" i="4"/>
  <c r="Z171" i="4"/>
  <c r="Y171" i="4"/>
  <c r="X171" i="4"/>
  <c r="W171" i="4"/>
  <c r="V171" i="4"/>
  <c r="T171" i="4"/>
  <c r="O171" i="4"/>
  <c r="U171" i="4" s="1"/>
  <c r="N171" i="4"/>
  <c r="M171" i="4"/>
  <c r="L171" i="4"/>
  <c r="K171" i="4"/>
  <c r="J171" i="4"/>
  <c r="I171" i="4"/>
  <c r="B171" i="4"/>
  <c r="S171" i="4" s="1"/>
  <c r="W170" i="4"/>
  <c r="V170" i="4"/>
  <c r="T170" i="4"/>
  <c r="S170" i="4"/>
  <c r="O170" i="4"/>
  <c r="U170" i="4" s="1"/>
  <c r="X170" i="4" s="1"/>
  <c r="N170" i="4"/>
  <c r="M170" i="4"/>
  <c r="L170" i="4"/>
  <c r="K170" i="4"/>
  <c r="J170" i="4"/>
  <c r="I170" i="4"/>
  <c r="B170" i="4"/>
  <c r="Z169" i="4"/>
  <c r="Y169" i="4"/>
  <c r="X169" i="4"/>
  <c r="W169" i="4"/>
  <c r="V169" i="4"/>
  <c r="T169" i="4"/>
  <c r="S169" i="4"/>
  <c r="O169" i="4"/>
  <c r="U169" i="4" s="1"/>
  <c r="N169" i="4"/>
  <c r="M169" i="4"/>
  <c r="L169" i="4"/>
  <c r="K169" i="4"/>
  <c r="J169" i="4"/>
  <c r="I169" i="4"/>
  <c r="B169" i="4"/>
  <c r="Z168" i="4"/>
  <c r="W168" i="4"/>
  <c r="V168" i="4"/>
  <c r="Y168" i="4" s="1"/>
  <c r="U168" i="4"/>
  <c r="X168" i="4" s="1"/>
  <c r="T168" i="4"/>
  <c r="O168" i="4"/>
  <c r="N168" i="4"/>
  <c r="M168" i="4"/>
  <c r="L168" i="4"/>
  <c r="K168" i="4"/>
  <c r="J168" i="4"/>
  <c r="I168" i="4"/>
  <c r="B168" i="4"/>
  <c r="S168" i="4" s="1"/>
  <c r="W167" i="4"/>
  <c r="V167" i="4"/>
  <c r="Y167" i="4" s="1"/>
  <c r="U167" i="4"/>
  <c r="X167" i="4" s="1"/>
  <c r="T167" i="4"/>
  <c r="S167" i="4"/>
  <c r="O167" i="4"/>
  <c r="N167" i="4"/>
  <c r="M167" i="4"/>
  <c r="L167" i="4"/>
  <c r="K167" i="4"/>
  <c r="J167" i="4"/>
  <c r="I167" i="4"/>
  <c r="B167" i="4"/>
  <c r="W166" i="4"/>
  <c r="V166" i="4"/>
  <c r="Z166" i="4" s="1"/>
  <c r="T166" i="4"/>
  <c r="O166" i="4"/>
  <c r="U166" i="4" s="1"/>
  <c r="X166" i="4" s="1"/>
  <c r="N166" i="4"/>
  <c r="M166" i="4"/>
  <c r="L166" i="4"/>
  <c r="K166" i="4"/>
  <c r="J166" i="4"/>
  <c r="I166" i="4"/>
  <c r="B166" i="4"/>
  <c r="S166" i="4" s="1"/>
  <c r="X165" i="4"/>
  <c r="W165" i="4"/>
  <c r="V165" i="4"/>
  <c r="T165" i="4"/>
  <c r="S165" i="4"/>
  <c r="O165" i="4"/>
  <c r="U165" i="4" s="1"/>
  <c r="N165" i="4"/>
  <c r="M165" i="4"/>
  <c r="L165" i="4"/>
  <c r="K165" i="4"/>
  <c r="J165" i="4"/>
  <c r="I165" i="4"/>
  <c r="B165" i="4"/>
  <c r="Z164" i="4"/>
  <c r="Y164" i="4"/>
  <c r="X164" i="4"/>
  <c r="W164" i="4"/>
  <c r="V164" i="4"/>
  <c r="T164" i="4"/>
  <c r="S164" i="4"/>
  <c r="O164" i="4"/>
  <c r="U164" i="4" s="1"/>
  <c r="N164" i="4"/>
  <c r="M164" i="4"/>
  <c r="L164" i="4"/>
  <c r="K164" i="4"/>
  <c r="J164" i="4"/>
  <c r="I164" i="4"/>
  <c r="B164" i="4"/>
  <c r="Y163" i="4"/>
  <c r="W163" i="4"/>
  <c r="V163" i="4"/>
  <c r="Z163" i="4" s="1"/>
  <c r="U163" i="4"/>
  <c r="X163" i="4" s="1"/>
  <c r="T163" i="4"/>
  <c r="O163" i="4"/>
  <c r="N163" i="4"/>
  <c r="M163" i="4"/>
  <c r="L163" i="4"/>
  <c r="K163" i="4"/>
  <c r="J163" i="4"/>
  <c r="I163" i="4"/>
  <c r="B163" i="4"/>
  <c r="S163" i="4" s="1"/>
  <c r="Z162" i="4"/>
  <c r="W162" i="4"/>
  <c r="V162" i="4"/>
  <c r="Y162" i="4" s="1"/>
  <c r="U162" i="4"/>
  <c r="X162" i="4" s="1"/>
  <c r="T162" i="4"/>
  <c r="O162" i="4"/>
  <c r="N162" i="4"/>
  <c r="M162" i="4"/>
  <c r="L162" i="4"/>
  <c r="K162" i="4"/>
  <c r="J162" i="4"/>
  <c r="I162" i="4"/>
  <c r="B162" i="4"/>
  <c r="S162" i="4" s="1"/>
  <c r="X161" i="4"/>
  <c r="W161" i="4"/>
  <c r="V161" i="4"/>
  <c r="T161" i="4"/>
  <c r="O161" i="4"/>
  <c r="U161" i="4" s="1"/>
  <c r="N161" i="4"/>
  <c r="M161" i="4"/>
  <c r="L161" i="4"/>
  <c r="K161" i="4"/>
  <c r="J161" i="4"/>
  <c r="I161" i="4"/>
  <c r="B161" i="4"/>
  <c r="S161" i="4" s="1"/>
  <c r="W160" i="4"/>
  <c r="V160" i="4"/>
  <c r="U160" i="4"/>
  <c r="X160" i="4" s="1"/>
  <c r="T160" i="4"/>
  <c r="S160" i="4"/>
  <c r="O160" i="4"/>
  <c r="N160" i="4"/>
  <c r="M160" i="4"/>
  <c r="L160" i="4"/>
  <c r="K160" i="4"/>
  <c r="J160" i="4"/>
  <c r="I160" i="4"/>
  <c r="B160" i="4"/>
  <c r="Z159" i="4"/>
  <c r="Y159" i="4"/>
  <c r="W159" i="4"/>
  <c r="V159" i="4"/>
  <c r="T159" i="4"/>
  <c r="S159" i="4"/>
  <c r="O159" i="4"/>
  <c r="U159" i="4" s="1"/>
  <c r="X159" i="4" s="1"/>
  <c r="N159" i="4"/>
  <c r="M159" i="4"/>
  <c r="L159" i="4"/>
  <c r="K159" i="4"/>
  <c r="J159" i="4"/>
  <c r="I159" i="4"/>
  <c r="B159" i="4"/>
  <c r="Y158" i="4"/>
  <c r="W158" i="4"/>
  <c r="V158" i="4"/>
  <c r="Z158" i="4" s="1"/>
  <c r="U158" i="4"/>
  <c r="X158" i="4" s="1"/>
  <c r="T158" i="4"/>
  <c r="O158" i="4"/>
  <c r="N158" i="4"/>
  <c r="M158" i="4"/>
  <c r="L158" i="4"/>
  <c r="K158" i="4"/>
  <c r="J158" i="4"/>
  <c r="I158" i="4"/>
  <c r="B158" i="4"/>
  <c r="S158" i="4" s="1"/>
  <c r="Z157" i="4"/>
  <c r="W157" i="4"/>
  <c r="V157" i="4"/>
  <c r="Y157" i="4" s="1"/>
  <c r="T157" i="4"/>
  <c r="O157" i="4"/>
  <c r="U157" i="4" s="1"/>
  <c r="X157" i="4" s="1"/>
  <c r="N157" i="4"/>
  <c r="M157" i="4"/>
  <c r="L157" i="4"/>
  <c r="K157" i="4"/>
  <c r="J157" i="4"/>
  <c r="I157" i="4"/>
  <c r="B157" i="4"/>
  <c r="S157" i="4" s="1"/>
  <c r="X156" i="4"/>
  <c r="W156" i="4"/>
  <c r="V156" i="4"/>
  <c r="Y156" i="4" s="1"/>
  <c r="T156" i="4"/>
  <c r="O156" i="4"/>
  <c r="U156" i="4" s="1"/>
  <c r="N156" i="4"/>
  <c r="M156" i="4"/>
  <c r="L156" i="4"/>
  <c r="K156" i="4"/>
  <c r="J156" i="4"/>
  <c r="I156" i="4"/>
  <c r="B156" i="4"/>
  <c r="S156" i="4" s="1"/>
  <c r="X155" i="4"/>
  <c r="W155" i="4"/>
  <c r="V155" i="4"/>
  <c r="U155" i="4"/>
  <c r="T155" i="4"/>
  <c r="O155" i="4"/>
  <c r="N155" i="4"/>
  <c r="M155" i="4"/>
  <c r="L155" i="4"/>
  <c r="K155" i="4"/>
  <c r="J155" i="4"/>
  <c r="I155" i="4"/>
  <c r="B155" i="4"/>
  <c r="S155" i="4" s="1"/>
  <c r="Z154" i="4"/>
  <c r="Y154" i="4"/>
  <c r="W154" i="4"/>
  <c r="V154" i="4"/>
  <c r="T154" i="4"/>
  <c r="S154" i="4"/>
  <c r="O154" i="4"/>
  <c r="U154" i="4" s="1"/>
  <c r="X154" i="4" s="1"/>
  <c r="N154" i="4"/>
  <c r="M154" i="4"/>
  <c r="L154" i="4"/>
  <c r="K154" i="4"/>
  <c r="J154" i="4"/>
  <c r="I154" i="4"/>
  <c r="B154" i="4"/>
  <c r="Y153" i="4"/>
  <c r="X153" i="4"/>
  <c r="W153" i="4"/>
  <c r="V153" i="4"/>
  <c r="Z153" i="4" s="1"/>
  <c r="U153" i="4"/>
  <c r="T153" i="4"/>
  <c r="O153" i="4"/>
  <c r="N153" i="4"/>
  <c r="M153" i="4"/>
  <c r="L153" i="4"/>
  <c r="K153" i="4"/>
  <c r="J153" i="4"/>
  <c r="I153" i="4"/>
  <c r="B153" i="4"/>
  <c r="S153" i="4" s="1"/>
  <c r="W152" i="4"/>
  <c r="V152" i="4"/>
  <c r="T152" i="4"/>
  <c r="S152" i="4"/>
  <c r="O152" i="4"/>
  <c r="U152" i="4" s="1"/>
  <c r="X152" i="4" s="1"/>
  <c r="N152" i="4"/>
  <c r="M152" i="4"/>
  <c r="L152" i="4"/>
  <c r="K152" i="4"/>
  <c r="J152" i="4"/>
  <c r="I152" i="4"/>
  <c r="B152" i="4"/>
  <c r="X151" i="4"/>
  <c r="W151" i="4"/>
  <c r="V151" i="4"/>
  <c r="Y151" i="4" s="1"/>
  <c r="T151" i="4"/>
  <c r="O151" i="4"/>
  <c r="U151" i="4" s="1"/>
  <c r="N151" i="4"/>
  <c r="M151" i="4"/>
  <c r="L151" i="4"/>
  <c r="K151" i="4"/>
  <c r="J151" i="4"/>
  <c r="I151" i="4"/>
  <c r="B151" i="4"/>
  <c r="S151" i="4" s="1"/>
  <c r="X150" i="4"/>
  <c r="W150" i="4"/>
  <c r="V150" i="4"/>
  <c r="T150" i="4"/>
  <c r="O150" i="4"/>
  <c r="U150" i="4" s="1"/>
  <c r="N150" i="4"/>
  <c r="M150" i="4"/>
  <c r="L150" i="4"/>
  <c r="K150" i="4"/>
  <c r="J150" i="4"/>
  <c r="I150" i="4"/>
  <c r="B150" i="4"/>
  <c r="S150" i="4" s="1"/>
  <c r="Z149" i="4"/>
  <c r="Y149" i="4"/>
  <c r="W149" i="4"/>
  <c r="V149" i="4"/>
  <c r="T149" i="4"/>
  <c r="S149" i="4"/>
  <c r="O149" i="4"/>
  <c r="U149" i="4" s="1"/>
  <c r="X149" i="4" s="1"/>
  <c r="N149" i="4"/>
  <c r="M149" i="4"/>
  <c r="L149" i="4"/>
  <c r="K149" i="4"/>
  <c r="J149" i="4"/>
  <c r="I149" i="4"/>
  <c r="B149" i="4"/>
  <c r="Z148" i="4"/>
  <c r="Y148" i="4"/>
  <c r="W148" i="4"/>
  <c r="V148" i="4"/>
  <c r="U148" i="4"/>
  <c r="X148" i="4" s="1"/>
  <c r="T148" i="4"/>
  <c r="O148" i="4"/>
  <c r="N148" i="4"/>
  <c r="M148" i="4"/>
  <c r="L148" i="4"/>
  <c r="K148" i="4"/>
  <c r="J148" i="4"/>
  <c r="I148" i="4"/>
  <c r="B148" i="4"/>
  <c r="S148" i="4" s="1"/>
  <c r="Z147" i="4"/>
  <c r="W147" i="4"/>
  <c r="V147" i="4"/>
  <c r="Y147" i="4" s="1"/>
  <c r="T147" i="4"/>
  <c r="S147" i="4"/>
  <c r="O147" i="4"/>
  <c r="U147" i="4" s="1"/>
  <c r="X147" i="4" s="1"/>
  <c r="N147" i="4"/>
  <c r="M147" i="4"/>
  <c r="L147" i="4"/>
  <c r="K147" i="4"/>
  <c r="J147" i="4"/>
  <c r="I147" i="4"/>
  <c r="B147" i="4"/>
  <c r="Z146" i="4"/>
  <c r="Y146" i="4"/>
  <c r="W146" i="4"/>
  <c r="V146" i="4"/>
  <c r="T146" i="4"/>
  <c r="O146" i="4"/>
  <c r="U146" i="4" s="1"/>
  <c r="X146" i="4" s="1"/>
  <c r="N146" i="4"/>
  <c r="M146" i="4"/>
  <c r="L146" i="4"/>
  <c r="K146" i="4"/>
  <c r="J146" i="4"/>
  <c r="I146" i="4"/>
  <c r="B146" i="4"/>
  <c r="S146" i="4" s="1"/>
  <c r="W145" i="4"/>
  <c r="V145" i="4"/>
  <c r="T145" i="4"/>
  <c r="S145" i="4"/>
  <c r="O145" i="4"/>
  <c r="U145" i="4" s="1"/>
  <c r="X145" i="4" s="1"/>
  <c r="N145" i="4"/>
  <c r="M145" i="4"/>
  <c r="L145" i="4"/>
  <c r="K145" i="4"/>
  <c r="J145" i="4"/>
  <c r="I145" i="4"/>
  <c r="B145" i="4"/>
  <c r="Z144" i="4"/>
  <c r="Y144" i="4"/>
  <c r="X144" i="4"/>
  <c r="W144" i="4"/>
  <c r="V144" i="4"/>
  <c r="T144" i="4"/>
  <c r="S144" i="4"/>
  <c r="O144" i="4"/>
  <c r="U144" i="4" s="1"/>
  <c r="N144" i="4"/>
  <c r="M144" i="4"/>
  <c r="L144" i="4"/>
  <c r="K144" i="4"/>
  <c r="J144" i="4"/>
  <c r="I144" i="4"/>
  <c r="B144" i="4"/>
  <c r="Z143" i="4"/>
  <c r="W143" i="4"/>
  <c r="V143" i="4"/>
  <c r="Y143" i="4" s="1"/>
  <c r="U143" i="4"/>
  <c r="X143" i="4" s="1"/>
  <c r="T143" i="4"/>
  <c r="O143" i="4"/>
  <c r="N143" i="4"/>
  <c r="M143" i="4"/>
  <c r="L143" i="4"/>
  <c r="K143" i="4"/>
  <c r="J143" i="4"/>
  <c r="I143" i="4"/>
  <c r="B143" i="4"/>
  <c r="S143" i="4" s="1"/>
  <c r="W142" i="4"/>
  <c r="V142" i="4"/>
  <c r="Y142" i="4" s="1"/>
  <c r="U142" i="4"/>
  <c r="X142" i="4" s="1"/>
  <c r="T142" i="4"/>
  <c r="O142" i="4"/>
  <c r="N142" i="4"/>
  <c r="M142" i="4"/>
  <c r="L142" i="4"/>
  <c r="K142" i="4"/>
  <c r="J142" i="4"/>
  <c r="I142" i="4"/>
  <c r="B142" i="4"/>
  <c r="S142" i="4" s="1"/>
  <c r="Z141" i="4"/>
  <c r="W141" i="4"/>
  <c r="V141" i="4"/>
  <c r="Y141" i="4" s="1"/>
  <c r="T141" i="4"/>
  <c r="O141" i="4"/>
  <c r="U141" i="4" s="1"/>
  <c r="X141" i="4" s="1"/>
  <c r="N141" i="4"/>
  <c r="M141" i="4"/>
  <c r="L141" i="4"/>
  <c r="K141" i="4"/>
  <c r="J141" i="4"/>
  <c r="I141" i="4"/>
  <c r="B141" i="4"/>
  <c r="S141" i="4" s="1"/>
  <c r="W140" i="4"/>
  <c r="V140" i="4"/>
  <c r="T140" i="4"/>
  <c r="S140" i="4"/>
  <c r="O140" i="4"/>
  <c r="U140" i="4" s="1"/>
  <c r="X140" i="4" s="1"/>
  <c r="N140" i="4"/>
  <c r="M140" i="4"/>
  <c r="L140" i="4"/>
  <c r="K140" i="4"/>
  <c r="J140" i="4"/>
  <c r="I140" i="4"/>
  <c r="B140" i="4"/>
  <c r="Z139" i="4"/>
  <c r="Y139" i="4"/>
  <c r="X139" i="4"/>
  <c r="W139" i="4"/>
  <c r="V139" i="4"/>
  <c r="T139" i="4"/>
  <c r="S139" i="4"/>
  <c r="O139" i="4"/>
  <c r="U139" i="4" s="1"/>
  <c r="N139" i="4"/>
  <c r="M139" i="4"/>
  <c r="L139" i="4"/>
  <c r="K139" i="4"/>
  <c r="J139" i="4"/>
  <c r="I139" i="4"/>
  <c r="B139" i="4"/>
  <c r="Y138" i="4"/>
  <c r="W138" i="4"/>
  <c r="V138" i="4"/>
  <c r="Z138" i="4" s="1"/>
  <c r="U138" i="4"/>
  <c r="X138" i="4" s="1"/>
  <c r="T138" i="4"/>
  <c r="O138" i="4"/>
  <c r="N138" i="4"/>
  <c r="M138" i="4"/>
  <c r="L138" i="4"/>
  <c r="K138" i="4"/>
  <c r="J138" i="4"/>
  <c r="I138" i="4"/>
  <c r="B138" i="4"/>
  <c r="S138" i="4" s="1"/>
  <c r="W137" i="4"/>
  <c r="V137" i="4"/>
  <c r="Y137" i="4" s="1"/>
  <c r="T137" i="4"/>
  <c r="O137" i="4"/>
  <c r="U137" i="4" s="1"/>
  <c r="X137" i="4" s="1"/>
  <c r="N137" i="4"/>
  <c r="M137" i="4"/>
  <c r="L137" i="4"/>
  <c r="K137" i="4"/>
  <c r="J137" i="4"/>
  <c r="I137" i="4"/>
  <c r="B137" i="4"/>
  <c r="S137" i="4" s="1"/>
  <c r="X136" i="4"/>
  <c r="W136" i="4"/>
  <c r="V136" i="4"/>
  <c r="T136" i="4"/>
  <c r="O136" i="4"/>
  <c r="U136" i="4" s="1"/>
  <c r="N136" i="4"/>
  <c r="M136" i="4"/>
  <c r="L136" i="4"/>
  <c r="K136" i="4"/>
  <c r="J136" i="4"/>
  <c r="I136" i="4"/>
  <c r="B136" i="4"/>
  <c r="S136" i="4" s="1"/>
  <c r="X135" i="4"/>
  <c r="W135" i="4"/>
  <c r="V135" i="4"/>
  <c r="U135" i="4"/>
  <c r="T135" i="4"/>
  <c r="O135" i="4"/>
  <c r="N135" i="4"/>
  <c r="M135" i="4"/>
  <c r="L135" i="4"/>
  <c r="K135" i="4"/>
  <c r="J135" i="4"/>
  <c r="I135" i="4"/>
  <c r="B135" i="4"/>
  <c r="S135" i="4" s="1"/>
  <c r="Z134" i="4"/>
  <c r="Y134" i="4"/>
  <c r="W134" i="4"/>
  <c r="V134" i="4"/>
  <c r="T134" i="4"/>
  <c r="S134" i="4"/>
  <c r="O134" i="4"/>
  <c r="U134" i="4" s="1"/>
  <c r="X134" i="4" s="1"/>
  <c r="N134" i="4"/>
  <c r="M134" i="4"/>
  <c r="L134" i="4"/>
  <c r="K134" i="4"/>
  <c r="J134" i="4"/>
  <c r="I134" i="4"/>
  <c r="B134" i="4"/>
  <c r="W133" i="4"/>
  <c r="V133" i="4"/>
  <c r="Z133" i="4" s="1"/>
  <c r="U133" i="4"/>
  <c r="X133" i="4" s="1"/>
  <c r="T133" i="4"/>
  <c r="O133" i="4"/>
  <c r="N133" i="4"/>
  <c r="M133" i="4"/>
  <c r="L133" i="4"/>
  <c r="K133" i="4"/>
  <c r="J133" i="4"/>
  <c r="I133" i="4"/>
  <c r="B133" i="4"/>
  <c r="S133" i="4" s="1"/>
  <c r="Z132" i="4"/>
  <c r="W132" i="4"/>
  <c r="V132" i="4"/>
  <c r="Y132" i="4" s="1"/>
  <c r="T132" i="4"/>
  <c r="O132" i="4"/>
  <c r="U132" i="4" s="1"/>
  <c r="X132" i="4" s="1"/>
  <c r="N132" i="4"/>
  <c r="M132" i="4"/>
  <c r="L132" i="4"/>
  <c r="K132" i="4"/>
  <c r="J132" i="4"/>
  <c r="I132" i="4"/>
  <c r="B132" i="4"/>
  <c r="S132" i="4" s="1"/>
  <c r="Z131" i="4"/>
  <c r="W131" i="4"/>
  <c r="V131" i="4"/>
  <c r="Y131" i="4" s="1"/>
  <c r="T131" i="4"/>
  <c r="O131" i="4"/>
  <c r="U131" i="4" s="1"/>
  <c r="X131" i="4" s="1"/>
  <c r="N131" i="4"/>
  <c r="M131" i="4"/>
  <c r="L131" i="4"/>
  <c r="K131" i="4"/>
  <c r="J131" i="4"/>
  <c r="I131" i="4"/>
  <c r="B131" i="4"/>
  <c r="S131" i="4" s="1"/>
  <c r="W130" i="4"/>
  <c r="V130" i="4"/>
  <c r="U130" i="4"/>
  <c r="X130" i="4" s="1"/>
  <c r="T130" i="4"/>
  <c r="O130" i="4"/>
  <c r="N130" i="4"/>
  <c r="M130" i="4"/>
  <c r="L130" i="4"/>
  <c r="K130" i="4"/>
  <c r="J130" i="4"/>
  <c r="I130" i="4"/>
  <c r="B130" i="4"/>
  <c r="S130" i="4" s="1"/>
  <c r="Z129" i="4"/>
  <c r="Y129" i="4"/>
  <c r="X129" i="4"/>
  <c r="W129" i="4"/>
  <c r="V129" i="4"/>
  <c r="T129" i="4"/>
  <c r="S129" i="4"/>
  <c r="O129" i="4"/>
  <c r="U129" i="4" s="1"/>
  <c r="N129" i="4"/>
  <c r="M129" i="4"/>
  <c r="L129" i="4"/>
  <c r="K129" i="4"/>
  <c r="J129" i="4"/>
  <c r="I129" i="4"/>
  <c r="B129" i="4"/>
  <c r="X128" i="4"/>
  <c r="W128" i="4"/>
  <c r="V128" i="4"/>
  <c r="Z128" i="4" s="1"/>
  <c r="U128" i="4"/>
  <c r="T128" i="4"/>
  <c r="O128" i="4"/>
  <c r="N128" i="4"/>
  <c r="M128" i="4"/>
  <c r="L128" i="4"/>
  <c r="K128" i="4"/>
  <c r="J128" i="4"/>
  <c r="I128" i="4"/>
  <c r="B128" i="4"/>
  <c r="S128" i="4" s="1"/>
  <c r="W127" i="4"/>
  <c r="V127" i="4"/>
  <c r="T127" i="4"/>
  <c r="S127" i="4"/>
  <c r="O127" i="4"/>
  <c r="U127" i="4" s="1"/>
  <c r="X127" i="4" s="1"/>
  <c r="N127" i="4"/>
  <c r="M127" i="4"/>
  <c r="L127" i="4"/>
  <c r="K127" i="4"/>
  <c r="J127" i="4"/>
  <c r="I127" i="4"/>
  <c r="B127" i="4"/>
  <c r="Z126" i="4"/>
  <c r="X126" i="4"/>
  <c r="W126" i="4"/>
  <c r="V126" i="4"/>
  <c r="Y126" i="4" s="1"/>
  <c r="T126" i="4"/>
  <c r="O126" i="4"/>
  <c r="U126" i="4" s="1"/>
  <c r="N126" i="4"/>
  <c r="M126" i="4"/>
  <c r="L126" i="4"/>
  <c r="K126" i="4"/>
  <c r="J126" i="4"/>
  <c r="I126" i="4"/>
  <c r="B126" i="4"/>
  <c r="S126" i="4" s="1"/>
  <c r="X125" i="4"/>
  <c r="W125" i="4"/>
  <c r="V125" i="4"/>
  <c r="T125" i="4"/>
  <c r="O125" i="4"/>
  <c r="U125" i="4" s="1"/>
  <c r="N125" i="4"/>
  <c r="M125" i="4"/>
  <c r="L125" i="4"/>
  <c r="K125" i="4"/>
  <c r="J125" i="4"/>
  <c r="I125" i="4"/>
  <c r="B125" i="4"/>
  <c r="S125" i="4" s="1"/>
  <c r="Z124" i="4"/>
  <c r="Y124" i="4"/>
  <c r="X124" i="4"/>
  <c r="W124" i="4"/>
  <c r="V124" i="4"/>
  <c r="T124" i="4"/>
  <c r="S124" i="4"/>
  <c r="O124" i="4"/>
  <c r="U124" i="4" s="1"/>
  <c r="N124" i="4"/>
  <c r="M124" i="4"/>
  <c r="L124" i="4"/>
  <c r="K124" i="4"/>
  <c r="J124" i="4"/>
  <c r="I124" i="4"/>
  <c r="B124" i="4"/>
  <c r="Z123" i="4"/>
  <c r="Y123" i="4"/>
  <c r="W123" i="4"/>
  <c r="V123" i="4"/>
  <c r="U123" i="4"/>
  <c r="X123" i="4" s="1"/>
  <c r="T123" i="4"/>
  <c r="O123" i="4"/>
  <c r="N123" i="4"/>
  <c r="M123" i="4"/>
  <c r="L123" i="4"/>
  <c r="K123" i="4"/>
  <c r="J123" i="4"/>
  <c r="I123" i="4"/>
  <c r="B123" i="4"/>
  <c r="S123" i="4" s="1"/>
  <c r="W122" i="4"/>
  <c r="V122" i="4"/>
  <c r="Y122" i="4" s="1"/>
  <c r="T122" i="4"/>
  <c r="S122" i="4"/>
  <c r="O122" i="4"/>
  <c r="U122" i="4" s="1"/>
  <c r="X122" i="4" s="1"/>
  <c r="N122" i="4"/>
  <c r="M122" i="4"/>
  <c r="L122" i="4"/>
  <c r="K122" i="4"/>
  <c r="J122" i="4"/>
  <c r="I122" i="4"/>
  <c r="B122" i="4"/>
  <c r="Z121" i="4"/>
  <c r="Y121" i="4"/>
  <c r="X121" i="4"/>
  <c r="W121" i="4"/>
  <c r="V121" i="4"/>
  <c r="T121" i="4"/>
  <c r="O121" i="4"/>
  <c r="U121" i="4" s="1"/>
  <c r="N121" i="4"/>
  <c r="M121" i="4"/>
  <c r="L121" i="4"/>
  <c r="K121" i="4"/>
  <c r="J121" i="4"/>
  <c r="I121" i="4"/>
  <c r="B121" i="4"/>
  <c r="S121" i="4" s="1"/>
  <c r="W120" i="4"/>
  <c r="V120" i="4"/>
  <c r="T120" i="4"/>
  <c r="S120" i="4"/>
  <c r="O120" i="4"/>
  <c r="U120" i="4" s="1"/>
  <c r="X120" i="4" s="1"/>
  <c r="N120" i="4"/>
  <c r="M120" i="4"/>
  <c r="L120" i="4"/>
  <c r="K120" i="4"/>
  <c r="J120" i="4"/>
  <c r="I120" i="4"/>
  <c r="B120" i="4"/>
  <c r="Z119" i="4"/>
  <c r="Y119" i="4"/>
  <c r="X119" i="4"/>
  <c r="W119" i="4"/>
  <c r="V119" i="4"/>
  <c r="T119" i="4"/>
  <c r="S119" i="4"/>
  <c r="O119" i="4"/>
  <c r="U119" i="4" s="1"/>
  <c r="N119" i="4"/>
  <c r="M119" i="4"/>
  <c r="L119" i="4"/>
  <c r="K119" i="4"/>
  <c r="J119" i="4"/>
  <c r="I119" i="4"/>
  <c r="B119" i="4"/>
  <c r="Z118" i="4"/>
  <c r="W118" i="4"/>
  <c r="V118" i="4"/>
  <c r="Y118" i="4" s="1"/>
  <c r="U118" i="4"/>
  <c r="X118" i="4" s="1"/>
  <c r="T118" i="4"/>
  <c r="O118" i="4"/>
  <c r="N118" i="4"/>
  <c r="M118" i="4"/>
  <c r="L118" i="4"/>
  <c r="K118" i="4"/>
  <c r="J118" i="4"/>
  <c r="I118" i="4"/>
  <c r="B118" i="4"/>
  <c r="S118" i="4" s="1"/>
  <c r="W117" i="4"/>
  <c r="V117" i="4"/>
  <c r="Y117" i="4" s="1"/>
  <c r="U117" i="4"/>
  <c r="X117" i="4" s="1"/>
  <c r="T117" i="4"/>
  <c r="S117" i="4"/>
  <c r="O117" i="4"/>
  <c r="N117" i="4"/>
  <c r="M117" i="4"/>
  <c r="L117" i="4"/>
  <c r="K117" i="4"/>
  <c r="J117" i="4"/>
  <c r="I117" i="4"/>
  <c r="B117" i="4"/>
  <c r="W116" i="4"/>
  <c r="V116" i="4"/>
  <c r="Z116" i="4" s="1"/>
  <c r="T116" i="4"/>
  <c r="O116" i="4"/>
  <c r="U116" i="4" s="1"/>
  <c r="X116" i="4" s="1"/>
  <c r="N116" i="4"/>
  <c r="M116" i="4"/>
  <c r="L116" i="4"/>
  <c r="K116" i="4"/>
  <c r="J116" i="4"/>
  <c r="I116" i="4"/>
  <c r="B116" i="4"/>
  <c r="S116" i="4" s="1"/>
  <c r="X115" i="4"/>
  <c r="W115" i="4"/>
  <c r="V115" i="4"/>
  <c r="T115" i="4"/>
  <c r="S115" i="4"/>
  <c r="O115" i="4"/>
  <c r="U115" i="4" s="1"/>
  <c r="N115" i="4"/>
  <c r="M115" i="4"/>
  <c r="L115" i="4"/>
  <c r="K115" i="4"/>
  <c r="J115" i="4"/>
  <c r="I115" i="4"/>
  <c r="B115" i="4"/>
  <c r="Z114" i="4"/>
  <c r="Y114" i="4"/>
  <c r="X114" i="4"/>
  <c r="W114" i="4"/>
  <c r="V114" i="4"/>
  <c r="T114" i="4"/>
  <c r="S114" i="4"/>
  <c r="O114" i="4"/>
  <c r="U114" i="4" s="1"/>
  <c r="N114" i="4"/>
  <c r="M114" i="4"/>
  <c r="L114" i="4"/>
  <c r="K114" i="4"/>
  <c r="J114" i="4"/>
  <c r="I114" i="4"/>
  <c r="B114" i="4"/>
  <c r="Y113" i="4"/>
  <c r="W113" i="4"/>
  <c r="V113" i="4"/>
  <c r="Z113" i="4" s="1"/>
  <c r="U113" i="4"/>
  <c r="X113" i="4" s="1"/>
  <c r="T113" i="4"/>
  <c r="O113" i="4"/>
  <c r="N113" i="4"/>
  <c r="M113" i="4"/>
  <c r="L113" i="4"/>
  <c r="K113" i="4"/>
  <c r="J113" i="4"/>
  <c r="I113" i="4"/>
  <c r="B113" i="4"/>
  <c r="S113" i="4" s="1"/>
  <c r="Z112" i="4"/>
  <c r="W112" i="4"/>
  <c r="V112" i="4"/>
  <c r="Y112" i="4" s="1"/>
  <c r="U112" i="4"/>
  <c r="X112" i="4" s="1"/>
  <c r="T112" i="4"/>
  <c r="O112" i="4"/>
  <c r="N112" i="4"/>
  <c r="M112" i="4"/>
  <c r="L112" i="4"/>
  <c r="K112" i="4"/>
  <c r="J112" i="4"/>
  <c r="I112" i="4"/>
  <c r="B112" i="4"/>
  <c r="S112" i="4" s="1"/>
  <c r="X111" i="4"/>
  <c r="W111" i="4"/>
  <c r="V111" i="4"/>
  <c r="T111" i="4"/>
  <c r="O111" i="4"/>
  <c r="U111" i="4" s="1"/>
  <c r="N111" i="4"/>
  <c r="M111" i="4"/>
  <c r="L111" i="4"/>
  <c r="K111" i="4"/>
  <c r="J111" i="4"/>
  <c r="I111" i="4"/>
  <c r="B111" i="4"/>
  <c r="S111" i="4" s="1"/>
  <c r="W110" i="4"/>
  <c r="V110" i="4"/>
  <c r="U110" i="4"/>
  <c r="X110" i="4" s="1"/>
  <c r="T110" i="4"/>
  <c r="S110" i="4"/>
  <c r="O110" i="4"/>
  <c r="N110" i="4"/>
  <c r="M110" i="4"/>
  <c r="L110" i="4"/>
  <c r="K110" i="4"/>
  <c r="J110" i="4"/>
  <c r="I110" i="4"/>
  <c r="B110" i="4"/>
  <c r="Z109" i="4"/>
  <c r="Y109" i="4"/>
  <c r="W109" i="4"/>
  <c r="V109" i="4"/>
  <c r="T109" i="4"/>
  <c r="S109" i="4"/>
  <c r="O109" i="4"/>
  <c r="U109" i="4" s="1"/>
  <c r="X109" i="4" s="1"/>
  <c r="N109" i="4"/>
  <c r="M109" i="4"/>
  <c r="L109" i="4"/>
  <c r="K109" i="4"/>
  <c r="J109" i="4"/>
  <c r="I109" i="4"/>
  <c r="B109" i="4"/>
  <c r="Y108" i="4"/>
  <c r="W108" i="4"/>
  <c r="V108" i="4"/>
  <c r="Z108" i="4" s="1"/>
  <c r="U108" i="4"/>
  <c r="X108" i="4" s="1"/>
  <c r="T108" i="4"/>
  <c r="O108" i="4"/>
  <c r="N108" i="4"/>
  <c r="M108" i="4"/>
  <c r="L108" i="4"/>
  <c r="K108" i="4"/>
  <c r="J108" i="4"/>
  <c r="I108" i="4"/>
  <c r="B108" i="4"/>
  <c r="S108" i="4" s="1"/>
  <c r="Z107" i="4"/>
  <c r="W107" i="4"/>
  <c r="V107" i="4"/>
  <c r="Y107" i="4" s="1"/>
  <c r="T107" i="4"/>
  <c r="O107" i="4"/>
  <c r="U107" i="4" s="1"/>
  <c r="X107" i="4" s="1"/>
  <c r="N107" i="4"/>
  <c r="M107" i="4"/>
  <c r="L107" i="4"/>
  <c r="K107" i="4"/>
  <c r="J107" i="4"/>
  <c r="I107" i="4"/>
  <c r="B107" i="4"/>
  <c r="S107" i="4" s="1"/>
  <c r="X106" i="4"/>
  <c r="W106" i="4"/>
  <c r="V106" i="4"/>
  <c r="Y106" i="4" s="1"/>
  <c r="T106" i="4"/>
  <c r="O106" i="4"/>
  <c r="U106" i="4" s="1"/>
  <c r="N106" i="4"/>
  <c r="M106" i="4"/>
  <c r="L106" i="4"/>
  <c r="K106" i="4"/>
  <c r="J106" i="4"/>
  <c r="I106" i="4"/>
  <c r="B106" i="4"/>
  <c r="S106" i="4" s="1"/>
  <c r="X105" i="4"/>
  <c r="W105" i="4"/>
  <c r="V105" i="4"/>
  <c r="U105" i="4"/>
  <c r="T105" i="4"/>
  <c r="O105" i="4"/>
  <c r="N105" i="4"/>
  <c r="M105" i="4"/>
  <c r="L105" i="4"/>
  <c r="K105" i="4"/>
  <c r="J105" i="4"/>
  <c r="I105" i="4"/>
  <c r="B105" i="4"/>
  <c r="S105" i="4" s="1"/>
  <c r="Z104" i="4"/>
  <c r="Y104" i="4"/>
  <c r="W104" i="4"/>
  <c r="V104" i="4"/>
  <c r="T104" i="4"/>
  <c r="S104" i="4"/>
  <c r="O104" i="4"/>
  <c r="U104" i="4" s="1"/>
  <c r="X104" i="4" s="1"/>
  <c r="N104" i="4"/>
  <c r="M104" i="4"/>
  <c r="L104" i="4"/>
  <c r="K104" i="4"/>
  <c r="J104" i="4"/>
  <c r="I104" i="4"/>
  <c r="B104" i="4"/>
  <c r="Y103" i="4"/>
  <c r="X103" i="4"/>
  <c r="W103" i="4"/>
  <c r="V103" i="4"/>
  <c r="Z103" i="4" s="1"/>
  <c r="U103" i="4"/>
  <c r="T103" i="4"/>
  <c r="O103" i="4"/>
  <c r="N103" i="4"/>
  <c r="M103" i="4"/>
  <c r="L103" i="4"/>
  <c r="K103" i="4"/>
  <c r="J103" i="4"/>
  <c r="I103" i="4"/>
  <c r="B103" i="4"/>
  <c r="S103" i="4" s="1"/>
  <c r="W102" i="4"/>
  <c r="V102" i="4"/>
  <c r="T102" i="4"/>
  <c r="S102" i="4"/>
  <c r="O102" i="4"/>
  <c r="U102" i="4" s="1"/>
  <c r="X102" i="4" s="1"/>
  <c r="N102" i="4"/>
  <c r="M102" i="4"/>
  <c r="L102" i="4"/>
  <c r="K102" i="4"/>
  <c r="J102" i="4"/>
  <c r="I102" i="4"/>
  <c r="B102" i="4"/>
  <c r="X101" i="4"/>
  <c r="W101" i="4"/>
  <c r="V101" i="4"/>
  <c r="Y101" i="4" s="1"/>
  <c r="T101" i="4"/>
  <c r="O101" i="4"/>
  <c r="U101" i="4" s="1"/>
  <c r="N101" i="4"/>
  <c r="M101" i="4"/>
  <c r="L101" i="4"/>
  <c r="K101" i="4"/>
  <c r="J101" i="4"/>
  <c r="I101" i="4"/>
  <c r="B101" i="4"/>
  <c r="S101" i="4" s="1"/>
  <c r="X100" i="4"/>
  <c r="W100" i="4"/>
  <c r="V100" i="4"/>
  <c r="T100" i="4"/>
  <c r="O100" i="4"/>
  <c r="U100" i="4" s="1"/>
  <c r="N100" i="4"/>
  <c r="M100" i="4"/>
  <c r="L100" i="4"/>
  <c r="K100" i="4"/>
  <c r="J100" i="4"/>
  <c r="I100" i="4"/>
  <c r="B100" i="4"/>
  <c r="S100" i="4" s="1"/>
  <c r="Z99" i="4"/>
  <c r="Y99" i="4"/>
  <c r="W99" i="4"/>
  <c r="V99" i="4"/>
  <c r="T99" i="4"/>
  <c r="S99" i="4"/>
  <c r="O99" i="4"/>
  <c r="U99" i="4" s="1"/>
  <c r="X99" i="4" s="1"/>
  <c r="N99" i="4"/>
  <c r="M99" i="4"/>
  <c r="L99" i="4"/>
  <c r="K99" i="4"/>
  <c r="J99" i="4"/>
  <c r="I99" i="4"/>
  <c r="B99" i="4"/>
  <c r="Z98" i="4"/>
  <c r="Y98" i="4"/>
  <c r="W98" i="4"/>
  <c r="V98" i="4"/>
  <c r="U98" i="4"/>
  <c r="X98" i="4" s="1"/>
  <c r="T98" i="4"/>
  <c r="O98" i="4"/>
  <c r="N98" i="4"/>
  <c r="M98" i="4"/>
  <c r="L98" i="4"/>
  <c r="K98" i="4"/>
  <c r="J98" i="4"/>
  <c r="I98" i="4"/>
  <c r="B98" i="4"/>
  <c r="S98" i="4" s="1"/>
  <c r="Z97" i="4"/>
  <c r="W97" i="4"/>
  <c r="V97" i="4"/>
  <c r="Y97" i="4" s="1"/>
  <c r="T97" i="4"/>
  <c r="S97" i="4"/>
  <c r="O97" i="4"/>
  <c r="U97" i="4" s="1"/>
  <c r="X97" i="4" s="1"/>
  <c r="N97" i="4"/>
  <c r="M97" i="4"/>
  <c r="L97" i="4"/>
  <c r="K97" i="4"/>
  <c r="J97" i="4"/>
  <c r="I97" i="4"/>
  <c r="B97" i="4"/>
  <c r="Z96" i="4"/>
  <c r="Y96" i="4"/>
  <c r="W96" i="4"/>
  <c r="V96" i="4"/>
  <c r="T96" i="4"/>
  <c r="O96" i="4"/>
  <c r="U96" i="4" s="1"/>
  <c r="X96" i="4" s="1"/>
  <c r="N96" i="4"/>
  <c r="M96" i="4"/>
  <c r="L96" i="4"/>
  <c r="K96" i="4"/>
  <c r="J96" i="4"/>
  <c r="I96" i="4"/>
  <c r="B96" i="4"/>
  <c r="S96" i="4" s="1"/>
  <c r="W95" i="4"/>
  <c r="V95" i="4"/>
  <c r="T95" i="4"/>
  <c r="S95" i="4"/>
  <c r="O95" i="4"/>
  <c r="U95" i="4" s="1"/>
  <c r="X95" i="4" s="1"/>
  <c r="N95" i="4"/>
  <c r="M95" i="4"/>
  <c r="L95" i="4"/>
  <c r="K95" i="4"/>
  <c r="J95" i="4"/>
  <c r="I95" i="4"/>
  <c r="B95" i="4"/>
  <c r="Z94" i="4"/>
  <c r="Y94" i="4"/>
  <c r="X94" i="4"/>
  <c r="W94" i="4"/>
  <c r="V94" i="4"/>
  <c r="T94" i="4"/>
  <c r="S94" i="4"/>
  <c r="O94" i="4"/>
  <c r="U94" i="4" s="1"/>
  <c r="N94" i="4"/>
  <c r="M94" i="4"/>
  <c r="L94" i="4"/>
  <c r="K94" i="4"/>
  <c r="J94" i="4"/>
  <c r="I94" i="4"/>
  <c r="B94" i="4"/>
  <c r="Z93" i="4"/>
  <c r="W93" i="4"/>
  <c r="V93" i="4"/>
  <c r="Y93" i="4" s="1"/>
  <c r="U93" i="4"/>
  <c r="X93" i="4" s="1"/>
  <c r="T93" i="4"/>
  <c r="O93" i="4"/>
  <c r="N93" i="4"/>
  <c r="M93" i="4"/>
  <c r="L93" i="4"/>
  <c r="K93" i="4"/>
  <c r="J93" i="4"/>
  <c r="I93" i="4"/>
  <c r="B93" i="4"/>
  <c r="S93" i="4" s="1"/>
  <c r="W92" i="4"/>
  <c r="V92" i="4"/>
  <c r="Y92" i="4" s="1"/>
  <c r="U92" i="4"/>
  <c r="X92" i="4" s="1"/>
  <c r="T92" i="4"/>
  <c r="O92" i="4"/>
  <c r="N92" i="4"/>
  <c r="M92" i="4"/>
  <c r="L92" i="4"/>
  <c r="K92" i="4"/>
  <c r="J92" i="4"/>
  <c r="I92" i="4"/>
  <c r="B92" i="4"/>
  <c r="S92" i="4" s="1"/>
  <c r="Z91" i="4"/>
  <c r="W91" i="4"/>
  <c r="V91" i="4"/>
  <c r="Y91" i="4" s="1"/>
  <c r="T91" i="4"/>
  <c r="O91" i="4"/>
  <c r="U91" i="4" s="1"/>
  <c r="X91" i="4" s="1"/>
  <c r="N91" i="4"/>
  <c r="M91" i="4"/>
  <c r="L91" i="4"/>
  <c r="K91" i="4"/>
  <c r="J91" i="4"/>
  <c r="I91" i="4"/>
  <c r="B91" i="4"/>
  <c r="S91" i="4" s="1"/>
  <c r="W90" i="4"/>
  <c r="V90" i="4"/>
  <c r="T90" i="4"/>
  <c r="S90" i="4"/>
  <c r="O90" i="4"/>
  <c r="U90" i="4" s="1"/>
  <c r="X90" i="4" s="1"/>
  <c r="N90" i="4"/>
  <c r="M90" i="4"/>
  <c r="L90" i="4"/>
  <c r="K90" i="4"/>
  <c r="J90" i="4"/>
  <c r="I90" i="4"/>
  <c r="B90" i="4"/>
  <c r="Z89" i="4"/>
  <c r="Y89" i="4"/>
  <c r="X89" i="4"/>
  <c r="W89" i="4"/>
  <c r="V89" i="4"/>
  <c r="T89" i="4"/>
  <c r="S89" i="4"/>
  <c r="O89" i="4"/>
  <c r="U89" i="4" s="1"/>
  <c r="N89" i="4"/>
  <c r="M89" i="4"/>
  <c r="L89" i="4"/>
  <c r="K89" i="4"/>
  <c r="J89" i="4"/>
  <c r="I89" i="4"/>
  <c r="B89" i="4"/>
  <c r="Y88" i="4"/>
  <c r="W88" i="4"/>
  <c r="V88" i="4"/>
  <c r="Z88" i="4" s="1"/>
  <c r="U88" i="4"/>
  <c r="X88" i="4" s="1"/>
  <c r="T88" i="4"/>
  <c r="O88" i="4"/>
  <c r="N88" i="4"/>
  <c r="M88" i="4"/>
  <c r="L88" i="4"/>
  <c r="K88" i="4"/>
  <c r="J88" i="4"/>
  <c r="I88" i="4"/>
  <c r="B88" i="4"/>
  <c r="S88" i="4" s="1"/>
  <c r="W87" i="4"/>
  <c r="V87" i="4"/>
  <c r="Y87" i="4" s="1"/>
  <c r="U87" i="4"/>
  <c r="X87" i="4" s="1"/>
  <c r="T87" i="4"/>
  <c r="O87" i="4"/>
  <c r="N87" i="4"/>
  <c r="M87" i="4"/>
  <c r="L87" i="4"/>
  <c r="K87" i="4"/>
  <c r="J87" i="4"/>
  <c r="I87" i="4"/>
  <c r="B87" i="4"/>
  <c r="S87" i="4" s="1"/>
  <c r="X86" i="4"/>
  <c r="W86" i="4"/>
  <c r="V86" i="4"/>
  <c r="T86" i="4"/>
  <c r="O86" i="4"/>
  <c r="U86" i="4" s="1"/>
  <c r="N86" i="4"/>
  <c r="M86" i="4"/>
  <c r="L86" i="4"/>
  <c r="K86" i="4"/>
  <c r="J86" i="4"/>
  <c r="I86" i="4"/>
  <c r="B86" i="4"/>
  <c r="S86" i="4" s="1"/>
  <c r="X85" i="4"/>
  <c r="W85" i="4"/>
  <c r="V85" i="4"/>
  <c r="U85" i="4"/>
  <c r="T85" i="4"/>
  <c r="O85" i="4"/>
  <c r="N85" i="4"/>
  <c r="M85" i="4"/>
  <c r="L85" i="4"/>
  <c r="K85" i="4"/>
  <c r="J85" i="4"/>
  <c r="I85" i="4"/>
  <c r="B85" i="4"/>
  <c r="S85" i="4" s="1"/>
  <c r="Z84" i="4"/>
  <c r="Y84" i="4"/>
  <c r="W84" i="4"/>
  <c r="V84" i="4"/>
  <c r="T84" i="4"/>
  <c r="S84" i="4"/>
  <c r="O84" i="4"/>
  <c r="U84" i="4" s="1"/>
  <c r="X84" i="4" s="1"/>
  <c r="N84" i="4"/>
  <c r="M84" i="4"/>
  <c r="L84" i="4"/>
  <c r="K84" i="4"/>
  <c r="J84" i="4"/>
  <c r="I84" i="4"/>
  <c r="B84" i="4"/>
  <c r="Y83" i="4"/>
  <c r="X83" i="4"/>
  <c r="W83" i="4"/>
  <c r="V83" i="4"/>
  <c r="Z83" i="4" s="1"/>
  <c r="U83" i="4"/>
  <c r="T83" i="4"/>
  <c r="O83" i="4"/>
  <c r="N83" i="4"/>
  <c r="M83" i="4"/>
  <c r="L83" i="4"/>
  <c r="K83" i="4"/>
  <c r="J83" i="4"/>
  <c r="I83" i="4"/>
  <c r="B83" i="4"/>
  <c r="S83" i="4" s="1"/>
  <c r="Z82" i="4"/>
  <c r="W82" i="4"/>
  <c r="V82" i="4"/>
  <c r="Y82" i="4" s="1"/>
  <c r="T82" i="4"/>
  <c r="O82" i="4"/>
  <c r="U82" i="4" s="1"/>
  <c r="X82" i="4" s="1"/>
  <c r="N82" i="4"/>
  <c r="M82" i="4"/>
  <c r="L82" i="4"/>
  <c r="K82" i="4"/>
  <c r="J82" i="4"/>
  <c r="I82" i="4"/>
  <c r="B82" i="4"/>
  <c r="S82" i="4" s="1"/>
  <c r="W81" i="4"/>
  <c r="V81" i="4"/>
  <c r="Y81" i="4" s="1"/>
  <c r="T81" i="4"/>
  <c r="O81" i="4"/>
  <c r="U81" i="4" s="1"/>
  <c r="X81" i="4" s="1"/>
  <c r="N81" i="4"/>
  <c r="M81" i="4"/>
  <c r="L81" i="4"/>
  <c r="K81" i="4"/>
  <c r="J81" i="4"/>
  <c r="I81" i="4"/>
  <c r="B81" i="4"/>
  <c r="S81" i="4" s="1"/>
  <c r="W80" i="4"/>
  <c r="V80" i="4"/>
  <c r="U80" i="4"/>
  <c r="X80" i="4" s="1"/>
  <c r="T80" i="4"/>
  <c r="O80" i="4"/>
  <c r="N80" i="4"/>
  <c r="M80" i="4"/>
  <c r="L80" i="4"/>
  <c r="K80" i="4"/>
  <c r="J80" i="4"/>
  <c r="I80" i="4"/>
  <c r="B80" i="4"/>
  <c r="S80" i="4" s="1"/>
  <c r="Z79" i="4"/>
  <c r="Y79" i="4"/>
  <c r="X79" i="4"/>
  <c r="W79" i="4"/>
  <c r="V79" i="4"/>
  <c r="T79" i="4"/>
  <c r="S79" i="4"/>
  <c r="O79" i="4"/>
  <c r="U79" i="4" s="1"/>
  <c r="N79" i="4"/>
  <c r="M79" i="4"/>
  <c r="L79" i="4"/>
  <c r="K79" i="4"/>
  <c r="J79" i="4"/>
  <c r="I79" i="4"/>
  <c r="B79" i="4"/>
  <c r="X78" i="4"/>
  <c r="W78" i="4"/>
  <c r="V78" i="4"/>
  <c r="Z78" i="4" s="1"/>
  <c r="U78" i="4"/>
  <c r="T78" i="4"/>
  <c r="O78" i="4"/>
  <c r="N78" i="4"/>
  <c r="M78" i="4"/>
  <c r="L78" i="4"/>
  <c r="K78" i="4"/>
  <c r="J78" i="4"/>
  <c r="I78" i="4"/>
  <c r="B78" i="4"/>
  <c r="S78" i="4" s="1"/>
  <c r="W77" i="4"/>
  <c r="V77" i="4"/>
  <c r="T77" i="4"/>
  <c r="S77" i="4"/>
  <c r="O77" i="4"/>
  <c r="U77" i="4" s="1"/>
  <c r="X77" i="4" s="1"/>
  <c r="N77" i="4"/>
  <c r="M77" i="4"/>
  <c r="L77" i="4"/>
  <c r="K77" i="4"/>
  <c r="J77" i="4"/>
  <c r="I77" i="4"/>
  <c r="B77" i="4"/>
  <c r="Z76" i="4"/>
  <c r="X76" i="4"/>
  <c r="W76" i="4"/>
  <c r="V76" i="4"/>
  <c r="Y76" i="4" s="1"/>
  <c r="T76" i="4"/>
  <c r="O76" i="4"/>
  <c r="U76" i="4" s="1"/>
  <c r="N76" i="4"/>
  <c r="M76" i="4"/>
  <c r="L76" i="4"/>
  <c r="K76" i="4"/>
  <c r="J76" i="4"/>
  <c r="I76" i="4"/>
  <c r="B76" i="4"/>
  <c r="S76" i="4" s="1"/>
  <c r="W75" i="4"/>
  <c r="V75" i="4"/>
  <c r="T75" i="4"/>
  <c r="O75" i="4"/>
  <c r="U75" i="4" s="1"/>
  <c r="X75" i="4" s="1"/>
  <c r="N75" i="4"/>
  <c r="M75" i="4"/>
  <c r="L75" i="4"/>
  <c r="K75" i="4"/>
  <c r="J75" i="4"/>
  <c r="I75" i="4"/>
  <c r="B75" i="4"/>
  <c r="S75" i="4" s="1"/>
  <c r="Z74" i="4"/>
  <c r="Y74" i="4"/>
  <c r="X74" i="4"/>
  <c r="W74" i="4"/>
  <c r="V74" i="4"/>
  <c r="T74" i="4"/>
  <c r="S74" i="4"/>
  <c r="O74" i="4"/>
  <c r="U74" i="4" s="1"/>
  <c r="N74" i="4"/>
  <c r="M74" i="4"/>
  <c r="L74" i="4"/>
  <c r="K74" i="4"/>
  <c r="J74" i="4"/>
  <c r="I74" i="4"/>
  <c r="B74" i="4"/>
  <c r="Z73" i="4"/>
  <c r="Y73" i="4"/>
  <c r="W73" i="4"/>
  <c r="V73" i="4"/>
  <c r="U73" i="4"/>
  <c r="X73" i="4" s="1"/>
  <c r="T73" i="4"/>
  <c r="O73" i="4"/>
  <c r="N73" i="4"/>
  <c r="M73" i="4"/>
  <c r="L73" i="4"/>
  <c r="K73" i="4"/>
  <c r="J73" i="4"/>
  <c r="I73" i="4"/>
  <c r="B73" i="4"/>
  <c r="S73" i="4" s="1"/>
  <c r="Z72" i="4"/>
  <c r="W72" i="4"/>
  <c r="V72" i="4"/>
  <c r="Y72" i="4" s="1"/>
  <c r="T72" i="4"/>
  <c r="S72" i="4"/>
  <c r="O72" i="4"/>
  <c r="U72" i="4" s="1"/>
  <c r="X72" i="4" s="1"/>
  <c r="N72" i="4"/>
  <c r="M72" i="4"/>
  <c r="L72" i="4"/>
  <c r="K72" i="4"/>
  <c r="J72" i="4"/>
  <c r="I72" i="4"/>
  <c r="B72" i="4"/>
  <c r="Z71" i="4"/>
  <c r="Y71" i="4"/>
  <c r="W71" i="4"/>
  <c r="V71" i="4"/>
  <c r="T71" i="4"/>
  <c r="O71" i="4"/>
  <c r="U71" i="4" s="1"/>
  <c r="X71" i="4" s="1"/>
  <c r="N71" i="4"/>
  <c r="M71" i="4"/>
  <c r="L71" i="4"/>
  <c r="K71" i="4"/>
  <c r="J71" i="4"/>
  <c r="I71" i="4"/>
  <c r="B71" i="4"/>
  <c r="S71" i="4" s="1"/>
  <c r="W70" i="4"/>
  <c r="V70" i="4"/>
  <c r="T70" i="4"/>
  <c r="S70" i="4"/>
  <c r="O70" i="4"/>
  <c r="U70" i="4" s="1"/>
  <c r="X70" i="4" s="1"/>
  <c r="N70" i="4"/>
  <c r="M70" i="4"/>
  <c r="L70" i="4"/>
  <c r="K70" i="4"/>
  <c r="J70" i="4"/>
  <c r="I70" i="4"/>
  <c r="B70" i="4"/>
  <c r="Z69" i="4"/>
  <c r="Y69" i="4"/>
  <c r="X69" i="4"/>
  <c r="W69" i="4"/>
  <c r="V69" i="4"/>
  <c r="T69" i="4"/>
  <c r="S69" i="4"/>
  <c r="O69" i="4"/>
  <c r="U69" i="4" s="1"/>
  <c r="N69" i="4"/>
  <c r="M69" i="4"/>
  <c r="L69" i="4"/>
  <c r="K69" i="4"/>
  <c r="J69" i="4"/>
  <c r="I69" i="4"/>
  <c r="B69" i="4"/>
  <c r="Z68" i="4"/>
  <c r="W68" i="4"/>
  <c r="V68" i="4"/>
  <c r="Y68" i="4" s="1"/>
  <c r="U68" i="4"/>
  <c r="X68" i="4" s="1"/>
  <c r="T68" i="4"/>
  <c r="O68" i="4"/>
  <c r="N68" i="4"/>
  <c r="M68" i="4"/>
  <c r="L68" i="4"/>
  <c r="K68" i="4"/>
  <c r="J68" i="4"/>
  <c r="I68" i="4"/>
  <c r="B68" i="4"/>
  <c r="S68" i="4" s="1"/>
  <c r="W67" i="4"/>
  <c r="V67" i="4"/>
  <c r="Y67" i="4" s="1"/>
  <c r="U67" i="4"/>
  <c r="T67" i="4"/>
  <c r="B67" i="4" s="1"/>
  <c r="O67" i="4"/>
  <c r="X66" i="4"/>
  <c r="W66" i="4"/>
  <c r="V66" i="4"/>
  <c r="Z66" i="4" s="1"/>
  <c r="T66" i="4"/>
  <c r="O66" i="4"/>
  <c r="U66" i="4" s="1"/>
  <c r="X65" i="4"/>
  <c r="W65" i="4"/>
  <c r="V65" i="4"/>
  <c r="T65" i="4"/>
  <c r="B65" i="4" s="1"/>
  <c r="O65" i="4"/>
  <c r="U65" i="4" s="1"/>
  <c r="Z64" i="4"/>
  <c r="Y64" i="4"/>
  <c r="W64" i="4"/>
  <c r="V64" i="4"/>
  <c r="T64" i="4"/>
  <c r="O64" i="4"/>
  <c r="U64" i="4" s="1"/>
  <c r="W63" i="4"/>
  <c r="V63" i="4"/>
  <c r="Z63" i="4" s="1"/>
  <c r="U63" i="4"/>
  <c r="X63" i="4" s="1"/>
  <c r="T63" i="4"/>
  <c r="B63" i="4" s="1"/>
  <c r="O63" i="4"/>
  <c r="W62" i="4"/>
  <c r="V62" i="4"/>
  <c r="Y62" i="4" s="1"/>
  <c r="U62" i="4"/>
  <c r="T62" i="4"/>
  <c r="B62" i="4" s="1"/>
  <c r="O62" i="4"/>
  <c r="Z61" i="4"/>
  <c r="Y61" i="4"/>
  <c r="W61" i="4"/>
  <c r="K61" i="4" s="1"/>
  <c r="V61" i="4"/>
  <c r="T61" i="4"/>
  <c r="O61" i="4"/>
  <c r="U61" i="4" s="1"/>
  <c r="X61" i="4" s="1"/>
  <c r="W60" i="4"/>
  <c r="V60" i="4"/>
  <c r="U60" i="4"/>
  <c r="T60" i="4"/>
  <c r="O60" i="4"/>
  <c r="Z59" i="4"/>
  <c r="Y59" i="4"/>
  <c r="X59" i="4"/>
  <c r="W59" i="4"/>
  <c r="V59" i="4"/>
  <c r="T59" i="4"/>
  <c r="O59" i="4"/>
  <c r="U59" i="4" s="1"/>
  <c r="X58" i="4"/>
  <c r="W58" i="4"/>
  <c r="V58" i="4"/>
  <c r="Y58" i="4" s="1"/>
  <c r="U58" i="4"/>
  <c r="T58" i="4"/>
  <c r="B58" i="4" s="1"/>
  <c r="O58" i="4"/>
  <c r="W57" i="4"/>
  <c r="V57" i="4"/>
  <c r="Y57" i="4" s="1"/>
  <c r="U57" i="4"/>
  <c r="T57" i="4"/>
  <c r="O57" i="4"/>
  <c r="Z56" i="4"/>
  <c r="Y56" i="4"/>
  <c r="L56" i="4" s="1"/>
  <c r="X56" i="4"/>
  <c r="K56" i="4" s="1"/>
  <c r="W56" i="4"/>
  <c r="V56" i="4"/>
  <c r="T56" i="4"/>
  <c r="O56" i="4"/>
  <c r="U56" i="4" s="1"/>
  <c r="I56" i="4"/>
  <c r="M56" i="4" s="1"/>
  <c r="W55" i="4"/>
  <c r="V55" i="4"/>
  <c r="T55" i="4"/>
  <c r="O55" i="4"/>
  <c r="U55" i="4" s="1"/>
  <c r="X55" i="4" s="1"/>
  <c r="Z54" i="4"/>
  <c r="Y54" i="4"/>
  <c r="W54" i="4"/>
  <c r="V54" i="4"/>
  <c r="T54" i="4"/>
  <c r="O54" i="4"/>
  <c r="U54" i="4" s="1"/>
  <c r="W53" i="4"/>
  <c r="V53" i="4"/>
  <c r="Z53" i="4" s="1"/>
  <c r="U53" i="4"/>
  <c r="X53" i="4" s="1"/>
  <c r="T53" i="4"/>
  <c r="O53" i="4"/>
  <c r="W52" i="4"/>
  <c r="V52" i="4"/>
  <c r="Y52" i="4" s="1"/>
  <c r="T52" i="4"/>
  <c r="O52" i="4"/>
  <c r="U52" i="4" s="1"/>
  <c r="Y51" i="4"/>
  <c r="W51" i="4"/>
  <c r="V51" i="4"/>
  <c r="Z51" i="4" s="1"/>
  <c r="T51" i="4"/>
  <c r="O51" i="4"/>
  <c r="U51" i="4" s="1"/>
  <c r="X51" i="4" s="1"/>
  <c r="W50" i="4"/>
  <c r="V50" i="4"/>
  <c r="U50" i="4"/>
  <c r="X50" i="4" s="1"/>
  <c r="T50" i="4"/>
  <c r="O50" i="4"/>
  <c r="Z49" i="4"/>
  <c r="Y49" i="4"/>
  <c r="X49" i="4"/>
  <c r="W49" i="4"/>
  <c r="V49" i="4"/>
  <c r="T49" i="4"/>
  <c r="O49" i="4"/>
  <c r="U49" i="4" s="1"/>
  <c r="L49" i="4" s="1"/>
  <c r="W48" i="4"/>
  <c r="V48" i="4"/>
  <c r="Z48" i="4" s="1"/>
  <c r="U48" i="4"/>
  <c r="X48" i="4" s="1"/>
  <c r="T48" i="4"/>
  <c r="O48" i="4"/>
  <c r="Z47" i="4"/>
  <c r="W47" i="4"/>
  <c r="V47" i="4"/>
  <c r="Y47" i="4" s="1"/>
  <c r="T47" i="4"/>
  <c r="O47" i="4"/>
  <c r="U47" i="4" s="1"/>
  <c r="Z46" i="4"/>
  <c r="W46" i="4"/>
  <c r="V46" i="4"/>
  <c r="Y46" i="4" s="1"/>
  <c r="T46" i="4"/>
  <c r="O46" i="4"/>
  <c r="U46" i="4" s="1"/>
  <c r="X46" i="4" s="1"/>
  <c r="W45" i="4"/>
  <c r="V45" i="4"/>
  <c r="U45" i="4"/>
  <c r="T45" i="4"/>
  <c r="B45" i="4" s="1"/>
  <c r="O45" i="4"/>
  <c r="Z44" i="4"/>
  <c r="Y44" i="4"/>
  <c r="L44" i="4" s="1"/>
  <c r="X44" i="4"/>
  <c r="W44" i="4"/>
  <c r="V44" i="4"/>
  <c r="T44" i="4"/>
  <c r="O44" i="4"/>
  <c r="U44" i="4" s="1"/>
  <c r="X43" i="4"/>
  <c r="W43" i="4"/>
  <c r="V43" i="4"/>
  <c r="Z43" i="4" s="1"/>
  <c r="U43" i="4"/>
  <c r="T43" i="4"/>
  <c r="O43" i="4"/>
  <c r="Z42" i="4"/>
  <c r="W42" i="4"/>
  <c r="V42" i="4"/>
  <c r="Y42" i="4" s="1"/>
  <c r="T42" i="4"/>
  <c r="O42" i="4"/>
  <c r="U42" i="4" s="1"/>
  <c r="X41" i="4"/>
  <c r="W41" i="4"/>
  <c r="V41" i="4"/>
  <c r="T41" i="4"/>
  <c r="O41" i="4"/>
  <c r="U41" i="4" s="1"/>
  <c r="W40" i="4"/>
  <c r="V40" i="4"/>
  <c r="U40" i="4"/>
  <c r="X40" i="4" s="1"/>
  <c r="T40" i="4"/>
  <c r="O40" i="4"/>
  <c r="M40" i="4"/>
  <c r="Z39" i="4"/>
  <c r="Y39" i="4"/>
  <c r="K39" i="4" s="1"/>
  <c r="X39" i="4"/>
  <c r="W39" i="4"/>
  <c r="V39" i="4"/>
  <c r="T39" i="4"/>
  <c r="O39" i="4"/>
  <c r="U39" i="4" s="1"/>
  <c r="L39" i="4" s="1"/>
  <c r="Z38" i="4"/>
  <c r="Y38" i="4"/>
  <c r="L38" i="4" s="1"/>
  <c r="X38" i="4"/>
  <c r="W38" i="4"/>
  <c r="V38" i="4"/>
  <c r="U38" i="4"/>
  <c r="K38" i="4" s="1"/>
  <c r="T38" i="4"/>
  <c r="O38" i="4"/>
  <c r="J38" i="4"/>
  <c r="Z37" i="4"/>
  <c r="W37" i="4"/>
  <c r="V37" i="4"/>
  <c r="Y37" i="4" s="1"/>
  <c r="T37" i="4"/>
  <c r="O37" i="4"/>
  <c r="U37" i="4" s="1"/>
  <c r="Z36" i="4"/>
  <c r="X36" i="4"/>
  <c r="W36" i="4"/>
  <c r="V36" i="4"/>
  <c r="Y36" i="4" s="1"/>
  <c r="T36" i="4"/>
  <c r="O36" i="4"/>
  <c r="U36" i="4" s="1"/>
  <c r="K36" i="4"/>
  <c r="X35" i="4"/>
  <c r="W35" i="4"/>
  <c r="V35" i="4"/>
  <c r="U35" i="4"/>
  <c r="T35" i="4"/>
  <c r="O35" i="4"/>
  <c r="Z34" i="4"/>
  <c r="Y34" i="4"/>
  <c r="L34" i="4" s="1"/>
  <c r="X34" i="4"/>
  <c r="W34" i="4"/>
  <c r="V34" i="4"/>
  <c r="T34" i="4"/>
  <c r="O34" i="4"/>
  <c r="U34" i="4" s="1"/>
  <c r="K34" i="4"/>
  <c r="Z33" i="4"/>
  <c r="Y33" i="4"/>
  <c r="L33" i="4" s="1"/>
  <c r="W33" i="4"/>
  <c r="V33" i="4"/>
  <c r="U33" i="4"/>
  <c r="X33" i="4" s="1"/>
  <c r="T33" i="4"/>
  <c r="O33" i="4"/>
  <c r="K33" i="4"/>
  <c r="J33" i="4"/>
  <c r="Z32" i="4"/>
  <c r="W32" i="4"/>
  <c r="V32" i="4"/>
  <c r="Y32" i="4" s="1"/>
  <c r="T32" i="4"/>
  <c r="O32" i="4"/>
  <c r="U32" i="4" s="1"/>
  <c r="Y31" i="4"/>
  <c r="J31" i="4" s="1"/>
  <c r="X31" i="4"/>
  <c r="W31" i="4"/>
  <c r="V31" i="4"/>
  <c r="Z31" i="4" s="1"/>
  <c r="T31" i="4"/>
  <c r="O31" i="4"/>
  <c r="U31" i="4" s="1"/>
  <c r="W30" i="4"/>
  <c r="V30" i="4"/>
  <c r="T30" i="4"/>
  <c r="O30" i="4"/>
  <c r="U30" i="4" s="1"/>
  <c r="X30" i="4" s="1"/>
  <c r="Z29" i="4"/>
  <c r="Y29" i="4"/>
  <c r="L29" i="4" s="1"/>
  <c r="X29" i="4"/>
  <c r="W29" i="4"/>
  <c r="V29" i="4"/>
  <c r="T29" i="4"/>
  <c r="O29" i="4"/>
  <c r="U29" i="4" s="1"/>
  <c r="Z28" i="4"/>
  <c r="K28" i="4" s="1"/>
  <c r="W28" i="4"/>
  <c r="V28" i="4"/>
  <c r="Y28" i="4" s="1"/>
  <c r="U28" i="4"/>
  <c r="X28" i="4" s="1"/>
  <c r="T28" i="4"/>
  <c r="O28" i="4"/>
  <c r="W27" i="4"/>
  <c r="V27" i="4"/>
  <c r="U27" i="4"/>
  <c r="T27" i="4"/>
  <c r="O27" i="4"/>
  <c r="Y26" i="4"/>
  <c r="X26" i="4"/>
  <c r="W26" i="4"/>
  <c r="V26" i="4"/>
  <c r="Z26" i="4" s="1"/>
  <c r="T26" i="4"/>
  <c r="O26" i="4"/>
  <c r="U26" i="4" s="1"/>
  <c r="X25" i="4"/>
  <c r="W25" i="4"/>
  <c r="V25" i="4"/>
  <c r="T25" i="4"/>
  <c r="O25" i="4"/>
  <c r="U25" i="4" s="1"/>
  <c r="Z24" i="4"/>
  <c r="Y24" i="4"/>
  <c r="W24" i="4"/>
  <c r="V24" i="4"/>
  <c r="T24" i="4"/>
  <c r="O24" i="4"/>
  <c r="U24" i="4" s="1"/>
  <c r="X23" i="4"/>
  <c r="W23" i="4"/>
  <c r="V23" i="4"/>
  <c r="U23" i="4"/>
  <c r="T23" i="4"/>
  <c r="O23" i="4"/>
  <c r="W22" i="4"/>
  <c r="V22" i="4"/>
  <c r="Y22" i="4" s="1"/>
  <c r="U22" i="4"/>
  <c r="T22" i="4"/>
  <c r="B22" i="4" s="1"/>
  <c r="O22" i="4"/>
  <c r="Y21" i="4"/>
  <c r="X21" i="4"/>
  <c r="W21" i="4"/>
  <c r="V21" i="4"/>
  <c r="Z21" i="4" s="1"/>
  <c r="T21" i="4"/>
  <c r="O21" i="4"/>
  <c r="U21" i="4" s="1"/>
  <c r="X20" i="4"/>
  <c r="W20" i="4"/>
  <c r="V20" i="4"/>
  <c r="T20" i="4"/>
  <c r="B20" i="4" s="1"/>
  <c r="O20" i="4"/>
  <c r="U20" i="4" s="1"/>
  <c r="Z19" i="4"/>
  <c r="Y19" i="4"/>
  <c r="W19" i="4"/>
  <c r="V19" i="4"/>
  <c r="T19" i="4"/>
  <c r="O19" i="4"/>
  <c r="U19" i="4" s="1"/>
  <c r="W18" i="4"/>
  <c r="V18" i="4"/>
  <c r="Z18" i="4" s="1"/>
  <c r="U18" i="4"/>
  <c r="X18" i="4" s="1"/>
  <c r="T18" i="4"/>
  <c r="B18" i="4" s="1"/>
  <c r="O18" i="4"/>
  <c r="W17" i="4"/>
  <c r="V17" i="4"/>
  <c r="Y17" i="4" s="1"/>
  <c r="U17" i="4"/>
  <c r="T17" i="4"/>
  <c r="B17" i="4" s="1"/>
  <c r="O17" i="4"/>
  <c r="Z16" i="4"/>
  <c r="Y16" i="4"/>
  <c r="X16" i="4"/>
  <c r="W16" i="4"/>
  <c r="K16" i="4" s="1"/>
  <c r="V16" i="4"/>
  <c r="T16" i="4"/>
  <c r="O16" i="4"/>
  <c r="U16" i="4" s="1"/>
  <c r="X15" i="4"/>
  <c r="W15" i="4"/>
  <c r="V15" i="4"/>
  <c r="U15" i="4"/>
  <c r="T15" i="4"/>
  <c r="O15" i="4"/>
  <c r="Z14" i="4"/>
  <c r="Y14" i="4"/>
  <c r="X14" i="4"/>
  <c r="W14" i="4"/>
  <c r="V14" i="4"/>
  <c r="T14" i="4"/>
  <c r="O14" i="4"/>
  <c r="U14" i="4" s="1"/>
  <c r="Z13" i="4"/>
  <c r="X13" i="4"/>
  <c r="W13" i="4"/>
  <c r="V13" i="4"/>
  <c r="Y13" i="4" s="1"/>
  <c r="U13" i="4"/>
  <c r="T13" i="4"/>
  <c r="O13" i="4"/>
  <c r="W12" i="4"/>
  <c r="V12" i="4"/>
  <c r="Y12" i="4" s="1"/>
  <c r="U12" i="4"/>
  <c r="T12" i="4"/>
  <c r="O12" i="4"/>
  <c r="Z11" i="4"/>
  <c r="Y11" i="4"/>
  <c r="L11" i="4" s="1"/>
  <c r="X11" i="4"/>
  <c r="K11" i="4" s="1"/>
  <c r="W11" i="4"/>
  <c r="V11" i="4"/>
  <c r="T11" i="4"/>
  <c r="O11" i="4"/>
  <c r="U11" i="4" s="1"/>
  <c r="I11" i="4"/>
  <c r="M11" i="4" s="1"/>
  <c r="W10" i="4"/>
  <c r="V10" i="4"/>
  <c r="T10" i="4"/>
  <c r="O10" i="4"/>
  <c r="U10" i="4" s="1"/>
  <c r="X10" i="4" s="1"/>
  <c r="Z9" i="4"/>
  <c r="Y9" i="4"/>
  <c r="W9" i="4"/>
  <c r="V9" i="4"/>
  <c r="T9" i="4"/>
  <c r="O9" i="4"/>
  <c r="U9" i="4" s="1"/>
  <c r="Y8" i="4"/>
  <c r="X8" i="4"/>
  <c r="W8" i="4"/>
  <c r="K8" i="4" s="1"/>
  <c r="V8" i="4"/>
  <c r="Z8" i="4" s="1"/>
  <c r="U8" i="4"/>
  <c r="T8" i="4"/>
  <c r="O8" i="4"/>
  <c r="Z7" i="4"/>
  <c r="W7" i="4"/>
  <c r="V7" i="4"/>
  <c r="Y7" i="4" s="1"/>
  <c r="T7" i="4"/>
  <c r="O7" i="4"/>
  <c r="U7" i="4" s="1"/>
  <c r="G5" i="4"/>
  <c r="F4" i="4"/>
  <c r="D4" i="4"/>
  <c r="C4" i="4"/>
  <c r="B4" i="4"/>
  <c r="U156" i="3"/>
  <c r="T156" i="3"/>
  <c r="P156" i="3"/>
  <c r="O156" i="3"/>
  <c r="U155" i="3"/>
  <c r="T155" i="3"/>
  <c r="P155" i="3"/>
  <c r="O155" i="3"/>
  <c r="U154" i="3"/>
  <c r="T154" i="3"/>
  <c r="P154" i="3"/>
  <c r="O154" i="3"/>
  <c r="U153" i="3"/>
  <c r="T153" i="3"/>
  <c r="P153" i="3"/>
  <c r="O153" i="3"/>
  <c r="U152" i="3"/>
  <c r="T152" i="3"/>
  <c r="P152" i="3"/>
  <c r="O152" i="3"/>
  <c r="U151" i="3"/>
  <c r="T151" i="3"/>
  <c r="P151" i="3"/>
  <c r="O151" i="3"/>
  <c r="U150" i="3"/>
  <c r="T150" i="3"/>
  <c r="P150" i="3"/>
  <c r="O150" i="3"/>
  <c r="U149" i="3"/>
  <c r="T149" i="3"/>
  <c r="P149" i="3"/>
  <c r="O149" i="3"/>
  <c r="U148" i="3"/>
  <c r="T148" i="3"/>
  <c r="P148" i="3"/>
  <c r="O148" i="3"/>
  <c r="U147" i="3"/>
  <c r="T147" i="3"/>
  <c r="P147" i="3"/>
  <c r="O147" i="3"/>
  <c r="U146" i="3"/>
  <c r="T146" i="3"/>
  <c r="P146" i="3"/>
  <c r="O146" i="3"/>
  <c r="U145" i="3"/>
  <c r="T145" i="3"/>
  <c r="P145" i="3"/>
  <c r="O145" i="3"/>
  <c r="U144" i="3"/>
  <c r="T144" i="3"/>
  <c r="P144" i="3"/>
  <c r="O144" i="3"/>
  <c r="U143" i="3"/>
  <c r="T143" i="3"/>
  <c r="P143" i="3"/>
  <c r="O143" i="3"/>
  <c r="U142" i="3"/>
  <c r="T142" i="3"/>
  <c r="P142" i="3"/>
  <c r="O142" i="3"/>
  <c r="U141" i="3"/>
  <c r="T141" i="3"/>
  <c r="P141" i="3"/>
  <c r="O141" i="3"/>
  <c r="U140" i="3"/>
  <c r="T140" i="3"/>
  <c r="P140" i="3"/>
  <c r="O140" i="3"/>
  <c r="U139" i="3"/>
  <c r="T139" i="3"/>
  <c r="P139" i="3"/>
  <c r="O139" i="3"/>
  <c r="U138" i="3"/>
  <c r="T138" i="3"/>
  <c r="P138" i="3"/>
  <c r="O138" i="3"/>
  <c r="U137" i="3"/>
  <c r="T137" i="3"/>
  <c r="P137" i="3"/>
  <c r="O137" i="3"/>
  <c r="U136" i="3"/>
  <c r="T136" i="3"/>
  <c r="P136" i="3"/>
  <c r="O136" i="3"/>
  <c r="U135" i="3"/>
  <c r="T135" i="3"/>
  <c r="P135" i="3"/>
  <c r="O135" i="3"/>
  <c r="U134" i="3"/>
  <c r="T134" i="3"/>
  <c r="P134" i="3"/>
  <c r="O134" i="3"/>
  <c r="U133" i="3"/>
  <c r="T133" i="3"/>
  <c r="P133" i="3"/>
  <c r="O133" i="3"/>
  <c r="U132" i="3"/>
  <c r="T132" i="3"/>
  <c r="P132" i="3"/>
  <c r="O132" i="3"/>
  <c r="U131" i="3"/>
  <c r="T131" i="3"/>
  <c r="P131" i="3"/>
  <c r="O131" i="3"/>
  <c r="U130" i="3"/>
  <c r="T130" i="3"/>
  <c r="P130" i="3"/>
  <c r="O130" i="3"/>
  <c r="U129" i="3"/>
  <c r="T129" i="3"/>
  <c r="P129" i="3"/>
  <c r="O129" i="3"/>
  <c r="U128" i="3"/>
  <c r="T128" i="3"/>
  <c r="P128" i="3"/>
  <c r="O128" i="3"/>
  <c r="U127" i="3"/>
  <c r="T127" i="3"/>
  <c r="P127" i="3"/>
  <c r="O127" i="3"/>
  <c r="U126" i="3"/>
  <c r="T126" i="3"/>
  <c r="P126" i="3"/>
  <c r="O126" i="3"/>
  <c r="U125" i="3"/>
  <c r="T125" i="3"/>
  <c r="P125" i="3"/>
  <c r="O125" i="3"/>
  <c r="U124" i="3"/>
  <c r="T124" i="3"/>
  <c r="P124" i="3"/>
  <c r="O124" i="3"/>
  <c r="U123" i="3"/>
  <c r="T123" i="3"/>
  <c r="P123" i="3"/>
  <c r="O123" i="3"/>
  <c r="U122" i="3"/>
  <c r="T122" i="3"/>
  <c r="P122" i="3"/>
  <c r="O122" i="3"/>
  <c r="U121" i="3"/>
  <c r="T121" i="3"/>
  <c r="P121" i="3"/>
  <c r="O121" i="3"/>
  <c r="U120" i="3"/>
  <c r="T120" i="3"/>
  <c r="P120" i="3"/>
  <c r="O120" i="3"/>
  <c r="U119" i="3"/>
  <c r="T119" i="3"/>
  <c r="P119" i="3"/>
  <c r="O119" i="3"/>
  <c r="U118" i="3"/>
  <c r="T118" i="3"/>
  <c r="P118" i="3"/>
  <c r="O118" i="3"/>
  <c r="U117" i="3"/>
  <c r="T117" i="3"/>
  <c r="P117" i="3"/>
  <c r="O117" i="3"/>
  <c r="U116" i="3"/>
  <c r="T116" i="3"/>
  <c r="P116" i="3"/>
  <c r="O116" i="3"/>
  <c r="U115" i="3"/>
  <c r="T115" i="3"/>
  <c r="P115" i="3"/>
  <c r="O115" i="3"/>
  <c r="U114" i="3"/>
  <c r="T114" i="3"/>
  <c r="P114" i="3"/>
  <c r="O114" i="3"/>
  <c r="U113" i="3"/>
  <c r="T113" i="3"/>
  <c r="P113" i="3"/>
  <c r="O113" i="3"/>
  <c r="U112" i="3"/>
  <c r="T112" i="3"/>
  <c r="P112" i="3"/>
  <c r="O112" i="3"/>
  <c r="U111" i="3"/>
  <c r="T111" i="3"/>
  <c r="P111" i="3"/>
  <c r="O111" i="3"/>
  <c r="U110" i="3"/>
  <c r="T110" i="3"/>
  <c r="P110" i="3"/>
  <c r="O110" i="3"/>
  <c r="U109" i="3"/>
  <c r="T109" i="3"/>
  <c r="P109" i="3"/>
  <c r="O109" i="3"/>
  <c r="U108" i="3"/>
  <c r="T108" i="3"/>
  <c r="P108" i="3"/>
  <c r="O108" i="3"/>
  <c r="U107" i="3"/>
  <c r="T107" i="3"/>
  <c r="P107" i="3"/>
  <c r="O107" i="3"/>
  <c r="U106" i="3"/>
  <c r="T106" i="3"/>
  <c r="P106" i="3"/>
  <c r="O106" i="3"/>
  <c r="U105" i="3"/>
  <c r="T105" i="3"/>
  <c r="P105" i="3"/>
  <c r="O105" i="3"/>
  <c r="U104" i="3"/>
  <c r="T104" i="3"/>
  <c r="P104" i="3"/>
  <c r="O104" i="3"/>
  <c r="U103" i="3"/>
  <c r="T103" i="3"/>
  <c r="P103" i="3"/>
  <c r="O103" i="3"/>
  <c r="U102" i="3"/>
  <c r="T102" i="3"/>
  <c r="P102" i="3"/>
  <c r="O102" i="3"/>
  <c r="U101" i="3"/>
  <c r="T101" i="3"/>
  <c r="P101" i="3"/>
  <c r="O101" i="3"/>
  <c r="U100" i="3"/>
  <c r="T100" i="3"/>
  <c r="P100" i="3"/>
  <c r="O100" i="3"/>
  <c r="U99" i="3"/>
  <c r="T99" i="3"/>
  <c r="P99" i="3"/>
  <c r="O99" i="3"/>
  <c r="U98" i="3"/>
  <c r="T98" i="3"/>
  <c r="P98" i="3"/>
  <c r="O98" i="3"/>
  <c r="U97" i="3"/>
  <c r="T97" i="3"/>
  <c r="P97" i="3"/>
  <c r="O97" i="3"/>
  <c r="U96" i="3"/>
  <c r="T96" i="3"/>
  <c r="P96" i="3"/>
  <c r="O96" i="3"/>
  <c r="U95" i="3"/>
  <c r="T95" i="3"/>
  <c r="P95" i="3"/>
  <c r="O95" i="3"/>
  <c r="U94" i="3"/>
  <c r="T94" i="3"/>
  <c r="P94" i="3"/>
  <c r="O94" i="3"/>
  <c r="U93" i="3"/>
  <c r="T93" i="3"/>
  <c r="P93" i="3"/>
  <c r="O93" i="3"/>
  <c r="U92" i="3"/>
  <c r="T92" i="3"/>
  <c r="P92" i="3"/>
  <c r="O92" i="3"/>
  <c r="U91" i="3"/>
  <c r="T91" i="3"/>
  <c r="P91" i="3"/>
  <c r="O91" i="3"/>
  <c r="U90" i="3"/>
  <c r="T90" i="3"/>
  <c r="P90" i="3"/>
  <c r="O90" i="3"/>
  <c r="U89" i="3"/>
  <c r="T89" i="3"/>
  <c r="P89" i="3"/>
  <c r="O89" i="3"/>
  <c r="U88" i="3"/>
  <c r="T88" i="3"/>
  <c r="P88" i="3"/>
  <c r="O88" i="3"/>
  <c r="U87" i="3"/>
  <c r="T87" i="3"/>
  <c r="P87" i="3"/>
  <c r="O87" i="3"/>
  <c r="U86" i="3"/>
  <c r="T86" i="3"/>
  <c r="P86" i="3"/>
  <c r="O86" i="3"/>
  <c r="U85" i="3"/>
  <c r="T85" i="3"/>
  <c r="P85" i="3"/>
  <c r="O85" i="3"/>
  <c r="U84" i="3"/>
  <c r="T84" i="3"/>
  <c r="P84" i="3"/>
  <c r="O84" i="3"/>
  <c r="U83" i="3"/>
  <c r="T83" i="3"/>
  <c r="P83" i="3"/>
  <c r="O83" i="3"/>
  <c r="U82" i="3"/>
  <c r="T82" i="3"/>
  <c r="P82" i="3"/>
  <c r="O82" i="3"/>
  <c r="U81" i="3"/>
  <c r="T81" i="3"/>
  <c r="P81" i="3"/>
  <c r="O81" i="3"/>
  <c r="U80" i="3"/>
  <c r="T80" i="3"/>
  <c r="P80" i="3"/>
  <c r="O80" i="3"/>
  <c r="U79" i="3"/>
  <c r="T79" i="3"/>
  <c r="P79" i="3"/>
  <c r="O79" i="3"/>
  <c r="U78" i="3"/>
  <c r="T78" i="3"/>
  <c r="P78" i="3"/>
  <c r="O78" i="3"/>
  <c r="U77" i="3"/>
  <c r="T77" i="3"/>
  <c r="P77" i="3"/>
  <c r="O77" i="3"/>
  <c r="U76" i="3"/>
  <c r="T76" i="3"/>
  <c r="P76" i="3"/>
  <c r="O76" i="3"/>
  <c r="U75" i="3"/>
  <c r="T75" i="3"/>
  <c r="P75" i="3"/>
  <c r="O75" i="3"/>
  <c r="U74" i="3"/>
  <c r="T74" i="3"/>
  <c r="P74" i="3"/>
  <c r="O74" i="3"/>
  <c r="U73" i="3"/>
  <c r="T73" i="3"/>
  <c r="P73" i="3"/>
  <c r="O73" i="3"/>
  <c r="U72" i="3"/>
  <c r="T72" i="3"/>
  <c r="P72" i="3"/>
  <c r="O72" i="3"/>
  <c r="U71" i="3"/>
  <c r="T71" i="3"/>
  <c r="P71" i="3"/>
  <c r="O71" i="3"/>
  <c r="U70" i="3"/>
  <c r="T70" i="3"/>
  <c r="P70" i="3"/>
  <c r="O70" i="3"/>
  <c r="U69" i="3"/>
  <c r="T69" i="3"/>
  <c r="P69" i="3"/>
  <c r="O69" i="3"/>
  <c r="U68" i="3"/>
  <c r="T68" i="3"/>
  <c r="P68" i="3"/>
  <c r="O68" i="3"/>
  <c r="U67" i="3"/>
  <c r="T67" i="3"/>
  <c r="P67" i="3"/>
  <c r="O67" i="3"/>
  <c r="U66" i="3"/>
  <c r="T66" i="3"/>
  <c r="P66" i="3"/>
  <c r="O66" i="3"/>
  <c r="U65" i="3"/>
  <c r="T65" i="3"/>
  <c r="P65" i="3"/>
  <c r="O65" i="3"/>
  <c r="U64" i="3"/>
  <c r="T64" i="3"/>
  <c r="P64" i="3"/>
  <c r="O64" i="3"/>
  <c r="U63" i="3"/>
  <c r="T63" i="3"/>
  <c r="P63" i="3"/>
  <c r="O63" i="3"/>
  <c r="U62" i="3"/>
  <c r="T62" i="3"/>
  <c r="P62" i="3"/>
  <c r="O62" i="3"/>
  <c r="U61" i="3"/>
  <c r="T61" i="3"/>
  <c r="P61" i="3"/>
  <c r="U60" i="3"/>
  <c r="T60" i="3"/>
  <c r="P60" i="3"/>
  <c r="U59" i="3"/>
  <c r="T59" i="3"/>
  <c r="P59" i="3"/>
  <c r="U58" i="3"/>
  <c r="T58" i="3"/>
  <c r="P58" i="3"/>
  <c r="U57" i="3"/>
  <c r="T57" i="3"/>
  <c r="P57" i="3"/>
  <c r="U56" i="3"/>
  <c r="T56" i="3"/>
  <c r="P56" i="3"/>
  <c r="U55" i="3"/>
  <c r="T55" i="3"/>
  <c r="P55" i="3"/>
  <c r="U54" i="3"/>
  <c r="T54" i="3"/>
  <c r="P54" i="3"/>
  <c r="U53" i="3"/>
  <c r="T53" i="3"/>
  <c r="P53" i="3"/>
  <c r="U52" i="3"/>
  <c r="T52" i="3"/>
  <c r="P52" i="3"/>
  <c r="U51" i="3"/>
  <c r="T51" i="3"/>
  <c r="P51" i="3"/>
  <c r="U50" i="3"/>
  <c r="T50" i="3"/>
  <c r="P50" i="3"/>
  <c r="U49" i="3"/>
  <c r="T49" i="3"/>
  <c r="P49" i="3"/>
  <c r="U48" i="3"/>
  <c r="T48" i="3"/>
  <c r="P48" i="3"/>
  <c r="U47" i="3"/>
  <c r="T47" i="3"/>
  <c r="P47" i="3"/>
  <c r="U46" i="3"/>
  <c r="T46" i="3"/>
  <c r="P46" i="3"/>
  <c r="U45" i="3"/>
  <c r="T45" i="3"/>
  <c r="P45" i="3"/>
  <c r="U44" i="3"/>
  <c r="T44" i="3"/>
  <c r="P44" i="3"/>
  <c r="U43" i="3"/>
  <c r="T43" i="3"/>
  <c r="P43" i="3"/>
  <c r="U42" i="3"/>
  <c r="T42" i="3"/>
  <c r="P42" i="3"/>
  <c r="U41" i="3"/>
  <c r="T41" i="3"/>
  <c r="P41" i="3"/>
  <c r="U40" i="3"/>
  <c r="T40" i="3"/>
  <c r="P40" i="3"/>
  <c r="U39" i="3"/>
  <c r="T39" i="3"/>
  <c r="P39" i="3"/>
  <c r="U38" i="3"/>
  <c r="T38" i="3"/>
  <c r="P38" i="3"/>
  <c r="U37" i="3"/>
  <c r="T37" i="3"/>
  <c r="P37" i="3"/>
  <c r="U36" i="3"/>
  <c r="T36" i="3"/>
  <c r="P36" i="3"/>
  <c r="U35" i="3"/>
  <c r="T35" i="3"/>
  <c r="P35" i="3"/>
  <c r="U34" i="3"/>
  <c r="T34" i="3"/>
  <c r="P34" i="3"/>
  <c r="U33" i="3"/>
  <c r="T33" i="3"/>
  <c r="P33" i="3"/>
  <c r="U32" i="3"/>
  <c r="T32" i="3"/>
  <c r="P32" i="3"/>
  <c r="U31" i="3"/>
  <c r="T31" i="3"/>
  <c r="P31" i="3"/>
  <c r="U30" i="3"/>
  <c r="T30" i="3"/>
  <c r="P30" i="3"/>
  <c r="U29" i="3"/>
  <c r="T29" i="3"/>
  <c r="P29" i="3"/>
  <c r="U28" i="3"/>
  <c r="T28" i="3"/>
  <c r="P28" i="3"/>
  <c r="U27" i="3"/>
  <c r="T27" i="3"/>
  <c r="P27" i="3"/>
  <c r="U26" i="3"/>
  <c r="T26" i="3"/>
  <c r="P26" i="3"/>
  <c r="U25" i="3"/>
  <c r="T25" i="3"/>
  <c r="P25" i="3"/>
  <c r="U24" i="3"/>
  <c r="T24" i="3"/>
  <c r="P24" i="3"/>
  <c r="U23" i="3"/>
  <c r="T23" i="3"/>
  <c r="P23" i="3"/>
  <c r="U22" i="3"/>
  <c r="T22" i="3"/>
  <c r="P22" i="3"/>
  <c r="U21" i="3"/>
  <c r="T21" i="3"/>
  <c r="P21" i="3"/>
  <c r="U20" i="3"/>
  <c r="T20" i="3"/>
  <c r="P20" i="3"/>
  <c r="U19" i="3"/>
  <c r="T19" i="3"/>
  <c r="P19" i="3"/>
  <c r="U18" i="3"/>
  <c r="T18" i="3"/>
  <c r="P18" i="3"/>
  <c r="U17" i="3"/>
  <c r="T17" i="3"/>
  <c r="P17" i="3"/>
  <c r="U16" i="3"/>
  <c r="T16" i="3"/>
  <c r="P16" i="3"/>
  <c r="U15" i="3"/>
  <c r="T15" i="3"/>
  <c r="P15" i="3"/>
  <c r="U14" i="3"/>
  <c r="T14" i="3"/>
  <c r="P14" i="3"/>
  <c r="U13" i="3"/>
  <c r="T13" i="3"/>
  <c r="P13" i="3"/>
  <c r="U12" i="3"/>
  <c r="T12" i="3"/>
  <c r="P12" i="3"/>
  <c r="U11" i="3"/>
  <c r="T11" i="3"/>
  <c r="P11" i="3"/>
  <c r="U10" i="3"/>
  <c r="T10" i="3"/>
  <c r="P10" i="3"/>
  <c r="U9" i="3"/>
  <c r="T9" i="3"/>
  <c r="P9" i="3"/>
  <c r="U8" i="3"/>
  <c r="T8" i="3"/>
  <c r="P8" i="3"/>
  <c r="U7" i="3"/>
  <c r="T7" i="3"/>
  <c r="C105" i="5" s="1"/>
  <c r="P7" i="3"/>
  <c r="J5" i="3"/>
  <c r="D5" i="3"/>
  <c r="F4" i="3"/>
  <c r="D4" i="3"/>
  <c r="C4" i="3"/>
  <c r="B4" i="3"/>
  <c r="D76" i="2"/>
  <c r="D75" i="2"/>
  <c r="D74" i="2"/>
  <c r="D73" i="2"/>
  <c r="D72" i="2"/>
  <c r="D71" i="2"/>
  <c r="D70" i="2"/>
  <c r="D69" i="2"/>
  <c r="D68" i="2"/>
  <c r="D67" i="2"/>
  <c r="D66" i="2"/>
  <c r="D65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F14" i="2"/>
  <c r="B14" i="2"/>
  <c r="F13" i="2"/>
  <c r="B13" i="2"/>
  <c r="F12" i="2"/>
  <c r="B12" i="2"/>
  <c r="F11" i="2"/>
  <c r="B11" i="2"/>
  <c r="F10" i="2"/>
  <c r="B10" i="2"/>
  <c r="F9" i="2"/>
  <c r="B9" i="2"/>
  <c r="C4" i="2"/>
  <c r="B4" i="2"/>
  <c r="O27" i="1"/>
  <c r="B19" i="1"/>
  <c r="B18" i="1"/>
  <c r="B17" i="1"/>
  <c r="B16" i="1"/>
  <c r="B15" i="1"/>
  <c r="B14" i="1"/>
  <c r="B13" i="1"/>
  <c r="B12" i="1"/>
  <c r="J11" i="1"/>
  <c r="D11" i="1"/>
  <c r="B11" i="1"/>
  <c r="J10" i="1"/>
  <c r="G10" i="1"/>
  <c r="B10" i="1"/>
  <c r="B9" i="1"/>
  <c r="B8" i="1"/>
  <c r="M7" i="1"/>
  <c r="D7" i="1"/>
  <c r="B7" i="1"/>
  <c r="D6" i="1"/>
  <c r="B6" i="1"/>
  <c r="B4" i="1"/>
  <c r="P175" i="6" l="1"/>
  <c r="U173" i="6"/>
  <c r="P173" i="6"/>
  <c r="V173" i="6"/>
  <c r="V172" i="6"/>
  <c r="P172" i="6"/>
  <c r="P171" i="6"/>
  <c r="V171" i="6"/>
  <c r="U171" i="6"/>
  <c r="P164" i="6"/>
  <c r="P170" i="6"/>
  <c r="V170" i="6"/>
  <c r="U168" i="6"/>
  <c r="V168" i="6"/>
  <c r="P168" i="6"/>
  <c r="V167" i="6"/>
  <c r="P167" i="6"/>
  <c r="U167" i="6"/>
  <c r="V166" i="6"/>
  <c r="U166" i="6"/>
  <c r="P166" i="6"/>
  <c r="U165" i="6"/>
  <c r="P165" i="6"/>
  <c r="V165" i="6"/>
  <c r="P163" i="6"/>
  <c r="U162" i="6"/>
  <c r="V162" i="6"/>
  <c r="P162" i="6"/>
  <c r="U161" i="6"/>
  <c r="V161" i="6"/>
  <c r="P161" i="6"/>
  <c r="U160" i="6"/>
  <c r="P160" i="6"/>
  <c r="V160" i="6"/>
  <c r="P158" i="6"/>
  <c r="U158" i="6"/>
  <c r="V157" i="6"/>
  <c r="P157" i="6"/>
  <c r="P156" i="6"/>
  <c r="U156" i="6"/>
  <c r="U155" i="6"/>
  <c r="V155" i="6"/>
  <c r="P155" i="6"/>
  <c r="U153" i="6"/>
  <c r="V153" i="6"/>
  <c r="P153" i="6"/>
  <c r="U152" i="6"/>
  <c r="V152" i="6"/>
  <c r="P152" i="6"/>
  <c r="P151" i="6"/>
  <c r="V151" i="6"/>
  <c r="U151" i="6"/>
  <c r="V150" i="6"/>
  <c r="P150" i="6"/>
  <c r="V148" i="6"/>
  <c r="P148" i="6"/>
  <c r="V147" i="6"/>
  <c r="P147" i="6"/>
  <c r="V146" i="6"/>
  <c r="U146" i="6"/>
  <c r="P146" i="6"/>
  <c r="U145" i="6"/>
  <c r="P145" i="6"/>
  <c r="V145" i="6"/>
  <c r="P143" i="6"/>
  <c r="P138" i="6"/>
  <c r="P142" i="6"/>
  <c r="U141" i="6"/>
  <c r="V141" i="6"/>
  <c r="P141" i="6"/>
  <c r="U140" i="6"/>
  <c r="P140" i="6"/>
  <c r="V140" i="6"/>
  <c r="F18" i="12"/>
  <c r="I18" i="12" s="1"/>
  <c r="K10" i="11"/>
  <c r="F23" i="12"/>
  <c r="I23" i="12" s="1"/>
  <c r="F35" i="12"/>
  <c r="I35" i="12" s="1"/>
  <c r="G5" i="12"/>
  <c r="E5" i="12"/>
  <c r="F15" i="12"/>
  <c r="I15" i="12" s="1"/>
  <c r="F22" i="12"/>
  <c r="I22" i="12" s="1"/>
  <c r="F19" i="12"/>
  <c r="I19" i="12" s="1"/>
  <c r="F24" i="12"/>
  <c r="I24" i="12" s="1"/>
  <c r="P31" i="6"/>
  <c r="K8" i="11"/>
  <c r="E7" i="13" s="1"/>
  <c r="P12" i="6"/>
  <c r="I31" i="12"/>
  <c r="K11" i="11"/>
  <c r="K9" i="11"/>
  <c r="E8" i="13" s="1"/>
  <c r="F32" i="12"/>
  <c r="I32" i="12" s="1"/>
  <c r="F34" i="12"/>
  <c r="I34" i="12" s="1"/>
  <c r="F8" i="12"/>
  <c r="I8" i="12" s="1"/>
  <c r="F10" i="12"/>
  <c r="I10" i="12" s="1"/>
  <c r="F12" i="12"/>
  <c r="I12" i="12" s="1"/>
  <c r="F14" i="12"/>
  <c r="I14" i="12" s="1"/>
  <c r="D10" i="1" s="1"/>
  <c r="F42" i="12"/>
  <c r="I42" i="12" s="1"/>
  <c r="I21" i="12"/>
  <c r="F33" i="12"/>
  <c r="I33" i="12" s="1"/>
  <c r="F9" i="12"/>
  <c r="I9" i="12" s="1"/>
  <c r="F11" i="12"/>
  <c r="I11" i="12" s="1"/>
  <c r="F13" i="12"/>
  <c r="I13" i="12" s="1"/>
  <c r="F25" i="12"/>
  <c r="I25" i="12" s="1"/>
  <c r="Q519" i="5"/>
  <c r="N519" i="5"/>
  <c r="S519" i="5"/>
  <c r="M519" i="5" s="1"/>
  <c r="AB34" i="6"/>
  <c r="AB8" i="6"/>
  <c r="AB32" i="6"/>
  <c r="O24" i="1"/>
  <c r="K7" i="11"/>
  <c r="AB22" i="6"/>
  <c r="F39" i="12"/>
  <c r="I39" i="12" s="1"/>
  <c r="F38" i="12"/>
  <c r="I38" i="12" s="1"/>
  <c r="F28" i="12"/>
  <c r="I28" i="12" s="1"/>
  <c r="O26" i="1"/>
  <c r="F30" i="12"/>
  <c r="I30" i="12" s="1"/>
  <c r="F20" i="12"/>
  <c r="I20" i="12" s="1"/>
  <c r="O25" i="1"/>
  <c r="M10" i="1"/>
  <c r="M11" i="1"/>
  <c r="Q5" i="8"/>
  <c r="N22" i="4"/>
  <c r="L37" i="4"/>
  <c r="X37" i="4"/>
  <c r="K37" i="4"/>
  <c r="J37" i="4"/>
  <c r="I37" i="4"/>
  <c r="M37" i="4" s="1"/>
  <c r="N18" i="4"/>
  <c r="N20" i="4"/>
  <c r="N63" i="4"/>
  <c r="N65" i="4"/>
  <c r="N67" i="4"/>
  <c r="N45" i="4"/>
  <c r="N58" i="4"/>
  <c r="N105" i="5"/>
  <c r="S105" i="5"/>
  <c r="N62" i="4"/>
  <c r="L42" i="4"/>
  <c r="X42" i="4"/>
  <c r="K42" i="4"/>
  <c r="J42" i="4"/>
  <c r="I42" i="4"/>
  <c r="M42" i="4" s="1"/>
  <c r="N17" i="4"/>
  <c r="X32" i="4"/>
  <c r="L32" i="4" s="1"/>
  <c r="K32" i="4"/>
  <c r="L21" i="4"/>
  <c r="E29" i="14"/>
  <c r="F29" i="14" s="1"/>
  <c r="AF142" i="10"/>
  <c r="AF134" i="10"/>
  <c r="AF152" i="10"/>
  <c r="AF147" i="10"/>
  <c r="AF135" i="10"/>
  <c r="AF130" i="10"/>
  <c r="AF125" i="10"/>
  <c r="AF114" i="10"/>
  <c r="AF97" i="10"/>
  <c r="AF153" i="10"/>
  <c r="AF150" i="10"/>
  <c r="AF144" i="10"/>
  <c r="AF138" i="10"/>
  <c r="AF129" i="10"/>
  <c r="AF126" i="10"/>
  <c r="AF123" i="10"/>
  <c r="AF120" i="10"/>
  <c r="AF118" i="10"/>
  <c r="AF113" i="10"/>
  <c r="AF93" i="10"/>
  <c r="AF85" i="10"/>
  <c r="AF156" i="10"/>
  <c r="AF141" i="10"/>
  <c r="AF132" i="10"/>
  <c r="AF106" i="10"/>
  <c r="AF101" i="10"/>
  <c r="AF96" i="10"/>
  <c r="AF77" i="10"/>
  <c r="AF69" i="10"/>
  <c r="AF116" i="10"/>
  <c r="AF111" i="10"/>
  <c r="AF99" i="10"/>
  <c r="AF94" i="10"/>
  <c r="AF86" i="10"/>
  <c r="AF78" i="10"/>
  <c r="AF70" i="10"/>
  <c r="AF61" i="10"/>
  <c r="AF53" i="10"/>
  <c r="AF49" i="10"/>
  <c r="AF44" i="10"/>
  <c r="AF39" i="10"/>
  <c r="AF34" i="10"/>
  <c r="AF155" i="10"/>
  <c r="AF143" i="10"/>
  <c r="AF140" i="10"/>
  <c r="AF128" i="10"/>
  <c r="AF149" i="10"/>
  <c r="AF146" i="10"/>
  <c r="AF137" i="10"/>
  <c r="AF131" i="10"/>
  <c r="AF145" i="10"/>
  <c r="AF154" i="10"/>
  <c r="AF151" i="10"/>
  <c r="AF148" i="10"/>
  <c r="AF139" i="10"/>
  <c r="AF136" i="10"/>
  <c r="AF133" i="10"/>
  <c r="AF127" i="10"/>
  <c r="AF124" i="10"/>
  <c r="AF119" i="10"/>
  <c r="AF105" i="10"/>
  <c r="AF100" i="10"/>
  <c r="AF92" i="10"/>
  <c r="AF91" i="10"/>
  <c r="AF67" i="10"/>
  <c r="AF60" i="10"/>
  <c r="AF41" i="10"/>
  <c r="AF95" i="10"/>
  <c r="AF84" i="10"/>
  <c r="AF83" i="10"/>
  <c r="AF73" i="10"/>
  <c r="AF50" i="10"/>
  <c r="AF42" i="10"/>
  <c r="AF33" i="10"/>
  <c r="AF28" i="10"/>
  <c r="AF23" i="10"/>
  <c r="AF18" i="10"/>
  <c r="AF13" i="10"/>
  <c r="AF8" i="10"/>
  <c r="AF117" i="10"/>
  <c r="AF79" i="10"/>
  <c r="AF63" i="10"/>
  <c r="AF58" i="10"/>
  <c r="AF43" i="10"/>
  <c r="AF112" i="10"/>
  <c r="AF107" i="10"/>
  <c r="AF102" i="10"/>
  <c r="AF122" i="10"/>
  <c r="AF121" i="10"/>
  <c r="AF109" i="10"/>
  <c r="AF108" i="10"/>
  <c r="AF104" i="10"/>
  <c r="AF103" i="10"/>
  <c r="AF98" i="10"/>
  <c r="AF115" i="10"/>
  <c r="AF110" i="10"/>
  <c r="AF90" i="10"/>
  <c r="AF89" i="10"/>
  <c r="AF88" i="10"/>
  <c r="AF87" i="10"/>
  <c r="AF80" i="10"/>
  <c r="AF82" i="10"/>
  <c r="AF64" i="10"/>
  <c r="AF62" i="10"/>
  <c r="AF32" i="10"/>
  <c r="AF20" i="10"/>
  <c r="AF9" i="10"/>
  <c r="AF66" i="10"/>
  <c r="AF59" i="10"/>
  <c r="AF54" i="10"/>
  <c r="AF24" i="10"/>
  <c r="AF16" i="10"/>
  <c r="AF10" i="10"/>
  <c r="AF74" i="10"/>
  <c r="AF27" i="10"/>
  <c r="AF11" i="10"/>
  <c r="AF76" i="10"/>
  <c r="AF71" i="10"/>
  <c r="AF55" i="10"/>
  <c r="AF81" i="10"/>
  <c r="AF68" i="10"/>
  <c r="AF65" i="10"/>
  <c r="AF56" i="10"/>
  <c r="AF51" i="10"/>
  <c r="AF48" i="10"/>
  <c r="AF47" i="10"/>
  <c r="AF46" i="10"/>
  <c r="AF45" i="10"/>
  <c r="AF75" i="10"/>
  <c r="AF38" i="10"/>
  <c r="AF72" i="10"/>
  <c r="AF57" i="10"/>
  <c r="AF52" i="10"/>
  <c r="AF29" i="10"/>
  <c r="AF21" i="10"/>
  <c r="AF12" i="10"/>
  <c r="AF26" i="10"/>
  <c r="AF7" i="10"/>
  <c r="AF17" i="10"/>
  <c r="AF40" i="10"/>
  <c r="AF37" i="10"/>
  <c r="AF36" i="10"/>
  <c r="AF35" i="10"/>
  <c r="AF31" i="10"/>
  <c r="AF15" i="10"/>
  <c r="AF22" i="10"/>
  <c r="AF19" i="10"/>
  <c r="AF25" i="10"/>
  <c r="AF14" i="10"/>
  <c r="AF30" i="10"/>
  <c r="L7" i="4"/>
  <c r="X7" i="4"/>
  <c r="K7" i="4"/>
  <c r="J7" i="4"/>
  <c r="B14" i="4"/>
  <c r="L16" i="4"/>
  <c r="J19" i="4"/>
  <c r="I19" i="4"/>
  <c r="M19" i="4" s="1"/>
  <c r="X19" i="4"/>
  <c r="K19" i="4"/>
  <c r="J24" i="4"/>
  <c r="X24" i="4"/>
  <c r="K24" i="4" s="1"/>
  <c r="B29" i="4"/>
  <c r="B41" i="4"/>
  <c r="X47" i="4"/>
  <c r="J47" i="4" s="1"/>
  <c r="K47" i="4"/>
  <c r="X52" i="4"/>
  <c r="L52" i="4" s="1"/>
  <c r="B59" i="4"/>
  <c r="L61" i="4"/>
  <c r="X64" i="4"/>
  <c r="K64" i="4" s="1"/>
  <c r="Z85" i="4"/>
  <c r="Y85" i="4"/>
  <c r="Z105" i="4"/>
  <c r="Y105" i="4"/>
  <c r="Z120" i="4"/>
  <c r="Y120" i="4"/>
  <c r="Z155" i="4"/>
  <c r="Y155" i="4"/>
  <c r="Z170" i="4"/>
  <c r="Y170" i="4"/>
  <c r="Z205" i="4"/>
  <c r="Y205" i="4"/>
  <c r="Z220" i="4"/>
  <c r="Y220" i="4"/>
  <c r="Z297" i="4"/>
  <c r="Y297" i="4"/>
  <c r="Z328" i="4"/>
  <c r="Y328" i="4"/>
  <c r="Z356" i="4"/>
  <c r="Y356" i="4"/>
  <c r="Z428" i="4"/>
  <c r="Y428" i="4"/>
  <c r="Z456" i="4"/>
  <c r="Y456" i="4"/>
  <c r="Z528" i="4"/>
  <c r="Y528" i="4"/>
  <c r="Z556" i="4"/>
  <c r="Y556" i="4"/>
  <c r="C10" i="5"/>
  <c r="C56" i="5"/>
  <c r="C83" i="5"/>
  <c r="C170" i="5"/>
  <c r="C184" i="5"/>
  <c r="B9" i="4"/>
  <c r="B10" i="4"/>
  <c r="B11" i="4"/>
  <c r="B23" i="4"/>
  <c r="B27" i="4"/>
  <c r="K31" i="4"/>
  <c r="I33" i="4"/>
  <c r="M33" i="4" s="1"/>
  <c r="L36" i="4"/>
  <c r="J36" i="4"/>
  <c r="Y41" i="4"/>
  <c r="Z41" i="4"/>
  <c r="B49" i="4"/>
  <c r="B50" i="4"/>
  <c r="B54" i="4"/>
  <c r="B55" i="4"/>
  <c r="B56" i="4"/>
  <c r="Y77" i="4"/>
  <c r="Z77" i="4"/>
  <c r="Z117" i="4"/>
  <c r="Z135" i="4"/>
  <c r="Y135" i="4"/>
  <c r="Z167" i="4"/>
  <c r="Z185" i="4"/>
  <c r="Y185" i="4"/>
  <c r="Z217" i="4"/>
  <c r="Z235" i="4"/>
  <c r="Y235" i="4"/>
  <c r="Y241" i="4"/>
  <c r="C17" i="5"/>
  <c r="C21" i="5"/>
  <c r="C36" i="5"/>
  <c r="C155" i="5"/>
  <c r="Z10" i="4"/>
  <c r="Y10" i="4"/>
  <c r="I10" i="4" s="1"/>
  <c r="M10" i="4" s="1"/>
  <c r="X12" i="4"/>
  <c r="K12" i="4" s="1"/>
  <c r="B19" i="4"/>
  <c r="B26" i="4"/>
  <c r="X27" i="4"/>
  <c r="K27" i="4"/>
  <c r="Z30" i="4"/>
  <c r="Y30" i="4"/>
  <c r="L30" i="4" s="1"/>
  <c r="Z35" i="4"/>
  <c r="Y35" i="4"/>
  <c r="L35" i="4" s="1"/>
  <c r="K41" i="4"/>
  <c r="B44" i="4"/>
  <c r="B46" i="4"/>
  <c r="Z55" i="4"/>
  <c r="Y55" i="4"/>
  <c r="X57" i="4"/>
  <c r="J57" i="4" s="1"/>
  <c r="B64" i="4"/>
  <c r="Y86" i="4"/>
  <c r="Z86" i="4"/>
  <c r="Z115" i="4"/>
  <c r="Y115" i="4"/>
  <c r="Z165" i="4"/>
  <c r="Y165" i="4"/>
  <c r="Z215" i="4"/>
  <c r="Y215" i="4"/>
  <c r="Z396" i="4"/>
  <c r="Y396" i="4"/>
  <c r="Z496" i="4"/>
  <c r="Y496" i="4"/>
  <c r="Z600" i="4"/>
  <c r="Y600" i="4"/>
  <c r="C34" i="5"/>
  <c r="C120" i="5"/>
  <c r="C134" i="5"/>
  <c r="C420" i="5"/>
  <c r="L13" i="4"/>
  <c r="J13" i="4"/>
  <c r="X22" i="4"/>
  <c r="J22" i="4" s="1"/>
  <c r="I22" i="4"/>
  <c r="M22" i="4" s="1"/>
  <c r="Y23" i="4"/>
  <c r="J23" i="4" s="1"/>
  <c r="Z23" i="4"/>
  <c r="Y27" i="4"/>
  <c r="L27" i="4" s="1"/>
  <c r="Z27" i="4"/>
  <c r="I28" i="4"/>
  <c r="M28" i="4" s="1"/>
  <c r="J28" i="4"/>
  <c r="K30" i="4"/>
  <c r="J35" i="4"/>
  <c r="I38" i="4"/>
  <c r="M38" i="4" s="1"/>
  <c r="Z40" i="4"/>
  <c r="Y40" i="4"/>
  <c r="I51" i="4"/>
  <c r="M51" i="4" s="1"/>
  <c r="L67" i="4"/>
  <c r="X67" i="4"/>
  <c r="K67" i="4"/>
  <c r="Z80" i="4"/>
  <c r="Y80" i="4"/>
  <c r="Y136" i="4"/>
  <c r="Z136" i="4"/>
  <c r="Y186" i="4"/>
  <c r="Z186" i="4"/>
  <c r="Y236" i="4"/>
  <c r="Z236" i="4"/>
  <c r="C509" i="5"/>
  <c r="C499" i="5"/>
  <c r="C508" i="5"/>
  <c r="C517" i="5"/>
  <c r="C497" i="5"/>
  <c r="C487" i="5"/>
  <c r="C477" i="5"/>
  <c r="C467" i="5"/>
  <c r="C457" i="5"/>
  <c r="C447" i="5"/>
  <c r="C437" i="5"/>
  <c r="C427" i="5"/>
  <c r="C417" i="5"/>
  <c r="C407" i="5"/>
  <c r="C397" i="5"/>
  <c r="C387" i="5"/>
  <c r="C377" i="5"/>
  <c r="C367" i="5"/>
  <c r="C357" i="5"/>
  <c r="C347" i="5"/>
  <c r="C337" i="5"/>
  <c r="C327" i="5"/>
  <c r="C317" i="5"/>
  <c r="C307" i="5"/>
  <c r="C297" i="5"/>
  <c r="C287" i="5"/>
  <c r="C277" i="5"/>
  <c r="C267" i="5"/>
  <c r="C257" i="5"/>
  <c r="C247" i="5"/>
  <c r="C237" i="5"/>
  <c r="C227" i="5"/>
  <c r="C217" i="5"/>
  <c r="C207" i="5"/>
  <c r="C197" i="5"/>
  <c r="C187" i="5"/>
  <c r="C177" i="5"/>
  <c r="C167" i="5"/>
  <c r="C157" i="5"/>
  <c r="C147" i="5"/>
  <c r="C137" i="5"/>
  <c r="C127" i="5"/>
  <c r="C117" i="5"/>
  <c r="C107" i="5"/>
  <c r="C97" i="5"/>
  <c r="C87" i="5"/>
  <c r="C77" i="5"/>
  <c r="C67" i="5"/>
  <c r="C57" i="5"/>
  <c r="C515" i="5"/>
  <c r="C506" i="5"/>
  <c r="C495" i="5"/>
  <c r="C485" i="5"/>
  <c r="C475" i="5"/>
  <c r="C465" i="5"/>
  <c r="C455" i="5"/>
  <c r="C445" i="5"/>
  <c r="C435" i="5"/>
  <c r="C425" i="5"/>
  <c r="C415" i="5"/>
  <c r="C405" i="5"/>
  <c r="C395" i="5"/>
  <c r="C385" i="5"/>
  <c r="C518" i="5"/>
  <c r="C498" i="5"/>
  <c r="C488" i="5"/>
  <c r="C478" i="5"/>
  <c r="C468" i="5"/>
  <c r="C458" i="5"/>
  <c r="C448" i="5"/>
  <c r="C438" i="5"/>
  <c r="C428" i="5"/>
  <c r="C418" i="5"/>
  <c r="C408" i="5"/>
  <c r="C398" i="5"/>
  <c r="C516" i="5"/>
  <c r="C505" i="5"/>
  <c r="C496" i="5"/>
  <c r="C486" i="5"/>
  <c r="C476" i="5"/>
  <c r="C466" i="5"/>
  <c r="C456" i="5"/>
  <c r="C446" i="5"/>
  <c r="C436" i="5"/>
  <c r="C426" i="5"/>
  <c r="C416" i="5"/>
  <c r="C489" i="5"/>
  <c r="C479" i="5"/>
  <c r="C469" i="5"/>
  <c r="C459" i="5"/>
  <c r="C449" i="5"/>
  <c r="C439" i="5"/>
  <c r="C429" i="5"/>
  <c r="C419" i="5"/>
  <c r="C409" i="5"/>
  <c r="C399" i="5"/>
  <c r="C389" i="5"/>
  <c r="C379" i="5"/>
  <c r="C369" i="5"/>
  <c r="C359" i="5"/>
  <c r="C349" i="5"/>
  <c r="C339" i="5"/>
  <c r="C329" i="5"/>
  <c r="C319" i="5"/>
  <c r="C309" i="5"/>
  <c r="C299" i="5"/>
  <c r="C289" i="5"/>
  <c r="C279" i="5"/>
  <c r="C269" i="5"/>
  <c r="C259" i="5"/>
  <c r="C249" i="5"/>
  <c r="C239" i="5"/>
  <c r="C229" i="5"/>
  <c r="C219" i="5"/>
  <c r="C209" i="5"/>
  <c r="C199" i="5"/>
  <c r="C189" i="5"/>
  <c r="C179" i="5"/>
  <c r="C169" i="5"/>
  <c r="C159" i="5"/>
  <c r="C149" i="5"/>
  <c r="C139" i="5"/>
  <c r="C129" i="5"/>
  <c r="C119" i="5"/>
  <c r="C109" i="5"/>
  <c r="C99" i="5"/>
  <c r="C89" i="5"/>
  <c r="C79" i="5"/>
  <c r="C69" i="5"/>
  <c r="C59" i="5"/>
  <c r="C49" i="5"/>
  <c r="C39" i="5"/>
  <c r="C29" i="5"/>
  <c r="C19" i="5"/>
  <c r="C9" i="5"/>
  <c r="C507" i="5"/>
  <c r="C396" i="5"/>
  <c r="C368" i="5"/>
  <c r="C178" i="5"/>
  <c r="C176" i="5"/>
  <c r="C128" i="5"/>
  <c r="C126" i="5"/>
  <c r="C78" i="5"/>
  <c r="C76" i="5"/>
  <c r="C42" i="5"/>
  <c r="C18" i="5"/>
  <c r="C375" i="5"/>
  <c r="C188" i="5"/>
  <c r="C186" i="5"/>
  <c r="C138" i="5"/>
  <c r="C136" i="5"/>
  <c r="C88" i="5"/>
  <c r="C86" i="5"/>
  <c r="C32" i="5"/>
  <c r="C8" i="5"/>
  <c r="C165" i="5"/>
  <c r="C115" i="5"/>
  <c r="C65" i="5"/>
  <c r="C27" i="5"/>
  <c r="C406" i="5"/>
  <c r="C365" i="5"/>
  <c r="C358" i="5"/>
  <c r="C356" i="5"/>
  <c r="C345" i="5"/>
  <c r="C338" i="5"/>
  <c r="C336" i="5"/>
  <c r="C325" i="5"/>
  <c r="C318" i="5"/>
  <c r="C316" i="5"/>
  <c r="C305" i="5"/>
  <c r="C298" i="5"/>
  <c r="C296" i="5"/>
  <c r="C285" i="5"/>
  <c r="C278" i="5"/>
  <c r="C276" i="5"/>
  <c r="C265" i="5"/>
  <c r="C258" i="5"/>
  <c r="C256" i="5"/>
  <c r="C245" i="5"/>
  <c r="C238" i="5"/>
  <c r="C236" i="5"/>
  <c r="C225" i="5"/>
  <c r="C218" i="5"/>
  <c r="C216" i="5"/>
  <c r="C205" i="5"/>
  <c r="C198" i="5"/>
  <c r="C196" i="5"/>
  <c r="C148" i="5"/>
  <c r="C146" i="5"/>
  <c r="C98" i="5"/>
  <c r="C96" i="5"/>
  <c r="C48" i="5"/>
  <c r="C22" i="5"/>
  <c r="C175" i="5"/>
  <c r="C125" i="5"/>
  <c r="C75" i="5"/>
  <c r="C510" i="5"/>
  <c r="C376" i="5"/>
  <c r="C185" i="5"/>
  <c r="C135" i="5"/>
  <c r="C85" i="5"/>
  <c r="C7" i="5"/>
  <c r="C386" i="5"/>
  <c r="C378" i="5"/>
  <c r="C168" i="5"/>
  <c r="C166" i="5"/>
  <c r="C118" i="5"/>
  <c r="C116" i="5"/>
  <c r="C68" i="5"/>
  <c r="C66" i="5"/>
  <c r="C28" i="5"/>
  <c r="C388" i="5"/>
  <c r="C366" i="5"/>
  <c r="C355" i="5"/>
  <c r="C348" i="5"/>
  <c r="C346" i="5"/>
  <c r="C335" i="5"/>
  <c r="C328" i="5"/>
  <c r="C326" i="5"/>
  <c r="C315" i="5"/>
  <c r="C308" i="5"/>
  <c r="C306" i="5"/>
  <c r="C295" i="5"/>
  <c r="C288" i="5"/>
  <c r="C286" i="5"/>
  <c r="C275" i="5"/>
  <c r="C268" i="5"/>
  <c r="C266" i="5"/>
  <c r="C255" i="5"/>
  <c r="C248" i="5"/>
  <c r="C246" i="5"/>
  <c r="C235" i="5"/>
  <c r="C228" i="5"/>
  <c r="C226" i="5"/>
  <c r="C215" i="5"/>
  <c r="C208" i="5"/>
  <c r="C206" i="5"/>
  <c r="C195" i="5"/>
  <c r="C145" i="5"/>
  <c r="C95" i="5"/>
  <c r="C47" i="5"/>
  <c r="X17" i="4"/>
  <c r="I17" i="4" s="1"/>
  <c r="M17" i="4" s="1"/>
  <c r="K23" i="4"/>
  <c r="Z25" i="4"/>
  <c r="Y25" i="4"/>
  <c r="K25" i="4" s="1"/>
  <c r="L26" i="4"/>
  <c r="B32" i="4"/>
  <c r="L40" i="4"/>
  <c r="K40" i="4"/>
  <c r="I40" i="4"/>
  <c r="B42" i="4"/>
  <c r="Z45" i="4"/>
  <c r="Y45" i="4"/>
  <c r="I46" i="4"/>
  <c r="M46" i="4" s="1"/>
  <c r="J46" i="4"/>
  <c r="X62" i="4"/>
  <c r="I62" i="4" s="1"/>
  <c r="M62" i="4" s="1"/>
  <c r="Y127" i="4"/>
  <c r="Z127" i="4"/>
  <c r="Y177" i="4"/>
  <c r="Z177" i="4"/>
  <c r="Y227" i="4"/>
  <c r="Z227" i="4"/>
  <c r="Z245" i="4"/>
  <c r="Y245" i="4"/>
  <c r="Y252" i="4"/>
  <c r="Z252" i="4"/>
  <c r="Z255" i="4"/>
  <c r="Y255" i="4"/>
  <c r="Y262" i="4"/>
  <c r="Z262" i="4"/>
  <c r="Z265" i="4"/>
  <c r="Y265" i="4"/>
  <c r="Y272" i="4"/>
  <c r="Z272" i="4"/>
  <c r="Z275" i="4"/>
  <c r="Y275" i="4"/>
  <c r="Y282" i="4"/>
  <c r="Z282" i="4"/>
  <c r="Z285" i="4"/>
  <c r="Y285" i="4"/>
  <c r="Y292" i="4"/>
  <c r="Z292" i="4"/>
  <c r="C11" i="5"/>
  <c r="C30" i="5"/>
  <c r="C37" i="5"/>
  <c r="C41" i="5"/>
  <c r="C70" i="5"/>
  <c r="C84" i="5"/>
  <c r="J11" i="4"/>
  <c r="Z12" i="4"/>
  <c r="K18" i="4"/>
  <c r="I18" i="4"/>
  <c r="M18" i="4" s="1"/>
  <c r="L25" i="4"/>
  <c r="B28" i="4"/>
  <c r="K29" i="4"/>
  <c r="I31" i="4"/>
  <c r="M31" i="4" s="1"/>
  <c r="I36" i="4"/>
  <c r="M36" i="4" s="1"/>
  <c r="B43" i="4"/>
  <c r="B48" i="4"/>
  <c r="J51" i="4"/>
  <c r="Z52" i="4"/>
  <c r="J52" i="4" s="1"/>
  <c r="J56" i="4"/>
  <c r="Z57" i="4"/>
  <c r="K57" i="4" s="1"/>
  <c r="Z58" i="4"/>
  <c r="I58" i="4" s="1"/>
  <c r="M58" i="4" s="1"/>
  <c r="I63" i="4"/>
  <c r="M63" i="4" s="1"/>
  <c r="Z70" i="4"/>
  <c r="Y70" i="4"/>
  <c r="Z95" i="4"/>
  <c r="Y95" i="4"/>
  <c r="Z106" i="4"/>
  <c r="Z130" i="4"/>
  <c r="Y130" i="4"/>
  <c r="Y133" i="4"/>
  <c r="Z145" i="4"/>
  <c r="Y145" i="4"/>
  <c r="Z156" i="4"/>
  <c r="Z180" i="4"/>
  <c r="Y180" i="4"/>
  <c r="Y183" i="4"/>
  <c r="Z195" i="4"/>
  <c r="Y195" i="4"/>
  <c r="Z206" i="4"/>
  <c r="Z230" i="4"/>
  <c r="Y230" i="4"/>
  <c r="Y233" i="4"/>
  <c r="Z242" i="4"/>
  <c r="Z318" i="4"/>
  <c r="Y318" i="4"/>
  <c r="Z368" i="4"/>
  <c r="Y368" i="4"/>
  <c r="Y384" i="4"/>
  <c r="Z384" i="4"/>
  <c r="Z418" i="4"/>
  <c r="Y418" i="4"/>
  <c r="Z468" i="4"/>
  <c r="Y468" i="4"/>
  <c r="Y484" i="4"/>
  <c r="Z484" i="4"/>
  <c r="Z518" i="4"/>
  <c r="Y518" i="4"/>
  <c r="Z568" i="4"/>
  <c r="Y568" i="4"/>
  <c r="C55" i="5"/>
  <c r="C158" i="5"/>
  <c r="B7" i="4"/>
  <c r="B8" i="4"/>
  <c r="B13" i="4"/>
  <c r="B15" i="4"/>
  <c r="Y18" i="4"/>
  <c r="L18" i="4" s="1"/>
  <c r="I21" i="4"/>
  <c r="M21" i="4" s="1"/>
  <c r="Z22" i="4"/>
  <c r="L22" i="4" s="1"/>
  <c r="B30" i="4"/>
  <c r="B35" i="4"/>
  <c r="B40" i="4"/>
  <c r="Y43" i="4"/>
  <c r="L43" i="4" s="1"/>
  <c r="X45" i="4"/>
  <c r="I45" i="4" s="1"/>
  <c r="M45" i="4" s="1"/>
  <c r="B47" i="4"/>
  <c r="Y48" i="4"/>
  <c r="I48" i="4" s="1"/>
  <c r="M48" i="4" s="1"/>
  <c r="K51" i="4"/>
  <c r="B52" i="4"/>
  <c r="B53" i="4"/>
  <c r="Y53" i="4"/>
  <c r="K53" i="4" s="1"/>
  <c r="I55" i="4"/>
  <c r="M55" i="4" s="1"/>
  <c r="B60" i="4"/>
  <c r="X60" i="4"/>
  <c r="Y63" i="4"/>
  <c r="K63" i="4" s="1"/>
  <c r="Y66" i="4"/>
  <c r="L66" i="4" s="1"/>
  <c r="Z67" i="4"/>
  <c r="J67" i="4" s="1"/>
  <c r="Y78" i="4"/>
  <c r="Z92" i="4"/>
  <c r="Z110" i="4"/>
  <c r="Y110" i="4"/>
  <c r="Y116" i="4"/>
  <c r="Z142" i="4"/>
  <c r="Z160" i="4"/>
  <c r="Y160" i="4"/>
  <c r="Y166" i="4"/>
  <c r="Z192" i="4"/>
  <c r="Z210" i="4"/>
  <c r="Y210" i="4"/>
  <c r="Y216" i="4"/>
  <c r="Z344" i="4"/>
  <c r="Z444" i="4"/>
  <c r="Z544" i="4"/>
  <c r="C156" i="5"/>
  <c r="C183" i="5"/>
  <c r="I7" i="4"/>
  <c r="I8" i="4"/>
  <c r="M8" i="4" s="1"/>
  <c r="J10" i="4"/>
  <c r="B12" i="4"/>
  <c r="I13" i="4"/>
  <c r="M13" i="4" s="1"/>
  <c r="I16" i="4"/>
  <c r="M16" i="4" s="1"/>
  <c r="Z17" i="4"/>
  <c r="K17" i="4" s="1"/>
  <c r="L19" i="4"/>
  <c r="J21" i="4"/>
  <c r="I23" i="4"/>
  <c r="M23" i="4" s="1"/>
  <c r="L24" i="4"/>
  <c r="B25" i="4"/>
  <c r="I26" i="4"/>
  <c r="M26" i="4" s="1"/>
  <c r="L28" i="4"/>
  <c r="I30" i="4"/>
  <c r="M30" i="4" s="1"/>
  <c r="L31" i="4"/>
  <c r="I35" i="4"/>
  <c r="M35" i="4" s="1"/>
  <c r="J40" i="4"/>
  <c r="J43" i="4"/>
  <c r="K46" i="4"/>
  <c r="I47" i="4"/>
  <c r="M47" i="4" s="1"/>
  <c r="J48" i="4"/>
  <c r="L51" i="4"/>
  <c r="I52" i="4"/>
  <c r="M52" i="4" s="1"/>
  <c r="I53" i="4"/>
  <c r="M53" i="4" s="1"/>
  <c r="J55" i="4"/>
  <c r="B57" i="4"/>
  <c r="I61" i="4"/>
  <c r="M61" i="4" s="1"/>
  <c r="Z62" i="4"/>
  <c r="L62" i="4" s="1"/>
  <c r="L64" i="4"/>
  <c r="J66" i="4"/>
  <c r="Z87" i="4"/>
  <c r="Z90" i="4"/>
  <c r="Y90" i="4"/>
  <c r="Z140" i="4"/>
  <c r="Y140" i="4"/>
  <c r="Z190" i="4"/>
  <c r="Y190" i="4"/>
  <c r="Z240" i="4"/>
  <c r="Y240" i="4"/>
  <c r="Z324" i="4"/>
  <c r="Y324" i="4"/>
  <c r="Y400" i="4"/>
  <c r="Z424" i="4"/>
  <c r="Y424" i="4"/>
  <c r="Y500" i="4"/>
  <c r="Z524" i="4"/>
  <c r="Y524" i="4"/>
  <c r="Z574" i="4"/>
  <c r="Y574" i="4"/>
  <c r="C12" i="5"/>
  <c r="C108" i="5"/>
  <c r="O29" i="1"/>
  <c r="J8" i="4"/>
  <c r="K10" i="4"/>
  <c r="I12" i="4"/>
  <c r="M12" i="4" s="1"/>
  <c r="K13" i="4"/>
  <c r="J14" i="4"/>
  <c r="I14" i="4"/>
  <c r="M14" i="4" s="1"/>
  <c r="K14" i="4"/>
  <c r="L14" i="4"/>
  <c r="J16" i="4"/>
  <c r="K21" i="4"/>
  <c r="L23" i="4"/>
  <c r="I25" i="4"/>
  <c r="M25" i="4" s="1"/>
  <c r="J26" i="4"/>
  <c r="I27" i="4"/>
  <c r="M27" i="4" s="1"/>
  <c r="J30" i="4"/>
  <c r="B33" i="4"/>
  <c r="K35" i="4"/>
  <c r="B37" i="4"/>
  <c r="K43" i="4"/>
  <c r="K44" i="4"/>
  <c r="L46" i="4"/>
  <c r="K48" i="4"/>
  <c r="J53" i="4"/>
  <c r="K55" i="4"/>
  <c r="I57" i="4"/>
  <c r="M57" i="4" s="1"/>
  <c r="J59" i="4"/>
  <c r="I59" i="4"/>
  <c r="M59" i="4" s="1"/>
  <c r="K59" i="4"/>
  <c r="L59" i="4"/>
  <c r="J61" i="4"/>
  <c r="I65" i="4"/>
  <c r="M65" i="4" s="1"/>
  <c r="Z81" i="4"/>
  <c r="Z101" i="4"/>
  <c r="Y111" i="4"/>
  <c r="Z111" i="4"/>
  <c r="Z122" i="4"/>
  <c r="Z137" i="4"/>
  <c r="Z151" i="4"/>
  <c r="Y161" i="4"/>
  <c r="Z161" i="4"/>
  <c r="Z172" i="4"/>
  <c r="Z187" i="4"/>
  <c r="Z201" i="4"/>
  <c r="Y211" i="4"/>
  <c r="Z211" i="4"/>
  <c r="Z222" i="4"/>
  <c r="Y253" i="4"/>
  <c r="Y263" i="4"/>
  <c r="Y273" i="4"/>
  <c r="Y283" i="4"/>
  <c r="Y293" i="4"/>
  <c r="Z316" i="4"/>
  <c r="Y316" i="4"/>
  <c r="Y340" i="4"/>
  <c r="Z416" i="4"/>
  <c r="Y416" i="4"/>
  <c r="Y440" i="4"/>
  <c r="Z516" i="4"/>
  <c r="Y516" i="4"/>
  <c r="Y540" i="4"/>
  <c r="Z580" i="4"/>
  <c r="Y580" i="4"/>
  <c r="Z588" i="4"/>
  <c r="Y588" i="4"/>
  <c r="C31" i="5"/>
  <c r="C106" i="5"/>
  <c r="C133" i="5"/>
  <c r="L8" i="4"/>
  <c r="I9" i="4"/>
  <c r="M9" i="4" s="1"/>
  <c r="X9" i="4"/>
  <c r="J18" i="4"/>
  <c r="J25" i="4"/>
  <c r="K26" i="4"/>
  <c r="J29" i="4"/>
  <c r="I29" i="4"/>
  <c r="M29" i="4" s="1"/>
  <c r="B31" i="4"/>
  <c r="B36" i="4"/>
  <c r="B38" i="4"/>
  <c r="J39" i="4"/>
  <c r="I39" i="4"/>
  <c r="M39" i="4" s="1"/>
  <c r="J41" i="4"/>
  <c r="K45" i="4"/>
  <c r="J49" i="4"/>
  <c r="I49" i="4"/>
  <c r="M49" i="4" s="1"/>
  <c r="K49" i="4"/>
  <c r="L53" i="4"/>
  <c r="J54" i="4"/>
  <c r="L54" i="4"/>
  <c r="X54" i="4"/>
  <c r="K54" i="4" s="1"/>
  <c r="J63" i="4"/>
  <c r="Y102" i="4"/>
  <c r="Z102" i="4"/>
  <c r="Y128" i="4"/>
  <c r="Y152" i="4"/>
  <c r="Z152" i="4"/>
  <c r="Y178" i="4"/>
  <c r="Y202" i="4"/>
  <c r="Z202" i="4"/>
  <c r="Y228" i="4"/>
  <c r="Y247" i="4"/>
  <c r="Z247" i="4"/>
  <c r="Z250" i="4"/>
  <c r="Y250" i="4"/>
  <c r="Y257" i="4"/>
  <c r="Z257" i="4"/>
  <c r="Z260" i="4"/>
  <c r="Y260" i="4"/>
  <c r="Y267" i="4"/>
  <c r="Z267" i="4"/>
  <c r="Z270" i="4"/>
  <c r="Y270" i="4"/>
  <c r="Y277" i="4"/>
  <c r="Z277" i="4"/>
  <c r="Z280" i="4"/>
  <c r="Y280" i="4"/>
  <c r="Y287" i="4"/>
  <c r="Z287" i="4"/>
  <c r="Z290" i="4"/>
  <c r="Y290" i="4"/>
  <c r="Z380" i="4"/>
  <c r="Y380" i="4"/>
  <c r="Z388" i="4"/>
  <c r="Y388" i="4"/>
  <c r="Z480" i="4"/>
  <c r="Y480" i="4"/>
  <c r="Z488" i="4"/>
  <c r="Y488" i="4"/>
  <c r="Z596" i="4"/>
  <c r="Y596" i="4"/>
  <c r="C38" i="5"/>
  <c r="C58" i="5"/>
  <c r="Z20" i="4"/>
  <c r="Y20" i="4"/>
  <c r="I20" i="4" s="1"/>
  <c r="M20" i="4" s="1"/>
  <c r="B21" i="4"/>
  <c r="B39" i="4"/>
  <c r="J44" i="4"/>
  <c r="I44" i="4"/>
  <c r="M44" i="4" s="1"/>
  <c r="Z65" i="4"/>
  <c r="Y65" i="4"/>
  <c r="J65" i="4" s="1"/>
  <c r="B66" i="4"/>
  <c r="Z75" i="4"/>
  <c r="Y75" i="4"/>
  <c r="Z100" i="4"/>
  <c r="Y100" i="4"/>
  <c r="Z125" i="4"/>
  <c r="Y125" i="4"/>
  <c r="Z150" i="4"/>
  <c r="Y150" i="4"/>
  <c r="Z175" i="4"/>
  <c r="Y175" i="4"/>
  <c r="Z200" i="4"/>
  <c r="Y200" i="4"/>
  <c r="Z225" i="4"/>
  <c r="Y225" i="4"/>
  <c r="Y295" i="4"/>
  <c r="Y301" i="4"/>
  <c r="Z301" i="4"/>
  <c r="Z308" i="4"/>
  <c r="Y308" i="4"/>
  <c r="Y326" i="4"/>
  <c r="Z408" i="4"/>
  <c r="Y408" i="4"/>
  <c r="Y426" i="4"/>
  <c r="Z508" i="4"/>
  <c r="Y508" i="4"/>
  <c r="Y526" i="4"/>
  <c r="Z584" i="4"/>
  <c r="C16" i="5"/>
  <c r="C40" i="5"/>
  <c r="C60" i="5"/>
  <c r="C74" i="5"/>
  <c r="C110" i="5"/>
  <c r="C124" i="5"/>
  <c r="C160" i="5"/>
  <c r="C174" i="5"/>
  <c r="C400" i="5"/>
  <c r="C460" i="5"/>
  <c r="Z378" i="4"/>
  <c r="Y378" i="4"/>
  <c r="Z478" i="4"/>
  <c r="Y478" i="4"/>
  <c r="Z578" i="4"/>
  <c r="Y578" i="4"/>
  <c r="C24" i="5"/>
  <c r="C45" i="5"/>
  <c r="C93" i="5"/>
  <c r="C143" i="5"/>
  <c r="C193" i="5"/>
  <c r="C200" i="5"/>
  <c r="C204" i="5"/>
  <c r="C220" i="5"/>
  <c r="C224" i="5"/>
  <c r="C240" i="5"/>
  <c r="C244" i="5"/>
  <c r="C260" i="5"/>
  <c r="C264" i="5"/>
  <c r="C280" i="5"/>
  <c r="C284" i="5"/>
  <c r="C300" i="5"/>
  <c r="C304" i="5"/>
  <c r="C320" i="5"/>
  <c r="C324" i="5"/>
  <c r="C340" i="5"/>
  <c r="C344" i="5"/>
  <c r="C360" i="5"/>
  <c r="C364" i="5"/>
  <c r="C394" i="5"/>
  <c r="C430" i="5"/>
  <c r="C500" i="5"/>
  <c r="C514" i="5"/>
  <c r="Z299" i="4"/>
  <c r="Y299" i="4"/>
  <c r="Z348" i="4"/>
  <c r="Y348" i="4"/>
  <c r="Z448" i="4"/>
  <c r="Y448" i="4"/>
  <c r="Z548" i="4"/>
  <c r="Y548" i="4"/>
  <c r="C26" i="5"/>
  <c r="C50" i="5"/>
  <c r="C64" i="5"/>
  <c r="C100" i="5"/>
  <c r="C114" i="5"/>
  <c r="C150" i="5"/>
  <c r="C164" i="5"/>
  <c r="C213" i="5"/>
  <c r="C233" i="5"/>
  <c r="C253" i="5"/>
  <c r="C273" i="5"/>
  <c r="C293" i="5"/>
  <c r="C313" i="5"/>
  <c r="C333" i="5"/>
  <c r="C353" i="5"/>
  <c r="C374" i="5"/>
  <c r="C384" i="5"/>
  <c r="C470" i="5"/>
  <c r="P28" i="6"/>
  <c r="C54" i="5"/>
  <c r="C90" i="5"/>
  <c r="C104" i="5"/>
  <c r="C140" i="5"/>
  <c r="C154" i="5"/>
  <c r="C190" i="5"/>
  <c r="C370" i="5"/>
  <c r="C390" i="5"/>
  <c r="C440" i="5"/>
  <c r="Z358" i="4"/>
  <c r="Y358" i="4"/>
  <c r="Y376" i="4"/>
  <c r="Z458" i="4"/>
  <c r="Y458" i="4"/>
  <c r="Y476" i="4"/>
  <c r="Z558" i="4"/>
  <c r="Y558" i="4"/>
  <c r="Y576" i="4"/>
  <c r="C15" i="5"/>
  <c r="C44" i="5"/>
  <c r="C73" i="5"/>
  <c r="C123" i="5"/>
  <c r="C173" i="5"/>
  <c r="C380" i="5"/>
  <c r="C410" i="5"/>
  <c r="C20" i="5"/>
  <c r="C46" i="5"/>
  <c r="C80" i="5"/>
  <c r="C94" i="5"/>
  <c r="C130" i="5"/>
  <c r="C144" i="5"/>
  <c r="C180" i="5"/>
  <c r="C194" i="5"/>
  <c r="C210" i="5"/>
  <c r="C214" i="5"/>
  <c r="C230" i="5"/>
  <c r="C234" i="5"/>
  <c r="C250" i="5"/>
  <c r="C254" i="5"/>
  <c r="C270" i="5"/>
  <c r="C274" i="5"/>
  <c r="C290" i="5"/>
  <c r="C294" i="5"/>
  <c r="C310" i="5"/>
  <c r="C314" i="5"/>
  <c r="C330" i="5"/>
  <c r="C334" i="5"/>
  <c r="C350" i="5"/>
  <c r="C354" i="5"/>
  <c r="C480" i="5"/>
  <c r="B24" i="4"/>
  <c r="J34" i="4"/>
  <c r="I34" i="4"/>
  <c r="M34" i="4" s="1"/>
  <c r="L45" i="4"/>
  <c r="Z50" i="4"/>
  <c r="Y50" i="4"/>
  <c r="B51" i="4"/>
  <c r="Z398" i="4"/>
  <c r="Y398" i="4"/>
  <c r="Z498" i="4"/>
  <c r="Y498" i="4"/>
  <c r="Z598" i="4"/>
  <c r="Y598" i="4"/>
  <c r="C25" i="5"/>
  <c r="C63" i="5"/>
  <c r="C113" i="5"/>
  <c r="C163" i="5"/>
  <c r="C203" i="5"/>
  <c r="C223" i="5"/>
  <c r="C243" i="5"/>
  <c r="C263" i="5"/>
  <c r="C283" i="5"/>
  <c r="C303" i="5"/>
  <c r="C323" i="5"/>
  <c r="C343" i="5"/>
  <c r="C363" i="5"/>
  <c r="C404" i="5"/>
  <c r="C450" i="5"/>
  <c r="P26" i="6"/>
  <c r="L10" i="4"/>
  <c r="Z15" i="4"/>
  <c r="Y15" i="4"/>
  <c r="L15" i="4" s="1"/>
  <c r="B16" i="4"/>
  <c r="B34" i="4"/>
  <c r="L55" i="4"/>
  <c r="Z60" i="4"/>
  <c r="I60" i="4" s="1"/>
  <c r="M60" i="4" s="1"/>
  <c r="Y60" i="4"/>
  <c r="K60" i="4" s="1"/>
  <c r="B61" i="4"/>
  <c r="Z338" i="4"/>
  <c r="Y338" i="4"/>
  <c r="Z438" i="4"/>
  <c r="Y438" i="4"/>
  <c r="Z538" i="4"/>
  <c r="Y538" i="4"/>
  <c r="C14" i="5"/>
  <c r="C35" i="5"/>
  <c r="C53" i="5"/>
  <c r="C103" i="5"/>
  <c r="C153" i="5"/>
  <c r="C373" i="5"/>
  <c r="C490" i="5"/>
  <c r="C51" i="5"/>
  <c r="C61" i="5"/>
  <c r="C71" i="5"/>
  <c r="C81" i="5"/>
  <c r="C91" i="5"/>
  <c r="C101" i="5"/>
  <c r="C111" i="5"/>
  <c r="C121" i="5"/>
  <c r="C131" i="5"/>
  <c r="C141" i="5"/>
  <c r="C151" i="5"/>
  <c r="C161" i="5"/>
  <c r="C171" i="5"/>
  <c r="C181" i="5"/>
  <c r="C191" i="5"/>
  <c r="C201" i="5"/>
  <c r="C211" i="5"/>
  <c r="C221" i="5"/>
  <c r="C231" i="5"/>
  <c r="C241" i="5"/>
  <c r="C251" i="5"/>
  <c r="C261" i="5"/>
  <c r="C271" i="5"/>
  <c r="C281" i="5"/>
  <c r="C291" i="5"/>
  <c r="C301" i="5"/>
  <c r="C311" i="5"/>
  <c r="C321" i="5"/>
  <c r="C331" i="5"/>
  <c r="C341" i="5"/>
  <c r="C351" i="5"/>
  <c r="C361" i="5"/>
  <c r="C371" i="5"/>
  <c r="C381" i="5"/>
  <c r="C391" i="5"/>
  <c r="C401" i="5"/>
  <c r="C411" i="5"/>
  <c r="C421" i="5"/>
  <c r="C431" i="5"/>
  <c r="C441" i="5"/>
  <c r="C451" i="5"/>
  <c r="C461" i="5"/>
  <c r="C471" i="5"/>
  <c r="C481" i="5"/>
  <c r="C491" i="5"/>
  <c r="C512" i="5"/>
  <c r="P11" i="6"/>
  <c r="P20" i="6"/>
  <c r="P24" i="6"/>
  <c r="V24" i="6"/>
  <c r="U24" i="6"/>
  <c r="P37" i="6"/>
  <c r="P49" i="6"/>
  <c r="P103" i="6"/>
  <c r="C414" i="5"/>
  <c r="C424" i="5"/>
  <c r="C434" i="5"/>
  <c r="C444" i="5"/>
  <c r="C454" i="5"/>
  <c r="C464" i="5"/>
  <c r="C474" i="5"/>
  <c r="C484" i="5"/>
  <c r="C494" i="5"/>
  <c r="C503" i="5"/>
  <c r="V32" i="6"/>
  <c r="U32" i="6"/>
  <c r="P41" i="6"/>
  <c r="P45" i="6"/>
  <c r="V48" i="6"/>
  <c r="P48" i="6"/>
  <c r="P104" i="6"/>
  <c r="P38" i="6"/>
  <c r="U48" i="6"/>
  <c r="P73" i="6"/>
  <c r="P113" i="6"/>
  <c r="C511" i="5"/>
  <c r="P58" i="6"/>
  <c r="P64" i="6"/>
  <c r="P50" i="6"/>
  <c r="P40" i="6"/>
  <c r="P53" i="6"/>
  <c r="P105" i="6"/>
  <c r="P114" i="6"/>
  <c r="V17" i="6"/>
  <c r="P17" i="6"/>
  <c r="P54" i="6"/>
  <c r="P75" i="6"/>
  <c r="P80" i="6"/>
  <c r="P128" i="6"/>
  <c r="C383" i="5"/>
  <c r="C393" i="5"/>
  <c r="C403" i="5"/>
  <c r="C413" i="5"/>
  <c r="C423" i="5"/>
  <c r="C433" i="5"/>
  <c r="C443" i="5"/>
  <c r="C453" i="5"/>
  <c r="C463" i="5"/>
  <c r="C473" i="5"/>
  <c r="C483" i="5"/>
  <c r="C493" i="5"/>
  <c r="C502" i="5"/>
  <c r="P16" i="6"/>
  <c r="U17" i="6"/>
  <c r="P23" i="6"/>
  <c r="P83" i="6"/>
  <c r="P88" i="6"/>
  <c r="C513" i="5"/>
  <c r="V7" i="6"/>
  <c r="P7" i="6"/>
  <c r="U7" i="6"/>
  <c r="P9" i="6"/>
  <c r="V9" i="6"/>
  <c r="P120" i="6"/>
  <c r="P130" i="6"/>
  <c r="C35" i="12"/>
  <c r="C16" i="12"/>
  <c r="C504" i="5"/>
  <c r="P118" i="6"/>
  <c r="U9" i="6"/>
  <c r="P43" i="6"/>
  <c r="P60" i="6"/>
  <c r="C13" i="5"/>
  <c r="C23" i="5"/>
  <c r="C33" i="5"/>
  <c r="C43" i="5"/>
  <c r="C52" i="5"/>
  <c r="C62" i="5"/>
  <c r="C72" i="5"/>
  <c r="C82" i="5"/>
  <c r="C92" i="5"/>
  <c r="C102" i="5"/>
  <c r="C112" i="5"/>
  <c r="C122" i="5"/>
  <c r="C132" i="5"/>
  <c r="C142" i="5"/>
  <c r="C152" i="5"/>
  <c r="C162" i="5"/>
  <c r="C172" i="5"/>
  <c r="C182" i="5"/>
  <c r="C192" i="5"/>
  <c r="C202" i="5"/>
  <c r="C212" i="5"/>
  <c r="C222" i="5"/>
  <c r="C232" i="5"/>
  <c r="C242" i="5"/>
  <c r="C252" i="5"/>
  <c r="C262" i="5"/>
  <c r="C272" i="5"/>
  <c r="C282" i="5"/>
  <c r="C292" i="5"/>
  <c r="C302" i="5"/>
  <c r="C312" i="5"/>
  <c r="C322" i="5"/>
  <c r="C332" i="5"/>
  <c r="C342" i="5"/>
  <c r="C352" i="5"/>
  <c r="C362" i="5"/>
  <c r="C372" i="5"/>
  <c r="C382" i="5"/>
  <c r="C392" i="5"/>
  <c r="C402" i="5"/>
  <c r="C412" i="5"/>
  <c r="C422" i="5"/>
  <c r="C432" i="5"/>
  <c r="C442" i="5"/>
  <c r="C452" i="5"/>
  <c r="C462" i="5"/>
  <c r="C472" i="5"/>
  <c r="C482" i="5"/>
  <c r="C492" i="5"/>
  <c r="C501" i="5"/>
  <c r="P8" i="6"/>
  <c r="P33" i="6"/>
  <c r="Z313" i="4"/>
  <c r="C27" i="12" s="1"/>
  <c r="Y313" i="4"/>
  <c r="C32" i="12" s="1"/>
  <c r="Z323" i="4"/>
  <c r="Y323" i="4"/>
  <c r="Z333" i="4"/>
  <c r="Y333" i="4"/>
  <c r="Z343" i="4"/>
  <c r="Y343" i="4"/>
  <c r="Z353" i="4"/>
  <c r="Y353" i="4"/>
  <c r="Z363" i="4"/>
  <c r="Y363" i="4"/>
  <c r="Z373" i="4"/>
  <c r="Y373" i="4"/>
  <c r="Z383" i="4"/>
  <c r="Y383" i="4"/>
  <c r="Z393" i="4"/>
  <c r="Y393" i="4"/>
  <c r="Z403" i="4"/>
  <c r="Y403" i="4"/>
  <c r="Z413" i="4"/>
  <c r="Y413" i="4"/>
  <c r="Z423" i="4"/>
  <c r="Y423" i="4"/>
  <c r="Z433" i="4"/>
  <c r="Y433" i="4"/>
  <c r="Z443" i="4"/>
  <c r="Y443" i="4"/>
  <c r="Z453" i="4"/>
  <c r="Y453" i="4"/>
  <c r="Z463" i="4"/>
  <c r="Y463" i="4"/>
  <c r="Z473" i="4"/>
  <c r="Y473" i="4"/>
  <c r="Z483" i="4"/>
  <c r="Y483" i="4"/>
  <c r="Z493" i="4"/>
  <c r="Y493" i="4"/>
  <c r="Z503" i="4"/>
  <c r="Y503" i="4"/>
  <c r="Z513" i="4"/>
  <c r="Y513" i="4"/>
  <c r="Z523" i="4"/>
  <c r="Y523" i="4"/>
  <c r="Z533" i="4"/>
  <c r="Y533" i="4"/>
  <c r="Z543" i="4"/>
  <c r="Y543" i="4"/>
  <c r="Z553" i="4"/>
  <c r="Y553" i="4"/>
  <c r="Z563" i="4"/>
  <c r="Y563" i="4"/>
  <c r="Z573" i="4"/>
  <c r="Y573" i="4"/>
  <c r="Z583" i="4"/>
  <c r="Y583" i="4"/>
  <c r="Z593" i="4"/>
  <c r="Y593" i="4"/>
  <c r="Z603" i="4"/>
  <c r="Y603" i="4"/>
  <c r="V13" i="6"/>
  <c r="P13" i="6"/>
  <c r="P18" i="6"/>
  <c r="V28" i="6"/>
  <c r="U28" i="6"/>
  <c r="P32" i="6"/>
  <c r="P68" i="6"/>
  <c r="P90" i="6"/>
  <c r="P95" i="6"/>
  <c r="P22" i="6"/>
  <c r="U23" i="6"/>
  <c r="U27" i="6"/>
  <c r="P30" i="6"/>
  <c r="P34" i="6"/>
  <c r="U44" i="6"/>
  <c r="P67" i="6"/>
  <c r="U73" i="6"/>
  <c r="P81" i="6"/>
  <c r="P89" i="6"/>
  <c r="U94" i="6"/>
  <c r="P112" i="6"/>
  <c r="V119" i="6"/>
  <c r="U119" i="6"/>
  <c r="V174" i="6"/>
  <c r="U174" i="6"/>
  <c r="V229" i="6"/>
  <c r="U229" i="6"/>
  <c r="V239" i="6"/>
  <c r="U239" i="6"/>
  <c r="V249" i="6"/>
  <c r="U249" i="6"/>
  <c r="V259" i="6"/>
  <c r="U259" i="6"/>
  <c r="P46" i="6"/>
  <c r="P82" i="6"/>
  <c r="P96" i="6"/>
  <c r="P121" i="6"/>
  <c r="V129" i="6"/>
  <c r="U129" i="6"/>
  <c r="P131" i="6"/>
  <c r="V139" i="6"/>
  <c r="U139" i="6"/>
  <c r="V189" i="6"/>
  <c r="U189" i="6"/>
  <c r="V204" i="6"/>
  <c r="U204" i="6"/>
  <c r="P10" i="6"/>
  <c r="P14" i="6"/>
  <c r="P21" i="6"/>
  <c r="P47" i="6"/>
  <c r="U53" i="6"/>
  <c r="P55" i="6"/>
  <c r="P61" i="6"/>
  <c r="P69" i="6"/>
  <c r="U74" i="6"/>
  <c r="U82" i="6"/>
  <c r="P97" i="6"/>
  <c r="P98" i="6"/>
  <c r="V104" i="6"/>
  <c r="U104" i="6"/>
  <c r="P115" i="6"/>
  <c r="P122" i="6"/>
  <c r="P123" i="6"/>
  <c r="P132" i="6"/>
  <c r="P133" i="6"/>
  <c r="U147" i="6"/>
  <c r="V154" i="6"/>
  <c r="U154" i="6"/>
  <c r="P25" i="6"/>
  <c r="P29" i="6"/>
  <c r="P36" i="6"/>
  <c r="V53" i="6"/>
  <c r="P62" i="6"/>
  <c r="P63" i="6"/>
  <c r="P70" i="6"/>
  <c r="P76" i="6"/>
  <c r="V82" i="6"/>
  <c r="P84" i="6"/>
  <c r="P106" i="6"/>
  <c r="U122" i="6"/>
  <c r="U132" i="6"/>
  <c r="V169" i="6"/>
  <c r="U169" i="6"/>
  <c r="V214" i="6"/>
  <c r="U214" i="6"/>
  <c r="P77" i="6"/>
  <c r="P78" i="6"/>
  <c r="P85" i="6"/>
  <c r="P91" i="6"/>
  <c r="P99" i="6"/>
  <c r="P100" i="6"/>
  <c r="P107" i="6"/>
  <c r="P108" i="6"/>
  <c r="V114" i="6"/>
  <c r="U114" i="6"/>
  <c r="P124" i="6"/>
  <c r="P125" i="6"/>
  <c r="P134" i="6"/>
  <c r="P135" i="6"/>
  <c r="U148" i="6"/>
  <c r="U177" i="6"/>
  <c r="V184" i="6"/>
  <c r="U184" i="6"/>
  <c r="U198" i="6"/>
  <c r="U223" i="6"/>
  <c r="V232" i="6"/>
  <c r="V264" i="6"/>
  <c r="U264" i="6"/>
  <c r="P56" i="6"/>
  <c r="U69" i="6"/>
  <c r="U77" i="6"/>
  <c r="P92" i="6"/>
  <c r="P93" i="6"/>
  <c r="U98" i="6"/>
  <c r="U107" i="6"/>
  <c r="P116" i="6"/>
  <c r="U123" i="6"/>
  <c r="U133" i="6"/>
  <c r="U142" i="6"/>
  <c r="V149" i="6"/>
  <c r="U149" i="6"/>
  <c r="U163" i="6"/>
  <c r="U192" i="6"/>
  <c r="V199" i="6"/>
  <c r="U199" i="6"/>
  <c r="V224" i="6"/>
  <c r="U224" i="6"/>
  <c r="V233" i="6"/>
  <c r="V234" i="6"/>
  <c r="U234" i="6"/>
  <c r="V243" i="6"/>
  <c r="V244" i="6"/>
  <c r="U244" i="6"/>
  <c r="V253" i="6"/>
  <c r="V254" i="6"/>
  <c r="U254" i="6"/>
  <c r="P57" i="6"/>
  <c r="U63" i="6"/>
  <c r="P65" i="6"/>
  <c r="P71" i="6"/>
  <c r="V77" i="6"/>
  <c r="P79" i="6"/>
  <c r="U84" i="6"/>
  <c r="U92" i="6"/>
  <c r="V99" i="6"/>
  <c r="U99" i="6"/>
  <c r="V107" i="6"/>
  <c r="P109" i="6"/>
  <c r="P110" i="6"/>
  <c r="P117" i="6"/>
  <c r="V124" i="6"/>
  <c r="U124" i="6"/>
  <c r="P126" i="6"/>
  <c r="V134" i="6"/>
  <c r="U134" i="6"/>
  <c r="P136" i="6"/>
  <c r="U157" i="6"/>
  <c r="V164" i="6"/>
  <c r="U164" i="6"/>
  <c r="U178" i="6"/>
  <c r="U208" i="6"/>
  <c r="P27" i="6"/>
  <c r="P35" i="6"/>
  <c r="P39" i="6"/>
  <c r="P44" i="6"/>
  <c r="U49" i="6"/>
  <c r="U57" i="6"/>
  <c r="P72" i="6"/>
  <c r="U78" i="6"/>
  <c r="P86" i="6"/>
  <c r="V92" i="6"/>
  <c r="P94" i="6"/>
  <c r="P101" i="6"/>
  <c r="U108" i="6"/>
  <c r="U117" i="6"/>
  <c r="P127" i="6"/>
  <c r="P137" i="6"/>
  <c r="U143" i="6"/>
  <c r="U172" i="6"/>
  <c r="V179" i="6"/>
  <c r="U179" i="6"/>
  <c r="U193" i="6"/>
  <c r="V209" i="6"/>
  <c r="U209" i="6"/>
  <c r="V217" i="6"/>
  <c r="U39" i="6"/>
  <c r="P42" i="6"/>
  <c r="P51" i="6"/>
  <c r="V57" i="6"/>
  <c r="P59" i="6"/>
  <c r="P87" i="6"/>
  <c r="P102" i="6"/>
  <c r="V109" i="6"/>
  <c r="U109" i="6"/>
  <c r="V117" i="6"/>
  <c r="P119" i="6"/>
  <c r="U127" i="6"/>
  <c r="V144" i="6"/>
  <c r="U144" i="6"/>
  <c r="V194" i="6"/>
  <c r="U194" i="6"/>
  <c r="P15" i="6"/>
  <c r="P19" i="6"/>
  <c r="P52" i="6"/>
  <c r="P66" i="6"/>
  <c r="P74" i="6"/>
  <c r="P111" i="6"/>
  <c r="P129" i="6"/>
  <c r="V137" i="6"/>
  <c r="V159" i="6"/>
  <c r="U159" i="6"/>
  <c r="V202" i="6"/>
  <c r="V219" i="6"/>
  <c r="U219" i="6"/>
  <c r="V227" i="6"/>
  <c r="V237" i="6"/>
  <c r="V247" i="6"/>
  <c r="V257" i="6"/>
  <c r="V642" i="6"/>
  <c r="U642" i="6"/>
  <c r="V1761" i="6"/>
  <c r="U1761" i="6"/>
  <c r="V1847" i="6"/>
  <c r="U1847" i="6"/>
  <c r="V1868" i="6"/>
  <c r="U1868" i="6"/>
  <c r="V607" i="6"/>
  <c r="U607" i="6"/>
  <c r="U1514" i="6"/>
  <c r="V1514" i="6"/>
  <c r="V1554" i="6"/>
  <c r="U1554" i="6"/>
  <c r="V1564" i="6"/>
  <c r="U1564" i="6"/>
  <c r="V1573" i="6"/>
  <c r="U1573" i="6"/>
  <c r="V1617" i="6"/>
  <c r="U1617" i="6"/>
  <c r="V1634" i="6"/>
  <c r="U1634" i="6"/>
  <c r="V1661" i="6"/>
  <c r="U1661" i="6"/>
  <c r="V1679" i="6"/>
  <c r="U1679" i="6"/>
  <c r="V1689" i="6"/>
  <c r="U1689" i="6"/>
  <c r="V1698" i="6"/>
  <c r="U1698" i="6"/>
  <c r="V1742" i="6"/>
  <c r="U1742" i="6"/>
  <c r="V1893" i="6"/>
  <c r="U1893" i="6"/>
  <c r="V1976" i="6"/>
  <c r="U1976" i="6"/>
  <c r="V2068" i="6"/>
  <c r="U2068" i="6"/>
  <c r="V2176" i="6"/>
  <c r="U2176" i="6"/>
  <c r="V587" i="6"/>
  <c r="U587" i="6"/>
  <c r="U615" i="6"/>
  <c r="V622" i="6"/>
  <c r="U622" i="6"/>
  <c r="U636" i="6"/>
  <c r="U644" i="6"/>
  <c r="U650" i="6"/>
  <c r="U671" i="6"/>
  <c r="U679" i="6"/>
  <c r="U700" i="6"/>
  <c r="U721" i="6"/>
  <c r="U729" i="6"/>
  <c r="U750" i="6"/>
  <c r="U771" i="6"/>
  <c r="U779" i="6"/>
  <c r="U800" i="6"/>
  <c r="U821" i="6"/>
  <c r="U829" i="6"/>
  <c r="U850" i="6"/>
  <c r="U871" i="6"/>
  <c r="U879" i="6"/>
  <c r="U900" i="6"/>
  <c r="U921" i="6"/>
  <c r="U929" i="6"/>
  <c r="U950" i="6"/>
  <c r="U971" i="6"/>
  <c r="U979" i="6"/>
  <c r="U1000" i="6"/>
  <c r="U1021" i="6"/>
  <c r="U1029" i="6"/>
  <c r="U1050" i="6"/>
  <c r="U1071" i="6"/>
  <c r="U1079" i="6"/>
  <c r="U1100" i="6"/>
  <c r="U1121" i="6"/>
  <c r="U1129" i="6"/>
  <c r="U1150" i="6"/>
  <c r="U1171" i="6"/>
  <c r="U1179" i="6"/>
  <c r="U1200" i="6"/>
  <c r="U1221" i="6"/>
  <c r="U1229" i="6"/>
  <c r="U1250" i="6"/>
  <c r="U1271" i="6"/>
  <c r="U1279" i="6"/>
  <c r="U1285" i="6"/>
  <c r="U1306" i="6"/>
  <c r="U1314" i="6"/>
  <c r="U1335" i="6"/>
  <c r="U1356" i="6"/>
  <c r="U1364" i="6"/>
  <c r="U1391" i="6"/>
  <c r="U1399" i="6"/>
  <c r="U1452" i="6"/>
  <c r="V1484" i="6"/>
  <c r="U1491" i="6"/>
  <c r="U1507" i="6"/>
  <c r="U1523" i="6"/>
  <c r="U1530" i="6"/>
  <c r="U1547" i="6"/>
  <c r="U1591" i="6"/>
  <c r="U1608" i="6"/>
  <c r="U1627" i="6"/>
  <c r="U1646" i="6"/>
  <c r="U1653" i="6"/>
  <c r="U1672" i="6"/>
  <c r="U1716" i="6"/>
  <c r="U1733" i="6"/>
  <c r="U1753" i="6"/>
  <c r="V1804" i="6"/>
  <c r="U1804" i="6"/>
  <c r="V2018" i="6"/>
  <c r="U2018" i="6"/>
  <c r="V2097" i="6"/>
  <c r="U2097" i="6"/>
  <c r="V2126" i="6"/>
  <c r="U2126" i="6"/>
  <c r="U262" i="6"/>
  <c r="U267" i="6"/>
  <c r="U272" i="6"/>
  <c r="U277" i="6"/>
  <c r="U282" i="6"/>
  <c r="U287" i="6"/>
  <c r="U292" i="6"/>
  <c r="U297" i="6"/>
  <c r="U302" i="6"/>
  <c r="U307" i="6"/>
  <c r="U312" i="6"/>
  <c r="U317" i="6"/>
  <c r="U322" i="6"/>
  <c r="U327" i="6"/>
  <c r="U332" i="6"/>
  <c r="U337" i="6"/>
  <c r="U342" i="6"/>
  <c r="U347" i="6"/>
  <c r="U352" i="6"/>
  <c r="U357" i="6"/>
  <c r="U362" i="6"/>
  <c r="U367" i="6"/>
  <c r="U372" i="6"/>
  <c r="U377" i="6"/>
  <c r="U382" i="6"/>
  <c r="V637" i="6"/>
  <c r="U637" i="6"/>
  <c r="U836" i="6"/>
  <c r="U886" i="6"/>
  <c r="U936" i="6"/>
  <c r="U986" i="6"/>
  <c r="U1036" i="6"/>
  <c r="U1086" i="6"/>
  <c r="U1136" i="6"/>
  <c r="U1186" i="6"/>
  <c r="U1236" i="6"/>
  <c r="U1321" i="6"/>
  <c r="U1371" i="6"/>
  <c r="U1406" i="6"/>
  <c r="U1431" i="6"/>
  <c r="V1453" i="6"/>
  <c r="U1453" i="6"/>
  <c r="V1492" i="6"/>
  <c r="U1492" i="6"/>
  <c r="V1531" i="6"/>
  <c r="U1531" i="6"/>
  <c r="V1539" i="6"/>
  <c r="V1548" i="6"/>
  <c r="U1548" i="6"/>
  <c r="V1592" i="6"/>
  <c r="U1592" i="6"/>
  <c r="V1609" i="6"/>
  <c r="U1609" i="6"/>
  <c r="V1636" i="6"/>
  <c r="U1636" i="6"/>
  <c r="V1654" i="6"/>
  <c r="U1654" i="6"/>
  <c r="V1664" i="6"/>
  <c r="U1664" i="6"/>
  <c r="V1673" i="6"/>
  <c r="U1673" i="6"/>
  <c r="V1717" i="6"/>
  <c r="U1717" i="6"/>
  <c r="V1734" i="6"/>
  <c r="U1734" i="6"/>
  <c r="V1754" i="6"/>
  <c r="U1754" i="6"/>
  <c r="V1779" i="6"/>
  <c r="U1779" i="6"/>
  <c r="V1817" i="6"/>
  <c r="U1817" i="6"/>
  <c r="V1851" i="6"/>
  <c r="U1851" i="6"/>
  <c r="V1872" i="6"/>
  <c r="U1872" i="6"/>
  <c r="V2218" i="6"/>
  <c r="U2218" i="6"/>
  <c r="V602" i="6"/>
  <c r="U602" i="6"/>
  <c r="V1792" i="6"/>
  <c r="U1792" i="6"/>
  <c r="V1918" i="6"/>
  <c r="U1918" i="6"/>
  <c r="V2047" i="6"/>
  <c r="U2047" i="6"/>
  <c r="U413" i="6"/>
  <c r="U418" i="6"/>
  <c r="U423" i="6"/>
  <c r="U428" i="6"/>
  <c r="U433" i="6"/>
  <c r="U438" i="6"/>
  <c r="U443" i="6"/>
  <c r="U448" i="6"/>
  <c r="U453" i="6"/>
  <c r="U458" i="6"/>
  <c r="U463" i="6"/>
  <c r="U468" i="6"/>
  <c r="U473" i="6"/>
  <c r="U478" i="6"/>
  <c r="U483" i="6"/>
  <c r="U488" i="6"/>
  <c r="U493" i="6"/>
  <c r="U498" i="6"/>
  <c r="U503" i="6"/>
  <c r="U508" i="6"/>
  <c r="U513" i="6"/>
  <c r="U518" i="6"/>
  <c r="U523" i="6"/>
  <c r="U528" i="6"/>
  <c r="U533" i="6"/>
  <c r="U538" i="6"/>
  <c r="U543" i="6"/>
  <c r="U548" i="6"/>
  <c r="U553" i="6"/>
  <c r="U558" i="6"/>
  <c r="U563" i="6"/>
  <c r="U568" i="6"/>
  <c r="U573" i="6"/>
  <c r="U578" i="6"/>
  <c r="U583" i="6"/>
  <c r="U596" i="6"/>
  <c r="U610" i="6"/>
  <c r="V617" i="6"/>
  <c r="U617" i="6"/>
  <c r="U631" i="6"/>
  <c r="U639" i="6"/>
  <c r="U666" i="6"/>
  <c r="U674" i="6"/>
  <c r="U695" i="6"/>
  <c r="U716" i="6"/>
  <c r="U724" i="6"/>
  <c r="U745" i="6"/>
  <c r="U766" i="6"/>
  <c r="U774" i="6"/>
  <c r="U795" i="6"/>
  <c r="U816" i="6"/>
  <c r="U824" i="6"/>
  <c r="U845" i="6"/>
  <c r="U866" i="6"/>
  <c r="U874" i="6"/>
  <c r="U895" i="6"/>
  <c r="U916" i="6"/>
  <c r="U924" i="6"/>
  <c r="U945" i="6"/>
  <c r="U966" i="6"/>
  <c r="U974" i="6"/>
  <c r="U995" i="6"/>
  <c r="U1016" i="6"/>
  <c r="U1024" i="6"/>
  <c r="U1045" i="6"/>
  <c r="U1066" i="6"/>
  <c r="U1074" i="6"/>
  <c r="U1095" i="6"/>
  <c r="U1116" i="6"/>
  <c r="U1124" i="6"/>
  <c r="U1145" i="6"/>
  <c r="U1166" i="6"/>
  <c r="U1174" i="6"/>
  <c r="U1195" i="6"/>
  <c r="U1216" i="6"/>
  <c r="U1224" i="6"/>
  <c r="U1245" i="6"/>
  <c r="U1266" i="6"/>
  <c r="U1274" i="6"/>
  <c r="U1301" i="6"/>
  <c r="U1309" i="6"/>
  <c r="U1330" i="6"/>
  <c r="U1351" i="6"/>
  <c r="U1359" i="6"/>
  <c r="U1386" i="6"/>
  <c r="U1394" i="6"/>
  <c r="U1414" i="6"/>
  <c r="U1420" i="6"/>
  <c r="U1426" i="6"/>
  <c r="V1439" i="6"/>
  <c r="U1447" i="6"/>
  <c r="V1469" i="6"/>
  <c r="V1470" i="6"/>
  <c r="U1470" i="6"/>
  <c r="U1478" i="6"/>
  <c r="U1486" i="6"/>
  <c r="U1495" i="6"/>
  <c r="U1517" i="6"/>
  <c r="U1525" i="6"/>
  <c r="V1567" i="6"/>
  <c r="U1567" i="6"/>
  <c r="V1584" i="6"/>
  <c r="U1584" i="6"/>
  <c r="V1611" i="6"/>
  <c r="U1611" i="6"/>
  <c r="V1629" i="6"/>
  <c r="U1629" i="6"/>
  <c r="V1639" i="6"/>
  <c r="U1639" i="6"/>
  <c r="V1648" i="6"/>
  <c r="U1648" i="6"/>
  <c r="V1692" i="6"/>
  <c r="U1692" i="6"/>
  <c r="V1709" i="6"/>
  <c r="U1709" i="6"/>
  <c r="V1736" i="6"/>
  <c r="U1736" i="6"/>
  <c r="U1747" i="6"/>
  <c r="V1767" i="6"/>
  <c r="U1767" i="6"/>
  <c r="V1876" i="6"/>
  <c r="U1876" i="6"/>
  <c r="V1897" i="6"/>
  <c r="U1897" i="6"/>
  <c r="U590" i="6"/>
  <c r="V597" i="6"/>
  <c r="U597" i="6"/>
  <c r="U604" i="6"/>
  <c r="U625" i="6"/>
  <c r="V632" i="6"/>
  <c r="U632" i="6"/>
  <c r="U646" i="6"/>
  <c r="U660" i="6"/>
  <c r="U681" i="6"/>
  <c r="U689" i="6"/>
  <c r="U710" i="6"/>
  <c r="U731" i="6"/>
  <c r="U739" i="6"/>
  <c r="U760" i="6"/>
  <c r="U781" i="6"/>
  <c r="U789" i="6"/>
  <c r="U810" i="6"/>
  <c r="U831" i="6"/>
  <c r="U839" i="6"/>
  <c r="U860" i="6"/>
  <c r="U881" i="6"/>
  <c r="U889" i="6"/>
  <c r="U910" i="6"/>
  <c r="U931" i="6"/>
  <c r="U939" i="6"/>
  <c r="U960" i="6"/>
  <c r="U981" i="6"/>
  <c r="U989" i="6"/>
  <c r="U1010" i="6"/>
  <c r="U1031" i="6"/>
  <c r="U1039" i="6"/>
  <c r="U1060" i="6"/>
  <c r="U1081" i="6"/>
  <c r="U1089" i="6"/>
  <c r="U1110" i="6"/>
  <c r="U1131" i="6"/>
  <c r="U1139" i="6"/>
  <c r="U1160" i="6"/>
  <c r="U1181" i="6"/>
  <c r="U1189" i="6"/>
  <c r="U1210" i="6"/>
  <c r="U1231" i="6"/>
  <c r="U1239" i="6"/>
  <c r="U1260" i="6"/>
  <c r="U1281" i="6"/>
  <c r="U1295" i="6"/>
  <c r="U1316" i="6"/>
  <c r="U1324" i="6"/>
  <c r="U1345" i="6"/>
  <c r="U1366" i="6"/>
  <c r="U1374" i="6"/>
  <c r="U1380" i="6"/>
  <c r="U1401" i="6"/>
  <c r="U1440" i="6"/>
  <c r="U1456" i="6"/>
  <c r="U1463" i="6"/>
  <c r="U1502" i="6"/>
  <c r="V1534" i="6"/>
  <c r="U1541" i="6"/>
  <c r="U1558" i="6"/>
  <c r="U1577" i="6"/>
  <c r="U1596" i="6"/>
  <c r="U1603" i="6"/>
  <c r="U1622" i="6"/>
  <c r="U1666" i="6"/>
  <c r="U1683" i="6"/>
  <c r="U1702" i="6"/>
  <c r="U1721" i="6"/>
  <c r="U1728" i="6"/>
  <c r="V1748" i="6"/>
  <c r="U1748" i="6"/>
  <c r="V1843" i="6"/>
  <c r="U1843" i="6"/>
  <c r="V1968" i="6"/>
  <c r="U1968" i="6"/>
  <c r="V2076" i="6"/>
  <c r="U2076" i="6"/>
  <c r="V2168" i="6"/>
  <c r="U2168" i="6"/>
  <c r="V2197" i="6"/>
  <c r="U2197" i="6"/>
  <c r="U269" i="6"/>
  <c r="U274" i="6"/>
  <c r="U279" i="6"/>
  <c r="U284" i="6"/>
  <c r="U289" i="6"/>
  <c r="U294" i="6"/>
  <c r="U299" i="6"/>
  <c r="U304" i="6"/>
  <c r="U309" i="6"/>
  <c r="U314" i="6"/>
  <c r="U319" i="6"/>
  <c r="U324" i="6"/>
  <c r="U329" i="6"/>
  <c r="U334" i="6"/>
  <c r="U339" i="6"/>
  <c r="U344" i="6"/>
  <c r="U349" i="6"/>
  <c r="U354" i="6"/>
  <c r="U359" i="6"/>
  <c r="U364" i="6"/>
  <c r="U369" i="6"/>
  <c r="U374" i="6"/>
  <c r="U379" i="6"/>
  <c r="U384" i="6"/>
  <c r="U389" i="6"/>
  <c r="U394" i="6"/>
  <c r="U399" i="6"/>
  <c r="U404" i="6"/>
  <c r="U409" i="6"/>
  <c r="U414" i="6"/>
  <c r="U419" i="6"/>
  <c r="U424" i="6"/>
  <c r="U429" i="6"/>
  <c r="U434" i="6"/>
  <c r="U439" i="6"/>
  <c r="U444" i="6"/>
  <c r="U449" i="6"/>
  <c r="U454" i="6"/>
  <c r="U459" i="6"/>
  <c r="U464" i="6"/>
  <c r="U469" i="6"/>
  <c r="U474" i="6"/>
  <c r="U479" i="6"/>
  <c r="U484" i="6"/>
  <c r="U489" i="6"/>
  <c r="U494" i="6"/>
  <c r="U499" i="6"/>
  <c r="U504" i="6"/>
  <c r="U509" i="6"/>
  <c r="U514" i="6"/>
  <c r="U519" i="6"/>
  <c r="U524" i="6"/>
  <c r="U529" i="6"/>
  <c r="U534" i="6"/>
  <c r="U539" i="6"/>
  <c r="U544" i="6"/>
  <c r="U549" i="6"/>
  <c r="U554" i="6"/>
  <c r="U559" i="6"/>
  <c r="U564" i="6"/>
  <c r="U569" i="6"/>
  <c r="U574" i="6"/>
  <c r="U579" i="6"/>
  <c r="U584" i="6"/>
  <c r="U611" i="6"/>
  <c r="U619" i="6"/>
  <c r="U640" i="6"/>
  <c r="V647" i="6"/>
  <c r="U647" i="6"/>
  <c r="U654" i="6"/>
  <c r="U675" i="6"/>
  <c r="U696" i="6"/>
  <c r="U704" i="6"/>
  <c r="U725" i="6"/>
  <c r="U746" i="6"/>
  <c r="U754" i="6"/>
  <c r="U775" i="6"/>
  <c r="U796" i="6"/>
  <c r="U804" i="6"/>
  <c r="U825" i="6"/>
  <c r="U846" i="6"/>
  <c r="U854" i="6"/>
  <c r="U875" i="6"/>
  <c r="U896" i="6"/>
  <c r="U904" i="6"/>
  <c r="U925" i="6"/>
  <c r="U946" i="6"/>
  <c r="U954" i="6"/>
  <c r="U975" i="6"/>
  <c r="U996" i="6"/>
  <c r="U1004" i="6"/>
  <c r="U1025" i="6"/>
  <c r="U1046" i="6"/>
  <c r="U1054" i="6"/>
  <c r="U1075" i="6"/>
  <c r="U1096" i="6"/>
  <c r="U1104" i="6"/>
  <c r="U1125" i="6"/>
  <c r="U1146" i="6"/>
  <c r="U1154" i="6"/>
  <c r="U1175" i="6"/>
  <c r="U1196" i="6"/>
  <c r="U1204" i="6"/>
  <c r="U1225" i="6"/>
  <c r="U1246" i="6"/>
  <c r="U1254" i="6"/>
  <c r="U1275" i="6"/>
  <c r="U1289" i="6"/>
  <c r="U1310" i="6"/>
  <c r="U1331" i="6"/>
  <c r="U1339" i="6"/>
  <c r="U1360" i="6"/>
  <c r="U1395" i="6"/>
  <c r="U1409" i="6"/>
  <c r="U1415" i="6"/>
  <c r="U1421" i="6"/>
  <c r="U1434" i="6"/>
  <c r="U1464" i="6"/>
  <c r="V1464" i="6"/>
  <c r="V1479" i="6"/>
  <c r="U1496" i="6"/>
  <c r="V1503" i="6"/>
  <c r="U1503" i="6"/>
  <c r="U1518" i="6"/>
  <c r="U1535" i="6"/>
  <c r="V1542" i="6"/>
  <c r="U1542" i="6"/>
  <c r="V1559" i="6"/>
  <c r="U1559" i="6"/>
  <c r="V1586" i="6"/>
  <c r="U1586" i="6"/>
  <c r="V1604" i="6"/>
  <c r="U1604" i="6"/>
  <c r="V1614" i="6"/>
  <c r="U1614" i="6"/>
  <c r="V1623" i="6"/>
  <c r="U1623" i="6"/>
  <c r="V1667" i="6"/>
  <c r="U1667" i="6"/>
  <c r="V1684" i="6"/>
  <c r="U1684" i="6"/>
  <c r="V1711" i="6"/>
  <c r="U1711" i="6"/>
  <c r="V1729" i="6"/>
  <c r="U1729" i="6"/>
  <c r="V1739" i="6"/>
  <c r="U1739" i="6"/>
  <c r="V1798" i="6"/>
  <c r="U1798" i="6"/>
  <c r="V1823" i="6"/>
  <c r="U1823" i="6"/>
  <c r="V1947" i="6"/>
  <c r="U1947" i="6"/>
  <c r="V1997" i="6"/>
  <c r="U1997" i="6"/>
  <c r="V2026" i="6"/>
  <c r="U2026" i="6"/>
  <c r="V2118" i="6"/>
  <c r="U2118" i="6"/>
  <c r="U591" i="6"/>
  <c r="U605" i="6"/>
  <c r="V612" i="6"/>
  <c r="U612" i="6"/>
  <c r="U626" i="6"/>
  <c r="U634" i="6"/>
  <c r="U661" i="6"/>
  <c r="U669" i="6"/>
  <c r="U690" i="6"/>
  <c r="U711" i="6"/>
  <c r="U719" i="6"/>
  <c r="U740" i="6"/>
  <c r="U761" i="6"/>
  <c r="U769" i="6"/>
  <c r="U790" i="6"/>
  <c r="U811" i="6"/>
  <c r="U819" i="6"/>
  <c r="U840" i="6"/>
  <c r="U861" i="6"/>
  <c r="U869" i="6"/>
  <c r="U890" i="6"/>
  <c r="U911" i="6"/>
  <c r="U919" i="6"/>
  <c r="U940" i="6"/>
  <c r="U961" i="6"/>
  <c r="U969" i="6"/>
  <c r="U990" i="6"/>
  <c r="U1011" i="6"/>
  <c r="U1019" i="6"/>
  <c r="U1040" i="6"/>
  <c r="U1061" i="6"/>
  <c r="U1069" i="6"/>
  <c r="U1090" i="6"/>
  <c r="U1111" i="6"/>
  <c r="U1119" i="6"/>
  <c r="U1140" i="6"/>
  <c r="U1161" i="6"/>
  <c r="U1169" i="6"/>
  <c r="U1190" i="6"/>
  <c r="U1211" i="6"/>
  <c r="U1219" i="6"/>
  <c r="U1240" i="6"/>
  <c r="U1261" i="6"/>
  <c r="U1269" i="6"/>
  <c r="U1296" i="6"/>
  <c r="U1304" i="6"/>
  <c r="U1325" i="6"/>
  <c r="U1346" i="6"/>
  <c r="U1354" i="6"/>
  <c r="U1375" i="6"/>
  <c r="U1381" i="6"/>
  <c r="U1389" i="6"/>
  <c r="U1441" i="6"/>
  <c r="U1457" i="6"/>
  <c r="U1473" i="6"/>
  <c r="U1480" i="6"/>
  <c r="U1512" i="6"/>
  <c r="U1552" i="6"/>
  <c r="U1571" i="6"/>
  <c r="U1578" i="6"/>
  <c r="U1597" i="6"/>
  <c r="U1641" i="6"/>
  <c r="U1658" i="6"/>
  <c r="U1677" i="6"/>
  <c r="U1696" i="6"/>
  <c r="U1703" i="6"/>
  <c r="U1722" i="6"/>
  <c r="V1758" i="6"/>
  <c r="V1759" i="6"/>
  <c r="U1759" i="6"/>
  <c r="V1773" i="6"/>
  <c r="U1773" i="6"/>
  <c r="V1811" i="6"/>
  <c r="U1811" i="6"/>
  <c r="V2147" i="6"/>
  <c r="U2147" i="6"/>
  <c r="V2247" i="6"/>
  <c r="U2247" i="6"/>
  <c r="V592" i="6"/>
  <c r="U592" i="6"/>
  <c r="V627" i="6"/>
  <c r="U627" i="6"/>
  <c r="U676" i="6"/>
  <c r="U726" i="6"/>
  <c r="U776" i="6"/>
  <c r="U826" i="6"/>
  <c r="U876" i="6"/>
  <c r="U926" i="6"/>
  <c r="U976" i="6"/>
  <c r="U1026" i="6"/>
  <c r="U1076" i="6"/>
  <c r="U1126" i="6"/>
  <c r="U1176" i="6"/>
  <c r="U1226" i="6"/>
  <c r="U1276" i="6"/>
  <c r="U1311" i="6"/>
  <c r="U1361" i="6"/>
  <c r="U1396" i="6"/>
  <c r="U1416" i="6"/>
  <c r="V1442" i="6"/>
  <c r="U1442" i="6"/>
  <c r="V1481" i="6"/>
  <c r="U1481" i="6"/>
  <c r="V1489" i="6"/>
  <c r="U1497" i="6"/>
  <c r="V1519" i="6"/>
  <c r="V1520" i="6"/>
  <c r="U1520" i="6"/>
  <c r="U1536" i="6"/>
  <c r="V1561" i="6"/>
  <c r="U1561" i="6"/>
  <c r="V1579" i="6"/>
  <c r="U1579" i="6"/>
  <c r="V1589" i="6"/>
  <c r="U1589" i="6"/>
  <c r="V1598" i="6"/>
  <c r="U1598" i="6"/>
  <c r="V1642" i="6"/>
  <c r="U1642" i="6"/>
  <c r="V1659" i="6"/>
  <c r="U1659" i="6"/>
  <c r="V1686" i="6"/>
  <c r="U1686" i="6"/>
  <c r="V1704" i="6"/>
  <c r="U1704" i="6"/>
  <c r="V1714" i="6"/>
  <c r="U1714" i="6"/>
  <c r="V1723" i="6"/>
  <c r="U1723" i="6"/>
  <c r="V1786" i="6"/>
  <c r="U1786" i="6"/>
  <c r="V1926" i="6"/>
  <c r="U1926" i="6"/>
  <c r="V2226" i="6"/>
  <c r="U2226" i="6"/>
  <c r="V1443" i="6"/>
  <c r="V1460" i="6"/>
  <c r="V1471" i="6"/>
  <c r="V1482" i="6"/>
  <c r="V1493" i="6"/>
  <c r="V1510" i="6"/>
  <c r="V1521" i="6"/>
  <c r="V1532" i="6"/>
  <c r="V1543" i="6"/>
  <c r="V1544" i="6"/>
  <c r="U1544" i="6"/>
  <c r="V1556" i="6"/>
  <c r="V1562" i="6"/>
  <c r="V1568" i="6"/>
  <c r="V1569" i="6"/>
  <c r="U1569" i="6"/>
  <c r="V1581" i="6"/>
  <c r="V1587" i="6"/>
  <c r="V1593" i="6"/>
  <c r="V1594" i="6"/>
  <c r="U1594" i="6"/>
  <c r="V1606" i="6"/>
  <c r="V1612" i="6"/>
  <c r="V1618" i="6"/>
  <c r="V1619" i="6"/>
  <c r="U1619" i="6"/>
  <c r="V1631" i="6"/>
  <c r="V1637" i="6"/>
  <c r="V1643" i="6"/>
  <c r="V1644" i="6"/>
  <c r="U1644" i="6"/>
  <c r="V1656" i="6"/>
  <c r="V1662" i="6"/>
  <c r="V1668" i="6"/>
  <c r="V1669" i="6"/>
  <c r="U1669" i="6"/>
  <c r="V1681" i="6"/>
  <c r="V1687" i="6"/>
  <c r="V1693" i="6"/>
  <c r="V1694" i="6"/>
  <c r="U1694" i="6"/>
  <c r="V1706" i="6"/>
  <c r="V1712" i="6"/>
  <c r="V1718" i="6"/>
  <c r="V1719" i="6"/>
  <c r="U1719" i="6"/>
  <c r="V1731" i="6"/>
  <c r="V1737" i="6"/>
  <c r="V1743" i="6"/>
  <c r="V1744" i="6"/>
  <c r="U1744" i="6"/>
  <c r="V1756" i="6"/>
  <c r="V1762" i="6"/>
  <c r="V1768" i="6"/>
  <c r="V1769" i="6"/>
  <c r="U1769" i="6"/>
  <c r="V1781" i="6"/>
  <c r="V1787" i="6"/>
  <c r="V1793" i="6"/>
  <c r="V1794" i="6"/>
  <c r="U1794" i="6"/>
  <c r="V1806" i="6"/>
  <c r="V1812" i="6"/>
  <c r="V1818" i="6"/>
  <c r="V1819" i="6"/>
  <c r="U1819" i="6"/>
  <c r="V1831" i="6"/>
  <c r="V1852" i="6"/>
  <c r="V1881" i="6"/>
  <c r="V1902" i="6"/>
  <c r="V1931" i="6"/>
  <c r="V1952" i="6"/>
  <c r="V1981" i="6"/>
  <c r="U1988" i="6"/>
  <c r="V2002" i="6"/>
  <c r="V2031" i="6"/>
  <c r="V2052" i="6"/>
  <c r="V2081" i="6"/>
  <c r="U2088" i="6"/>
  <c r="V2102" i="6"/>
  <c r="V2131" i="6"/>
  <c r="V2152" i="6"/>
  <c r="V2181" i="6"/>
  <c r="U2188" i="6"/>
  <c r="V2202" i="6"/>
  <c r="V2231" i="6"/>
  <c r="V2252" i="6"/>
  <c r="V2281" i="6"/>
  <c r="U2288" i="6"/>
  <c r="V2302" i="6"/>
  <c r="V2331" i="6"/>
  <c r="U2338" i="6"/>
  <c r="V2352" i="6"/>
  <c r="V2381" i="6"/>
  <c r="U2388" i="6"/>
  <c r="V2402" i="6"/>
  <c r="V2431" i="6"/>
  <c r="U2438" i="6"/>
  <c r="V2452" i="6"/>
  <c r="V2481" i="6"/>
  <c r="U2488" i="6"/>
  <c r="V2502" i="6"/>
  <c r="V2531" i="6"/>
  <c r="U2538" i="6"/>
  <c r="V2552" i="6"/>
  <c r="V2581" i="6"/>
  <c r="U2588" i="6"/>
  <c r="V2602" i="6"/>
  <c r="V2631" i="6"/>
  <c r="U2638" i="6"/>
  <c r="V2646" i="6"/>
  <c r="U2653" i="6"/>
  <c r="V2691" i="6"/>
  <c r="U2698" i="6"/>
  <c r="V2712" i="6"/>
  <c r="V2741" i="6"/>
  <c r="U2748" i="6"/>
  <c r="V2762" i="6"/>
  <c r="V2791" i="6"/>
  <c r="U2798" i="6"/>
  <c r="U2813" i="6"/>
  <c r="U2838" i="6"/>
  <c r="U2863" i="6"/>
  <c r="U2888" i="6"/>
  <c r="V2897" i="6"/>
  <c r="V2907" i="6"/>
  <c r="V2917" i="6"/>
  <c r="V2927" i="6"/>
  <c r="V2937" i="6"/>
  <c r="V2947" i="6"/>
  <c r="V2957" i="6"/>
  <c r="V2967" i="6"/>
  <c r="V2977" i="6"/>
  <c r="V2987" i="6"/>
  <c r="V2997" i="6"/>
  <c r="V1764" i="6"/>
  <c r="U1764" i="6"/>
  <c r="V1789" i="6"/>
  <c r="U1789" i="6"/>
  <c r="V1814" i="6"/>
  <c r="U1814" i="6"/>
  <c r="U2268" i="6"/>
  <c r="U2276" i="6"/>
  <c r="U2297" i="6"/>
  <c r="U2318" i="6"/>
  <c r="U2326" i="6"/>
  <c r="U2347" i="6"/>
  <c r="U2368" i="6"/>
  <c r="U2376" i="6"/>
  <c r="U2397" i="6"/>
  <c r="U2418" i="6"/>
  <c r="U2426" i="6"/>
  <c r="U2447" i="6"/>
  <c r="U2468" i="6"/>
  <c r="U2476" i="6"/>
  <c r="U2497" i="6"/>
  <c r="U2518" i="6"/>
  <c r="U2526" i="6"/>
  <c r="U2547" i="6"/>
  <c r="U2568" i="6"/>
  <c r="U2576" i="6"/>
  <c r="U2597" i="6"/>
  <c r="U2618" i="6"/>
  <c r="U2626" i="6"/>
  <c r="U2641" i="6"/>
  <c r="U2656" i="6"/>
  <c r="U2663" i="6"/>
  <c r="U2678" i="6"/>
  <c r="U2686" i="6"/>
  <c r="U2707" i="6"/>
  <c r="U2728" i="6"/>
  <c r="U2736" i="6"/>
  <c r="U2757" i="6"/>
  <c r="U2778" i="6"/>
  <c r="U2786" i="6"/>
  <c r="U2807" i="6"/>
  <c r="U2816" i="6"/>
  <c r="U2823" i="6"/>
  <c r="U2832" i="6"/>
  <c r="U2841" i="6"/>
  <c r="U2848" i="6"/>
  <c r="U2857" i="6"/>
  <c r="U2866" i="6"/>
  <c r="U2873" i="6"/>
  <c r="U2882" i="6"/>
  <c r="U2891" i="6"/>
  <c r="U1771" i="6"/>
  <c r="U1777" i="6"/>
  <c r="U1783" i="6"/>
  <c r="U1796" i="6"/>
  <c r="U1802" i="6"/>
  <c r="U1808" i="6"/>
  <c r="U1833" i="6"/>
  <c r="U1883" i="6"/>
  <c r="U1912" i="6"/>
  <c r="U1933" i="6"/>
  <c r="U1983" i="6"/>
  <c r="U2012" i="6"/>
  <c r="U2033" i="6"/>
  <c r="U2041" i="6"/>
  <c r="U2062" i="6"/>
  <c r="U2083" i="6"/>
  <c r="U2091" i="6"/>
  <c r="U2112" i="6"/>
  <c r="U2133" i="6"/>
  <c r="U2141" i="6"/>
  <c r="U2162" i="6"/>
  <c r="U2183" i="6"/>
  <c r="U2191" i="6"/>
  <c r="U2212" i="6"/>
  <c r="U2233" i="6"/>
  <c r="U2241" i="6"/>
  <c r="U2262" i="6"/>
  <c r="U2283" i="6"/>
  <c r="U2291" i="6"/>
  <c r="U2312" i="6"/>
  <c r="U2333" i="6"/>
  <c r="U2341" i="6"/>
  <c r="U2362" i="6"/>
  <c r="U2383" i="6"/>
  <c r="U2391" i="6"/>
  <c r="U2412" i="6"/>
  <c r="U2433" i="6"/>
  <c r="U2441" i="6"/>
  <c r="U2462" i="6"/>
  <c r="U2483" i="6"/>
  <c r="U2491" i="6"/>
  <c r="U2512" i="6"/>
  <c r="U2533" i="6"/>
  <c r="U2541" i="6"/>
  <c r="U2562" i="6"/>
  <c r="U2583" i="6"/>
  <c r="U2591" i="6"/>
  <c r="U2612" i="6"/>
  <c r="U2633" i="6"/>
  <c r="U2648" i="6"/>
  <c r="U2672" i="6"/>
  <c r="U2693" i="6"/>
  <c r="U2701" i="6"/>
  <c r="U2722" i="6"/>
  <c r="U2743" i="6"/>
  <c r="U2751" i="6"/>
  <c r="U2772" i="6"/>
  <c r="U2793" i="6"/>
  <c r="U2801" i="6"/>
  <c r="U2901" i="6"/>
  <c r="U2911" i="6"/>
  <c r="U2921" i="6"/>
  <c r="U2931" i="6"/>
  <c r="U2941" i="6"/>
  <c r="U2951" i="6"/>
  <c r="U2961" i="6"/>
  <c r="U2971" i="6"/>
  <c r="U2981" i="6"/>
  <c r="U2991" i="6"/>
  <c r="U3001" i="6"/>
  <c r="V1784" i="6"/>
  <c r="U1784" i="6"/>
  <c r="V1809" i="6"/>
  <c r="U1809" i="6"/>
  <c r="U1927" i="6"/>
  <c r="U1977" i="6"/>
  <c r="U1998" i="6"/>
  <c r="U2006" i="6"/>
  <c r="U2027" i="6"/>
  <c r="U2048" i="6"/>
  <c r="U2077" i="6"/>
  <c r="U2098" i="6"/>
  <c r="U2106" i="6"/>
  <c r="U2127" i="6"/>
  <c r="U2177" i="6"/>
  <c r="U2198" i="6"/>
  <c r="U2248" i="6"/>
  <c r="U2277" i="6"/>
  <c r="U2298" i="6"/>
  <c r="U2348" i="6"/>
  <c r="U2398" i="6"/>
  <c r="U2448" i="6"/>
  <c r="U2498" i="6"/>
  <c r="U2548" i="6"/>
  <c r="U2598" i="6"/>
  <c r="U2687" i="6"/>
  <c r="U2708" i="6"/>
  <c r="U2758" i="6"/>
  <c r="U2808" i="6"/>
  <c r="U2817" i="6"/>
  <c r="U2826" i="6"/>
  <c r="U2833" i="6"/>
  <c r="U2858" i="6"/>
  <c r="U2883" i="6"/>
  <c r="U1863" i="6"/>
  <c r="U1913" i="6"/>
  <c r="U1963" i="6"/>
  <c r="U2013" i="6"/>
  <c r="U2063" i="6"/>
  <c r="U2113" i="6"/>
  <c r="U2163" i="6"/>
  <c r="U1901" i="6"/>
  <c r="U1922" i="6"/>
  <c r="U1943" i="6"/>
  <c r="U1951" i="6"/>
  <c r="U1972" i="6"/>
  <c r="U1993" i="6"/>
  <c r="U2001" i="6"/>
  <c r="U2022" i="6"/>
  <c r="U2043" i="6"/>
  <c r="U2051" i="6"/>
  <c r="U2072" i="6"/>
  <c r="U2093" i="6"/>
  <c r="U2101" i="6"/>
  <c r="U2122" i="6"/>
  <c r="U2143" i="6"/>
  <c r="U2151" i="6"/>
  <c r="U2172" i="6"/>
  <c r="U2193" i="6"/>
  <c r="U2201" i="6"/>
  <c r="U2222" i="6"/>
  <c r="U2243" i="6"/>
  <c r="U2251" i="6"/>
  <c r="U2272" i="6"/>
  <c r="U2293" i="6"/>
  <c r="U2301" i="6"/>
  <c r="U2322" i="6"/>
  <c r="U2343" i="6"/>
  <c r="U2351" i="6"/>
  <c r="U2372" i="6"/>
  <c r="U2393" i="6"/>
  <c r="U2401" i="6"/>
  <c r="U2422" i="6"/>
  <c r="U2443" i="6"/>
  <c r="U2451" i="6"/>
  <c r="U2472" i="6"/>
  <c r="U2493" i="6"/>
  <c r="U2501" i="6"/>
  <c r="U2522" i="6"/>
  <c r="U2543" i="6"/>
  <c r="U2551" i="6"/>
  <c r="U2572" i="6"/>
  <c r="U2593" i="6"/>
  <c r="U2601" i="6"/>
  <c r="U2622" i="6"/>
  <c r="U2682" i="6"/>
  <c r="U2703" i="6"/>
  <c r="U2711" i="6"/>
  <c r="U2732" i="6"/>
  <c r="U2753" i="6"/>
  <c r="U2761" i="6"/>
  <c r="U2782" i="6"/>
  <c r="U2803" i="6"/>
  <c r="U652" i="6"/>
  <c r="U657" i="6"/>
  <c r="U662" i="6"/>
  <c r="U667" i="6"/>
  <c r="U672" i="6"/>
  <c r="U677" i="6"/>
  <c r="U682" i="6"/>
  <c r="U687" i="6"/>
  <c r="U692" i="6"/>
  <c r="U697" i="6"/>
  <c r="U702" i="6"/>
  <c r="U707" i="6"/>
  <c r="U712" i="6"/>
  <c r="U717" i="6"/>
  <c r="U722" i="6"/>
  <c r="U727" i="6"/>
  <c r="U732" i="6"/>
  <c r="U737" i="6"/>
  <c r="U742" i="6"/>
  <c r="U747" i="6"/>
  <c r="U752" i="6"/>
  <c r="U757" i="6"/>
  <c r="U762" i="6"/>
  <c r="U767" i="6"/>
  <c r="U772" i="6"/>
  <c r="U777" i="6"/>
  <c r="U782" i="6"/>
  <c r="U787" i="6"/>
  <c r="U792" i="6"/>
  <c r="U797" i="6"/>
  <c r="U802" i="6"/>
  <c r="U807" i="6"/>
  <c r="U812" i="6"/>
  <c r="U817" i="6"/>
  <c r="U822" i="6"/>
  <c r="U827" i="6"/>
  <c r="U832" i="6"/>
  <c r="U837" i="6"/>
  <c r="U842" i="6"/>
  <c r="U847" i="6"/>
  <c r="U852" i="6"/>
  <c r="U857" i="6"/>
  <c r="U862" i="6"/>
  <c r="U867" i="6"/>
  <c r="U872" i="6"/>
  <c r="U877" i="6"/>
  <c r="U882" i="6"/>
  <c r="U887" i="6"/>
  <c r="U892" i="6"/>
  <c r="U897" i="6"/>
  <c r="U902" i="6"/>
  <c r="U907" i="6"/>
  <c r="U912" i="6"/>
  <c r="U917" i="6"/>
  <c r="U922" i="6"/>
  <c r="U927" i="6"/>
  <c r="U932" i="6"/>
  <c r="U937" i="6"/>
  <c r="U942" i="6"/>
  <c r="U947" i="6"/>
  <c r="U952" i="6"/>
  <c r="U957" i="6"/>
  <c r="U962" i="6"/>
  <c r="U967" i="6"/>
  <c r="U972" i="6"/>
  <c r="U977" i="6"/>
  <c r="U982" i="6"/>
  <c r="U987" i="6"/>
  <c r="U992" i="6"/>
  <c r="U997" i="6"/>
  <c r="U1002" i="6"/>
  <c r="U1007" i="6"/>
  <c r="U1012" i="6"/>
  <c r="U1017" i="6"/>
  <c r="U1022" i="6"/>
  <c r="U1027" i="6"/>
  <c r="U1032" i="6"/>
  <c r="U1037" i="6"/>
  <c r="U1042" i="6"/>
  <c r="U1047" i="6"/>
  <c r="U1052" i="6"/>
  <c r="U1057" i="6"/>
  <c r="U1062" i="6"/>
  <c r="U1067" i="6"/>
  <c r="U1072" i="6"/>
  <c r="U1077" i="6"/>
  <c r="U1082" i="6"/>
  <c r="U1087" i="6"/>
  <c r="U1092" i="6"/>
  <c r="U1097" i="6"/>
  <c r="U1102" i="6"/>
  <c r="U1107" i="6"/>
  <c r="U1112" i="6"/>
  <c r="U1117" i="6"/>
  <c r="U1122" i="6"/>
  <c r="U1127" i="6"/>
  <c r="U1132" i="6"/>
  <c r="U1137" i="6"/>
  <c r="U1142" i="6"/>
  <c r="U1147" i="6"/>
  <c r="U1152" i="6"/>
  <c r="U1157" i="6"/>
  <c r="U1162" i="6"/>
  <c r="U1167" i="6"/>
  <c r="U1172" i="6"/>
  <c r="U1177" i="6"/>
  <c r="U1182" i="6"/>
  <c r="U1187" i="6"/>
  <c r="U1192" i="6"/>
  <c r="U1197" i="6"/>
  <c r="U1202" i="6"/>
  <c r="U1207" i="6"/>
  <c r="U1212" i="6"/>
  <c r="U1217" i="6"/>
  <c r="U1222" i="6"/>
  <c r="U1227" i="6"/>
  <c r="U1232" i="6"/>
  <c r="U1237" i="6"/>
  <c r="U1242" i="6"/>
  <c r="U1247" i="6"/>
  <c r="U1252" i="6"/>
  <c r="U1257" i="6"/>
  <c r="U1262" i="6"/>
  <c r="U1267" i="6"/>
  <c r="U1272" i="6"/>
  <c r="U1277" i="6"/>
  <c r="U1287" i="6"/>
  <c r="U1292" i="6"/>
  <c r="U1297" i="6"/>
  <c r="U1302" i="6"/>
  <c r="U1307" i="6"/>
  <c r="U1312" i="6"/>
  <c r="U1317" i="6"/>
  <c r="U1322" i="6"/>
  <c r="U1327" i="6"/>
  <c r="U1332" i="6"/>
  <c r="U1337" i="6"/>
  <c r="U1342" i="6"/>
  <c r="U1347" i="6"/>
  <c r="U1352" i="6"/>
  <c r="U1357" i="6"/>
  <c r="U1362" i="6"/>
  <c r="U1367" i="6"/>
  <c r="U1372" i="6"/>
  <c r="U1382" i="6"/>
  <c r="U1387" i="6"/>
  <c r="U1392" i="6"/>
  <c r="U1397" i="6"/>
  <c r="U1402" i="6"/>
  <c r="V1549" i="6"/>
  <c r="U1549" i="6"/>
  <c r="V1574" i="6"/>
  <c r="U1574" i="6"/>
  <c r="V1599" i="6"/>
  <c r="U1599" i="6"/>
  <c r="V1624" i="6"/>
  <c r="U1624" i="6"/>
  <c r="V1649" i="6"/>
  <c r="U1649" i="6"/>
  <c r="V1674" i="6"/>
  <c r="U1674" i="6"/>
  <c r="V1699" i="6"/>
  <c r="U1699" i="6"/>
  <c r="V1724" i="6"/>
  <c r="U1724" i="6"/>
  <c r="V1749" i="6"/>
  <c r="U1749" i="6"/>
  <c r="V1774" i="6"/>
  <c r="U1774" i="6"/>
  <c r="V1799" i="6"/>
  <c r="U1799" i="6"/>
  <c r="V1824" i="6"/>
  <c r="U1824" i="6"/>
  <c r="E37" i="14"/>
  <c r="F37" i="14" s="1"/>
  <c r="I37" i="14"/>
  <c r="V1454" i="6"/>
  <c r="V1504" i="6"/>
  <c r="U1873" i="6"/>
  <c r="U1923" i="6"/>
  <c r="U1973" i="6"/>
  <c r="U2023" i="6"/>
  <c r="U2073" i="6"/>
  <c r="U2123" i="6"/>
  <c r="U2173" i="6"/>
  <c r="U2223" i="6"/>
  <c r="U2273" i="6"/>
  <c r="U2323" i="6"/>
  <c r="U2373" i="6"/>
  <c r="U2423" i="6"/>
  <c r="U2473" i="6"/>
  <c r="U2523" i="6"/>
  <c r="U2573" i="6"/>
  <c r="U2623" i="6"/>
  <c r="U2683" i="6"/>
  <c r="U2733" i="6"/>
  <c r="U2783" i="6"/>
  <c r="U1829" i="6"/>
  <c r="U1834" i="6"/>
  <c r="U1839" i="6"/>
  <c r="U1844" i="6"/>
  <c r="U1849" i="6"/>
  <c r="U1854" i="6"/>
  <c r="U1859" i="6"/>
  <c r="U1864" i="6"/>
  <c r="U1869" i="6"/>
  <c r="U1874" i="6"/>
  <c r="U1879" i="6"/>
  <c r="U1884" i="6"/>
  <c r="U1889" i="6"/>
  <c r="U1894" i="6"/>
  <c r="U1899" i="6"/>
  <c r="U1904" i="6"/>
  <c r="U1909" i="6"/>
  <c r="U1914" i="6"/>
  <c r="U1919" i="6"/>
  <c r="U1924" i="6"/>
  <c r="U1929" i="6"/>
  <c r="U1934" i="6"/>
  <c r="U1939" i="6"/>
  <c r="U1944" i="6"/>
  <c r="U1949" i="6"/>
  <c r="U1954" i="6"/>
  <c r="U1959" i="6"/>
  <c r="U1964" i="6"/>
  <c r="U1969" i="6"/>
  <c r="U1974" i="6"/>
  <c r="U1979" i="6"/>
  <c r="U1984" i="6"/>
  <c r="U1989" i="6"/>
  <c r="U1994" i="6"/>
  <c r="U1999" i="6"/>
  <c r="U2004" i="6"/>
  <c r="U2009" i="6"/>
  <c r="U2014" i="6"/>
  <c r="U2019" i="6"/>
  <c r="U2024" i="6"/>
  <c r="U2029" i="6"/>
  <c r="U2034" i="6"/>
  <c r="U2039" i="6"/>
  <c r="U2044" i="6"/>
  <c r="U2049" i="6"/>
  <c r="U2054" i="6"/>
  <c r="U2059" i="6"/>
  <c r="U2064" i="6"/>
  <c r="U2069" i="6"/>
  <c r="U2074" i="6"/>
  <c r="U2079" i="6"/>
  <c r="U2084" i="6"/>
  <c r="U2089" i="6"/>
  <c r="U2094" i="6"/>
  <c r="U2099" i="6"/>
  <c r="U2104" i="6"/>
  <c r="U2109" i="6"/>
  <c r="U2114" i="6"/>
  <c r="U2119" i="6"/>
  <c r="U2124" i="6"/>
  <c r="U2129" i="6"/>
  <c r="U2134" i="6"/>
  <c r="U2139" i="6"/>
  <c r="U2144" i="6"/>
  <c r="U2149" i="6"/>
  <c r="U2154" i="6"/>
  <c r="U2159" i="6"/>
  <c r="U2164" i="6"/>
  <c r="U2169" i="6"/>
  <c r="U2174" i="6"/>
  <c r="U2179" i="6"/>
  <c r="U2184" i="6"/>
  <c r="U2189" i="6"/>
  <c r="U2194" i="6"/>
  <c r="U2199" i="6"/>
  <c r="U2204" i="6"/>
  <c r="U2209" i="6"/>
  <c r="U2214" i="6"/>
  <c r="U2219" i="6"/>
  <c r="U2224" i="6"/>
  <c r="U2229" i="6"/>
  <c r="U2234" i="6"/>
  <c r="U2239" i="6"/>
  <c r="U2244" i="6"/>
  <c r="U2249" i="6"/>
  <c r="U2254" i="6"/>
  <c r="U2259" i="6"/>
  <c r="U2264" i="6"/>
  <c r="U2269" i="6"/>
  <c r="U2274" i="6"/>
  <c r="U2279" i="6"/>
  <c r="U2284" i="6"/>
  <c r="U2289" i="6"/>
  <c r="U2294" i="6"/>
  <c r="U2299" i="6"/>
  <c r="U2304" i="6"/>
  <c r="U2309" i="6"/>
  <c r="U2314" i="6"/>
  <c r="U2319" i="6"/>
  <c r="U2324" i="6"/>
  <c r="U2329" i="6"/>
  <c r="U2334" i="6"/>
  <c r="U2339" i="6"/>
  <c r="U2344" i="6"/>
  <c r="U2349" i="6"/>
  <c r="U2354" i="6"/>
  <c r="U2359" i="6"/>
  <c r="U2364" i="6"/>
  <c r="U2369" i="6"/>
  <c r="U2374" i="6"/>
  <c r="U2379" i="6"/>
  <c r="U2384" i="6"/>
  <c r="U2389" i="6"/>
  <c r="U2394" i="6"/>
  <c r="U2399" i="6"/>
  <c r="U2404" i="6"/>
  <c r="U2409" i="6"/>
  <c r="U2414" i="6"/>
  <c r="U2419" i="6"/>
  <c r="U2424" i="6"/>
  <c r="U2429" i="6"/>
  <c r="U2434" i="6"/>
  <c r="U2439" i="6"/>
  <c r="U2444" i="6"/>
  <c r="U2449" i="6"/>
  <c r="U2454" i="6"/>
  <c r="U2459" i="6"/>
  <c r="U2464" i="6"/>
  <c r="U2469" i="6"/>
  <c r="U2474" i="6"/>
  <c r="U2479" i="6"/>
  <c r="U2484" i="6"/>
  <c r="U2489" i="6"/>
  <c r="U2494" i="6"/>
  <c r="U2499" i="6"/>
  <c r="U2504" i="6"/>
  <c r="U2509" i="6"/>
  <c r="U2514" i="6"/>
  <c r="U2519" i="6"/>
  <c r="U2524" i="6"/>
  <c r="U2529" i="6"/>
  <c r="U2534" i="6"/>
  <c r="U2539" i="6"/>
  <c r="U2544" i="6"/>
  <c r="U2549" i="6"/>
  <c r="U2554" i="6"/>
  <c r="U2559" i="6"/>
  <c r="U2564" i="6"/>
  <c r="U2569" i="6"/>
  <c r="U2574" i="6"/>
  <c r="U2579" i="6"/>
  <c r="U2584" i="6"/>
  <c r="U2589" i="6"/>
  <c r="U2594" i="6"/>
  <c r="U2599" i="6"/>
  <c r="U2604" i="6"/>
  <c r="U2609" i="6"/>
  <c r="U2614" i="6"/>
  <c r="U2619" i="6"/>
  <c r="U2624" i="6"/>
  <c r="U2629" i="6"/>
  <c r="U2634" i="6"/>
  <c r="U2639" i="6"/>
  <c r="U2644" i="6"/>
  <c r="U2649" i="6"/>
  <c r="U2654" i="6"/>
  <c r="U2659" i="6"/>
  <c r="U2664" i="6"/>
  <c r="U2669" i="6"/>
  <c r="U2674" i="6"/>
  <c r="U2679" i="6"/>
  <c r="U2684" i="6"/>
  <c r="U2689" i="6"/>
  <c r="U2694" i="6"/>
  <c r="U2699" i="6"/>
  <c r="U2704" i="6"/>
  <c r="U2709" i="6"/>
  <c r="U2714" i="6"/>
  <c r="U2719" i="6"/>
  <c r="U2724" i="6"/>
  <c r="U2729" i="6"/>
  <c r="U2734" i="6"/>
  <c r="U2739" i="6"/>
  <c r="U2744" i="6"/>
  <c r="U2749" i="6"/>
  <c r="U2754" i="6"/>
  <c r="U2759" i="6"/>
  <c r="U2764" i="6"/>
  <c r="U2769" i="6"/>
  <c r="U2774" i="6"/>
  <c r="U2779" i="6"/>
  <c r="U2784" i="6"/>
  <c r="U2789" i="6"/>
  <c r="U2794" i="6"/>
  <c r="U2799" i="6"/>
  <c r="U2804" i="6"/>
  <c r="U2809" i="6"/>
  <c r="U2814" i="6"/>
  <c r="U2819" i="6"/>
  <c r="U2824" i="6"/>
  <c r="U2829" i="6"/>
  <c r="U2834" i="6"/>
  <c r="U2839" i="6"/>
  <c r="U2844" i="6"/>
  <c r="U2849" i="6"/>
  <c r="U2854" i="6"/>
  <c r="U2859" i="6"/>
  <c r="U2864" i="6"/>
  <c r="U2869" i="6"/>
  <c r="U2874" i="6"/>
  <c r="U2879" i="6"/>
  <c r="U2884" i="6"/>
  <c r="U2889" i="6"/>
  <c r="U2894" i="6"/>
  <c r="U2899" i="6"/>
  <c r="U2904" i="6"/>
  <c r="U2909" i="6"/>
  <c r="U2914" i="6"/>
  <c r="U2919" i="6"/>
  <c r="U2924" i="6"/>
  <c r="U2929" i="6"/>
  <c r="U2934" i="6"/>
  <c r="U2939" i="6"/>
  <c r="U2944" i="6"/>
  <c r="U2949" i="6"/>
  <c r="U2954" i="6"/>
  <c r="U2959" i="6"/>
  <c r="U2964" i="6"/>
  <c r="U2969" i="6"/>
  <c r="U2974" i="6"/>
  <c r="U2979" i="6"/>
  <c r="U2984" i="6"/>
  <c r="U2989" i="6"/>
  <c r="U2994" i="6"/>
  <c r="U2999" i="6"/>
  <c r="U3004" i="6"/>
  <c r="E45" i="14"/>
  <c r="F45" i="14" s="1"/>
  <c r="E46" i="14"/>
  <c r="F46" i="14" s="1"/>
  <c r="E47" i="14"/>
  <c r="E44" i="14"/>
  <c r="F44" i="14" s="1"/>
  <c r="E48" i="14"/>
  <c r="AC4" i="9"/>
  <c r="D5" i="12"/>
  <c r="F7" i="12"/>
  <c r="F27" i="12"/>
  <c r="I27" i="12" s="1"/>
  <c r="F16" i="12"/>
  <c r="I16" i="12" s="1"/>
  <c r="F26" i="12"/>
  <c r="I26" i="12" s="1"/>
  <c r="F17" i="12"/>
  <c r="I17" i="12" s="1"/>
  <c r="T191" i="13"/>
  <c r="N191" i="13" s="1"/>
  <c r="T177" i="13"/>
  <c r="N177" i="13" s="1"/>
  <c r="T174" i="13"/>
  <c r="N174" i="13" s="1"/>
  <c r="T157" i="13"/>
  <c r="N157" i="13" s="1"/>
  <c r="T154" i="13"/>
  <c r="N154" i="13" s="1"/>
  <c r="T189" i="13"/>
  <c r="N189" i="13" s="1"/>
  <c r="T185" i="13"/>
  <c r="N185" i="13" s="1"/>
  <c r="T182" i="13"/>
  <c r="N182" i="13" s="1"/>
  <c r="T165" i="13"/>
  <c r="N165" i="13" s="1"/>
  <c r="T162" i="13"/>
  <c r="N162" i="13" s="1"/>
  <c r="T145" i="13"/>
  <c r="N145" i="13" s="1"/>
  <c r="T142" i="13"/>
  <c r="N142" i="13" s="1"/>
  <c r="T151" i="13"/>
  <c r="N151" i="13" s="1"/>
  <c r="T150" i="13"/>
  <c r="N150" i="13" s="1"/>
  <c r="T139" i="13"/>
  <c r="N139" i="13" s="1"/>
  <c r="T186" i="13"/>
  <c r="N186" i="13" s="1"/>
  <c r="T173" i="13"/>
  <c r="N173" i="13" s="1"/>
  <c r="T161" i="13"/>
  <c r="N161" i="13" s="1"/>
  <c r="T149" i="13"/>
  <c r="N149" i="13" s="1"/>
  <c r="T148" i="13"/>
  <c r="N148" i="13" s="1"/>
  <c r="T138" i="13"/>
  <c r="N138" i="13" s="1"/>
  <c r="T135" i="13"/>
  <c r="N135" i="13" s="1"/>
  <c r="T132" i="13"/>
  <c r="N132" i="13" s="1"/>
  <c r="T192" i="13"/>
  <c r="N192" i="13" s="1"/>
  <c r="T181" i="13"/>
  <c r="N181" i="13" s="1"/>
  <c r="T166" i="13"/>
  <c r="N166" i="13" s="1"/>
  <c r="T130" i="13"/>
  <c r="N130" i="13" s="1"/>
  <c r="T125" i="13"/>
  <c r="N125" i="13" s="1"/>
  <c r="T120" i="13"/>
  <c r="N120" i="13" s="1"/>
  <c r="T115" i="13"/>
  <c r="N115" i="13" s="1"/>
  <c r="T110" i="13"/>
  <c r="N110" i="13" s="1"/>
  <c r="T105" i="13"/>
  <c r="N105" i="13" s="1"/>
  <c r="T100" i="13"/>
  <c r="N100" i="13" s="1"/>
  <c r="T95" i="13"/>
  <c r="N95" i="13" s="1"/>
  <c r="T90" i="13"/>
  <c r="N90" i="13" s="1"/>
  <c r="T167" i="13"/>
  <c r="N167" i="13" s="1"/>
  <c r="T160" i="13"/>
  <c r="N160" i="13" s="1"/>
  <c r="T152" i="13"/>
  <c r="N152" i="13" s="1"/>
  <c r="T190" i="13"/>
  <c r="N190" i="13" s="1"/>
  <c r="T155" i="13"/>
  <c r="N155" i="13" s="1"/>
  <c r="T102" i="13"/>
  <c r="N102" i="13" s="1"/>
  <c r="T89" i="13"/>
  <c r="N89" i="13" s="1"/>
  <c r="T193" i="13"/>
  <c r="N193" i="13" s="1"/>
  <c r="T178" i="13"/>
  <c r="N178" i="13" s="1"/>
  <c r="T175" i="13"/>
  <c r="N175" i="13" s="1"/>
  <c r="T146" i="13"/>
  <c r="N146" i="13" s="1"/>
  <c r="T114" i="13"/>
  <c r="N114" i="13" s="1"/>
  <c r="T113" i="13"/>
  <c r="N113" i="13" s="1"/>
  <c r="T112" i="13"/>
  <c r="N112" i="13" s="1"/>
  <c r="T111" i="13"/>
  <c r="N111" i="13" s="1"/>
  <c r="T101" i="13"/>
  <c r="N101" i="13" s="1"/>
  <c r="T88" i="13"/>
  <c r="N88" i="13" s="1"/>
  <c r="T83" i="13"/>
  <c r="N83" i="13" s="1"/>
  <c r="T78" i="13"/>
  <c r="N78" i="13" s="1"/>
  <c r="T172" i="13"/>
  <c r="N172" i="13" s="1"/>
  <c r="T159" i="13"/>
  <c r="N159" i="13" s="1"/>
  <c r="T156" i="13"/>
  <c r="N156" i="13" s="1"/>
  <c r="T134" i="13"/>
  <c r="N134" i="13" s="1"/>
  <c r="T133" i="13"/>
  <c r="N133" i="13" s="1"/>
  <c r="T99" i="13"/>
  <c r="N99" i="13" s="1"/>
  <c r="T187" i="13"/>
  <c r="N187" i="13" s="1"/>
  <c r="T171" i="13"/>
  <c r="N171" i="13" s="1"/>
  <c r="T168" i="13"/>
  <c r="N168" i="13" s="1"/>
  <c r="T158" i="13"/>
  <c r="N158" i="13" s="1"/>
  <c r="T131" i="13"/>
  <c r="N131" i="13" s="1"/>
  <c r="T109" i="13"/>
  <c r="N109" i="13" s="1"/>
  <c r="T108" i="13"/>
  <c r="N108" i="13" s="1"/>
  <c r="T107" i="13"/>
  <c r="N107" i="13" s="1"/>
  <c r="T106" i="13"/>
  <c r="N106" i="13" s="1"/>
  <c r="T103" i="13"/>
  <c r="N103" i="13" s="1"/>
  <c r="T91" i="13"/>
  <c r="N91" i="13" s="1"/>
  <c r="T188" i="13"/>
  <c r="N188" i="13" s="1"/>
  <c r="T128" i="13"/>
  <c r="N128" i="13" s="1"/>
  <c r="T121" i="13"/>
  <c r="N121" i="13" s="1"/>
  <c r="T119" i="13"/>
  <c r="N119" i="13" s="1"/>
  <c r="T96" i="13"/>
  <c r="N96" i="13" s="1"/>
  <c r="T93" i="13"/>
  <c r="N93" i="13" s="1"/>
  <c r="T87" i="13"/>
  <c r="N87" i="13" s="1"/>
  <c r="T80" i="13"/>
  <c r="N80" i="13" s="1"/>
  <c r="T144" i="13"/>
  <c r="N144" i="13" s="1"/>
  <c r="T137" i="13"/>
  <c r="N137" i="13" s="1"/>
  <c r="T81" i="13"/>
  <c r="N81" i="13" s="1"/>
  <c r="T74" i="13"/>
  <c r="N74" i="13" s="1"/>
  <c r="T170" i="13"/>
  <c r="N170" i="13" s="1"/>
  <c r="T163" i="13"/>
  <c r="N163" i="13" s="1"/>
  <c r="T153" i="13"/>
  <c r="N153" i="13" s="1"/>
  <c r="T126" i="13"/>
  <c r="N126" i="13" s="1"/>
  <c r="T124" i="13"/>
  <c r="N124" i="13" s="1"/>
  <c r="T117" i="13"/>
  <c r="N117" i="13" s="1"/>
  <c r="T82" i="13"/>
  <c r="N82" i="13" s="1"/>
  <c r="T75" i="13"/>
  <c r="N75" i="13" s="1"/>
  <c r="T180" i="13"/>
  <c r="N180" i="13" s="1"/>
  <c r="T97" i="13"/>
  <c r="N97" i="13" s="1"/>
  <c r="T94" i="13"/>
  <c r="N94" i="13" s="1"/>
  <c r="T76" i="13"/>
  <c r="N76" i="13" s="1"/>
  <c r="T141" i="13"/>
  <c r="N141" i="13" s="1"/>
  <c r="T129" i="13"/>
  <c r="N129" i="13" s="1"/>
  <c r="T122" i="13"/>
  <c r="N122" i="13" s="1"/>
  <c r="T77" i="13"/>
  <c r="N77" i="13" s="1"/>
  <c r="T184" i="13"/>
  <c r="N184" i="13" s="1"/>
  <c r="T179" i="13"/>
  <c r="N179" i="13" s="1"/>
  <c r="T143" i="13"/>
  <c r="N143" i="13" s="1"/>
  <c r="T169" i="13"/>
  <c r="N169" i="13" s="1"/>
  <c r="T136" i="13"/>
  <c r="N136" i="13" s="1"/>
  <c r="T127" i="13"/>
  <c r="N127" i="13" s="1"/>
  <c r="T118" i="13"/>
  <c r="N118" i="13" s="1"/>
  <c r="T98" i="13"/>
  <c r="N98" i="13" s="1"/>
  <c r="T176" i="13"/>
  <c r="N176" i="13" s="1"/>
  <c r="T147" i="13"/>
  <c r="N147" i="13" s="1"/>
  <c r="T140" i="13"/>
  <c r="N140" i="13" s="1"/>
  <c r="T92" i="13"/>
  <c r="N92" i="13" s="1"/>
  <c r="T84" i="13"/>
  <c r="N84" i="13" s="1"/>
  <c r="T123" i="13"/>
  <c r="N123" i="13" s="1"/>
  <c r="T116" i="13"/>
  <c r="N116" i="13" s="1"/>
  <c r="T85" i="13"/>
  <c r="N85" i="13" s="1"/>
  <c r="T183" i="13"/>
  <c r="N183" i="13" s="1"/>
  <c r="T164" i="13"/>
  <c r="N164" i="13" s="1"/>
  <c r="T104" i="13"/>
  <c r="N104" i="13" s="1"/>
  <c r="T86" i="13"/>
  <c r="N86" i="13" s="1"/>
  <c r="T79" i="13"/>
  <c r="N79" i="13" s="1"/>
  <c r="Z40" i="12"/>
  <c r="E58" i="14" s="1"/>
  <c r="F58" i="14" s="1"/>
  <c r="Z41" i="12"/>
  <c r="Z39" i="12"/>
  <c r="I58" i="14" s="1"/>
  <c r="F29" i="12"/>
  <c r="I29" i="12" s="1"/>
  <c r="F37" i="12"/>
  <c r="I37" i="12" s="1"/>
  <c r="F36" i="12"/>
  <c r="I36" i="12" s="1"/>
  <c r="F40" i="12"/>
  <c r="I40" i="12" s="1"/>
  <c r="F41" i="12"/>
  <c r="I41" i="12" s="1"/>
  <c r="I59" i="14"/>
  <c r="E59" i="14"/>
  <c r="F59" i="14" s="1"/>
  <c r="AA41" i="12"/>
  <c r="AA42" i="12"/>
  <c r="E60" i="14"/>
  <c r="F60" i="14" s="1"/>
  <c r="X33" i="12" l="1"/>
  <c r="C20" i="12"/>
  <c r="J20" i="12" s="1"/>
  <c r="X7" i="12"/>
  <c r="X34" i="12"/>
  <c r="E42" i="14"/>
  <c r="K18" i="11"/>
  <c r="J32" i="12"/>
  <c r="H32" i="12"/>
  <c r="AA32" i="6"/>
  <c r="AC32" i="6"/>
  <c r="H27" i="12"/>
  <c r="AC27" i="6"/>
  <c r="AA27" i="6"/>
  <c r="J27" i="12"/>
  <c r="O117" i="13"/>
  <c r="S117" i="13"/>
  <c r="R117" i="13"/>
  <c r="P117" i="13"/>
  <c r="S120" i="13"/>
  <c r="R120" i="13"/>
  <c r="P120" i="13"/>
  <c r="O120" i="13"/>
  <c r="S432" i="5"/>
  <c r="Q432" i="5"/>
  <c r="N432" i="5"/>
  <c r="S332" i="5"/>
  <c r="Q332" i="5"/>
  <c r="N332" i="5"/>
  <c r="S232" i="5"/>
  <c r="Q232" i="5"/>
  <c r="N232" i="5"/>
  <c r="S132" i="5"/>
  <c r="Q132" i="5"/>
  <c r="N132" i="5"/>
  <c r="S33" i="5"/>
  <c r="Q33" i="5"/>
  <c r="N33" i="5"/>
  <c r="X42" i="12"/>
  <c r="O139" i="13"/>
  <c r="R139" i="13"/>
  <c r="S139" i="13"/>
  <c r="P139" i="13"/>
  <c r="R154" i="13"/>
  <c r="O154" i="13"/>
  <c r="S154" i="13"/>
  <c r="P154" i="13"/>
  <c r="S492" i="5"/>
  <c r="Q492" i="5"/>
  <c r="N492" i="5"/>
  <c r="S392" i="5"/>
  <c r="M392" i="5" s="1"/>
  <c r="Q392" i="5"/>
  <c r="N392" i="5"/>
  <c r="S292" i="5"/>
  <c r="Q292" i="5"/>
  <c r="N292" i="5"/>
  <c r="S192" i="5"/>
  <c r="M192" i="5" s="1"/>
  <c r="Q192" i="5"/>
  <c r="N192" i="5"/>
  <c r="S92" i="5"/>
  <c r="M92" i="5" s="1"/>
  <c r="Q92" i="5"/>
  <c r="N92" i="5"/>
  <c r="X11" i="12"/>
  <c r="S116" i="13"/>
  <c r="P116" i="13"/>
  <c r="O116" i="13"/>
  <c r="R116" i="13"/>
  <c r="S94" i="13"/>
  <c r="O94" i="13"/>
  <c r="R94" i="13"/>
  <c r="P94" i="13"/>
  <c r="O121" i="13"/>
  <c r="R121" i="13"/>
  <c r="P121" i="13"/>
  <c r="S121" i="13"/>
  <c r="S78" i="13"/>
  <c r="R78" i="13"/>
  <c r="P78" i="13"/>
  <c r="O78" i="13"/>
  <c r="O95" i="13"/>
  <c r="S95" i="13"/>
  <c r="R95" i="13"/>
  <c r="P95" i="13"/>
  <c r="R150" i="13"/>
  <c r="O150" i="13"/>
  <c r="S150" i="13"/>
  <c r="P150" i="13"/>
  <c r="O123" i="13"/>
  <c r="R123" i="13"/>
  <c r="P123" i="13"/>
  <c r="S123" i="13"/>
  <c r="O169" i="13"/>
  <c r="R169" i="13"/>
  <c r="S169" i="13"/>
  <c r="P169" i="13"/>
  <c r="O97" i="13"/>
  <c r="S97" i="13"/>
  <c r="R97" i="13"/>
  <c r="P97" i="13"/>
  <c r="S74" i="13"/>
  <c r="R74" i="13"/>
  <c r="P74" i="13"/>
  <c r="O74" i="13"/>
  <c r="S128" i="13"/>
  <c r="O128" i="13"/>
  <c r="P128" i="13"/>
  <c r="R128" i="13"/>
  <c r="O83" i="13"/>
  <c r="S83" i="13"/>
  <c r="R83" i="13"/>
  <c r="P83" i="13"/>
  <c r="S100" i="13"/>
  <c r="R100" i="13"/>
  <c r="P100" i="13"/>
  <c r="O100" i="13"/>
  <c r="R174" i="13"/>
  <c r="S174" i="13"/>
  <c r="P174" i="13"/>
  <c r="O174" i="13"/>
  <c r="S472" i="5"/>
  <c r="Q472" i="5"/>
  <c r="N472" i="5"/>
  <c r="S372" i="5"/>
  <c r="M372" i="5" s="1"/>
  <c r="Q372" i="5"/>
  <c r="N372" i="5"/>
  <c r="S272" i="5"/>
  <c r="Q272" i="5"/>
  <c r="N272" i="5"/>
  <c r="S172" i="5"/>
  <c r="M172" i="5" s="1"/>
  <c r="Q172" i="5"/>
  <c r="N172" i="5"/>
  <c r="S72" i="5"/>
  <c r="M72" i="5" s="1"/>
  <c r="Q72" i="5"/>
  <c r="N72" i="5"/>
  <c r="C25" i="12"/>
  <c r="X13" i="12"/>
  <c r="C37" i="12"/>
  <c r="C34" i="12"/>
  <c r="X37" i="12"/>
  <c r="X25" i="12"/>
  <c r="X41" i="12"/>
  <c r="L5" i="6"/>
  <c r="S473" i="5"/>
  <c r="M473" i="5" s="1"/>
  <c r="Q473" i="5"/>
  <c r="N473" i="5"/>
  <c r="N454" i="5"/>
  <c r="Q454" i="5"/>
  <c r="S454" i="5"/>
  <c r="Q431" i="5"/>
  <c r="N431" i="5"/>
  <c r="S431" i="5"/>
  <c r="M431" i="5" s="1"/>
  <c r="Q331" i="5"/>
  <c r="N331" i="5"/>
  <c r="S331" i="5"/>
  <c r="Q231" i="5"/>
  <c r="N231" i="5"/>
  <c r="S231" i="5"/>
  <c r="Q131" i="5"/>
  <c r="N131" i="5"/>
  <c r="S131" i="5"/>
  <c r="S373" i="5"/>
  <c r="Q373" i="5"/>
  <c r="N373" i="5"/>
  <c r="S243" i="5"/>
  <c r="Q243" i="5"/>
  <c r="N243" i="5"/>
  <c r="S480" i="5"/>
  <c r="N480" i="5"/>
  <c r="Q480" i="5"/>
  <c r="S270" i="5"/>
  <c r="M270" i="5" s="1"/>
  <c r="Q270" i="5"/>
  <c r="N270" i="5"/>
  <c r="S130" i="5"/>
  <c r="Q130" i="5"/>
  <c r="N130" i="5"/>
  <c r="S44" i="5"/>
  <c r="M44" i="5" s="1"/>
  <c r="Q44" i="5"/>
  <c r="N44" i="5"/>
  <c r="S233" i="5"/>
  <c r="Q233" i="5"/>
  <c r="N233" i="5"/>
  <c r="N394" i="5"/>
  <c r="Q394" i="5"/>
  <c r="S394" i="5"/>
  <c r="S280" i="5"/>
  <c r="M280" i="5" s="1"/>
  <c r="N280" i="5"/>
  <c r="Q280" i="5"/>
  <c r="N143" i="5"/>
  <c r="S143" i="5"/>
  <c r="M143" i="5" s="1"/>
  <c r="Q143" i="5"/>
  <c r="S460" i="5"/>
  <c r="M460" i="5" s="1"/>
  <c r="N460" i="5"/>
  <c r="Q460" i="5"/>
  <c r="L60" i="4"/>
  <c r="J20" i="4"/>
  <c r="S37" i="4"/>
  <c r="N37" i="4"/>
  <c r="N60" i="4"/>
  <c r="S60" i="4"/>
  <c r="S8" i="4"/>
  <c r="N8" i="4"/>
  <c r="J45" i="4"/>
  <c r="I50" i="4"/>
  <c r="M50" i="4" s="1"/>
  <c r="L17" i="4"/>
  <c r="N235" i="5"/>
  <c r="Q235" i="5"/>
  <c r="S235" i="5"/>
  <c r="M235" i="5" s="1"/>
  <c r="Q306" i="5"/>
  <c r="N306" i="5"/>
  <c r="S306" i="5"/>
  <c r="S388" i="5"/>
  <c r="M388" i="5" s="1"/>
  <c r="Q388" i="5"/>
  <c r="N388" i="5"/>
  <c r="Q7" i="5"/>
  <c r="N7" i="5"/>
  <c r="S7" i="5"/>
  <c r="M33" i="5" s="1"/>
  <c r="Q48" i="5"/>
  <c r="S48" i="5"/>
  <c r="M48" i="5" s="1"/>
  <c r="N48" i="5"/>
  <c r="N225" i="5"/>
  <c r="Q225" i="5"/>
  <c r="S225" i="5"/>
  <c r="M225" i="5" s="1"/>
  <c r="Q296" i="5"/>
  <c r="N296" i="5"/>
  <c r="S296" i="5"/>
  <c r="S358" i="5"/>
  <c r="M358" i="5" s="1"/>
  <c r="Q358" i="5"/>
  <c r="N358" i="5"/>
  <c r="S88" i="5"/>
  <c r="Q88" i="5"/>
  <c r="N88" i="5"/>
  <c r="Q126" i="5"/>
  <c r="N126" i="5"/>
  <c r="S126" i="5"/>
  <c r="M126" i="5" s="1"/>
  <c r="S39" i="5"/>
  <c r="M39" i="5" s="1"/>
  <c r="N39" i="5"/>
  <c r="Q39" i="5"/>
  <c r="S139" i="5"/>
  <c r="M139" i="5" s="1"/>
  <c r="Q139" i="5"/>
  <c r="N139" i="5"/>
  <c r="S239" i="5"/>
  <c r="M239" i="5" s="1"/>
  <c r="Q239" i="5"/>
  <c r="N239" i="5"/>
  <c r="S339" i="5"/>
  <c r="Q339" i="5"/>
  <c r="N339" i="5"/>
  <c r="S439" i="5"/>
  <c r="Q439" i="5"/>
  <c r="N439" i="5"/>
  <c r="Q456" i="5"/>
  <c r="N456" i="5"/>
  <c r="S456" i="5"/>
  <c r="M456" i="5" s="1"/>
  <c r="S428" i="5"/>
  <c r="M428" i="5" s="1"/>
  <c r="Q428" i="5"/>
  <c r="N428" i="5"/>
  <c r="N395" i="5"/>
  <c r="Q395" i="5"/>
  <c r="S395" i="5"/>
  <c r="N495" i="5"/>
  <c r="Q495" i="5"/>
  <c r="S495" i="5"/>
  <c r="M495" i="5" s="1"/>
  <c r="Q127" i="5"/>
  <c r="N127" i="5"/>
  <c r="S127" i="5"/>
  <c r="Q227" i="5"/>
  <c r="N227" i="5"/>
  <c r="S227" i="5"/>
  <c r="Q327" i="5"/>
  <c r="N327" i="5"/>
  <c r="S327" i="5"/>
  <c r="M327" i="5" s="1"/>
  <c r="Q427" i="5"/>
  <c r="N427" i="5"/>
  <c r="S427" i="5"/>
  <c r="M427" i="5" s="1"/>
  <c r="S499" i="5"/>
  <c r="Q499" i="5"/>
  <c r="N499" i="5"/>
  <c r="I67" i="4"/>
  <c r="M67" i="4" s="1"/>
  <c r="N134" i="5"/>
  <c r="Q134" i="5"/>
  <c r="S134" i="5"/>
  <c r="M134" i="5" s="1"/>
  <c r="S56" i="4"/>
  <c r="N56" i="4"/>
  <c r="S10" i="5"/>
  <c r="M10" i="5" s="1"/>
  <c r="N10" i="5"/>
  <c r="Q10" i="5"/>
  <c r="B25" i="10"/>
  <c r="C25" i="10"/>
  <c r="B7" i="10"/>
  <c r="C7" i="10"/>
  <c r="C45" i="10"/>
  <c r="B45" i="10"/>
  <c r="B71" i="10"/>
  <c r="C71" i="10"/>
  <c r="C66" i="10"/>
  <c r="B66" i="10"/>
  <c r="C89" i="10"/>
  <c r="B89" i="10"/>
  <c r="B122" i="10"/>
  <c r="C122" i="10"/>
  <c r="C13" i="10"/>
  <c r="B13" i="10"/>
  <c r="C95" i="10"/>
  <c r="B95" i="10"/>
  <c r="C127" i="10"/>
  <c r="B127" i="10"/>
  <c r="B146" i="10"/>
  <c r="C146" i="10"/>
  <c r="C53" i="10"/>
  <c r="B53" i="10"/>
  <c r="C77" i="10"/>
  <c r="B77" i="10"/>
  <c r="B118" i="10"/>
  <c r="C118" i="10"/>
  <c r="C114" i="10"/>
  <c r="B114" i="10"/>
  <c r="Q105" i="5"/>
  <c r="K20" i="4"/>
  <c r="C17" i="12"/>
  <c r="O183" i="13"/>
  <c r="S183" i="13"/>
  <c r="P183" i="13"/>
  <c r="R183" i="13"/>
  <c r="O141" i="13"/>
  <c r="R141" i="13"/>
  <c r="P141" i="13"/>
  <c r="S141" i="13"/>
  <c r="O153" i="13"/>
  <c r="R153" i="13"/>
  <c r="S153" i="13"/>
  <c r="P153" i="13"/>
  <c r="S96" i="13"/>
  <c r="P96" i="13"/>
  <c r="R96" i="13"/>
  <c r="O96" i="13"/>
  <c r="O109" i="13"/>
  <c r="S109" i="13"/>
  <c r="R109" i="13"/>
  <c r="P109" i="13"/>
  <c r="O159" i="13"/>
  <c r="S159" i="13"/>
  <c r="R159" i="13"/>
  <c r="P159" i="13"/>
  <c r="R146" i="13"/>
  <c r="O146" i="13"/>
  <c r="S146" i="13"/>
  <c r="P146" i="13"/>
  <c r="R166" i="13"/>
  <c r="O166" i="13"/>
  <c r="P166" i="13"/>
  <c r="S166" i="13"/>
  <c r="X19" i="12"/>
  <c r="O85" i="13"/>
  <c r="P85" i="13"/>
  <c r="R85" i="13"/>
  <c r="S85" i="13"/>
  <c r="O127" i="13"/>
  <c r="P127" i="13"/>
  <c r="R127" i="13"/>
  <c r="S127" i="13"/>
  <c r="S76" i="13"/>
  <c r="R76" i="13"/>
  <c r="P76" i="13"/>
  <c r="O76" i="13"/>
  <c r="O163" i="13"/>
  <c r="S163" i="13"/>
  <c r="P163" i="13"/>
  <c r="R163" i="13"/>
  <c r="O119" i="13"/>
  <c r="S119" i="13"/>
  <c r="R119" i="13"/>
  <c r="P119" i="13"/>
  <c r="O131" i="13"/>
  <c r="R131" i="13"/>
  <c r="P131" i="13"/>
  <c r="S131" i="13"/>
  <c r="P172" i="13"/>
  <c r="O172" i="13"/>
  <c r="S172" i="13"/>
  <c r="R172" i="13"/>
  <c r="O175" i="13"/>
  <c r="P175" i="13"/>
  <c r="S175" i="13"/>
  <c r="R175" i="13"/>
  <c r="S90" i="13"/>
  <c r="R90" i="13"/>
  <c r="P90" i="13"/>
  <c r="O90" i="13"/>
  <c r="O181" i="13"/>
  <c r="S181" i="13"/>
  <c r="R181" i="13"/>
  <c r="P181" i="13"/>
  <c r="X12" i="12"/>
  <c r="S168" i="13"/>
  <c r="R168" i="13"/>
  <c r="P168" i="13"/>
  <c r="O168" i="13"/>
  <c r="R193" i="13"/>
  <c r="S193" i="13"/>
  <c r="P193" i="13"/>
  <c r="O193" i="13"/>
  <c r="O132" i="13"/>
  <c r="S132" i="13"/>
  <c r="R132" i="13"/>
  <c r="P132" i="13"/>
  <c r="O151" i="13"/>
  <c r="S151" i="13"/>
  <c r="P151" i="13"/>
  <c r="R151" i="13"/>
  <c r="S84" i="13"/>
  <c r="R84" i="13"/>
  <c r="P84" i="13"/>
  <c r="O84" i="13"/>
  <c r="O143" i="13"/>
  <c r="S143" i="13"/>
  <c r="P143" i="13"/>
  <c r="R143" i="13"/>
  <c r="S180" i="13"/>
  <c r="P180" i="13"/>
  <c r="R180" i="13"/>
  <c r="O180" i="13"/>
  <c r="O81" i="13"/>
  <c r="S81" i="13"/>
  <c r="R81" i="13"/>
  <c r="P81" i="13"/>
  <c r="R188" i="13"/>
  <c r="P188" i="13"/>
  <c r="S188" i="13"/>
  <c r="O188" i="13"/>
  <c r="O171" i="13"/>
  <c r="S171" i="13"/>
  <c r="R171" i="13"/>
  <c r="P171" i="13"/>
  <c r="S88" i="13"/>
  <c r="R88" i="13"/>
  <c r="P88" i="13"/>
  <c r="O88" i="13"/>
  <c r="O89" i="13"/>
  <c r="S89" i="13"/>
  <c r="R89" i="13"/>
  <c r="P89" i="13"/>
  <c r="O105" i="13"/>
  <c r="S105" i="13"/>
  <c r="P105" i="13"/>
  <c r="R105" i="13"/>
  <c r="R135" i="13"/>
  <c r="S135" i="13"/>
  <c r="P135" i="13"/>
  <c r="O135" i="13"/>
  <c r="O142" i="13"/>
  <c r="S142" i="13"/>
  <c r="R142" i="13"/>
  <c r="P142" i="13"/>
  <c r="O177" i="13"/>
  <c r="R177" i="13"/>
  <c r="S177" i="13"/>
  <c r="P177" i="13"/>
  <c r="S462" i="5"/>
  <c r="M462" i="5" s="1"/>
  <c r="Q462" i="5"/>
  <c r="N462" i="5"/>
  <c r="S362" i="5"/>
  <c r="Q362" i="5"/>
  <c r="N362" i="5"/>
  <c r="S262" i="5"/>
  <c r="Q262" i="5"/>
  <c r="N262" i="5"/>
  <c r="S162" i="5"/>
  <c r="M162" i="5" s="1"/>
  <c r="Q162" i="5"/>
  <c r="N162" i="5"/>
  <c r="S62" i="5"/>
  <c r="M62" i="5" s="1"/>
  <c r="Q62" i="5"/>
  <c r="N62" i="5"/>
  <c r="N504" i="5"/>
  <c r="S504" i="5"/>
  <c r="M504" i="5" s="1"/>
  <c r="Q504" i="5"/>
  <c r="C8" i="12"/>
  <c r="C18" i="12"/>
  <c r="X31" i="12"/>
  <c r="X18" i="12"/>
  <c r="X16" i="12"/>
  <c r="C30" i="12"/>
  <c r="X39" i="12"/>
  <c r="Q513" i="5"/>
  <c r="S513" i="5"/>
  <c r="N513" i="5"/>
  <c r="S463" i="5"/>
  <c r="Q463" i="5"/>
  <c r="N463" i="5"/>
  <c r="N444" i="5"/>
  <c r="Q444" i="5"/>
  <c r="S444" i="5"/>
  <c r="Q421" i="5"/>
  <c r="N421" i="5"/>
  <c r="S421" i="5"/>
  <c r="Q321" i="5"/>
  <c r="N321" i="5"/>
  <c r="S321" i="5"/>
  <c r="Q221" i="5"/>
  <c r="N221" i="5"/>
  <c r="S221" i="5"/>
  <c r="M221" i="5" s="1"/>
  <c r="Q121" i="5"/>
  <c r="N121" i="5"/>
  <c r="S121" i="5"/>
  <c r="N153" i="5"/>
  <c r="S153" i="5"/>
  <c r="M153" i="5" s="1"/>
  <c r="Q153" i="5"/>
  <c r="S223" i="5"/>
  <c r="M223" i="5" s="1"/>
  <c r="Q223" i="5"/>
  <c r="N223" i="5"/>
  <c r="N354" i="5"/>
  <c r="Q354" i="5"/>
  <c r="S354" i="5"/>
  <c r="N254" i="5"/>
  <c r="Q254" i="5"/>
  <c r="S254" i="5"/>
  <c r="N94" i="5"/>
  <c r="Q94" i="5"/>
  <c r="S94" i="5"/>
  <c r="S15" i="5"/>
  <c r="Q15" i="5"/>
  <c r="N15" i="5"/>
  <c r="S440" i="5"/>
  <c r="N440" i="5"/>
  <c r="Q440" i="5"/>
  <c r="S470" i="5"/>
  <c r="M470" i="5" s="1"/>
  <c r="N470" i="5"/>
  <c r="Q470" i="5"/>
  <c r="S213" i="5"/>
  <c r="Q213" i="5"/>
  <c r="N213" i="5"/>
  <c r="N364" i="5"/>
  <c r="Q364" i="5"/>
  <c r="S364" i="5"/>
  <c r="N264" i="5"/>
  <c r="Q264" i="5"/>
  <c r="S264" i="5"/>
  <c r="N93" i="5"/>
  <c r="S93" i="5"/>
  <c r="M93" i="5" s="1"/>
  <c r="Q93" i="5"/>
  <c r="S400" i="5"/>
  <c r="M400" i="5" s="1"/>
  <c r="Q400" i="5"/>
  <c r="N400" i="5"/>
  <c r="K58" i="4"/>
  <c r="J15" i="4"/>
  <c r="S108" i="5"/>
  <c r="Q108" i="5"/>
  <c r="N108" i="5"/>
  <c r="I15" i="4"/>
  <c r="M15" i="4" s="1"/>
  <c r="I43" i="4"/>
  <c r="M43" i="4" s="1"/>
  <c r="O57" i="3"/>
  <c r="O52" i="3"/>
  <c r="O47" i="3"/>
  <c r="O42" i="3"/>
  <c r="O37" i="3"/>
  <c r="O32" i="3"/>
  <c r="O27" i="3"/>
  <c r="O22" i="3"/>
  <c r="O17" i="3"/>
  <c r="O12" i="3"/>
  <c r="O59" i="3"/>
  <c r="O54" i="3"/>
  <c r="O49" i="3"/>
  <c r="O44" i="3"/>
  <c r="O39" i="3"/>
  <c r="O34" i="3"/>
  <c r="O60" i="3"/>
  <c r="O46" i="3"/>
  <c r="O51" i="3"/>
  <c r="O40" i="3"/>
  <c r="O29" i="3"/>
  <c r="O38" i="3"/>
  <c r="N7" i="4"/>
  <c r="O56" i="3"/>
  <c r="O30" i="3"/>
  <c r="O14" i="3"/>
  <c r="O53" i="3"/>
  <c r="O50" i="3"/>
  <c r="O19" i="3"/>
  <c r="O11" i="3"/>
  <c r="O8" i="3"/>
  <c r="O26" i="3"/>
  <c r="O13" i="3"/>
  <c r="O10" i="3"/>
  <c r="O41" i="3"/>
  <c r="O35" i="3"/>
  <c r="O24" i="3"/>
  <c r="O16" i="3"/>
  <c r="O61" i="3"/>
  <c r="O58" i="3"/>
  <c r="O18" i="3"/>
  <c r="O55" i="3"/>
  <c r="O43" i="3"/>
  <c r="O31" i="3"/>
  <c r="O23" i="3"/>
  <c r="O28" i="3"/>
  <c r="S7" i="4"/>
  <c r="O48" i="3"/>
  <c r="O45" i="3"/>
  <c r="O36" i="3"/>
  <c r="O25" i="3"/>
  <c r="O33" i="3"/>
  <c r="O9" i="3"/>
  <c r="O15" i="3"/>
  <c r="O20" i="3"/>
  <c r="O7" i="3"/>
  <c r="O21" i="3"/>
  <c r="L63" i="4"/>
  <c r="S43" i="4"/>
  <c r="N43" i="4"/>
  <c r="L50" i="4"/>
  <c r="S32" i="4"/>
  <c r="N32" i="4"/>
  <c r="Q47" i="5"/>
  <c r="N47" i="5"/>
  <c r="S47" i="5"/>
  <c r="Q246" i="5"/>
  <c r="N246" i="5"/>
  <c r="S246" i="5"/>
  <c r="M246" i="5" s="1"/>
  <c r="S308" i="5"/>
  <c r="M308" i="5" s="1"/>
  <c r="Q308" i="5"/>
  <c r="N308" i="5"/>
  <c r="Q28" i="5"/>
  <c r="S28" i="5"/>
  <c r="M28" i="5" s="1"/>
  <c r="N28" i="5"/>
  <c r="N85" i="5"/>
  <c r="Q85" i="5"/>
  <c r="S85" i="5"/>
  <c r="M85" i="5" s="1"/>
  <c r="Q96" i="5"/>
  <c r="N96" i="5"/>
  <c r="S96" i="5"/>
  <c r="M96" i="5" s="1"/>
  <c r="Q236" i="5"/>
  <c r="N236" i="5"/>
  <c r="S236" i="5"/>
  <c r="M236" i="5" s="1"/>
  <c r="S298" i="5"/>
  <c r="M298" i="5" s="1"/>
  <c r="Q298" i="5"/>
  <c r="N298" i="5"/>
  <c r="N365" i="5"/>
  <c r="Q365" i="5"/>
  <c r="S365" i="5"/>
  <c r="Q136" i="5"/>
  <c r="N136" i="5"/>
  <c r="S136" i="5"/>
  <c r="M136" i="5" s="1"/>
  <c r="S128" i="5"/>
  <c r="Q128" i="5"/>
  <c r="N128" i="5"/>
  <c r="S49" i="5"/>
  <c r="M49" i="5" s="1"/>
  <c r="Q49" i="5"/>
  <c r="N49" i="5"/>
  <c r="S149" i="5"/>
  <c r="M149" i="5" s="1"/>
  <c r="Q149" i="5"/>
  <c r="N149" i="5"/>
  <c r="S249" i="5"/>
  <c r="Q249" i="5"/>
  <c r="N249" i="5"/>
  <c r="S349" i="5"/>
  <c r="Q349" i="5"/>
  <c r="N349" i="5"/>
  <c r="S449" i="5"/>
  <c r="Q449" i="5"/>
  <c r="N449" i="5"/>
  <c r="Q466" i="5"/>
  <c r="N466" i="5"/>
  <c r="S466" i="5"/>
  <c r="M466" i="5" s="1"/>
  <c r="S438" i="5"/>
  <c r="M438" i="5" s="1"/>
  <c r="Q438" i="5"/>
  <c r="N438" i="5"/>
  <c r="N405" i="5"/>
  <c r="Q405" i="5"/>
  <c r="S405" i="5"/>
  <c r="Q506" i="5"/>
  <c r="N506" i="5"/>
  <c r="S506" i="5"/>
  <c r="M506" i="5" s="1"/>
  <c r="Q137" i="5"/>
  <c r="N137" i="5"/>
  <c r="S137" i="5"/>
  <c r="Q237" i="5"/>
  <c r="N237" i="5"/>
  <c r="S237" i="5"/>
  <c r="Q337" i="5"/>
  <c r="N337" i="5"/>
  <c r="S337" i="5"/>
  <c r="M337" i="5" s="1"/>
  <c r="Q437" i="5"/>
  <c r="N437" i="5"/>
  <c r="S437" i="5"/>
  <c r="M437" i="5" s="1"/>
  <c r="S509" i="5"/>
  <c r="Q509" i="5"/>
  <c r="N509" i="5"/>
  <c r="S120" i="5"/>
  <c r="M120" i="5" s="1"/>
  <c r="Q120" i="5"/>
  <c r="N120" i="5"/>
  <c r="L57" i="4"/>
  <c r="J27" i="4"/>
  <c r="L12" i="4"/>
  <c r="N55" i="4"/>
  <c r="S55" i="4"/>
  <c r="N27" i="4"/>
  <c r="S27" i="4"/>
  <c r="I64" i="4"/>
  <c r="M64" i="4" s="1"/>
  <c r="C19" i="10"/>
  <c r="B19" i="10"/>
  <c r="C26" i="10"/>
  <c r="B26" i="10"/>
  <c r="C46" i="10"/>
  <c r="B46" i="10"/>
  <c r="C76" i="10"/>
  <c r="B76" i="10"/>
  <c r="C9" i="10"/>
  <c r="B9" i="10"/>
  <c r="C90" i="10"/>
  <c r="B90" i="10"/>
  <c r="C102" i="10"/>
  <c r="B102" i="10"/>
  <c r="C18" i="10"/>
  <c r="B18" i="10"/>
  <c r="C41" i="10"/>
  <c r="B41" i="10"/>
  <c r="C133" i="10"/>
  <c r="B133" i="10"/>
  <c r="C149" i="10"/>
  <c r="B149" i="10"/>
  <c r="C61" i="10"/>
  <c r="B61" i="10"/>
  <c r="B96" i="10"/>
  <c r="C96" i="10"/>
  <c r="C120" i="10"/>
  <c r="B120" i="10"/>
  <c r="C125" i="10"/>
  <c r="B125" i="10"/>
  <c r="K9" i="4"/>
  <c r="K15" i="4"/>
  <c r="O149" i="13"/>
  <c r="R149" i="13"/>
  <c r="S149" i="13"/>
  <c r="P149" i="13"/>
  <c r="S92" i="13"/>
  <c r="P92" i="13"/>
  <c r="O92" i="13"/>
  <c r="R92" i="13"/>
  <c r="O179" i="13"/>
  <c r="P179" i="13"/>
  <c r="S179" i="13"/>
  <c r="R179" i="13"/>
  <c r="O75" i="13"/>
  <c r="P75" i="13"/>
  <c r="S75" i="13"/>
  <c r="R75" i="13"/>
  <c r="R137" i="13"/>
  <c r="O137" i="13"/>
  <c r="S137" i="13"/>
  <c r="P137" i="13"/>
  <c r="O91" i="13"/>
  <c r="R91" i="13"/>
  <c r="S91" i="13"/>
  <c r="P91" i="13"/>
  <c r="O187" i="13"/>
  <c r="S187" i="13"/>
  <c r="P187" i="13"/>
  <c r="R187" i="13"/>
  <c r="O101" i="13"/>
  <c r="R101" i="13"/>
  <c r="S101" i="13"/>
  <c r="P101" i="13"/>
  <c r="P138" i="13"/>
  <c r="O138" i="13"/>
  <c r="R138" i="13"/>
  <c r="S138" i="13"/>
  <c r="C23" i="12"/>
  <c r="C21" i="12"/>
  <c r="X35" i="12"/>
  <c r="X38" i="12"/>
  <c r="S453" i="5"/>
  <c r="Q453" i="5"/>
  <c r="N453" i="5"/>
  <c r="N434" i="5"/>
  <c r="Q434" i="5"/>
  <c r="S434" i="5"/>
  <c r="Q411" i="5"/>
  <c r="N411" i="5"/>
  <c r="S411" i="5"/>
  <c r="Q311" i="5"/>
  <c r="N311" i="5"/>
  <c r="S311" i="5"/>
  <c r="M311" i="5" s="1"/>
  <c r="Q211" i="5"/>
  <c r="N211" i="5"/>
  <c r="S211" i="5"/>
  <c r="M211" i="5" s="1"/>
  <c r="Q111" i="5"/>
  <c r="N111" i="5"/>
  <c r="S111" i="5"/>
  <c r="M111" i="5" s="1"/>
  <c r="N103" i="5"/>
  <c r="S103" i="5"/>
  <c r="M103" i="5" s="1"/>
  <c r="Q103" i="5"/>
  <c r="S61" i="4"/>
  <c r="N61" i="4"/>
  <c r="S450" i="5"/>
  <c r="M450" i="5" s="1"/>
  <c r="N450" i="5"/>
  <c r="Q450" i="5"/>
  <c r="S203" i="5"/>
  <c r="M203" i="5" s="1"/>
  <c r="Q203" i="5"/>
  <c r="N203" i="5"/>
  <c r="S350" i="5"/>
  <c r="Q350" i="5"/>
  <c r="N350" i="5"/>
  <c r="S250" i="5"/>
  <c r="Q250" i="5"/>
  <c r="N250" i="5"/>
  <c r="S80" i="5"/>
  <c r="M80" i="5" s="1"/>
  <c r="Q80" i="5"/>
  <c r="N80" i="5"/>
  <c r="S390" i="5"/>
  <c r="M390" i="5" s="1"/>
  <c r="Q390" i="5"/>
  <c r="N390" i="5"/>
  <c r="N384" i="5"/>
  <c r="Q384" i="5"/>
  <c r="S384" i="5"/>
  <c r="N164" i="5"/>
  <c r="Q164" i="5"/>
  <c r="S164" i="5"/>
  <c r="M164" i="5" s="1"/>
  <c r="S360" i="5"/>
  <c r="N360" i="5"/>
  <c r="Q360" i="5"/>
  <c r="S260" i="5"/>
  <c r="M260" i="5" s="1"/>
  <c r="N260" i="5"/>
  <c r="Q260" i="5"/>
  <c r="N45" i="5"/>
  <c r="S45" i="5"/>
  <c r="Q45" i="5"/>
  <c r="N174" i="5"/>
  <c r="Q174" i="5"/>
  <c r="S174" i="5"/>
  <c r="S33" i="4"/>
  <c r="N33" i="4"/>
  <c r="Q12" i="5"/>
  <c r="N12" i="5"/>
  <c r="S12" i="5"/>
  <c r="M12" i="5" s="1"/>
  <c r="N40" i="4"/>
  <c r="S40" i="4"/>
  <c r="S158" i="5"/>
  <c r="Q158" i="5"/>
  <c r="N158" i="5"/>
  <c r="N84" i="5"/>
  <c r="Q84" i="5"/>
  <c r="S84" i="5"/>
  <c r="L48" i="4"/>
  <c r="N95" i="5"/>
  <c r="Q95" i="5"/>
  <c r="S95" i="5"/>
  <c r="S248" i="5"/>
  <c r="M248" i="5" s="1"/>
  <c r="Q248" i="5"/>
  <c r="N248" i="5"/>
  <c r="N315" i="5"/>
  <c r="Q315" i="5"/>
  <c r="S315" i="5"/>
  <c r="M315" i="5" s="1"/>
  <c r="Q66" i="5"/>
  <c r="N66" i="5"/>
  <c r="S66" i="5"/>
  <c r="N135" i="5"/>
  <c r="Q135" i="5"/>
  <c r="S135" i="5"/>
  <c r="S98" i="5"/>
  <c r="M98" i="5" s="1"/>
  <c r="Q98" i="5"/>
  <c r="N98" i="5"/>
  <c r="S238" i="5"/>
  <c r="M238" i="5" s="1"/>
  <c r="Q238" i="5"/>
  <c r="N238" i="5"/>
  <c r="N305" i="5"/>
  <c r="Q305" i="5"/>
  <c r="S305" i="5"/>
  <c r="M305" i="5" s="1"/>
  <c r="Q406" i="5"/>
  <c r="N406" i="5"/>
  <c r="S406" i="5"/>
  <c r="S138" i="5"/>
  <c r="M138" i="5" s="1"/>
  <c r="Q138" i="5"/>
  <c r="N138" i="5"/>
  <c r="Q176" i="5"/>
  <c r="N176" i="5"/>
  <c r="S176" i="5"/>
  <c r="M176" i="5" s="1"/>
  <c r="S59" i="5"/>
  <c r="M59" i="5" s="1"/>
  <c r="N59" i="5"/>
  <c r="Q59" i="5"/>
  <c r="S159" i="5"/>
  <c r="N159" i="5"/>
  <c r="Q159" i="5"/>
  <c r="S259" i="5"/>
  <c r="Q259" i="5"/>
  <c r="N259" i="5"/>
  <c r="S359" i="5"/>
  <c r="M359" i="5" s="1"/>
  <c r="Q359" i="5"/>
  <c r="N359" i="5"/>
  <c r="S459" i="5"/>
  <c r="M459" i="5" s="1"/>
  <c r="Q459" i="5"/>
  <c r="N459" i="5"/>
  <c r="Q476" i="5"/>
  <c r="N476" i="5"/>
  <c r="S476" i="5"/>
  <c r="S448" i="5"/>
  <c r="Q448" i="5"/>
  <c r="N448" i="5"/>
  <c r="N415" i="5"/>
  <c r="Q415" i="5"/>
  <c r="S415" i="5"/>
  <c r="M415" i="5" s="1"/>
  <c r="N515" i="5"/>
  <c r="S515" i="5"/>
  <c r="Q515" i="5"/>
  <c r="Q147" i="5"/>
  <c r="N147" i="5"/>
  <c r="S147" i="5"/>
  <c r="Q247" i="5"/>
  <c r="N247" i="5"/>
  <c r="S247" i="5"/>
  <c r="M247" i="5" s="1"/>
  <c r="Q347" i="5"/>
  <c r="N347" i="5"/>
  <c r="S347" i="5"/>
  <c r="M347" i="5" s="1"/>
  <c r="Q447" i="5"/>
  <c r="N447" i="5"/>
  <c r="S447" i="5"/>
  <c r="M447" i="5" s="1"/>
  <c r="S34" i="5"/>
  <c r="M34" i="5" s="1"/>
  <c r="Q34" i="5"/>
  <c r="N34" i="5"/>
  <c r="N54" i="4"/>
  <c r="S54" i="4"/>
  <c r="S23" i="4"/>
  <c r="N23" i="4"/>
  <c r="J64" i="4"/>
  <c r="L47" i="4"/>
  <c r="C22" i="10"/>
  <c r="B22" i="10"/>
  <c r="B12" i="10"/>
  <c r="C12" i="10"/>
  <c r="C47" i="10"/>
  <c r="B47" i="10"/>
  <c r="C11" i="10"/>
  <c r="B11" i="10"/>
  <c r="C20" i="10"/>
  <c r="B20" i="10"/>
  <c r="C110" i="10"/>
  <c r="B110" i="10"/>
  <c r="B107" i="10"/>
  <c r="C107" i="10"/>
  <c r="C23" i="10"/>
  <c r="B23" i="10"/>
  <c r="C60" i="10"/>
  <c r="B60" i="10"/>
  <c r="B136" i="10"/>
  <c r="C136" i="10"/>
  <c r="B128" i="10"/>
  <c r="C128" i="10"/>
  <c r="C70" i="10"/>
  <c r="B70" i="10"/>
  <c r="C101" i="10"/>
  <c r="B101" i="10"/>
  <c r="C123" i="10"/>
  <c r="B123" i="10"/>
  <c r="C130" i="10"/>
  <c r="B130" i="10"/>
  <c r="I32" i="4"/>
  <c r="M32" i="4" s="1"/>
  <c r="S67" i="4"/>
  <c r="S18" i="4"/>
  <c r="S86" i="13"/>
  <c r="R86" i="13"/>
  <c r="P86" i="13"/>
  <c r="O86" i="13"/>
  <c r="O147" i="13"/>
  <c r="P147" i="13"/>
  <c r="S147" i="13"/>
  <c r="R147" i="13"/>
  <c r="O77" i="13"/>
  <c r="S77" i="13"/>
  <c r="R77" i="13"/>
  <c r="P77" i="13"/>
  <c r="S80" i="13"/>
  <c r="O80" i="13"/>
  <c r="R80" i="13"/>
  <c r="P80" i="13"/>
  <c r="S106" i="13"/>
  <c r="P106" i="13"/>
  <c r="O106" i="13"/>
  <c r="R106" i="13"/>
  <c r="R133" i="13"/>
  <c r="S133" i="13"/>
  <c r="O133" i="13"/>
  <c r="P133" i="13"/>
  <c r="S112" i="13"/>
  <c r="R112" i="13"/>
  <c r="P112" i="13"/>
  <c r="O112" i="13"/>
  <c r="O190" i="13"/>
  <c r="P190" i="13"/>
  <c r="S190" i="13"/>
  <c r="R190" i="13"/>
  <c r="O165" i="13"/>
  <c r="R165" i="13"/>
  <c r="P165" i="13"/>
  <c r="S165" i="13"/>
  <c r="S102" i="13"/>
  <c r="R102" i="13"/>
  <c r="P102" i="13"/>
  <c r="O102" i="13"/>
  <c r="S110" i="13"/>
  <c r="R110" i="13"/>
  <c r="P110" i="13"/>
  <c r="O110" i="13"/>
  <c r="O145" i="13"/>
  <c r="S145" i="13"/>
  <c r="P145" i="13"/>
  <c r="R145" i="13"/>
  <c r="S191" i="13"/>
  <c r="R191" i="13"/>
  <c r="P191" i="13"/>
  <c r="O191" i="13"/>
  <c r="S452" i="5"/>
  <c r="Q452" i="5"/>
  <c r="N452" i="5"/>
  <c r="S352" i="5"/>
  <c r="M352" i="5" s="1"/>
  <c r="Q352" i="5"/>
  <c r="N352" i="5"/>
  <c r="S252" i="5"/>
  <c r="M252" i="5" s="1"/>
  <c r="Q252" i="5"/>
  <c r="N252" i="5"/>
  <c r="S152" i="5"/>
  <c r="Q152" i="5"/>
  <c r="N152" i="5"/>
  <c r="S52" i="5"/>
  <c r="Q52" i="5"/>
  <c r="N52" i="5"/>
  <c r="X8" i="12"/>
  <c r="X9" i="12"/>
  <c r="X20" i="12"/>
  <c r="C36" i="12"/>
  <c r="O79" i="13"/>
  <c r="S79" i="13"/>
  <c r="R79" i="13"/>
  <c r="P79" i="13"/>
  <c r="S140" i="13"/>
  <c r="P140" i="13"/>
  <c r="R140" i="13"/>
  <c r="O140" i="13"/>
  <c r="R184" i="13"/>
  <c r="P184" i="13"/>
  <c r="O184" i="13"/>
  <c r="S184" i="13"/>
  <c r="S82" i="13"/>
  <c r="R82" i="13"/>
  <c r="P82" i="13"/>
  <c r="O82" i="13"/>
  <c r="S144" i="13"/>
  <c r="R144" i="13"/>
  <c r="P144" i="13"/>
  <c r="O144" i="13"/>
  <c r="O103" i="13"/>
  <c r="S103" i="13"/>
  <c r="R103" i="13"/>
  <c r="P103" i="13"/>
  <c r="O99" i="13"/>
  <c r="S99" i="13"/>
  <c r="R99" i="13"/>
  <c r="P99" i="13"/>
  <c r="O111" i="13"/>
  <c r="R111" i="13"/>
  <c r="P111" i="13"/>
  <c r="S111" i="13"/>
  <c r="O155" i="13"/>
  <c r="P155" i="13"/>
  <c r="S155" i="13"/>
  <c r="R155" i="13"/>
  <c r="O115" i="13"/>
  <c r="S115" i="13"/>
  <c r="R115" i="13"/>
  <c r="P115" i="13"/>
  <c r="S148" i="13"/>
  <c r="O148" i="13"/>
  <c r="P148" i="13"/>
  <c r="R148" i="13"/>
  <c r="R162" i="13"/>
  <c r="S162" i="13"/>
  <c r="P162" i="13"/>
  <c r="O162" i="13"/>
  <c r="I7" i="12"/>
  <c r="F5" i="12"/>
  <c r="S442" i="5"/>
  <c r="M442" i="5" s="1"/>
  <c r="Q442" i="5"/>
  <c r="N442" i="5"/>
  <c r="S342" i="5"/>
  <c r="Q342" i="5"/>
  <c r="N342" i="5"/>
  <c r="S242" i="5"/>
  <c r="Q242" i="5"/>
  <c r="N242" i="5"/>
  <c r="S142" i="5"/>
  <c r="Q142" i="5"/>
  <c r="N142" i="5"/>
  <c r="S43" i="5"/>
  <c r="Q43" i="5"/>
  <c r="N43" i="5"/>
  <c r="X21" i="12"/>
  <c r="C11" i="12"/>
  <c r="C28" i="12"/>
  <c r="X30" i="12"/>
  <c r="X28" i="12"/>
  <c r="X26" i="12"/>
  <c r="C39" i="12"/>
  <c r="C42" i="12"/>
  <c r="S443" i="5"/>
  <c r="M443" i="5" s="1"/>
  <c r="Q443" i="5"/>
  <c r="N443" i="5"/>
  <c r="S511" i="5"/>
  <c r="N511" i="5"/>
  <c r="Q511" i="5"/>
  <c r="N424" i="5"/>
  <c r="Q424" i="5"/>
  <c r="S424" i="5"/>
  <c r="M424" i="5" s="1"/>
  <c r="N512" i="5"/>
  <c r="Q512" i="5"/>
  <c r="S512" i="5"/>
  <c r="Q401" i="5"/>
  <c r="N401" i="5"/>
  <c r="S401" i="5"/>
  <c r="Q301" i="5"/>
  <c r="N301" i="5"/>
  <c r="S301" i="5"/>
  <c r="M301" i="5" s="1"/>
  <c r="Q201" i="5"/>
  <c r="N201" i="5"/>
  <c r="S201" i="5"/>
  <c r="M201" i="5" s="1"/>
  <c r="Q101" i="5"/>
  <c r="N101" i="5"/>
  <c r="S101" i="5"/>
  <c r="M101" i="5" s="1"/>
  <c r="N53" i="5"/>
  <c r="S53" i="5"/>
  <c r="Q53" i="5"/>
  <c r="N404" i="5"/>
  <c r="Q404" i="5"/>
  <c r="S404" i="5"/>
  <c r="Q163" i="5"/>
  <c r="N163" i="5"/>
  <c r="S163" i="5"/>
  <c r="M163" i="5" s="1"/>
  <c r="S51" i="4"/>
  <c r="N51" i="4"/>
  <c r="N334" i="5"/>
  <c r="Q334" i="5"/>
  <c r="S334" i="5"/>
  <c r="N234" i="5"/>
  <c r="Q234" i="5"/>
  <c r="S234" i="5"/>
  <c r="M234" i="5" s="1"/>
  <c r="N46" i="5"/>
  <c r="Q46" i="5"/>
  <c r="S46" i="5"/>
  <c r="M46" i="5" s="1"/>
  <c r="S370" i="5"/>
  <c r="M370" i="5" s="1"/>
  <c r="Q370" i="5"/>
  <c r="N370" i="5"/>
  <c r="N374" i="5"/>
  <c r="Q374" i="5"/>
  <c r="S374" i="5"/>
  <c r="S150" i="5"/>
  <c r="Q150" i="5"/>
  <c r="N150" i="5"/>
  <c r="N344" i="5"/>
  <c r="Q344" i="5"/>
  <c r="S344" i="5"/>
  <c r="M344" i="5" s="1"/>
  <c r="N244" i="5"/>
  <c r="Q244" i="5"/>
  <c r="S244" i="5"/>
  <c r="M244" i="5" s="1"/>
  <c r="S24" i="5"/>
  <c r="N24" i="5"/>
  <c r="Q24" i="5"/>
  <c r="S160" i="5"/>
  <c r="Q160" i="5"/>
  <c r="N160" i="5"/>
  <c r="S39" i="4"/>
  <c r="N39" i="4"/>
  <c r="I54" i="4"/>
  <c r="M54" i="4" s="1"/>
  <c r="S38" i="4"/>
  <c r="N38" i="4"/>
  <c r="L9" i="4"/>
  <c r="K66" i="4"/>
  <c r="J50" i="4"/>
  <c r="S12" i="4"/>
  <c r="N12" i="4"/>
  <c r="S53" i="4"/>
  <c r="N53" i="4"/>
  <c r="N35" i="4"/>
  <c r="S35" i="4"/>
  <c r="N55" i="5"/>
  <c r="Q55" i="5"/>
  <c r="S55" i="5"/>
  <c r="S70" i="5"/>
  <c r="M70" i="5" s="1"/>
  <c r="Q70" i="5"/>
  <c r="N70" i="5"/>
  <c r="N145" i="5"/>
  <c r="Q145" i="5"/>
  <c r="S145" i="5"/>
  <c r="M145" i="5" s="1"/>
  <c r="N255" i="5"/>
  <c r="Q255" i="5"/>
  <c r="S255" i="5"/>
  <c r="Q326" i="5"/>
  <c r="N326" i="5"/>
  <c r="S326" i="5"/>
  <c r="S68" i="5"/>
  <c r="Q68" i="5"/>
  <c r="N68" i="5"/>
  <c r="N185" i="5"/>
  <c r="Q185" i="5"/>
  <c r="S185" i="5"/>
  <c r="M185" i="5" s="1"/>
  <c r="Q146" i="5"/>
  <c r="N146" i="5"/>
  <c r="S146" i="5"/>
  <c r="M146" i="5" s="1"/>
  <c r="N245" i="5"/>
  <c r="Q245" i="5"/>
  <c r="S245" i="5"/>
  <c r="Q316" i="5"/>
  <c r="N316" i="5"/>
  <c r="S316" i="5"/>
  <c r="Q27" i="5"/>
  <c r="N27" i="5"/>
  <c r="S27" i="5"/>
  <c r="Q186" i="5"/>
  <c r="N186" i="5"/>
  <c r="S186" i="5"/>
  <c r="M186" i="5" s="1"/>
  <c r="S178" i="5"/>
  <c r="Q178" i="5"/>
  <c r="N178" i="5"/>
  <c r="S69" i="5"/>
  <c r="Q69" i="5"/>
  <c r="N69" i="5"/>
  <c r="S169" i="5"/>
  <c r="Q169" i="5"/>
  <c r="N169" i="5"/>
  <c r="S269" i="5"/>
  <c r="Q269" i="5"/>
  <c r="N269" i="5"/>
  <c r="S369" i="5"/>
  <c r="Q369" i="5"/>
  <c r="N369" i="5"/>
  <c r="S469" i="5"/>
  <c r="Q469" i="5"/>
  <c r="N469" i="5"/>
  <c r="Q486" i="5"/>
  <c r="N486" i="5"/>
  <c r="S486" i="5"/>
  <c r="S458" i="5"/>
  <c r="M458" i="5" s="1"/>
  <c r="Q458" i="5"/>
  <c r="N458" i="5"/>
  <c r="N425" i="5"/>
  <c r="Q425" i="5"/>
  <c r="S425" i="5"/>
  <c r="Q57" i="5"/>
  <c r="N57" i="5"/>
  <c r="S57" i="5"/>
  <c r="Q157" i="5"/>
  <c r="N157" i="5"/>
  <c r="S157" i="5"/>
  <c r="Q257" i="5"/>
  <c r="N257" i="5"/>
  <c r="S257" i="5"/>
  <c r="M257" i="5" s="1"/>
  <c r="Q357" i="5"/>
  <c r="N357" i="5"/>
  <c r="S357" i="5"/>
  <c r="M357" i="5" s="1"/>
  <c r="Q457" i="5"/>
  <c r="N457" i="5"/>
  <c r="S457" i="5"/>
  <c r="N50" i="4"/>
  <c r="S50" i="4"/>
  <c r="S11" i="4"/>
  <c r="N11" i="4"/>
  <c r="S41" i="4"/>
  <c r="N41" i="4"/>
  <c r="S14" i="4"/>
  <c r="N14" i="4"/>
  <c r="C15" i="10"/>
  <c r="B15" i="10"/>
  <c r="C21" i="10"/>
  <c r="B21" i="10"/>
  <c r="C48" i="10"/>
  <c r="B48" i="10"/>
  <c r="C27" i="10"/>
  <c r="B27" i="10"/>
  <c r="C32" i="10"/>
  <c r="B32" i="10"/>
  <c r="C115" i="10"/>
  <c r="B115" i="10"/>
  <c r="B112" i="10"/>
  <c r="C112" i="10"/>
  <c r="C28" i="10"/>
  <c r="B28" i="10"/>
  <c r="C67" i="10"/>
  <c r="B67" i="10"/>
  <c r="C139" i="10"/>
  <c r="B139" i="10"/>
  <c r="C140" i="10"/>
  <c r="B140" i="10"/>
  <c r="B78" i="10"/>
  <c r="C78" i="10"/>
  <c r="C106" i="10"/>
  <c r="B106" i="10"/>
  <c r="C126" i="10"/>
  <c r="B126" i="10"/>
  <c r="C135" i="10"/>
  <c r="B135" i="10"/>
  <c r="J32" i="4"/>
  <c r="H16" i="12"/>
  <c r="AC16" i="6"/>
  <c r="AA16" i="6"/>
  <c r="C33" i="12"/>
  <c r="C31" i="12"/>
  <c r="C9" i="12"/>
  <c r="S433" i="5"/>
  <c r="M433" i="5" s="1"/>
  <c r="Q433" i="5"/>
  <c r="N433" i="5"/>
  <c r="N414" i="5"/>
  <c r="Q414" i="5"/>
  <c r="S414" i="5"/>
  <c r="M414" i="5" s="1"/>
  <c r="Q491" i="5"/>
  <c r="N491" i="5"/>
  <c r="S491" i="5"/>
  <c r="M491" i="5" s="1"/>
  <c r="Q391" i="5"/>
  <c r="N391" i="5"/>
  <c r="S391" i="5"/>
  <c r="Q291" i="5"/>
  <c r="N291" i="5"/>
  <c r="S291" i="5"/>
  <c r="Q191" i="5"/>
  <c r="N191" i="5"/>
  <c r="S191" i="5"/>
  <c r="Q91" i="5"/>
  <c r="N91" i="5"/>
  <c r="S91" i="5"/>
  <c r="M91" i="5" s="1"/>
  <c r="N35" i="5"/>
  <c r="S35" i="5"/>
  <c r="Q35" i="5"/>
  <c r="S363" i="5"/>
  <c r="Q363" i="5"/>
  <c r="N363" i="5"/>
  <c r="Q113" i="5"/>
  <c r="N113" i="5"/>
  <c r="S113" i="5"/>
  <c r="M113" i="5" s="1"/>
  <c r="S330" i="5"/>
  <c r="Q330" i="5"/>
  <c r="N330" i="5"/>
  <c r="S230" i="5"/>
  <c r="M230" i="5" s="1"/>
  <c r="Q230" i="5"/>
  <c r="N230" i="5"/>
  <c r="S20" i="5"/>
  <c r="M20" i="5" s="1"/>
  <c r="Q20" i="5"/>
  <c r="N20" i="5"/>
  <c r="S190" i="5"/>
  <c r="M190" i="5" s="1"/>
  <c r="N190" i="5"/>
  <c r="Q190" i="5"/>
  <c r="S353" i="5"/>
  <c r="M353" i="5" s="1"/>
  <c r="Q353" i="5"/>
  <c r="N353" i="5"/>
  <c r="N114" i="5"/>
  <c r="Q114" i="5"/>
  <c r="S114" i="5"/>
  <c r="M114" i="5" s="1"/>
  <c r="S340" i="5"/>
  <c r="M340" i="5" s="1"/>
  <c r="N340" i="5"/>
  <c r="Q340" i="5"/>
  <c r="S240" i="5"/>
  <c r="M240" i="5" s="1"/>
  <c r="N240" i="5"/>
  <c r="Q240" i="5"/>
  <c r="N124" i="5"/>
  <c r="Q124" i="5"/>
  <c r="S124" i="5"/>
  <c r="S21" i="4"/>
  <c r="N21" i="4"/>
  <c r="S36" i="4"/>
  <c r="N36" i="4"/>
  <c r="N25" i="4"/>
  <c r="S25" i="4"/>
  <c r="N52" i="4"/>
  <c r="S52" i="4"/>
  <c r="N30" i="4"/>
  <c r="S30" i="4"/>
  <c r="N41" i="5"/>
  <c r="Q41" i="5"/>
  <c r="S41" i="5"/>
  <c r="L65" i="4"/>
  <c r="N195" i="5"/>
  <c r="Q195" i="5"/>
  <c r="S195" i="5"/>
  <c r="Q266" i="5"/>
  <c r="N266" i="5"/>
  <c r="S266" i="5"/>
  <c r="M266" i="5" s="1"/>
  <c r="S328" i="5"/>
  <c r="Q328" i="5"/>
  <c r="N328" i="5"/>
  <c r="Q116" i="5"/>
  <c r="N116" i="5"/>
  <c r="S116" i="5"/>
  <c r="Q376" i="5"/>
  <c r="N376" i="5"/>
  <c r="S376" i="5"/>
  <c r="S148" i="5"/>
  <c r="Q148" i="5"/>
  <c r="N148" i="5"/>
  <c r="Q256" i="5"/>
  <c r="N256" i="5"/>
  <c r="S256" i="5"/>
  <c r="M256" i="5" s="1"/>
  <c r="S318" i="5"/>
  <c r="Q318" i="5"/>
  <c r="N318" i="5"/>
  <c r="N65" i="5"/>
  <c r="Q65" i="5"/>
  <c r="S65" i="5"/>
  <c r="S188" i="5"/>
  <c r="M188" i="5" s="1"/>
  <c r="Q188" i="5"/>
  <c r="N188" i="5"/>
  <c r="S368" i="5"/>
  <c r="Q368" i="5"/>
  <c r="N368" i="5"/>
  <c r="S79" i="5"/>
  <c r="Q79" i="5"/>
  <c r="N79" i="5"/>
  <c r="S179" i="5"/>
  <c r="M179" i="5" s="1"/>
  <c r="Q179" i="5"/>
  <c r="N179" i="5"/>
  <c r="S279" i="5"/>
  <c r="M279" i="5" s="1"/>
  <c r="Q279" i="5"/>
  <c r="N279" i="5"/>
  <c r="S379" i="5"/>
  <c r="M379" i="5" s="1"/>
  <c r="Q379" i="5"/>
  <c r="N379" i="5"/>
  <c r="S479" i="5"/>
  <c r="Q479" i="5"/>
  <c r="N479" i="5"/>
  <c r="Q496" i="5"/>
  <c r="N496" i="5"/>
  <c r="S496" i="5"/>
  <c r="M496" i="5" s="1"/>
  <c r="S468" i="5"/>
  <c r="Q468" i="5"/>
  <c r="N468" i="5"/>
  <c r="N435" i="5"/>
  <c r="Q435" i="5"/>
  <c r="S435" i="5"/>
  <c r="Q67" i="5"/>
  <c r="N67" i="5"/>
  <c r="S67" i="5"/>
  <c r="M67" i="5" s="1"/>
  <c r="Q167" i="5"/>
  <c r="N167" i="5"/>
  <c r="S167" i="5"/>
  <c r="Q267" i="5"/>
  <c r="N267" i="5"/>
  <c r="S267" i="5"/>
  <c r="Q367" i="5"/>
  <c r="N367" i="5"/>
  <c r="S367" i="5"/>
  <c r="Q467" i="5"/>
  <c r="N467" i="5"/>
  <c r="S467" i="5"/>
  <c r="M467" i="5" s="1"/>
  <c r="K22" i="4"/>
  <c r="S46" i="4"/>
  <c r="N46" i="4"/>
  <c r="N155" i="5"/>
  <c r="Q155" i="5"/>
  <c r="S155" i="5"/>
  <c r="M155" i="5" s="1"/>
  <c r="N49" i="4"/>
  <c r="S49" i="4"/>
  <c r="N10" i="4"/>
  <c r="S10" i="4"/>
  <c r="S59" i="4"/>
  <c r="N59" i="4"/>
  <c r="S29" i="4"/>
  <c r="N29" i="4"/>
  <c r="C31" i="10"/>
  <c r="B31" i="10"/>
  <c r="B29" i="10"/>
  <c r="C29" i="10"/>
  <c r="C51" i="10"/>
  <c r="B51" i="10"/>
  <c r="B74" i="10"/>
  <c r="C74" i="10"/>
  <c r="C62" i="10"/>
  <c r="B62" i="10"/>
  <c r="C98" i="10"/>
  <c r="B98" i="10"/>
  <c r="C43" i="10"/>
  <c r="B43" i="10"/>
  <c r="C33" i="10"/>
  <c r="B33" i="10"/>
  <c r="C91" i="10"/>
  <c r="B91" i="10"/>
  <c r="C148" i="10"/>
  <c r="B148" i="10"/>
  <c r="C143" i="10"/>
  <c r="B143" i="10"/>
  <c r="B86" i="10"/>
  <c r="C86" i="10"/>
  <c r="C132" i="10"/>
  <c r="B132" i="10"/>
  <c r="C129" i="10"/>
  <c r="B129" i="10"/>
  <c r="C147" i="10"/>
  <c r="B147" i="10"/>
  <c r="S58" i="4"/>
  <c r="S65" i="4"/>
  <c r="H35" i="12"/>
  <c r="J35" i="12"/>
  <c r="AC35" i="6"/>
  <c r="AA35" i="6"/>
  <c r="S176" i="13"/>
  <c r="P176" i="13"/>
  <c r="R176" i="13"/>
  <c r="O176" i="13"/>
  <c r="S124" i="13"/>
  <c r="R124" i="13"/>
  <c r="P124" i="13"/>
  <c r="O124" i="13"/>
  <c r="S134" i="13"/>
  <c r="R134" i="13"/>
  <c r="P134" i="13"/>
  <c r="O134" i="13"/>
  <c r="C26" i="12"/>
  <c r="C38" i="12"/>
  <c r="C40" i="12"/>
  <c r="X40" i="12"/>
  <c r="X36" i="12"/>
  <c r="X14" i="12"/>
  <c r="S423" i="5"/>
  <c r="M423" i="5" s="1"/>
  <c r="Q423" i="5"/>
  <c r="N423" i="5"/>
  <c r="Q503" i="5"/>
  <c r="N503" i="5"/>
  <c r="S503" i="5"/>
  <c r="M503" i="5" s="1"/>
  <c r="Q481" i="5"/>
  <c r="N481" i="5"/>
  <c r="S481" i="5"/>
  <c r="M481" i="5" s="1"/>
  <c r="Q381" i="5"/>
  <c r="N381" i="5"/>
  <c r="S381" i="5"/>
  <c r="M381" i="5" s="1"/>
  <c r="Q281" i="5"/>
  <c r="N281" i="5"/>
  <c r="S281" i="5"/>
  <c r="Q181" i="5"/>
  <c r="N181" i="5"/>
  <c r="S181" i="5"/>
  <c r="Q81" i="5"/>
  <c r="N81" i="5"/>
  <c r="S81" i="5"/>
  <c r="S14" i="5"/>
  <c r="M14" i="5" s="1"/>
  <c r="N14" i="5"/>
  <c r="Q14" i="5"/>
  <c r="S343" i="5"/>
  <c r="Q343" i="5"/>
  <c r="N343" i="5"/>
  <c r="Q63" i="5"/>
  <c r="N63" i="5"/>
  <c r="S63" i="5"/>
  <c r="N314" i="5"/>
  <c r="Q314" i="5"/>
  <c r="S314" i="5"/>
  <c r="M314" i="5" s="1"/>
  <c r="N214" i="5"/>
  <c r="Q214" i="5"/>
  <c r="S214" i="5"/>
  <c r="M214" i="5" s="1"/>
  <c r="S410" i="5"/>
  <c r="M410" i="5" s="1"/>
  <c r="N410" i="5"/>
  <c r="Q410" i="5"/>
  <c r="N154" i="5"/>
  <c r="Q154" i="5"/>
  <c r="S154" i="5"/>
  <c r="S333" i="5"/>
  <c r="Q333" i="5"/>
  <c r="N333" i="5"/>
  <c r="S100" i="5"/>
  <c r="Q100" i="5"/>
  <c r="N100" i="5"/>
  <c r="N324" i="5"/>
  <c r="Q324" i="5"/>
  <c r="S324" i="5"/>
  <c r="M324" i="5" s="1"/>
  <c r="N224" i="5"/>
  <c r="Q224" i="5"/>
  <c r="S224" i="5"/>
  <c r="M224" i="5" s="1"/>
  <c r="S110" i="5"/>
  <c r="M110" i="5" s="1"/>
  <c r="Q110" i="5"/>
  <c r="N110" i="5"/>
  <c r="S31" i="4"/>
  <c r="N31" i="4"/>
  <c r="J9" i="4"/>
  <c r="K50" i="4"/>
  <c r="S28" i="4"/>
  <c r="N28" i="4"/>
  <c r="Q37" i="5"/>
  <c r="N37" i="5"/>
  <c r="S37" i="5"/>
  <c r="J62" i="4"/>
  <c r="Q206" i="5"/>
  <c r="N206" i="5"/>
  <c r="S206" i="5"/>
  <c r="S268" i="5"/>
  <c r="M268" i="5" s="1"/>
  <c r="Q268" i="5"/>
  <c r="N268" i="5"/>
  <c r="N335" i="5"/>
  <c r="Q335" i="5"/>
  <c r="S335" i="5"/>
  <c r="S118" i="5"/>
  <c r="Q118" i="5"/>
  <c r="N118" i="5"/>
  <c r="S510" i="5"/>
  <c r="Q510" i="5"/>
  <c r="N510" i="5"/>
  <c r="Q196" i="5"/>
  <c r="N196" i="5"/>
  <c r="S196" i="5"/>
  <c r="S258" i="5"/>
  <c r="M258" i="5" s="1"/>
  <c r="Q258" i="5"/>
  <c r="N258" i="5"/>
  <c r="N325" i="5"/>
  <c r="Q325" i="5"/>
  <c r="S325" i="5"/>
  <c r="N115" i="5"/>
  <c r="Q115" i="5"/>
  <c r="S115" i="5"/>
  <c r="M115" i="5" s="1"/>
  <c r="N375" i="5"/>
  <c r="Q375" i="5"/>
  <c r="S375" i="5"/>
  <c r="M375" i="5" s="1"/>
  <c r="Q396" i="5"/>
  <c r="N396" i="5"/>
  <c r="S396" i="5"/>
  <c r="S89" i="5"/>
  <c r="M89" i="5" s="1"/>
  <c r="Q89" i="5"/>
  <c r="N89" i="5"/>
  <c r="S189" i="5"/>
  <c r="Q189" i="5"/>
  <c r="N189" i="5"/>
  <c r="S289" i="5"/>
  <c r="Q289" i="5"/>
  <c r="N289" i="5"/>
  <c r="S389" i="5"/>
  <c r="Q389" i="5"/>
  <c r="N389" i="5"/>
  <c r="S489" i="5"/>
  <c r="M489" i="5" s="1"/>
  <c r="Q489" i="5"/>
  <c r="N489" i="5"/>
  <c r="N505" i="5"/>
  <c r="S505" i="5"/>
  <c r="Q505" i="5"/>
  <c r="S478" i="5"/>
  <c r="Q478" i="5"/>
  <c r="N478" i="5"/>
  <c r="N445" i="5"/>
  <c r="Q445" i="5"/>
  <c r="S445" i="5"/>
  <c r="M445" i="5" s="1"/>
  <c r="Q77" i="5"/>
  <c r="N77" i="5"/>
  <c r="S77" i="5"/>
  <c r="Q177" i="5"/>
  <c r="N177" i="5"/>
  <c r="S177" i="5"/>
  <c r="M177" i="5" s="1"/>
  <c r="Q277" i="5"/>
  <c r="N277" i="5"/>
  <c r="S277" i="5"/>
  <c r="M277" i="5" s="1"/>
  <c r="Q377" i="5"/>
  <c r="N377" i="5"/>
  <c r="S377" i="5"/>
  <c r="M377" i="5" s="1"/>
  <c r="Q477" i="5"/>
  <c r="N477" i="5"/>
  <c r="S477" i="5"/>
  <c r="J58" i="4"/>
  <c r="N44" i="4"/>
  <c r="S44" i="4"/>
  <c r="S26" i="4"/>
  <c r="N26" i="4"/>
  <c r="N36" i="5"/>
  <c r="Q36" i="5"/>
  <c r="S36" i="5"/>
  <c r="M36" i="5" s="1"/>
  <c r="N9" i="4"/>
  <c r="S9" i="4"/>
  <c r="B35" i="10"/>
  <c r="C35" i="10"/>
  <c r="C52" i="10"/>
  <c r="B52" i="10"/>
  <c r="C56" i="10"/>
  <c r="B56" i="10"/>
  <c r="C10" i="10"/>
  <c r="B10" i="10"/>
  <c r="B64" i="10"/>
  <c r="C64" i="10"/>
  <c r="C103" i="10"/>
  <c r="B103" i="10"/>
  <c r="C58" i="10"/>
  <c r="B58" i="10"/>
  <c r="C42" i="10"/>
  <c r="B42" i="10"/>
  <c r="C92" i="10"/>
  <c r="B92" i="10"/>
  <c r="C151" i="10"/>
  <c r="B151" i="10"/>
  <c r="C155" i="10"/>
  <c r="B155" i="10"/>
  <c r="C94" i="10"/>
  <c r="B94" i="10"/>
  <c r="B141" i="10"/>
  <c r="C141" i="10"/>
  <c r="C138" i="10"/>
  <c r="B138" i="10"/>
  <c r="C152" i="10"/>
  <c r="B152" i="10"/>
  <c r="C14" i="12"/>
  <c r="X17" i="12"/>
  <c r="C41" i="12"/>
  <c r="C19" i="12"/>
  <c r="S413" i="5"/>
  <c r="Q413" i="5"/>
  <c r="N413" i="5"/>
  <c r="N494" i="5"/>
  <c r="Q494" i="5"/>
  <c r="S494" i="5"/>
  <c r="Q471" i="5"/>
  <c r="N471" i="5"/>
  <c r="S471" i="5"/>
  <c r="Q371" i="5"/>
  <c r="N371" i="5"/>
  <c r="S371" i="5"/>
  <c r="Q271" i="5"/>
  <c r="N271" i="5"/>
  <c r="S271" i="5"/>
  <c r="Q171" i="5"/>
  <c r="N171" i="5"/>
  <c r="S171" i="5"/>
  <c r="M171" i="5" s="1"/>
  <c r="Q71" i="5"/>
  <c r="N71" i="5"/>
  <c r="S71" i="5"/>
  <c r="S34" i="4"/>
  <c r="N34" i="4"/>
  <c r="S323" i="5"/>
  <c r="Q323" i="5"/>
  <c r="N323" i="5"/>
  <c r="Q25" i="5"/>
  <c r="N25" i="5"/>
  <c r="S25" i="5"/>
  <c r="S310" i="5"/>
  <c r="M310" i="5" s="1"/>
  <c r="Q310" i="5"/>
  <c r="N310" i="5"/>
  <c r="S210" i="5"/>
  <c r="Q210" i="5"/>
  <c r="N210" i="5"/>
  <c r="S380" i="5"/>
  <c r="M380" i="5" s="1"/>
  <c r="Q380" i="5"/>
  <c r="N380" i="5"/>
  <c r="S140" i="5"/>
  <c r="M140" i="5" s="1"/>
  <c r="N140" i="5"/>
  <c r="Q140" i="5"/>
  <c r="S313" i="5"/>
  <c r="Q313" i="5"/>
  <c r="N313" i="5"/>
  <c r="N64" i="5"/>
  <c r="Q64" i="5"/>
  <c r="S64" i="5"/>
  <c r="S320" i="5"/>
  <c r="N320" i="5"/>
  <c r="Q320" i="5"/>
  <c r="S220" i="5"/>
  <c r="M220" i="5" s="1"/>
  <c r="N220" i="5"/>
  <c r="Q220" i="5"/>
  <c r="N74" i="5"/>
  <c r="Q74" i="5"/>
  <c r="S74" i="5"/>
  <c r="M74" i="5" s="1"/>
  <c r="J60" i="4"/>
  <c r="M7" i="4"/>
  <c r="S30" i="5"/>
  <c r="Q30" i="5"/>
  <c r="N30" i="5"/>
  <c r="K62" i="4"/>
  <c r="L20" i="4"/>
  <c r="S208" i="5"/>
  <c r="Q208" i="5"/>
  <c r="N208" i="5"/>
  <c r="N275" i="5"/>
  <c r="Q275" i="5"/>
  <c r="S275" i="5"/>
  <c r="Q346" i="5"/>
  <c r="N346" i="5"/>
  <c r="S346" i="5"/>
  <c r="M346" i="5" s="1"/>
  <c r="Q166" i="5"/>
  <c r="N166" i="5"/>
  <c r="S166" i="5"/>
  <c r="M166" i="5" s="1"/>
  <c r="N75" i="5"/>
  <c r="Q75" i="5"/>
  <c r="S75" i="5"/>
  <c r="S198" i="5"/>
  <c r="Q198" i="5"/>
  <c r="N198" i="5"/>
  <c r="N265" i="5"/>
  <c r="Q265" i="5"/>
  <c r="S265" i="5"/>
  <c r="Q336" i="5"/>
  <c r="N336" i="5"/>
  <c r="S336" i="5"/>
  <c r="M336" i="5" s="1"/>
  <c r="N165" i="5"/>
  <c r="Q165" i="5"/>
  <c r="S165" i="5"/>
  <c r="M165" i="5" s="1"/>
  <c r="Q18" i="5"/>
  <c r="S18" i="5"/>
  <c r="M18" i="5" s="1"/>
  <c r="N18" i="5"/>
  <c r="Q507" i="5"/>
  <c r="N507" i="5"/>
  <c r="S507" i="5"/>
  <c r="S99" i="5"/>
  <c r="Q99" i="5"/>
  <c r="N99" i="5"/>
  <c r="S199" i="5"/>
  <c r="Q199" i="5"/>
  <c r="N199" i="5"/>
  <c r="S299" i="5"/>
  <c r="Q299" i="5"/>
  <c r="N299" i="5"/>
  <c r="S399" i="5"/>
  <c r="M399" i="5" s="1"/>
  <c r="Q399" i="5"/>
  <c r="N399" i="5"/>
  <c r="Q416" i="5"/>
  <c r="N416" i="5"/>
  <c r="S416" i="5"/>
  <c r="M416" i="5" s="1"/>
  <c r="Q516" i="5"/>
  <c r="N516" i="5"/>
  <c r="S516" i="5"/>
  <c r="S488" i="5"/>
  <c r="Q488" i="5"/>
  <c r="N488" i="5"/>
  <c r="N455" i="5"/>
  <c r="Q455" i="5"/>
  <c r="S455" i="5"/>
  <c r="M455" i="5" s="1"/>
  <c r="Q87" i="5"/>
  <c r="N87" i="5"/>
  <c r="S87" i="5"/>
  <c r="M87" i="5" s="1"/>
  <c r="Q187" i="5"/>
  <c r="N187" i="5"/>
  <c r="S187" i="5"/>
  <c r="Q287" i="5"/>
  <c r="N287" i="5"/>
  <c r="S287" i="5"/>
  <c r="M287" i="5" s="1"/>
  <c r="Q387" i="5"/>
  <c r="N387" i="5"/>
  <c r="S387" i="5"/>
  <c r="Q487" i="5"/>
  <c r="N487" i="5"/>
  <c r="S487" i="5"/>
  <c r="L58" i="4"/>
  <c r="N21" i="5"/>
  <c r="Q21" i="5"/>
  <c r="S21" i="5"/>
  <c r="M21" i="5" s="1"/>
  <c r="L41" i="4"/>
  <c r="I41" i="4"/>
  <c r="M41" i="4" s="1"/>
  <c r="N184" i="5"/>
  <c r="Q184" i="5"/>
  <c r="S184" i="5"/>
  <c r="K52" i="4"/>
  <c r="I24" i="4"/>
  <c r="M24" i="4" s="1"/>
  <c r="C36" i="10"/>
  <c r="B36" i="10"/>
  <c r="C57" i="10"/>
  <c r="B57" i="10"/>
  <c r="C65" i="10"/>
  <c r="B65" i="10"/>
  <c r="C16" i="10"/>
  <c r="B16" i="10"/>
  <c r="C82" i="10"/>
  <c r="B82" i="10"/>
  <c r="C104" i="10"/>
  <c r="B104" i="10"/>
  <c r="C63" i="10"/>
  <c r="B63" i="10"/>
  <c r="C50" i="10"/>
  <c r="B50" i="10"/>
  <c r="C100" i="10"/>
  <c r="B100" i="10"/>
  <c r="C154" i="10"/>
  <c r="B154" i="10"/>
  <c r="C34" i="10"/>
  <c r="B34" i="10"/>
  <c r="C99" i="10"/>
  <c r="B99" i="10"/>
  <c r="C156" i="10"/>
  <c r="B156" i="10"/>
  <c r="C144" i="10"/>
  <c r="B144" i="10"/>
  <c r="C134" i="10"/>
  <c r="B134" i="10"/>
  <c r="S62" i="4"/>
  <c r="K65" i="4"/>
  <c r="S104" i="13"/>
  <c r="P104" i="13"/>
  <c r="O104" i="13"/>
  <c r="R104" i="13"/>
  <c r="S122" i="13"/>
  <c r="R122" i="13"/>
  <c r="P122" i="13"/>
  <c r="O122" i="13"/>
  <c r="O87" i="13"/>
  <c r="S87" i="13"/>
  <c r="R87" i="13"/>
  <c r="P87" i="13"/>
  <c r="O107" i="13"/>
  <c r="S107" i="13"/>
  <c r="R107" i="13"/>
  <c r="P107" i="13"/>
  <c r="O113" i="13"/>
  <c r="S113" i="13"/>
  <c r="R113" i="13"/>
  <c r="P113" i="13"/>
  <c r="P152" i="13"/>
  <c r="S152" i="13"/>
  <c r="O152" i="13"/>
  <c r="R152" i="13"/>
  <c r="O125" i="13"/>
  <c r="S125" i="13"/>
  <c r="R125" i="13"/>
  <c r="P125" i="13"/>
  <c r="O161" i="13"/>
  <c r="P161" i="13"/>
  <c r="R161" i="13"/>
  <c r="S161" i="13"/>
  <c r="S182" i="13"/>
  <c r="R182" i="13"/>
  <c r="P182" i="13"/>
  <c r="O182" i="13"/>
  <c r="J16" i="12"/>
  <c r="E41" i="14"/>
  <c r="F41" i="14" s="1"/>
  <c r="M6" i="1"/>
  <c r="S422" i="5"/>
  <c r="Q422" i="5"/>
  <c r="N422" i="5"/>
  <c r="S322" i="5"/>
  <c r="M322" i="5" s="1"/>
  <c r="Q322" i="5"/>
  <c r="N322" i="5"/>
  <c r="S222" i="5"/>
  <c r="Q222" i="5"/>
  <c r="N222" i="5"/>
  <c r="S122" i="5"/>
  <c r="M122" i="5" s="1"/>
  <c r="Q122" i="5"/>
  <c r="N122" i="5"/>
  <c r="S23" i="5"/>
  <c r="M23" i="5" s="1"/>
  <c r="Q23" i="5"/>
  <c r="N23" i="5"/>
  <c r="S164" i="13"/>
  <c r="P164" i="13"/>
  <c r="O164" i="13"/>
  <c r="R164" i="13"/>
  <c r="O129" i="13"/>
  <c r="P129" i="13"/>
  <c r="R129" i="13"/>
  <c r="S129" i="13"/>
  <c r="O93" i="13"/>
  <c r="P93" i="13"/>
  <c r="R93" i="13"/>
  <c r="S93" i="13"/>
  <c r="S156" i="13"/>
  <c r="R156" i="13"/>
  <c r="P156" i="13"/>
  <c r="O156" i="13"/>
  <c r="S160" i="13"/>
  <c r="P160" i="13"/>
  <c r="R160" i="13"/>
  <c r="O160" i="13"/>
  <c r="O173" i="13"/>
  <c r="R173" i="13"/>
  <c r="P173" i="13"/>
  <c r="S173" i="13"/>
  <c r="C7" i="12"/>
  <c r="X22" i="12"/>
  <c r="C22" i="12"/>
  <c r="C10" i="12"/>
  <c r="X24" i="12"/>
  <c r="N502" i="5"/>
  <c r="S502" i="5"/>
  <c r="M502" i="5" s="1"/>
  <c r="Q502" i="5"/>
  <c r="S403" i="5"/>
  <c r="Q403" i="5"/>
  <c r="N403" i="5"/>
  <c r="N484" i="5"/>
  <c r="Q484" i="5"/>
  <c r="S484" i="5"/>
  <c r="M484" i="5" s="1"/>
  <c r="Q461" i="5"/>
  <c r="N461" i="5"/>
  <c r="S461" i="5"/>
  <c r="Q361" i="5"/>
  <c r="N361" i="5"/>
  <c r="S361" i="5"/>
  <c r="M361" i="5" s="1"/>
  <c r="Q261" i="5"/>
  <c r="N261" i="5"/>
  <c r="S261" i="5"/>
  <c r="Q161" i="5"/>
  <c r="N161" i="5"/>
  <c r="S161" i="5"/>
  <c r="Q61" i="5"/>
  <c r="N61" i="5"/>
  <c r="S61" i="5"/>
  <c r="M61" i="5" s="1"/>
  <c r="S16" i="4"/>
  <c r="N16" i="4"/>
  <c r="S303" i="5"/>
  <c r="Q303" i="5"/>
  <c r="N303" i="5"/>
  <c r="N294" i="5"/>
  <c r="Q294" i="5"/>
  <c r="S294" i="5"/>
  <c r="M294" i="5" s="1"/>
  <c r="N194" i="5"/>
  <c r="Q194" i="5"/>
  <c r="S194" i="5"/>
  <c r="S173" i="5"/>
  <c r="Q173" i="5"/>
  <c r="N173" i="5"/>
  <c r="N104" i="5"/>
  <c r="Q104" i="5"/>
  <c r="S104" i="5"/>
  <c r="M104" i="5" s="1"/>
  <c r="S293" i="5"/>
  <c r="Q293" i="5"/>
  <c r="N293" i="5"/>
  <c r="S50" i="5"/>
  <c r="Q50" i="5"/>
  <c r="N50" i="5"/>
  <c r="N514" i="5"/>
  <c r="S514" i="5"/>
  <c r="Q514" i="5"/>
  <c r="N304" i="5"/>
  <c r="Q304" i="5"/>
  <c r="S304" i="5"/>
  <c r="N204" i="5"/>
  <c r="Q204" i="5"/>
  <c r="S204" i="5"/>
  <c r="M204" i="5" s="1"/>
  <c r="S60" i="5"/>
  <c r="M60" i="5" s="1"/>
  <c r="Q60" i="5"/>
  <c r="N60" i="5"/>
  <c r="S66" i="4"/>
  <c r="N66" i="4"/>
  <c r="S133" i="5"/>
  <c r="M133" i="5" s="1"/>
  <c r="Q133" i="5"/>
  <c r="N133" i="5"/>
  <c r="S183" i="5"/>
  <c r="Q183" i="5"/>
  <c r="N183" i="5"/>
  <c r="I66" i="4"/>
  <c r="M66" i="4" s="1"/>
  <c r="N11" i="5"/>
  <c r="Q11" i="5"/>
  <c r="S11" i="5"/>
  <c r="M11" i="5" s="1"/>
  <c r="S42" i="4"/>
  <c r="N42" i="4"/>
  <c r="J17" i="4"/>
  <c r="N215" i="5"/>
  <c r="Q215" i="5"/>
  <c r="S215" i="5"/>
  <c r="Q286" i="5"/>
  <c r="N286" i="5"/>
  <c r="S286" i="5"/>
  <c r="S348" i="5"/>
  <c r="M348" i="5" s="1"/>
  <c r="Q348" i="5"/>
  <c r="N348" i="5"/>
  <c r="S168" i="5"/>
  <c r="Q168" i="5"/>
  <c r="N168" i="5"/>
  <c r="N125" i="5"/>
  <c r="Q125" i="5"/>
  <c r="S125" i="5"/>
  <c r="M125" i="5" s="1"/>
  <c r="N205" i="5"/>
  <c r="Q205" i="5"/>
  <c r="S205" i="5"/>
  <c r="Q276" i="5"/>
  <c r="N276" i="5"/>
  <c r="S276" i="5"/>
  <c r="S338" i="5"/>
  <c r="M338" i="5" s="1"/>
  <c r="Q338" i="5"/>
  <c r="N338" i="5"/>
  <c r="Q8" i="5"/>
  <c r="U349" i="9" s="1"/>
  <c r="N349" i="9" s="1"/>
  <c r="S8" i="5"/>
  <c r="M135" i="5" s="1"/>
  <c r="N8" i="5"/>
  <c r="Q42" i="5"/>
  <c r="N42" i="5"/>
  <c r="S42" i="5"/>
  <c r="S9" i="5"/>
  <c r="M9" i="5" s="1"/>
  <c r="Q9" i="5"/>
  <c r="U354" i="9" s="1"/>
  <c r="N354" i="9" s="1"/>
  <c r="N9" i="5"/>
  <c r="S109" i="5"/>
  <c r="N109" i="5"/>
  <c r="Q109" i="5"/>
  <c r="S209" i="5"/>
  <c r="Q209" i="5"/>
  <c r="N209" i="5"/>
  <c r="S309" i="5"/>
  <c r="M309" i="5" s="1"/>
  <c r="Q309" i="5"/>
  <c r="N309" i="5"/>
  <c r="S409" i="5"/>
  <c r="M409" i="5" s="1"/>
  <c r="Q409" i="5"/>
  <c r="N409" i="5"/>
  <c r="Q426" i="5"/>
  <c r="N426" i="5"/>
  <c r="S426" i="5"/>
  <c r="S398" i="5"/>
  <c r="Q398" i="5"/>
  <c r="N398" i="5"/>
  <c r="S498" i="5"/>
  <c r="M498" i="5" s="1"/>
  <c r="Q498" i="5"/>
  <c r="N498" i="5"/>
  <c r="N465" i="5"/>
  <c r="Q465" i="5"/>
  <c r="S465" i="5"/>
  <c r="M465" i="5" s="1"/>
  <c r="Q97" i="5"/>
  <c r="N97" i="5"/>
  <c r="S97" i="5"/>
  <c r="M97" i="5" s="1"/>
  <c r="Q197" i="5"/>
  <c r="N197" i="5"/>
  <c r="S197" i="5"/>
  <c r="M197" i="5" s="1"/>
  <c r="Q297" i="5"/>
  <c r="N297" i="5"/>
  <c r="S297" i="5"/>
  <c r="M297" i="5" s="1"/>
  <c r="Q397" i="5"/>
  <c r="N397" i="5"/>
  <c r="S397" i="5"/>
  <c r="M397" i="5" s="1"/>
  <c r="Q497" i="5"/>
  <c r="N497" i="5"/>
  <c r="S497" i="5"/>
  <c r="N64" i="4"/>
  <c r="S64" i="4"/>
  <c r="N19" i="4"/>
  <c r="S19" i="4"/>
  <c r="Q17" i="5"/>
  <c r="N17" i="5"/>
  <c r="S17" i="5"/>
  <c r="M17" i="5" s="1"/>
  <c r="S170" i="5"/>
  <c r="Q170" i="5"/>
  <c r="N170" i="5"/>
  <c r="C37" i="10"/>
  <c r="B37" i="10"/>
  <c r="C72" i="10"/>
  <c r="B72" i="10"/>
  <c r="C68" i="10"/>
  <c r="B68" i="10"/>
  <c r="C24" i="10"/>
  <c r="B24" i="10"/>
  <c r="C80" i="10"/>
  <c r="B80" i="10"/>
  <c r="B108" i="10"/>
  <c r="C108" i="10"/>
  <c r="C79" i="10"/>
  <c r="B79" i="10"/>
  <c r="C73" i="10"/>
  <c r="B73" i="10"/>
  <c r="C105" i="10"/>
  <c r="B105" i="10"/>
  <c r="C145" i="10"/>
  <c r="B145" i="10"/>
  <c r="B39" i="10"/>
  <c r="C39" i="10"/>
  <c r="C111" i="10"/>
  <c r="B111" i="10"/>
  <c r="C85" i="10"/>
  <c r="B85" i="10"/>
  <c r="C150" i="10"/>
  <c r="B150" i="10"/>
  <c r="C142" i="10"/>
  <c r="B142" i="10"/>
  <c r="S45" i="4"/>
  <c r="S63" i="4"/>
  <c r="X10" i="12"/>
  <c r="S98" i="13"/>
  <c r="R98" i="13"/>
  <c r="P98" i="13"/>
  <c r="O98" i="13"/>
  <c r="S126" i="13"/>
  <c r="P126" i="13"/>
  <c r="O126" i="13"/>
  <c r="R126" i="13"/>
  <c r="S108" i="13"/>
  <c r="R108" i="13"/>
  <c r="P108" i="13"/>
  <c r="O108" i="13"/>
  <c r="S114" i="13"/>
  <c r="R114" i="13"/>
  <c r="P114" i="13"/>
  <c r="O114" i="13"/>
  <c r="S130" i="13"/>
  <c r="R130" i="13"/>
  <c r="O130" i="13"/>
  <c r="P130" i="13"/>
  <c r="O185" i="13"/>
  <c r="S185" i="13"/>
  <c r="R185" i="13"/>
  <c r="P185" i="13"/>
  <c r="S412" i="5"/>
  <c r="M412" i="5" s="1"/>
  <c r="Q412" i="5"/>
  <c r="N412" i="5"/>
  <c r="S312" i="5"/>
  <c r="M312" i="5" s="1"/>
  <c r="Q312" i="5"/>
  <c r="N312" i="5"/>
  <c r="S212" i="5"/>
  <c r="Q212" i="5"/>
  <c r="N212" i="5"/>
  <c r="S112" i="5"/>
  <c r="Q112" i="5"/>
  <c r="N112" i="5"/>
  <c r="S13" i="5"/>
  <c r="Q13" i="5"/>
  <c r="N13" i="5"/>
  <c r="X23" i="12"/>
  <c r="S118" i="13"/>
  <c r="R118" i="13"/>
  <c r="P118" i="13"/>
  <c r="O118" i="13"/>
  <c r="O167" i="13"/>
  <c r="P167" i="13"/>
  <c r="S167" i="13"/>
  <c r="R167" i="13"/>
  <c r="R186" i="13"/>
  <c r="O186" i="13"/>
  <c r="S186" i="13"/>
  <c r="P186" i="13"/>
  <c r="R189" i="13"/>
  <c r="S189" i="13"/>
  <c r="P189" i="13"/>
  <c r="O189" i="13"/>
  <c r="U432" i="9"/>
  <c r="N432" i="9" s="1"/>
  <c r="U427" i="9"/>
  <c r="N427" i="9" s="1"/>
  <c r="U422" i="9"/>
  <c r="N422" i="9" s="1"/>
  <c r="U417" i="9"/>
  <c r="N417" i="9" s="1"/>
  <c r="U412" i="9"/>
  <c r="N412" i="9" s="1"/>
  <c r="U407" i="9"/>
  <c r="N407" i="9" s="1"/>
  <c r="U421" i="9"/>
  <c r="N421" i="9" s="1"/>
  <c r="U408" i="9"/>
  <c r="N408" i="9" s="1"/>
  <c r="U430" i="9"/>
  <c r="N430" i="9" s="1"/>
  <c r="U419" i="9"/>
  <c r="N419" i="9" s="1"/>
  <c r="U406" i="9"/>
  <c r="N406" i="9" s="1"/>
  <c r="U399" i="9"/>
  <c r="N399" i="9" s="1"/>
  <c r="U394" i="9"/>
  <c r="N394" i="9" s="1"/>
  <c r="U389" i="9"/>
  <c r="N389" i="9" s="1"/>
  <c r="U384" i="9"/>
  <c r="N384" i="9" s="1"/>
  <c r="U379" i="9"/>
  <c r="N379" i="9" s="1"/>
  <c r="U374" i="9"/>
  <c r="N374" i="9" s="1"/>
  <c r="U428" i="9"/>
  <c r="N428" i="9" s="1"/>
  <c r="U415" i="9"/>
  <c r="N415" i="9" s="1"/>
  <c r="U404" i="9"/>
  <c r="N404" i="9" s="1"/>
  <c r="U425" i="9"/>
  <c r="N425" i="9" s="1"/>
  <c r="U409" i="9"/>
  <c r="N409" i="9" s="1"/>
  <c r="U382" i="9"/>
  <c r="N382" i="9" s="1"/>
  <c r="U375" i="9"/>
  <c r="N375" i="9" s="1"/>
  <c r="U377" i="9"/>
  <c r="N377" i="9" s="1"/>
  <c r="U414" i="9"/>
  <c r="N414" i="9" s="1"/>
  <c r="U411" i="9"/>
  <c r="N411" i="9" s="1"/>
  <c r="U401" i="9"/>
  <c r="N401" i="9" s="1"/>
  <c r="U424" i="9"/>
  <c r="N424" i="9" s="1"/>
  <c r="U403" i="9"/>
  <c r="N403" i="9" s="1"/>
  <c r="U396" i="9"/>
  <c r="N396" i="9" s="1"/>
  <c r="U416" i="9"/>
  <c r="N416" i="9" s="1"/>
  <c r="U413" i="9"/>
  <c r="N413" i="9" s="1"/>
  <c r="U398" i="9"/>
  <c r="N398" i="9" s="1"/>
  <c r="U391" i="9"/>
  <c r="N391" i="9" s="1"/>
  <c r="U429" i="9"/>
  <c r="N429" i="9" s="1"/>
  <c r="U426" i="9"/>
  <c r="N426" i="9" s="1"/>
  <c r="U405" i="9"/>
  <c r="N405" i="9" s="1"/>
  <c r="U400" i="9"/>
  <c r="N400" i="9" s="1"/>
  <c r="U393" i="9"/>
  <c r="N393" i="9" s="1"/>
  <c r="U386" i="9"/>
  <c r="N386" i="9" s="1"/>
  <c r="U418" i="9"/>
  <c r="N418" i="9" s="1"/>
  <c r="U402" i="9"/>
  <c r="N402" i="9" s="1"/>
  <c r="U395" i="9"/>
  <c r="N395" i="9" s="1"/>
  <c r="U388" i="9"/>
  <c r="N388" i="9" s="1"/>
  <c r="U381" i="9"/>
  <c r="N381" i="9" s="1"/>
  <c r="U431" i="9"/>
  <c r="N431" i="9" s="1"/>
  <c r="U410" i="9"/>
  <c r="N410" i="9" s="1"/>
  <c r="U397" i="9"/>
  <c r="N397" i="9" s="1"/>
  <c r="U390" i="9"/>
  <c r="N390" i="9" s="1"/>
  <c r="U383" i="9"/>
  <c r="N383" i="9" s="1"/>
  <c r="U376" i="9"/>
  <c r="N376" i="9" s="1"/>
  <c r="U423" i="9"/>
  <c r="N423" i="9" s="1"/>
  <c r="U420" i="9"/>
  <c r="N420" i="9" s="1"/>
  <c r="U392" i="9"/>
  <c r="N392" i="9" s="1"/>
  <c r="U385" i="9"/>
  <c r="N385" i="9" s="1"/>
  <c r="U378" i="9"/>
  <c r="N378" i="9" s="1"/>
  <c r="U387" i="9"/>
  <c r="N387" i="9" s="1"/>
  <c r="U380" i="9"/>
  <c r="N380" i="9" s="1"/>
  <c r="U373" i="9"/>
  <c r="N373" i="9" s="1"/>
  <c r="AB4" i="9"/>
  <c r="E6" i="9"/>
  <c r="X12" i="9"/>
  <c r="N12" i="9" s="1"/>
  <c r="E5" i="9"/>
  <c r="H4" i="9"/>
  <c r="S501" i="5"/>
  <c r="Q501" i="5"/>
  <c r="N501" i="5"/>
  <c r="S402" i="5"/>
  <c r="Q402" i="5"/>
  <c r="N402" i="5"/>
  <c r="S302" i="5"/>
  <c r="Q302" i="5"/>
  <c r="N302" i="5"/>
  <c r="S202" i="5"/>
  <c r="M202" i="5" s="1"/>
  <c r="Q202" i="5"/>
  <c r="N202" i="5"/>
  <c r="S102" i="5"/>
  <c r="M102" i="5" s="1"/>
  <c r="Q102" i="5"/>
  <c r="N102" i="5"/>
  <c r="C24" i="12"/>
  <c r="X27" i="12"/>
  <c r="X15" i="12"/>
  <c r="C29" i="12"/>
  <c r="S493" i="5"/>
  <c r="M493" i="5" s="1"/>
  <c r="Q493" i="5"/>
  <c r="N493" i="5"/>
  <c r="S393" i="5"/>
  <c r="Q393" i="5"/>
  <c r="N393" i="5"/>
  <c r="N474" i="5"/>
  <c r="Q474" i="5"/>
  <c r="S474" i="5"/>
  <c r="Q451" i="5"/>
  <c r="N451" i="5"/>
  <c r="S451" i="5"/>
  <c r="Q351" i="5"/>
  <c r="N351" i="5"/>
  <c r="S351" i="5"/>
  <c r="Q251" i="5"/>
  <c r="N251" i="5"/>
  <c r="S251" i="5"/>
  <c r="Q151" i="5"/>
  <c r="N151" i="5"/>
  <c r="S151" i="5"/>
  <c r="Q51" i="5"/>
  <c r="N51" i="5"/>
  <c r="S51" i="5"/>
  <c r="M51" i="5" s="1"/>
  <c r="S283" i="5"/>
  <c r="Q283" i="5"/>
  <c r="N283" i="5"/>
  <c r="S290" i="5"/>
  <c r="M290" i="5" s="1"/>
  <c r="Q290" i="5"/>
  <c r="N290" i="5"/>
  <c r="S180" i="5"/>
  <c r="Q180" i="5"/>
  <c r="N180" i="5"/>
  <c r="S123" i="5"/>
  <c r="Q123" i="5"/>
  <c r="N123" i="5"/>
  <c r="S90" i="5"/>
  <c r="M90" i="5" s="1"/>
  <c r="N90" i="5"/>
  <c r="Q90" i="5"/>
  <c r="S273" i="5"/>
  <c r="Q273" i="5"/>
  <c r="N273" i="5"/>
  <c r="N26" i="5"/>
  <c r="Q26" i="5"/>
  <c r="S26" i="5"/>
  <c r="S500" i="5"/>
  <c r="Q500" i="5"/>
  <c r="N500" i="5"/>
  <c r="S300" i="5"/>
  <c r="M300" i="5" s="1"/>
  <c r="N300" i="5"/>
  <c r="Q300" i="5"/>
  <c r="S200" i="5"/>
  <c r="M200" i="5" s="1"/>
  <c r="N200" i="5"/>
  <c r="Q200" i="5"/>
  <c r="S40" i="5"/>
  <c r="M40" i="5" s="1"/>
  <c r="Q40" i="5"/>
  <c r="N40" i="5"/>
  <c r="S58" i="5"/>
  <c r="M58" i="5" s="1"/>
  <c r="Q58" i="5"/>
  <c r="N58" i="5"/>
  <c r="Q106" i="5"/>
  <c r="N106" i="5"/>
  <c r="S106" i="5"/>
  <c r="S57" i="4"/>
  <c r="N57" i="4"/>
  <c r="Q156" i="5"/>
  <c r="N156" i="5"/>
  <c r="S156" i="5"/>
  <c r="S47" i="4"/>
  <c r="N47" i="4"/>
  <c r="N15" i="4"/>
  <c r="S15" i="4"/>
  <c r="Q226" i="5"/>
  <c r="N226" i="5"/>
  <c r="S226" i="5"/>
  <c r="S288" i="5"/>
  <c r="M288" i="5" s="1"/>
  <c r="Q288" i="5"/>
  <c r="N288" i="5"/>
  <c r="N355" i="5"/>
  <c r="Q355" i="5"/>
  <c r="S355" i="5"/>
  <c r="M355" i="5" s="1"/>
  <c r="S378" i="5"/>
  <c r="M378" i="5" s="1"/>
  <c r="Q378" i="5"/>
  <c r="N378" i="5"/>
  <c r="N175" i="5"/>
  <c r="Q175" i="5"/>
  <c r="S175" i="5"/>
  <c r="Q216" i="5"/>
  <c r="N216" i="5"/>
  <c r="S216" i="5"/>
  <c r="S278" i="5"/>
  <c r="M278" i="5" s="1"/>
  <c r="Q278" i="5"/>
  <c r="N278" i="5"/>
  <c r="N345" i="5"/>
  <c r="Q345" i="5"/>
  <c r="S345" i="5"/>
  <c r="M345" i="5" s="1"/>
  <c r="Q32" i="5"/>
  <c r="N32" i="5"/>
  <c r="S32" i="5"/>
  <c r="Q76" i="5"/>
  <c r="N76" i="5"/>
  <c r="S76" i="5"/>
  <c r="S19" i="5"/>
  <c r="Q19" i="5"/>
  <c r="N19" i="5"/>
  <c r="S119" i="5"/>
  <c r="M119" i="5" s="1"/>
  <c r="Q119" i="5"/>
  <c r="N119" i="5"/>
  <c r="S219" i="5"/>
  <c r="Q219" i="5"/>
  <c r="N219" i="5"/>
  <c r="S319" i="5"/>
  <c r="M319" i="5" s="1"/>
  <c r="Q319" i="5"/>
  <c r="N319" i="5"/>
  <c r="S419" i="5"/>
  <c r="Q419" i="5"/>
  <c r="N419" i="5"/>
  <c r="Q436" i="5"/>
  <c r="N436" i="5"/>
  <c r="S436" i="5"/>
  <c r="S408" i="5"/>
  <c r="M408" i="5" s="1"/>
  <c r="Q408" i="5"/>
  <c r="N408" i="5"/>
  <c r="S518" i="5"/>
  <c r="M518" i="5" s="1"/>
  <c r="Q518" i="5"/>
  <c r="N518" i="5"/>
  <c r="N475" i="5"/>
  <c r="Q475" i="5"/>
  <c r="S475" i="5"/>
  <c r="Q107" i="5"/>
  <c r="N107" i="5"/>
  <c r="S107" i="5"/>
  <c r="M107" i="5" s="1"/>
  <c r="Q207" i="5"/>
  <c r="N207" i="5"/>
  <c r="S207" i="5"/>
  <c r="M207" i="5" s="1"/>
  <c r="Q307" i="5"/>
  <c r="N307" i="5"/>
  <c r="S307" i="5"/>
  <c r="Q407" i="5"/>
  <c r="N407" i="5"/>
  <c r="S407" i="5"/>
  <c r="M407" i="5" s="1"/>
  <c r="Q517" i="5"/>
  <c r="N517" i="5"/>
  <c r="S517" i="5"/>
  <c r="M517" i="5" s="1"/>
  <c r="J12" i="4"/>
  <c r="S83" i="5"/>
  <c r="M83" i="5" s="1"/>
  <c r="Q83" i="5"/>
  <c r="N83" i="5"/>
  <c r="C30" i="10"/>
  <c r="B30" i="10"/>
  <c r="C40" i="10"/>
  <c r="B40" i="10"/>
  <c r="C38" i="10"/>
  <c r="B38" i="10"/>
  <c r="C81" i="10"/>
  <c r="B81" i="10"/>
  <c r="B54" i="10"/>
  <c r="C54" i="10"/>
  <c r="B87" i="10"/>
  <c r="C87" i="10"/>
  <c r="C109" i="10"/>
  <c r="B109" i="10"/>
  <c r="C117" i="10"/>
  <c r="B117" i="10"/>
  <c r="C83" i="10"/>
  <c r="B83" i="10"/>
  <c r="C119" i="10"/>
  <c r="B119" i="10"/>
  <c r="C131" i="10"/>
  <c r="B131" i="10"/>
  <c r="B44" i="10"/>
  <c r="C44" i="10"/>
  <c r="B116" i="10"/>
  <c r="C116" i="10"/>
  <c r="C93" i="10"/>
  <c r="B93" i="10"/>
  <c r="B153" i="10"/>
  <c r="C153" i="10"/>
  <c r="S22" i="4"/>
  <c r="C12" i="12"/>
  <c r="R136" i="13"/>
  <c r="O136" i="13"/>
  <c r="S136" i="13"/>
  <c r="P136" i="13"/>
  <c r="O170" i="13"/>
  <c r="S170" i="13"/>
  <c r="R170" i="13"/>
  <c r="P170" i="13"/>
  <c r="O158" i="13"/>
  <c r="R158" i="13"/>
  <c r="P158" i="13"/>
  <c r="S158" i="13"/>
  <c r="O178" i="13"/>
  <c r="R178" i="13"/>
  <c r="S178" i="13"/>
  <c r="P178" i="13"/>
  <c r="O192" i="13"/>
  <c r="R192" i="13"/>
  <c r="S192" i="13"/>
  <c r="P192" i="13"/>
  <c r="O157" i="13"/>
  <c r="R157" i="13"/>
  <c r="S157" i="13"/>
  <c r="P157" i="13"/>
  <c r="S482" i="5"/>
  <c r="Q482" i="5"/>
  <c r="N482" i="5"/>
  <c r="S382" i="5"/>
  <c r="Q382" i="5"/>
  <c r="N382" i="5"/>
  <c r="S282" i="5"/>
  <c r="Q282" i="5"/>
  <c r="N282" i="5"/>
  <c r="S182" i="5"/>
  <c r="Q182" i="5"/>
  <c r="N182" i="5"/>
  <c r="S82" i="5"/>
  <c r="M82" i="5" s="1"/>
  <c r="Q82" i="5"/>
  <c r="N82" i="5"/>
  <c r="C15" i="12"/>
  <c r="C13" i="12"/>
  <c r="X32" i="12"/>
  <c r="X29" i="12"/>
  <c r="E70" i="14"/>
  <c r="F70" i="14" s="1"/>
  <c r="I35" i="14"/>
  <c r="I71" i="14"/>
  <c r="E71" i="14"/>
  <c r="F71" i="14" s="1"/>
  <c r="I70" i="14"/>
  <c r="I52" i="14"/>
  <c r="E52" i="14"/>
  <c r="F52" i="14" s="1"/>
  <c r="E35" i="14"/>
  <c r="F35" i="14" s="1"/>
  <c r="E69" i="14"/>
  <c r="O32" i="1"/>
  <c r="O35" i="1"/>
  <c r="S483" i="5"/>
  <c r="M483" i="5" s="1"/>
  <c r="Q483" i="5"/>
  <c r="N483" i="5"/>
  <c r="S383" i="5"/>
  <c r="M383" i="5" s="1"/>
  <c r="Q383" i="5"/>
  <c r="N383" i="5"/>
  <c r="N464" i="5"/>
  <c r="Q464" i="5"/>
  <c r="S464" i="5"/>
  <c r="M464" i="5" s="1"/>
  <c r="Q441" i="5"/>
  <c r="N441" i="5"/>
  <c r="S441" i="5"/>
  <c r="M441" i="5" s="1"/>
  <c r="Q341" i="5"/>
  <c r="N341" i="5"/>
  <c r="S341" i="5"/>
  <c r="Q241" i="5"/>
  <c r="N241" i="5"/>
  <c r="S241" i="5"/>
  <c r="Q141" i="5"/>
  <c r="N141" i="5"/>
  <c r="S141" i="5"/>
  <c r="S490" i="5"/>
  <c r="N490" i="5"/>
  <c r="Q490" i="5"/>
  <c r="S263" i="5"/>
  <c r="Q263" i="5"/>
  <c r="N263" i="5"/>
  <c r="N24" i="4"/>
  <c r="S24" i="4"/>
  <c r="N274" i="5"/>
  <c r="Q274" i="5"/>
  <c r="S274" i="5"/>
  <c r="M274" i="5" s="1"/>
  <c r="N144" i="5"/>
  <c r="Q144" i="5"/>
  <c r="S144" i="5"/>
  <c r="S73" i="5"/>
  <c r="Q73" i="5"/>
  <c r="N73" i="5"/>
  <c r="N54" i="5"/>
  <c r="Q54" i="5"/>
  <c r="S54" i="5"/>
  <c r="S253" i="5"/>
  <c r="M253" i="5" s="1"/>
  <c r="Q253" i="5"/>
  <c r="N253" i="5"/>
  <c r="S430" i="5"/>
  <c r="N430" i="5"/>
  <c r="Q430" i="5"/>
  <c r="N284" i="5"/>
  <c r="Q284" i="5"/>
  <c r="S284" i="5"/>
  <c r="N193" i="5"/>
  <c r="S193" i="5"/>
  <c r="M193" i="5" s="1"/>
  <c r="Q193" i="5"/>
  <c r="N16" i="5"/>
  <c r="M16" i="5"/>
  <c r="Q16" i="5"/>
  <c r="U309" i="9" s="1"/>
  <c r="N309" i="9" s="1"/>
  <c r="S16" i="5"/>
  <c r="Q38" i="5"/>
  <c r="S38" i="5"/>
  <c r="N38" i="5"/>
  <c r="N31" i="5"/>
  <c r="Q31" i="5"/>
  <c r="S31" i="5"/>
  <c r="M56" i="5" s="1"/>
  <c r="S13" i="4"/>
  <c r="AB5" i="9" s="1"/>
  <c r="N13" i="4"/>
  <c r="S48" i="4"/>
  <c r="N48" i="4"/>
  <c r="S228" i="5"/>
  <c r="M228" i="5" s="1"/>
  <c r="Q228" i="5"/>
  <c r="N228" i="5"/>
  <c r="N295" i="5"/>
  <c r="Q295" i="5"/>
  <c r="S295" i="5"/>
  <c r="Q366" i="5"/>
  <c r="N366" i="5"/>
  <c r="S366" i="5"/>
  <c r="Q386" i="5"/>
  <c r="N386" i="5"/>
  <c r="S386" i="5"/>
  <c r="M386" i="5" s="1"/>
  <c r="Q22" i="5"/>
  <c r="N22" i="5"/>
  <c r="S22" i="5"/>
  <c r="M22" i="5" s="1"/>
  <c r="S218" i="5"/>
  <c r="M218" i="5" s="1"/>
  <c r="Q218" i="5"/>
  <c r="N218" i="5"/>
  <c r="N285" i="5"/>
  <c r="Q285" i="5"/>
  <c r="S285" i="5"/>
  <c r="Q356" i="5"/>
  <c r="N356" i="5"/>
  <c r="S356" i="5"/>
  <c r="Q86" i="5"/>
  <c r="N86" i="5"/>
  <c r="S86" i="5"/>
  <c r="M86" i="5" s="1"/>
  <c r="S78" i="5"/>
  <c r="M78" i="5" s="1"/>
  <c r="Q78" i="5"/>
  <c r="N78" i="5"/>
  <c r="S29" i="5"/>
  <c r="M141" i="5" s="1"/>
  <c r="Q29" i="5"/>
  <c r="U369" i="9" s="1"/>
  <c r="N369" i="9" s="1"/>
  <c r="N29" i="5"/>
  <c r="S129" i="5"/>
  <c r="M129" i="5" s="1"/>
  <c r="Q129" i="5"/>
  <c r="N129" i="5"/>
  <c r="S229" i="5"/>
  <c r="Q229" i="5"/>
  <c r="N229" i="5"/>
  <c r="S329" i="5"/>
  <c r="Q329" i="5"/>
  <c r="N329" i="5"/>
  <c r="S429" i="5"/>
  <c r="M429" i="5" s="1"/>
  <c r="Q429" i="5"/>
  <c r="N429" i="5"/>
  <c r="Q446" i="5"/>
  <c r="N446" i="5"/>
  <c r="S446" i="5"/>
  <c r="S418" i="5"/>
  <c r="M418" i="5" s="1"/>
  <c r="Q418" i="5"/>
  <c r="N418" i="5"/>
  <c r="N385" i="5"/>
  <c r="Q385" i="5"/>
  <c r="S385" i="5"/>
  <c r="M385" i="5" s="1"/>
  <c r="N485" i="5"/>
  <c r="Q485" i="5"/>
  <c r="S485" i="5"/>
  <c r="M485" i="5" s="1"/>
  <c r="Q117" i="5"/>
  <c r="N117" i="5"/>
  <c r="S117" i="5"/>
  <c r="Q217" i="5"/>
  <c r="N217" i="5"/>
  <c r="S217" i="5"/>
  <c r="M217" i="5" s="1"/>
  <c r="Q317" i="5"/>
  <c r="N317" i="5"/>
  <c r="S317" i="5"/>
  <c r="M317" i="5" s="1"/>
  <c r="Q417" i="5"/>
  <c r="N417" i="5"/>
  <c r="S417" i="5"/>
  <c r="M417" i="5" s="1"/>
  <c r="S508" i="5"/>
  <c r="Q508" i="5"/>
  <c r="N508" i="5"/>
  <c r="M508" i="5"/>
  <c r="S420" i="5"/>
  <c r="M420" i="5" s="1"/>
  <c r="N420" i="5"/>
  <c r="Q420" i="5"/>
  <c r="Q56" i="5"/>
  <c r="N56" i="5"/>
  <c r="S56" i="5"/>
  <c r="C14" i="10"/>
  <c r="B14" i="10"/>
  <c r="B17" i="10"/>
  <c r="C17" i="10"/>
  <c r="C75" i="10"/>
  <c r="B75" i="10"/>
  <c r="C55" i="10"/>
  <c r="B55" i="10"/>
  <c r="B59" i="10"/>
  <c r="C59" i="10"/>
  <c r="C88" i="10"/>
  <c r="B88" i="10"/>
  <c r="C121" i="10"/>
  <c r="B121" i="10"/>
  <c r="B8" i="10"/>
  <c r="C8" i="10"/>
  <c r="B84" i="10"/>
  <c r="C84" i="10"/>
  <c r="B124" i="10"/>
  <c r="C124" i="10"/>
  <c r="C137" i="10"/>
  <c r="B137" i="10"/>
  <c r="B49" i="10"/>
  <c r="C49" i="10"/>
  <c r="C69" i="10"/>
  <c r="B69" i="10"/>
  <c r="C113" i="10"/>
  <c r="B113" i="10"/>
  <c r="C97" i="10"/>
  <c r="B97" i="10"/>
  <c r="S17" i="4"/>
  <c r="S20" i="4"/>
  <c r="AC20" i="6" l="1"/>
  <c r="AA20" i="6"/>
  <c r="H20" i="12"/>
  <c r="E65" i="14"/>
  <c r="F65" i="14" s="1"/>
  <c r="I5" i="4"/>
  <c r="T349" i="9"/>
  <c r="S349" i="9"/>
  <c r="P349" i="9"/>
  <c r="O349" i="9"/>
  <c r="T309" i="9"/>
  <c r="S309" i="9"/>
  <c r="P309" i="9"/>
  <c r="O309" i="9"/>
  <c r="U163" i="9"/>
  <c r="U153" i="9"/>
  <c r="U143" i="9"/>
  <c r="U133" i="9"/>
  <c r="U123" i="9"/>
  <c r="U113" i="9"/>
  <c r="U103" i="9"/>
  <c r="U93" i="9"/>
  <c r="U170" i="9"/>
  <c r="U160" i="9"/>
  <c r="U150" i="9"/>
  <c r="U140" i="9"/>
  <c r="U130" i="9"/>
  <c r="U120" i="9"/>
  <c r="U110" i="9"/>
  <c r="U100" i="9"/>
  <c r="U167" i="9"/>
  <c r="U157" i="9"/>
  <c r="U147" i="9"/>
  <c r="U137" i="9"/>
  <c r="U127" i="9"/>
  <c r="U117" i="9"/>
  <c r="U107" i="9"/>
  <c r="U168" i="9"/>
  <c r="U159" i="9"/>
  <c r="U148" i="9"/>
  <c r="U122" i="9"/>
  <c r="U111" i="9"/>
  <c r="U102" i="9"/>
  <c r="U158" i="9"/>
  <c r="U132" i="9"/>
  <c r="U121" i="9"/>
  <c r="U106" i="9"/>
  <c r="U99" i="9"/>
  <c r="U142" i="9"/>
  <c r="U131" i="9"/>
  <c r="U116" i="9"/>
  <c r="U105" i="9"/>
  <c r="U152" i="9"/>
  <c r="U172" i="9"/>
  <c r="U171" i="9"/>
  <c r="U162" i="9"/>
  <c r="U151" i="9"/>
  <c r="U169" i="9"/>
  <c r="U161" i="9"/>
  <c r="U156" i="9"/>
  <c r="U166" i="9"/>
  <c r="U155" i="9"/>
  <c r="U144" i="9"/>
  <c r="U165" i="9"/>
  <c r="U164" i="9"/>
  <c r="U149" i="9"/>
  <c r="U138" i="9"/>
  <c r="U112" i="9"/>
  <c r="U95" i="9"/>
  <c r="U114" i="9"/>
  <c r="U98" i="9"/>
  <c r="U97" i="9"/>
  <c r="U135" i="9"/>
  <c r="U104" i="9"/>
  <c r="U128" i="9"/>
  <c r="U125" i="9"/>
  <c r="U118" i="9"/>
  <c r="U115" i="9"/>
  <c r="U145" i="9"/>
  <c r="U139" i="9"/>
  <c r="U136" i="9"/>
  <c r="U108" i="9"/>
  <c r="U129" i="9"/>
  <c r="U126" i="9"/>
  <c r="U101" i="9"/>
  <c r="U154" i="9"/>
  <c r="U119" i="9"/>
  <c r="U94" i="9"/>
  <c r="U141" i="9"/>
  <c r="U109" i="9"/>
  <c r="U146" i="9"/>
  <c r="U134" i="9"/>
  <c r="U96" i="9"/>
  <c r="U124" i="9"/>
  <c r="T369" i="9"/>
  <c r="S369" i="9"/>
  <c r="P369" i="9"/>
  <c r="O369" i="9"/>
  <c r="T354" i="9"/>
  <c r="P354" i="9"/>
  <c r="O354" i="9"/>
  <c r="S354" i="9"/>
  <c r="M285" i="5"/>
  <c r="M341" i="5"/>
  <c r="Y84" i="10"/>
  <c r="O84" i="10"/>
  <c r="E84" i="10"/>
  <c r="AE84" i="10"/>
  <c r="T84" i="10"/>
  <c r="I84" i="10"/>
  <c r="AD84" i="10"/>
  <c r="S84" i="10"/>
  <c r="H84" i="10"/>
  <c r="AC84" i="10"/>
  <c r="R84" i="10"/>
  <c r="G84" i="10"/>
  <c r="AG84" i="10"/>
  <c r="P84" i="10"/>
  <c r="N84" i="10"/>
  <c r="AB84" i="10"/>
  <c r="M84" i="10"/>
  <c r="AA84" i="10"/>
  <c r="L84" i="10"/>
  <c r="W84" i="10"/>
  <c r="F84" i="10"/>
  <c r="Q84" i="10"/>
  <c r="Z84" i="10"/>
  <c r="X84" i="10"/>
  <c r="V84" i="10"/>
  <c r="U84" i="10"/>
  <c r="K84" i="10"/>
  <c r="J84" i="10"/>
  <c r="D84" i="10"/>
  <c r="T49" i="10"/>
  <c r="I49" i="10"/>
  <c r="AA49" i="10" s="1"/>
  <c r="S49" i="10"/>
  <c r="G49" i="10"/>
  <c r="Y49" i="10"/>
  <c r="X49" i="10"/>
  <c r="F49" i="10"/>
  <c r="E49" i="10"/>
  <c r="U49" i="10"/>
  <c r="D49" i="10"/>
  <c r="P49" i="10"/>
  <c r="AG49" i="10"/>
  <c r="Z49" i="10"/>
  <c r="Y17" i="10"/>
  <c r="E17" i="10"/>
  <c r="X17" i="10"/>
  <c r="D17" i="10"/>
  <c r="AG17" i="10"/>
  <c r="Z17" i="10"/>
  <c r="P17" i="10"/>
  <c r="I17" i="10"/>
  <c r="G17" i="10"/>
  <c r="H17" i="10" s="1"/>
  <c r="F17" i="10"/>
  <c r="T17" i="10"/>
  <c r="U17" i="10" s="1"/>
  <c r="S17" i="10"/>
  <c r="M284" i="5"/>
  <c r="M144" i="5"/>
  <c r="M263" i="5"/>
  <c r="M241" i="5"/>
  <c r="M382" i="5"/>
  <c r="Y109" i="10"/>
  <c r="O109" i="10"/>
  <c r="E109" i="10"/>
  <c r="Z109" i="10"/>
  <c r="N109" i="10"/>
  <c r="W109" i="10"/>
  <c r="K109" i="10"/>
  <c r="V109" i="10"/>
  <c r="J109" i="10"/>
  <c r="AG109" i="10"/>
  <c r="I109" i="10"/>
  <c r="AB109" i="10"/>
  <c r="H109" i="10"/>
  <c r="AA109" i="10"/>
  <c r="G109" i="10"/>
  <c r="X109" i="10"/>
  <c r="F109" i="10"/>
  <c r="T109" i="10"/>
  <c r="U109" i="10" s="1"/>
  <c r="D109" i="10"/>
  <c r="S109" i="10"/>
  <c r="R109" i="10"/>
  <c r="Q109" i="10"/>
  <c r="AE109" i="10"/>
  <c r="P109" i="10"/>
  <c r="AD109" i="10"/>
  <c r="M109" i="10"/>
  <c r="AC109" i="10"/>
  <c r="L109" i="10"/>
  <c r="T40" i="10"/>
  <c r="S40" i="10"/>
  <c r="G40" i="10"/>
  <c r="H40" i="10" s="1"/>
  <c r="F40" i="10"/>
  <c r="Z40" i="10"/>
  <c r="Y40" i="10"/>
  <c r="X40" i="10"/>
  <c r="I40" i="10"/>
  <c r="AA40" i="10" s="1"/>
  <c r="E40" i="10"/>
  <c r="D40" i="10"/>
  <c r="U40" i="10"/>
  <c r="P40" i="10"/>
  <c r="AG40" i="10"/>
  <c r="M32" i="5"/>
  <c r="M156" i="5"/>
  <c r="M351" i="5"/>
  <c r="M474" i="5"/>
  <c r="U266" i="9"/>
  <c r="N266" i="9" s="1"/>
  <c r="U263" i="9"/>
  <c r="N263" i="9" s="1"/>
  <c r="U261" i="9"/>
  <c r="N261" i="9" s="1"/>
  <c r="U255" i="9"/>
  <c r="N255" i="9" s="1"/>
  <c r="U281" i="9"/>
  <c r="N281" i="9" s="1"/>
  <c r="U371" i="9"/>
  <c r="N371" i="9" s="1"/>
  <c r="P397" i="9"/>
  <c r="O397" i="9"/>
  <c r="T397" i="9"/>
  <c r="R397" i="9"/>
  <c r="O402" i="9"/>
  <c r="T402" i="9"/>
  <c r="R402" i="9"/>
  <c r="P402" i="9"/>
  <c r="U341" i="9"/>
  <c r="N341" i="9" s="1"/>
  <c r="U346" i="9"/>
  <c r="N346" i="9" s="1"/>
  <c r="U276" i="9"/>
  <c r="N276" i="9" s="1"/>
  <c r="T401" i="9"/>
  <c r="R401" i="9"/>
  <c r="P401" i="9"/>
  <c r="O401" i="9"/>
  <c r="U356" i="9"/>
  <c r="N356" i="9" s="1"/>
  <c r="U332" i="9"/>
  <c r="N332" i="9" s="1"/>
  <c r="U297" i="9"/>
  <c r="N297" i="9" s="1"/>
  <c r="P428" i="9"/>
  <c r="O428" i="9"/>
  <c r="T428" i="9"/>
  <c r="R428" i="9"/>
  <c r="U359" i="9"/>
  <c r="N359" i="9" s="1"/>
  <c r="R419" i="9"/>
  <c r="T419" i="9"/>
  <c r="P419" i="9"/>
  <c r="O419" i="9"/>
  <c r="M426" i="5"/>
  <c r="J10" i="12"/>
  <c r="H10" i="12"/>
  <c r="AA10" i="6"/>
  <c r="AC10" i="6"/>
  <c r="M99" i="5"/>
  <c r="M75" i="5"/>
  <c r="M323" i="5"/>
  <c r="M471" i="5"/>
  <c r="M413" i="5"/>
  <c r="AE141" i="10"/>
  <c r="U141" i="10"/>
  <c r="K141" i="10"/>
  <c r="AD141" i="10"/>
  <c r="S141" i="10"/>
  <c r="H141" i="10"/>
  <c r="Z141" i="10"/>
  <c r="N141" i="10"/>
  <c r="AG141" i="10"/>
  <c r="R141" i="10"/>
  <c r="E141" i="10"/>
  <c r="Q141" i="10"/>
  <c r="D141" i="10"/>
  <c r="AC141" i="10"/>
  <c r="P141" i="10"/>
  <c r="AB141" i="10"/>
  <c r="O141" i="10"/>
  <c r="AA141" i="10"/>
  <c r="M141" i="10"/>
  <c r="Y141" i="10"/>
  <c r="L141" i="10"/>
  <c r="X141" i="10"/>
  <c r="J141" i="10"/>
  <c r="W141" i="10"/>
  <c r="I141" i="10"/>
  <c r="V141" i="10"/>
  <c r="T141" i="10"/>
  <c r="G141" i="10"/>
  <c r="F141" i="10"/>
  <c r="M478" i="5"/>
  <c r="M189" i="5"/>
  <c r="M281" i="5"/>
  <c r="AE86" i="10"/>
  <c r="K86" i="10"/>
  <c r="W86" i="10"/>
  <c r="L86" i="10"/>
  <c r="AG86" i="10"/>
  <c r="V86" i="10"/>
  <c r="J86" i="10"/>
  <c r="T86" i="10"/>
  <c r="U86" i="10" s="1"/>
  <c r="I86" i="10"/>
  <c r="AD86" i="10"/>
  <c r="P86" i="10"/>
  <c r="AC86" i="10"/>
  <c r="O86" i="10"/>
  <c r="AB86" i="10"/>
  <c r="N86" i="10"/>
  <c r="AA86" i="10"/>
  <c r="M86" i="10"/>
  <c r="Z86" i="10"/>
  <c r="H86" i="10"/>
  <c r="Y86" i="10"/>
  <c r="G86" i="10"/>
  <c r="X86" i="10"/>
  <c r="F86" i="10"/>
  <c r="Q86" i="10"/>
  <c r="S86" i="10"/>
  <c r="R86" i="10"/>
  <c r="E86" i="10"/>
  <c r="D86" i="10"/>
  <c r="U29" i="10"/>
  <c r="T29" i="10"/>
  <c r="S29" i="10"/>
  <c r="I29" i="10"/>
  <c r="Z29" i="10"/>
  <c r="P29" i="10"/>
  <c r="G29" i="10"/>
  <c r="AG29" i="10"/>
  <c r="F29" i="10"/>
  <c r="Y29" i="10"/>
  <c r="E29" i="10"/>
  <c r="X29" i="10"/>
  <c r="D29" i="10"/>
  <c r="M167" i="5"/>
  <c r="M435" i="5"/>
  <c r="M479" i="5"/>
  <c r="M368" i="5"/>
  <c r="M65" i="5"/>
  <c r="M391" i="5"/>
  <c r="AG140" i="10"/>
  <c r="W140" i="10"/>
  <c r="M140" i="10"/>
  <c r="AC140" i="10"/>
  <c r="R140" i="10"/>
  <c r="G140" i="10"/>
  <c r="U140" i="10"/>
  <c r="I140" i="10"/>
  <c r="X140" i="10"/>
  <c r="J140" i="10"/>
  <c r="V140" i="10"/>
  <c r="H140" i="10"/>
  <c r="T140" i="10"/>
  <c r="F140" i="10"/>
  <c r="S140" i="10"/>
  <c r="E140" i="10"/>
  <c r="AE140" i="10"/>
  <c r="Q140" i="10"/>
  <c r="D140" i="10"/>
  <c r="AD140" i="10"/>
  <c r="P140" i="10"/>
  <c r="AB140" i="10"/>
  <c r="O140" i="10"/>
  <c r="AA140" i="10"/>
  <c r="N140" i="10"/>
  <c r="Z140" i="10"/>
  <c r="Y140" i="10"/>
  <c r="L140" i="10"/>
  <c r="K140" i="10"/>
  <c r="AG115" i="10"/>
  <c r="W115" i="10"/>
  <c r="M115" i="10"/>
  <c r="V115" i="10"/>
  <c r="K115" i="10"/>
  <c r="AC115" i="10"/>
  <c r="Q115" i="10"/>
  <c r="E115" i="10"/>
  <c r="AB115" i="10"/>
  <c r="P115" i="10"/>
  <c r="D115" i="10"/>
  <c r="AA115" i="10"/>
  <c r="O115" i="10"/>
  <c r="AD115" i="10"/>
  <c r="J115" i="10"/>
  <c r="Z115" i="10"/>
  <c r="I115" i="10"/>
  <c r="Y115" i="10"/>
  <c r="H115" i="10"/>
  <c r="X115" i="10"/>
  <c r="G115" i="10"/>
  <c r="U115" i="10"/>
  <c r="F115" i="10"/>
  <c r="T115" i="10"/>
  <c r="S115" i="10"/>
  <c r="R115" i="10"/>
  <c r="N115" i="10"/>
  <c r="AE115" i="10"/>
  <c r="L115" i="10"/>
  <c r="S15" i="10"/>
  <c r="I15" i="10"/>
  <c r="AA15" i="10" s="1"/>
  <c r="Z15" i="10"/>
  <c r="Y15" i="10"/>
  <c r="P15" i="10"/>
  <c r="D15" i="10"/>
  <c r="T15" i="10"/>
  <c r="U15" i="10" s="1"/>
  <c r="AG15" i="10"/>
  <c r="G15" i="10"/>
  <c r="H15" i="10" s="1"/>
  <c r="X15" i="10"/>
  <c r="F15" i="10"/>
  <c r="AB15" i="10" s="1"/>
  <c r="E15" i="10"/>
  <c r="M457" i="5"/>
  <c r="M69" i="5"/>
  <c r="M27" i="5"/>
  <c r="M245" i="5"/>
  <c r="M68" i="5"/>
  <c r="M255" i="5"/>
  <c r="M160" i="5"/>
  <c r="J11" i="12"/>
  <c r="H11" i="12"/>
  <c r="AC11" i="6"/>
  <c r="AA11" i="6"/>
  <c r="M242" i="5"/>
  <c r="M152" i="5"/>
  <c r="AA128" i="10"/>
  <c r="Q128" i="10"/>
  <c r="G128" i="10"/>
  <c r="X128" i="10"/>
  <c r="M128" i="10"/>
  <c r="V128" i="10"/>
  <c r="J128" i="10"/>
  <c r="W128" i="10"/>
  <c r="I128" i="10"/>
  <c r="H128" i="10"/>
  <c r="AG128" i="10"/>
  <c r="T128" i="10"/>
  <c r="U128" i="10" s="1"/>
  <c r="F128" i="10"/>
  <c r="S128" i="10"/>
  <c r="E128" i="10"/>
  <c r="AE128" i="10"/>
  <c r="R128" i="10"/>
  <c r="D128" i="10"/>
  <c r="AD128" i="10"/>
  <c r="P128" i="10"/>
  <c r="AC128" i="10"/>
  <c r="O128" i="10"/>
  <c r="AB128" i="10"/>
  <c r="N128" i="10"/>
  <c r="Z128" i="10"/>
  <c r="Y128" i="10"/>
  <c r="L128" i="10"/>
  <c r="K128" i="10"/>
  <c r="M476" i="5"/>
  <c r="T61" i="10"/>
  <c r="U61" i="10" s="1"/>
  <c r="I61" i="10"/>
  <c r="Y61" i="10"/>
  <c r="X61" i="10"/>
  <c r="E61" i="10"/>
  <c r="S61" i="10"/>
  <c r="D61" i="10"/>
  <c r="AG61" i="10"/>
  <c r="P61" i="10"/>
  <c r="G61" i="10"/>
  <c r="H61" i="10" s="1"/>
  <c r="J61" i="10" s="1"/>
  <c r="Z61" i="10"/>
  <c r="F61" i="10"/>
  <c r="AC102" i="10"/>
  <c r="S102" i="10"/>
  <c r="I102" i="10"/>
  <c r="AA102" i="10"/>
  <c r="P102" i="10"/>
  <c r="E102" i="10"/>
  <c r="Y102" i="10"/>
  <c r="M102" i="10"/>
  <c r="X102" i="10"/>
  <c r="L102" i="10"/>
  <c r="W102" i="10"/>
  <c r="K102" i="10"/>
  <c r="D102" i="10"/>
  <c r="T102" i="10"/>
  <c r="U102" i="10" s="1"/>
  <c r="R102" i="10"/>
  <c r="AG102" i="10"/>
  <c r="Q102" i="10"/>
  <c r="O102" i="10"/>
  <c r="AE102" i="10"/>
  <c r="N102" i="10"/>
  <c r="AD102" i="10"/>
  <c r="J102" i="10"/>
  <c r="AB102" i="10"/>
  <c r="H102" i="10"/>
  <c r="Z102" i="10"/>
  <c r="G102" i="10"/>
  <c r="V102" i="10"/>
  <c r="F102" i="10"/>
  <c r="G26" i="10"/>
  <c r="Z26" i="10"/>
  <c r="P26" i="10"/>
  <c r="F26" i="10"/>
  <c r="Y26" i="10"/>
  <c r="E26" i="10"/>
  <c r="X26" i="10"/>
  <c r="I26" i="10"/>
  <c r="AB26" i="10" s="1"/>
  <c r="AG26" i="10"/>
  <c r="D26" i="10"/>
  <c r="T26" i="10"/>
  <c r="U26" i="10" s="1"/>
  <c r="S26" i="10"/>
  <c r="M354" i="5"/>
  <c r="M121" i="5"/>
  <c r="M362" i="5"/>
  <c r="M339" i="5"/>
  <c r="M7" i="5"/>
  <c r="M480" i="5"/>
  <c r="M373" i="5"/>
  <c r="M331" i="5"/>
  <c r="M454" i="5"/>
  <c r="H37" i="12"/>
  <c r="AA37" i="6"/>
  <c r="AC37" i="6"/>
  <c r="J37" i="12"/>
  <c r="Y44" i="10"/>
  <c r="X44" i="10"/>
  <c r="I44" i="10"/>
  <c r="Z44" i="10"/>
  <c r="G44" i="10"/>
  <c r="T44" i="10"/>
  <c r="U44" i="10" s="1"/>
  <c r="F44" i="10"/>
  <c r="S44" i="10"/>
  <c r="E44" i="10"/>
  <c r="AG44" i="10"/>
  <c r="D44" i="10"/>
  <c r="P44" i="10"/>
  <c r="M475" i="5"/>
  <c r="M26" i="5"/>
  <c r="M302" i="5"/>
  <c r="U289" i="9"/>
  <c r="N289" i="9" s="1"/>
  <c r="U264" i="9"/>
  <c r="N264" i="9" s="1"/>
  <c r="U287" i="9"/>
  <c r="N287" i="9" s="1"/>
  <c r="U269" i="9"/>
  <c r="N269" i="9" s="1"/>
  <c r="U296" i="9"/>
  <c r="N296" i="9" s="1"/>
  <c r="P378" i="9"/>
  <c r="O378" i="9"/>
  <c r="R378" i="9"/>
  <c r="T378" i="9"/>
  <c r="T410" i="9"/>
  <c r="R410" i="9"/>
  <c r="P410" i="9"/>
  <c r="O410" i="9"/>
  <c r="O418" i="9"/>
  <c r="T418" i="9"/>
  <c r="R418" i="9"/>
  <c r="P418" i="9"/>
  <c r="U348" i="9"/>
  <c r="N348" i="9" s="1"/>
  <c r="U353" i="9"/>
  <c r="N353" i="9" s="1"/>
  <c r="U280" i="9"/>
  <c r="N280" i="9" s="1"/>
  <c r="O411" i="9"/>
  <c r="T411" i="9"/>
  <c r="R411" i="9"/>
  <c r="P411" i="9"/>
  <c r="U363" i="9"/>
  <c r="N363" i="9" s="1"/>
  <c r="U361" i="9"/>
  <c r="N361" i="9" s="1"/>
  <c r="U299" i="9"/>
  <c r="N299" i="9" s="1"/>
  <c r="U314" i="9"/>
  <c r="N314" i="9" s="1"/>
  <c r="U364" i="9"/>
  <c r="N364" i="9" s="1"/>
  <c r="T430" i="9"/>
  <c r="R430" i="9"/>
  <c r="P430" i="9"/>
  <c r="O430" i="9"/>
  <c r="AE111" i="10"/>
  <c r="K111" i="10"/>
  <c r="AB111" i="10"/>
  <c r="Q111" i="10"/>
  <c r="F111" i="10"/>
  <c r="V111" i="10"/>
  <c r="I111" i="10"/>
  <c r="AG111" i="10"/>
  <c r="T111" i="10"/>
  <c r="U111" i="10" s="1"/>
  <c r="H111" i="10"/>
  <c r="S111" i="10"/>
  <c r="G111" i="10"/>
  <c r="O111" i="10"/>
  <c r="AD111" i="10"/>
  <c r="N111" i="10"/>
  <c r="AC111" i="10"/>
  <c r="M111" i="10"/>
  <c r="AA111" i="10"/>
  <c r="L111" i="10"/>
  <c r="Z111" i="10"/>
  <c r="J111" i="10"/>
  <c r="Y111" i="10"/>
  <c r="E111" i="10"/>
  <c r="X111" i="10"/>
  <c r="D111" i="10"/>
  <c r="W111" i="10"/>
  <c r="R111" i="10"/>
  <c r="P111" i="10"/>
  <c r="Y79" i="10"/>
  <c r="O79" i="10"/>
  <c r="E79" i="10"/>
  <c r="W79" i="10"/>
  <c r="L79" i="10"/>
  <c r="AG79" i="10"/>
  <c r="V79" i="10"/>
  <c r="K79" i="10"/>
  <c r="H79" i="10"/>
  <c r="T79" i="10"/>
  <c r="U79" i="10" s="1"/>
  <c r="G79" i="10"/>
  <c r="S79" i="10"/>
  <c r="F79" i="10"/>
  <c r="X79" i="10"/>
  <c r="I79" i="10"/>
  <c r="N79" i="10"/>
  <c r="AE79" i="10"/>
  <c r="M79" i="10"/>
  <c r="AD79" i="10"/>
  <c r="J79" i="10"/>
  <c r="AC79" i="10"/>
  <c r="D79" i="10"/>
  <c r="AB79" i="10"/>
  <c r="AA79" i="10"/>
  <c r="Z79" i="10"/>
  <c r="R79" i="10"/>
  <c r="Q79" i="10"/>
  <c r="P79" i="10"/>
  <c r="AC72" i="10"/>
  <c r="S72" i="10"/>
  <c r="I72" i="10"/>
  <c r="Y72" i="10"/>
  <c r="N72" i="10"/>
  <c r="X72" i="10"/>
  <c r="M72" i="10"/>
  <c r="W72" i="10"/>
  <c r="J72" i="10"/>
  <c r="V72" i="10"/>
  <c r="H72" i="10"/>
  <c r="U72" i="10"/>
  <c r="G72" i="10"/>
  <c r="Z72" i="10"/>
  <c r="K72" i="10"/>
  <c r="AD72" i="10"/>
  <c r="E72" i="10"/>
  <c r="AB72" i="10"/>
  <c r="D72" i="10"/>
  <c r="AA72" i="10"/>
  <c r="T72" i="10"/>
  <c r="R72" i="10"/>
  <c r="Q72" i="10"/>
  <c r="P72" i="10"/>
  <c r="AG72" i="10"/>
  <c r="O72" i="10"/>
  <c r="L72" i="10"/>
  <c r="AE72" i="10"/>
  <c r="F72" i="10"/>
  <c r="M205" i="5"/>
  <c r="M215" i="5"/>
  <c r="H22" i="12"/>
  <c r="J22" i="12"/>
  <c r="AA22" i="6"/>
  <c r="AC22" i="6"/>
  <c r="Y144" i="10"/>
  <c r="O144" i="10"/>
  <c r="E144" i="10"/>
  <c r="W144" i="10"/>
  <c r="L144" i="10"/>
  <c r="AC144" i="10"/>
  <c r="Q144" i="10"/>
  <c r="D144" i="10"/>
  <c r="S144" i="10"/>
  <c r="F144" i="10"/>
  <c r="AE144" i="10"/>
  <c r="R144" i="10"/>
  <c r="AD144" i="10"/>
  <c r="P144" i="10"/>
  <c r="AB144" i="10"/>
  <c r="N144" i="10"/>
  <c r="AA144" i="10"/>
  <c r="M144" i="10"/>
  <c r="Z144" i="10"/>
  <c r="K144" i="10"/>
  <c r="X144" i="10"/>
  <c r="J144" i="10"/>
  <c r="V144" i="10"/>
  <c r="I144" i="10"/>
  <c r="AG144" i="10"/>
  <c r="T144" i="10"/>
  <c r="U144" i="10" s="1"/>
  <c r="H144" i="10"/>
  <c r="G144" i="10"/>
  <c r="AG100" i="10"/>
  <c r="W100" i="10"/>
  <c r="M100" i="10"/>
  <c r="Y100" i="10"/>
  <c r="N100" i="10"/>
  <c r="AB100" i="10"/>
  <c r="P100" i="10"/>
  <c r="D100" i="10"/>
  <c r="AA100" i="10"/>
  <c r="O100" i="10"/>
  <c r="Z100" i="10"/>
  <c r="L100" i="10"/>
  <c r="Q100" i="10"/>
  <c r="AE100" i="10"/>
  <c r="K100" i="10"/>
  <c r="AD100" i="10"/>
  <c r="J100" i="10"/>
  <c r="AC100" i="10"/>
  <c r="I100" i="10"/>
  <c r="X100" i="10"/>
  <c r="H100" i="10"/>
  <c r="V100" i="10"/>
  <c r="G100" i="10"/>
  <c r="F100" i="10"/>
  <c r="T100" i="10"/>
  <c r="U100" i="10" s="1"/>
  <c r="E100" i="10"/>
  <c r="S100" i="10"/>
  <c r="R100" i="10"/>
  <c r="G16" i="10"/>
  <c r="H16" i="10" s="1"/>
  <c r="Z16" i="10"/>
  <c r="P16" i="10"/>
  <c r="F16" i="10"/>
  <c r="AG16" i="10"/>
  <c r="U16" i="10"/>
  <c r="I16" i="10"/>
  <c r="T16" i="10"/>
  <c r="S16" i="10"/>
  <c r="E16" i="10"/>
  <c r="D16" i="10"/>
  <c r="Y16" i="10"/>
  <c r="X16" i="10"/>
  <c r="M516" i="5"/>
  <c r="H19" i="12"/>
  <c r="AC19" i="6"/>
  <c r="AA19" i="6"/>
  <c r="J19" i="12"/>
  <c r="Y94" i="10"/>
  <c r="O94" i="10"/>
  <c r="E94" i="10"/>
  <c r="AB94" i="10"/>
  <c r="V94" i="10"/>
  <c r="K94" i="10"/>
  <c r="AG94" i="10"/>
  <c r="U94" i="10"/>
  <c r="J94" i="10"/>
  <c r="T94" i="10"/>
  <c r="I94" i="10"/>
  <c r="AD94" i="10"/>
  <c r="N94" i="10"/>
  <c r="AC94" i="10"/>
  <c r="M94" i="10"/>
  <c r="AA94" i="10"/>
  <c r="L94" i="10"/>
  <c r="Z94" i="10"/>
  <c r="H94" i="10"/>
  <c r="X94" i="10"/>
  <c r="G94" i="10"/>
  <c r="W94" i="10"/>
  <c r="F94" i="10"/>
  <c r="S94" i="10"/>
  <c r="D94" i="10"/>
  <c r="R94" i="10"/>
  <c r="Q94" i="10"/>
  <c r="AE94" i="10"/>
  <c r="P94" i="10"/>
  <c r="G58" i="10"/>
  <c r="AB58" i="10"/>
  <c r="P58" i="10"/>
  <c r="E58" i="10"/>
  <c r="AG58" i="10"/>
  <c r="I58" i="10"/>
  <c r="AA58" i="10" s="1"/>
  <c r="T58" i="10"/>
  <c r="U58" i="10" s="1"/>
  <c r="Z58" i="10"/>
  <c r="Y58" i="10"/>
  <c r="F58" i="10"/>
  <c r="X58" i="10"/>
  <c r="D58" i="10"/>
  <c r="S58" i="10"/>
  <c r="S52" i="10"/>
  <c r="I52" i="10"/>
  <c r="T52" i="10"/>
  <c r="U52" i="10" s="1"/>
  <c r="P52" i="10"/>
  <c r="D52" i="10"/>
  <c r="Z52" i="10"/>
  <c r="Y52" i="10"/>
  <c r="X52" i="10"/>
  <c r="G52" i="10"/>
  <c r="H52" i="10" s="1"/>
  <c r="F52" i="10"/>
  <c r="E52" i="10"/>
  <c r="AG52" i="10"/>
  <c r="AA143" i="10"/>
  <c r="Q143" i="10"/>
  <c r="G143" i="10"/>
  <c r="AG143" i="10"/>
  <c r="V143" i="10"/>
  <c r="K143" i="10"/>
  <c r="X143" i="10"/>
  <c r="L143" i="10"/>
  <c r="W143" i="10"/>
  <c r="I143" i="10"/>
  <c r="U143" i="10"/>
  <c r="H143" i="10"/>
  <c r="T143" i="10"/>
  <c r="F143" i="10"/>
  <c r="S143" i="10"/>
  <c r="E143" i="10"/>
  <c r="AE143" i="10"/>
  <c r="R143" i="10"/>
  <c r="D143" i="10"/>
  <c r="AD143" i="10"/>
  <c r="P143" i="10"/>
  <c r="AC143" i="10"/>
  <c r="O143" i="10"/>
  <c r="AB143" i="10"/>
  <c r="N143" i="10"/>
  <c r="Z143" i="10"/>
  <c r="Y143" i="10"/>
  <c r="M143" i="10"/>
  <c r="J143" i="10"/>
  <c r="AA98" i="10"/>
  <c r="Q98" i="10"/>
  <c r="G98" i="10"/>
  <c r="AG98" i="10"/>
  <c r="V98" i="10"/>
  <c r="K98" i="10"/>
  <c r="AD98" i="10"/>
  <c r="R98" i="10"/>
  <c r="E98" i="10"/>
  <c r="AC98" i="10"/>
  <c r="P98" i="10"/>
  <c r="D98" i="10"/>
  <c r="AB98" i="10"/>
  <c r="O98" i="10"/>
  <c r="Y98" i="10"/>
  <c r="I98" i="10"/>
  <c r="X98" i="10"/>
  <c r="H98" i="10"/>
  <c r="W98" i="10"/>
  <c r="F98" i="10"/>
  <c r="U98" i="10"/>
  <c r="T98" i="10"/>
  <c r="S98" i="10"/>
  <c r="N98" i="10"/>
  <c r="M98" i="10"/>
  <c r="AE98" i="10"/>
  <c r="L98" i="10"/>
  <c r="Z98" i="10"/>
  <c r="J98" i="10"/>
  <c r="G31" i="10"/>
  <c r="Z31" i="10"/>
  <c r="P31" i="10"/>
  <c r="F31" i="10"/>
  <c r="AB31" i="10" s="1"/>
  <c r="Y31" i="10"/>
  <c r="E31" i="10"/>
  <c r="I31" i="10"/>
  <c r="U31" i="10"/>
  <c r="AG31" i="10"/>
  <c r="T31" i="10"/>
  <c r="D31" i="10"/>
  <c r="S31" i="10"/>
  <c r="X31" i="10"/>
  <c r="M148" i="5"/>
  <c r="M269" i="5"/>
  <c r="M374" i="5"/>
  <c r="M53" i="5"/>
  <c r="AG130" i="10"/>
  <c r="W130" i="10"/>
  <c r="M130" i="10"/>
  <c r="AA130" i="10"/>
  <c r="P130" i="10"/>
  <c r="E130" i="10"/>
  <c r="T130" i="10"/>
  <c r="U130" i="10" s="1"/>
  <c r="H130" i="10"/>
  <c r="AB130" i="10"/>
  <c r="N130" i="10"/>
  <c r="Z130" i="10"/>
  <c r="L130" i="10"/>
  <c r="Y130" i="10"/>
  <c r="K130" i="10"/>
  <c r="X130" i="10"/>
  <c r="J130" i="10"/>
  <c r="V130" i="10"/>
  <c r="I130" i="10"/>
  <c r="G130" i="10"/>
  <c r="S130" i="10"/>
  <c r="F130" i="10"/>
  <c r="AE130" i="10"/>
  <c r="R130" i="10"/>
  <c r="D130" i="10"/>
  <c r="AD130" i="10"/>
  <c r="AC130" i="10"/>
  <c r="Q130" i="10"/>
  <c r="O130" i="10"/>
  <c r="S20" i="10"/>
  <c r="I20" i="10"/>
  <c r="AB20" i="10" s="1"/>
  <c r="AA20" i="10"/>
  <c r="AE20" i="10" s="1"/>
  <c r="G20" i="10"/>
  <c r="H20" i="10" s="1"/>
  <c r="P20" i="10"/>
  <c r="AG20" i="10"/>
  <c r="T20" i="10"/>
  <c r="D20" i="10"/>
  <c r="Z20" i="10"/>
  <c r="F20" i="10"/>
  <c r="Y20" i="10"/>
  <c r="E20" i="10"/>
  <c r="X20" i="10"/>
  <c r="U20" i="10"/>
  <c r="M259" i="5"/>
  <c r="M84" i="5"/>
  <c r="M45" i="5"/>
  <c r="M411" i="5"/>
  <c r="M453" i="5"/>
  <c r="M249" i="5"/>
  <c r="M108" i="5"/>
  <c r="AG95" i="10"/>
  <c r="W95" i="10"/>
  <c r="M95" i="10"/>
  <c r="AC95" i="10"/>
  <c r="R95" i="10"/>
  <c r="G95" i="10"/>
  <c r="AA95" i="10"/>
  <c r="O95" i="10"/>
  <c r="Z95" i="10"/>
  <c r="N95" i="10"/>
  <c r="Y95" i="10"/>
  <c r="L95" i="10"/>
  <c r="Q95" i="10"/>
  <c r="P95" i="10"/>
  <c r="AE95" i="10"/>
  <c r="K95" i="10"/>
  <c r="AD95" i="10"/>
  <c r="J95" i="10"/>
  <c r="AB95" i="10"/>
  <c r="I95" i="10"/>
  <c r="X95" i="10"/>
  <c r="H95" i="10"/>
  <c r="V95" i="10"/>
  <c r="F95" i="10"/>
  <c r="E95" i="10"/>
  <c r="T95" i="10"/>
  <c r="U95" i="10" s="1"/>
  <c r="D95" i="10"/>
  <c r="S95" i="10"/>
  <c r="M499" i="5"/>
  <c r="M88" i="5"/>
  <c r="M272" i="5"/>
  <c r="M332" i="5"/>
  <c r="M105" i="5"/>
  <c r="H24" i="12"/>
  <c r="J24" i="12"/>
  <c r="AA24" i="6"/>
  <c r="AC24" i="6"/>
  <c r="M501" i="5"/>
  <c r="U326" i="9"/>
  <c r="N326" i="9" s="1"/>
  <c r="U304" i="9"/>
  <c r="N304" i="9" s="1"/>
  <c r="U336" i="9"/>
  <c r="N336" i="9" s="1"/>
  <c r="U282" i="9"/>
  <c r="N282" i="9" s="1"/>
  <c r="U316" i="9"/>
  <c r="N316" i="9" s="1"/>
  <c r="R385" i="9"/>
  <c r="P385" i="9"/>
  <c r="O385" i="9"/>
  <c r="T385" i="9"/>
  <c r="O431" i="9"/>
  <c r="P431" i="9"/>
  <c r="T431" i="9"/>
  <c r="R431" i="9"/>
  <c r="U350" i="9"/>
  <c r="N350" i="9" s="1"/>
  <c r="U355" i="9"/>
  <c r="N355" i="9" s="1"/>
  <c r="U360" i="9"/>
  <c r="N360" i="9" s="1"/>
  <c r="U290" i="9"/>
  <c r="N290" i="9" s="1"/>
  <c r="R414" i="9"/>
  <c r="P414" i="9"/>
  <c r="O414" i="9"/>
  <c r="T414" i="9"/>
  <c r="U370" i="9"/>
  <c r="N370" i="9" s="1"/>
  <c r="U368" i="9"/>
  <c r="N368" i="9" s="1"/>
  <c r="U301" i="9"/>
  <c r="N301" i="9" s="1"/>
  <c r="U319" i="9"/>
  <c r="N319" i="9" s="1"/>
  <c r="T408" i="9"/>
  <c r="R408" i="9"/>
  <c r="P408" i="9"/>
  <c r="O408" i="9"/>
  <c r="M112" i="5"/>
  <c r="M209" i="5"/>
  <c r="M304" i="5"/>
  <c r="M173" i="5"/>
  <c r="M299" i="5"/>
  <c r="M265" i="5"/>
  <c r="M30" i="5"/>
  <c r="M64" i="5"/>
  <c r="H41" i="12"/>
  <c r="AA41" i="6"/>
  <c r="AC41" i="6"/>
  <c r="J41" i="12"/>
  <c r="M77" i="5"/>
  <c r="M389" i="5"/>
  <c r="M325" i="5"/>
  <c r="M510" i="5"/>
  <c r="M335" i="5"/>
  <c r="M333" i="5"/>
  <c r="M63" i="5"/>
  <c r="M81" i="5"/>
  <c r="H40" i="12"/>
  <c r="AC40" i="6"/>
  <c r="AA40" i="6"/>
  <c r="J40" i="12"/>
  <c r="M367" i="5"/>
  <c r="M468" i="5"/>
  <c r="M318" i="5"/>
  <c r="M328" i="5"/>
  <c r="M195" i="5"/>
  <c r="M124" i="5"/>
  <c r="M363" i="5"/>
  <c r="M191" i="5"/>
  <c r="AG135" i="10"/>
  <c r="W135" i="10"/>
  <c r="M135" i="10"/>
  <c r="V135" i="10"/>
  <c r="K135" i="10"/>
  <c r="T135" i="10"/>
  <c r="H135" i="10"/>
  <c r="AE135" i="10"/>
  <c r="R135" i="10"/>
  <c r="E135" i="10"/>
  <c r="AD135" i="10"/>
  <c r="Q135" i="10"/>
  <c r="D135" i="10"/>
  <c r="AC135" i="10"/>
  <c r="P135" i="10"/>
  <c r="AB135" i="10"/>
  <c r="O135" i="10"/>
  <c r="AA135" i="10"/>
  <c r="N135" i="10"/>
  <c r="Z135" i="10"/>
  <c r="L135" i="10"/>
  <c r="Y135" i="10"/>
  <c r="J135" i="10"/>
  <c r="X135" i="10"/>
  <c r="I135" i="10"/>
  <c r="G135" i="10"/>
  <c r="F135" i="10"/>
  <c r="U135" i="10"/>
  <c r="S135" i="10"/>
  <c r="Y139" i="10"/>
  <c r="O139" i="10"/>
  <c r="E139" i="10"/>
  <c r="AB139" i="10"/>
  <c r="Q139" i="10"/>
  <c r="F139" i="10"/>
  <c r="AC139" i="10"/>
  <c r="P139" i="10"/>
  <c r="AA139" i="10"/>
  <c r="M139" i="10"/>
  <c r="Z139" i="10"/>
  <c r="L139" i="10"/>
  <c r="X139" i="10"/>
  <c r="K139" i="10"/>
  <c r="W139" i="10"/>
  <c r="J139" i="10"/>
  <c r="V139" i="10"/>
  <c r="I139" i="10"/>
  <c r="U139" i="10"/>
  <c r="H139" i="10"/>
  <c r="AG139" i="10"/>
  <c r="T139" i="10"/>
  <c r="G139" i="10"/>
  <c r="S139" i="10"/>
  <c r="D139" i="10"/>
  <c r="R139" i="10"/>
  <c r="N139" i="10"/>
  <c r="AE139" i="10"/>
  <c r="AD139" i="10"/>
  <c r="Y32" i="10"/>
  <c r="E32" i="10"/>
  <c r="X32" i="10"/>
  <c r="D32" i="10"/>
  <c r="AG32" i="10"/>
  <c r="S32" i="10"/>
  <c r="F32" i="10"/>
  <c r="T32" i="10"/>
  <c r="U32" i="10" s="1"/>
  <c r="G32" i="10"/>
  <c r="H32" i="10" s="1"/>
  <c r="J32" i="10" s="1"/>
  <c r="I32" i="10"/>
  <c r="AB32" i="10" s="1"/>
  <c r="Z32" i="10"/>
  <c r="P32" i="10"/>
  <c r="M157" i="5"/>
  <c r="M425" i="5"/>
  <c r="M469" i="5"/>
  <c r="M178" i="5"/>
  <c r="M55" i="5"/>
  <c r="M24" i="5"/>
  <c r="M43" i="5"/>
  <c r="H36" i="12"/>
  <c r="AA36" i="6"/>
  <c r="AC36" i="6"/>
  <c r="J36" i="12"/>
  <c r="M452" i="5"/>
  <c r="AE136" i="10"/>
  <c r="U136" i="10"/>
  <c r="K136" i="10"/>
  <c r="X136" i="10"/>
  <c r="M136" i="10"/>
  <c r="Z136" i="10"/>
  <c r="N136" i="10"/>
  <c r="AB136" i="10"/>
  <c r="O136" i="10"/>
  <c r="AA136" i="10"/>
  <c r="L136" i="10"/>
  <c r="Y136" i="10"/>
  <c r="J136" i="10"/>
  <c r="W136" i="10"/>
  <c r="I136" i="10"/>
  <c r="V136" i="10"/>
  <c r="H136" i="10"/>
  <c r="T136" i="10"/>
  <c r="G136" i="10"/>
  <c r="AG136" i="10"/>
  <c r="S136" i="10"/>
  <c r="F136" i="10"/>
  <c r="R136" i="10"/>
  <c r="E136" i="10"/>
  <c r="AD136" i="10"/>
  <c r="AC136" i="10"/>
  <c r="Q136" i="10"/>
  <c r="P136" i="10"/>
  <c r="D136" i="10"/>
  <c r="M406" i="5"/>
  <c r="M66" i="5"/>
  <c r="M158" i="5"/>
  <c r="M350" i="5"/>
  <c r="Y149" i="10"/>
  <c r="O149" i="10"/>
  <c r="E149" i="10"/>
  <c r="AD149" i="10"/>
  <c r="S149" i="10"/>
  <c r="H149" i="10"/>
  <c r="AC149" i="10"/>
  <c r="Q149" i="10"/>
  <c r="D149" i="10"/>
  <c r="W149" i="10"/>
  <c r="J149" i="10"/>
  <c r="V149" i="10"/>
  <c r="I149" i="10"/>
  <c r="G149" i="10"/>
  <c r="AG149" i="10"/>
  <c r="T149" i="10"/>
  <c r="U149" i="10" s="1"/>
  <c r="F149" i="10"/>
  <c r="R149" i="10"/>
  <c r="AE149" i="10"/>
  <c r="P149" i="10"/>
  <c r="AB149" i="10"/>
  <c r="N149" i="10"/>
  <c r="AA149" i="10"/>
  <c r="M149" i="10"/>
  <c r="Z149" i="10"/>
  <c r="L149" i="10"/>
  <c r="X149" i="10"/>
  <c r="K149" i="10"/>
  <c r="AG90" i="10"/>
  <c r="W90" i="10"/>
  <c r="M90" i="10"/>
  <c r="AB90" i="10"/>
  <c r="Q90" i="10"/>
  <c r="F90" i="10"/>
  <c r="AA90" i="10"/>
  <c r="P90" i="10"/>
  <c r="E90" i="10"/>
  <c r="Z90" i="10"/>
  <c r="O90" i="10"/>
  <c r="D90" i="10"/>
  <c r="AE90" i="10"/>
  <c r="N90" i="10"/>
  <c r="AD90" i="10"/>
  <c r="L90" i="10"/>
  <c r="AC90" i="10"/>
  <c r="K90" i="10"/>
  <c r="Y90" i="10"/>
  <c r="J90" i="10"/>
  <c r="X90" i="10"/>
  <c r="I90" i="10"/>
  <c r="V90" i="10"/>
  <c r="H90" i="10"/>
  <c r="G90" i="10"/>
  <c r="T90" i="10"/>
  <c r="U90" i="10" s="1"/>
  <c r="R90" i="10"/>
  <c r="S90" i="10"/>
  <c r="U19" i="10"/>
  <c r="T19" i="10"/>
  <c r="S19" i="10"/>
  <c r="I19" i="10"/>
  <c r="F19" i="10"/>
  <c r="E19" i="10"/>
  <c r="AG19" i="10"/>
  <c r="D19" i="10"/>
  <c r="G19" i="10"/>
  <c r="Y19" i="10"/>
  <c r="X19" i="10"/>
  <c r="P19" i="10"/>
  <c r="AA19" i="10"/>
  <c r="Z19" i="10"/>
  <c r="M137" i="5"/>
  <c r="M405" i="5"/>
  <c r="M449" i="5"/>
  <c r="M128" i="5"/>
  <c r="M365" i="5"/>
  <c r="M47" i="5"/>
  <c r="M364" i="5"/>
  <c r="M440" i="5"/>
  <c r="M94" i="5"/>
  <c r="M421" i="5"/>
  <c r="M463" i="5"/>
  <c r="H18" i="12"/>
  <c r="AA18" i="6"/>
  <c r="AC18" i="6"/>
  <c r="J18" i="12"/>
  <c r="AA118" i="10"/>
  <c r="Q118" i="10"/>
  <c r="G118" i="10"/>
  <c r="Z118" i="10"/>
  <c r="O118" i="10"/>
  <c r="D118" i="10"/>
  <c r="T118" i="10"/>
  <c r="H118" i="10"/>
  <c r="AE118" i="10"/>
  <c r="S118" i="10"/>
  <c r="F118" i="10"/>
  <c r="AD118" i="10"/>
  <c r="R118" i="10"/>
  <c r="E118" i="10"/>
  <c r="Y118" i="10"/>
  <c r="M118" i="10"/>
  <c r="W118" i="10"/>
  <c r="V118" i="10"/>
  <c r="U118" i="10"/>
  <c r="P118" i="10"/>
  <c r="N118" i="10"/>
  <c r="L118" i="10"/>
  <c r="AG118" i="10"/>
  <c r="K118" i="10"/>
  <c r="AC118" i="10"/>
  <c r="J118" i="10"/>
  <c r="AB118" i="10"/>
  <c r="I118" i="10"/>
  <c r="X118" i="10"/>
  <c r="AE71" i="10"/>
  <c r="K71" i="10"/>
  <c r="X71" i="10"/>
  <c r="M71" i="10"/>
  <c r="W71" i="10"/>
  <c r="L71" i="10"/>
  <c r="AB71" i="10"/>
  <c r="O71" i="10"/>
  <c r="AA71" i="10"/>
  <c r="N71" i="10"/>
  <c r="Z71" i="10"/>
  <c r="J71" i="10"/>
  <c r="AC71" i="10"/>
  <c r="P71" i="10"/>
  <c r="Q71" i="10"/>
  <c r="I71" i="10"/>
  <c r="AG71" i="10"/>
  <c r="H71" i="10"/>
  <c r="G71" i="10"/>
  <c r="AD71" i="10"/>
  <c r="F71" i="10"/>
  <c r="Y71" i="10"/>
  <c r="E71" i="10"/>
  <c r="V71" i="10"/>
  <c r="D71" i="10"/>
  <c r="T71" i="10"/>
  <c r="U71" i="10" s="1"/>
  <c r="S71" i="10"/>
  <c r="R71" i="10"/>
  <c r="M227" i="5"/>
  <c r="M394" i="5"/>
  <c r="M131" i="5"/>
  <c r="H25" i="12"/>
  <c r="J25" i="12"/>
  <c r="AC25" i="6"/>
  <c r="AA25" i="6"/>
  <c r="AC137" i="10"/>
  <c r="S137" i="10"/>
  <c r="I137" i="10"/>
  <c r="Y137" i="10"/>
  <c r="N137" i="10"/>
  <c r="AE137" i="10"/>
  <c r="R137" i="10"/>
  <c r="F137" i="10"/>
  <c r="W137" i="10"/>
  <c r="J137" i="10"/>
  <c r="V137" i="10"/>
  <c r="H137" i="10"/>
  <c r="U137" i="10"/>
  <c r="G137" i="10"/>
  <c r="AG137" i="10"/>
  <c r="T137" i="10"/>
  <c r="E137" i="10"/>
  <c r="Q137" i="10"/>
  <c r="D137" i="10"/>
  <c r="AD137" i="10"/>
  <c r="P137" i="10"/>
  <c r="AB137" i="10"/>
  <c r="O137" i="10"/>
  <c r="AA137" i="10"/>
  <c r="M137" i="10"/>
  <c r="L137" i="10"/>
  <c r="K137" i="10"/>
  <c r="Z137" i="10"/>
  <c r="X137" i="10"/>
  <c r="AA88" i="10"/>
  <c r="Q88" i="10"/>
  <c r="G88" i="10"/>
  <c r="Y88" i="10"/>
  <c r="N88" i="10"/>
  <c r="X88" i="10"/>
  <c r="M88" i="10"/>
  <c r="W88" i="10"/>
  <c r="L88" i="10"/>
  <c r="AE88" i="10"/>
  <c r="P88" i="10"/>
  <c r="AD88" i="10"/>
  <c r="O88" i="10"/>
  <c r="AC88" i="10"/>
  <c r="K88" i="10"/>
  <c r="AB88" i="10"/>
  <c r="J88" i="10"/>
  <c r="Z88" i="10"/>
  <c r="I88" i="10"/>
  <c r="V88" i="10"/>
  <c r="H88" i="10"/>
  <c r="F88" i="10"/>
  <c r="R88" i="10"/>
  <c r="AG88" i="10"/>
  <c r="T88" i="10"/>
  <c r="U88" i="10" s="1"/>
  <c r="S88" i="10"/>
  <c r="E88" i="10"/>
  <c r="D88" i="10"/>
  <c r="T14" i="10"/>
  <c r="U14" i="10" s="1"/>
  <c r="I14" i="10"/>
  <c r="AG14" i="10"/>
  <c r="S14" i="10"/>
  <c r="G14" i="10"/>
  <c r="X14" i="10"/>
  <c r="F14" i="10"/>
  <c r="E14" i="10"/>
  <c r="Z14" i="10"/>
  <c r="D14" i="10"/>
  <c r="Y14" i="10"/>
  <c r="P14" i="10"/>
  <c r="M161" i="5"/>
  <c r="M487" i="5"/>
  <c r="M275" i="5"/>
  <c r="M271" i="5"/>
  <c r="AC97" i="10"/>
  <c r="S97" i="10"/>
  <c r="I97" i="10"/>
  <c r="J97" i="10"/>
  <c r="Y97" i="10"/>
  <c r="M97" i="10"/>
  <c r="X97" i="10"/>
  <c r="L97" i="10"/>
  <c r="W97" i="10"/>
  <c r="K97" i="10"/>
  <c r="V97" i="10"/>
  <c r="E97" i="10"/>
  <c r="T97" i="10"/>
  <c r="U97" i="10" s="1"/>
  <c r="D97" i="10"/>
  <c r="R97" i="10"/>
  <c r="Q97" i="10"/>
  <c r="AG97" i="10"/>
  <c r="P97" i="10"/>
  <c r="AE97" i="10"/>
  <c r="O97" i="10"/>
  <c r="AD97" i="10"/>
  <c r="N97" i="10"/>
  <c r="AB97" i="10"/>
  <c r="H97" i="10"/>
  <c r="AA97" i="10"/>
  <c r="G97" i="10"/>
  <c r="Z97" i="10"/>
  <c r="F97" i="10"/>
  <c r="M31" i="5"/>
  <c r="AC87" i="10"/>
  <c r="S87" i="10"/>
  <c r="I87" i="10"/>
  <c r="X87" i="10"/>
  <c r="M87" i="10"/>
  <c r="W87" i="10"/>
  <c r="L87" i="10"/>
  <c r="AG87" i="10"/>
  <c r="V87" i="10"/>
  <c r="K87" i="10"/>
  <c r="AE87" i="10"/>
  <c r="P87" i="10"/>
  <c r="AD87" i="10"/>
  <c r="O87" i="10"/>
  <c r="AB87" i="10"/>
  <c r="N87" i="10"/>
  <c r="AA87" i="10"/>
  <c r="J87" i="10"/>
  <c r="Z87" i="10"/>
  <c r="H87" i="10"/>
  <c r="Y87" i="10"/>
  <c r="G87" i="10"/>
  <c r="U87" i="10"/>
  <c r="F87" i="10"/>
  <c r="Q87" i="10"/>
  <c r="D87" i="10"/>
  <c r="T87" i="10"/>
  <c r="R87" i="10"/>
  <c r="E87" i="10"/>
  <c r="U333" i="9"/>
  <c r="N333" i="9" s="1"/>
  <c r="U312" i="9"/>
  <c r="N312" i="9" s="1"/>
  <c r="U257" i="9"/>
  <c r="N257" i="9" s="1"/>
  <c r="U279" i="9"/>
  <c r="N279" i="9" s="1"/>
  <c r="U323" i="9"/>
  <c r="N323" i="9" s="1"/>
  <c r="R392" i="9"/>
  <c r="P392" i="9"/>
  <c r="O392" i="9"/>
  <c r="T392" i="9"/>
  <c r="U331" i="9"/>
  <c r="N331" i="9" s="1"/>
  <c r="U357" i="9"/>
  <c r="N357" i="9" s="1"/>
  <c r="U362" i="9"/>
  <c r="N362" i="9" s="1"/>
  <c r="U367" i="9"/>
  <c r="N367" i="9" s="1"/>
  <c r="U310" i="9"/>
  <c r="N310" i="9" s="1"/>
  <c r="U259" i="9"/>
  <c r="N259" i="9" s="1"/>
  <c r="T377" i="9"/>
  <c r="R377" i="9"/>
  <c r="P377" i="9"/>
  <c r="O377" i="9"/>
  <c r="T375" i="9"/>
  <c r="R375" i="9"/>
  <c r="P375" i="9"/>
  <c r="O375" i="9"/>
  <c r="U303" i="9"/>
  <c r="N303" i="9" s="1"/>
  <c r="U324" i="9"/>
  <c r="N324" i="9" s="1"/>
  <c r="T374" i="9"/>
  <c r="R374" i="9"/>
  <c r="P374" i="9"/>
  <c r="O374" i="9"/>
  <c r="O421" i="9"/>
  <c r="T421" i="9"/>
  <c r="R421" i="9"/>
  <c r="P421" i="9"/>
  <c r="Z37" i="10"/>
  <c r="P37" i="10"/>
  <c r="F37" i="10"/>
  <c r="D37" i="10"/>
  <c r="Y37" i="10"/>
  <c r="X37" i="10"/>
  <c r="I37" i="10"/>
  <c r="G37" i="10"/>
  <c r="H37" i="10" s="1"/>
  <c r="AG37" i="10"/>
  <c r="E37" i="10"/>
  <c r="T37" i="10"/>
  <c r="U37" i="10" s="1"/>
  <c r="S37" i="10"/>
  <c r="C5" i="12"/>
  <c r="H7" i="12"/>
  <c r="AC7" i="6"/>
  <c r="AA7" i="6"/>
  <c r="J7" i="12"/>
  <c r="AE156" i="10"/>
  <c r="U156" i="10"/>
  <c r="K156" i="10"/>
  <c r="AB156" i="10"/>
  <c r="Q156" i="10"/>
  <c r="F156" i="10"/>
  <c r="AA156" i="10"/>
  <c r="O156" i="10"/>
  <c r="AG156" i="10"/>
  <c r="S156" i="10"/>
  <c r="E156" i="10"/>
  <c r="R156" i="10"/>
  <c r="D156" i="10"/>
  <c r="AD156" i="10"/>
  <c r="P156" i="10"/>
  <c r="AC156" i="10"/>
  <c r="N156" i="10"/>
  <c r="Z156" i="10"/>
  <c r="M156" i="10"/>
  <c r="Y156" i="10"/>
  <c r="L156" i="10"/>
  <c r="X156" i="10"/>
  <c r="J156" i="10"/>
  <c r="W156" i="10"/>
  <c r="I156" i="10"/>
  <c r="V156" i="10"/>
  <c r="H156" i="10"/>
  <c r="G156" i="10"/>
  <c r="T156" i="10"/>
  <c r="T50" i="10"/>
  <c r="AG50" i="10"/>
  <c r="U50" i="10"/>
  <c r="I50" i="10"/>
  <c r="S50" i="10"/>
  <c r="Y50" i="10"/>
  <c r="G50" i="10"/>
  <c r="X50" i="10"/>
  <c r="F50" i="10"/>
  <c r="E50" i="10"/>
  <c r="D50" i="10"/>
  <c r="P50" i="10"/>
  <c r="Z50" i="10"/>
  <c r="AG65" i="10"/>
  <c r="W65" i="10"/>
  <c r="M65" i="10"/>
  <c r="AA65" i="10"/>
  <c r="P65" i="10"/>
  <c r="E65" i="10"/>
  <c r="Z65" i="10"/>
  <c r="O65" i="10"/>
  <c r="D65" i="10"/>
  <c r="Y65" i="10"/>
  <c r="K65" i="10"/>
  <c r="X65" i="10"/>
  <c r="J65" i="10"/>
  <c r="V65" i="10"/>
  <c r="I65" i="10"/>
  <c r="AB65" i="10"/>
  <c r="L65" i="10"/>
  <c r="T65" i="10"/>
  <c r="U65" i="10" s="1"/>
  <c r="S65" i="10"/>
  <c r="R65" i="10"/>
  <c r="Q65" i="10"/>
  <c r="N65" i="10"/>
  <c r="H65" i="10"/>
  <c r="AE65" i="10"/>
  <c r="G65" i="10"/>
  <c r="AD65" i="10"/>
  <c r="F65" i="10"/>
  <c r="AC65" i="10"/>
  <c r="AG155" i="10"/>
  <c r="W155" i="10"/>
  <c r="M155" i="10"/>
  <c r="AA155" i="10"/>
  <c r="P155" i="10"/>
  <c r="E155" i="10"/>
  <c r="V155" i="10"/>
  <c r="J155" i="10"/>
  <c r="X155" i="10"/>
  <c r="I155" i="10"/>
  <c r="U155" i="10"/>
  <c r="H155" i="10"/>
  <c r="T155" i="10"/>
  <c r="G155" i="10"/>
  <c r="S155" i="10"/>
  <c r="F155" i="10"/>
  <c r="AE155" i="10"/>
  <c r="R155" i="10"/>
  <c r="D155" i="10"/>
  <c r="AD155" i="10"/>
  <c r="Q155" i="10"/>
  <c r="AC155" i="10"/>
  <c r="O155" i="10"/>
  <c r="AB155" i="10"/>
  <c r="N155" i="10"/>
  <c r="Z155" i="10"/>
  <c r="L155" i="10"/>
  <c r="Y155" i="10"/>
  <c r="K155" i="10"/>
  <c r="AA103" i="10"/>
  <c r="Q103" i="10"/>
  <c r="G103" i="10"/>
  <c r="AC103" i="10"/>
  <c r="R103" i="10"/>
  <c r="F103" i="10"/>
  <c r="AE103" i="10"/>
  <c r="S103" i="10"/>
  <c r="E103" i="10"/>
  <c r="AD103" i="10"/>
  <c r="P103" i="10"/>
  <c r="D103" i="10"/>
  <c r="AB103" i="10"/>
  <c r="O103" i="10"/>
  <c r="X103" i="10"/>
  <c r="I103" i="10"/>
  <c r="W103" i="10"/>
  <c r="H103" i="10"/>
  <c r="V103" i="10"/>
  <c r="U103" i="10"/>
  <c r="T103" i="10"/>
  <c r="N103" i="10"/>
  <c r="AG103" i="10"/>
  <c r="M103" i="10"/>
  <c r="L103" i="10"/>
  <c r="Z103" i="10"/>
  <c r="K103" i="10"/>
  <c r="Y103" i="10"/>
  <c r="J103" i="10"/>
  <c r="M37" i="5"/>
  <c r="H38" i="12"/>
  <c r="AC38" i="6"/>
  <c r="AA38" i="6"/>
  <c r="J38" i="12"/>
  <c r="AC147" i="10"/>
  <c r="S147" i="10"/>
  <c r="I147" i="10"/>
  <c r="AA147" i="10"/>
  <c r="P147" i="10"/>
  <c r="E147" i="10"/>
  <c r="T147" i="10"/>
  <c r="G147" i="10"/>
  <c r="AG147" i="10"/>
  <c r="R147" i="10"/>
  <c r="D147" i="10"/>
  <c r="AE147" i="10"/>
  <c r="Q147" i="10"/>
  <c r="AD147" i="10"/>
  <c r="O147" i="10"/>
  <c r="AB147" i="10"/>
  <c r="N147" i="10"/>
  <c r="Z147" i="10"/>
  <c r="M147" i="10"/>
  <c r="Y147" i="10"/>
  <c r="L147" i="10"/>
  <c r="X147" i="10"/>
  <c r="K147" i="10"/>
  <c r="W147" i="10"/>
  <c r="J147" i="10"/>
  <c r="V147" i="10"/>
  <c r="U147" i="10"/>
  <c r="H147" i="10"/>
  <c r="F147" i="10"/>
  <c r="AA148" i="10"/>
  <c r="Q148" i="10"/>
  <c r="G148" i="10"/>
  <c r="AC148" i="10"/>
  <c r="R148" i="10"/>
  <c r="F148" i="10"/>
  <c r="X148" i="10"/>
  <c r="L148" i="10"/>
  <c r="AB148" i="10"/>
  <c r="N148" i="10"/>
  <c r="Z148" i="10"/>
  <c r="M148" i="10"/>
  <c r="Y148" i="10"/>
  <c r="K148" i="10"/>
  <c r="W148" i="10"/>
  <c r="J148" i="10"/>
  <c r="V148" i="10"/>
  <c r="I148" i="10"/>
  <c r="U148" i="10"/>
  <c r="H148" i="10"/>
  <c r="AG148" i="10"/>
  <c r="T148" i="10"/>
  <c r="E148" i="10"/>
  <c r="S148" i="10"/>
  <c r="D148" i="10"/>
  <c r="AE148" i="10"/>
  <c r="AD148" i="10"/>
  <c r="P148" i="10"/>
  <c r="O148" i="10"/>
  <c r="AC62" i="10"/>
  <c r="S62" i="10"/>
  <c r="I62" i="10"/>
  <c r="AG62" i="10"/>
  <c r="V62" i="10"/>
  <c r="K62" i="10"/>
  <c r="AD62" i="10"/>
  <c r="Q62" i="10"/>
  <c r="E62" i="10"/>
  <c r="AB62" i="10"/>
  <c r="P62" i="10"/>
  <c r="D62" i="10"/>
  <c r="AA62" i="10"/>
  <c r="O62" i="10"/>
  <c r="AE62" i="10"/>
  <c r="R62" i="10"/>
  <c r="F62" i="10"/>
  <c r="J62" i="10"/>
  <c r="Z62" i="10"/>
  <c r="H62" i="10"/>
  <c r="Y62" i="10"/>
  <c r="G62" i="10"/>
  <c r="X62" i="10"/>
  <c r="W62" i="10"/>
  <c r="T62" i="10"/>
  <c r="U62" i="10" s="1"/>
  <c r="N62" i="10"/>
  <c r="M62" i="10"/>
  <c r="L62" i="10"/>
  <c r="M330" i="5"/>
  <c r="E57" i="14"/>
  <c r="L29" i="12"/>
  <c r="L19" i="12"/>
  <c r="L32" i="12"/>
  <c r="L22" i="12"/>
  <c r="L41" i="12"/>
  <c r="L35" i="12"/>
  <c r="L40" i="12"/>
  <c r="L37" i="12"/>
  <c r="L27" i="12"/>
  <c r="L14" i="12"/>
  <c r="L7" i="12"/>
  <c r="I5" i="12"/>
  <c r="L17" i="12"/>
  <c r="L25" i="12"/>
  <c r="L16" i="12"/>
  <c r="L15" i="12"/>
  <c r="L12" i="12"/>
  <c r="L24" i="12"/>
  <c r="L30" i="12"/>
  <c r="L39" i="12"/>
  <c r="L23" i="12"/>
  <c r="L26" i="12"/>
  <c r="L33" i="12"/>
  <c r="L38" i="12"/>
  <c r="L34" i="12"/>
  <c r="L18" i="12"/>
  <c r="L13" i="12"/>
  <c r="L36" i="12"/>
  <c r="L9" i="12"/>
  <c r="L31" i="12"/>
  <c r="L8" i="12"/>
  <c r="L20" i="12"/>
  <c r="L28" i="12"/>
  <c r="L42" i="12"/>
  <c r="L11" i="12"/>
  <c r="L21" i="12"/>
  <c r="L10" i="12"/>
  <c r="AA123" i="10"/>
  <c r="Q123" i="10"/>
  <c r="G123" i="10"/>
  <c r="AC123" i="10"/>
  <c r="R123" i="10"/>
  <c r="F123" i="10"/>
  <c r="V123" i="10"/>
  <c r="J123" i="10"/>
  <c r="S123" i="10"/>
  <c r="D123" i="10"/>
  <c r="AE123" i="10"/>
  <c r="P123" i="10"/>
  <c r="AD123" i="10"/>
  <c r="O123" i="10"/>
  <c r="AB123" i="10"/>
  <c r="N123" i="10"/>
  <c r="Z123" i="10"/>
  <c r="M123" i="10"/>
  <c r="Y123" i="10"/>
  <c r="L123" i="10"/>
  <c r="W123" i="10"/>
  <c r="I123" i="10"/>
  <c r="U123" i="10"/>
  <c r="T123" i="10"/>
  <c r="K123" i="10"/>
  <c r="H123" i="10"/>
  <c r="E123" i="10"/>
  <c r="AG123" i="10"/>
  <c r="X123" i="10"/>
  <c r="AG60" i="10"/>
  <c r="S60" i="10"/>
  <c r="T60" i="10"/>
  <c r="U60" i="10" s="1"/>
  <c r="G60" i="10"/>
  <c r="F60" i="10"/>
  <c r="E60" i="10"/>
  <c r="P60" i="10"/>
  <c r="Z60" i="10"/>
  <c r="Y60" i="10"/>
  <c r="I60" i="10"/>
  <c r="AA60" i="10" s="1"/>
  <c r="X60" i="10"/>
  <c r="D60" i="10"/>
  <c r="Z11" i="10"/>
  <c r="P11" i="10"/>
  <c r="F11" i="10"/>
  <c r="AA11" i="10" s="1"/>
  <c r="AG11" i="10"/>
  <c r="U11" i="10"/>
  <c r="I11" i="10"/>
  <c r="AB11" i="10" s="1"/>
  <c r="Y11" i="10"/>
  <c r="X11" i="10"/>
  <c r="G11" i="10"/>
  <c r="H11" i="10" s="1"/>
  <c r="J11" i="10" s="1"/>
  <c r="T11" i="10"/>
  <c r="E11" i="10"/>
  <c r="S11" i="10"/>
  <c r="D11" i="10"/>
  <c r="M147" i="5"/>
  <c r="E25" i="14"/>
  <c r="F25" i="14" s="1"/>
  <c r="I25" i="14"/>
  <c r="O30" i="1"/>
  <c r="I64" i="14"/>
  <c r="E64" i="14"/>
  <c r="F64" i="14" s="1"/>
  <c r="H8" i="12"/>
  <c r="J8" i="12"/>
  <c r="AC8" i="6"/>
  <c r="AA8" i="6"/>
  <c r="AC77" i="10"/>
  <c r="S77" i="10"/>
  <c r="I77" i="10"/>
  <c r="U77" i="10"/>
  <c r="J77" i="10"/>
  <c r="AE77" i="10"/>
  <c r="T77" i="10"/>
  <c r="H77" i="10"/>
  <c r="AD77" i="10"/>
  <c r="P77" i="10"/>
  <c r="AB77" i="10"/>
  <c r="O77" i="10"/>
  <c r="AA77" i="10"/>
  <c r="N77" i="10"/>
  <c r="AG77" i="10"/>
  <c r="Q77" i="10"/>
  <c r="D77" i="10"/>
  <c r="G77" i="10"/>
  <c r="Z77" i="10"/>
  <c r="F77" i="10"/>
  <c r="Y77" i="10"/>
  <c r="E77" i="10"/>
  <c r="X77" i="10"/>
  <c r="W77" i="10"/>
  <c r="V77" i="10"/>
  <c r="R77" i="10"/>
  <c r="M77" i="10"/>
  <c r="L77" i="10"/>
  <c r="K77" i="10"/>
  <c r="AG13" i="10"/>
  <c r="E13" i="10"/>
  <c r="P13" i="10"/>
  <c r="D13" i="10"/>
  <c r="T13" i="10"/>
  <c r="U13" i="10" s="1"/>
  <c r="S13" i="10"/>
  <c r="Z13" i="10"/>
  <c r="I13" i="10"/>
  <c r="AA13" i="10" s="1"/>
  <c r="Y13" i="10"/>
  <c r="X13" i="10"/>
  <c r="G13" i="10"/>
  <c r="H13" i="10" s="1"/>
  <c r="F13" i="10"/>
  <c r="T45" i="10"/>
  <c r="Z45" i="10"/>
  <c r="D45" i="10"/>
  <c r="Y45" i="10"/>
  <c r="X45" i="10"/>
  <c r="AA45" i="10"/>
  <c r="I45" i="10"/>
  <c r="AB45" i="10" s="1"/>
  <c r="G45" i="10"/>
  <c r="H45" i="10" s="1"/>
  <c r="U45" i="10"/>
  <c r="F45" i="10"/>
  <c r="S45" i="10"/>
  <c r="E45" i="10"/>
  <c r="AG45" i="10"/>
  <c r="P45" i="10"/>
  <c r="M130" i="5"/>
  <c r="M132" i="5"/>
  <c r="M123" i="5"/>
  <c r="M451" i="5"/>
  <c r="M393" i="5"/>
  <c r="U267" i="9"/>
  <c r="N267" i="9" s="1"/>
  <c r="U335" i="9"/>
  <c r="N335" i="9" s="1"/>
  <c r="U258" i="9"/>
  <c r="N258" i="9" s="1"/>
  <c r="U300" i="9"/>
  <c r="N300" i="9" s="1"/>
  <c r="U330" i="9"/>
  <c r="N330" i="9" s="1"/>
  <c r="R420" i="9"/>
  <c r="P420" i="9"/>
  <c r="O420" i="9"/>
  <c r="T420" i="9"/>
  <c r="U338" i="9"/>
  <c r="N338" i="9" s="1"/>
  <c r="T386" i="9"/>
  <c r="R386" i="9"/>
  <c r="P386" i="9"/>
  <c r="O386" i="9"/>
  <c r="T391" i="9"/>
  <c r="R391" i="9"/>
  <c r="P391" i="9"/>
  <c r="O391" i="9"/>
  <c r="T396" i="9"/>
  <c r="R396" i="9"/>
  <c r="P396" i="9"/>
  <c r="O396" i="9"/>
  <c r="U315" i="9"/>
  <c r="N315" i="9" s="1"/>
  <c r="U262" i="9"/>
  <c r="N262" i="9" s="1"/>
  <c r="U265" i="9"/>
  <c r="N265" i="9" s="1"/>
  <c r="T382" i="9"/>
  <c r="R382" i="9"/>
  <c r="P382" i="9"/>
  <c r="O382" i="9"/>
  <c r="U305" i="9"/>
  <c r="N305" i="9" s="1"/>
  <c r="U329" i="9"/>
  <c r="N329" i="9" s="1"/>
  <c r="T379" i="9"/>
  <c r="R379" i="9"/>
  <c r="P379" i="9"/>
  <c r="O379" i="9"/>
  <c r="P407" i="9"/>
  <c r="O407" i="9"/>
  <c r="T407" i="9"/>
  <c r="R407" i="9"/>
  <c r="G39" i="10"/>
  <c r="F39" i="10"/>
  <c r="P39" i="10"/>
  <c r="E39" i="10"/>
  <c r="Z39" i="10"/>
  <c r="Y39" i="10"/>
  <c r="X39" i="10"/>
  <c r="I39" i="10"/>
  <c r="D39" i="10"/>
  <c r="T39" i="10"/>
  <c r="U39" i="10" s="1"/>
  <c r="S39" i="10"/>
  <c r="AG39" i="10"/>
  <c r="AA108" i="10"/>
  <c r="Q108" i="10"/>
  <c r="G108" i="10"/>
  <c r="X108" i="10"/>
  <c r="M108" i="10"/>
  <c r="AE108" i="10"/>
  <c r="S108" i="10"/>
  <c r="F108" i="10"/>
  <c r="AD108" i="10"/>
  <c r="R108" i="10"/>
  <c r="E108" i="10"/>
  <c r="AC108" i="10"/>
  <c r="P108" i="10"/>
  <c r="D108" i="10"/>
  <c r="W108" i="10"/>
  <c r="H108" i="10"/>
  <c r="V108" i="10"/>
  <c r="T108" i="10"/>
  <c r="U108" i="10" s="1"/>
  <c r="O108" i="10"/>
  <c r="AG108" i="10"/>
  <c r="N108" i="10"/>
  <c r="L108" i="10"/>
  <c r="AB108" i="10"/>
  <c r="K108" i="10"/>
  <c r="Z108" i="10"/>
  <c r="J108" i="10"/>
  <c r="Y108" i="10"/>
  <c r="I108" i="10"/>
  <c r="M42" i="5"/>
  <c r="M183" i="5"/>
  <c r="M293" i="5"/>
  <c r="M303" i="5"/>
  <c r="M461" i="5"/>
  <c r="M403" i="5"/>
  <c r="M422" i="5"/>
  <c r="M184" i="5"/>
  <c r="M187" i="5"/>
  <c r="M507" i="5"/>
  <c r="M198" i="5"/>
  <c r="M208" i="5"/>
  <c r="M71" i="5"/>
  <c r="H14" i="12"/>
  <c r="AA14" i="6"/>
  <c r="AC14" i="6"/>
  <c r="G11" i="1"/>
  <c r="J14" i="12"/>
  <c r="T35" i="10"/>
  <c r="U35" i="10" s="1"/>
  <c r="X35" i="10"/>
  <c r="AG35" i="10"/>
  <c r="I35" i="10"/>
  <c r="AA35" i="10" s="1"/>
  <c r="Z35" i="10"/>
  <c r="P35" i="10"/>
  <c r="G35" i="10"/>
  <c r="H35" i="10" s="1"/>
  <c r="F35" i="10"/>
  <c r="E35" i="10"/>
  <c r="D35" i="10"/>
  <c r="Y35" i="10"/>
  <c r="S35" i="10"/>
  <c r="H26" i="12"/>
  <c r="AA26" i="6"/>
  <c r="AC26" i="6"/>
  <c r="J26" i="12"/>
  <c r="AE126" i="10"/>
  <c r="U126" i="10"/>
  <c r="K126" i="10"/>
  <c r="AG126" i="10"/>
  <c r="V126" i="10"/>
  <c r="J126" i="10"/>
  <c r="Y126" i="10"/>
  <c r="M126" i="10"/>
  <c r="R126" i="10"/>
  <c r="E126" i="10"/>
  <c r="AD126" i="10"/>
  <c r="Q126" i="10"/>
  <c r="D126" i="10"/>
  <c r="AC126" i="10"/>
  <c r="P126" i="10"/>
  <c r="AB126" i="10"/>
  <c r="O126" i="10"/>
  <c r="AA126" i="10"/>
  <c r="N126" i="10"/>
  <c r="Z126" i="10"/>
  <c r="L126" i="10"/>
  <c r="X126" i="10"/>
  <c r="I126" i="10"/>
  <c r="W126" i="10"/>
  <c r="H126" i="10"/>
  <c r="T126" i="10"/>
  <c r="S126" i="10"/>
  <c r="G126" i="10"/>
  <c r="F126" i="10"/>
  <c r="AC67" i="10"/>
  <c r="S67" i="10"/>
  <c r="I67" i="10"/>
  <c r="AD67" i="10"/>
  <c r="R67" i="10"/>
  <c r="G67" i="10"/>
  <c r="AB67" i="10"/>
  <c r="Q67" i="10"/>
  <c r="F67" i="10"/>
  <c r="P67" i="10"/>
  <c r="AE67" i="10"/>
  <c r="O67" i="10"/>
  <c r="AA67" i="10"/>
  <c r="N67" i="10"/>
  <c r="AG67" i="10"/>
  <c r="T67" i="10"/>
  <c r="U67" i="10" s="1"/>
  <c r="D67" i="10"/>
  <c r="Y67" i="10"/>
  <c r="E67" i="10"/>
  <c r="X67" i="10"/>
  <c r="W67" i="10"/>
  <c r="V67" i="10"/>
  <c r="M67" i="10"/>
  <c r="L67" i="10"/>
  <c r="K67" i="10"/>
  <c r="J67" i="10"/>
  <c r="Z67" i="10"/>
  <c r="H67" i="10"/>
  <c r="Y27" i="10"/>
  <c r="E27" i="10"/>
  <c r="X27" i="10"/>
  <c r="D27" i="10"/>
  <c r="AG27" i="10"/>
  <c r="T27" i="10"/>
  <c r="U27" i="10" s="1"/>
  <c r="G27" i="10"/>
  <c r="S27" i="10"/>
  <c r="F27" i="10"/>
  <c r="I27" i="10"/>
  <c r="AA27" i="10" s="1"/>
  <c r="Z27" i="10"/>
  <c r="P27" i="10"/>
  <c r="H42" i="12"/>
  <c r="AC42" i="6"/>
  <c r="AA42" i="6"/>
  <c r="J42" i="12"/>
  <c r="M342" i="5"/>
  <c r="J21" i="12"/>
  <c r="H21" i="12"/>
  <c r="AC21" i="6"/>
  <c r="AA21" i="6"/>
  <c r="AG125" i="10"/>
  <c r="W125" i="10"/>
  <c r="M125" i="10"/>
  <c r="AE125" i="10"/>
  <c r="T125" i="10"/>
  <c r="I125" i="10"/>
  <c r="S125" i="10"/>
  <c r="G125" i="10"/>
  <c r="X125" i="10"/>
  <c r="J125" i="10"/>
  <c r="V125" i="10"/>
  <c r="H125" i="10"/>
  <c r="U125" i="10"/>
  <c r="F125" i="10"/>
  <c r="R125" i="10"/>
  <c r="E125" i="10"/>
  <c r="AD125" i="10"/>
  <c r="Q125" i="10"/>
  <c r="D125" i="10"/>
  <c r="AC125" i="10"/>
  <c r="P125" i="10"/>
  <c r="AA125" i="10"/>
  <c r="N125" i="10"/>
  <c r="AB125" i="10"/>
  <c r="Z125" i="10"/>
  <c r="Y125" i="10"/>
  <c r="O125" i="10"/>
  <c r="L125" i="10"/>
  <c r="K125" i="10"/>
  <c r="AA133" i="10"/>
  <c r="Q133" i="10"/>
  <c r="G133" i="10"/>
  <c r="AE133" i="10"/>
  <c r="T133" i="10"/>
  <c r="I133" i="10"/>
  <c r="W133" i="10"/>
  <c r="K133" i="10"/>
  <c r="AB133" i="10"/>
  <c r="N133" i="10"/>
  <c r="Z133" i="10"/>
  <c r="M133" i="10"/>
  <c r="Y133" i="10"/>
  <c r="L133" i="10"/>
  <c r="X133" i="10"/>
  <c r="J133" i="10"/>
  <c r="V133" i="10"/>
  <c r="H133" i="10"/>
  <c r="U133" i="10"/>
  <c r="F133" i="10"/>
  <c r="AG133" i="10"/>
  <c r="S133" i="10"/>
  <c r="E133" i="10"/>
  <c r="R133" i="10"/>
  <c r="D133" i="10"/>
  <c r="AD133" i="10"/>
  <c r="AC133" i="10"/>
  <c r="P133" i="10"/>
  <c r="O133" i="10"/>
  <c r="T9" i="10"/>
  <c r="U9" i="10" s="1"/>
  <c r="I9" i="10"/>
  <c r="AA9" i="10" s="1"/>
  <c r="S9" i="10"/>
  <c r="G9" i="10"/>
  <c r="P9" i="10"/>
  <c r="AG9" i="10"/>
  <c r="Z9" i="10"/>
  <c r="Y9" i="10"/>
  <c r="X9" i="10"/>
  <c r="F9" i="10"/>
  <c r="E9" i="10"/>
  <c r="D9" i="10"/>
  <c r="M295" i="5"/>
  <c r="M19" i="5"/>
  <c r="M216" i="5"/>
  <c r="M482" i="5"/>
  <c r="Y119" i="10"/>
  <c r="O119" i="10"/>
  <c r="E119" i="10"/>
  <c r="AB119" i="10"/>
  <c r="Q119" i="10"/>
  <c r="F119" i="10"/>
  <c r="X119" i="10"/>
  <c r="L119" i="10"/>
  <c r="W119" i="10"/>
  <c r="K119" i="10"/>
  <c r="V119" i="10"/>
  <c r="J119" i="10"/>
  <c r="AE119" i="10"/>
  <c r="S119" i="10"/>
  <c r="G119" i="10"/>
  <c r="M119" i="10"/>
  <c r="AD119" i="10"/>
  <c r="I119" i="10"/>
  <c r="AC119" i="10"/>
  <c r="H119" i="10"/>
  <c r="AA119" i="10"/>
  <c r="D119" i="10"/>
  <c r="Z119" i="10"/>
  <c r="T119" i="10"/>
  <c r="U119" i="10" s="1"/>
  <c r="R119" i="10"/>
  <c r="P119" i="10"/>
  <c r="AG119" i="10"/>
  <c r="N119" i="10"/>
  <c r="M219" i="5"/>
  <c r="AA113" i="10"/>
  <c r="Q113" i="10"/>
  <c r="G113" i="10"/>
  <c r="AE113" i="10"/>
  <c r="T113" i="10"/>
  <c r="U113" i="10" s="1"/>
  <c r="I113" i="10"/>
  <c r="S113" i="10"/>
  <c r="F113" i="10"/>
  <c r="AD113" i="10"/>
  <c r="R113" i="10"/>
  <c r="E113" i="10"/>
  <c r="AC113" i="10"/>
  <c r="P113" i="10"/>
  <c r="D113" i="10"/>
  <c r="W113" i="10"/>
  <c r="V113" i="10"/>
  <c r="O113" i="10"/>
  <c r="N113" i="10"/>
  <c r="AG113" i="10"/>
  <c r="M113" i="10"/>
  <c r="AB113" i="10"/>
  <c r="L113" i="10"/>
  <c r="Z113" i="10"/>
  <c r="K113" i="10"/>
  <c r="Y113" i="10"/>
  <c r="J113" i="10"/>
  <c r="X113" i="10"/>
  <c r="H113" i="10"/>
  <c r="AG55" i="10"/>
  <c r="X55" i="10"/>
  <c r="S55" i="10"/>
  <c r="G55" i="10"/>
  <c r="H55" i="10" s="1"/>
  <c r="F55" i="10"/>
  <c r="E55" i="10"/>
  <c r="T55" i="10"/>
  <c r="U55" i="10" s="1"/>
  <c r="P55" i="10"/>
  <c r="Z55" i="10"/>
  <c r="I55" i="10"/>
  <c r="AA55" i="10" s="1"/>
  <c r="Y55" i="10"/>
  <c r="D55" i="10"/>
  <c r="M29" i="5"/>
  <c r="M38" i="5"/>
  <c r="AA153" i="10"/>
  <c r="Q153" i="10"/>
  <c r="G153" i="10"/>
  <c r="X153" i="10"/>
  <c r="M153" i="10"/>
  <c r="Y153" i="10"/>
  <c r="L153" i="10"/>
  <c r="S153" i="10"/>
  <c r="E153" i="10"/>
  <c r="AE153" i="10"/>
  <c r="R153" i="10"/>
  <c r="D153" i="10"/>
  <c r="AD153" i="10"/>
  <c r="P153" i="10"/>
  <c r="AC153" i="10"/>
  <c r="O153" i="10"/>
  <c r="AB153" i="10"/>
  <c r="N153" i="10"/>
  <c r="Z153" i="10"/>
  <c r="K153" i="10"/>
  <c r="W153" i="10"/>
  <c r="J153" i="10"/>
  <c r="V153" i="10"/>
  <c r="I153" i="10"/>
  <c r="H153" i="10"/>
  <c r="AG153" i="10"/>
  <c r="T153" i="10"/>
  <c r="U153" i="10" s="1"/>
  <c r="F153" i="10"/>
  <c r="Y54" i="10"/>
  <c r="E54" i="10"/>
  <c r="AG54" i="10"/>
  <c r="Z54" i="10"/>
  <c r="X54" i="10"/>
  <c r="P54" i="10"/>
  <c r="I54" i="10"/>
  <c r="AA54" i="10" s="1"/>
  <c r="G54" i="10"/>
  <c r="F54" i="10"/>
  <c r="T54" i="10"/>
  <c r="U54" i="10" s="1"/>
  <c r="D54" i="10"/>
  <c r="S54" i="10"/>
  <c r="M419" i="5"/>
  <c r="M402" i="5"/>
  <c r="T12" i="9"/>
  <c r="R12" i="9"/>
  <c r="U272" i="9"/>
  <c r="N272" i="9" s="1"/>
  <c r="U343" i="9"/>
  <c r="N343" i="9" s="1"/>
  <c r="U298" i="9"/>
  <c r="N298" i="9" s="1"/>
  <c r="U278" i="9"/>
  <c r="N278" i="9" s="1"/>
  <c r="U337" i="9"/>
  <c r="N337" i="9" s="1"/>
  <c r="T423" i="9"/>
  <c r="R423" i="9"/>
  <c r="P423" i="9"/>
  <c r="O423" i="9"/>
  <c r="U345" i="9"/>
  <c r="N345" i="9" s="1"/>
  <c r="P393" i="9"/>
  <c r="O393" i="9"/>
  <c r="T393" i="9"/>
  <c r="R393" i="9"/>
  <c r="P398" i="9"/>
  <c r="O398" i="9"/>
  <c r="T398" i="9"/>
  <c r="R398" i="9"/>
  <c r="P403" i="9"/>
  <c r="O403" i="9"/>
  <c r="T403" i="9"/>
  <c r="R403" i="9"/>
  <c r="U322" i="9"/>
  <c r="N322" i="9" s="1"/>
  <c r="U285" i="9"/>
  <c r="N285" i="9" s="1"/>
  <c r="U268" i="9"/>
  <c r="N268" i="9" s="1"/>
  <c r="R409" i="9"/>
  <c r="T409" i="9"/>
  <c r="P409" i="9"/>
  <c r="O409" i="9"/>
  <c r="U307" i="9"/>
  <c r="N307" i="9" s="1"/>
  <c r="U334" i="9"/>
  <c r="N334" i="9" s="1"/>
  <c r="T384" i="9"/>
  <c r="R384" i="9"/>
  <c r="P384" i="9"/>
  <c r="O384" i="9"/>
  <c r="R412" i="9"/>
  <c r="P412" i="9"/>
  <c r="O412" i="9"/>
  <c r="T412" i="9"/>
  <c r="M212" i="5"/>
  <c r="AC142" i="10"/>
  <c r="S142" i="10"/>
  <c r="I142" i="10"/>
  <c r="U142" i="10"/>
  <c r="J142" i="10"/>
  <c r="AE142" i="10"/>
  <c r="R142" i="10"/>
  <c r="F142" i="10"/>
  <c r="AA142" i="10"/>
  <c r="N142" i="10"/>
  <c r="Z142" i="10"/>
  <c r="M142" i="10"/>
  <c r="Y142" i="10"/>
  <c r="L142" i="10"/>
  <c r="X142" i="10"/>
  <c r="K142" i="10"/>
  <c r="W142" i="10"/>
  <c r="H142" i="10"/>
  <c r="V142" i="10"/>
  <c r="G142" i="10"/>
  <c r="T142" i="10"/>
  <c r="E142" i="10"/>
  <c r="AG142" i="10"/>
  <c r="Q142" i="10"/>
  <c r="D142" i="10"/>
  <c r="AD142" i="10"/>
  <c r="AB142" i="10"/>
  <c r="P142" i="10"/>
  <c r="O142" i="10"/>
  <c r="AG145" i="10"/>
  <c r="W145" i="10"/>
  <c r="M145" i="10"/>
  <c r="Y145" i="10"/>
  <c r="N145" i="10"/>
  <c r="U145" i="10"/>
  <c r="I145" i="10"/>
  <c r="AB145" i="10"/>
  <c r="O145" i="10"/>
  <c r="AA145" i="10"/>
  <c r="L145" i="10"/>
  <c r="Z145" i="10"/>
  <c r="K145" i="10"/>
  <c r="X145" i="10"/>
  <c r="J145" i="10"/>
  <c r="V145" i="10"/>
  <c r="H145" i="10"/>
  <c r="T145" i="10"/>
  <c r="G145" i="10"/>
  <c r="S145" i="10"/>
  <c r="F145" i="10"/>
  <c r="AE145" i="10"/>
  <c r="R145" i="10"/>
  <c r="E145" i="10"/>
  <c r="AD145" i="10"/>
  <c r="AC145" i="10"/>
  <c r="Q145" i="10"/>
  <c r="P145" i="10"/>
  <c r="D145" i="10"/>
  <c r="AG80" i="10"/>
  <c r="W80" i="10"/>
  <c r="M80" i="10"/>
  <c r="Y80" i="10"/>
  <c r="N80" i="10"/>
  <c r="X80" i="10"/>
  <c r="L80" i="10"/>
  <c r="AE80" i="10"/>
  <c r="R80" i="10"/>
  <c r="E80" i="10"/>
  <c r="AD80" i="10"/>
  <c r="Q80" i="10"/>
  <c r="D80" i="10"/>
  <c r="AC80" i="10"/>
  <c r="P80" i="10"/>
  <c r="S80" i="10"/>
  <c r="F80" i="10"/>
  <c r="AA80" i="10"/>
  <c r="G80" i="10"/>
  <c r="Z80" i="10"/>
  <c r="V80" i="10"/>
  <c r="U80" i="10"/>
  <c r="T80" i="10"/>
  <c r="O80" i="10"/>
  <c r="K80" i="10"/>
  <c r="J80" i="10"/>
  <c r="I80" i="10"/>
  <c r="AB80" i="10"/>
  <c r="H80" i="10"/>
  <c r="M398" i="5"/>
  <c r="Y99" i="10"/>
  <c r="O99" i="10"/>
  <c r="E99" i="10"/>
  <c r="W99" i="10"/>
  <c r="L99" i="10"/>
  <c r="V99" i="10"/>
  <c r="J99" i="10"/>
  <c r="AG99" i="10"/>
  <c r="U99" i="10"/>
  <c r="I99" i="10"/>
  <c r="T99" i="10"/>
  <c r="H99" i="10"/>
  <c r="AC99" i="10"/>
  <c r="M99" i="10"/>
  <c r="AB99" i="10"/>
  <c r="K99" i="10"/>
  <c r="AA99" i="10"/>
  <c r="G99" i="10"/>
  <c r="Z99" i="10"/>
  <c r="F99" i="10"/>
  <c r="X99" i="10"/>
  <c r="D99" i="10"/>
  <c r="S99" i="10"/>
  <c r="R99" i="10"/>
  <c r="Q99" i="10"/>
  <c r="AE99" i="10"/>
  <c r="P99" i="10"/>
  <c r="AD99" i="10"/>
  <c r="N99" i="10"/>
  <c r="AA63" i="10"/>
  <c r="Q63" i="10"/>
  <c r="G63" i="10"/>
  <c r="W63" i="10"/>
  <c r="L63" i="10"/>
  <c r="V63" i="10"/>
  <c r="J63" i="10"/>
  <c r="AG63" i="10"/>
  <c r="U63" i="10"/>
  <c r="I63" i="10"/>
  <c r="T63" i="10"/>
  <c r="H63" i="10"/>
  <c r="X63" i="10"/>
  <c r="K63" i="10"/>
  <c r="R63" i="10"/>
  <c r="P63" i="10"/>
  <c r="O63" i="10"/>
  <c r="AE63" i="10"/>
  <c r="N63" i="10"/>
  <c r="AD63" i="10"/>
  <c r="M63" i="10"/>
  <c r="AC63" i="10"/>
  <c r="F63" i="10"/>
  <c r="AB63" i="10"/>
  <c r="E63" i="10"/>
  <c r="Z63" i="10"/>
  <c r="D63" i="10"/>
  <c r="Y63" i="10"/>
  <c r="S63" i="10"/>
  <c r="S57" i="10"/>
  <c r="I57" i="10"/>
  <c r="AB57" i="10" s="1"/>
  <c r="Z57" i="10"/>
  <c r="D57" i="10"/>
  <c r="E57" i="10"/>
  <c r="P57" i="10"/>
  <c r="Y57" i="10"/>
  <c r="X57" i="10"/>
  <c r="G57" i="10"/>
  <c r="H57" i="10" s="1"/>
  <c r="F57" i="10"/>
  <c r="AA57" i="10" s="1"/>
  <c r="U57" i="10"/>
  <c r="T57" i="10"/>
  <c r="AG57" i="10"/>
  <c r="AC152" i="10"/>
  <c r="S152" i="10"/>
  <c r="I152" i="10"/>
  <c r="W152" i="10"/>
  <c r="L152" i="10"/>
  <c r="T152" i="10"/>
  <c r="G152" i="10"/>
  <c r="X152" i="10"/>
  <c r="J152" i="10"/>
  <c r="V152" i="10"/>
  <c r="H152" i="10"/>
  <c r="U152" i="10"/>
  <c r="F152" i="10"/>
  <c r="AG152" i="10"/>
  <c r="R152" i="10"/>
  <c r="E152" i="10"/>
  <c r="AE152" i="10"/>
  <c r="Q152" i="10"/>
  <c r="D152" i="10"/>
  <c r="AD152" i="10"/>
  <c r="P152" i="10"/>
  <c r="AB152" i="10"/>
  <c r="O152" i="10"/>
  <c r="AA152" i="10"/>
  <c r="N152" i="10"/>
  <c r="Z152" i="10"/>
  <c r="M152" i="10"/>
  <c r="Y152" i="10"/>
  <c r="K152" i="10"/>
  <c r="AE151" i="10"/>
  <c r="U151" i="10"/>
  <c r="K151" i="10"/>
  <c r="AG151" i="10"/>
  <c r="V151" i="10"/>
  <c r="J151" i="10"/>
  <c r="AA151" i="10"/>
  <c r="O151" i="10"/>
  <c r="AB151" i="10"/>
  <c r="N151" i="10"/>
  <c r="Z151" i="10"/>
  <c r="M151" i="10"/>
  <c r="Y151" i="10"/>
  <c r="L151" i="10"/>
  <c r="X151" i="10"/>
  <c r="I151" i="10"/>
  <c r="W151" i="10"/>
  <c r="H151" i="10"/>
  <c r="T151" i="10"/>
  <c r="G151" i="10"/>
  <c r="S151" i="10"/>
  <c r="F151" i="10"/>
  <c r="R151" i="10"/>
  <c r="E151" i="10"/>
  <c r="AD151" i="10"/>
  <c r="Q151" i="10"/>
  <c r="D151" i="10"/>
  <c r="AC151" i="10"/>
  <c r="P151" i="10"/>
  <c r="Y129" i="10"/>
  <c r="O129" i="10"/>
  <c r="E129" i="10"/>
  <c r="Z129" i="10"/>
  <c r="N129" i="10"/>
  <c r="AB129" i="10"/>
  <c r="P129" i="10"/>
  <c r="S129" i="10"/>
  <c r="F129" i="10"/>
  <c r="AE129" i="10"/>
  <c r="R129" i="10"/>
  <c r="D129" i="10"/>
  <c r="AD129" i="10"/>
  <c r="Q129" i="10"/>
  <c r="AC129" i="10"/>
  <c r="M129" i="10"/>
  <c r="AA129" i="10"/>
  <c r="L129" i="10"/>
  <c r="X129" i="10"/>
  <c r="K129" i="10"/>
  <c r="W129" i="10"/>
  <c r="J129" i="10"/>
  <c r="V129" i="10"/>
  <c r="I129" i="10"/>
  <c r="AG129" i="10"/>
  <c r="T129" i="10"/>
  <c r="U129" i="10" s="1"/>
  <c r="H129" i="10"/>
  <c r="G129" i="10"/>
  <c r="AE91" i="10"/>
  <c r="U91" i="10"/>
  <c r="K91" i="10"/>
  <c r="AC91" i="10"/>
  <c r="R91" i="10"/>
  <c r="G91" i="10"/>
  <c r="AB91" i="10"/>
  <c r="Q91" i="10"/>
  <c r="F91" i="10"/>
  <c r="AA91" i="10"/>
  <c r="P91" i="10"/>
  <c r="E91" i="10"/>
  <c r="N91" i="10"/>
  <c r="AD91" i="10"/>
  <c r="M91" i="10"/>
  <c r="Z91" i="10"/>
  <c r="L91" i="10"/>
  <c r="Y91" i="10"/>
  <c r="J91" i="10"/>
  <c r="X91" i="10"/>
  <c r="I91" i="10"/>
  <c r="W91" i="10"/>
  <c r="H91" i="10"/>
  <c r="V91" i="10"/>
  <c r="D91" i="10"/>
  <c r="T91" i="10"/>
  <c r="AG91" i="10"/>
  <c r="O91" i="10"/>
  <c r="S91" i="10"/>
  <c r="M376" i="5"/>
  <c r="H9" i="12"/>
  <c r="AA9" i="6"/>
  <c r="AC9" i="6"/>
  <c r="J9" i="12"/>
  <c r="M316" i="5"/>
  <c r="M326" i="5"/>
  <c r="M401" i="5"/>
  <c r="J39" i="12"/>
  <c r="H39" i="12"/>
  <c r="AC39" i="6"/>
  <c r="AA39" i="6"/>
  <c r="AE101" i="10"/>
  <c r="U101" i="10"/>
  <c r="K101" i="10"/>
  <c r="Z101" i="10"/>
  <c r="O101" i="10"/>
  <c r="D101" i="10"/>
  <c r="AG101" i="10"/>
  <c r="T101" i="10"/>
  <c r="H101" i="10"/>
  <c r="S101" i="10"/>
  <c r="G101" i="10"/>
  <c r="AD101" i="10"/>
  <c r="R101" i="10"/>
  <c r="F101" i="10"/>
  <c r="Q101" i="10"/>
  <c r="P101" i="10"/>
  <c r="N101" i="10"/>
  <c r="AC101" i="10"/>
  <c r="M101" i="10"/>
  <c r="AB101" i="10"/>
  <c r="L101" i="10"/>
  <c r="AA101" i="10"/>
  <c r="J101" i="10"/>
  <c r="Y101" i="10"/>
  <c r="I101" i="10"/>
  <c r="X101" i="10"/>
  <c r="E101" i="10"/>
  <c r="W101" i="10"/>
  <c r="V101" i="10"/>
  <c r="AG23" i="10"/>
  <c r="T23" i="10"/>
  <c r="U23" i="10" s="1"/>
  <c r="G23" i="10"/>
  <c r="S23" i="10"/>
  <c r="F23" i="10"/>
  <c r="E23" i="10"/>
  <c r="X23" i="10"/>
  <c r="I23" i="10"/>
  <c r="D23" i="10"/>
  <c r="Z23" i="10"/>
  <c r="Y23" i="10"/>
  <c r="P23" i="10"/>
  <c r="Z47" i="10"/>
  <c r="P47" i="10"/>
  <c r="F47" i="10"/>
  <c r="G47" i="10"/>
  <c r="E47" i="10"/>
  <c r="D47" i="10"/>
  <c r="X47" i="10"/>
  <c r="I47" i="10"/>
  <c r="AA47" i="10" s="1"/>
  <c r="U47" i="10"/>
  <c r="T47" i="10"/>
  <c r="AG47" i="10"/>
  <c r="S47" i="10"/>
  <c r="Y47" i="10"/>
  <c r="M448" i="5"/>
  <c r="M95" i="5"/>
  <c r="J23" i="12"/>
  <c r="H23" i="12"/>
  <c r="AC23" i="6"/>
  <c r="AA23" i="6"/>
  <c r="M513" i="5"/>
  <c r="G53" i="10"/>
  <c r="H53" i="10" s="1"/>
  <c r="J53" i="10" s="1"/>
  <c r="I53" i="10"/>
  <c r="AG53" i="10"/>
  <c r="T53" i="10"/>
  <c r="U53" i="10" s="1"/>
  <c r="S53" i="10"/>
  <c r="F53" i="10"/>
  <c r="AB53" i="10" s="1"/>
  <c r="Z53" i="10"/>
  <c r="Y53" i="10"/>
  <c r="E53" i="10"/>
  <c r="X53" i="10"/>
  <c r="D53" i="10"/>
  <c r="P53" i="10"/>
  <c r="F25" i="1"/>
  <c r="F28" i="1"/>
  <c r="M432" i="5"/>
  <c r="M54" i="5"/>
  <c r="Y124" i="10"/>
  <c r="O124" i="10"/>
  <c r="E124" i="10"/>
  <c r="AD124" i="10"/>
  <c r="S124" i="10"/>
  <c r="H124" i="10"/>
  <c r="AA124" i="10"/>
  <c r="N124" i="10"/>
  <c r="AB124" i="10"/>
  <c r="M124" i="10"/>
  <c r="Z124" i="10"/>
  <c r="L124" i="10"/>
  <c r="X124" i="10"/>
  <c r="K124" i="10"/>
  <c r="W124" i="10"/>
  <c r="J124" i="10"/>
  <c r="V124" i="10"/>
  <c r="I124" i="10"/>
  <c r="U124" i="10"/>
  <c r="G124" i="10"/>
  <c r="R124" i="10"/>
  <c r="D124" i="10"/>
  <c r="AG124" i="10"/>
  <c r="AE124" i="10"/>
  <c r="AC124" i="10"/>
  <c r="T124" i="10"/>
  <c r="Q124" i="10"/>
  <c r="P124" i="10"/>
  <c r="F124" i="10"/>
  <c r="Y59" i="10"/>
  <c r="E59" i="10"/>
  <c r="G59" i="10"/>
  <c r="H59" i="10" s="1"/>
  <c r="J59" i="10" s="1"/>
  <c r="Z59" i="10"/>
  <c r="X59" i="10"/>
  <c r="AG59" i="10"/>
  <c r="P59" i="10"/>
  <c r="I59" i="10"/>
  <c r="AA59" i="10" s="1"/>
  <c r="F59" i="10"/>
  <c r="D59" i="10"/>
  <c r="T59" i="10"/>
  <c r="U59" i="10" s="1"/>
  <c r="S59" i="10"/>
  <c r="AA93" i="10"/>
  <c r="Q93" i="10"/>
  <c r="G93" i="10"/>
  <c r="U93" i="10"/>
  <c r="J93" i="10"/>
  <c r="AE93" i="10"/>
  <c r="T93" i="10"/>
  <c r="I93" i="10"/>
  <c r="AD93" i="10"/>
  <c r="S93" i="10"/>
  <c r="H93" i="10"/>
  <c r="AC93" i="10"/>
  <c r="N93" i="10"/>
  <c r="AB93" i="10"/>
  <c r="M93" i="10"/>
  <c r="Z93" i="10"/>
  <c r="L93" i="10"/>
  <c r="Y93" i="10"/>
  <c r="K93" i="10"/>
  <c r="X93" i="10"/>
  <c r="F93" i="10"/>
  <c r="W93" i="10"/>
  <c r="E93" i="10"/>
  <c r="V93" i="10"/>
  <c r="D93" i="10"/>
  <c r="R93" i="10"/>
  <c r="AG93" i="10"/>
  <c r="O93" i="10"/>
  <c r="P93" i="10"/>
  <c r="AA83" i="10"/>
  <c r="Q83" i="10"/>
  <c r="G83" i="10"/>
  <c r="AC83" i="10"/>
  <c r="R83" i="10"/>
  <c r="F83" i="10"/>
  <c r="AB83" i="10"/>
  <c r="P83" i="10"/>
  <c r="E83" i="10"/>
  <c r="AG83" i="10"/>
  <c r="T83" i="10"/>
  <c r="U83" i="10" s="1"/>
  <c r="D83" i="10"/>
  <c r="S83" i="10"/>
  <c r="AE83" i="10"/>
  <c r="O83" i="10"/>
  <c r="AD83" i="10"/>
  <c r="H83" i="10"/>
  <c r="X83" i="10"/>
  <c r="W83" i="10"/>
  <c r="V83" i="10"/>
  <c r="N83" i="10"/>
  <c r="M83" i="10"/>
  <c r="L83" i="10"/>
  <c r="K83" i="10"/>
  <c r="J83" i="10"/>
  <c r="Z83" i="10"/>
  <c r="I83" i="10"/>
  <c r="Y83" i="10"/>
  <c r="AE81" i="10"/>
  <c r="U81" i="10"/>
  <c r="K81" i="10"/>
  <c r="Z81" i="10"/>
  <c r="O81" i="10"/>
  <c r="D81" i="10"/>
  <c r="Y81" i="10"/>
  <c r="N81" i="10"/>
  <c r="AB81" i="10"/>
  <c r="M81" i="10"/>
  <c r="AA81" i="10"/>
  <c r="L81" i="10"/>
  <c r="X81" i="10"/>
  <c r="J81" i="10"/>
  <c r="AC81" i="10"/>
  <c r="P81" i="10"/>
  <c r="S81" i="10"/>
  <c r="R81" i="10"/>
  <c r="Q81" i="10"/>
  <c r="I81" i="10"/>
  <c r="AG81" i="10"/>
  <c r="H81" i="10"/>
  <c r="G81" i="10"/>
  <c r="AD81" i="10"/>
  <c r="F81" i="10"/>
  <c r="W81" i="10"/>
  <c r="E81" i="10"/>
  <c r="V81" i="10"/>
  <c r="T81" i="10"/>
  <c r="M283" i="5"/>
  <c r="M251" i="5"/>
  <c r="AB6" i="9"/>
  <c r="U277" i="9"/>
  <c r="N277" i="9" s="1"/>
  <c r="U260" i="9"/>
  <c r="N260" i="9" s="1"/>
  <c r="U254" i="9"/>
  <c r="N254" i="9" s="1"/>
  <c r="U321" i="9"/>
  <c r="N321" i="9" s="1"/>
  <c r="U366" i="9"/>
  <c r="N366" i="9" s="1"/>
  <c r="U347" i="9"/>
  <c r="N347" i="9" s="1"/>
  <c r="U352" i="9"/>
  <c r="N352" i="9" s="1"/>
  <c r="T413" i="9"/>
  <c r="R413" i="9"/>
  <c r="P413" i="9"/>
  <c r="O413" i="9"/>
  <c r="R425" i="9"/>
  <c r="P425" i="9"/>
  <c r="O425" i="9"/>
  <c r="T425" i="9"/>
  <c r="U339" i="9"/>
  <c r="N339" i="9" s="1"/>
  <c r="T389" i="9"/>
  <c r="R389" i="9"/>
  <c r="P389" i="9"/>
  <c r="O389" i="9"/>
  <c r="M276" i="5"/>
  <c r="M286" i="5"/>
  <c r="M261" i="5"/>
  <c r="M387" i="5"/>
  <c r="M488" i="5"/>
  <c r="M313" i="5"/>
  <c r="M25" i="5"/>
  <c r="M371" i="5"/>
  <c r="M494" i="5"/>
  <c r="Y64" i="10"/>
  <c r="O64" i="10"/>
  <c r="E64" i="10"/>
  <c r="Z64" i="10"/>
  <c r="N64" i="10"/>
  <c r="X64" i="10"/>
  <c r="M64" i="10"/>
  <c r="AD64" i="10"/>
  <c r="Q64" i="10"/>
  <c r="AC64" i="10"/>
  <c r="P64" i="10"/>
  <c r="AB64" i="10"/>
  <c r="L64" i="10"/>
  <c r="AE64" i="10"/>
  <c r="R64" i="10"/>
  <c r="D64" i="10"/>
  <c r="H64" i="10"/>
  <c r="AA64" i="10"/>
  <c r="G64" i="10"/>
  <c r="W64" i="10"/>
  <c r="F64" i="10"/>
  <c r="V64" i="10"/>
  <c r="U64" i="10"/>
  <c r="T64" i="10"/>
  <c r="S64" i="10"/>
  <c r="K64" i="10"/>
  <c r="J64" i="10"/>
  <c r="AG64" i="10"/>
  <c r="I64" i="10"/>
  <c r="M477" i="5"/>
  <c r="M505" i="5"/>
  <c r="M118" i="5"/>
  <c r="M154" i="5"/>
  <c r="M343" i="5"/>
  <c r="M181" i="5"/>
  <c r="Y74" i="10"/>
  <c r="O74" i="10"/>
  <c r="E74" i="10"/>
  <c r="AB74" i="10"/>
  <c r="Q74" i="10"/>
  <c r="F74" i="10"/>
  <c r="AA74" i="10"/>
  <c r="P74" i="10"/>
  <c r="D74" i="10"/>
  <c r="AD74" i="10"/>
  <c r="N74" i="10"/>
  <c r="AC74" i="10"/>
  <c r="M74" i="10"/>
  <c r="Z74" i="10"/>
  <c r="L74" i="10"/>
  <c r="AE74" i="10"/>
  <c r="R74" i="10"/>
  <c r="J74" i="10"/>
  <c r="AG74" i="10"/>
  <c r="I74" i="10"/>
  <c r="H74" i="10"/>
  <c r="X74" i="10"/>
  <c r="G74" i="10"/>
  <c r="W74" i="10"/>
  <c r="V74" i="10"/>
  <c r="T74" i="10"/>
  <c r="U74" i="10" s="1"/>
  <c r="S74" i="10"/>
  <c r="K74" i="10"/>
  <c r="M267" i="5"/>
  <c r="M35" i="5"/>
  <c r="M291" i="5"/>
  <c r="J31" i="12"/>
  <c r="H31" i="12"/>
  <c r="AC31" i="6"/>
  <c r="AA31" i="6"/>
  <c r="AE106" i="10"/>
  <c r="U106" i="10"/>
  <c r="K106" i="10"/>
  <c r="AG106" i="10"/>
  <c r="V106" i="10"/>
  <c r="J106" i="10"/>
  <c r="T106" i="10"/>
  <c r="H106" i="10"/>
  <c r="S106" i="10"/>
  <c r="G106" i="10"/>
  <c r="AD106" i="10"/>
  <c r="R106" i="10"/>
  <c r="F106" i="10"/>
  <c r="P106" i="10"/>
  <c r="O106" i="10"/>
  <c r="AC106" i="10"/>
  <c r="N106" i="10"/>
  <c r="AB106" i="10"/>
  <c r="M106" i="10"/>
  <c r="AA106" i="10"/>
  <c r="L106" i="10"/>
  <c r="Z106" i="10"/>
  <c r="I106" i="10"/>
  <c r="Y106" i="10"/>
  <c r="E106" i="10"/>
  <c r="X106" i="10"/>
  <c r="D106" i="10"/>
  <c r="W106" i="10"/>
  <c r="Q106" i="10"/>
  <c r="AG28" i="10"/>
  <c r="E28" i="10"/>
  <c r="D28" i="10"/>
  <c r="P28" i="10"/>
  <c r="S28" i="10"/>
  <c r="F28" i="10"/>
  <c r="X28" i="10"/>
  <c r="T28" i="10"/>
  <c r="U28" i="10" s="1"/>
  <c r="I28" i="10"/>
  <c r="G28" i="10"/>
  <c r="H28" i="10" s="1"/>
  <c r="Z28" i="10"/>
  <c r="Y28" i="10"/>
  <c r="X48" i="10"/>
  <c r="D48" i="10"/>
  <c r="S48" i="10"/>
  <c r="G48" i="10"/>
  <c r="H48" i="10" s="1"/>
  <c r="F48" i="10"/>
  <c r="Y48" i="10"/>
  <c r="I48" i="10"/>
  <c r="AB48" i="10" s="1"/>
  <c r="E48" i="10"/>
  <c r="T48" i="10"/>
  <c r="U48" i="10" s="1"/>
  <c r="AG48" i="10"/>
  <c r="P48" i="10"/>
  <c r="Z48" i="10"/>
  <c r="M57" i="5"/>
  <c r="M369" i="5"/>
  <c r="M169" i="5"/>
  <c r="M150" i="5"/>
  <c r="M142" i="5"/>
  <c r="M52" i="5"/>
  <c r="M159" i="5"/>
  <c r="AG120" i="10"/>
  <c r="W120" i="10"/>
  <c r="M120" i="10"/>
  <c r="Y120" i="10"/>
  <c r="N120" i="10"/>
  <c r="AE120" i="10"/>
  <c r="S120" i="10"/>
  <c r="G120" i="10"/>
  <c r="R120" i="10"/>
  <c r="E120" i="10"/>
  <c r="AD120" i="10"/>
  <c r="Q120" i="10"/>
  <c r="D120" i="10"/>
  <c r="AC120" i="10"/>
  <c r="P120" i="10"/>
  <c r="AB120" i="10"/>
  <c r="Z120" i="10"/>
  <c r="K120" i="10"/>
  <c r="V120" i="10"/>
  <c r="U120" i="10"/>
  <c r="T120" i="10"/>
  <c r="O120" i="10"/>
  <c r="L120" i="10"/>
  <c r="J120" i="10"/>
  <c r="I120" i="10"/>
  <c r="H120" i="10"/>
  <c r="AA120" i="10"/>
  <c r="F120" i="10"/>
  <c r="X120" i="10"/>
  <c r="T41" i="10"/>
  <c r="U41" i="10" s="1"/>
  <c r="I41" i="10"/>
  <c r="AB41" i="10" s="1"/>
  <c r="S41" i="10"/>
  <c r="G41" i="10"/>
  <c r="Z41" i="10"/>
  <c r="Y41" i="10"/>
  <c r="X41" i="10"/>
  <c r="F41" i="10"/>
  <c r="E41" i="10"/>
  <c r="D41" i="10"/>
  <c r="P41" i="10"/>
  <c r="AG41" i="10"/>
  <c r="AE76" i="10"/>
  <c r="K76" i="10"/>
  <c r="AD76" i="10"/>
  <c r="S76" i="10"/>
  <c r="H76" i="10"/>
  <c r="AC76" i="10"/>
  <c r="R76" i="10"/>
  <c r="G76" i="10"/>
  <c r="V76" i="10"/>
  <c r="F76" i="10"/>
  <c r="T76" i="10"/>
  <c r="U76" i="10" s="1"/>
  <c r="E76" i="10"/>
  <c r="AG76" i="10"/>
  <c r="Q76" i="10"/>
  <c r="D76" i="10"/>
  <c r="W76" i="10"/>
  <c r="I76" i="10"/>
  <c r="O76" i="10"/>
  <c r="N76" i="10"/>
  <c r="M76" i="10"/>
  <c r="L76" i="10"/>
  <c r="AB76" i="10"/>
  <c r="J76" i="10"/>
  <c r="AA76" i="10"/>
  <c r="Z76" i="10"/>
  <c r="Y76" i="10"/>
  <c r="X76" i="10"/>
  <c r="P76" i="10"/>
  <c r="M509" i="5"/>
  <c r="E24" i="14"/>
  <c r="F24" i="14" s="1"/>
  <c r="E66" i="14"/>
  <c r="F66" i="14" s="1"/>
  <c r="I24" i="14"/>
  <c r="M213" i="5"/>
  <c r="M254" i="5"/>
  <c r="M262" i="5"/>
  <c r="H17" i="12"/>
  <c r="AC17" i="6"/>
  <c r="AA17" i="6"/>
  <c r="J17" i="12"/>
  <c r="AC122" i="10"/>
  <c r="S122" i="10"/>
  <c r="I122" i="10"/>
  <c r="AA122" i="10"/>
  <c r="P122" i="10"/>
  <c r="E122" i="10"/>
  <c r="AD122" i="10"/>
  <c r="Q122" i="10"/>
  <c r="D122" i="10"/>
  <c r="W122" i="10"/>
  <c r="J122" i="10"/>
  <c r="V122" i="10"/>
  <c r="H122" i="10"/>
  <c r="G122" i="10"/>
  <c r="AG122" i="10"/>
  <c r="T122" i="10"/>
  <c r="U122" i="10" s="1"/>
  <c r="F122" i="10"/>
  <c r="AE122" i="10"/>
  <c r="O122" i="10"/>
  <c r="Z122" i="10"/>
  <c r="M122" i="10"/>
  <c r="N122" i="10"/>
  <c r="L122" i="10"/>
  <c r="K122" i="10"/>
  <c r="AB122" i="10"/>
  <c r="Y122" i="10"/>
  <c r="X122" i="10"/>
  <c r="R122" i="10"/>
  <c r="E67" i="14"/>
  <c r="F67" i="14" s="1"/>
  <c r="X7" i="10"/>
  <c r="D7" i="10"/>
  <c r="G7" i="10"/>
  <c r="F7" i="10"/>
  <c r="AA7" i="10"/>
  <c r="P7" i="10"/>
  <c r="E7" i="10"/>
  <c r="T7" i="10"/>
  <c r="AG7" i="10"/>
  <c r="S7" i="10"/>
  <c r="Z7" i="10"/>
  <c r="Y7" i="10"/>
  <c r="I7" i="10"/>
  <c r="U7" i="10"/>
  <c r="M127" i="5"/>
  <c r="M395" i="5"/>
  <c r="M439" i="5"/>
  <c r="M233" i="5"/>
  <c r="M243" i="5"/>
  <c r="M231" i="5"/>
  <c r="M492" i="5"/>
  <c r="M329" i="5"/>
  <c r="M182" i="5"/>
  <c r="M356" i="5"/>
  <c r="M73" i="5"/>
  <c r="M273" i="5"/>
  <c r="H15" i="12"/>
  <c r="J15" i="12"/>
  <c r="AC15" i="6"/>
  <c r="AA15" i="6"/>
  <c r="M307" i="5"/>
  <c r="M500" i="5"/>
  <c r="M180" i="5"/>
  <c r="T381" i="9"/>
  <c r="R381" i="9"/>
  <c r="P381" i="9"/>
  <c r="O381" i="9"/>
  <c r="M168" i="5"/>
  <c r="AG34" i="10"/>
  <c r="T34" i="10"/>
  <c r="U34" i="10" s="1"/>
  <c r="I34" i="10"/>
  <c r="Z34" i="10"/>
  <c r="S34" i="10"/>
  <c r="P34" i="10"/>
  <c r="G34" i="10"/>
  <c r="H34" i="10" s="1"/>
  <c r="F34" i="10"/>
  <c r="E34" i="10"/>
  <c r="D34" i="10"/>
  <c r="Y34" i="10"/>
  <c r="X34" i="10"/>
  <c r="Y104" i="10"/>
  <c r="O104" i="10"/>
  <c r="E104" i="10"/>
  <c r="AD104" i="10"/>
  <c r="S104" i="10"/>
  <c r="H104" i="10"/>
  <c r="W104" i="10"/>
  <c r="K104" i="10"/>
  <c r="V104" i="10"/>
  <c r="J104" i="10"/>
  <c r="AG104" i="10"/>
  <c r="I104" i="10"/>
  <c r="AB104" i="10"/>
  <c r="L104" i="10"/>
  <c r="AA104" i="10"/>
  <c r="G104" i="10"/>
  <c r="Z104" i="10"/>
  <c r="F104" i="10"/>
  <c r="X104" i="10"/>
  <c r="D104" i="10"/>
  <c r="T104" i="10"/>
  <c r="U104" i="10" s="1"/>
  <c r="R104" i="10"/>
  <c r="Q104" i="10"/>
  <c r="P104" i="10"/>
  <c r="AE104" i="10"/>
  <c r="N104" i="10"/>
  <c r="AC104" i="10"/>
  <c r="M104" i="10"/>
  <c r="Y36" i="10"/>
  <c r="X36" i="10"/>
  <c r="Z36" i="10"/>
  <c r="I36" i="10"/>
  <c r="AB36" i="10" s="1"/>
  <c r="F36" i="10"/>
  <c r="P36" i="10"/>
  <c r="G36" i="10"/>
  <c r="E36" i="10"/>
  <c r="AG36" i="10"/>
  <c r="D36" i="10"/>
  <c r="T36" i="10"/>
  <c r="U36" i="10" s="1"/>
  <c r="S36" i="10"/>
  <c r="M199" i="5"/>
  <c r="M320" i="5"/>
  <c r="M210" i="5"/>
  <c r="AA138" i="10"/>
  <c r="Q138" i="10"/>
  <c r="G138" i="10"/>
  <c r="Z138" i="10"/>
  <c r="O138" i="10"/>
  <c r="D138" i="10"/>
  <c r="W138" i="10"/>
  <c r="K138" i="10"/>
  <c r="S138" i="10"/>
  <c r="E138" i="10"/>
  <c r="AE138" i="10"/>
  <c r="R138" i="10"/>
  <c r="AD138" i="10"/>
  <c r="P138" i="10"/>
  <c r="AC138" i="10"/>
  <c r="N138" i="10"/>
  <c r="AB138" i="10"/>
  <c r="M138" i="10"/>
  <c r="Y138" i="10"/>
  <c r="L138" i="10"/>
  <c r="X138" i="10"/>
  <c r="J138" i="10"/>
  <c r="V138" i="10"/>
  <c r="I138" i="10"/>
  <c r="AG138" i="10"/>
  <c r="T138" i="10"/>
  <c r="U138" i="10" s="1"/>
  <c r="H138" i="10"/>
  <c r="F138" i="10"/>
  <c r="AC92" i="10"/>
  <c r="S92" i="10"/>
  <c r="I92" i="10"/>
  <c r="AE92" i="10"/>
  <c r="T92" i="10"/>
  <c r="H92" i="10"/>
  <c r="AD92" i="10"/>
  <c r="R92" i="10"/>
  <c r="G92" i="10"/>
  <c r="AB92" i="10"/>
  <c r="Q92" i="10"/>
  <c r="F92" i="10"/>
  <c r="N92" i="10"/>
  <c r="AA92" i="10"/>
  <c r="M92" i="10"/>
  <c r="Z92" i="10"/>
  <c r="L92" i="10"/>
  <c r="Y92" i="10"/>
  <c r="K92" i="10"/>
  <c r="X92" i="10"/>
  <c r="J92" i="10"/>
  <c r="W92" i="10"/>
  <c r="E92" i="10"/>
  <c r="V92" i="10"/>
  <c r="D92" i="10"/>
  <c r="U92" i="10"/>
  <c r="AG92" i="10"/>
  <c r="O92" i="10"/>
  <c r="P92" i="10"/>
  <c r="AG10" i="10"/>
  <c r="T10" i="10"/>
  <c r="U10" i="10" s="1"/>
  <c r="I10" i="10"/>
  <c r="P10" i="10"/>
  <c r="F39" i="1" s="1"/>
  <c r="Z10" i="10"/>
  <c r="Y10" i="10"/>
  <c r="G10" i="10"/>
  <c r="F30" i="1" s="1"/>
  <c r="X10" i="10"/>
  <c r="F10" i="10"/>
  <c r="F29" i="1" s="1"/>
  <c r="E10" i="10"/>
  <c r="S10" i="10"/>
  <c r="D10" i="10"/>
  <c r="F27" i="1" s="1"/>
  <c r="M289" i="5"/>
  <c r="M100" i="5"/>
  <c r="AC132" i="10"/>
  <c r="S132" i="10"/>
  <c r="I132" i="10"/>
  <c r="AD132" i="10"/>
  <c r="R132" i="10"/>
  <c r="G132" i="10"/>
  <c r="AE132" i="10"/>
  <c r="Q132" i="10"/>
  <c r="E132" i="10"/>
  <c r="AG132" i="10"/>
  <c r="T132" i="10"/>
  <c r="D132" i="10"/>
  <c r="P132" i="10"/>
  <c r="AB132" i="10"/>
  <c r="O132" i="10"/>
  <c r="AA132" i="10"/>
  <c r="N132" i="10"/>
  <c r="Z132" i="10"/>
  <c r="M132" i="10"/>
  <c r="Y132" i="10"/>
  <c r="L132" i="10"/>
  <c r="X132" i="10"/>
  <c r="K132" i="10"/>
  <c r="W132" i="10"/>
  <c r="J132" i="10"/>
  <c r="V132" i="10"/>
  <c r="U132" i="10"/>
  <c r="H132" i="10"/>
  <c r="F132" i="10"/>
  <c r="AG33" i="10"/>
  <c r="U33" i="10"/>
  <c r="P33" i="10"/>
  <c r="D33" i="10"/>
  <c r="Z33" i="10"/>
  <c r="F33" i="10"/>
  <c r="Y33" i="10"/>
  <c r="E33" i="10"/>
  <c r="X33" i="10"/>
  <c r="T33" i="10"/>
  <c r="S33" i="10"/>
  <c r="I33" i="10"/>
  <c r="AB33" i="10" s="1"/>
  <c r="G33" i="10"/>
  <c r="U51" i="10"/>
  <c r="X51" i="10"/>
  <c r="Z51" i="10"/>
  <c r="G51" i="10"/>
  <c r="Y51" i="10"/>
  <c r="F51" i="10"/>
  <c r="T51" i="10"/>
  <c r="E51" i="10"/>
  <c r="S51" i="10"/>
  <c r="D51" i="10"/>
  <c r="AG51" i="10"/>
  <c r="P51" i="10"/>
  <c r="I51" i="10"/>
  <c r="AB51" i="10" s="1"/>
  <c r="M79" i="5"/>
  <c r="M41" i="5"/>
  <c r="J33" i="12"/>
  <c r="H33" i="12"/>
  <c r="AC33" i="6"/>
  <c r="AA33" i="6"/>
  <c r="M334" i="5"/>
  <c r="M404" i="5"/>
  <c r="AG70" i="10"/>
  <c r="W70" i="10"/>
  <c r="M70" i="10"/>
  <c r="V70" i="10"/>
  <c r="K70" i="10"/>
  <c r="U70" i="10"/>
  <c r="J70" i="10"/>
  <c r="AE70" i="10"/>
  <c r="R70" i="10"/>
  <c r="E70" i="10"/>
  <c r="AD70" i="10"/>
  <c r="Q70" i="10"/>
  <c r="D70" i="10"/>
  <c r="AC70" i="10"/>
  <c r="P70" i="10"/>
  <c r="S70" i="10"/>
  <c r="F70" i="10"/>
  <c r="Y70" i="10"/>
  <c r="X70" i="10"/>
  <c r="T70" i="10"/>
  <c r="O70" i="10"/>
  <c r="N70" i="10"/>
  <c r="L70" i="10"/>
  <c r="I70" i="10"/>
  <c r="AB70" i="10"/>
  <c r="H70" i="10"/>
  <c r="AA70" i="10"/>
  <c r="G70" i="10"/>
  <c r="Z70" i="10"/>
  <c r="M174" i="5"/>
  <c r="M384" i="5"/>
  <c r="M434" i="5"/>
  <c r="M349" i="5"/>
  <c r="Y89" i="10"/>
  <c r="O89" i="10"/>
  <c r="E89" i="10"/>
  <c r="AA89" i="10"/>
  <c r="P89" i="10"/>
  <c r="D89" i="10"/>
  <c r="Z89" i="10"/>
  <c r="N89" i="10"/>
  <c r="X89" i="10"/>
  <c r="M89" i="10"/>
  <c r="AE89" i="10"/>
  <c r="Q89" i="10"/>
  <c r="AD89" i="10"/>
  <c r="L89" i="10"/>
  <c r="AC89" i="10"/>
  <c r="K89" i="10"/>
  <c r="AB89" i="10"/>
  <c r="J89" i="10"/>
  <c r="W89" i="10"/>
  <c r="I89" i="10"/>
  <c r="V89" i="10"/>
  <c r="H89" i="10"/>
  <c r="G89" i="10"/>
  <c r="R89" i="10"/>
  <c r="S89" i="10"/>
  <c r="F89" i="10"/>
  <c r="AG89" i="10"/>
  <c r="T89" i="10"/>
  <c r="U89" i="10" s="1"/>
  <c r="M232" i="5"/>
  <c r="H12" i="12"/>
  <c r="AA12" i="6"/>
  <c r="AC12" i="6"/>
  <c r="J12" i="12"/>
  <c r="AE131" i="10"/>
  <c r="U131" i="10"/>
  <c r="K131" i="10"/>
  <c r="AB131" i="10"/>
  <c r="Q131" i="10"/>
  <c r="F131" i="10"/>
  <c r="Y131" i="10"/>
  <c r="M131" i="10"/>
  <c r="W131" i="10"/>
  <c r="I131" i="10"/>
  <c r="V131" i="10"/>
  <c r="H131" i="10"/>
  <c r="T131" i="10"/>
  <c r="G131" i="10"/>
  <c r="AG131" i="10"/>
  <c r="S131" i="10"/>
  <c r="E131" i="10"/>
  <c r="R131" i="10"/>
  <c r="D131" i="10"/>
  <c r="AD131" i="10"/>
  <c r="P131" i="10"/>
  <c r="AC131" i="10"/>
  <c r="O131" i="10"/>
  <c r="AA131" i="10"/>
  <c r="N131" i="10"/>
  <c r="Z131" i="10"/>
  <c r="X131" i="10"/>
  <c r="L131" i="10"/>
  <c r="J131" i="10"/>
  <c r="S30" i="10"/>
  <c r="I30" i="10"/>
  <c r="AA30" i="10"/>
  <c r="G30" i="10"/>
  <c r="Y30" i="10"/>
  <c r="X30" i="10"/>
  <c r="Z30" i="10"/>
  <c r="D30" i="10"/>
  <c r="T30" i="10"/>
  <c r="U30" i="10" s="1"/>
  <c r="P30" i="10"/>
  <c r="AG30" i="10"/>
  <c r="F30" i="10"/>
  <c r="E30" i="10"/>
  <c r="M226" i="5"/>
  <c r="M446" i="5"/>
  <c r="M229" i="5"/>
  <c r="M366" i="5"/>
  <c r="M76" i="5"/>
  <c r="M106" i="5"/>
  <c r="T400" i="9"/>
  <c r="R400" i="9"/>
  <c r="P400" i="9"/>
  <c r="O400" i="9"/>
  <c r="R424" i="9"/>
  <c r="T424" i="9"/>
  <c r="P424" i="9"/>
  <c r="O424" i="9"/>
  <c r="U351" i="9"/>
  <c r="N351" i="9" s="1"/>
  <c r="U292" i="9"/>
  <c r="N292" i="9" s="1"/>
  <c r="U286" i="9"/>
  <c r="N286" i="9" s="1"/>
  <c r="T417" i="9"/>
  <c r="R417" i="9"/>
  <c r="P417" i="9"/>
  <c r="O417" i="9"/>
  <c r="M109" i="5"/>
  <c r="M514" i="5"/>
  <c r="M194" i="5"/>
  <c r="M222" i="5"/>
  <c r="Y69" i="10"/>
  <c r="O69" i="10"/>
  <c r="E69" i="10"/>
  <c r="U69" i="10"/>
  <c r="J69" i="10"/>
  <c r="AE69" i="10"/>
  <c r="T69" i="10"/>
  <c r="I69" i="10"/>
  <c r="W69" i="10"/>
  <c r="H69" i="10"/>
  <c r="V69" i="10"/>
  <c r="G69" i="10"/>
  <c r="S69" i="10"/>
  <c r="F69" i="10"/>
  <c r="X69" i="10"/>
  <c r="K69" i="10"/>
  <c r="AD69" i="10"/>
  <c r="L69" i="10"/>
  <c r="AC69" i="10"/>
  <c r="D69" i="10"/>
  <c r="AB69" i="10"/>
  <c r="AA69" i="10"/>
  <c r="Z69" i="10"/>
  <c r="R69" i="10"/>
  <c r="Q69" i="10"/>
  <c r="P69" i="10"/>
  <c r="N69" i="10"/>
  <c r="AG69" i="10"/>
  <c r="M69" i="10"/>
  <c r="AG75" i="10"/>
  <c r="W75" i="10"/>
  <c r="M75" i="10"/>
  <c r="AC75" i="10"/>
  <c r="R75" i="10"/>
  <c r="G75" i="10"/>
  <c r="AB75" i="10"/>
  <c r="Q75" i="10"/>
  <c r="F75" i="10"/>
  <c r="Y75" i="10"/>
  <c r="K75" i="10"/>
  <c r="X75" i="10"/>
  <c r="J75" i="10"/>
  <c r="V75" i="10"/>
  <c r="I75" i="10"/>
  <c r="Z75" i="10"/>
  <c r="L75" i="10"/>
  <c r="AA75" i="10"/>
  <c r="T75" i="10"/>
  <c r="U75" i="10" s="1"/>
  <c r="S75" i="10"/>
  <c r="P75" i="10"/>
  <c r="O75" i="10"/>
  <c r="N75" i="10"/>
  <c r="H75" i="10"/>
  <c r="AE75" i="10"/>
  <c r="E75" i="10"/>
  <c r="AD75" i="10"/>
  <c r="D75" i="10"/>
  <c r="M175" i="5"/>
  <c r="U288" i="9"/>
  <c r="N288" i="9" s="1"/>
  <c r="U284" i="9"/>
  <c r="N284" i="9" s="1"/>
  <c r="U270" i="9"/>
  <c r="N270" i="9" s="1"/>
  <c r="U340" i="9"/>
  <c r="N340" i="9" s="1"/>
  <c r="P373" i="9"/>
  <c r="O373" i="9"/>
  <c r="T373" i="9"/>
  <c r="R373" i="9"/>
  <c r="T376" i="9"/>
  <c r="R376" i="9"/>
  <c r="P376" i="9"/>
  <c r="O376" i="9"/>
  <c r="O405" i="9"/>
  <c r="T405" i="9"/>
  <c r="R405" i="9"/>
  <c r="P405" i="9"/>
  <c r="O416" i="9"/>
  <c r="P416" i="9"/>
  <c r="T416" i="9"/>
  <c r="R416" i="9"/>
  <c r="U253" i="9"/>
  <c r="N253" i="9" s="1"/>
  <c r="U358" i="9"/>
  <c r="N358" i="9" s="1"/>
  <c r="U313" i="9"/>
  <c r="N313" i="9" s="1"/>
  <c r="U294" i="9"/>
  <c r="N294" i="9" s="1"/>
  <c r="U291" i="9"/>
  <c r="N291" i="9" s="1"/>
  <c r="U311" i="9"/>
  <c r="N311" i="9" s="1"/>
  <c r="U344" i="9"/>
  <c r="N344" i="9" s="1"/>
  <c r="T394" i="9"/>
  <c r="R394" i="9"/>
  <c r="P394" i="9"/>
  <c r="O394" i="9"/>
  <c r="T422" i="9"/>
  <c r="R422" i="9"/>
  <c r="P422" i="9"/>
  <c r="O422" i="9"/>
  <c r="M13" i="5"/>
  <c r="AG150" i="10"/>
  <c r="W150" i="10"/>
  <c r="M150" i="10"/>
  <c r="AE150" i="10"/>
  <c r="T150" i="10"/>
  <c r="U150" i="10" s="1"/>
  <c r="I150" i="10"/>
  <c r="V150" i="10"/>
  <c r="J150" i="10"/>
  <c r="R150" i="10"/>
  <c r="E150" i="10"/>
  <c r="AD150" i="10"/>
  <c r="Q150" i="10"/>
  <c r="D150" i="10"/>
  <c r="AC150" i="10"/>
  <c r="P150" i="10"/>
  <c r="AB150" i="10"/>
  <c r="O150" i="10"/>
  <c r="AA150" i="10"/>
  <c r="N150" i="10"/>
  <c r="Z150" i="10"/>
  <c r="L150" i="10"/>
  <c r="Y150" i="10"/>
  <c r="K150" i="10"/>
  <c r="X150" i="10"/>
  <c r="H150" i="10"/>
  <c r="G150" i="10"/>
  <c r="S150" i="10"/>
  <c r="F150" i="10"/>
  <c r="AG105" i="10"/>
  <c r="W105" i="10"/>
  <c r="M105" i="10"/>
  <c r="AE105" i="10"/>
  <c r="T105" i="10"/>
  <c r="I105" i="10"/>
  <c r="AB105" i="10"/>
  <c r="P105" i="10"/>
  <c r="D105" i="10"/>
  <c r="AA105" i="10"/>
  <c r="O105" i="10"/>
  <c r="Z105" i="10"/>
  <c r="N105" i="10"/>
  <c r="L105" i="10"/>
  <c r="AD105" i="10"/>
  <c r="K105" i="10"/>
  <c r="AC105" i="10"/>
  <c r="J105" i="10"/>
  <c r="Y105" i="10"/>
  <c r="H105" i="10"/>
  <c r="X105" i="10"/>
  <c r="G105" i="10"/>
  <c r="V105" i="10"/>
  <c r="F105" i="10"/>
  <c r="U105" i="10"/>
  <c r="E105" i="10"/>
  <c r="S105" i="10"/>
  <c r="R105" i="10"/>
  <c r="Q105" i="10"/>
  <c r="U24" i="10"/>
  <c r="T24" i="10"/>
  <c r="S24" i="10"/>
  <c r="I24" i="10"/>
  <c r="AG24" i="10"/>
  <c r="D24" i="10"/>
  <c r="P24" i="10"/>
  <c r="E24" i="10"/>
  <c r="G24" i="10"/>
  <c r="Z24" i="10"/>
  <c r="F24" i="10"/>
  <c r="AB24" i="10" s="1"/>
  <c r="Y24" i="10"/>
  <c r="X24" i="10"/>
  <c r="M170" i="5"/>
  <c r="M497" i="5"/>
  <c r="S8" i="10"/>
  <c r="G8" i="10"/>
  <c r="F8" i="10"/>
  <c r="T8" i="10"/>
  <c r="U8" i="10" s="1"/>
  <c r="P8" i="10"/>
  <c r="AG8" i="10"/>
  <c r="Z8" i="10"/>
  <c r="Y8" i="10"/>
  <c r="X8" i="10"/>
  <c r="I8" i="10"/>
  <c r="E8" i="10"/>
  <c r="D8" i="10"/>
  <c r="AC117" i="10"/>
  <c r="S117" i="10"/>
  <c r="I117" i="10"/>
  <c r="Y117" i="10"/>
  <c r="N117" i="10"/>
  <c r="AA117" i="10"/>
  <c r="O117" i="10"/>
  <c r="Z117" i="10"/>
  <c r="M117" i="10"/>
  <c r="X117" i="10"/>
  <c r="L117" i="10"/>
  <c r="R117" i="10"/>
  <c r="AG117" i="10"/>
  <c r="Q117" i="10"/>
  <c r="P117" i="10"/>
  <c r="AE117" i="10"/>
  <c r="K117" i="10"/>
  <c r="AD117" i="10"/>
  <c r="J117" i="10"/>
  <c r="AB117" i="10"/>
  <c r="H117" i="10"/>
  <c r="W117" i="10"/>
  <c r="G117" i="10"/>
  <c r="V117" i="10"/>
  <c r="F117" i="10"/>
  <c r="U117" i="10"/>
  <c r="E117" i="10"/>
  <c r="T117" i="10"/>
  <c r="D117" i="10"/>
  <c r="X38" i="10"/>
  <c r="D38" i="10"/>
  <c r="F38" i="10"/>
  <c r="P38" i="10"/>
  <c r="E38" i="10"/>
  <c r="Z38" i="10"/>
  <c r="Y38" i="10"/>
  <c r="I38" i="10"/>
  <c r="AB38" i="10" s="1"/>
  <c r="G38" i="10"/>
  <c r="H38" i="10" s="1"/>
  <c r="J38" i="10" s="1"/>
  <c r="T38" i="10"/>
  <c r="U38" i="10" s="1"/>
  <c r="AG38" i="10"/>
  <c r="S38" i="10"/>
  <c r="U302" i="9"/>
  <c r="N302" i="9" s="1"/>
  <c r="U306" i="9"/>
  <c r="N306" i="9" s="1"/>
  <c r="U275" i="9"/>
  <c r="N275" i="9" s="1"/>
  <c r="U271" i="9"/>
  <c r="N271" i="9" s="1"/>
  <c r="T380" i="9"/>
  <c r="R380" i="9"/>
  <c r="P380" i="9"/>
  <c r="O380" i="9"/>
  <c r="P383" i="9"/>
  <c r="O383" i="9"/>
  <c r="T383" i="9"/>
  <c r="R383" i="9"/>
  <c r="P388" i="9"/>
  <c r="O388" i="9"/>
  <c r="T388" i="9"/>
  <c r="R388" i="9"/>
  <c r="O426" i="9"/>
  <c r="T426" i="9"/>
  <c r="R426" i="9"/>
  <c r="P426" i="9"/>
  <c r="U308" i="9"/>
  <c r="N308" i="9" s="1"/>
  <c r="U256" i="9"/>
  <c r="N256" i="9" s="1"/>
  <c r="U365" i="9"/>
  <c r="N365" i="9" s="1"/>
  <c r="U320" i="9"/>
  <c r="N320" i="9" s="1"/>
  <c r="U318" i="9"/>
  <c r="N318" i="9" s="1"/>
  <c r="U293" i="9"/>
  <c r="N293" i="9" s="1"/>
  <c r="R404" i="9"/>
  <c r="P404" i="9"/>
  <c r="O404" i="9"/>
  <c r="T404" i="9"/>
  <c r="T399" i="9"/>
  <c r="R399" i="9"/>
  <c r="P399" i="9"/>
  <c r="O399" i="9"/>
  <c r="P427" i="9"/>
  <c r="O427" i="9"/>
  <c r="T427" i="9"/>
  <c r="R427" i="9"/>
  <c r="M8" i="5"/>
  <c r="G21" i="10"/>
  <c r="Z21" i="10"/>
  <c r="P21" i="10"/>
  <c r="F21" i="10"/>
  <c r="Y21" i="10"/>
  <c r="E21" i="10"/>
  <c r="X21" i="10"/>
  <c r="D21" i="10"/>
  <c r="T21" i="10"/>
  <c r="U21" i="10" s="1"/>
  <c r="S21" i="10"/>
  <c r="AG21" i="10"/>
  <c r="I21" i="10"/>
  <c r="AC107" i="10"/>
  <c r="S107" i="10"/>
  <c r="I107" i="10"/>
  <c r="W107" i="10"/>
  <c r="L107" i="10"/>
  <c r="Z107" i="10"/>
  <c r="N107" i="10"/>
  <c r="Y107" i="10"/>
  <c r="M107" i="10"/>
  <c r="X107" i="10"/>
  <c r="K107" i="10"/>
  <c r="T107" i="10"/>
  <c r="U107" i="10" s="1"/>
  <c r="D107" i="10"/>
  <c r="R107" i="10"/>
  <c r="AG107" i="10"/>
  <c r="Q107" i="10"/>
  <c r="P107" i="10"/>
  <c r="AE107" i="10"/>
  <c r="O107" i="10"/>
  <c r="AD107" i="10"/>
  <c r="J107" i="10"/>
  <c r="AB107" i="10"/>
  <c r="H107" i="10"/>
  <c r="AA107" i="10"/>
  <c r="G107" i="10"/>
  <c r="V107" i="10"/>
  <c r="F107" i="10"/>
  <c r="E107" i="10"/>
  <c r="X12" i="10"/>
  <c r="D12" i="10"/>
  <c r="Y12" i="10"/>
  <c r="AG12" i="10"/>
  <c r="P12" i="10"/>
  <c r="I12" i="10"/>
  <c r="AA12" i="10" s="1"/>
  <c r="Z12" i="10"/>
  <c r="AE12" i="10" s="1"/>
  <c r="G12" i="10"/>
  <c r="T12" i="10"/>
  <c r="U12" i="10" s="1"/>
  <c r="F12" i="10"/>
  <c r="S12" i="10"/>
  <c r="E12" i="10"/>
  <c r="M360" i="5"/>
  <c r="M250" i="5"/>
  <c r="AG18" i="10"/>
  <c r="U18" i="10"/>
  <c r="Y18" i="10"/>
  <c r="I18" i="10"/>
  <c r="AB18" i="10" s="1"/>
  <c r="X18" i="10"/>
  <c r="T18" i="10"/>
  <c r="G18" i="10"/>
  <c r="H18" i="10" s="1"/>
  <c r="Z18" i="10"/>
  <c r="F18" i="10"/>
  <c r="E18" i="10"/>
  <c r="D18" i="10"/>
  <c r="S18" i="10"/>
  <c r="P18" i="10"/>
  <c r="P46" i="10"/>
  <c r="E46" i="10"/>
  <c r="Z46" i="10"/>
  <c r="D46" i="10"/>
  <c r="Y46" i="10"/>
  <c r="X46" i="10"/>
  <c r="I46" i="10"/>
  <c r="AB46" i="10" s="1"/>
  <c r="G46" i="10"/>
  <c r="H46" i="10" s="1"/>
  <c r="U46" i="10"/>
  <c r="F46" i="10"/>
  <c r="T46" i="10"/>
  <c r="AG46" i="10"/>
  <c r="S46" i="10"/>
  <c r="M237" i="5"/>
  <c r="M264" i="5"/>
  <c r="M15" i="5"/>
  <c r="M321" i="5"/>
  <c r="M444" i="5"/>
  <c r="J30" i="12"/>
  <c r="H30" i="12"/>
  <c r="AC30" i="6"/>
  <c r="AA30" i="6"/>
  <c r="AE146" i="10"/>
  <c r="K146" i="10"/>
  <c r="Z146" i="10"/>
  <c r="O146" i="10"/>
  <c r="D146" i="10"/>
  <c r="AA146" i="10"/>
  <c r="N146" i="10"/>
  <c r="W146" i="10"/>
  <c r="I146" i="10"/>
  <c r="V146" i="10"/>
  <c r="H146" i="10"/>
  <c r="T146" i="10"/>
  <c r="U146" i="10" s="1"/>
  <c r="G146" i="10"/>
  <c r="AG146" i="10"/>
  <c r="S146" i="10"/>
  <c r="F146" i="10"/>
  <c r="R146" i="10"/>
  <c r="E146" i="10"/>
  <c r="AD146" i="10"/>
  <c r="Q146" i="10"/>
  <c r="AC146" i="10"/>
  <c r="P146" i="10"/>
  <c r="AB146" i="10"/>
  <c r="M146" i="10"/>
  <c r="Y146" i="10"/>
  <c r="X146" i="10"/>
  <c r="L146" i="10"/>
  <c r="J146" i="10"/>
  <c r="S25" i="10"/>
  <c r="I25" i="10"/>
  <c r="AA25" i="10" s="1"/>
  <c r="G25" i="10"/>
  <c r="Z25" i="10"/>
  <c r="Y25" i="10"/>
  <c r="T25" i="10"/>
  <c r="U25" i="10" s="1"/>
  <c r="P25" i="10"/>
  <c r="AG25" i="10"/>
  <c r="F25" i="10"/>
  <c r="E25" i="10"/>
  <c r="X25" i="10"/>
  <c r="D25" i="10"/>
  <c r="M292" i="5"/>
  <c r="E63" i="14"/>
  <c r="F63" i="14" s="1"/>
  <c r="M430" i="5"/>
  <c r="M490" i="5"/>
  <c r="M436" i="5"/>
  <c r="M151" i="5"/>
  <c r="J13" i="12"/>
  <c r="H13" i="12"/>
  <c r="AA13" i="6"/>
  <c r="AC13" i="6"/>
  <c r="M282" i="5"/>
  <c r="M117" i="5"/>
  <c r="AE121" i="10"/>
  <c r="K121" i="10"/>
  <c r="Z121" i="10"/>
  <c r="O121" i="10"/>
  <c r="D121" i="10"/>
  <c r="X121" i="10"/>
  <c r="L121" i="10"/>
  <c r="AB121" i="10"/>
  <c r="N121" i="10"/>
  <c r="AA121" i="10"/>
  <c r="M121" i="10"/>
  <c r="Y121" i="10"/>
  <c r="J121" i="10"/>
  <c r="W121" i="10"/>
  <c r="I121" i="10"/>
  <c r="T121" i="10"/>
  <c r="U121" i="10" s="1"/>
  <c r="G121" i="10"/>
  <c r="R121" i="10"/>
  <c r="Q121" i="10"/>
  <c r="P121" i="10"/>
  <c r="H121" i="10"/>
  <c r="AG121" i="10"/>
  <c r="F121" i="10"/>
  <c r="E121" i="10"/>
  <c r="AD121" i="10"/>
  <c r="AC121" i="10"/>
  <c r="V121" i="10"/>
  <c r="S121" i="10"/>
  <c r="AE116" i="10"/>
  <c r="K116" i="10"/>
  <c r="X116" i="10"/>
  <c r="M116" i="10"/>
  <c r="V116" i="10"/>
  <c r="I116" i="10"/>
  <c r="AG116" i="10"/>
  <c r="T116" i="10"/>
  <c r="U116" i="10" s="1"/>
  <c r="H116" i="10"/>
  <c r="S116" i="10"/>
  <c r="G116" i="10"/>
  <c r="AD116" i="10"/>
  <c r="O116" i="10"/>
  <c r="AC116" i="10"/>
  <c r="N116" i="10"/>
  <c r="AB116" i="10"/>
  <c r="L116" i="10"/>
  <c r="AA116" i="10"/>
  <c r="J116" i="10"/>
  <c r="Z116" i="10"/>
  <c r="F116" i="10"/>
  <c r="Y116" i="10"/>
  <c r="E116" i="10"/>
  <c r="W116" i="10"/>
  <c r="D116" i="10"/>
  <c r="R116" i="10"/>
  <c r="Q116" i="10"/>
  <c r="P116" i="10"/>
  <c r="H29" i="12"/>
  <c r="AC29" i="6"/>
  <c r="AA29" i="6"/>
  <c r="J29" i="12"/>
  <c r="U91" i="9"/>
  <c r="U75" i="9"/>
  <c r="U65" i="9"/>
  <c r="U55" i="9"/>
  <c r="U45" i="9"/>
  <c r="U35" i="9"/>
  <c r="U25" i="9"/>
  <c r="U15" i="9"/>
  <c r="U89" i="9"/>
  <c r="U87" i="9"/>
  <c r="U82" i="9"/>
  <c r="U72" i="9"/>
  <c r="U62" i="9"/>
  <c r="U52" i="9"/>
  <c r="U42" i="9"/>
  <c r="U32" i="9"/>
  <c r="U22" i="9"/>
  <c r="U85" i="9"/>
  <c r="U79" i="9"/>
  <c r="U69" i="9"/>
  <c r="U59" i="9"/>
  <c r="U49" i="9"/>
  <c r="U39" i="9"/>
  <c r="U29" i="9"/>
  <c r="U19" i="9"/>
  <c r="U81" i="9"/>
  <c r="U64" i="9"/>
  <c r="U53" i="9"/>
  <c r="U38" i="9"/>
  <c r="U27" i="9"/>
  <c r="U16" i="9"/>
  <c r="U86" i="9"/>
  <c r="U74" i="9"/>
  <c r="U63" i="9"/>
  <c r="U48" i="9"/>
  <c r="U37" i="9"/>
  <c r="U26" i="9"/>
  <c r="U88" i="9"/>
  <c r="U73" i="9"/>
  <c r="U58" i="9"/>
  <c r="U47" i="9"/>
  <c r="U36" i="9"/>
  <c r="U21" i="9"/>
  <c r="U90" i="9"/>
  <c r="U68" i="9"/>
  <c r="U57" i="9"/>
  <c r="U78" i="9"/>
  <c r="U67" i="9"/>
  <c r="U56" i="9"/>
  <c r="U92" i="9"/>
  <c r="U77" i="9"/>
  <c r="U66" i="9"/>
  <c r="U51" i="9"/>
  <c r="U76" i="9"/>
  <c r="U61" i="9"/>
  <c r="U71" i="9"/>
  <c r="U60" i="9"/>
  <c r="U83" i="9"/>
  <c r="U70" i="9"/>
  <c r="U84" i="9"/>
  <c r="U80" i="9"/>
  <c r="U54" i="9"/>
  <c r="U43" i="9"/>
  <c r="U28" i="9"/>
  <c r="U17" i="9"/>
  <c r="U33" i="9"/>
  <c r="U30" i="9"/>
  <c r="U23" i="9"/>
  <c r="U20" i="9"/>
  <c r="U41" i="9"/>
  <c r="U13" i="9"/>
  <c r="U34" i="9"/>
  <c r="U31" i="9"/>
  <c r="U46" i="9"/>
  <c r="U24" i="9"/>
  <c r="U44" i="9"/>
  <c r="U14" i="9"/>
  <c r="U50" i="9"/>
  <c r="U18" i="9"/>
  <c r="U40" i="9"/>
  <c r="U342" i="9"/>
  <c r="N342" i="9" s="1"/>
  <c r="U328" i="9"/>
  <c r="N328" i="9" s="1"/>
  <c r="U283" i="9"/>
  <c r="N283" i="9" s="1"/>
  <c r="U274" i="9"/>
  <c r="N274" i="9" s="1"/>
  <c r="T387" i="9"/>
  <c r="R387" i="9"/>
  <c r="P387" i="9"/>
  <c r="O387" i="9"/>
  <c r="P390" i="9"/>
  <c r="O390" i="9"/>
  <c r="T390" i="9"/>
  <c r="R390" i="9"/>
  <c r="O395" i="9"/>
  <c r="T395" i="9"/>
  <c r="R395" i="9"/>
  <c r="P395" i="9"/>
  <c r="R429" i="9"/>
  <c r="O429" i="9"/>
  <c r="T429" i="9"/>
  <c r="P429" i="9"/>
  <c r="U317" i="9"/>
  <c r="N317" i="9" s="1"/>
  <c r="U273" i="9"/>
  <c r="N273" i="9" s="1"/>
  <c r="U372" i="9"/>
  <c r="N372" i="9" s="1"/>
  <c r="U327" i="9"/>
  <c r="N327" i="9" s="1"/>
  <c r="U325" i="9"/>
  <c r="N325" i="9" s="1"/>
  <c r="U295" i="9"/>
  <c r="N295" i="9" s="1"/>
  <c r="O415" i="9"/>
  <c r="T415" i="9"/>
  <c r="R415" i="9"/>
  <c r="P415" i="9"/>
  <c r="O406" i="9"/>
  <c r="T406" i="9"/>
  <c r="R406" i="9"/>
  <c r="P406" i="9"/>
  <c r="T432" i="9"/>
  <c r="R432" i="9"/>
  <c r="P432" i="9"/>
  <c r="O432" i="9"/>
  <c r="AG85" i="10"/>
  <c r="W85" i="10"/>
  <c r="M85" i="10"/>
  <c r="J85" i="10"/>
  <c r="AE85" i="10"/>
  <c r="T85" i="10"/>
  <c r="U85" i="10" s="1"/>
  <c r="I85" i="10"/>
  <c r="AD85" i="10"/>
  <c r="S85" i="10"/>
  <c r="H85" i="10"/>
  <c r="P85" i="10"/>
  <c r="AC85" i="10"/>
  <c r="O85" i="10"/>
  <c r="AB85" i="10"/>
  <c r="N85" i="10"/>
  <c r="AA85" i="10"/>
  <c r="L85" i="10"/>
  <c r="Z85" i="10"/>
  <c r="K85" i="10"/>
  <c r="Y85" i="10"/>
  <c r="X85" i="10"/>
  <c r="F85" i="10"/>
  <c r="Q85" i="10"/>
  <c r="V85" i="10"/>
  <c r="R85" i="10"/>
  <c r="G85" i="10"/>
  <c r="E85" i="10"/>
  <c r="D85" i="10"/>
  <c r="AA73" i="10"/>
  <c r="Q73" i="10"/>
  <c r="G73" i="10"/>
  <c r="Z73" i="10"/>
  <c r="O73" i="10"/>
  <c r="D73" i="10"/>
  <c r="Y73" i="10"/>
  <c r="N73" i="10"/>
  <c r="AG73" i="10"/>
  <c r="T73" i="10"/>
  <c r="U73" i="10" s="1"/>
  <c r="F73" i="10"/>
  <c r="S73" i="10"/>
  <c r="E73" i="10"/>
  <c r="AE73" i="10"/>
  <c r="R73" i="10"/>
  <c r="H73" i="10"/>
  <c r="V73" i="10"/>
  <c r="P73" i="10"/>
  <c r="M73" i="10"/>
  <c r="L73" i="10"/>
  <c r="K73" i="10"/>
  <c r="AD73" i="10"/>
  <c r="J73" i="10"/>
  <c r="AC73" i="10"/>
  <c r="I73" i="10"/>
  <c r="AB73" i="10"/>
  <c r="X73" i="10"/>
  <c r="W73" i="10"/>
  <c r="AA68" i="10"/>
  <c r="Q68" i="10"/>
  <c r="G68" i="10"/>
  <c r="AE68" i="10"/>
  <c r="T68" i="10"/>
  <c r="I68" i="10"/>
  <c r="AD68" i="10"/>
  <c r="S68" i="10"/>
  <c r="H68" i="10"/>
  <c r="Z68" i="10"/>
  <c r="M68" i="10"/>
  <c r="Y68" i="10"/>
  <c r="L68" i="10"/>
  <c r="X68" i="10"/>
  <c r="K68" i="10"/>
  <c r="AB68" i="10"/>
  <c r="N68" i="10"/>
  <c r="R68" i="10"/>
  <c r="P68" i="10"/>
  <c r="O68" i="10"/>
  <c r="J68" i="10"/>
  <c r="AG68" i="10"/>
  <c r="F68" i="10"/>
  <c r="E68" i="10"/>
  <c r="AC68" i="10"/>
  <c r="D68" i="10"/>
  <c r="W68" i="10"/>
  <c r="V68" i="10"/>
  <c r="U68" i="10"/>
  <c r="M50" i="5"/>
  <c r="Y134" i="10"/>
  <c r="O134" i="10"/>
  <c r="E134" i="10"/>
  <c r="J134" i="10"/>
  <c r="AB134" i="10"/>
  <c r="P134" i="10"/>
  <c r="W134" i="10"/>
  <c r="I134" i="10"/>
  <c r="V134" i="10"/>
  <c r="H134" i="10"/>
  <c r="T134" i="10"/>
  <c r="U134" i="10" s="1"/>
  <c r="G134" i="10"/>
  <c r="AG134" i="10"/>
  <c r="S134" i="10"/>
  <c r="F134" i="10"/>
  <c r="AE134" i="10"/>
  <c r="R134" i="10"/>
  <c r="D134" i="10"/>
  <c r="AD134" i="10"/>
  <c r="Q134" i="10"/>
  <c r="AC134" i="10"/>
  <c r="N134" i="10"/>
  <c r="AA134" i="10"/>
  <c r="M134" i="10"/>
  <c r="Z134" i="10"/>
  <c r="X134" i="10"/>
  <c r="L134" i="10"/>
  <c r="K134" i="10"/>
  <c r="Y154" i="10"/>
  <c r="O154" i="10"/>
  <c r="E154" i="10"/>
  <c r="Z154" i="10"/>
  <c r="N154" i="10"/>
  <c r="AD154" i="10"/>
  <c r="R154" i="10"/>
  <c r="F154" i="10"/>
  <c r="AB154" i="10"/>
  <c r="M154" i="10"/>
  <c r="AA154" i="10"/>
  <c r="L154" i="10"/>
  <c r="X154" i="10"/>
  <c r="K154" i="10"/>
  <c r="W154" i="10"/>
  <c r="J154" i="10"/>
  <c r="V154" i="10"/>
  <c r="I154" i="10"/>
  <c r="H154" i="10"/>
  <c r="AG154" i="10"/>
  <c r="T154" i="10"/>
  <c r="U154" i="10" s="1"/>
  <c r="G154" i="10"/>
  <c r="S154" i="10"/>
  <c r="D154" i="10"/>
  <c r="AE154" i="10"/>
  <c r="Q154" i="10"/>
  <c r="AC154" i="10"/>
  <c r="P154" i="10"/>
  <c r="AC82" i="10"/>
  <c r="S82" i="10"/>
  <c r="I82" i="10"/>
  <c r="AA82" i="10"/>
  <c r="P82" i="10"/>
  <c r="E82" i="10"/>
  <c r="Z82" i="10"/>
  <c r="O82" i="10"/>
  <c r="D82" i="10"/>
  <c r="W82" i="10"/>
  <c r="J82" i="10"/>
  <c r="V82" i="10"/>
  <c r="H82" i="10"/>
  <c r="G82" i="10"/>
  <c r="X82" i="10"/>
  <c r="K82" i="10"/>
  <c r="L82" i="10"/>
  <c r="AE82" i="10"/>
  <c r="F82" i="10"/>
  <c r="AD82" i="10"/>
  <c r="AB82" i="10"/>
  <c r="Y82" i="10"/>
  <c r="T82" i="10"/>
  <c r="U82" i="10" s="1"/>
  <c r="R82" i="10"/>
  <c r="Q82" i="10"/>
  <c r="N82" i="10"/>
  <c r="AG82" i="10"/>
  <c r="M82" i="10"/>
  <c r="Z42" i="10"/>
  <c r="P42" i="10"/>
  <c r="F42" i="10"/>
  <c r="AG42" i="10"/>
  <c r="T42" i="10"/>
  <c r="U42" i="10" s="1"/>
  <c r="I42" i="10"/>
  <c r="Y42" i="10"/>
  <c r="X42" i="10"/>
  <c r="G42" i="10"/>
  <c r="H42" i="10" s="1"/>
  <c r="E42" i="10"/>
  <c r="S42" i="10"/>
  <c r="D42" i="10"/>
  <c r="Y56" i="10"/>
  <c r="X56" i="10"/>
  <c r="I56" i="10"/>
  <c r="AA56" i="10" s="1"/>
  <c r="Z56" i="10"/>
  <c r="F56" i="10"/>
  <c r="T56" i="10"/>
  <c r="U56" i="10" s="1"/>
  <c r="E56" i="10"/>
  <c r="S56" i="10"/>
  <c r="D56" i="10"/>
  <c r="AG56" i="10"/>
  <c r="P56" i="10"/>
  <c r="G56" i="10"/>
  <c r="M396" i="5"/>
  <c r="M196" i="5"/>
  <c r="M206" i="5"/>
  <c r="X43" i="10"/>
  <c r="D43" i="10"/>
  <c r="AG43" i="10"/>
  <c r="U43" i="10"/>
  <c r="I43" i="10"/>
  <c r="Z43" i="10"/>
  <c r="Y43" i="10"/>
  <c r="G43" i="10"/>
  <c r="H43" i="10" s="1"/>
  <c r="J43" i="10" s="1"/>
  <c r="T43" i="10"/>
  <c r="F43" i="10"/>
  <c r="AB43" i="10" s="1"/>
  <c r="S43" i="10"/>
  <c r="E43" i="10"/>
  <c r="P43" i="10"/>
  <c r="M116" i="5"/>
  <c r="AA78" i="10"/>
  <c r="Q78" i="10"/>
  <c r="G78" i="10"/>
  <c r="AG78" i="10"/>
  <c r="V78" i="10"/>
  <c r="K78" i="10"/>
  <c r="J78" i="10"/>
  <c r="Z78" i="10"/>
  <c r="M78" i="10"/>
  <c r="Y78" i="10"/>
  <c r="L78" i="10"/>
  <c r="X78" i="10"/>
  <c r="I78" i="10"/>
  <c r="AB78" i="10"/>
  <c r="N78" i="10"/>
  <c r="T78" i="10"/>
  <c r="U78" i="10" s="1"/>
  <c r="S78" i="10"/>
  <c r="R78" i="10"/>
  <c r="P78" i="10"/>
  <c r="O78" i="10"/>
  <c r="H78" i="10"/>
  <c r="AE78" i="10"/>
  <c r="F78" i="10"/>
  <c r="AD78" i="10"/>
  <c r="E78" i="10"/>
  <c r="AC78" i="10"/>
  <c r="D78" i="10"/>
  <c r="W78" i="10"/>
  <c r="AC112" i="10"/>
  <c r="S112" i="10"/>
  <c r="I112" i="10"/>
  <c r="AD112" i="10"/>
  <c r="R112" i="10"/>
  <c r="G112" i="10"/>
  <c r="Z112" i="10"/>
  <c r="N112" i="10"/>
  <c r="Y112" i="10"/>
  <c r="M112" i="10"/>
  <c r="X112" i="10"/>
  <c r="L112" i="10"/>
  <c r="T112" i="10"/>
  <c r="U112" i="10" s="1"/>
  <c r="Q112" i="10"/>
  <c r="AG112" i="10"/>
  <c r="P112" i="10"/>
  <c r="O112" i="10"/>
  <c r="AE112" i="10"/>
  <c r="K112" i="10"/>
  <c r="AB112" i="10"/>
  <c r="J112" i="10"/>
  <c r="AA112" i="10"/>
  <c r="H112" i="10"/>
  <c r="W112" i="10"/>
  <c r="F112" i="10"/>
  <c r="V112" i="10"/>
  <c r="E112" i="10"/>
  <c r="D112" i="10"/>
  <c r="M486" i="5"/>
  <c r="M512" i="5"/>
  <c r="M511" i="5"/>
  <c r="H28" i="12"/>
  <c r="AA28" i="6"/>
  <c r="AC28" i="6"/>
  <c r="J28" i="12"/>
  <c r="AG110" i="10"/>
  <c r="W110" i="10"/>
  <c r="M110" i="10"/>
  <c r="AA110" i="10"/>
  <c r="P110" i="10"/>
  <c r="E110" i="10"/>
  <c r="AC110" i="10"/>
  <c r="Q110" i="10"/>
  <c r="D110" i="10"/>
  <c r="AB110" i="10"/>
  <c r="O110" i="10"/>
  <c r="Z110" i="10"/>
  <c r="N110" i="10"/>
  <c r="AE110" i="10"/>
  <c r="K110" i="10"/>
  <c r="AD110" i="10"/>
  <c r="J110" i="10"/>
  <c r="Y110" i="10"/>
  <c r="I110" i="10"/>
  <c r="X110" i="10"/>
  <c r="H110" i="10"/>
  <c r="V110" i="10"/>
  <c r="G110" i="10"/>
  <c r="F110" i="10"/>
  <c r="T110" i="10"/>
  <c r="U110" i="10" s="1"/>
  <c r="S110" i="10"/>
  <c r="R110" i="10"/>
  <c r="L110" i="10"/>
  <c r="Y22" i="10"/>
  <c r="E22" i="10"/>
  <c r="X22" i="10"/>
  <c r="D22" i="10"/>
  <c r="AG22" i="10"/>
  <c r="Z22" i="10"/>
  <c r="I22" i="10"/>
  <c r="AB22" i="10" s="1"/>
  <c r="T22" i="10"/>
  <c r="U22" i="10" s="1"/>
  <c r="S22" i="10"/>
  <c r="P22" i="10"/>
  <c r="G22" i="10"/>
  <c r="F22" i="10"/>
  <c r="M515" i="5"/>
  <c r="AE96" i="10"/>
  <c r="K96" i="10"/>
  <c r="AD96" i="10"/>
  <c r="S96" i="10"/>
  <c r="H96" i="10"/>
  <c r="AG96" i="10"/>
  <c r="T96" i="10"/>
  <c r="U96" i="10" s="1"/>
  <c r="G96" i="10"/>
  <c r="R96" i="10"/>
  <c r="F96" i="10"/>
  <c r="AC96" i="10"/>
  <c r="Q96" i="10"/>
  <c r="E96" i="10"/>
  <c r="V96" i="10"/>
  <c r="P96" i="10"/>
  <c r="O96" i="10"/>
  <c r="N96" i="10"/>
  <c r="AB96" i="10"/>
  <c r="M96" i="10"/>
  <c r="AA96" i="10"/>
  <c r="L96" i="10"/>
  <c r="Z96" i="10"/>
  <c r="J96" i="10"/>
  <c r="Y96" i="10"/>
  <c r="I96" i="10"/>
  <c r="X96" i="10"/>
  <c r="D96" i="10"/>
  <c r="W96" i="10"/>
  <c r="Y114" i="10"/>
  <c r="O114" i="10"/>
  <c r="E114" i="10"/>
  <c r="J114" i="10"/>
  <c r="X114" i="10"/>
  <c r="L114" i="10"/>
  <c r="W114" i="10"/>
  <c r="K114" i="10"/>
  <c r="V114" i="10"/>
  <c r="I114" i="10"/>
  <c r="AA114" i="10"/>
  <c r="G114" i="10"/>
  <c r="Z114" i="10"/>
  <c r="F114" i="10"/>
  <c r="T114" i="10"/>
  <c r="U114" i="10" s="1"/>
  <c r="D114" i="10"/>
  <c r="S114" i="10"/>
  <c r="R114" i="10"/>
  <c r="AG114" i="10"/>
  <c r="Q114" i="10"/>
  <c r="AE114" i="10"/>
  <c r="P114" i="10"/>
  <c r="AD114" i="10"/>
  <c r="N114" i="10"/>
  <c r="AC114" i="10"/>
  <c r="M114" i="10"/>
  <c r="AB114" i="10"/>
  <c r="H114" i="10"/>
  <c r="AC127" i="10"/>
  <c r="S127" i="10"/>
  <c r="I127" i="10"/>
  <c r="W127" i="10"/>
  <c r="L127" i="10"/>
  <c r="AD127" i="10"/>
  <c r="Q127" i="10"/>
  <c r="E127" i="10"/>
  <c r="AA127" i="10"/>
  <c r="N127" i="10"/>
  <c r="Z127" i="10"/>
  <c r="M127" i="10"/>
  <c r="Y127" i="10"/>
  <c r="K127" i="10"/>
  <c r="X127" i="10"/>
  <c r="J127" i="10"/>
  <c r="V127" i="10"/>
  <c r="H127" i="10"/>
  <c r="G127" i="10"/>
  <c r="AG127" i="10"/>
  <c r="T127" i="10"/>
  <c r="U127" i="10" s="1"/>
  <c r="F127" i="10"/>
  <c r="R127" i="10"/>
  <c r="D127" i="10"/>
  <c r="AE127" i="10"/>
  <c r="AB127" i="10"/>
  <c r="P127" i="10"/>
  <c r="O127" i="10"/>
  <c r="AE66" i="10"/>
  <c r="K66" i="10"/>
  <c r="AB66" i="10"/>
  <c r="Q66" i="10"/>
  <c r="F66" i="10"/>
  <c r="AA66" i="10"/>
  <c r="P66" i="10"/>
  <c r="E66" i="10"/>
  <c r="V66" i="10"/>
  <c r="H66" i="10"/>
  <c r="T66" i="10"/>
  <c r="U66" i="10" s="1"/>
  <c r="G66" i="10"/>
  <c r="AG66" i="10"/>
  <c r="S66" i="10"/>
  <c r="D66" i="10"/>
  <c r="W66" i="10"/>
  <c r="I66" i="10"/>
  <c r="M66" i="10"/>
  <c r="L66" i="10"/>
  <c r="AD66" i="10"/>
  <c r="J66" i="10"/>
  <c r="AC66" i="10"/>
  <c r="Z66" i="10"/>
  <c r="Y66" i="10"/>
  <c r="X66" i="10"/>
  <c r="R66" i="10"/>
  <c r="O66" i="10"/>
  <c r="N66" i="10"/>
  <c r="M296" i="5"/>
  <c r="M306" i="5"/>
  <c r="H34" i="12"/>
  <c r="J34" i="12"/>
  <c r="AC34" i="6"/>
  <c r="AA34" i="6"/>
  <c r="M472" i="5"/>
  <c r="Y20" i="12" l="1"/>
  <c r="M20" i="12" s="1"/>
  <c r="Q51" i="13" s="1"/>
  <c r="N51" i="13" s="1"/>
  <c r="Y39" i="12"/>
  <c r="N39" i="12" s="1"/>
  <c r="Y36" i="12"/>
  <c r="N36" i="12" s="1"/>
  <c r="AC57" i="10"/>
  <c r="AD12" i="10"/>
  <c r="AA48" i="10"/>
  <c r="AD45" i="10"/>
  <c r="AB56" i="10"/>
  <c r="AA18" i="10"/>
  <c r="AA32" i="10"/>
  <c r="AE32" i="10" s="1"/>
  <c r="N32" i="10" s="1"/>
  <c r="Q32" i="10" s="1"/>
  <c r="R32" i="10" s="1"/>
  <c r="AE7" i="10"/>
  <c r="AA36" i="10"/>
  <c r="AE36" i="10" s="1"/>
  <c r="Y15" i="12"/>
  <c r="M15" i="12" s="1"/>
  <c r="Q46" i="13" s="1"/>
  <c r="N46" i="13" s="1"/>
  <c r="Y13" i="12"/>
  <c r="N13" i="12" s="1"/>
  <c r="AD40" i="10"/>
  <c r="AB34" i="10"/>
  <c r="AB9" i="10"/>
  <c r="AE60" i="10"/>
  <c r="Y32" i="12"/>
  <c r="N32" i="12" s="1"/>
  <c r="AD20" i="10"/>
  <c r="M20" i="10" s="1"/>
  <c r="AC15" i="10"/>
  <c r="AE40" i="10"/>
  <c r="J34" i="10"/>
  <c r="AE47" i="10"/>
  <c r="O15" i="10"/>
  <c r="AC25" i="10"/>
  <c r="AC18" i="10"/>
  <c r="AD54" i="10"/>
  <c r="AC27" i="10"/>
  <c r="AA39" i="10"/>
  <c r="J40" i="10"/>
  <c r="AE49" i="10"/>
  <c r="N49" i="10" s="1"/>
  <c r="Q49" i="10" s="1"/>
  <c r="R49" i="10" s="1"/>
  <c r="AB25" i="10"/>
  <c r="AD18" i="10"/>
  <c r="AE9" i="10"/>
  <c r="N9" i="10" s="1"/>
  <c r="AB13" i="10"/>
  <c r="AD25" i="10"/>
  <c r="J48" i="10"/>
  <c r="AC59" i="10"/>
  <c r="AD27" i="10"/>
  <c r="J13" i="10"/>
  <c r="AB17" i="10"/>
  <c r="J55" i="10"/>
  <c r="J17" i="10"/>
  <c r="AE27" i="10"/>
  <c r="AD13" i="10"/>
  <c r="AB50" i="10"/>
  <c r="J16" i="10"/>
  <c r="AC55" i="10"/>
  <c r="AC19" i="10"/>
  <c r="AE15" i="10"/>
  <c r="N15" i="10" s="1"/>
  <c r="Q15" i="10" s="1"/>
  <c r="R15" i="10" s="1"/>
  <c r="Y30" i="12"/>
  <c r="N30" i="12" s="1"/>
  <c r="AB49" i="10"/>
  <c r="AB30" i="10"/>
  <c r="AC7" i="10"/>
  <c r="AB23" i="10"/>
  <c r="AC54" i="10"/>
  <c r="AC60" i="10"/>
  <c r="AA42" i="10"/>
  <c r="AE42" i="10" s="1"/>
  <c r="AE18" i="10"/>
  <c r="J28" i="10"/>
  <c r="AE54" i="10"/>
  <c r="AB35" i="10"/>
  <c r="Y9" i="12"/>
  <c r="M9" i="12" s="1"/>
  <c r="Q40" i="13" s="1"/>
  <c r="N40" i="13" s="1"/>
  <c r="Y12" i="12"/>
  <c r="N12" i="12" s="1"/>
  <c r="AC20" i="10"/>
  <c r="AC40" i="10"/>
  <c r="Y16" i="12"/>
  <c r="M16" i="12" s="1"/>
  <c r="Q47" i="13" s="1"/>
  <c r="N47" i="13" s="1"/>
  <c r="Y17" i="12"/>
  <c r="Y21" i="12"/>
  <c r="N21" i="12" s="1"/>
  <c r="Y33" i="12"/>
  <c r="N33" i="12" s="1"/>
  <c r="Y27" i="12"/>
  <c r="N27" i="12" s="1"/>
  <c r="Y8" i="12"/>
  <c r="N8" i="12" s="1"/>
  <c r="Y40" i="12"/>
  <c r="M40" i="12" s="1"/>
  <c r="Q71" i="13" s="1"/>
  <c r="N71" i="13" s="1"/>
  <c r="Y24" i="12"/>
  <c r="N24" i="12" s="1"/>
  <c r="H51" i="10"/>
  <c r="O51" i="10" s="1"/>
  <c r="AD60" i="10"/>
  <c r="H56" i="10"/>
  <c r="V56" i="10" s="1"/>
  <c r="J35" i="10"/>
  <c r="O35" i="10"/>
  <c r="H22" i="10"/>
  <c r="J22" i="10" s="1"/>
  <c r="H12" i="10"/>
  <c r="V12" i="10" s="1"/>
  <c r="AE30" i="10"/>
  <c r="H54" i="10"/>
  <c r="O54" i="10" s="1"/>
  <c r="H47" i="10"/>
  <c r="J47" i="10" s="1"/>
  <c r="H36" i="10"/>
  <c r="O36" i="10" s="1"/>
  <c r="AD47" i="10"/>
  <c r="AD15" i="10"/>
  <c r="AE25" i="10"/>
  <c r="H41" i="10"/>
  <c r="J41" i="10" s="1"/>
  <c r="H19" i="10"/>
  <c r="V19" i="10" s="1"/>
  <c r="AD48" i="10"/>
  <c r="O57" i="10"/>
  <c r="V57" i="10"/>
  <c r="J42" i="10"/>
  <c r="O42" i="10"/>
  <c r="V16" i="10"/>
  <c r="AC49" i="10"/>
  <c r="V11" i="10"/>
  <c r="V17" i="10"/>
  <c r="O34" i="10"/>
  <c r="V53" i="10"/>
  <c r="V13" i="10"/>
  <c r="O43" i="10"/>
  <c r="H29" i="10"/>
  <c r="J29" i="10" s="1"/>
  <c r="H21" i="10"/>
  <c r="V21" i="10" s="1"/>
  <c r="O38" i="10"/>
  <c r="AE45" i="10"/>
  <c r="N45" i="10" s="1"/>
  <c r="V32" i="10"/>
  <c r="V52" i="10"/>
  <c r="H26" i="10"/>
  <c r="J26" i="10" s="1"/>
  <c r="AC12" i="10"/>
  <c r="V38" i="10"/>
  <c r="AE13" i="10"/>
  <c r="H14" i="10"/>
  <c r="J14" i="10" s="1"/>
  <c r="H44" i="10"/>
  <c r="J44" i="10" s="1"/>
  <c r="H60" i="10"/>
  <c r="O60" i="10" s="1"/>
  <c r="N20" i="10"/>
  <c r="O61" i="10"/>
  <c r="H8" i="10"/>
  <c r="V8" i="10" s="1"/>
  <c r="H33" i="10"/>
  <c r="V33" i="10" s="1"/>
  <c r="AD7" i="10"/>
  <c r="O28" i="10"/>
  <c r="H27" i="10"/>
  <c r="J27" i="10" s="1"/>
  <c r="AE35" i="10"/>
  <c r="N35" i="10" s="1"/>
  <c r="AC39" i="10"/>
  <c r="AE19" i="10"/>
  <c r="O32" i="10"/>
  <c r="H58" i="10"/>
  <c r="V58" i="10" s="1"/>
  <c r="AD35" i="10"/>
  <c r="AC35" i="10"/>
  <c r="J45" i="10"/>
  <c r="O45" i="10"/>
  <c r="V45" i="10"/>
  <c r="AC13" i="10"/>
  <c r="AD58" i="10"/>
  <c r="AC58" i="10"/>
  <c r="AE58" i="10"/>
  <c r="N58" i="10" s="1"/>
  <c r="O40" i="10"/>
  <c r="AE56" i="10"/>
  <c r="N56" i="10" s="1"/>
  <c r="AE59" i="10"/>
  <c r="AD57" i="10"/>
  <c r="AE57" i="10"/>
  <c r="N57" i="10" s="1"/>
  <c r="Q57" i="10" s="1"/>
  <c r="R57" i="10" s="1"/>
  <c r="AD56" i="10"/>
  <c r="AE55" i="10"/>
  <c r="AD55" i="10"/>
  <c r="AE39" i="10"/>
  <c r="AD39" i="10"/>
  <c r="AE11" i="10"/>
  <c r="N11" i="10" s="1"/>
  <c r="AD11" i="10"/>
  <c r="AD59" i="10"/>
  <c r="AC47" i="10"/>
  <c r="AC9" i="10"/>
  <c r="AD9" i="10"/>
  <c r="V37" i="10"/>
  <c r="J37" i="10"/>
  <c r="AD49" i="10"/>
  <c r="AC56" i="10"/>
  <c r="J18" i="10"/>
  <c r="V18" i="10"/>
  <c r="V20" i="10"/>
  <c r="J20" i="10"/>
  <c r="V46" i="10"/>
  <c r="J46" i="10"/>
  <c r="O46" i="10"/>
  <c r="O18" i="10"/>
  <c r="AC11" i="10"/>
  <c r="O37" i="10"/>
  <c r="O20" i="10"/>
  <c r="T271" i="9"/>
  <c r="S271" i="9"/>
  <c r="P271" i="9"/>
  <c r="O271" i="9"/>
  <c r="AB10" i="10"/>
  <c r="P256" i="9"/>
  <c r="T256" i="9"/>
  <c r="S256" i="9"/>
  <c r="O256" i="9"/>
  <c r="T327" i="9"/>
  <c r="S327" i="9"/>
  <c r="P327" i="9"/>
  <c r="O327" i="9"/>
  <c r="AA46" i="10"/>
  <c r="H24" i="10"/>
  <c r="J24" i="10" s="1"/>
  <c r="AA38" i="10"/>
  <c r="AD38" i="10" s="1"/>
  <c r="AA34" i="10"/>
  <c r="AC34" i="10" s="1"/>
  <c r="AB42" i="10"/>
  <c r="X18" i="9"/>
  <c r="W18" i="9"/>
  <c r="X20" i="9"/>
  <c r="W20" i="9"/>
  <c r="X70" i="9"/>
  <c r="W70" i="9"/>
  <c r="X56" i="9"/>
  <c r="W56" i="9"/>
  <c r="X73" i="9"/>
  <c r="W73" i="9"/>
  <c r="W38" i="9"/>
  <c r="X38" i="9"/>
  <c r="X79" i="9"/>
  <c r="W79" i="9"/>
  <c r="N79" i="9" s="1"/>
  <c r="W89" i="9"/>
  <c r="X89" i="9"/>
  <c r="T293" i="9"/>
  <c r="S293" i="9"/>
  <c r="P293" i="9"/>
  <c r="O293" i="9"/>
  <c r="AC30" i="10"/>
  <c r="AA33" i="10"/>
  <c r="AC33" i="10" s="1"/>
  <c r="H10" i="10"/>
  <c r="O10" i="10" s="1"/>
  <c r="F38" i="1" s="1"/>
  <c r="V34" i="10"/>
  <c r="T339" i="9"/>
  <c r="S339" i="9"/>
  <c r="P339" i="9"/>
  <c r="O339" i="9"/>
  <c r="P347" i="9"/>
  <c r="O347" i="9"/>
  <c r="S347" i="9"/>
  <c r="T347" i="9"/>
  <c r="AA53" i="10"/>
  <c r="AB47" i="10"/>
  <c r="H23" i="10"/>
  <c r="O23" i="10" s="1"/>
  <c r="AB54" i="10"/>
  <c r="AB27" i="10"/>
  <c r="AB39" i="10"/>
  <c r="T265" i="9"/>
  <c r="S265" i="9"/>
  <c r="O265" i="9"/>
  <c r="P265" i="9"/>
  <c r="T330" i="9"/>
  <c r="S330" i="9"/>
  <c r="P330" i="9"/>
  <c r="O330" i="9"/>
  <c r="Y23" i="12"/>
  <c r="L5" i="12"/>
  <c r="Y7" i="12"/>
  <c r="Y29" i="12"/>
  <c r="H50" i="10"/>
  <c r="AA37" i="10"/>
  <c r="AB19" i="10"/>
  <c r="P290" i="9"/>
  <c r="O290" i="9"/>
  <c r="T290" i="9"/>
  <c r="S290" i="9"/>
  <c r="O52" i="10"/>
  <c r="O16" i="10"/>
  <c r="O299" i="9"/>
  <c r="P299" i="9"/>
  <c r="T299" i="9"/>
  <c r="S299" i="9"/>
  <c r="AA44" i="10"/>
  <c r="AD44" i="10" s="1"/>
  <c r="AA26" i="10"/>
  <c r="AC26" i="10" s="1"/>
  <c r="J15" i="10"/>
  <c r="V40" i="10"/>
  <c r="X154" i="9"/>
  <c r="W154" i="9"/>
  <c r="X125" i="9"/>
  <c r="W125" i="9"/>
  <c r="N125" i="9" s="1"/>
  <c r="X149" i="9"/>
  <c r="W149" i="9"/>
  <c r="X162" i="9"/>
  <c r="W162" i="9"/>
  <c r="X121" i="9"/>
  <c r="W121" i="9"/>
  <c r="X117" i="9"/>
  <c r="W117" i="9"/>
  <c r="N117" i="9" s="1"/>
  <c r="W140" i="9"/>
  <c r="N140" i="9" s="1"/>
  <c r="X140" i="9"/>
  <c r="X153" i="9"/>
  <c r="W153" i="9"/>
  <c r="AB12" i="10"/>
  <c r="P318" i="9"/>
  <c r="O318" i="9"/>
  <c r="T318" i="9"/>
  <c r="S318" i="9"/>
  <c r="T344" i="9"/>
  <c r="S344" i="9"/>
  <c r="P344" i="9"/>
  <c r="O344" i="9"/>
  <c r="AD30" i="10"/>
  <c r="D5" i="10"/>
  <c r="V48" i="10"/>
  <c r="AC48" i="10"/>
  <c r="AA28" i="10"/>
  <c r="T366" i="9"/>
  <c r="S366" i="9"/>
  <c r="P366" i="9"/>
  <c r="O366" i="9"/>
  <c r="V59" i="10"/>
  <c r="AA23" i="10"/>
  <c r="AE23" i="10" s="1"/>
  <c r="N23" i="10" s="1"/>
  <c r="Q23" i="10" s="1"/>
  <c r="R23" i="10" s="1"/>
  <c r="AB55" i="10"/>
  <c r="V35" i="10"/>
  <c r="P262" i="9"/>
  <c r="T262" i="9"/>
  <c r="S262" i="9"/>
  <c r="O262" i="9"/>
  <c r="P300" i="9"/>
  <c r="O300" i="9"/>
  <c r="S300" i="9"/>
  <c r="T300" i="9"/>
  <c r="O11" i="10"/>
  <c r="Y31" i="12"/>
  <c r="Y14" i="12"/>
  <c r="AB37" i="10"/>
  <c r="AA14" i="10"/>
  <c r="T360" i="9"/>
  <c r="S360" i="9"/>
  <c r="P360" i="9"/>
  <c r="O360" i="9"/>
  <c r="H31" i="10"/>
  <c r="O31" i="10" s="1"/>
  <c r="AA52" i="10"/>
  <c r="AD52" i="10" s="1"/>
  <c r="T361" i="9"/>
  <c r="S361" i="9"/>
  <c r="P361" i="9"/>
  <c r="O361" i="9"/>
  <c r="AB44" i="10"/>
  <c r="P276" i="9"/>
  <c r="T276" i="9"/>
  <c r="S276" i="9"/>
  <c r="O276" i="9"/>
  <c r="AB40" i="10"/>
  <c r="X101" i="9"/>
  <c r="W101" i="9"/>
  <c r="N101" i="9" s="1"/>
  <c r="X128" i="9"/>
  <c r="N128" i="9" s="1"/>
  <c r="W128" i="9"/>
  <c r="X164" i="9"/>
  <c r="W164" i="9"/>
  <c r="N164" i="9" s="1"/>
  <c r="X171" i="9"/>
  <c r="W171" i="9"/>
  <c r="W132" i="9"/>
  <c r="X132" i="9"/>
  <c r="N132" i="9" s="1"/>
  <c r="X127" i="9"/>
  <c r="W127" i="9"/>
  <c r="N127" i="9" s="1"/>
  <c r="W150" i="9"/>
  <c r="N150" i="9" s="1"/>
  <c r="X150" i="9"/>
  <c r="X163" i="9"/>
  <c r="W163" i="9"/>
  <c r="N163" i="9" s="1"/>
  <c r="X14" i="9"/>
  <c r="W14" i="9"/>
  <c r="X30" i="9"/>
  <c r="W30" i="9"/>
  <c r="X60" i="9"/>
  <c r="W60" i="9"/>
  <c r="N60" i="9" s="1"/>
  <c r="X78" i="9"/>
  <c r="W78" i="9"/>
  <c r="X26" i="9"/>
  <c r="W26" i="9"/>
  <c r="N26" i="9" s="1"/>
  <c r="X64" i="9"/>
  <c r="W64" i="9"/>
  <c r="W22" i="9"/>
  <c r="X22" i="9"/>
  <c r="X25" i="9"/>
  <c r="W25" i="9"/>
  <c r="N25" i="9"/>
  <c r="T321" i="9"/>
  <c r="S321" i="9"/>
  <c r="P321" i="9"/>
  <c r="O321" i="9"/>
  <c r="F32" i="1"/>
  <c r="O53" i="10"/>
  <c r="T315" i="9"/>
  <c r="S315" i="9"/>
  <c r="P315" i="9"/>
  <c r="O315" i="9"/>
  <c r="P258" i="9"/>
  <c r="T258" i="9"/>
  <c r="S258" i="9"/>
  <c r="O258" i="9"/>
  <c r="T324" i="9"/>
  <c r="S324" i="9"/>
  <c r="P324" i="9"/>
  <c r="O324" i="9"/>
  <c r="T259" i="9"/>
  <c r="S259" i="9"/>
  <c r="P259" i="9"/>
  <c r="O259" i="9"/>
  <c r="P323" i="9"/>
  <c r="O323" i="9"/>
  <c r="T323" i="9"/>
  <c r="S323" i="9"/>
  <c r="AD19" i="10"/>
  <c r="T319" i="9"/>
  <c r="S319" i="9"/>
  <c r="P319" i="9"/>
  <c r="O319" i="9"/>
  <c r="T355" i="9"/>
  <c r="S355" i="9"/>
  <c r="P355" i="9"/>
  <c r="O355" i="9"/>
  <c r="T316" i="9"/>
  <c r="S316" i="9"/>
  <c r="P316" i="9"/>
  <c r="O316" i="9"/>
  <c r="AA16" i="10"/>
  <c r="P363" i="9"/>
  <c r="O363" i="9"/>
  <c r="T363" i="9"/>
  <c r="S363" i="9"/>
  <c r="P296" i="9"/>
  <c r="O296" i="9"/>
  <c r="T296" i="9"/>
  <c r="S296" i="9"/>
  <c r="AA29" i="10"/>
  <c r="AD29" i="10" s="1"/>
  <c r="T346" i="9"/>
  <c r="S346" i="9"/>
  <c r="P346" i="9"/>
  <c r="O346" i="9"/>
  <c r="T371" i="9"/>
  <c r="S371" i="9"/>
  <c r="P371" i="9"/>
  <c r="O371" i="9"/>
  <c r="O17" i="10"/>
  <c r="X124" i="9"/>
  <c r="W124" i="9"/>
  <c r="N124" i="9" s="1"/>
  <c r="X126" i="9"/>
  <c r="W126" i="9"/>
  <c r="N126" i="9" s="1"/>
  <c r="X104" i="9"/>
  <c r="W104" i="9"/>
  <c r="X165" i="9"/>
  <c r="W165" i="9"/>
  <c r="X172" i="9"/>
  <c r="W172" i="9"/>
  <c r="N172" i="9" s="1"/>
  <c r="W158" i="9"/>
  <c r="N158" i="9" s="1"/>
  <c r="X158" i="9"/>
  <c r="X137" i="9"/>
  <c r="W137" i="9"/>
  <c r="N137" i="9" s="1"/>
  <c r="W160" i="9"/>
  <c r="X160" i="9"/>
  <c r="T365" i="9"/>
  <c r="S365" i="9"/>
  <c r="P365" i="9"/>
  <c r="O365" i="9"/>
  <c r="O275" i="9"/>
  <c r="T275" i="9"/>
  <c r="S275" i="9"/>
  <c r="P275" i="9"/>
  <c r="T291" i="9"/>
  <c r="S291" i="9"/>
  <c r="P291" i="9"/>
  <c r="O291" i="9"/>
  <c r="AB28" i="10"/>
  <c r="V28" i="10"/>
  <c r="P254" i="9"/>
  <c r="T254" i="9"/>
  <c r="S254" i="9"/>
  <c r="O254" i="9"/>
  <c r="O59" i="10"/>
  <c r="P268" i="9"/>
  <c r="T268" i="9"/>
  <c r="S268" i="9"/>
  <c r="O268" i="9"/>
  <c r="T337" i="9"/>
  <c r="S337" i="9"/>
  <c r="P337" i="9"/>
  <c r="O337" i="9"/>
  <c r="V55" i="10"/>
  <c r="O55" i="10"/>
  <c r="S335" i="9"/>
  <c r="P335" i="9"/>
  <c r="O335" i="9"/>
  <c r="T335" i="9"/>
  <c r="AC45" i="10"/>
  <c r="Y37" i="12"/>
  <c r="H5" i="12"/>
  <c r="T303" i="9"/>
  <c r="S303" i="9"/>
  <c r="P303" i="9"/>
  <c r="O303" i="9"/>
  <c r="P310" i="9"/>
  <c r="O310" i="9"/>
  <c r="T310" i="9"/>
  <c r="S310" i="9"/>
  <c r="T279" i="9"/>
  <c r="S279" i="9"/>
  <c r="P279" i="9"/>
  <c r="O279" i="9"/>
  <c r="AB14" i="10"/>
  <c r="O301" i="9"/>
  <c r="T301" i="9"/>
  <c r="S301" i="9"/>
  <c r="P301" i="9"/>
  <c r="T350" i="9"/>
  <c r="S350" i="9"/>
  <c r="P350" i="9"/>
  <c r="O350" i="9"/>
  <c r="P282" i="9"/>
  <c r="O282" i="9"/>
  <c r="S282" i="9"/>
  <c r="T282" i="9"/>
  <c r="AA31" i="10"/>
  <c r="O269" i="9"/>
  <c r="P269" i="9"/>
  <c r="T269" i="9"/>
  <c r="S269" i="9"/>
  <c r="AA61" i="10"/>
  <c r="AE61" i="10" s="1"/>
  <c r="V15" i="10"/>
  <c r="T341" i="9"/>
  <c r="S341" i="9"/>
  <c r="P341" i="9"/>
  <c r="O341" i="9"/>
  <c r="T281" i="9"/>
  <c r="S281" i="9"/>
  <c r="P281" i="9"/>
  <c r="O281" i="9"/>
  <c r="AA17" i="10"/>
  <c r="AD17" i="10" s="1"/>
  <c r="X96" i="9"/>
  <c r="W96" i="9"/>
  <c r="X129" i="9"/>
  <c r="W129" i="9"/>
  <c r="N129" i="9" s="1"/>
  <c r="W135" i="9"/>
  <c r="X135" i="9"/>
  <c r="N135" i="9" s="1"/>
  <c r="X144" i="9"/>
  <c r="W144" i="9"/>
  <c r="X152" i="9"/>
  <c r="W152" i="9"/>
  <c r="N152" i="9" s="1"/>
  <c r="W102" i="9"/>
  <c r="X102" i="9"/>
  <c r="X147" i="9"/>
  <c r="W147" i="9"/>
  <c r="W170" i="9"/>
  <c r="X170" i="9"/>
  <c r="T311" i="9"/>
  <c r="S311" i="9"/>
  <c r="P311" i="9"/>
  <c r="O311" i="9"/>
  <c r="E68" i="14"/>
  <c r="E5" i="10"/>
  <c r="P306" i="9"/>
  <c r="O306" i="9"/>
  <c r="T306" i="9"/>
  <c r="S306" i="9"/>
  <c r="AB8" i="10"/>
  <c r="T285" i="9"/>
  <c r="P285" i="9"/>
  <c r="O285" i="9"/>
  <c r="S285" i="9"/>
  <c r="P278" i="9"/>
  <c r="O278" i="9"/>
  <c r="T278" i="9"/>
  <c r="S278" i="9"/>
  <c r="T329" i="9"/>
  <c r="S329" i="9"/>
  <c r="O329" i="9"/>
  <c r="P329" i="9"/>
  <c r="S267" i="9"/>
  <c r="P267" i="9"/>
  <c r="O267" i="9"/>
  <c r="T267" i="9"/>
  <c r="Y10" i="12"/>
  <c r="T367" i="9"/>
  <c r="S367" i="9"/>
  <c r="P367" i="9"/>
  <c r="O367" i="9"/>
  <c r="S257" i="9"/>
  <c r="P257" i="9"/>
  <c r="O257" i="9"/>
  <c r="T257" i="9"/>
  <c r="P368" i="9"/>
  <c r="O368" i="9"/>
  <c r="T368" i="9"/>
  <c r="S368" i="9"/>
  <c r="T336" i="9"/>
  <c r="S336" i="9"/>
  <c r="P336" i="9"/>
  <c r="O336" i="9"/>
  <c r="J52" i="10"/>
  <c r="AB52" i="10"/>
  <c r="P287" i="9"/>
  <c r="O287" i="9"/>
  <c r="S287" i="9"/>
  <c r="T287" i="9"/>
  <c r="AB29" i="10"/>
  <c r="P297" i="9"/>
  <c r="O297" i="9"/>
  <c r="S297" i="9"/>
  <c r="T297" i="9"/>
  <c r="T255" i="9"/>
  <c r="S255" i="9"/>
  <c r="P255" i="9"/>
  <c r="O255" i="9"/>
  <c r="X134" i="9"/>
  <c r="N134" i="9" s="1"/>
  <c r="W134" i="9"/>
  <c r="X108" i="9"/>
  <c r="W108" i="9"/>
  <c r="X97" i="9"/>
  <c r="W97" i="9"/>
  <c r="X155" i="9"/>
  <c r="W155" i="9"/>
  <c r="X105" i="9"/>
  <c r="W105" i="9"/>
  <c r="N105" i="9" s="1"/>
  <c r="X111" i="9"/>
  <c r="W111" i="9"/>
  <c r="X157" i="9"/>
  <c r="W157" i="9"/>
  <c r="W93" i="9"/>
  <c r="X93" i="9"/>
  <c r="P260" i="9"/>
  <c r="S260" i="9"/>
  <c r="O260" i="9"/>
  <c r="T260" i="9"/>
  <c r="AA22" i="10"/>
  <c r="AE22" i="10" s="1"/>
  <c r="N22" i="10" s="1"/>
  <c r="Q22" i="10" s="1"/>
  <c r="R22" i="10" s="1"/>
  <c r="P274" i="9"/>
  <c r="T274" i="9"/>
  <c r="S274" i="9"/>
  <c r="O274" i="9"/>
  <c r="X46" i="9"/>
  <c r="W46" i="9"/>
  <c r="N46" i="9" s="1"/>
  <c r="X28" i="9"/>
  <c r="W28" i="9"/>
  <c r="X76" i="9"/>
  <c r="W76" i="9"/>
  <c r="W90" i="9"/>
  <c r="X90" i="9"/>
  <c r="X63" i="9"/>
  <c r="W63" i="9"/>
  <c r="X29" i="9"/>
  <c r="W29" i="9"/>
  <c r="N29" i="9" s="1"/>
  <c r="W52" i="9"/>
  <c r="X52" i="9"/>
  <c r="X55" i="9"/>
  <c r="W55" i="9"/>
  <c r="AB21" i="10"/>
  <c r="P270" i="9"/>
  <c r="T270" i="9"/>
  <c r="S270" i="9"/>
  <c r="O270" i="9"/>
  <c r="P286" i="9"/>
  <c r="O286" i="9"/>
  <c r="T286" i="9"/>
  <c r="S286" i="9"/>
  <c r="H30" i="10"/>
  <c r="J30" i="10" s="1"/>
  <c r="AA10" i="10"/>
  <c r="AD10" i="10" s="1"/>
  <c r="F5" i="10"/>
  <c r="O48" i="10"/>
  <c r="S277" i="9"/>
  <c r="P277" i="9"/>
  <c r="O277" i="9"/>
  <c r="T277" i="9"/>
  <c r="AB59" i="10"/>
  <c r="T322" i="9"/>
  <c r="S322" i="9"/>
  <c r="P322" i="9"/>
  <c r="O322" i="9"/>
  <c r="P298" i="9"/>
  <c r="O298" i="9"/>
  <c r="S298" i="9"/>
  <c r="T298" i="9"/>
  <c r="H9" i="10"/>
  <c r="T305" i="9"/>
  <c r="S305" i="9"/>
  <c r="P305" i="9"/>
  <c r="O305" i="9"/>
  <c r="P338" i="9"/>
  <c r="O338" i="9"/>
  <c r="T338" i="9"/>
  <c r="S338" i="9"/>
  <c r="O13" i="10"/>
  <c r="Y18" i="12"/>
  <c r="Y35" i="12"/>
  <c r="AA50" i="10"/>
  <c r="AE50" i="10" s="1"/>
  <c r="N50" i="10" s="1"/>
  <c r="T362" i="9"/>
  <c r="S362" i="9"/>
  <c r="P362" i="9"/>
  <c r="O362" i="9"/>
  <c r="O312" i="9"/>
  <c r="P312" i="9"/>
  <c r="T312" i="9"/>
  <c r="S312" i="9"/>
  <c r="T370" i="9"/>
  <c r="S370" i="9"/>
  <c r="P370" i="9"/>
  <c r="O370" i="9"/>
  <c r="P304" i="9"/>
  <c r="O304" i="9"/>
  <c r="T304" i="9"/>
  <c r="S304" i="9"/>
  <c r="P264" i="9"/>
  <c r="O264" i="9"/>
  <c r="T264" i="9"/>
  <c r="S264" i="9"/>
  <c r="AB61" i="10"/>
  <c r="T332" i="9"/>
  <c r="S332" i="9"/>
  <c r="P332" i="9"/>
  <c r="O332" i="9"/>
  <c r="T261" i="9"/>
  <c r="S261" i="9"/>
  <c r="P261" i="9"/>
  <c r="O261" i="9"/>
  <c r="H49" i="10"/>
  <c r="J49" i="10" s="1"/>
  <c r="X146" i="9"/>
  <c r="W146" i="9"/>
  <c r="X136" i="9"/>
  <c r="W136" i="9"/>
  <c r="N136" i="9"/>
  <c r="X98" i="9"/>
  <c r="W98" i="9"/>
  <c r="N98" i="9" s="1"/>
  <c r="X166" i="9"/>
  <c r="W166" i="9"/>
  <c r="N166" i="9"/>
  <c r="X116" i="9"/>
  <c r="W116" i="9"/>
  <c r="N116" i="9"/>
  <c r="W122" i="9"/>
  <c r="N122" i="9" s="1"/>
  <c r="X122" i="9"/>
  <c r="X167" i="9"/>
  <c r="W167" i="9"/>
  <c r="W103" i="9"/>
  <c r="N103" i="9" s="1"/>
  <c r="X103" i="9"/>
  <c r="V42" i="10"/>
  <c r="X50" i="9"/>
  <c r="W50" i="9"/>
  <c r="X23" i="9"/>
  <c r="W23" i="9"/>
  <c r="X83" i="9"/>
  <c r="W83" i="9"/>
  <c r="X67" i="9"/>
  <c r="W67" i="9"/>
  <c r="X88" i="9"/>
  <c r="N88" i="9" s="1"/>
  <c r="W88" i="9"/>
  <c r="X53" i="9"/>
  <c r="W53" i="9"/>
  <c r="N53" i="9" s="1"/>
  <c r="X85" i="9"/>
  <c r="W85" i="9"/>
  <c r="N85" i="9" s="1"/>
  <c r="X15" i="9"/>
  <c r="W15" i="9"/>
  <c r="T325" i="9"/>
  <c r="S325" i="9"/>
  <c r="P325" i="9"/>
  <c r="O325" i="9"/>
  <c r="X24" i="9"/>
  <c r="W24" i="9"/>
  <c r="X17" i="9"/>
  <c r="W17" i="9"/>
  <c r="N17" i="9" s="1"/>
  <c r="X61" i="9"/>
  <c r="W61" i="9"/>
  <c r="N61" i="9"/>
  <c r="X68" i="9"/>
  <c r="W68" i="9"/>
  <c r="W48" i="9"/>
  <c r="X48" i="9"/>
  <c r="X19" i="9"/>
  <c r="W19" i="9"/>
  <c r="N19" i="9" s="1"/>
  <c r="W42" i="9"/>
  <c r="X42" i="9"/>
  <c r="X45" i="9"/>
  <c r="W45" i="9"/>
  <c r="T372" i="9"/>
  <c r="S372" i="9"/>
  <c r="P372" i="9"/>
  <c r="O372" i="9"/>
  <c r="O283" i="9"/>
  <c r="T283" i="9"/>
  <c r="S283" i="9"/>
  <c r="P283" i="9"/>
  <c r="X31" i="9"/>
  <c r="W31" i="9"/>
  <c r="X43" i="9"/>
  <c r="N43" i="9" s="1"/>
  <c r="W43" i="9"/>
  <c r="X51" i="9"/>
  <c r="W51" i="9"/>
  <c r="X21" i="9"/>
  <c r="W21" i="9"/>
  <c r="W74" i="9"/>
  <c r="N74" i="9" s="1"/>
  <c r="X74" i="9"/>
  <c r="X39" i="9"/>
  <c r="W39" i="9"/>
  <c r="N39" i="9" s="1"/>
  <c r="W62" i="9"/>
  <c r="X62" i="9"/>
  <c r="N62" i="9"/>
  <c r="X65" i="9"/>
  <c r="W65" i="9"/>
  <c r="N65" i="9" s="1"/>
  <c r="H25" i="10"/>
  <c r="AA21" i="10"/>
  <c r="AD21" i="10" s="1"/>
  <c r="AA24" i="10"/>
  <c r="AC24" i="10" s="1"/>
  <c r="P358" i="9"/>
  <c r="O358" i="9"/>
  <c r="T358" i="9"/>
  <c r="S358" i="9"/>
  <c r="P284" i="9"/>
  <c r="O284" i="9"/>
  <c r="T284" i="9"/>
  <c r="S284" i="9"/>
  <c r="P292" i="9"/>
  <c r="O292" i="9"/>
  <c r="T292" i="9"/>
  <c r="S292" i="9"/>
  <c r="AA51" i="10"/>
  <c r="H7" i="10"/>
  <c r="U249" i="9"/>
  <c r="U248" i="9"/>
  <c r="U238" i="9"/>
  <c r="U228" i="9"/>
  <c r="U218" i="9"/>
  <c r="U208" i="9"/>
  <c r="U198" i="9"/>
  <c r="U188" i="9"/>
  <c r="U245" i="9"/>
  <c r="U235" i="9"/>
  <c r="U225" i="9"/>
  <c r="U215" i="9"/>
  <c r="U205" i="9"/>
  <c r="U242" i="9"/>
  <c r="U232" i="9"/>
  <c r="U241" i="9"/>
  <c r="U230" i="9"/>
  <c r="U226" i="9"/>
  <c r="U212" i="9"/>
  <c r="U204" i="9"/>
  <c r="U186" i="9"/>
  <c r="U173" i="9"/>
  <c r="U240" i="9"/>
  <c r="U229" i="9"/>
  <c r="U223" i="9"/>
  <c r="U209" i="9"/>
  <c r="U201" i="9"/>
  <c r="U199" i="9"/>
  <c r="U184" i="9"/>
  <c r="U182" i="9"/>
  <c r="U251" i="9"/>
  <c r="U239" i="9"/>
  <c r="U220" i="9"/>
  <c r="U206" i="9"/>
  <c r="U197" i="9"/>
  <c r="U195" i="9"/>
  <c r="U180" i="9"/>
  <c r="U177" i="9"/>
  <c r="U252" i="9"/>
  <c r="U234" i="9"/>
  <c r="U250" i="9"/>
  <c r="U244" i="9"/>
  <c r="U233" i="9"/>
  <c r="U243" i="9"/>
  <c r="U219" i="9"/>
  <c r="U211" i="9"/>
  <c r="U187" i="9"/>
  <c r="U185" i="9"/>
  <c r="U178" i="9"/>
  <c r="U237" i="9"/>
  <c r="U247" i="9"/>
  <c r="U236" i="9"/>
  <c r="U246" i="9"/>
  <c r="U189" i="9"/>
  <c r="U202" i="9"/>
  <c r="U213" i="9"/>
  <c r="U207" i="9"/>
  <c r="U191" i="9"/>
  <c r="U190" i="9"/>
  <c r="U224" i="9"/>
  <c r="U203" i="9"/>
  <c r="U193" i="9"/>
  <c r="U192" i="9"/>
  <c r="U179" i="9"/>
  <c r="U175" i="9"/>
  <c r="U174" i="9"/>
  <c r="U231" i="9"/>
  <c r="U214" i="9"/>
  <c r="U181" i="9"/>
  <c r="U176" i="9"/>
  <c r="U194" i="9"/>
  <c r="U183" i="9"/>
  <c r="U196" i="9"/>
  <c r="U216" i="9"/>
  <c r="U210" i="9"/>
  <c r="U227" i="9"/>
  <c r="U222" i="9"/>
  <c r="U221" i="9"/>
  <c r="U217" i="9"/>
  <c r="U200" i="9"/>
  <c r="P343" i="9"/>
  <c r="O343" i="9"/>
  <c r="T343" i="9"/>
  <c r="S343" i="9"/>
  <c r="AB60" i="10"/>
  <c r="Y11" i="12"/>
  <c r="Y34" i="12"/>
  <c r="Y41" i="12"/>
  <c r="T357" i="9"/>
  <c r="S357" i="9"/>
  <c r="P357" i="9"/>
  <c r="O357" i="9"/>
  <c r="P333" i="9"/>
  <c r="O333" i="9"/>
  <c r="S333" i="9"/>
  <c r="T333" i="9"/>
  <c r="T326" i="9"/>
  <c r="S326" i="9"/>
  <c r="P326" i="9"/>
  <c r="O326" i="9"/>
  <c r="AB16" i="10"/>
  <c r="T289" i="9"/>
  <c r="S289" i="9"/>
  <c r="P289" i="9"/>
  <c r="O289" i="9"/>
  <c r="T356" i="9"/>
  <c r="S356" i="9"/>
  <c r="P356" i="9"/>
  <c r="O356" i="9"/>
  <c r="P263" i="9"/>
  <c r="O263" i="9"/>
  <c r="T263" i="9"/>
  <c r="S263" i="9"/>
  <c r="X109" i="9"/>
  <c r="W109" i="9"/>
  <c r="N109" i="9" s="1"/>
  <c r="X139" i="9"/>
  <c r="W139" i="9"/>
  <c r="N139" i="9" s="1"/>
  <c r="X114" i="9"/>
  <c r="W114" i="9"/>
  <c r="N114" i="9"/>
  <c r="X156" i="9"/>
  <c r="W156" i="9"/>
  <c r="X131" i="9"/>
  <c r="W131" i="9"/>
  <c r="W148" i="9"/>
  <c r="X148" i="9"/>
  <c r="W100" i="9"/>
  <c r="X100" i="9"/>
  <c r="X113" i="9"/>
  <c r="W113" i="9"/>
  <c r="P294" i="9"/>
  <c r="O294" i="9"/>
  <c r="T294" i="9"/>
  <c r="S294" i="9"/>
  <c r="P313" i="9"/>
  <c r="O313" i="9"/>
  <c r="T313" i="9"/>
  <c r="S313" i="9"/>
  <c r="T253" i="9"/>
  <c r="S253" i="9"/>
  <c r="P253" i="9"/>
  <c r="O253" i="9"/>
  <c r="P288" i="9"/>
  <c r="O288" i="9"/>
  <c r="S288" i="9"/>
  <c r="T288" i="9"/>
  <c r="T351" i="9"/>
  <c r="S351" i="9"/>
  <c r="P351" i="9"/>
  <c r="O351" i="9"/>
  <c r="AB7" i="10"/>
  <c r="AA41" i="10"/>
  <c r="J57" i="10"/>
  <c r="T334" i="9"/>
  <c r="S334" i="9"/>
  <c r="P334" i="9"/>
  <c r="O334" i="9"/>
  <c r="P272" i="9"/>
  <c r="O272" i="9"/>
  <c r="S272" i="9"/>
  <c r="T272" i="9"/>
  <c r="H39" i="10"/>
  <c r="Y42" i="12"/>
  <c r="Y38" i="12"/>
  <c r="Y25" i="12"/>
  <c r="Y22" i="12"/>
  <c r="T331" i="9"/>
  <c r="S331" i="9"/>
  <c r="P331" i="9"/>
  <c r="O331" i="9"/>
  <c r="P280" i="9"/>
  <c r="O280" i="9"/>
  <c r="T280" i="9"/>
  <c r="S280" i="9"/>
  <c r="E30" i="14"/>
  <c r="F30" i="14" s="1"/>
  <c r="E51" i="14"/>
  <c r="F51" i="14" s="1"/>
  <c r="E53" i="14"/>
  <c r="F53" i="14" s="1"/>
  <c r="I51" i="14"/>
  <c r="E31" i="14"/>
  <c r="F31" i="14" s="1"/>
  <c r="I30" i="14"/>
  <c r="E32" i="14"/>
  <c r="F32" i="14" s="1"/>
  <c r="I31" i="14"/>
  <c r="O34" i="1"/>
  <c r="O31" i="1"/>
  <c r="V61" i="10"/>
  <c r="P266" i="9"/>
  <c r="O266" i="9"/>
  <c r="T266" i="9"/>
  <c r="S266" i="9"/>
  <c r="X141" i="9"/>
  <c r="W141" i="9"/>
  <c r="N141" i="9"/>
  <c r="X145" i="9"/>
  <c r="W145" i="9"/>
  <c r="X95" i="9"/>
  <c r="W95" i="9"/>
  <c r="N95" i="9" s="1"/>
  <c r="X161" i="9"/>
  <c r="W161" i="9"/>
  <c r="N161" i="9" s="1"/>
  <c r="X142" i="9"/>
  <c r="W142" i="9"/>
  <c r="N142" i="9" s="1"/>
  <c r="N159" i="9"/>
  <c r="X159" i="9"/>
  <c r="W159" i="9"/>
  <c r="W110" i="9"/>
  <c r="X110" i="9"/>
  <c r="N110" i="9"/>
  <c r="X123" i="9"/>
  <c r="W123" i="9"/>
  <c r="N123" i="9" s="1"/>
  <c r="T320" i="9"/>
  <c r="S320" i="9"/>
  <c r="P320" i="9"/>
  <c r="O320" i="9"/>
  <c r="S295" i="9"/>
  <c r="P295" i="9"/>
  <c r="O295" i="9"/>
  <c r="T295" i="9"/>
  <c r="X44" i="9"/>
  <c r="W44" i="9"/>
  <c r="N44" i="9" s="1"/>
  <c r="X33" i="9"/>
  <c r="W33" i="9"/>
  <c r="N33" i="9" s="1"/>
  <c r="X71" i="9"/>
  <c r="W71" i="9"/>
  <c r="N71" i="9"/>
  <c r="X57" i="9"/>
  <c r="W57" i="9"/>
  <c r="N57" i="9" s="1"/>
  <c r="W37" i="9"/>
  <c r="X37" i="9"/>
  <c r="X81" i="9"/>
  <c r="W81" i="9"/>
  <c r="N81" i="9" s="1"/>
  <c r="W32" i="9"/>
  <c r="X32" i="9"/>
  <c r="X35" i="9"/>
  <c r="W35" i="9"/>
  <c r="AA43" i="10"/>
  <c r="AD43" i="10" s="1"/>
  <c r="P340" i="9"/>
  <c r="O340" i="9"/>
  <c r="S340" i="9"/>
  <c r="T340" i="9"/>
  <c r="AE48" i="10"/>
  <c r="N48" i="10" s="1"/>
  <c r="P302" i="9"/>
  <c r="O302" i="9"/>
  <c r="S302" i="9"/>
  <c r="T302" i="9"/>
  <c r="P328" i="9"/>
  <c r="O328" i="9"/>
  <c r="S328" i="9"/>
  <c r="T328" i="9"/>
  <c r="X34" i="9"/>
  <c r="W34" i="9"/>
  <c r="N34" i="9" s="1"/>
  <c r="X54" i="9"/>
  <c r="W54" i="9"/>
  <c r="X66" i="9"/>
  <c r="W66" i="9"/>
  <c r="N66" i="9" s="1"/>
  <c r="X36" i="9"/>
  <c r="W36" i="9"/>
  <c r="W86" i="9"/>
  <c r="X86" i="9"/>
  <c r="X49" i="9"/>
  <c r="W49" i="9"/>
  <c r="W72" i="9"/>
  <c r="N72" i="9" s="1"/>
  <c r="X72" i="9"/>
  <c r="X75" i="9"/>
  <c r="W75" i="9"/>
  <c r="N75" i="9" s="1"/>
  <c r="V43" i="10"/>
  <c r="T317" i="9"/>
  <c r="S317" i="9"/>
  <c r="P317" i="9"/>
  <c r="O317" i="9"/>
  <c r="T364" i="9"/>
  <c r="S364" i="9"/>
  <c r="P364" i="9"/>
  <c r="O364" i="9"/>
  <c r="P353" i="9"/>
  <c r="O353" i="9"/>
  <c r="T353" i="9"/>
  <c r="S353" i="9"/>
  <c r="X94" i="9"/>
  <c r="W94" i="9"/>
  <c r="N94" i="9" s="1"/>
  <c r="X115" i="9"/>
  <c r="W115" i="9"/>
  <c r="X112" i="9"/>
  <c r="W112" i="9"/>
  <c r="X169" i="9"/>
  <c r="W169" i="9"/>
  <c r="N169" i="9" s="1"/>
  <c r="W99" i="9"/>
  <c r="X99" i="9"/>
  <c r="N99" i="9"/>
  <c r="X168" i="9"/>
  <c r="W168" i="9"/>
  <c r="W120" i="9"/>
  <c r="X120" i="9"/>
  <c r="W133" i="9"/>
  <c r="X133" i="9"/>
  <c r="P308" i="9"/>
  <c r="O308" i="9"/>
  <c r="T308" i="9"/>
  <c r="S308" i="9"/>
  <c r="AA8" i="10"/>
  <c r="AC8" i="10" s="1"/>
  <c r="S273" i="9"/>
  <c r="P273" i="9"/>
  <c r="O273" i="9"/>
  <c r="T273" i="9"/>
  <c r="S342" i="9"/>
  <c r="P342" i="9"/>
  <c r="O342" i="9"/>
  <c r="T342" i="9"/>
  <c r="X13" i="9"/>
  <c r="W13" i="9"/>
  <c r="X80" i="9"/>
  <c r="W80" i="9"/>
  <c r="N80" i="9" s="1"/>
  <c r="X77" i="9"/>
  <c r="W77" i="9"/>
  <c r="N77" i="9" s="1"/>
  <c r="X47" i="9"/>
  <c r="W47" i="9"/>
  <c r="X16" i="9"/>
  <c r="W16" i="9"/>
  <c r="X59" i="9"/>
  <c r="W59" i="9"/>
  <c r="W82" i="9"/>
  <c r="N82" i="9" s="1"/>
  <c r="X82" i="9"/>
  <c r="W91" i="9"/>
  <c r="X91" i="9"/>
  <c r="E39" i="14"/>
  <c r="F39" i="14" s="1"/>
  <c r="I5" i="10"/>
  <c r="O7" i="10"/>
  <c r="G5" i="10"/>
  <c r="T307" i="9"/>
  <c r="S307" i="9"/>
  <c r="P307" i="9"/>
  <c r="O307" i="9"/>
  <c r="O345" i="9"/>
  <c r="T345" i="9"/>
  <c r="P345" i="9"/>
  <c r="S345" i="9"/>
  <c r="Y28" i="12"/>
  <c r="N17" i="12"/>
  <c r="M17" i="12"/>
  <c r="Q48" i="13" s="1"/>
  <c r="N48" i="13" s="1"/>
  <c r="X40" i="9"/>
  <c r="W40" i="9"/>
  <c r="X41" i="9"/>
  <c r="W41" i="9"/>
  <c r="X84" i="9"/>
  <c r="W84" i="9"/>
  <c r="X92" i="9"/>
  <c r="W92" i="9"/>
  <c r="N92" i="9" s="1"/>
  <c r="X58" i="9"/>
  <c r="W58" i="9"/>
  <c r="N58" i="9" s="1"/>
  <c r="W27" i="9"/>
  <c r="X27" i="9"/>
  <c r="N27" i="9" s="1"/>
  <c r="X69" i="9"/>
  <c r="N69" i="9" s="1"/>
  <c r="W69" i="9"/>
  <c r="X87" i="9"/>
  <c r="W87" i="9"/>
  <c r="N87" i="9" s="1"/>
  <c r="O352" i="9"/>
  <c r="T352" i="9"/>
  <c r="S352" i="9"/>
  <c r="P352" i="9"/>
  <c r="Y26" i="12"/>
  <c r="Y19" i="12"/>
  <c r="T314" i="9"/>
  <c r="O314" i="9"/>
  <c r="S314" i="9"/>
  <c r="P314" i="9"/>
  <c r="P348" i="9"/>
  <c r="O348" i="9"/>
  <c r="S348" i="9"/>
  <c r="T348" i="9"/>
  <c r="T359" i="9"/>
  <c r="O359" i="9"/>
  <c r="S359" i="9"/>
  <c r="P359" i="9"/>
  <c r="X119" i="9"/>
  <c r="N119" i="9" s="1"/>
  <c r="W119" i="9"/>
  <c r="X118" i="9"/>
  <c r="W118" i="9"/>
  <c r="W138" i="9"/>
  <c r="N138" i="9" s="1"/>
  <c r="X138" i="9"/>
  <c r="X151" i="9"/>
  <c r="W151" i="9"/>
  <c r="W106" i="9"/>
  <c r="X106" i="9"/>
  <c r="N106" i="9"/>
  <c r="X107" i="9"/>
  <c r="W107" i="9"/>
  <c r="W130" i="9"/>
  <c r="X130" i="9"/>
  <c r="W143" i="9"/>
  <c r="N143" i="9" s="1"/>
  <c r="X143" i="9"/>
  <c r="N20" i="12" l="1"/>
  <c r="T20" i="12" s="1"/>
  <c r="N156" i="9"/>
  <c r="T156" i="9" s="1"/>
  <c r="N31" i="9"/>
  <c r="R31" i="9" s="1"/>
  <c r="N111" i="9"/>
  <c r="R111" i="9" s="1"/>
  <c r="N170" i="9"/>
  <c r="T170" i="9" s="1"/>
  <c r="N121" i="9"/>
  <c r="P121" i="9" s="1"/>
  <c r="N89" i="9"/>
  <c r="T89" i="9" s="1"/>
  <c r="N20" i="9"/>
  <c r="P20" i="9" s="1"/>
  <c r="N24" i="9"/>
  <c r="P24" i="9" s="1"/>
  <c r="N63" i="9"/>
  <c r="R63" i="9" s="1"/>
  <c r="N147" i="9"/>
  <c r="T147" i="9" s="1"/>
  <c r="N96" i="9"/>
  <c r="P96" i="9" s="1"/>
  <c r="N162" i="9"/>
  <c r="R162" i="9" s="1"/>
  <c r="N36" i="9"/>
  <c r="P36" i="9" s="1"/>
  <c r="N32" i="9"/>
  <c r="O32" i="9" s="1"/>
  <c r="N37" i="9"/>
  <c r="O37" i="9" s="1"/>
  <c r="N48" i="9"/>
  <c r="O48" i="9" s="1"/>
  <c r="N155" i="9"/>
  <c r="P155" i="9" s="1"/>
  <c r="N102" i="9"/>
  <c r="T102" i="9" s="1"/>
  <c r="N153" i="9"/>
  <c r="R153" i="9" s="1"/>
  <c r="N21" i="9"/>
  <c r="O21" i="9" s="1"/>
  <c r="N68" i="9"/>
  <c r="R68" i="9" s="1"/>
  <c r="N97" i="9"/>
  <c r="R97" i="9" s="1"/>
  <c r="N55" i="9"/>
  <c r="T55" i="9" s="1"/>
  <c r="N144" i="9"/>
  <c r="P144" i="9" s="1"/>
  <c r="N49" i="9"/>
  <c r="T49" i="9" s="1"/>
  <c r="N130" i="9"/>
  <c r="R130" i="9" s="1"/>
  <c r="N59" i="9"/>
  <c r="R59" i="9" s="1"/>
  <c r="N112" i="9"/>
  <c r="O112" i="9" s="1"/>
  <c r="N107" i="9"/>
  <c r="P107" i="9" s="1"/>
  <c r="N40" i="9"/>
  <c r="R40" i="9" s="1"/>
  <c r="N16" i="9"/>
  <c r="T16" i="9" s="1"/>
  <c r="N115" i="9"/>
  <c r="O115" i="9" s="1"/>
  <c r="N86" i="9"/>
  <c r="R86" i="9" s="1"/>
  <c r="N35" i="9"/>
  <c r="T35" i="9" s="1"/>
  <c r="N51" i="9"/>
  <c r="T51" i="9" s="1"/>
  <c r="N160" i="9"/>
  <c r="R160" i="9" s="1"/>
  <c r="N131" i="9"/>
  <c r="P131" i="9" s="1"/>
  <c r="N50" i="9"/>
  <c r="O50" i="9" s="1"/>
  <c r="N157" i="9"/>
  <c r="R157" i="9" s="1"/>
  <c r="N78" i="9"/>
  <c r="T78" i="9" s="1"/>
  <c r="N70" i="9"/>
  <c r="R70" i="9" s="1"/>
  <c r="M30" i="12"/>
  <c r="Q61" i="13" s="1"/>
  <c r="N61" i="13" s="1"/>
  <c r="P61" i="13" s="1"/>
  <c r="N16" i="12"/>
  <c r="T16" i="12" s="1"/>
  <c r="M32" i="12"/>
  <c r="Q63" i="13" s="1"/>
  <c r="N63" i="13" s="1"/>
  <c r="S63" i="13" s="1"/>
  <c r="N9" i="12"/>
  <c r="T9" i="12" s="1"/>
  <c r="M36" i="12"/>
  <c r="Q67" i="13" s="1"/>
  <c r="N67" i="13" s="1"/>
  <c r="S67" i="13" s="1"/>
  <c r="V22" i="10"/>
  <c r="M13" i="12"/>
  <c r="Q44" i="13" s="1"/>
  <c r="N44" i="13" s="1"/>
  <c r="S44" i="13" s="1"/>
  <c r="N145" i="9"/>
  <c r="T145" i="9" s="1"/>
  <c r="N133" i="9"/>
  <c r="T133" i="9" s="1"/>
  <c r="N120" i="9"/>
  <c r="T120" i="9" s="1"/>
  <c r="N91" i="9"/>
  <c r="T91" i="9" s="1"/>
  <c r="N41" i="9"/>
  <c r="T41" i="9" s="1"/>
  <c r="N118" i="9"/>
  <c r="R118" i="9" s="1"/>
  <c r="N84" i="9"/>
  <c r="T84" i="9" s="1"/>
  <c r="N47" i="9"/>
  <c r="T47" i="9" s="1"/>
  <c r="N168" i="9"/>
  <c r="O168" i="9" s="1"/>
  <c r="N148" i="9"/>
  <c r="T148" i="9" s="1"/>
  <c r="N52" i="9"/>
  <c r="T52" i="9" s="1"/>
  <c r="N93" i="9"/>
  <c r="O93" i="9" s="1"/>
  <c r="N64" i="9"/>
  <c r="P64" i="9" s="1"/>
  <c r="M35" i="10"/>
  <c r="Q35" i="10" s="1"/>
  <c r="R35" i="10" s="1"/>
  <c r="N108" i="9"/>
  <c r="R108" i="9" s="1"/>
  <c r="N149" i="9"/>
  <c r="T149" i="9" s="1"/>
  <c r="N18" i="9"/>
  <c r="R18" i="9" s="1"/>
  <c r="N38" i="9"/>
  <c r="R38" i="9" s="1"/>
  <c r="N67" i="9"/>
  <c r="O67" i="9" s="1"/>
  <c r="N167" i="9"/>
  <c r="P167" i="9" s="1"/>
  <c r="N154" i="9"/>
  <c r="O154" i="9" s="1"/>
  <c r="N73" i="9"/>
  <c r="O73" i="9" s="1"/>
  <c r="N54" i="9"/>
  <c r="P54" i="9" s="1"/>
  <c r="N13" i="9"/>
  <c r="R13" i="9" s="1"/>
  <c r="N151" i="9"/>
  <c r="T151" i="9" s="1"/>
  <c r="N113" i="9"/>
  <c r="T113" i="9" s="1"/>
  <c r="N45" i="9"/>
  <c r="R45" i="9" s="1"/>
  <c r="N15" i="9"/>
  <c r="O15" i="9" s="1"/>
  <c r="N83" i="9"/>
  <c r="T83" i="9" s="1"/>
  <c r="N90" i="9"/>
  <c r="T90" i="9" s="1"/>
  <c r="N56" i="9"/>
  <c r="O56" i="9" s="1"/>
  <c r="N76" i="9"/>
  <c r="T76" i="9" s="1"/>
  <c r="N165" i="9"/>
  <c r="O165" i="9" s="1"/>
  <c r="N30" i="9"/>
  <c r="T30" i="9" s="1"/>
  <c r="N100" i="9"/>
  <c r="P100" i="9" s="1"/>
  <c r="N42" i="9"/>
  <c r="T42" i="9" s="1"/>
  <c r="N23" i="9"/>
  <c r="P23" i="9" s="1"/>
  <c r="N146" i="9"/>
  <c r="P146" i="9" s="1"/>
  <c r="N28" i="9"/>
  <c r="R28" i="9" s="1"/>
  <c r="N104" i="9"/>
  <c r="P104" i="9" s="1"/>
  <c r="N22" i="9"/>
  <c r="R22" i="9" s="1"/>
  <c r="N14" i="9"/>
  <c r="O14" i="9" s="1"/>
  <c r="N171" i="9"/>
  <c r="R171" i="9" s="1"/>
  <c r="M39" i="12"/>
  <c r="Q70" i="13" s="1"/>
  <c r="N70" i="13" s="1"/>
  <c r="P70" i="13" s="1"/>
  <c r="M54" i="10"/>
  <c r="N15" i="12"/>
  <c r="T15" i="12" s="1"/>
  <c r="J21" i="10"/>
  <c r="M12" i="12"/>
  <c r="Q43" i="13" s="1"/>
  <c r="N43" i="13" s="1"/>
  <c r="S43" i="13" s="1"/>
  <c r="J51" i="10"/>
  <c r="M9" i="10"/>
  <c r="N7" i="10"/>
  <c r="Q7" i="10" s="1"/>
  <c r="V24" i="10"/>
  <c r="M24" i="12"/>
  <c r="Q55" i="13" s="1"/>
  <c r="N55" i="13" s="1"/>
  <c r="P55" i="13" s="1"/>
  <c r="L45" i="10"/>
  <c r="M25" i="10"/>
  <c r="N40" i="12"/>
  <c r="T40" i="12" s="1"/>
  <c r="M8" i="12"/>
  <c r="Q39" i="13" s="1"/>
  <c r="N39" i="13" s="1"/>
  <c r="O39" i="13" s="1"/>
  <c r="M40" i="10"/>
  <c r="N19" i="10"/>
  <c r="Q19" i="10" s="1"/>
  <c r="R19" i="10" s="1"/>
  <c r="M19" i="10"/>
  <c r="L13" i="10"/>
  <c r="M15" i="10"/>
  <c r="L27" i="10"/>
  <c r="O29" i="10"/>
  <c r="O47" i="10"/>
  <c r="L12" i="10"/>
  <c r="L20" i="10"/>
  <c r="Q20" i="10" s="1"/>
  <c r="R20" i="10" s="1"/>
  <c r="L18" i="10"/>
  <c r="AD36" i="10"/>
  <c r="M36" i="10" s="1"/>
  <c r="AC36" i="10"/>
  <c r="AD32" i="10"/>
  <c r="M32" i="10" s="1"/>
  <c r="N42" i="10"/>
  <c r="Q42" i="10" s="1"/>
  <c r="R42" i="10" s="1"/>
  <c r="AC42" i="10"/>
  <c r="AC32" i="10"/>
  <c r="AD42" i="10"/>
  <c r="M42" i="10" s="1"/>
  <c r="M12" i="10"/>
  <c r="M13" i="10"/>
  <c r="M18" i="10"/>
  <c r="L25" i="10"/>
  <c r="V27" i="10"/>
  <c r="M27" i="12"/>
  <c r="Q58" i="13" s="1"/>
  <c r="N58" i="13" s="1"/>
  <c r="S58" i="13" s="1"/>
  <c r="O56" i="10"/>
  <c r="J56" i="10"/>
  <c r="L48" i="10"/>
  <c r="M49" i="10"/>
  <c r="N36" i="10"/>
  <c r="Q36" i="10" s="1"/>
  <c r="R36" i="10" s="1"/>
  <c r="T17" i="12"/>
  <c r="O27" i="10"/>
  <c r="J12" i="10"/>
  <c r="AC38" i="10"/>
  <c r="L38" i="10" s="1"/>
  <c r="AE44" i="10"/>
  <c r="N44" i="10" s="1"/>
  <c r="Q44" i="10" s="1"/>
  <c r="R44" i="10" s="1"/>
  <c r="L15" i="10"/>
  <c r="N18" i="10"/>
  <c r="M33" i="12"/>
  <c r="Q64" i="13" s="1"/>
  <c r="N64" i="13" s="1"/>
  <c r="P64" i="13" s="1"/>
  <c r="AE38" i="10"/>
  <c r="N38" i="10" s="1"/>
  <c r="Q38" i="10" s="1"/>
  <c r="R38" i="10" s="1"/>
  <c r="N30" i="10"/>
  <c r="N54" i="10"/>
  <c r="Q54" i="10" s="1"/>
  <c r="R54" i="10" s="1"/>
  <c r="M45" i="10"/>
  <c r="Q45" i="10" s="1"/>
  <c r="R45" i="10" s="1"/>
  <c r="M21" i="12"/>
  <c r="Q52" i="13" s="1"/>
  <c r="N52" i="13" s="1"/>
  <c r="O52" i="13" s="1"/>
  <c r="J54" i="10"/>
  <c r="V54" i="10"/>
  <c r="V51" i="10"/>
  <c r="J19" i="10"/>
  <c r="M60" i="10"/>
  <c r="M47" i="10"/>
  <c r="V47" i="10"/>
  <c r="O44" i="10"/>
  <c r="N25" i="10"/>
  <c r="Q25" i="10" s="1"/>
  <c r="R25" i="10" s="1"/>
  <c r="V29" i="10"/>
  <c r="M30" i="10"/>
  <c r="O22" i="10"/>
  <c r="N13" i="10"/>
  <c r="Q13" i="10" s="1"/>
  <c r="R13" i="10" s="1"/>
  <c r="V36" i="10"/>
  <c r="J36" i="10"/>
  <c r="V41" i="10"/>
  <c r="O21" i="10"/>
  <c r="O33" i="10"/>
  <c r="O19" i="10"/>
  <c r="O12" i="10"/>
  <c r="J60" i="10"/>
  <c r="V60" i="10"/>
  <c r="V44" i="10"/>
  <c r="O8" i="10"/>
  <c r="M57" i="10"/>
  <c r="L58" i="10"/>
  <c r="V14" i="10"/>
  <c r="O14" i="10"/>
  <c r="J8" i="10"/>
  <c r="O41" i="10"/>
  <c r="L30" i="10"/>
  <c r="L56" i="10"/>
  <c r="L9" i="10"/>
  <c r="J33" i="10"/>
  <c r="V26" i="10"/>
  <c r="M58" i="10"/>
  <c r="J58" i="10"/>
  <c r="L11" i="10"/>
  <c r="O58" i="10"/>
  <c r="O26" i="10"/>
  <c r="L35" i="10"/>
  <c r="R81" i="9"/>
  <c r="P81" i="9"/>
  <c r="O81" i="9"/>
  <c r="T81" i="9"/>
  <c r="T43" i="9"/>
  <c r="R43" i="9"/>
  <c r="P43" i="9"/>
  <c r="O43" i="9"/>
  <c r="P122" i="9"/>
  <c r="O122" i="9"/>
  <c r="T122" i="9"/>
  <c r="R122" i="9"/>
  <c r="P44" i="9"/>
  <c r="O44" i="9"/>
  <c r="R44" i="9"/>
  <c r="T44" i="9"/>
  <c r="T123" i="9"/>
  <c r="R123" i="9"/>
  <c r="O123" i="9"/>
  <c r="P123" i="9"/>
  <c r="T161" i="9"/>
  <c r="R161" i="9"/>
  <c r="P161" i="9"/>
  <c r="O161" i="9"/>
  <c r="O134" i="9"/>
  <c r="P134" i="9"/>
  <c r="R134" i="9"/>
  <c r="T134" i="9"/>
  <c r="O27" i="9"/>
  <c r="T27" i="9"/>
  <c r="R27" i="9"/>
  <c r="P27" i="9"/>
  <c r="P60" i="9"/>
  <c r="O60" i="9"/>
  <c r="T60" i="9"/>
  <c r="R60" i="9"/>
  <c r="P34" i="9"/>
  <c r="O34" i="9"/>
  <c r="R34" i="9"/>
  <c r="T34" i="9"/>
  <c r="P92" i="9"/>
  <c r="T92" i="9"/>
  <c r="R92" i="9"/>
  <c r="O92" i="9"/>
  <c r="O94" i="9"/>
  <c r="T94" i="9"/>
  <c r="R94" i="9"/>
  <c r="P94" i="9"/>
  <c r="R33" i="9"/>
  <c r="P33" i="9"/>
  <c r="O33" i="9"/>
  <c r="T33" i="9"/>
  <c r="P142" i="9"/>
  <c r="O142" i="9"/>
  <c r="T142" i="9"/>
  <c r="R142" i="9"/>
  <c r="O39" i="9"/>
  <c r="P39" i="9"/>
  <c r="T39" i="9"/>
  <c r="R39" i="9"/>
  <c r="T75" i="9"/>
  <c r="R75" i="9"/>
  <c r="P75" i="9"/>
  <c r="O75" i="9"/>
  <c r="T58" i="9"/>
  <c r="R58" i="9"/>
  <c r="P58" i="9"/>
  <c r="O58" i="9"/>
  <c r="T87" i="9"/>
  <c r="R87" i="9"/>
  <c r="P87" i="9"/>
  <c r="O87" i="9"/>
  <c r="R169" i="9"/>
  <c r="P169" i="9"/>
  <c r="O169" i="9"/>
  <c r="T169" i="9"/>
  <c r="T70" i="9"/>
  <c r="O77" i="9"/>
  <c r="T77" i="9"/>
  <c r="R77" i="9"/>
  <c r="P77" i="9"/>
  <c r="O95" i="9"/>
  <c r="T95" i="9"/>
  <c r="R95" i="9"/>
  <c r="P95" i="9"/>
  <c r="O29" i="9"/>
  <c r="P29" i="9"/>
  <c r="T29" i="9"/>
  <c r="R29" i="9"/>
  <c r="T126" i="9"/>
  <c r="R126" i="9"/>
  <c r="P126" i="9"/>
  <c r="O126" i="9"/>
  <c r="O105" i="9"/>
  <c r="T105" i="9"/>
  <c r="R105" i="9"/>
  <c r="P105" i="9"/>
  <c r="T163" i="9"/>
  <c r="R163" i="9"/>
  <c r="P163" i="9"/>
  <c r="O163" i="9"/>
  <c r="O125" i="9"/>
  <c r="T125" i="9"/>
  <c r="R125" i="9"/>
  <c r="P125" i="9"/>
  <c r="T112" i="9"/>
  <c r="T46" i="9"/>
  <c r="R46" i="9"/>
  <c r="P46" i="9"/>
  <c r="O46" i="9"/>
  <c r="T79" i="9"/>
  <c r="R79" i="9"/>
  <c r="P79" i="9"/>
  <c r="O79" i="9"/>
  <c r="T66" i="9"/>
  <c r="R66" i="9"/>
  <c r="P66" i="9"/>
  <c r="O66" i="9"/>
  <c r="O57" i="9"/>
  <c r="T57" i="9"/>
  <c r="R57" i="9"/>
  <c r="P57" i="9"/>
  <c r="T80" i="9"/>
  <c r="R80" i="9"/>
  <c r="P80" i="9"/>
  <c r="O80" i="9"/>
  <c r="R19" i="9"/>
  <c r="P19" i="9"/>
  <c r="O19" i="9"/>
  <c r="T19" i="9"/>
  <c r="O102" i="9"/>
  <c r="T158" i="9"/>
  <c r="R158" i="9"/>
  <c r="P158" i="9"/>
  <c r="O158" i="9"/>
  <c r="R78" i="9"/>
  <c r="O78" i="9"/>
  <c r="T150" i="9"/>
  <c r="R150" i="9"/>
  <c r="O150" i="9"/>
  <c r="P150" i="9"/>
  <c r="N38" i="12"/>
  <c r="M38" i="12"/>
  <c r="Q69" i="13" s="1"/>
  <c r="N69" i="13" s="1"/>
  <c r="T114" i="9"/>
  <c r="R114" i="9"/>
  <c r="P114" i="9"/>
  <c r="O114" i="9"/>
  <c r="X227" i="9"/>
  <c r="W227" i="9"/>
  <c r="N227" i="9" s="1"/>
  <c r="X174" i="9"/>
  <c r="W174" i="9"/>
  <c r="N174" i="9" s="1"/>
  <c r="X213" i="9"/>
  <c r="W213" i="9"/>
  <c r="X211" i="9"/>
  <c r="W211" i="9"/>
  <c r="W195" i="9"/>
  <c r="X195" i="9"/>
  <c r="X209" i="9"/>
  <c r="W209" i="9"/>
  <c r="N209" i="9" s="1"/>
  <c r="X241" i="9"/>
  <c r="W241" i="9"/>
  <c r="N241" i="9" s="1"/>
  <c r="W208" i="9"/>
  <c r="X208" i="9"/>
  <c r="R61" i="9"/>
  <c r="P61" i="9"/>
  <c r="O61" i="9"/>
  <c r="T61" i="9"/>
  <c r="T53" i="9"/>
  <c r="R53" i="9"/>
  <c r="P53" i="9"/>
  <c r="O53" i="9"/>
  <c r="T103" i="9"/>
  <c r="O103" i="9"/>
  <c r="R103" i="9"/>
  <c r="P103" i="9"/>
  <c r="T166" i="9"/>
  <c r="R166" i="9"/>
  <c r="P166" i="9"/>
  <c r="O166" i="9"/>
  <c r="O9" i="10"/>
  <c r="J9" i="10"/>
  <c r="O135" i="9"/>
  <c r="T135" i="9"/>
  <c r="R135" i="9"/>
  <c r="P135" i="9"/>
  <c r="R128" i="9"/>
  <c r="P128" i="9"/>
  <c r="O128" i="9"/>
  <c r="T128" i="9"/>
  <c r="AE14" i="10"/>
  <c r="N14" i="10" s="1"/>
  <c r="Q14" i="10" s="1"/>
  <c r="R14" i="10" s="1"/>
  <c r="AD14" i="10"/>
  <c r="J50" i="10"/>
  <c r="O50" i="10"/>
  <c r="AD46" i="10"/>
  <c r="AC46" i="10"/>
  <c r="AD33" i="10"/>
  <c r="AE8" i="10"/>
  <c r="N8" i="10" s="1"/>
  <c r="Q8" i="10" s="1"/>
  <c r="R8" i="10" s="1"/>
  <c r="M11" i="10"/>
  <c r="AE17" i="10"/>
  <c r="N17" i="10" s="1"/>
  <c r="AC50" i="10"/>
  <c r="L49" i="10"/>
  <c r="L57" i="10"/>
  <c r="T138" i="9"/>
  <c r="R138" i="9"/>
  <c r="P138" i="9"/>
  <c r="O138" i="9"/>
  <c r="M42" i="12"/>
  <c r="Q73" i="13" s="1"/>
  <c r="N73" i="13" s="1"/>
  <c r="N42" i="12"/>
  <c r="N210" i="9"/>
  <c r="X210" i="9"/>
  <c r="W210" i="9"/>
  <c r="W175" i="9"/>
  <c r="X175" i="9"/>
  <c r="X202" i="9"/>
  <c r="W202" i="9"/>
  <c r="X219" i="9"/>
  <c r="W219" i="9"/>
  <c r="X197" i="9"/>
  <c r="N197" i="9" s="1"/>
  <c r="W197" i="9"/>
  <c r="W223" i="9"/>
  <c r="N223" i="9" s="1"/>
  <c r="X223" i="9"/>
  <c r="X232" i="9"/>
  <c r="W232" i="9"/>
  <c r="X218" i="9"/>
  <c r="W218" i="9"/>
  <c r="N218" i="9" s="1"/>
  <c r="V9" i="10"/>
  <c r="N37" i="12"/>
  <c r="M37" i="12"/>
  <c r="Q68" i="13" s="1"/>
  <c r="N68" i="13" s="1"/>
  <c r="P40" i="13"/>
  <c r="O40" i="13"/>
  <c r="S40" i="13"/>
  <c r="P132" i="9"/>
  <c r="O132" i="9"/>
  <c r="T132" i="9"/>
  <c r="R132" i="9"/>
  <c r="T101" i="9"/>
  <c r="R101" i="9"/>
  <c r="P101" i="9"/>
  <c r="O101" i="9"/>
  <c r="M29" i="12"/>
  <c r="Q60" i="13" s="1"/>
  <c r="N60" i="13" s="1"/>
  <c r="N29" i="12"/>
  <c r="R89" i="9"/>
  <c r="AE21" i="10"/>
  <c r="N21" i="10" s="1"/>
  <c r="Q21" i="10" s="1"/>
  <c r="R21" i="10" s="1"/>
  <c r="L47" i="10"/>
  <c r="N47" i="10"/>
  <c r="AE52" i="10"/>
  <c r="N52" i="10" s="1"/>
  <c r="V39" i="10"/>
  <c r="J39" i="10"/>
  <c r="O39" i="10"/>
  <c r="W216" i="9"/>
  <c r="X216" i="9"/>
  <c r="X179" i="9"/>
  <c r="W179" i="9"/>
  <c r="N179" i="9" s="1"/>
  <c r="X189" i="9"/>
  <c r="W189" i="9"/>
  <c r="X243" i="9"/>
  <c r="W243" i="9"/>
  <c r="X206" i="9"/>
  <c r="W206" i="9"/>
  <c r="X229" i="9"/>
  <c r="W229" i="9"/>
  <c r="N229" i="9" s="1"/>
  <c r="X242" i="9"/>
  <c r="W242" i="9"/>
  <c r="W228" i="9"/>
  <c r="X228" i="9"/>
  <c r="J25" i="10"/>
  <c r="V25" i="10"/>
  <c r="O25" i="10"/>
  <c r="M14" i="12"/>
  <c r="Q45" i="13" s="1"/>
  <c r="N45" i="13" s="1"/>
  <c r="N14" i="12"/>
  <c r="N7" i="12"/>
  <c r="M7" i="12"/>
  <c r="AD53" i="10"/>
  <c r="AC53" i="10"/>
  <c r="F31" i="1"/>
  <c r="J10" i="10"/>
  <c r="M59" i="10"/>
  <c r="AC17" i="10"/>
  <c r="L17" i="10" s="1"/>
  <c r="V10" i="10"/>
  <c r="AD24" i="10"/>
  <c r="AC61" i="10"/>
  <c r="L59" i="10"/>
  <c r="M48" i="10"/>
  <c r="AD41" i="10"/>
  <c r="AC41" i="10"/>
  <c r="X196" i="9"/>
  <c r="W196" i="9"/>
  <c r="X192" i="9"/>
  <c r="W192" i="9"/>
  <c r="X246" i="9"/>
  <c r="W246" i="9"/>
  <c r="X233" i="9"/>
  <c r="W233" i="9"/>
  <c r="X220" i="9"/>
  <c r="W220" i="9"/>
  <c r="W240" i="9"/>
  <c r="X240" i="9"/>
  <c r="W205" i="9"/>
  <c r="X205" i="9"/>
  <c r="X238" i="9"/>
  <c r="N238" i="9" s="1"/>
  <c r="W238" i="9"/>
  <c r="N35" i="12"/>
  <c r="M35" i="12"/>
  <c r="Q66" i="13" s="1"/>
  <c r="N66" i="13" s="1"/>
  <c r="R129" i="9"/>
  <c r="P129" i="9"/>
  <c r="O129" i="9"/>
  <c r="T129" i="9"/>
  <c r="T140" i="9"/>
  <c r="R140" i="9"/>
  <c r="P140" i="9"/>
  <c r="O140" i="9"/>
  <c r="O49" i="10"/>
  <c r="M39" i="10"/>
  <c r="L40" i="10"/>
  <c r="N39" i="10"/>
  <c r="Q39" i="10" s="1"/>
  <c r="R39" i="10" s="1"/>
  <c r="AD26" i="10"/>
  <c r="L26" i="10" s="1"/>
  <c r="AE46" i="10"/>
  <c r="N46" i="10" s="1"/>
  <c r="Q46" i="10" s="1"/>
  <c r="R46" i="10" s="1"/>
  <c r="AE33" i="10"/>
  <c r="N33" i="10" s="1"/>
  <c r="L60" i="10"/>
  <c r="N41" i="12"/>
  <c r="M41" i="12"/>
  <c r="Q72" i="13" s="1"/>
  <c r="N72" i="13" s="1"/>
  <c r="W183" i="9"/>
  <c r="X183" i="9"/>
  <c r="X193" i="9"/>
  <c r="N193" i="9" s="1"/>
  <c r="W193" i="9"/>
  <c r="X236" i="9"/>
  <c r="W236" i="9"/>
  <c r="X244" i="9"/>
  <c r="W244" i="9"/>
  <c r="N244" i="9" s="1"/>
  <c r="X239" i="9"/>
  <c r="W239" i="9"/>
  <c r="X173" i="9"/>
  <c r="W173" i="9"/>
  <c r="W215" i="9"/>
  <c r="N215" i="9" s="1"/>
  <c r="X215" i="9"/>
  <c r="X248" i="9"/>
  <c r="W248" i="9"/>
  <c r="P74" i="9"/>
  <c r="O74" i="9"/>
  <c r="T74" i="9"/>
  <c r="R74" i="9"/>
  <c r="O88" i="9"/>
  <c r="P88" i="9"/>
  <c r="T88" i="9"/>
  <c r="R88" i="9"/>
  <c r="O46" i="13"/>
  <c r="S46" i="13"/>
  <c r="P46" i="13"/>
  <c r="P152" i="9"/>
  <c r="O152" i="9"/>
  <c r="T152" i="9"/>
  <c r="R152" i="9"/>
  <c r="AD31" i="10"/>
  <c r="AE31" i="10"/>
  <c r="N31" i="10" s="1"/>
  <c r="Q31" i="10" s="1"/>
  <c r="R31" i="10" s="1"/>
  <c r="AC28" i="10"/>
  <c r="AE28" i="10"/>
  <c r="N28" i="10" s="1"/>
  <c r="Q28" i="10" s="1"/>
  <c r="R28" i="10" s="1"/>
  <c r="N23" i="12"/>
  <c r="M23" i="12"/>
  <c r="Q54" i="13" s="1"/>
  <c r="N54" i="13" s="1"/>
  <c r="N40" i="10"/>
  <c r="AD28" i="10"/>
  <c r="AD61" i="10"/>
  <c r="M61" i="10" s="1"/>
  <c r="M55" i="10"/>
  <c r="R139" i="9"/>
  <c r="P139" i="9"/>
  <c r="O139" i="9"/>
  <c r="T139" i="9"/>
  <c r="S47" i="13"/>
  <c r="P47" i="13"/>
  <c r="O47" i="13"/>
  <c r="X194" i="9"/>
  <c r="N194" i="9" s="1"/>
  <c r="W194" i="9"/>
  <c r="X203" i="9"/>
  <c r="W203" i="9"/>
  <c r="W247" i="9"/>
  <c r="X247" i="9"/>
  <c r="X250" i="9"/>
  <c r="W250" i="9"/>
  <c r="N250" i="9" s="1"/>
  <c r="X251" i="9"/>
  <c r="W251" i="9"/>
  <c r="X186" i="9"/>
  <c r="W186" i="9"/>
  <c r="W225" i="9"/>
  <c r="N225" i="9" s="1"/>
  <c r="X225" i="9"/>
  <c r="X249" i="9"/>
  <c r="N249" i="9" s="1"/>
  <c r="W249" i="9"/>
  <c r="T65" i="9"/>
  <c r="R65" i="9"/>
  <c r="O65" i="9"/>
  <c r="P65" i="9"/>
  <c r="O17" i="9"/>
  <c r="T17" i="9"/>
  <c r="R17" i="9"/>
  <c r="P17" i="9"/>
  <c r="T98" i="9"/>
  <c r="R98" i="9"/>
  <c r="P98" i="9"/>
  <c r="O98" i="9"/>
  <c r="R155" i="9"/>
  <c r="N10" i="12"/>
  <c r="M10" i="12"/>
  <c r="Q41" i="13" s="1"/>
  <c r="N41" i="13" s="1"/>
  <c r="P172" i="9"/>
  <c r="O172" i="9"/>
  <c r="T172" i="9"/>
  <c r="R172" i="9"/>
  <c r="O124" i="9"/>
  <c r="T124" i="9"/>
  <c r="R124" i="9"/>
  <c r="P124" i="9"/>
  <c r="T26" i="9"/>
  <c r="P26" i="9"/>
  <c r="O26" i="9"/>
  <c r="R26" i="9"/>
  <c r="T164" i="9"/>
  <c r="R164" i="9"/>
  <c r="P164" i="9"/>
  <c r="O164" i="9"/>
  <c r="J31" i="10"/>
  <c r="V31" i="10"/>
  <c r="R117" i="9"/>
  <c r="P117" i="9"/>
  <c r="O117" i="9"/>
  <c r="T117" i="9"/>
  <c r="V30" i="10"/>
  <c r="AE43" i="10"/>
  <c r="N43" i="10" s="1"/>
  <c r="AE24" i="10"/>
  <c r="N24" i="10" s="1"/>
  <c r="L7" i="10"/>
  <c r="AE26" i="10"/>
  <c r="N26" i="10" s="1"/>
  <c r="Q26" i="10" s="1"/>
  <c r="R26" i="10" s="1"/>
  <c r="N55" i="10"/>
  <c r="Q55" i="10" s="1"/>
  <c r="R55" i="10" s="1"/>
  <c r="AC31" i="10"/>
  <c r="AC21" i="10"/>
  <c r="L21" i="10" s="1"/>
  <c r="AC44" i="10"/>
  <c r="L44" i="10" s="1"/>
  <c r="AE41" i="10"/>
  <c r="N41" i="10" s="1"/>
  <c r="Q41" i="10" s="1"/>
  <c r="R41" i="10" s="1"/>
  <c r="N28" i="12"/>
  <c r="M28" i="12"/>
  <c r="Q59" i="13" s="1"/>
  <c r="N59" i="13" s="1"/>
  <c r="R109" i="9"/>
  <c r="P109" i="9"/>
  <c r="O109" i="9"/>
  <c r="T109" i="9"/>
  <c r="W200" i="9"/>
  <c r="N200" i="9" s="1"/>
  <c r="X200" i="9"/>
  <c r="X176" i="9"/>
  <c r="W176" i="9"/>
  <c r="N176" i="9" s="1"/>
  <c r="X224" i="9"/>
  <c r="N224" i="9" s="1"/>
  <c r="W224" i="9"/>
  <c r="X237" i="9"/>
  <c r="W237" i="9"/>
  <c r="X234" i="9"/>
  <c r="W234" i="9"/>
  <c r="X182" i="9"/>
  <c r="W182" i="9"/>
  <c r="X204" i="9"/>
  <c r="W204" i="9"/>
  <c r="W235" i="9"/>
  <c r="X235" i="9"/>
  <c r="N235" i="9"/>
  <c r="H5" i="10"/>
  <c r="O5" i="10" s="1"/>
  <c r="J7" i="10"/>
  <c r="T62" i="9"/>
  <c r="R62" i="9"/>
  <c r="P62" i="9"/>
  <c r="O62" i="9"/>
  <c r="O85" i="9"/>
  <c r="R85" i="9"/>
  <c r="P85" i="9"/>
  <c r="T85" i="9"/>
  <c r="T136" i="9"/>
  <c r="R136" i="9"/>
  <c r="P136" i="9"/>
  <c r="O136" i="9"/>
  <c r="AC22" i="10"/>
  <c r="AD22" i="10"/>
  <c r="M22" i="10" s="1"/>
  <c r="T25" i="9"/>
  <c r="R25" i="9"/>
  <c r="P25" i="9"/>
  <c r="O25" i="9"/>
  <c r="T127" i="9"/>
  <c r="R127" i="9"/>
  <c r="P127" i="9"/>
  <c r="O127" i="9"/>
  <c r="N31" i="12"/>
  <c r="M31" i="12"/>
  <c r="Q62" i="13" s="1"/>
  <c r="N62" i="13" s="1"/>
  <c r="N59" i="10"/>
  <c r="Q59" i="10" s="1"/>
  <c r="R59" i="10" s="1"/>
  <c r="N60" i="10"/>
  <c r="Q60" i="10" s="1"/>
  <c r="R60" i="10" s="1"/>
  <c r="N12" i="10"/>
  <c r="L39" i="10"/>
  <c r="M7" i="10"/>
  <c r="X217" i="9"/>
  <c r="N217" i="9" s="1"/>
  <c r="W217" i="9"/>
  <c r="X181" i="9"/>
  <c r="W181" i="9"/>
  <c r="N181" i="9" s="1"/>
  <c r="X190" i="9"/>
  <c r="W190" i="9"/>
  <c r="N190" i="9" s="1"/>
  <c r="X178" i="9"/>
  <c r="W178" i="9"/>
  <c r="X252" i="9"/>
  <c r="W252" i="9"/>
  <c r="W184" i="9"/>
  <c r="N184" i="9" s="1"/>
  <c r="X184" i="9"/>
  <c r="X212" i="9"/>
  <c r="N212" i="9" s="1"/>
  <c r="W212" i="9"/>
  <c r="W245" i="9"/>
  <c r="N245" i="9" s="1"/>
  <c r="X245" i="9"/>
  <c r="AC51" i="10"/>
  <c r="AD51" i="10"/>
  <c r="T116" i="9"/>
  <c r="R116" i="9"/>
  <c r="P116" i="9"/>
  <c r="O116" i="9"/>
  <c r="N18" i="12"/>
  <c r="M18" i="12"/>
  <c r="Q49" i="13" s="1"/>
  <c r="N49" i="13" s="1"/>
  <c r="AE10" i="10"/>
  <c r="N10" i="10" s="1"/>
  <c r="AC10" i="10"/>
  <c r="L10" i="10" s="1"/>
  <c r="F35" i="1" s="1"/>
  <c r="T111" i="9"/>
  <c r="O111" i="9"/>
  <c r="T137" i="9"/>
  <c r="R137" i="9"/>
  <c r="P137" i="9"/>
  <c r="O137" i="9"/>
  <c r="AC16" i="10"/>
  <c r="AE16" i="10"/>
  <c r="N16" i="10" s="1"/>
  <c r="Q16" i="10" s="1"/>
  <c r="R16" i="10" s="1"/>
  <c r="AD34" i="10"/>
  <c r="L34" i="10" s="1"/>
  <c r="AE34" i="10"/>
  <c r="N34" i="10" s="1"/>
  <c r="L55" i="10"/>
  <c r="AC52" i="10"/>
  <c r="L52" i="10" s="1"/>
  <c r="M27" i="10"/>
  <c r="L54" i="10"/>
  <c r="M56" i="10"/>
  <c r="Q56" i="10" s="1"/>
  <c r="R56" i="10" s="1"/>
  <c r="AD50" i="10"/>
  <c r="M50" i="10" s="1"/>
  <c r="N26" i="12"/>
  <c r="M26" i="12"/>
  <c r="Q57" i="13" s="1"/>
  <c r="N57" i="13" s="1"/>
  <c r="T82" i="9"/>
  <c r="P82" i="9"/>
  <c r="O82" i="9"/>
  <c r="R82" i="9"/>
  <c r="O51" i="13"/>
  <c r="P51" i="13"/>
  <c r="S51" i="13"/>
  <c r="T69" i="9"/>
  <c r="R69" i="9"/>
  <c r="P69" i="9"/>
  <c r="O69" i="9"/>
  <c r="T32" i="9"/>
  <c r="P141" i="9"/>
  <c r="O141" i="9"/>
  <c r="T141" i="9"/>
  <c r="R141" i="9"/>
  <c r="T143" i="9"/>
  <c r="R143" i="9"/>
  <c r="P143" i="9"/>
  <c r="O143" i="9"/>
  <c r="O36" i="9"/>
  <c r="T36" i="9"/>
  <c r="R36" i="9"/>
  <c r="T72" i="9"/>
  <c r="R72" i="9"/>
  <c r="P72" i="9"/>
  <c r="O72" i="9"/>
  <c r="R71" i="9"/>
  <c r="P71" i="9"/>
  <c r="O71" i="9"/>
  <c r="T71" i="9"/>
  <c r="T110" i="9"/>
  <c r="P110" i="9"/>
  <c r="O110" i="9"/>
  <c r="R110" i="9"/>
  <c r="O48" i="13"/>
  <c r="P48" i="13"/>
  <c r="S48" i="13"/>
  <c r="N22" i="12"/>
  <c r="M22" i="12"/>
  <c r="Q53" i="13" s="1"/>
  <c r="N53" i="13" s="1"/>
  <c r="N34" i="12"/>
  <c r="M34" i="12"/>
  <c r="Q65" i="13" s="1"/>
  <c r="N65" i="13" s="1"/>
  <c r="X221" i="9"/>
  <c r="W221" i="9"/>
  <c r="X214" i="9"/>
  <c r="W214" i="9"/>
  <c r="N214" i="9" s="1"/>
  <c r="X191" i="9"/>
  <c r="W191" i="9"/>
  <c r="N191" i="9" s="1"/>
  <c r="W185" i="9"/>
  <c r="X185" i="9"/>
  <c r="X177" i="9"/>
  <c r="W177" i="9"/>
  <c r="N177" i="9" s="1"/>
  <c r="W199" i="9"/>
  <c r="X199" i="9"/>
  <c r="N226" i="9"/>
  <c r="X226" i="9"/>
  <c r="W226" i="9"/>
  <c r="W188" i="9"/>
  <c r="X188" i="9"/>
  <c r="S71" i="13"/>
  <c r="P71" i="13"/>
  <c r="O71" i="13"/>
  <c r="N61" i="10"/>
  <c r="Q61" i="10" s="1"/>
  <c r="R61" i="10" s="1"/>
  <c r="V49" i="10"/>
  <c r="AC29" i="10"/>
  <c r="L29" i="10" s="1"/>
  <c r="AE29" i="10"/>
  <c r="N29" i="10" s="1"/>
  <c r="AD23" i="10"/>
  <c r="M23" i="10" s="1"/>
  <c r="AC23" i="10"/>
  <c r="AD8" i="10"/>
  <c r="N27" i="10"/>
  <c r="Q27" i="10" s="1"/>
  <c r="R27" i="10" s="1"/>
  <c r="O30" i="10"/>
  <c r="O24" i="10"/>
  <c r="AC14" i="10"/>
  <c r="AE53" i="10"/>
  <c r="N53" i="10" s="1"/>
  <c r="Q53" i="10" s="1"/>
  <c r="R53" i="10" s="1"/>
  <c r="AD16" i="10"/>
  <c r="V7" i="10"/>
  <c r="AC43" i="10"/>
  <c r="L43" i="10" s="1"/>
  <c r="T106" i="9"/>
  <c r="R106" i="9"/>
  <c r="P106" i="9"/>
  <c r="O106" i="9"/>
  <c r="R99" i="9"/>
  <c r="P99" i="9"/>
  <c r="T99" i="9"/>
  <c r="O99" i="9"/>
  <c r="R119" i="9"/>
  <c r="P119" i="9"/>
  <c r="O119" i="9"/>
  <c r="T119" i="9"/>
  <c r="M19" i="12"/>
  <c r="Q50" i="13" s="1"/>
  <c r="N50" i="13" s="1"/>
  <c r="N19" i="12"/>
  <c r="R159" i="9"/>
  <c r="P159" i="9"/>
  <c r="O159" i="9"/>
  <c r="T159" i="9"/>
  <c r="N25" i="12"/>
  <c r="M25" i="12"/>
  <c r="Q56" i="13" s="1"/>
  <c r="N56" i="13" s="1"/>
  <c r="N11" i="12"/>
  <c r="M11" i="12"/>
  <c r="Q42" i="13" s="1"/>
  <c r="N42" i="13" s="1"/>
  <c r="X222" i="9"/>
  <c r="W222" i="9"/>
  <c r="X231" i="9"/>
  <c r="W231" i="9"/>
  <c r="X207" i="9"/>
  <c r="W207" i="9"/>
  <c r="N207" i="9" s="1"/>
  <c r="X187" i="9"/>
  <c r="W187" i="9"/>
  <c r="X180" i="9"/>
  <c r="W180" i="9"/>
  <c r="W201" i="9"/>
  <c r="X201" i="9"/>
  <c r="N201" i="9" s="1"/>
  <c r="X230" i="9"/>
  <c r="W230" i="9"/>
  <c r="X198" i="9"/>
  <c r="W198" i="9"/>
  <c r="N198" i="9" s="1"/>
  <c r="AD37" i="10"/>
  <c r="AC37" i="10"/>
  <c r="J23" i="10"/>
  <c r="V23" i="10"/>
  <c r="V50" i="10"/>
  <c r="AE37" i="10"/>
  <c r="N37" i="10" s="1"/>
  <c r="L19" i="10"/>
  <c r="AE51" i="10"/>
  <c r="N51" i="10" s="1"/>
  <c r="P48" i="9" l="1"/>
  <c r="P170" i="9"/>
  <c r="O156" i="9"/>
  <c r="P78" i="9"/>
  <c r="P162" i="9"/>
  <c r="T63" i="9"/>
  <c r="T59" i="9"/>
  <c r="P32" i="9"/>
  <c r="R121" i="9"/>
  <c r="P37" i="9"/>
  <c r="R37" i="9"/>
  <c r="T37" i="9"/>
  <c r="T68" i="9"/>
  <c r="P111" i="9"/>
  <c r="O59" i="9"/>
  <c r="P59" i="9"/>
  <c r="P157" i="9"/>
  <c r="R32" i="9"/>
  <c r="T96" i="9"/>
  <c r="P112" i="9"/>
  <c r="T48" i="9"/>
  <c r="R55" i="9"/>
  <c r="R20" i="9"/>
  <c r="T20" i="9"/>
  <c r="P156" i="9"/>
  <c r="O160" i="9"/>
  <c r="R156" i="9"/>
  <c r="O24" i="9"/>
  <c r="O131" i="9"/>
  <c r="P153" i="9"/>
  <c r="O16" i="9"/>
  <c r="P16" i="9"/>
  <c r="O20" i="9"/>
  <c r="P130" i="9"/>
  <c r="R102" i="9"/>
  <c r="O51" i="9"/>
  <c r="R51" i="9"/>
  <c r="R49" i="9"/>
  <c r="P55" i="9"/>
  <c r="R96" i="9"/>
  <c r="O63" i="9"/>
  <c r="O68" i="9"/>
  <c r="P63" i="9"/>
  <c r="P68" i="9"/>
  <c r="T162" i="9"/>
  <c r="R24" i="9"/>
  <c r="P21" i="9"/>
  <c r="R16" i="9"/>
  <c r="R107" i="9"/>
  <c r="O155" i="9"/>
  <c r="P49" i="9"/>
  <c r="T153" i="9"/>
  <c r="T86" i="9"/>
  <c r="R170" i="9"/>
  <c r="O107" i="9"/>
  <c r="O70" i="9"/>
  <c r="P51" i="9"/>
  <c r="O96" i="9"/>
  <c r="O55" i="9"/>
  <c r="O121" i="9"/>
  <c r="R112" i="9"/>
  <c r="P40" i="9"/>
  <c r="O40" i="9"/>
  <c r="O49" i="9"/>
  <c r="O153" i="9"/>
  <c r="T40" i="9"/>
  <c r="P89" i="9"/>
  <c r="P102" i="9"/>
  <c r="P70" i="9"/>
  <c r="P86" i="9"/>
  <c r="T121" i="9"/>
  <c r="P160" i="9"/>
  <c r="R48" i="9"/>
  <c r="O86" i="9"/>
  <c r="R131" i="9"/>
  <c r="T31" i="9"/>
  <c r="T157" i="9"/>
  <c r="O170" i="9"/>
  <c r="P115" i="9"/>
  <c r="T130" i="9"/>
  <c r="T155" i="9"/>
  <c r="T21" i="9"/>
  <c r="O89" i="9"/>
  <c r="O157" i="9"/>
  <c r="T131" i="9"/>
  <c r="R21" i="9"/>
  <c r="T107" i="9"/>
  <c r="P50" i="9"/>
  <c r="N187" i="9"/>
  <c r="R187" i="9" s="1"/>
  <c r="N221" i="9"/>
  <c r="O221" i="9" s="1"/>
  <c r="T160" i="9"/>
  <c r="N186" i="9"/>
  <c r="T186" i="9" s="1"/>
  <c r="N173" i="9"/>
  <c r="T173" i="9" s="1"/>
  <c r="O162" i="9"/>
  <c r="N192" i="9"/>
  <c r="P192" i="9" s="1"/>
  <c r="N228" i="9"/>
  <c r="T228" i="9" s="1"/>
  <c r="N202" i="9"/>
  <c r="P202" i="9" s="1"/>
  <c r="T24" i="9"/>
  <c r="N178" i="9"/>
  <c r="R178" i="9" s="1"/>
  <c r="N251" i="9"/>
  <c r="T251" i="9" s="1"/>
  <c r="N242" i="9"/>
  <c r="T242" i="9" s="1"/>
  <c r="N216" i="9"/>
  <c r="O216" i="9" s="1"/>
  <c r="N195" i="9"/>
  <c r="T195" i="9" s="1"/>
  <c r="R115" i="9"/>
  <c r="O31" i="9"/>
  <c r="N230" i="9"/>
  <c r="P230" i="9" s="1"/>
  <c r="O147" i="9"/>
  <c r="N204" i="9"/>
  <c r="R204" i="9" s="1"/>
  <c r="T144" i="9"/>
  <c r="N240" i="9"/>
  <c r="R240" i="9" s="1"/>
  <c r="T115" i="9"/>
  <c r="P31" i="9"/>
  <c r="P147" i="9"/>
  <c r="R144" i="9"/>
  <c r="R147" i="9"/>
  <c r="O144" i="9"/>
  <c r="O35" i="9"/>
  <c r="R50" i="9"/>
  <c r="T97" i="9"/>
  <c r="N188" i="9"/>
  <c r="O188" i="9" s="1"/>
  <c r="O130" i="9"/>
  <c r="N234" i="9"/>
  <c r="R234" i="9" s="1"/>
  <c r="N203" i="9"/>
  <c r="T203" i="9" s="1"/>
  <c r="N233" i="9"/>
  <c r="O233" i="9" s="1"/>
  <c r="N243" i="9"/>
  <c r="P243" i="9" s="1"/>
  <c r="N213" i="9"/>
  <c r="T213" i="9" s="1"/>
  <c r="P35" i="9"/>
  <c r="T50" i="9"/>
  <c r="O97" i="9"/>
  <c r="R35" i="9"/>
  <c r="P97" i="9"/>
  <c r="N183" i="9"/>
  <c r="R183" i="9" s="1"/>
  <c r="N246" i="9"/>
  <c r="T246" i="9" s="1"/>
  <c r="N208" i="9"/>
  <c r="P208" i="9" s="1"/>
  <c r="P44" i="13"/>
  <c r="S61" i="13"/>
  <c r="P67" i="13"/>
  <c r="O61" i="13"/>
  <c r="T30" i="12"/>
  <c r="P63" i="13"/>
  <c r="O67" i="13"/>
  <c r="T36" i="12"/>
  <c r="O63" i="13"/>
  <c r="T13" i="12"/>
  <c r="T32" i="12"/>
  <c r="T8" i="12"/>
  <c r="P154" i="9"/>
  <c r="P43" i="13"/>
  <c r="O70" i="13"/>
  <c r="S70" i="13"/>
  <c r="S55" i="13"/>
  <c r="P39" i="13"/>
  <c r="O44" i="13"/>
  <c r="P90" i="9"/>
  <c r="R83" i="9"/>
  <c r="P118" i="9"/>
  <c r="P38" i="9"/>
  <c r="T118" i="9"/>
  <c r="O90" i="9"/>
  <c r="T14" i="9"/>
  <c r="T28" i="9"/>
  <c r="T38" i="9"/>
  <c r="K20" i="10"/>
  <c r="W20" i="10" s="1"/>
  <c r="O100" i="9"/>
  <c r="P15" i="9"/>
  <c r="R15" i="9"/>
  <c r="O149" i="9"/>
  <c r="P149" i="9"/>
  <c r="P91" i="9"/>
  <c r="R91" i="9"/>
  <c r="R56" i="9"/>
  <c r="R23" i="9"/>
  <c r="O23" i="9"/>
  <c r="R151" i="9"/>
  <c r="R67" i="9"/>
  <c r="T67" i="9"/>
  <c r="R145" i="9"/>
  <c r="T171" i="9"/>
  <c r="O84" i="9"/>
  <c r="O104" i="9"/>
  <c r="O118" i="9"/>
  <c r="O171" i="9"/>
  <c r="O38" i="9"/>
  <c r="R14" i="9"/>
  <c r="P145" i="9"/>
  <c r="T154" i="9"/>
  <c r="R64" i="9"/>
  <c r="R90" i="9"/>
  <c r="O145" i="9"/>
  <c r="T108" i="9"/>
  <c r="P47" i="9"/>
  <c r="O64" i="9"/>
  <c r="T56" i="9"/>
  <c r="O76" i="9"/>
  <c r="M44" i="10"/>
  <c r="P171" i="9"/>
  <c r="T54" i="9"/>
  <c r="T168" i="9"/>
  <c r="P84" i="9"/>
  <c r="P67" i="9"/>
  <c r="T23" i="9"/>
  <c r="P56" i="9"/>
  <c r="R84" i="9"/>
  <c r="O151" i="9"/>
  <c r="P151" i="9"/>
  <c r="K15" i="10"/>
  <c r="W15" i="10" s="1"/>
  <c r="R120" i="9"/>
  <c r="T165" i="9"/>
  <c r="O108" i="9"/>
  <c r="K54" i="10"/>
  <c r="W54" i="10" s="1"/>
  <c r="T15" i="9"/>
  <c r="R149" i="9"/>
  <c r="O58" i="13"/>
  <c r="O91" i="9"/>
  <c r="T64" i="9"/>
  <c r="P14" i="9"/>
  <c r="T22" i="9"/>
  <c r="P83" i="9"/>
  <c r="R52" i="9"/>
  <c r="O41" i="9"/>
  <c r="S64" i="13"/>
  <c r="P41" i="9"/>
  <c r="P52" i="13"/>
  <c r="R41" i="9"/>
  <c r="R100" i="9"/>
  <c r="O18" i="9"/>
  <c r="S52" i="13"/>
  <c r="T100" i="9"/>
  <c r="P18" i="9"/>
  <c r="R54" i="9"/>
  <c r="T33" i="12"/>
  <c r="O54" i="9"/>
  <c r="O22" i="9"/>
  <c r="P22" i="9"/>
  <c r="O52" i="9"/>
  <c r="O83" i="9"/>
  <c r="P52" i="9"/>
  <c r="P120" i="9"/>
  <c r="T73" i="9"/>
  <c r="T18" i="9"/>
  <c r="R104" i="9"/>
  <c r="P165" i="9"/>
  <c r="T167" i="9"/>
  <c r="R146" i="9"/>
  <c r="T104" i="9"/>
  <c r="P168" i="9"/>
  <c r="T45" i="9"/>
  <c r="P73" i="9"/>
  <c r="O133" i="9"/>
  <c r="R47" i="9"/>
  <c r="P133" i="9"/>
  <c r="O47" i="9"/>
  <c r="P93" i="9"/>
  <c r="O43" i="13"/>
  <c r="P76" i="9"/>
  <c r="T93" i="9"/>
  <c r="P113" i="9"/>
  <c r="R76" i="9"/>
  <c r="O167" i="9"/>
  <c r="T13" i="9"/>
  <c r="O146" i="9"/>
  <c r="O113" i="9"/>
  <c r="R167" i="9"/>
  <c r="O13" i="9"/>
  <c r="T39" i="12"/>
  <c r="O42" i="9"/>
  <c r="N222" i="9"/>
  <c r="T222" i="9" s="1"/>
  <c r="N220" i="9"/>
  <c r="O220" i="9" s="1"/>
  <c r="N189" i="9"/>
  <c r="T189" i="9" s="1"/>
  <c r="N219" i="9"/>
  <c r="T219" i="9" s="1"/>
  <c r="T146" i="9"/>
  <c r="R154" i="9"/>
  <c r="R73" i="9"/>
  <c r="P13" i="9"/>
  <c r="R93" i="9"/>
  <c r="R168" i="9"/>
  <c r="P108" i="9"/>
  <c r="O120" i="9"/>
  <c r="R42" i="9"/>
  <c r="R113" i="9"/>
  <c r="R133" i="9"/>
  <c r="R165" i="9"/>
  <c r="P30" i="9"/>
  <c r="P42" i="9"/>
  <c r="N185" i="9"/>
  <c r="O185" i="9" s="1"/>
  <c r="N180" i="9"/>
  <c r="R180" i="9" s="1"/>
  <c r="N247" i="9"/>
  <c r="T247" i="9" s="1"/>
  <c r="N232" i="9"/>
  <c r="P232" i="9" s="1"/>
  <c r="N175" i="9"/>
  <c r="T175" i="9" s="1"/>
  <c r="R30" i="9"/>
  <c r="O30" i="9"/>
  <c r="M38" i="10"/>
  <c r="K38" i="10" s="1"/>
  <c r="W38" i="10" s="1"/>
  <c r="K49" i="10"/>
  <c r="W49" i="10" s="1"/>
  <c r="O148" i="9"/>
  <c r="O28" i="9"/>
  <c r="O45" i="9"/>
  <c r="N182" i="9"/>
  <c r="T182" i="9" s="1"/>
  <c r="N239" i="9"/>
  <c r="P239" i="9" s="1"/>
  <c r="P148" i="9"/>
  <c r="P28" i="9"/>
  <c r="P45" i="9"/>
  <c r="N206" i="9"/>
  <c r="R206" i="9" s="1"/>
  <c r="R148" i="9"/>
  <c r="N205" i="9"/>
  <c r="P205" i="9" s="1"/>
  <c r="N231" i="9"/>
  <c r="T231" i="9" s="1"/>
  <c r="N199" i="9"/>
  <c r="P199" i="9" s="1"/>
  <c r="N252" i="9"/>
  <c r="P252" i="9" s="1"/>
  <c r="N237" i="9"/>
  <c r="P237" i="9" s="1"/>
  <c r="N248" i="9"/>
  <c r="T248" i="9" s="1"/>
  <c r="N236" i="9"/>
  <c r="O236" i="9" s="1"/>
  <c r="N196" i="9"/>
  <c r="P196" i="9" s="1"/>
  <c r="N211" i="9"/>
  <c r="R211" i="9" s="1"/>
  <c r="K35" i="10"/>
  <c r="W35" i="10" s="1"/>
  <c r="Q12" i="10"/>
  <c r="R12" i="10" s="1"/>
  <c r="P58" i="13"/>
  <c r="O55" i="13"/>
  <c r="T24" i="12"/>
  <c r="Q18" i="10"/>
  <c r="R18" i="10" s="1"/>
  <c r="O64" i="13"/>
  <c r="T12" i="12"/>
  <c r="K19" i="10"/>
  <c r="W19" i="10" s="1"/>
  <c r="K48" i="10"/>
  <c r="W48" i="10" s="1"/>
  <c r="T37" i="12"/>
  <c r="S39" i="13"/>
  <c r="K18" i="10"/>
  <c r="W18" i="10" s="1"/>
  <c r="L42" i="10"/>
  <c r="K42" i="10" s="1"/>
  <c r="W42" i="10" s="1"/>
  <c r="L32" i="10"/>
  <c r="K32" i="10" s="1"/>
  <c r="W32" i="10" s="1"/>
  <c r="T27" i="12"/>
  <c r="L36" i="10"/>
  <c r="K36" i="10" s="1"/>
  <c r="W36" i="10" s="1"/>
  <c r="K58" i="10"/>
  <c r="W58" i="10" s="1"/>
  <c r="T21" i="12"/>
  <c r="Q11" i="10"/>
  <c r="R11" i="10" s="1"/>
  <c r="T7" i="12"/>
  <c r="T31" i="12"/>
  <c r="Q30" i="10"/>
  <c r="R30" i="10" s="1"/>
  <c r="Q58" i="10"/>
  <c r="R58" i="10" s="1"/>
  <c r="K45" i="10"/>
  <c r="W45" i="10" s="1"/>
  <c r="T14" i="12"/>
  <c r="T38" i="12"/>
  <c r="K57" i="10"/>
  <c r="W57" i="10" s="1"/>
  <c r="Q9" i="10"/>
  <c r="R9" i="10" s="1"/>
  <c r="K30" i="10"/>
  <c r="W30" i="10" s="1"/>
  <c r="M8" i="10"/>
  <c r="K13" i="10"/>
  <c r="W13" i="10" s="1"/>
  <c r="L14" i="10"/>
  <c r="M51" i="10"/>
  <c r="Q48" i="10"/>
  <c r="R48" i="10" s="1"/>
  <c r="K56" i="10"/>
  <c r="W56" i="10" s="1"/>
  <c r="K60" i="10"/>
  <c r="W60" i="10" s="1"/>
  <c r="M41" i="10"/>
  <c r="L23" i="10"/>
  <c r="K23" i="10" s="1"/>
  <c r="W23" i="10" s="1"/>
  <c r="K55" i="10"/>
  <c r="W55" i="10" s="1"/>
  <c r="L61" i="10"/>
  <c r="K61" i="10" s="1"/>
  <c r="W61" i="10" s="1"/>
  <c r="L46" i="10"/>
  <c r="M21" i="10"/>
  <c r="K21" i="10" s="1"/>
  <c r="W21" i="10" s="1"/>
  <c r="M43" i="10"/>
  <c r="K43" i="10" s="1"/>
  <c r="W43" i="10" s="1"/>
  <c r="M17" i="10"/>
  <c r="Q17" i="10" s="1"/>
  <c r="R17" i="10" s="1"/>
  <c r="M26" i="10"/>
  <c r="K26" i="10" s="1"/>
  <c r="W26" i="10" s="1"/>
  <c r="M28" i="10"/>
  <c r="Q40" i="10"/>
  <c r="R40" i="10" s="1"/>
  <c r="L37" i="10"/>
  <c r="L8" i="10"/>
  <c r="K44" i="10"/>
  <c r="W44" i="10" s="1"/>
  <c r="Q47" i="10"/>
  <c r="R47" i="10" s="1"/>
  <c r="K27" i="10"/>
  <c r="W27" i="10" s="1"/>
  <c r="L31" i="10"/>
  <c r="R244" i="9"/>
  <c r="P244" i="9"/>
  <c r="O244" i="9"/>
  <c r="T244" i="9"/>
  <c r="T229" i="9"/>
  <c r="O229" i="9"/>
  <c r="R229" i="9"/>
  <c r="P229" i="9"/>
  <c r="T212" i="9"/>
  <c r="R212" i="9"/>
  <c r="P212" i="9"/>
  <c r="O212" i="9"/>
  <c r="R250" i="9"/>
  <c r="P250" i="9"/>
  <c r="O250" i="9"/>
  <c r="T250" i="9"/>
  <c r="T223" i="9"/>
  <c r="O223" i="9"/>
  <c r="R223" i="9"/>
  <c r="P223" i="9"/>
  <c r="T178" i="9"/>
  <c r="O200" i="9"/>
  <c r="T200" i="9"/>
  <c r="R200" i="9"/>
  <c r="P200" i="9"/>
  <c r="R225" i="9"/>
  <c r="T225" i="9"/>
  <c r="P225" i="9"/>
  <c r="O225" i="9"/>
  <c r="T209" i="9"/>
  <c r="O209" i="9"/>
  <c r="R209" i="9"/>
  <c r="P209" i="9"/>
  <c r="R174" i="9"/>
  <c r="T174" i="9"/>
  <c r="P174" i="9"/>
  <c r="O174" i="9"/>
  <c r="T181" i="9"/>
  <c r="O181" i="9"/>
  <c r="R181" i="9"/>
  <c r="P181" i="9"/>
  <c r="P207" i="9"/>
  <c r="O207" i="9"/>
  <c r="T207" i="9"/>
  <c r="R207" i="9"/>
  <c r="O190" i="9"/>
  <c r="T190" i="9"/>
  <c r="R190" i="9"/>
  <c r="P190" i="9"/>
  <c r="P227" i="9"/>
  <c r="O227" i="9"/>
  <c r="R227" i="9"/>
  <c r="T227" i="9"/>
  <c r="S42" i="13"/>
  <c r="P42" i="13"/>
  <c r="O42" i="13"/>
  <c r="T226" i="9"/>
  <c r="R226" i="9"/>
  <c r="P226" i="9"/>
  <c r="O226" i="9"/>
  <c r="O198" i="9"/>
  <c r="P198" i="9"/>
  <c r="T198" i="9"/>
  <c r="R198" i="9"/>
  <c r="K12" i="10"/>
  <c r="W12" i="10" s="1"/>
  <c r="R194" i="9"/>
  <c r="P194" i="9"/>
  <c r="O194" i="9"/>
  <c r="T194" i="9"/>
  <c r="L41" i="10"/>
  <c r="P45" i="13"/>
  <c r="O45" i="13"/>
  <c r="S45" i="13"/>
  <c r="P60" i="13"/>
  <c r="O60" i="13"/>
  <c r="S60" i="13"/>
  <c r="O210" i="9"/>
  <c r="R210" i="9"/>
  <c r="P210" i="9"/>
  <c r="T210" i="9"/>
  <c r="M14" i="10"/>
  <c r="K11" i="10"/>
  <c r="W11" i="10" s="1"/>
  <c r="N5" i="10"/>
  <c r="S65" i="13"/>
  <c r="P65" i="13"/>
  <c r="O65" i="13"/>
  <c r="F37" i="1"/>
  <c r="Q10" i="10"/>
  <c r="T42" i="12"/>
  <c r="R184" i="9"/>
  <c r="T184" i="9"/>
  <c r="P184" i="9"/>
  <c r="O184" i="9"/>
  <c r="R193" i="9"/>
  <c r="T193" i="9"/>
  <c r="P193" i="9"/>
  <c r="O193" i="9"/>
  <c r="F33" i="1"/>
  <c r="K39" i="10"/>
  <c r="W39" i="10" s="1"/>
  <c r="O68" i="13"/>
  <c r="P68" i="13"/>
  <c r="S68" i="13"/>
  <c r="S69" i="13"/>
  <c r="P69" i="13"/>
  <c r="O69" i="13"/>
  <c r="T191" i="9"/>
  <c r="R191" i="9"/>
  <c r="P191" i="9"/>
  <c r="O191" i="9"/>
  <c r="R224" i="9"/>
  <c r="P224" i="9"/>
  <c r="O224" i="9"/>
  <c r="T224" i="9"/>
  <c r="J5" i="10"/>
  <c r="G7" i="1"/>
  <c r="G6" i="1"/>
  <c r="K7" i="10"/>
  <c r="T176" i="9"/>
  <c r="R176" i="9"/>
  <c r="P176" i="9"/>
  <c r="O176" i="9"/>
  <c r="R179" i="9"/>
  <c r="P179" i="9"/>
  <c r="O179" i="9"/>
  <c r="T179" i="9"/>
  <c r="S73" i="13"/>
  <c r="O73" i="13"/>
  <c r="P73" i="13"/>
  <c r="S62" i="13"/>
  <c r="P62" i="13"/>
  <c r="O62" i="13"/>
  <c r="T19" i="12"/>
  <c r="T22" i="12"/>
  <c r="L16" i="10"/>
  <c r="T18" i="12"/>
  <c r="L51" i="10"/>
  <c r="T10" i="12"/>
  <c r="L53" i="10"/>
  <c r="K25" i="10"/>
  <c r="W25" i="10" s="1"/>
  <c r="L50" i="10"/>
  <c r="Q50" i="10" s="1"/>
  <c r="R50" i="10" s="1"/>
  <c r="T11" i="12"/>
  <c r="O54" i="13"/>
  <c r="S54" i="13"/>
  <c r="P54" i="13"/>
  <c r="P56" i="13"/>
  <c r="O56" i="13"/>
  <c r="S56" i="13"/>
  <c r="O53" i="13"/>
  <c r="P53" i="13"/>
  <c r="S53" i="13"/>
  <c r="S41" i="13"/>
  <c r="P41" i="13"/>
  <c r="O41" i="13"/>
  <c r="T23" i="12"/>
  <c r="T215" i="9"/>
  <c r="R215" i="9"/>
  <c r="P215" i="9"/>
  <c r="O215" i="9"/>
  <c r="T35" i="12"/>
  <c r="K59" i="10"/>
  <c r="W59" i="10" s="1"/>
  <c r="M53" i="10"/>
  <c r="M33" i="10"/>
  <c r="M52" i="10"/>
  <c r="K52" i="10" s="1"/>
  <c r="W52" i="10" s="1"/>
  <c r="P66" i="13"/>
  <c r="O66" i="13"/>
  <c r="S66" i="13"/>
  <c r="P197" i="9"/>
  <c r="O197" i="9"/>
  <c r="T197" i="9"/>
  <c r="R197" i="9"/>
  <c r="K9" i="10"/>
  <c r="W9" i="10" s="1"/>
  <c r="T34" i="12"/>
  <c r="T201" i="9"/>
  <c r="R201" i="9"/>
  <c r="P201" i="9"/>
  <c r="O201" i="9"/>
  <c r="R214" i="9"/>
  <c r="P214" i="9"/>
  <c r="T214" i="9"/>
  <c r="O214" i="9"/>
  <c r="P217" i="9"/>
  <c r="O217" i="9"/>
  <c r="R217" i="9"/>
  <c r="T217" i="9"/>
  <c r="M31" i="10"/>
  <c r="S72" i="13"/>
  <c r="P72" i="13"/>
  <c r="O72" i="13"/>
  <c r="T238" i="9"/>
  <c r="R238" i="9"/>
  <c r="O238" i="9"/>
  <c r="P238" i="9"/>
  <c r="T25" i="12"/>
  <c r="T26" i="12"/>
  <c r="M34" i="10"/>
  <c r="K34" i="10" s="1"/>
  <c r="W34" i="10" s="1"/>
  <c r="P59" i="13"/>
  <c r="O59" i="13"/>
  <c r="S59" i="13"/>
  <c r="T249" i="9"/>
  <c r="R249" i="9"/>
  <c r="P249" i="9"/>
  <c r="O249" i="9"/>
  <c r="L28" i="10"/>
  <c r="M24" i="10"/>
  <c r="G7" i="13"/>
  <c r="I7" i="13" s="1"/>
  <c r="R39" i="12"/>
  <c r="R31" i="12"/>
  <c r="R21" i="12"/>
  <c r="R11" i="12"/>
  <c r="M5" i="12"/>
  <c r="R32" i="12"/>
  <c r="R22" i="12"/>
  <c r="R12" i="12"/>
  <c r="R42" i="12"/>
  <c r="R41" i="12"/>
  <c r="R33" i="12"/>
  <c r="R23" i="12"/>
  <c r="R13" i="12"/>
  <c r="R34" i="12"/>
  <c r="R24" i="12"/>
  <c r="R14" i="12"/>
  <c r="R35" i="12"/>
  <c r="R25" i="12"/>
  <c r="R15" i="12"/>
  <c r="R36" i="12"/>
  <c r="R26" i="12"/>
  <c r="R16" i="12"/>
  <c r="R37" i="12"/>
  <c r="R27" i="12"/>
  <c r="R40" i="12"/>
  <c r="R38" i="12"/>
  <c r="R28" i="12"/>
  <c r="R29" i="12"/>
  <c r="R19" i="12"/>
  <c r="R30" i="12"/>
  <c r="R10" i="12"/>
  <c r="R7" i="12"/>
  <c r="R18" i="12"/>
  <c r="R8" i="12"/>
  <c r="R20" i="12"/>
  <c r="R17" i="12"/>
  <c r="R9" i="12"/>
  <c r="Q38" i="13"/>
  <c r="N38" i="13" s="1"/>
  <c r="T218" i="9"/>
  <c r="R218" i="9"/>
  <c r="P218" i="9"/>
  <c r="O218" i="9"/>
  <c r="M46" i="10"/>
  <c r="R7" i="10"/>
  <c r="M10" i="10"/>
  <c r="F36" i="1" s="1"/>
  <c r="M16" i="10"/>
  <c r="P177" i="9"/>
  <c r="T177" i="9"/>
  <c r="R177" i="9"/>
  <c r="O177" i="9"/>
  <c r="T41" i="12"/>
  <c r="G8" i="13"/>
  <c r="I8" i="13" s="1"/>
  <c r="N5" i="12"/>
  <c r="K47" i="10"/>
  <c r="W47" i="10" s="1"/>
  <c r="L24" i="10"/>
  <c r="J6" i="1"/>
  <c r="M29" i="10"/>
  <c r="Q29" i="10" s="1"/>
  <c r="R29" i="10" s="1"/>
  <c r="E54" i="14"/>
  <c r="V5" i="10"/>
  <c r="O33" i="1"/>
  <c r="O49" i="13"/>
  <c r="P49" i="13"/>
  <c r="S49" i="13"/>
  <c r="P50" i="13"/>
  <c r="O50" i="13"/>
  <c r="S50" i="13"/>
  <c r="S57" i="13"/>
  <c r="O57" i="13"/>
  <c r="P57" i="13"/>
  <c r="T245" i="9"/>
  <c r="R245" i="9"/>
  <c r="P245" i="9"/>
  <c r="O245" i="9"/>
  <c r="T235" i="9"/>
  <c r="R235" i="9"/>
  <c r="P235" i="9"/>
  <c r="O235" i="9"/>
  <c r="T188" i="9"/>
  <c r="P188" i="9"/>
  <c r="M37" i="10"/>
  <c r="L22" i="10"/>
  <c r="K22" i="10" s="1"/>
  <c r="W22" i="10" s="1"/>
  <c r="T28" i="12"/>
  <c r="K40" i="10"/>
  <c r="W40" i="10" s="1"/>
  <c r="L33" i="10"/>
  <c r="T29" i="12"/>
  <c r="T241" i="9"/>
  <c r="R241" i="9"/>
  <c r="P241" i="9"/>
  <c r="O241" i="9"/>
  <c r="J7" i="1"/>
  <c r="O183" i="9" l="1"/>
  <c r="O251" i="9"/>
  <c r="R208" i="9"/>
  <c r="P240" i="9"/>
  <c r="R213" i="9"/>
  <c r="T221" i="9"/>
  <c r="T216" i="9"/>
  <c r="R221" i="9"/>
  <c r="O178" i="9"/>
  <c r="P183" i="9"/>
  <c r="R188" i="9"/>
  <c r="T183" i="9"/>
  <c r="P173" i="9"/>
  <c r="P221" i="9"/>
  <c r="R195" i="9"/>
  <c r="P195" i="9"/>
  <c r="O213" i="9"/>
  <c r="T204" i="9"/>
  <c r="O173" i="9"/>
  <c r="R228" i="9"/>
  <c r="P204" i="9"/>
  <c r="P216" i="9"/>
  <c r="P187" i="9"/>
  <c r="T192" i="9"/>
  <c r="R242" i="9"/>
  <c r="R192" i="9"/>
  <c r="O242" i="9"/>
  <c r="P228" i="9"/>
  <c r="T243" i="9"/>
  <c r="R243" i="9"/>
  <c r="P186" i="9"/>
  <c r="O203" i="9"/>
  <c r="R230" i="9"/>
  <c r="T240" i="9"/>
  <c r="P233" i="9"/>
  <c r="T187" i="9"/>
  <c r="R186" i="9"/>
  <c r="R203" i="9"/>
  <c r="T230" i="9"/>
  <c r="P213" i="9"/>
  <c r="R173" i="9"/>
  <c r="R202" i="9"/>
  <c r="O246" i="9"/>
  <c r="O202" i="9"/>
  <c r="O230" i="9"/>
  <c r="P246" i="9"/>
  <c r="R251" i="9"/>
  <c r="O195" i="9"/>
  <c r="P242" i="9"/>
  <c r="O187" i="9"/>
  <c r="O208" i="9"/>
  <c r="O192" i="9"/>
  <c r="P234" i="9"/>
  <c r="P203" i="9"/>
  <c r="P178" i="9"/>
  <c r="R246" i="9"/>
  <c r="T202" i="9"/>
  <c r="O243" i="9"/>
  <c r="T233" i="9"/>
  <c r="T208" i="9"/>
  <c r="O240" i="9"/>
  <c r="O186" i="9"/>
  <c r="T234" i="9"/>
  <c r="O228" i="9"/>
  <c r="R216" i="9"/>
  <c r="O204" i="9"/>
  <c r="O234" i="9"/>
  <c r="P251" i="9"/>
  <c r="R233" i="9"/>
  <c r="K46" i="10"/>
  <c r="W46" i="10" s="1"/>
  <c r="P247" i="9"/>
  <c r="T252" i="9"/>
  <c r="T239" i="9"/>
  <c r="R205" i="9"/>
  <c r="R252" i="9"/>
  <c r="O205" i="9"/>
  <c r="R220" i="9"/>
  <c r="T180" i="9"/>
  <c r="K17" i="10"/>
  <c r="W17" i="10" s="1"/>
  <c r="T220" i="9"/>
  <c r="O180" i="9"/>
  <c r="P220" i="9"/>
  <c r="T236" i="9"/>
  <c r="R236" i="9"/>
  <c r="R239" i="9"/>
  <c r="P175" i="9"/>
  <c r="O239" i="9"/>
  <c r="P236" i="9"/>
  <c r="O175" i="9"/>
  <c r="P180" i="9"/>
  <c r="T205" i="9"/>
  <c r="R199" i="9"/>
  <c r="T211" i="9"/>
  <c r="P185" i="9"/>
  <c r="R185" i="9"/>
  <c r="O248" i="9"/>
  <c r="T185" i="9"/>
  <c r="P248" i="9"/>
  <c r="R248" i="9"/>
  <c r="Q43" i="10"/>
  <c r="R43" i="10" s="1"/>
  <c r="P182" i="9"/>
  <c r="R182" i="9"/>
  <c r="O182" i="9"/>
  <c r="R175" i="9"/>
  <c r="O196" i="9"/>
  <c r="O252" i="9"/>
  <c r="O237" i="9"/>
  <c r="R247" i="9"/>
  <c r="O231" i="9"/>
  <c r="O247" i="9"/>
  <c r="O199" i="9"/>
  <c r="T199" i="9"/>
  <c r="O219" i="9"/>
  <c r="P219" i="9"/>
  <c r="R237" i="9"/>
  <c r="R196" i="9"/>
  <c r="R219" i="9"/>
  <c r="T237" i="9"/>
  <c r="T196" i="9"/>
  <c r="O189" i="9"/>
  <c r="P206" i="9"/>
  <c r="P231" i="9"/>
  <c r="P189" i="9"/>
  <c r="T232" i="9"/>
  <c r="R231" i="9"/>
  <c r="R189" i="9"/>
  <c r="O232" i="9"/>
  <c r="R232" i="9"/>
  <c r="R222" i="9"/>
  <c r="T206" i="9"/>
  <c r="P211" i="9"/>
  <c r="O222" i="9"/>
  <c r="O206" i="9"/>
  <c r="O211" i="9"/>
  <c r="P222" i="9"/>
  <c r="K14" i="10"/>
  <c r="W14" i="10" s="1"/>
  <c r="E43" i="14"/>
  <c r="F43" i="14" s="1"/>
  <c r="K29" i="10"/>
  <c r="W29" i="10" s="1"/>
  <c r="K8" i="10"/>
  <c r="W8" i="10" s="1"/>
  <c r="K51" i="10"/>
  <c r="W51" i="10" s="1"/>
  <c r="Q37" i="10"/>
  <c r="R37" i="10" s="1"/>
  <c r="K33" i="10"/>
  <c r="W33" i="10" s="1"/>
  <c r="K37" i="10"/>
  <c r="W37" i="10" s="1"/>
  <c r="K31" i="10"/>
  <c r="W31" i="10" s="1"/>
  <c r="K41" i="10"/>
  <c r="W41" i="10" s="1"/>
  <c r="K50" i="10"/>
  <c r="W50" i="10" s="1"/>
  <c r="K28" i="10"/>
  <c r="W28" i="10" s="1"/>
  <c r="Q51" i="10"/>
  <c r="R51" i="10" s="1"/>
  <c r="Q33" i="10"/>
  <c r="R33" i="10" s="1"/>
  <c r="Q24" i="10"/>
  <c r="R24" i="10" s="1"/>
  <c r="O38" i="13"/>
  <c r="S38" i="13"/>
  <c r="P38" i="13"/>
  <c r="E62" i="14"/>
  <c r="F62" i="14" s="1"/>
  <c r="E61" i="14"/>
  <c r="F36" i="13"/>
  <c r="Q34" i="10"/>
  <c r="R34" i="10" s="1"/>
  <c r="M5" i="10"/>
  <c r="K16" i="10"/>
  <c r="W16" i="10" s="1"/>
  <c r="Q52" i="10"/>
  <c r="R52" i="10" s="1"/>
  <c r="W7" i="10"/>
  <c r="K53" i="10"/>
  <c r="W53" i="10" s="1"/>
  <c r="K10" i="10"/>
  <c r="L5" i="10"/>
  <c r="K24" i="10"/>
  <c r="W24" i="10" s="1"/>
  <c r="F26" i="1"/>
  <c r="R10" i="10"/>
  <c r="F40" i="1" s="1"/>
  <c r="Y259" i="9" l="1"/>
  <c r="Z259" i="9" s="1"/>
  <c r="C259" i="9" s="1"/>
  <c r="Y99" i="9"/>
  <c r="Z99" i="9" s="1"/>
  <c r="C99" i="9" s="1"/>
  <c r="Y60" i="9"/>
  <c r="Z60" i="9" s="1"/>
  <c r="C60" i="9" s="1"/>
  <c r="Y269" i="9"/>
  <c r="Z269" i="9" s="1"/>
  <c r="C269" i="9" s="1"/>
  <c r="Y222" i="9"/>
  <c r="Z222" i="9" s="1"/>
  <c r="C222" i="9" s="1"/>
  <c r="E222" i="9" s="1"/>
  <c r="Y69" i="9"/>
  <c r="Z69" i="9" s="1"/>
  <c r="C69" i="9" s="1"/>
  <c r="Y181" i="9"/>
  <c r="Z181" i="9" s="1"/>
  <c r="C181" i="9" s="1"/>
  <c r="Y151" i="9"/>
  <c r="Z151" i="9" s="1"/>
  <c r="C151" i="9" s="1"/>
  <c r="H151" i="9" s="1"/>
  <c r="Y122" i="9"/>
  <c r="Z122" i="9" s="1"/>
  <c r="C122" i="9" s="1"/>
  <c r="Y94" i="9"/>
  <c r="Z94" i="9" s="1"/>
  <c r="C94" i="9" s="1"/>
  <c r="D94" i="9" s="1"/>
  <c r="Y201" i="9"/>
  <c r="Z201" i="9" s="1"/>
  <c r="C201" i="9" s="1"/>
  <c r="Y102" i="9"/>
  <c r="Z102" i="9" s="1"/>
  <c r="C102" i="9" s="1"/>
  <c r="E102" i="9" s="1"/>
  <c r="Y100" i="9"/>
  <c r="Z100" i="9" s="1"/>
  <c r="C100" i="9" s="1"/>
  <c r="Y24" i="9"/>
  <c r="Z24" i="9" s="1"/>
  <c r="C24" i="9" s="1"/>
  <c r="Y95" i="9"/>
  <c r="Z95" i="9" s="1"/>
  <c r="C95" i="9" s="1"/>
  <c r="Y248" i="9"/>
  <c r="Z248" i="9" s="1"/>
  <c r="C248" i="9" s="1"/>
  <c r="Y71" i="9"/>
  <c r="Z71" i="9" s="1"/>
  <c r="C71" i="9" s="1"/>
  <c r="G71" i="9" s="1"/>
  <c r="Y175" i="9"/>
  <c r="Z175" i="9" s="1"/>
  <c r="C175" i="9" s="1"/>
  <c r="Y107" i="9"/>
  <c r="Z107" i="9" s="1"/>
  <c r="C107" i="9" s="1"/>
  <c r="Y67" i="9"/>
  <c r="Z67" i="9" s="1"/>
  <c r="C67" i="9" s="1"/>
  <c r="F67" i="9" s="1"/>
  <c r="Y216" i="9"/>
  <c r="Z216" i="9" s="1"/>
  <c r="C216" i="9" s="1"/>
  <c r="Y304" i="9"/>
  <c r="Z304" i="9" s="1"/>
  <c r="C304" i="9" s="1"/>
  <c r="F304" i="9" s="1"/>
  <c r="Y129" i="9"/>
  <c r="Z129" i="9" s="1"/>
  <c r="C129" i="9" s="1"/>
  <c r="Y55" i="9"/>
  <c r="Z55" i="9" s="1"/>
  <c r="C55" i="9" s="1"/>
  <c r="B55" i="9" s="1"/>
  <c r="Y266" i="9"/>
  <c r="Z266" i="9" s="1"/>
  <c r="C266" i="9" s="1"/>
  <c r="Y92" i="9"/>
  <c r="Z92" i="9" s="1"/>
  <c r="C92" i="9" s="1"/>
  <c r="Y62" i="9"/>
  <c r="Z62" i="9" s="1"/>
  <c r="C62" i="9" s="1"/>
  <c r="Y287" i="9"/>
  <c r="Z287" i="9" s="1"/>
  <c r="C287" i="9" s="1"/>
  <c r="Y278" i="9"/>
  <c r="Z278" i="9" s="1"/>
  <c r="C278" i="9" s="1"/>
  <c r="H278" i="9" s="1"/>
  <c r="Y111" i="9"/>
  <c r="Z111" i="9" s="1"/>
  <c r="C111" i="9" s="1"/>
  <c r="Y253" i="9"/>
  <c r="Z253" i="9" s="1"/>
  <c r="C253" i="9" s="1"/>
  <c r="Y109" i="9"/>
  <c r="Z109" i="9" s="1"/>
  <c r="C109" i="9" s="1"/>
  <c r="F109" i="9" s="1"/>
  <c r="Y104" i="9"/>
  <c r="Z104" i="9" s="1"/>
  <c r="C104" i="9" s="1"/>
  <c r="Y144" i="9"/>
  <c r="Z144" i="9" s="1"/>
  <c r="C144" i="9" s="1"/>
  <c r="G144" i="9" s="1"/>
  <c r="Y163" i="9"/>
  <c r="Z163" i="9" s="1"/>
  <c r="C163" i="9" s="1"/>
  <c r="Y275" i="9"/>
  <c r="Z275" i="9" s="1"/>
  <c r="C275" i="9" s="1"/>
  <c r="G275" i="9" s="1"/>
  <c r="Y264" i="9"/>
  <c r="Z264" i="9" s="1"/>
  <c r="C264" i="9" s="1"/>
  <c r="Y212" i="9"/>
  <c r="Z212" i="9" s="1"/>
  <c r="C212" i="9" s="1"/>
  <c r="Y153" i="9"/>
  <c r="Z153" i="9" s="1"/>
  <c r="C153" i="9" s="1"/>
  <c r="Y93" i="9"/>
  <c r="Z93" i="9" s="1"/>
  <c r="C93" i="9" s="1"/>
  <c r="D93" i="9" s="1"/>
  <c r="Y131" i="9"/>
  <c r="Z131" i="9" s="1"/>
  <c r="C131" i="9" s="1"/>
  <c r="H131" i="9" s="1"/>
  <c r="Y34" i="9"/>
  <c r="Z34" i="9" s="1"/>
  <c r="C34" i="9" s="1"/>
  <c r="Y240" i="9"/>
  <c r="Z240" i="9" s="1"/>
  <c r="C240" i="9" s="1"/>
  <c r="Y51" i="9"/>
  <c r="Z51" i="9" s="1"/>
  <c r="C51" i="9" s="1"/>
  <c r="E51" i="9" s="1"/>
  <c r="Y160" i="9"/>
  <c r="Z160" i="9" s="1"/>
  <c r="C160" i="9" s="1"/>
  <c r="Y307" i="9"/>
  <c r="Z307" i="9" s="1"/>
  <c r="C307" i="9" s="1"/>
  <c r="D307" i="9" s="1"/>
  <c r="Y98" i="9"/>
  <c r="Z98" i="9" s="1"/>
  <c r="C98" i="9" s="1"/>
  <c r="Y113" i="9"/>
  <c r="Z113" i="9" s="1"/>
  <c r="C113" i="9" s="1"/>
  <c r="D113" i="9" s="1"/>
  <c r="Y282" i="9"/>
  <c r="Z282" i="9" s="1"/>
  <c r="C282" i="9" s="1"/>
  <c r="Y198" i="9"/>
  <c r="Z198" i="9" s="1"/>
  <c r="C198" i="9" s="1"/>
  <c r="D198" i="9" s="1"/>
  <c r="Y64" i="9"/>
  <c r="Z64" i="9" s="1"/>
  <c r="C64" i="9" s="1"/>
  <c r="Y57" i="9"/>
  <c r="Z57" i="9" s="1"/>
  <c r="C57" i="9" s="1"/>
  <c r="G57" i="9" s="1"/>
  <c r="Y80" i="9"/>
  <c r="Z80" i="9" s="1"/>
  <c r="C80" i="9" s="1"/>
  <c r="H80" i="9" s="1"/>
  <c r="Y289" i="9"/>
  <c r="Z289" i="9" s="1"/>
  <c r="C289" i="9" s="1"/>
  <c r="Y224" i="9"/>
  <c r="Z224" i="9" s="1"/>
  <c r="C224" i="9" s="1"/>
  <c r="Y214" i="9"/>
  <c r="Z214" i="9" s="1"/>
  <c r="C214" i="9" s="1"/>
  <c r="F214" i="9" s="1"/>
  <c r="Y228" i="9"/>
  <c r="Z228" i="9" s="1"/>
  <c r="C228" i="9" s="1"/>
  <c r="Y236" i="9"/>
  <c r="Z236" i="9" s="1"/>
  <c r="C236" i="9" s="1"/>
  <c r="H236" i="9" s="1"/>
  <c r="Y169" i="9"/>
  <c r="Z169" i="9" s="1"/>
  <c r="C169" i="9" s="1"/>
  <c r="Y134" i="9"/>
  <c r="Z134" i="9" s="1"/>
  <c r="C134" i="9" s="1"/>
  <c r="B134" i="9" s="1"/>
  <c r="Y296" i="9"/>
  <c r="Z296" i="9" s="1"/>
  <c r="C296" i="9" s="1"/>
  <c r="Y106" i="9"/>
  <c r="Z106" i="9" s="1"/>
  <c r="C106" i="9" s="1"/>
  <c r="F106" i="9" s="1"/>
  <c r="Y54" i="9"/>
  <c r="Z54" i="9" s="1"/>
  <c r="C54" i="9" s="1"/>
  <c r="Y42" i="9"/>
  <c r="Z42" i="9" s="1"/>
  <c r="C42" i="9" s="1"/>
  <c r="E42" i="9" s="1"/>
  <c r="Y53" i="9"/>
  <c r="Z53" i="9" s="1"/>
  <c r="C53" i="9" s="1"/>
  <c r="B53" i="9" s="1"/>
  <c r="Y91" i="9"/>
  <c r="Z91" i="9" s="1"/>
  <c r="C91" i="9" s="1"/>
  <c r="Y40" i="9"/>
  <c r="Z40" i="9" s="1"/>
  <c r="C40" i="9" s="1"/>
  <c r="Y255" i="9"/>
  <c r="Z255" i="9" s="1"/>
  <c r="C255" i="9" s="1"/>
  <c r="F255" i="9" s="1"/>
  <c r="Y247" i="9"/>
  <c r="Z247" i="9" s="1"/>
  <c r="C247" i="9" s="1"/>
  <c r="Y256" i="9"/>
  <c r="Z256" i="9" s="1"/>
  <c r="C256" i="9" s="1"/>
  <c r="D256" i="9" s="1"/>
  <c r="Y83" i="9"/>
  <c r="Z83" i="9" s="1"/>
  <c r="C83" i="9" s="1"/>
  <c r="Y178" i="9"/>
  <c r="Z178" i="9" s="1"/>
  <c r="C178" i="9" s="1"/>
  <c r="F178" i="9" s="1"/>
  <c r="Y59" i="9"/>
  <c r="Z59" i="9" s="1"/>
  <c r="C59" i="9" s="1"/>
  <c r="Y179" i="9"/>
  <c r="Z179" i="9" s="1"/>
  <c r="C179" i="9" s="1"/>
  <c r="B179" i="9" s="1"/>
  <c r="Y140" i="9"/>
  <c r="Z140" i="9" s="1"/>
  <c r="C140" i="9" s="1"/>
  <c r="Y135" i="9"/>
  <c r="Z135" i="9" s="1"/>
  <c r="C135" i="9" s="1"/>
  <c r="G135" i="9" s="1"/>
  <c r="Y156" i="9"/>
  <c r="Z156" i="9" s="1"/>
  <c r="C156" i="9" s="1"/>
  <c r="G156" i="9" s="1"/>
  <c r="Y66" i="9"/>
  <c r="Z66" i="9" s="1"/>
  <c r="C66" i="9" s="1"/>
  <c r="Y206" i="9"/>
  <c r="Z206" i="9" s="1"/>
  <c r="C206" i="9" s="1"/>
  <c r="Y165" i="9"/>
  <c r="Z165" i="9" s="1"/>
  <c r="C165" i="9" s="1"/>
  <c r="H165" i="9" s="1"/>
  <c r="Y84" i="9"/>
  <c r="Z84" i="9" s="1"/>
  <c r="C84" i="9" s="1"/>
  <c r="F84" i="9" s="1"/>
  <c r="Y101" i="9"/>
  <c r="Z101" i="9" s="1"/>
  <c r="C101" i="9" s="1"/>
  <c r="F101" i="9" s="1"/>
  <c r="Y63" i="9"/>
  <c r="Z63" i="9" s="1"/>
  <c r="C63" i="9" s="1"/>
  <c r="Y171" i="9"/>
  <c r="Z171" i="9" s="1"/>
  <c r="C171" i="9" s="1"/>
  <c r="E171" i="9" s="1"/>
  <c r="Y199" i="9"/>
  <c r="Z199" i="9" s="1"/>
  <c r="C199" i="9" s="1"/>
  <c r="Y291" i="9"/>
  <c r="Z291" i="9" s="1"/>
  <c r="C291" i="9" s="1"/>
  <c r="B291" i="9" s="1"/>
  <c r="Y77" i="9"/>
  <c r="Z77" i="9" s="1"/>
  <c r="C77" i="9" s="1"/>
  <c r="Y251" i="9"/>
  <c r="Z251" i="9" s="1"/>
  <c r="C251" i="9" s="1"/>
  <c r="F251" i="9" s="1"/>
  <c r="Y203" i="9"/>
  <c r="Z203" i="9" s="1"/>
  <c r="C203" i="9" s="1"/>
  <c r="F203" i="9" s="1"/>
  <c r="Y290" i="9"/>
  <c r="Z290" i="9" s="1"/>
  <c r="C290" i="9" s="1"/>
  <c r="Y39" i="9"/>
  <c r="Z39" i="9" s="1"/>
  <c r="C39" i="9" s="1"/>
  <c r="Y168" i="9"/>
  <c r="Z168" i="9" s="1"/>
  <c r="C168" i="9" s="1"/>
  <c r="D168" i="9" s="1"/>
  <c r="Y196" i="9"/>
  <c r="Z196" i="9" s="1"/>
  <c r="C196" i="9" s="1"/>
  <c r="D196" i="9" s="1"/>
  <c r="Y274" i="9"/>
  <c r="Z274" i="9" s="1"/>
  <c r="C274" i="9" s="1"/>
  <c r="B274" i="9" s="1"/>
  <c r="Y23" i="9"/>
  <c r="Z23" i="9" s="1"/>
  <c r="C23" i="9" s="1"/>
  <c r="Y126" i="9"/>
  <c r="Z126" i="9" s="1"/>
  <c r="C126" i="9" s="1"/>
  <c r="B126" i="9" s="1"/>
  <c r="Y225" i="9"/>
  <c r="Z225" i="9" s="1"/>
  <c r="C225" i="9" s="1"/>
  <c r="Y188" i="9"/>
  <c r="Z188" i="9" s="1"/>
  <c r="C188" i="9" s="1"/>
  <c r="G188" i="9" s="1"/>
  <c r="Y301" i="9"/>
  <c r="Z301" i="9" s="1"/>
  <c r="C301" i="9" s="1"/>
  <c r="Y243" i="9"/>
  <c r="Z243" i="9" s="1"/>
  <c r="C243" i="9" s="1"/>
  <c r="B243" i="9" s="1"/>
  <c r="Y277" i="9"/>
  <c r="Z277" i="9" s="1"/>
  <c r="C277" i="9" s="1"/>
  <c r="E277" i="9" s="1"/>
  <c r="Y303" i="9"/>
  <c r="Z303" i="9" s="1"/>
  <c r="C303" i="9" s="1"/>
  <c r="Y36" i="9"/>
  <c r="Z36" i="9" s="1"/>
  <c r="C36" i="9" s="1"/>
  <c r="Y82" i="9"/>
  <c r="Z82" i="9" s="1"/>
  <c r="C82" i="9" s="1"/>
  <c r="D82" i="9" s="1"/>
  <c r="Y31" i="9"/>
  <c r="Z31" i="9" s="1"/>
  <c r="C31" i="9" s="1"/>
  <c r="B31" i="9" s="1"/>
  <c r="Y191" i="9"/>
  <c r="Z191" i="9" s="1"/>
  <c r="C191" i="9" s="1"/>
  <c r="B191" i="9" s="1"/>
  <c r="Y25" i="9"/>
  <c r="Z25" i="9" s="1"/>
  <c r="C25" i="9" s="1"/>
  <c r="Y306" i="9"/>
  <c r="Z306" i="9" s="1"/>
  <c r="C306" i="9" s="1"/>
  <c r="E306" i="9" s="1"/>
  <c r="Y133" i="9"/>
  <c r="Z133" i="9" s="1"/>
  <c r="C133" i="9" s="1"/>
  <c r="Y218" i="9"/>
  <c r="Z218" i="9" s="1"/>
  <c r="C218" i="9" s="1"/>
  <c r="D218" i="9" s="1"/>
  <c r="Y26" i="9"/>
  <c r="Z26" i="9" s="1"/>
  <c r="C26" i="9" s="1"/>
  <c r="Y47" i="9"/>
  <c r="Z47" i="9" s="1"/>
  <c r="C47" i="9" s="1"/>
  <c r="B47" i="9" s="1"/>
  <c r="Y19" i="9"/>
  <c r="Z19" i="9" s="1"/>
  <c r="C19" i="9" s="1"/>
  <c r="F19" i="9" s="1"/>
  <c r="Y142" i="9"/>
  <c r="Z142" i="9" s="1"/>
  <c r="C142" i="9" s="1"/>
  <c r="Y41" i="9"/>
  <c r="Z41" i="9" s="1"/>
  <c r="C41" i="9" s="1"/>
  <c r="Y220" i="9"/>
  <c r="Z220" i="9" s="1"/>
  <c r="C220" i="9" s="1"/>
  <c r="E220" i="9" s="1"/>
  <c r="Y239" i="9"/>
  <c r="Z239" i="9" s="1"/>
  <c r="C239" i="9" s="1"/>
  <c r="G239" i="9" s="1"/>
  <c r="Y105" i="9"/>
  <c r="Z105" i="9" s="1"/>
  <c r="C105" i="9" s="1"/>
  <c r="H105" i="9" s="1"/>
  <c r="Y235" i="9"/>
  <c r="Z235" i="9" s="1"/>
  <c r="C235" i="9" s="1"/>
  <c r="Y297" i="9"/>
  <c r="Z297" i="9" s="1"/>
  <c r="C297" i="9" s="1"/>
  <c r="D297" i="9" s="1"/>
  <c r="Y38" i="9"/>
  <c r="Z38" i="9" s="1"/>
  <c r="C38" i="9" s="1"/>
  <c r="F38" i="9" s="1"/>
  <c r="Y50" i="9"/>
  <c r="Z50" i="9" s="1"/>
  <c r="C50" i="9" s="1"/>
  <c r="B50" i="9" s="1"/>
  <c r="Y310" i="9"/>
  <c r="Z310" i="9" s="1"/>
  <c r="C310" i="9" s="1"/>
  <c r="Y249" i="9"/>
  <c r="Z249" i="9" s="1"/>
  <c r="C249" i="9" s="1"/>
  <c r="G249" i="9" s="1"/>
  <c r="Y204" i="9"/>
  <c r="Z204" i="9" s="1"/>
  <c r="C204" i="9" s="1"/>
  <c r="H204" i="9" s="1"/>
  <c r="Y208" i="9"/>
  <c r="Z208" i="9" s="1"/>
  <c r="C208" i="9" s="1"/>
  <c r="D208" i="9" s="1"/>
  <c r="Y173" i="9"/>
  <c r="Z173" i="9" s="1"/>
  <c r="C173" i="9" s="1"/>
  <c r="D173" i="9" s="1"/>
  <c r="Y172" i="9"/>
  <c r="Z172" i="9" s="1"/>
  <c r="C172" i="9" s="1"/>
  <c r="F172" i="9" s="1"/>
  <c r="Y308" i="9"/>
  <c r="Z308" i="9" s="1"/>
  <c r="C308" i="9" s="1"/>
  <c r="E308" i="9" s="1"/>
  <c r="Y258" i="9"/>
  <c r="Z258" i="9" s="1"/>
  <c r="C258" i="9" s="1"/>
  <c r="H258" i="9" s="1"/>
  <c r="Y85" i="9"/>
  <c r="Z85" i="9" s="1"/>
  <c r="C85" i="9" s="1"/>
  <c r="Y78" i="9"/>
  <c r="Z78" i="9" s="1"/>
  <c r="C78" i="9" s="1"/>
  <c r="E78" i="9" s="1"/>
  <c r="Y30" i="9"/>
  <c r="Z30" i="9" s="1"/>
  <c r="C30" i="9" s="1"/>
  <c r="Y234" i="9"/>
  <c r="Z234" i="9" s="1"/>
  <c r="C234" i="9" s="1"/>
  <c r="B234" i="9" s="1"/>
  <c r="Y72" i="9"/>
  <c r="Z72" i="9" s="1"/>
  <c r="C72" i="9" s="1"/>
  <c r="Y136" i="9"/>
  <c r="Z136" i="9" s="1"/>
  <c r="C136" i="9" s="1"/>
  <c r="D136" i="9" s="1"/>
  <c r="Y252" i="9"/>
  <c r="Z252" i="9" s="1"/>
  <c r="C252" i="9" s="1"/>
  <c r="B252" i="9" s="1"/>
  <c r="Y230" i="9"/>
  <c r="Z230" i="9" s="1"/>
  <c r="C230" i="9" s="1"/>
  <c r="H230" i="9" s="1"/>
  <c r="Y185" i="9"/>
  <c r="Z185" i="9" s="1"/>
  <c r="C185" i="9" s="1"/>
  <c r="G185" i="9" s="1"/>
  <c r="Y139" i="9"/>
  <c r="Z139" i="9" s="1"/>
  <c r="C139" i="9" s="1"/>
  <c r="G139" i="9" s="1"/>
  <c r="Y210" i="9"/>
  <c r="Z210" i="9" s="1"/>
  <c r="C210" i="9" s="1"/>
  <c r="D210" i="9" s="1"/>
  <c r="Y49" i="9"/>
  <c r="Z49" i="9" s="1"/>
  <c r="C49" i="9" s="1"/>
  <c r="G49" i="9" s="1"/>
  <c r="Y272" i="9"/>
  <c r="Z272" i="9" s="1"/>
  <c r="C272" i="9" s="1"/>
  <c r="G272" i="9" s="1"/>
  <c r="Y242" i="9"/>
  <c r="Z242" i="9" s="1"/>
  <c r="C242" i="9" s="1"/>
  <c r="E242" i="9" s="1"/>
  <c r="Y14" i="9"/>
  <c r="Z14" i="9" s="1"/>
  <c r="C14" i="9" s="1"/>
  <c r="F14" i="9" s="1"/>
  <c r="Y130" i="9"/>
  <c r="Z130" i="9" s="1"/>
  <c r="C130" i="9" s="1"/>
  <c r="E130" i="9" s="1"/>
  <c r="Y261" i="9"/>
  <c r="Z261" i="9" s="1"/>
  <c r="C261" i="9" s="1"/>
  <c r="Y280" i="9"/>
  <c r="Z280" i="9" s="1"/>
  <c r="C280" i="9" s="1"/>
  <c r="F280" i="9" s="1"/>
  <c r="Y56" i="9"/>
  <c r="Z56" i="9" s="1"/>
  <c r="C56" i="9" s="1"/>
  <c r="G56" i="9" s="1"/>
  <c r="Y115" i="9"/>
  <c r="Z115" i="9" s="1"/>
  <c r="C115" i="9" s="1"/>
  <c r="H115" i="9" s="1"/>
  <c r="Y27" i="9"/>
  <c r="Z27" i="9" s="1"/>
  <c r="C27" i="9" s="1"/>
  <c r="G27" i="9" s="1"/>
  <c r="Y119" i="9"/>
  <c r="Z119" i="9" s="1"/>
  <c r="C119" i="9" s="1"/>
  <c r="B119" i="9" s="1"/>
  <c r="Y299" i="9"/>
  <c r="Z299" i="9" s="1"/>
  <c r="C299" i="9" s="1"/>
  <c r="F299" i="9" s="1"/>
  <c r="Y285" i="9"/>
  <c r="Z285" i="9" s="1"/>
  <c r="C285" i="9" s="1"/>
  <c r="F285" i="9" s="1"/>
  <c r="Y279" i="9"/>
  <c r="Z279" i="9" s="1"/>
  <c r="C279" i="9" s="1"/>
  <c r="G279" i="9" s="1"/>
  <c r="Y192" i="9"/>
  <c r="Z192" i="9" s="1"/>
  <c r="C192" i="9" s="1"/>
  <c r="F192" i="9" s="1"/>
  <c r="Y197" i="9"/>
  <c r="Z197" i="9" s="1"/>
  <c r="C197" i="9" s="1"/>
  <c r="F197" i="9" s="1"/>
  <c r="Y166" i="9"/>
  <c r="Z166" i="9" s="1"/>
  <c r="C166" i="9" s="1"/>
  <c r="B166" i="9" s="1"/>
  <c r="Y146" i="9"/>
  <c r="Z146" i="9" s="1"/>
  <c r="C146" i="9" s="1"/>
  <c r="Y29" i="9"/>
  <c r="Z29" i="9" s="1"/>
  <c r="C29" i="9" s="1"/>
  <c r="F29" i="9" s="1"/>
  <c r="Y17" i="9"/>
  <c r="Z17" i="9" s="1"/>
  <c r="C17" i="9" s="1"/>
  <c r="E17" i="9" s="1"/>
  <c r="Y12" i="9"/>
  <c r="Z12" i="9" s="1"/>
  <c r="C12" i="9" s="1"/>
  <c r="G12" i="9" s="1"/>
  <c r="Y187" i="9"/>
  <c r="Z187" i="9" s="1"/>
  <c r="C187" i="9" s="1"/>
  <c r="F187" i="9" s="1"/>
  <c r="Y79" i="9"/>
  <c r="Z79" i="9" s="1"/>
  <c r="C79" i="9" s="1"/>
  <c r="F79" i="9" s="1"/>
  <c r="Y270" i="9"/>
  <c r="Z270" i="9" s="1"/>
  <c r="C270" i="9" s="1"/>
  <c r="D270" i="9" s="1"/>
  <c r="Y213" i="9"/>
  <c r="Z213" i="9" s="1"/>
  <c r="C213" i="9" s="1"/>
  <c r="H213" i="9" s="1"/>
  <c r="Y217" i="9"/>
  <c r="Z217" i="9" s="1"/>
  <c r="C217" i="9" s="1"/>
  <c r="Y127" i="9"/>
  <c r="Z127" i="9" s="1"/>
  <c r="C127" i="9" s="1"/>
  <c r="G127" i="9" s="1"/>
  <c r="Y123" i="9"/>
  <c r="Z123" i="9" s="1"/>
  <c r="C123" i="9" s="1"/>
  <c r="D123" i="9" s="1"/>
  <c r="Y162" i="9"/>
  <c r="Z162" i="9" s="1"/>
  <c r="C162" i="9" s="1"/>
  <c r="E162" i="9" s="1"/>
  <c r="Y149" i="9"/>
  <c r="Z149" i="9" s="1"/>
  <c r="C149" i="9" s="1"/>
  <c r="Y15" i="9"/>
  <c r="Z15" i="9" s="1"/>
  <c r="C15" i="9" s="1"/>
  <c r="D15" i="9" s="1"/>
  <c r="Y97" i="9"/>
  <c r="Z97" i="9" s="1"/>
  <c r="C97" i="9" s="1"/>
  <c r="E97" i="9" s="1"/>
  <c r="Y73" i="9"/>
  <c r="Z73" i="9" s="1"/>
  <c r="C73" i="9" s="1"/>
  <c r="Y232" i="9"/>
  <c r="Z232" i="9" s="1"/>
  <c r="C232" i="9" s="1"/>
  <c r="G232" i="9" s="1"/>
  <c r="Y273" i="9"/>
  <c r="Z273" i="9" s="1"/>
  <c r="C273" i="9" s="1"/>
  <c r="D273" i="9" s="1"/>
  <c r="Y33" i="9"/>
  <c r="Z33" i="9" s="1"/>
  <c r="C33" i="9" s="1"/>
  <c r="G33" i="9" s="1"/>
  <c r="Y190" i="9"/>
  <c r="Z190" i="9" s="1"/>
  <c r="C190" i="9" s="1"/>
  <c r="E190" i="9" s="1"/>
  <c r="Y124" i="9"/>
  <c r="Z124" i="9" s="1"/>
  <c r="C124" i="9" s="1"/>
  <c r="F124" i="9" s="1"/>
  <c r="Y262" i="9"/>
  <c r="Z262" i="9" s="1"/>
  <c r="C262" i="9" s="1"/>
  <c r="H262" i="9" s="1"/>
  <c r="Y81" i="9"/>
  <c r="Z81" i="9" s="1"/>
  <c r="C81" i="9" s="1"/>
  <c r="G81" i="9" s="1"/>
  <c r="Y238" i="9"/>
  <c r="Z238" i="9" s="1"/>
  <c r="C238" i="9" s="1"/>
  <c r="G238" i="9" s="1"/>
  <c r="Y150" i="9"/>
  <c r="Z150" i="9" s="1"/>
  <c r="C150" i="9" s="1"/>
  <c r="D150" i="9" s="1"/>
  <c r="Y237" i="9"/>
  <c r="Z237" i="9" s="1"/>
  <c r="C237" i="9" s="1"/>
  <c r="D237" i="9" s="1"/>
  <c r="Y281" i="9"/>
  <c r="Z281" i="9" s="1"/>
  <c r="C281" i="9" s="1"/>
  <c r="E281" i="9" s="1"/>
  <c r="Y250" i="9"/>
  <c r="Z250" i="9" s="1"/>
  <c r="C250" i="9" s="1"/>
  <c r="D250" i="9" s="1"/>
  <c r="Y110" i="9"/>
  <c r="Z110" i="9" s="1"/>
  <c r="C110" i="9" s="1"/>
  <c r="F110" i="9" s="1"/>
  <c r="Y227" i="9"/>
  <c r="Z227" i="9" s="1"/>
  <c r="C227" i="9" s="1"/>
  <c r="H227" i="9" s="1"/>
  <c r="Y283" i="9"/>
  <c r="Z283" i="9" s="1"/>
  <c r="C283" i="9" s="1"/>
  <c r="B283" i="9" s="1"/>
  <c r="Y311" i="9"/>
  <c r="Z311" i="9" s="1"/>
  <c r="C311" i="9" s="1"/>
  <c r="F311" i="9" s="1"/>
  <c r="Y254" i="9"/>
  <c r="Z254" i="9" s="1"/>
  <c r="C254" i="9" s="1"/>
  <c r="F254" i="9" s="1"/>
  <c r="Y246" i="9"/>
  <c r="Z246" i="9" s="1"/>
  <c r="C246" i="9" s="1"/>
  <c r="H246" i="9" s="1"/>
  <c r="Y103" i="9"/>
  <c r="Z103" i="9" s="1"/>
  <c r="C103" i="9" s="1"/>
  <c r="G103" i="9" s="1"/>
  <c r="Y302" i="9"/>
  <c r="Z302" i="9" s="1"/>
  <c r="C302" i="9" s="1"/>
  <c r="G302" i="9" s="1"/>
  <c r="Y28" i="9"/>
  <c r="Z28" i="9" s="1"/>
  <c r="C28" i="9" s="1"/>
  <c r="E28" i="9" s="1"/>
  <c r="Y116" i="9"/>
  <c r="Z116" i="9" s="1"/>
  <c r="C116" i="9" s="1"/>
  <c r="E116" i="9" s="1"/>
  <c r="Y137" i="9"/>
  <c r="Z137" i="9" s="1"/>
  <c r="C137" i="9" s="1"/>
  <c r="E137" i="9" s="1"/>
  <c r="Y161" i="9"/>
  <c r="Z161" i="9" s="1"/>
  <c r="C161" i="9" s="1"/>
  <c r="H161" i="9" s="1"/>
  <c r="Y189" i="9"/>
  <c r="Z189" i="9" s="1"/>
  <c r="C189" i="9" s="1"/>
  <c r="E189" i="9" s="1"/>
  <c r="Y294" i="9"/>
  <c r="Z294" i="9" s="1"/>
  <c r="C294" i="9" s="1"/>
  <c r="G294" i="9" s="1"/>
  <c r="Y112" i="9"/>
  <c r="Z112" i="9" s="1"/>
  <c r="C112" i="9" s="1"/>
  <c r="H112" i="9" s="1"/>
  <c r="Y90" i="9"/>
  <c r="Z90" i="9" s="1"/>
  <c r="C90" i="9" s="1"/>
  <c r="H90" i="9" s="1"/>
  <c r="Y295" i="9"/>
  <c r="Z295" i="9" s="1"/>
  <c r="C295" i="9" s="1"/>
  <c r="E295" i="9" s="1"/>
  <c r="Y61" i="9"/>
  <c r="Z61" i="9" s="1"/>
  <c r="C61" i="9" s="1"/>
  <c r="B61" i="9" s="1"/>
  <c r="Y164" i="9"/>
  <c r="Z164" i="9" s="1"/>
  <c r="C164" i="9" s="1"/>
  <c r="G164" i="9" s="1"/>
  <c r="Y202" i="9"/>
  <c r="Z202" i="9" s="1"/>
  <c r="C202" i="9" s="1"/>
  <c r="D202" i="9" s="1"/>
  <c r="Y45" i="9"/>
  <c r="Z45" i="9" s="1"/>
  <c r="C45" i="9" s="1"/>
  <c r="D45" i="9" s="1"/>
  <c r="Y121" i="9"/>
  <c r="Z121" i="9" s="1"/>
  <c r="C121" i="9" s="1"/>
  <c r="H121" i="9" s="1"/>
  <c r="Y292" i="9"/>
  <c r="Z292" i="9" s="1"/>
  <c r="C292" i="9" s="1"/>
  <c r="B292" i="9" s="1"/>
  <c r="Y194" i="9"/>
  <c r="Z194" i="9" s="1"/>
  <c r="C194" i="9" s="1"/>
  <c r="F194" i="9" s="1"/>
  <c r="Y170" i="9"/>
  <c r="Z170" i="9" s="1"/>
  <c r="C170" i="9" s="1"/>
  <c r="H170" i="9" s="1"/>
  <c r="Y76" i="9"/>
  <c r="Z76" i="9" s="1"/>
  <c r="C76" i="9" s="1"/>
  <c r="G76" i="9" s="1"/>
  <c r="Y128" i="9"/>
  <c r="Z128" i="9" s="1"/>
  <c r="C128" i="9" s="1"/>
  <c r="H128" i="9" s="1"/>
  <c r="Y20" i="9"/>
  <c r="Z20" i="9" s="1"/>
  <c r="C20" i="9" s="1"/>
  <c r="B20" i="9" s="1"/>
  <c r="Y118" i="9"/>
  <c r="Z118" i="9" s="1"/>
  <c r="C118" i="9" s="1"/>
  <c r="E118" i="9" s="1"/>
  <c r="Y177" i="9"/>
  <c r="Z177" i="9" s="1"/>
  <c r="C177" i="9" s="1"/>
  <c r="E177" i="9" s="1"/>
  <c r="Y21" i="9"/>
  <c r="Z21" i="9" s="1"/>
  <c r="C21" i="9" s="1"/>
  <c r="B21" i="9" s="1"/>
  <c r="Y46" i="9"/>
  <c r="Z46" i="9" s="1"/>
  <c r="C46" i="9" s="1"/>
  <c r="G46" i="9" s="1"/>
  <c r="Y52" i="9"/>
  <c r="Z52" i="9" s="1"/>
  <c r="C52" i="9" s="1"/>
  <c r="F52" i="9" s="1"/>
  <c r="Y120" i="9"/>
  <c r="Z120" i="9" s="1"/>
  <c r="C120" i="9" s="1"/>
  <c r="D120" i="9" s="1"/>
  <c r="Y35" i="9"/>
  <c r="Z35" i="9" s="1"/>
  <c r="C35" i="9" s="1"/>
  <c r="D35" i="9" s="1"/>
  <c r="Y37" i="9"/>
  <c r="Z37" i="9" s="1"/>
  <c r="C37" i="9" s="1"/>
  <c r="B37" i="9" s="1"/>
  <c r="Y132" i="9"/>
  <c r="Z132" i="9" s="1"/>
  <c r="C132" i="9" s="1"/>
  <c r="E132" i="9" s="1"/>
  <c r="Y215" i="9"/>
  <c r="Z215" i="9" s="1"/>
  <c r="C215" i="9" s="1"/>
  <c r="E215" i="9" s="1"/>
  <c r="Y180" i="9"/>
  <c r="Z180" i="9" s="1"/>
  <c r="C180" i="9" s="1"/>
  <c r="E180" i="9" s="1"/>
  <c r="Y309" i="9"/>
  <c r="Z309" i="9" s="1"/>
  <c r="C309" i="9" s="1"/>
  <c r="F309" i="9" s="1"/>
  <c r="Y260" i="9"/>
  <c r="Z260" i="9" s="1"/>
  <c r="C260" i="9" s="1"/>
  <c r="G260" i="9" s="1"/>
  <c r="Y219" i="9"/>
  <c r="Z219" i="9" s="1"/>
  <c r="C219" i="9" s="1"/>
  <c r="F219" i="9" s="1"/>
  <c r="Y74" i="9"/>
  <c r="Z74" i="9" s="1"/>
  <c r="C74" i="9" s="1"/>
  <c r="D74" i="9" s="1"/>
  <c r="Y145" i="9"/>
  <c r="Z145" i="9" s="1"/>
  <c r="C145" i="9" s="1"/>
  <c r="F145" i="9" s="1"/>
  <c r="Y152" i="9"/>
  <c r="Z152" i="9" s="1"/>
  <c r="C152" i="9" s="1"/>
  <c r="D152" i="9" s="1"/>
  <c r="Y70" i="9"/>
  <c r="Z70" i="9" s="1"/>
  <c r="C70" i="9" s="1"/>
  <c r="F70" i="9" s="1"/>
  <c r="Y207" i="9"/>
  <c r="Z207" i="9" s="1"/>
  <c r="C207" i="9" s="1"/>
  <c r="G207" i="9" s="1"/>
  <c r="Y205" i="9"/>
  <c r="Z205" i="9" s="1"/>
  <c r="C205" i="9" s="1"/>
  <c r="D205" i="9" s="1"/>
  <c r="Y184" i="9"/>
  <c r="Z184" i="9" s="1"/>
  <c r="C184" i="9" s="1"/>
  <c r="B184" i="9" s="1"/>
  <c r="Y221" i="9"/>
  <c r="Z221" i="9" s="1"/>
  <c r="C221" i="9" s="1"/>
  <c r="B221" i="9" s="1"/>
  <c r="Y108" i="9"/>
  <c r="Z108" i="9" s="1"/>
  <c r="C108" i="9" s="1"/>
  <c r="E108" i="9" s="1"/>
  <c r="Y293" i="9"/>
  <c r="Z293" i="9" s="1"/>
  <c r="C293" i="9" s="1"/>
  <c r="F293" i="9" s="1"/>
  <c r="Y114" i="9"/>
  <c r="Z114" i="9" s="1"/>
  <c r="C114" i="9" s="1"/>
  <c r="E114" i="9" s="1"/>
  <c r="Y141" i="9"/>
  <c r="Z141" i="9" s="1"/>
  <c r="C141" i="9" s="1"/>
  <c r="H141" i="9" s="1"/>
  <c r="Y209" i="9"/>
  <c r="Z209" i="9" s="1"/>
  <c r="C209" i="9" s="1"/>
  <c r="G209" i="9" s="1"/>
  <c r="Y182" i="9"/>
  <c r="Z182" i="9" s="1"/>
  <c r="C182" i="9" s="1"/>
  <c r="G182" i="9" s="1"/>
  <c r="Y226" i="9"/>
  <c r="Z226" i="9" s="1"/>
  <c r="C226" i="9" s="1"/>
  <c r="G226" i="9" s="1"/>
  <c r="Y18" i="9"/>
  <c r="Z18" i="9" s="1"/>
  <c r="C18" i="9" s="1"/>
  <c r="B18" i="9" s="1"/>
  <c r="Y305" i="9"/>
  <c r="Z305" i="9" s="1"/>
  <c r="C305" i="9" s="1"/>
  <c r="B305" i="9" s="1"/>
  <c r="Y138" i="9"/>
  <c r="Z138" i="9" s="1"/>
  <c r="C138" i="9" s="1"/>
  <c r="H138" i="9" s="1"/>
  <c r="Y159" i="9"/>
  <c r="Z159" i="9" s="1"/>
  <c r="C159" i="9" s="1"/>
  <c r="B159" i="9" s="1"/>
  <c r="Y157" i="9"/>
  <c r="Z157" i="9" s="1"/>
  <c r="C157" i="9" s="1"/>
  <c r="E157" i="9" s="1"/>
  <c r="Y117" i="9"/>
  <c r="Z117" i="9" s="1"/>
  <c r="C117" i="9" s="1"/>
  <c r="D117" i="9" s="1"/>
  <c r="Y288" i="9"/>
  <c r="Z288" i="9" s="1"/>
  <c r="C288" i="9" s="1"/>
  <c r="H288" i="9" s="1"/>
  <c r="Y13" i="9"/>
  <c r="Z13" i="9" s="1"/>
  <c r="C13" i="9" s="1"/>
  <c r="G13" i="9" s="1"/>
  <c r="Y65" i="9"/>
  <c r="Z65" i="9" s="1"/>
  <c r="C65" i="9" s="1"/>
  <c r="D65" i="9" s="1"/>
  <c r="Y265" i="9"/>
  <c r="Z265" i="9" s="1"/>
  <c r="C265" i="9" s="1"/>
  <c r="E265" i="9" s="1"/>
  <c r="Y300" i="9"/>
  <c r="Z300" i="9" s="1"/>
  <c r="C300" i="9" s="1"/>
  <c r="H300" i="9" s="1"/>
  <c r="Y176" i="9"/>
  <c r="Z176" i="9" s="1"/>
  <c r="C176" i="9" s="1"/>
  <c r="D176" i="9" s="1"/>
  <c r="Y154" i="9"/>
  <c r="Z154" i="9" s="1"/>
  <c r="C154" i="9" s="1"/>
  <c r="H154" i="9" s="1"/>
  <c r="Y268" i="9"/>
  <c r="Z268" i="9" s="1"/>
  <c r="C268" i="9" s="1"/>
  <c r="G268" i="9" s="1"/>
  <c r="Y233" i="9"/>
  <c r="Z233" i="9" s="1"/>
  <c r="C233" i="9" s="1"/>
  <c r="E233" i="9" s="1"/>
  <c r="Y86" i="9"/>
  <c r="Z86" i="9" s="1"/>
  <c r="C86" i="9" s="1"/>
  <c r="H86" i="9" s="1"/>
  <c r="Y43" i="9"/>
  <c r="Z43" i="9" s="1"/>
  <c r="C43" i="9" s="1"/>
  <c r="B43" i="9" s="1"/>
  <c r="Y158" i="9"/>
  <c r="Z158" i="9" s="1"/>
  <c r="C158" i="9" s="1"/>
  <c r="H158" i="9" s="1"/>
  <c r="Y22" i="9"/>
  <c r="Z22" i="9" s="1"/>
  <c r="C22" i="9" s="1"/>
  <c r="E22" i="9" s="1"/>
  <c r="Y231" i="9"/>
  <c r="Z231" i="9" s="1"/>
  <c r="C231" i="9" s="1"/>
  <c r="G231" i="9" s="1"/>
  <c r="Y298" i="9"/>
  <c r="Z298" i="9" s="1"/>
  <c r="C298" i="9" s="1"/>
  <c r="B298" i="9" s="1"/>
  <c r="Y125" i="9"/>
  <c r="Z125" i="9" s="1"/>
  <c r="C125" i="9" s="1"/>
  <c r="H125" i="9" s="1"/>
  <c r="Y267" i="9"/>
  <c r="Z267" i="9" s="1"/>
  <c r="C267" i="9" s="1"/>
  <c r="G267" i="9" s="1"/>
  <c r="Y32" i="9"/>
  <c r="Z32" i="9" s="1"/>
  <c r="C32" i="9" s="1"/>
  <c r="D32" i="9" s="1"/>
  <c r="Y143" i="9"/>
  <c r="Z143" i="9" s="1"/>
  <c r="C143" i="9" s="1"/>
  <c r="B143" i="9" s="1"/>
  <c r="Y200" i="9"/>
  <c r="Z200" i="9" s="1"/>
  <c r="C200" i="9" s="1"/>
  <c r="H200" i="9" s="1"/>
  <c r="Y193" i="9"/>
  <c r="Z193" i="9" s="1"/>
  <c r="C193" i="9" s="1"/>
  <c r="B193" i="9" s="1"/>
  <c r="Y48" i="9"/>
  <c r="Z48" i="9" s="1"/>
  <c r="C48" i="9" s="1"/>
  <c r="G48" i="9" s="1"/>
  <c r="Y284" i="9"/>
  <c r="Z284" i="9" s="1"/>
  <c r="C284" i="9" s="1"/>
  <c r="D284" i="9" s="1"/>
  <c r="Y195" i="9"/>
  <c r="Z195" i="9" s="1"/>
  <c r="C195" i="9" s="1"/>
  <c r="G195" i="9" s="1"/>
  <c r="Y263" i="9"/>
  <c r="Z263" i="9" s="1"/>
  <c r="C263" i="9" s="1"/>
  <c r="F263" i="9" s="1"/>
  <c r="Y16" i="9"/>
  <c r="Z16" i="9" s="1"/>
  <c r="C16" i="9" s="1"/>
  <c r="E16" i="9" s="1"/>
  <c r="Y183" i="9"/>
  <c r="Z183" i="9" s="1"/>
  <c r="C183" i="9" s="1"/>
  <c r="E183" i="9" s="1"/>
  <c r="Y257" i="9"/>
  <c r="Z257" i="9" s="1"/>
  <c r="C257" i="9" s="1"/>
  <c r="D257" i="9" s="1"/>
  <c r="Y87" i="9"/>
  <c r="Z87" i="9" s="1"/>
  <c r="C87" i="9" s="1"/>
  <c r="D87" i="9" s="1"/>
  <c r="Y286" i="9"/>
  <c r="Z286" i="9" s="1"/>
  <c r="C286" i="9" s="1"/>
  <c r="G286" i="9" s="1"/>
  <c r="Y186" i="9"/>
  <c r="Z186" i="9" s="1"/>
  <c r="C186" i="9" s="1"/>
  <c r="E186" i="9" s="1"/>
  <c r="Y96" i="9"/>
  <c r="Z96" i="9" s="1"/>
  <c r="C96" i="9" s="1"/>
  <c r="G96" i="9" s="1"/>
  <c r="Y68" i="9"/>
  <c r="Z68" i="9" s="1"/>
  <c r="C68" i="9" s="1"/>
  <c r="B68" i="9" s="1"/>
  <c r="Y271" i="9"/>
  <c r="Z271" i="9" s="1"/>
  <c r="C271" i="9" s="1"/>
  <c r="G271" i="9" s="1"/>
  <c r="Y148" i="9"/>
  <c r="Z148" i="9" s="1"/>
  <c r="C148" i="9" s="1"/>
  <c r="F148" i="9" s="1"/>
  <c r="Y245" i="9"/>
  <c r="Z245" i="9" s="1"/>
  <c r="C245" i="9" s="1"/>
  <c r="E245" i="9" s="1"/>
  <c r="Y223" i="9"/>
  <c r="Z223" i="9" s="1"/>
  <c r="C223" i="9" s="1"/>
  <c r="D223" i="9" s="1"/>
  <c r="Y75" i="9"/>
  <c r="Z75" i="9" s="1"/>
  <c r="C75" i="9" s="1"/>
  <c r="D75" i="9" s="1"/>
  <c r="Y89" i="9"/>
  <c r="Z89" i="9" s="1"/>
  <c r="C89" i="9" s="1"/>
  <c r="B89" i="9" s="1"/>
  <c r="Y174" i="9"/>
  <c r="Z174" i="9" s="1"/>
  <c r="C174" i="9" s="1"/>
  <c r="H174" i="9" s="1"/>
  <c r="Y155" i="9"/>
  <c r="Z155" i="9" s="1"/>
  <c r="C155" i="9" s="1"/>
  <c r="H155" i="9" s="1"/>
  <c r="Y44" i="9"/>
  <c r="Z44" i="9" s="1"/>
  <c r="C44" i="9" s="1"/>
  <c r="B44" i="9" s="1"/>
  <c r="Y244" i="9"/>
  <c r="Z244" i="9" s="1"/>
  <c r="C244" i="9" s="1"/>
  <c r="E244" i="9" s="1"/>
  <c r="Y211" i="9"/>
  <c r="Z211" i="9" s="1"/>
  <c r="C211" i="9" s="1"/>
  <c r="F211" i="9" s="1"/>
  <c r="Y147" i="9"/>
  <c r="Z147" i="9" s="1"/>
  <c r="C147" i="9" s="1"/>
  <c r="F147" i="9" s="1"/>
  <c r="Y58" i="9"/>
  <c r="Z58" i="9" s="1"/>
  <c r="C58" i="9" s="1"/>
  <c r="E58" i="9" s="1"/>
  <c r="Y167" i="9"/>
  <c r="Z167" i="9" s="1"/>
  <c r="C167" i="9" s="1"/>
  <c r="F167" i="9" s="1"/>
  <c r="Y88" i="9"/>
  <c r="Z88" i="9" s="1"/>
  <c r="C88" i="9" s="1"/>
  <c r="G88" i="9" s="1"/>
  <c r="Y241" i="9"/>
  <c r="Z241" i="9" s="1"/>
  <c r="C241" i="9" s="1"/>
  <c r="E241" i="9" s="1"/>
  <c r="Y229" i="9"/>
  <c r="Z229" i="9" s="1"/>
  <c r="C229" i="9" s="1"/>
  <c r="F229" i="9" s="1"/>
  <c r="Y276" i="9"/>
  <c r="Z276" i="9" s="1"/>
  <c r="C276" i="9" s="1"/>
  <c r="E276" i="9" s="1"/>
  <c r="D201" i="9"/>
  <c r="B201" i="9"/>
  <c r="H201" i="9"/>
  <c r="G201" i="9"/>
  <c r="F201" i="9"/>
  <c r="E201" i="9"/>
  <c r="E239" i="9"/>
  <c r="B239" i="9"/>
  <c r="H239" i="9"/>
  <c r="E140" i="9"/>
  <c r="D140" i="9"/>
  <c r="H140" i="9"/>
  <c r="G140" i="9"/>
  <c r="F140" i="9"/>
  <c r="B140" i="9"/>
  <c r="G64" i="9"/>
  <c r="F64" i="9"/>
  <c r="E64" i="9"/>
  <c r="D64" i="9"/>
  <c r="B64" i="9"/>
  <c r="H181" i="9"/>
  <c r="E181" i="9"/>
  <c r="B181" i="9"/>
  <c r="G181" i="9"/>
  <c r="F181" i="9"/>
  <c r="D181" i="9"/>
  <c r="H266" i="9"/>
  <c r="G266" i="9"/>
  <c r="F266" i="9"/>
  <c r="E266" i="9"/>
  <c r="D266" i="9"/>
  <c r="B266" i="9"/>
  <c r="G264" i="9"/>
  <c r="F264" i="9"/>
  <c r="E264" i="9"/>
  <c r="H264" i="9"/>
  <c r="D264" i="9"/>
  <c r="B264" i="9"/>
  <c r="B151" i="9"/>
  <c r="H111" i="9"/>
  <c r="G111" i="9"/>
  <c r="F111" i="9"/>
  <c r="B111" i="9"/>
  <c r="E111" i="9"/>
  <c r="D111" i="9"/>
  <c r="G60" i="9"/>
  <c r="F60" i="9"/>
  <c r="E60" i="9"/>
  <c r="D60" i="9"/>
  <c r="B60" i="9"/>
  <c r="D248" i="9"/>
  <c r="B248" i="9"/>
  <c r="H248" i="9"/>
  <c r="G248" i="9"/>
  <c r="F248" i="9"/>
  <c r="E248" i="9"/>
  <c r="F33" i="9"/>
  <c r="E33" i="9"/>
  <c r="H196" i="9"/>
  <c r="E196" i="9"/>
  <c r="F196" i="9"/>
  <c r="B196" i="9"/>
  <c r="G196" i="9"/>
  <c r="E160" i="9"/>
  <c r="D160" i="9"/>
  <c r="H160" i="9"/>
  <c r="G160" i="9"/>
  <c r="F160" i="9"/>
  <c r="B160" i="9"/>
  <c r="B99" i="9"/>
  <c r="D99" i="9"/>
  <c r="H99" i="9"/>
  <c r="G99" i="9"/>
  <c r="F99" i="9"/>
  <c r="E99" i="9"/>
  <c r="H206" i="9"/>
  <c r="G206" i="9"/>
  <c r="D206" i="9"/>
  <c r="B206" i="9"/>
  <c r="F206" i="9"/>
  <c r="E206" i="9"/>
  <c r="F259" i="9"/>
  <c r="D259" i="9"/>
  <c r="B259" i="9"/>
  <c r="G259" i="9"/>
  <c r="E259" i="9"/>
  <c r="H259" i="9"/>
  <c r="D25" i="9"/>
  <c r="B25" i="9"/>
  <c r="F25" i="9"/>
  <c r="E25" i="9"/>
  <c r="G25" i="9"/>
  <c r="H175" i="9"/>
  <c r="E175" i="9"/>
  <c r="B175" i="9"/>
  <c r="G175" i="9"/>
  <c r="F175" i="9"/>
  <c r="D175" i="9"/>
  <c r="B28" i="9"/>
  <c r="G28" i="9"/>
  <c r="B45" i="9"/>
  <c r="G36" i="9"/>
  <c r="F36" i="9"/>
  <c r="E36" i="9"/>
  <c r="B36" i="9"/>
  <c r="D36" i="9"/>
  <c r="G40" i="9"/>
  <c r="F40" i="9"/>
  <c r="E40" i="9"/>
  <c r="D40" i="9"/>
  <c r="B40" i="9"/>
  <c r="E150" i="9"/>
  <c r="H150" i="9"/>
  <c r="G150" i="9"/>
  <c r="F150" i="9"/>
  <c r="H272" i="9"/>
  <c r="F272" i="9"/>
  <c r="D272" i="9"/>
  <c r="F301" i="9"/>
  <c r="E301" i="9"/>
  <c r="D301" i="9"/>
  <c r="H301" i="9"/>
  <c r="G301" i="9"/>
  <c r="B301" i="9"/>
  <c r="B38" i="9"/>
  <c r="G38" i="9"/>
  <c r="E38" i="9"/>
  <c r="D38" i="9"/>
  <c r="B42" i="9"/>
  <c r="H98" i="9"/>
  <c r="F98" i="9"/>
  <c r="E98" i="9"/>
  <c r="D98" i="9"/>
  <c r="G98" i="9"/>
  <c r="B98" i="9"/>
  <c r="F34" i="1"/>
  <c r="W10" i="10"/>
  <c r="E38" i="14" s="1"/>
  <c r="F38" i="14" s="1"/>
  <c r="G230" i="9"/>
  <c r="D230" i="9"/>
  <c r="D214" i="9"/>
  <c r="H295" i="9"/>
  <c r="H296" i="9"/>
  <c r="D296" i="9"/>
  <c r="B296" i="9"/>
  <c r="G296" i="9"/>
  <c r="F296" i="9"/>
  <c r="E296" i="9"/>
  <c r="F261" i="9"/>
  <c r="H261" i="9"/>
  <c r="G261" i="9"/>
  <c r="E261" i="9"/>
  <c r="D261" i="9"/>
  <c r="B261" i="9"/>
  <c r="G199" i="9"/>
  <c r="D199" i="9"/>
  <c r="B199" i="9"/>
  <c r="H199" i="9"/>
  <c r="F199" i="9"/>
  <c r="E199" i="9"/>
  <c r="B27" i="9"/>
  <c r="F27" i="9"/>
  <c r="E27" i="9"/>
  <c r="D27" i="9"/>
  <c r="D299" i="9"/>
  <c r="H299" i="9"/>
  <c r="B299" i="9"/>
  <c r="V186" i="13"/>
  <c r="W186" i="13" s="1"/>
  <c r="C186" i="13" s="1"/>
  <c r="V184" i="13"/>
  <c r="W184" i="13" s="1"/>
  <c r="C184" i="13" s="1"/>
  <c r="V182" i="13"/>
  <c r="W182" i="13" s="1"/>
  <c r="C182" i="13" s="1"/>
  <c r="V180" i="13"/>
  <c r="W180" i="13" s="1"/>
  <c r="C180" i="13" s="1"/>
  <c r="V178" i="13"/>
  <c r="W178" i="13" s="1"/>
  <c r="C178" i="13" s="1"/>
  <c r="V176" i="13"/>
  <c r="W176" i="13" s="1"/>
  <c r="C176" i="13" s="1"/>
  <c r="V174" i="13"/>
  <c r="W174" i="13" s="1"/>
  <c r="C174" i="13" s="1"/>
  <c r="V172" i="13"/>
  <c r="W172" i="13" s="1"/>
  <c r="C172" i="13" s="1"/>
  <c r="V170" i="13"/>
  <c r="W170" i="13" s="1"/>
  <c r="C170" i="13" s="1"/>
  <c r="V168" i="13"/>
  <c r="W168" i="13" s="1"/>
  <c r="C168" i="13" s="1"/>
  <c r="V166" i="13"/>
  <c r="W166" i="13" s="1"/>
  <c r="C166" i="13" s="1"/>
  <c r="V164" i="13"/>
  <c r="W164" i="13" s="1"/>
  <c r="C164" i="13" s="1"/>
  <c r="V162" i="13"/>
  <c r="W162" i="13" s="1"/>
  <c r="C162" i="13" s="1"/>
  <c r="V160" i="13"/>
  <c r="W160" i="13" s="1"/>
  <c r="C160" i="13" s="1"/>
  <c r="V158" i="13"/>
  <c r="W158" i="13" s="1"/>
  <c r="C158" i="13" s="1"/>
  <c r="V156" i="13"/>
  <c r="W156" i="13" s="1"/>
  <c r="C156" i="13" s="1"/>
  <c r="V154" i="13"/>
  <c r="W154" i="13" s="1"/>
  <c r="C154" i="13" s="1"/>
  <c r="V152" i="13"/>
  <c r="W152" i="13" s="1"/>
  <c r="C152" i="13" s="1"/>
  <c r="V150" i="13"/>
  <c r="W150" i="13" s="1"/>
  <c r="C150" i="13" s="1"/>
  <c r="V148" i="13"/>
  <c r="W148" i="13" s="1"/>
  <c r="C148" i="13" s="1"/>
  <c r="V146" i="13"/>
  <c r="W146" i="13" s="1"/>
  <c r="C146" i="13" s="1"/>
  <c r="V144" i="13"/>
  <c r="W144" i="13" s="1"/>
  <c r="C144" i="13" s="1"/>
  <c r="V142" i="13"/>
  <c r="W142" i="13" s="1"/>
  <c r="C142" i="13" s="1"/>
  <c r="V140" i="13"/>
  <c r="W140" i="13" s="1"/>
  <c r="C140" i="13" s="1"/>
  <c r="V138" i="13"/>
  <c r="W138" i="13" s="1"/>
  <c r="C138" i="13" s="1"/>
  <c r="V171" i="13"/>
  <c r="W171" i="13" s="1"/>
  <c r="C171" i="13" s="1"/>
  <c r="V151" i="13"/>
  <c r="W151" i="13" s="1"/>
  <c r="C151" i="13" s="1"/>
  <c r="V179" i="13"/>
  <c r="W179" i="13" s="1"/>
  <c r="C179" i="13" s="1"/>
  <c r="V159" i="13"/>
  <c r="W159" i="13" s="1"/>
  <c r="C159" i="13" s="1"/>
  <c r="V139" i="13"/>
  <c r="W139" i="13" s="1"/>
  <c r="C139" i="13" s="1"/>
  <c r="V187" i="13"/>
  <c r="W187" i="13" s="1"/>
  <c r="C187" i="13" s="1"/>
  <c r="V175" i="13"/>
  <c r="W175" i="13" s="1"/>
  <c r="C175" i="13" s="1"/>
  <c r="V163" i="13"/>
  <c r="W163" i="13" s="1"/>
  <c r="C163" i="13" s="1"/>
  <c r="V130" i="13"/>
  <c r="W130" i="13" s="1"/>
  <c r="C130" i="13" s="1"/>
  <c r="V128" i="13"/>
  <c r="W128" i="13" s="1"/>
  <c r="C128" i="13" s="1"/>
  <c r="V126" i="13"/>
  <c r="W126" i="13" s="1"/>
  <c r="C126" i="13" s="1"/>
  <c r="V124" i="13"/>
  <c r="W124" i="13" s="1"/>
  <c r="C124" i="13" s="1"/>
  <c r="V122" i="13"/>
  <c r="W122" i="13" s="1"/>
  <c r="C122" i="13" s="1"/>
  <c r="V120" i="13"/>
  <c r="W120" i="13" s="1"/>
  <c r="C120" i="13" s="1"/>
  <c r="V118" i="13"/>
  <c r="W118" i="13" s="1"/>
  <c r="C118" i="13" s="1"/>
  <c r="V116" i="13"/>
  <c r="W116" i="13" s="1"/>
  <c r="C116" i="13" s="1"/>
  <c r="V114" i="13"/>
  <c r="W114" i="13" s="1"/>
  <c r="C114" i="13" s="1"/>
  <c r="V112" i="13"/>
  <c r="W112" i="13" s="1"/>
  <c r="C112" i="13" s="1"/>
  <c r="V110" i="13"/>
  <c r="W110" i="13" s="1"/>
  <c r="C110" i="13" s="1"/>
  <c r="V108" i="13"/>
  <c r="W108" i="13" s="1"/>
  <c r="C108" i="13" s="1"/>
  <c r="V106" i="13"/>
  <c r="W106" i="13" s="1"/>
  <c r="C106" i="13" s="1"/>
  <c r="V104" i="13"/>
  <c r="W104" i="13" s="1"/>
  <c r="C104" i="13" s="1"/>
  <c r="V102" i="13"/>
  <c r="W102" i="13" s="1"/>
  <c r="C102" i="13" s="1"/>
  <c r="V100" i="13"/>
  <c r="W100" i="13" s="1"/>
  <c r="C100" i="13" s="1"/>
  <c r="V98" i="13"/>
  <c r="W98" i="13" s="1"/>
  <c r="C98" i="13" s="1"/>
  <c r="V96" i="13"/>
  <c r="W96" i="13" s="1"/>
  <c r="C96" i="13" s="1"/>
  <c r="V94" i="13"/>
  <c r="W94" i="13" s="1"/>
  <c r="C94" i="13" s="1"/>
  <c r="V92" i="13"/>
  <c r="W92" i="13" s="1"/>
  <c r="C92" i="13" s="1"/>
  <c r="V90" i="13"/>
  <c r="W90" i="13" s="1"/>
  <c r="C90" i="13" s="1"/>
  <c r="V88" i="13"/>
  <c r="W88" i="13" s="1"/>
  <c r="C88" i="13" s="1"/>
  <c r="V86" i="13"/>
  <c r="W86" i="13" s="1"/>
  <c r="C86" i="13" s="1"/>
  <c r="V84" i="13"/>
  <c r="W84" i="13" s="1"/>
  <c r="C84" i="13" s="1"/>
  <c r="V82" i="13"/>
  <c r="W82" i="13" s="1"/>
  <c r="C82" i="13" s="1"/>
  <c r="V80" i="13"/>
  <c r="W80" i="13" s="1"/>
  <c r="C80" i="13" s="1"/>
  <c r="V78" i="13"/>
  <c r="W78" i="13" s="1"/>
  <c r="C78" i="13" s="1"/>
  <c r="V76" i="13"/>
  <c r="W76" i="13" s="1"/>
  <c r="C76" i="13" s="1"/>
  <c r="V74" i="13"/>
  <c r="W74" i="13" s="1"/>
  <c r="C74" i="13" s="1"/>
  <c r="V185" i="13"/>
  <c r="W185" i="13" s="1"/>
  <c r="C185" i="13" s="1"/>
  <c r="V147" i="13"/>
  <c r="W147" i="13" s="1"/>
  <c r="C147" i="13" s="1"/>
  <c r="V167" i="13"/>
  <c r="W167" i="13" s="1"/>
  <c r="C167" i="13" s="1"/>
  <c r="V145" i="13"/>
  <c r="W145" i="13" s="1"/>
  <c r="C145" i="13" s="1"/>
  <c r="V153" i="13"/>
  <c r="W153" i="13" s="1"/>
  <c r="C153" i="13" s="1"/>
  <c r="V129" i="13"/>
  <c r="W129" i="13" s="1"/>
  <c r="C129" i="13" s="1"/>
  <c r="V119" i="13"/>
  <c r="W119" i="13" s="1"/>
  <c r="C119" i="13" s="1"/>
  <c r="V109" i="13"/>
  <c r="W109" i="13" s="1"/>
  <c r="C109" i="13" s="1"/>
  <c r="V181" i="13"/>
  <c r="W181" i="13" s="1"/>
  <c r="C181" i="13" s="1"/>
  <c r="V113" i="13"/>
  <c r="W113" i="13" s="1"/>
  <c r="C113" i="13" s="1"/>
  <c r="V111" i="13"/>
  <c r="W111" i="13" s="1"/>
  <c r="C111" i="13" s="1"/>
  <c r="V101" i="13"/>
  <c r="W101" i="13" s="1"/>
  <c r="C101" i="13" s="1"/>
  <c r="V83" i="13"/>
  <c r="W83" i="13" s="1"/>
  <c r="C83" i="13" s="1"/>
  <c r="V73" i="13"/>
  <c r="W73" i="13" s="1"/>
  <c r="C73" i="13" s="1"/>
  <c r="V65" i="13"/>
  <c r="W65" i="13" s="1"/>
  <c r="C65" i="13" s="1"/>
  <c r="V62" i="13"/>
  <c r="W62" i="13" s="1"/>
  <c r="C62" i="13" s="1"/>
  <c r="V57" i="13"/>
  <c r="W57" i="13" s="1"/>
  <c r="C57" i="13" s="1"/>
  <c r="V52" i="13"/>
  <c r="W52" i="13" s="1"/>
  <c r="C52" i="13" s="1"/>
  <c r="V47" i="13"/>
  <c r="W47" i="13" s="1"/>
  <c r="C47" i="13" s="1"/>
  <c r="V42" i="13"/>
  <c r="W42" i="13" s="1"/>
  <c r="C42" i="13" s="1"/>
  <c r="V165" i="13"/>
  <c r="W165" i="13" s="1"/>
  <c r="C165" i="13" s="1"/>
  <c r="V149" i="13"/>
  <c r="W149" i="13" s="1"/>
  <c r="C149" i="13" s="1"/>
  <c r="V134" i="13"/>
  <c r="W134" i="13" s="1"/>
  <c r="C134" i="13" s="1"/>
  <c r="V133" i="13"/>
  <c r="W133" i="13" s="1"/>
  <c r="C133" i="13" s="1"/>
  <c r="V99" i="13"/>
  <c r="W99" i="13" s="1"/>
  <c r="C99" i="13" s="1"/>
  <c r="V169" i="13"/>
  <c r="W169" i="13" s="1"/>
  <c r="C169" i="13" s="1"/>
  <c r="V117" i="13"/>
  <c r="W117" i="13" s="1"/>
  <c r="C117" i="13" s="1"/>
  <c r="V115" i="13"/>
  <c r="W115" i="13" s="1"/>
  <c r="C115" i="13" s="1"/>
  <c r="V87" i="13"/>
  <c r="W87" i="13" s="1"/>
  <c r="C87" i="13" s="1"/>
  <c r="V77" i="13"/>
  <c r="W77" i="13" s="1"/>
  <c r="C77" i="13" s="1"/>
  <c r="V72" i="13"/>
  <c r="W72" i="13" s="1"/>
  <c r="C72" i="13" s="1"/>
  <c r="V71" i="13"/>
  <c r="W71" i="13" s="1"/>
  <c r="C71" i="13" s="1"/>
  <c r="V59" i="13"/>
  <c r="W59" i="13" s="1"/>
  <c r="C59" i="13" s="1"/>
  <c r="V54" i="13"/>
  <c r="W54" i="13" s="1"/>
  <c r="C54" i="13" s="1"/>
  <c r="V49" i="13"/>
  <c r="W49" i="13" s="1"/>
  <c r="C49" i="13" s="1"/>
  <c r="V44" i="13"/>
  <c r="W44" i="13" s="1"/>
  <c r="C44" i="13" s="1"/>
  <c r="V39" i="13"/>
  <c r="W39" i="13" s="1"/>
  <c r="C39" i="13" s="1"/>
  <c r="V155" i="13"/>
  <c r="W155" i="13" s="1"/>
  <c r="C155" i="13" s="1"/>
  <c r="V132" i="13"/>
  <c r="W132" i="13" s="1"/>
  <c r="C132" i="13" s="1"/>
  <c r="V89" i="13"/>
  <c r="W89" i="13" s="1"/>
  <c r="C89" i="13" s="1"/>
  <c r="V173" i="13"/>
  <c r="W173" i="13" s="1"/>
  <c r="C173" i="13" s="1"/>
  <c r="V161" i="13"/>
  <c r="W161" i="13" s="1"/>
  <c r="C161" i="13" s="1"/>
  <c r="V137" i="13"/>
  <c r="W137" i="13" s="1"/>
  <c r="C137" i="13" s="1"/>
  <c r="V135" i="13"/>
  <c r="W135" i="13" s="1"/>
  <c r="C135" i="13" s="1"/>
  <c r="V81" i="13"/>
  <c r="W81" i="13" s="1"/>
  <c r="C81" i="13" s="1"/>
  <c r="V107" i="13"/>
  <c r="W107" i="13" s="1"/>
  <c r="C107" i="13" s="1"/>
  <c r="V75" i="13"/>
  <c r="W75" i="13" s="1"/>
  <c r="C75" i="13" s="1"/>
  <c r="V70" i="13"/>
  <c r="W70" i="13" s="1"/>
  <c r="C70" i="13" s="1"/>
  <c r="V97" i="13"/>
  <c r="W97" i="13" s="1"/>
  <c r="C97" i="13" s="1"/>
  <c r="V141" i="13"/>
  <c r="W141" i="13" s="1"/>
  <c r="C141" i="13" s="1"/>
  <c r="V131" i="13"/>
  <c r="W131" i="13" s="1"/>
  <c r="C131" i="13" s="1"/>
  <c r="V105" i="13"/>
  <c r="W105" i="13" s="1"/>
  <c r="C105" i="13" s="1"/>
  <c r="V91" i="13"/>
  <c r="W91" i="13" s="1"/>
  <c r="C91" i="13" s="1"/>
  <c r="V66" i="13"/>
  <c r="W66" i="13" s="1"/>
  <c r="C66" i="13" s="1"/>
  <c r="V143" i="13"/>
  <c r="W143" i="13" s="1"/>
  <c r="C143" i="13" s="1"/>
  <c r="V177" i="13"/>
  <c r="W177" i="13" s="1"/>
  <c r="C177" i="13" s="1"/>
  <c r="V136" i="13"/>
  <c r="W136" i="13" s="1"/>
  <c r="C136" i="13" s="1"/>
  <c r="V127" i="13"/>
  <c r="W127" i="13" s="1"/>
  <c r="C127" i="13" s="1"/>
  <c r="V103" i="13"/>
  <c r="W103" i="13" s="1"/>
  <c r="C103" i="13" s="1"/>
  <c r="V95" i="13"/>
  <c r="W95" i="13" s="1"/>
  <c r="C95" i="13" s="1"/>
  <c r="V67" i="13"/>
  <c r="W67" i="13" s="1"/>
  <c r="C67" i="13" s="1"/>
  <c r="V157" i="13"/>
  <c r="W157" i="13" s="1"/>
  <c r="C157" i="13" s="1"/>
  <c r="V125" i="13"/>
  <c r="W125" i="13" s="1"/>
  <c r="C125" i="13" s="1"/>
  <c r="V123" i="13"/>
  <c r="W123" i="13" s="1"/>
  <c r="C123" i="13" s="1"/>
  <c r="V85" i="13"/>
  <c r="W85" i="13" s="1"/>
  <c r="C85" i="13" s="1"/>
  <c r="V68" i="13"/>
  <c r="W68" i="13" s="1"/>
  <c r="C68" i="13" s="1"/>
  <c r="V56" i="13"/>
  <c r="W56" i="13" s="1"/>
  <c r="C56" i="13" s="1"/>
  <c r="V183" i="13"/>
  <c r="W183" i="13" s="1"/>
  <c r="C183" i="13" s="1"/>
  <c r="V79" i="13"/>
  <c r="W79" i="13" s="1"/>
  <c r="C79" i="13" s="1"/>
  <c r="V61" i="13"/>
  <c r="W61" i="13" s="1"/>
  <c r="C61" i="13" s="1"/>
  <c r="V58" i="13"/>
  <c r="W58" i="13" s="1"/>
  <c r="C58" i="13" s="1"/>
  <c r="V55" i="13"/>
  <c r="W55" i="13" s="1"/>
  <c r="C55" i="13" s="1"/>
  <c r="V121" i="13"/>
  <c r="W121" i="13" s="1"/>
  <c r="C121" i="13" s="1"/>
  <c r="V93" i="13"/>
  <c r="W93" i="13" s="1"/>
  <c r="C93" i="13" s="1"/>
  <c r="V69" i="13"/>
  <c r="W69" i="13" s="1"/>
  <c r="C69" i="13" s="1"/>
  <c r="V64" i="13"/>
  <c r="W64" i="13" s="1"/>
  <c r="C64" i="13" s="1"/>
  <c r="V63" i="13"/>
  <c r="W63" i="13" s="1"/>
  <c r="C63" i="13" s="1"/>
  <c r="V60" i="13"/>
  <c r="W60" i="13" s="1"/>
  <c r="C60" i="13" s="1"/>
  <c r="V40" i="13"/>
  <c r="W40" i="13" s="1"/>
  <c r="C40" i="13" s="1"/>
  <c r="V53" i="13"/>
  <c r="W53" i="13" s="1"/>
  <c r="C53" i="13" s="1"/>
  <c r="V45" i="13"/>
  <c r="W45" i="13" s="1"/>
  <c r="C45" i="13" s="1"/>
  <c r="V38" i="13"/>
  <c r="W38" i="13" s="1"/>
  <c r="C38" i="13" s="1"/>
  <c r="V50" i="13"/>
  <c r="W50" i="13" s="1"/>
  <c r="C50" i="13" s="1"/>
  <c r="V43" i="13"/>
  <c r="W43" i="13" s="1"/>
  <c r="C43" i="13" s="1"/>
  <c r="V48" i="13"/>
  <c r="W48" i="13" s="1"/>
  <c r="C48" i="13" s="1"/>
  <c r="V41" i="13"/>
  <c r="W41" i="13" s="1"/>
  <c r="C41" i="13" s="1"/>
  <c r="V46" i="13"/>
  <c r="W46" i="13" s="1"/>
  <c r="C46" i="13" s="1"/>
  <c r="V51" i="13"/>
  <c r="W51" i="13" s="1"/>
  <c r="C51" i="13" s="1"/>
  <c r="H187" i="9"/>
  <c r="G187" i="9"/>
  <c r="B187" i="9"/>
  <c r="G104" i="9"/>
  <c r="F104" i="9"/>
  <c r="E104" i="9"/>
  <c r="D104" i="9"/>
  <c r="B104" i="9"/>
  <c r="H104" i="9"/>
  <c r="H83" i="9"/>
  <c r="G83" i="9"/>
  <c r="F83" i="9"/>
  <c r="E83" i="9"/>
  <c r="D83" i="9"/>
  <c r="B83" i="9"/>
  <c r="F107" i="9"/>
  <c r="E107" i="9"/>
  <c r="D107" i="9"/>
  <c r="H107" i="9"/>
  <c r="G107" i="9"/>
  <c r="B107" i="9"/>
  <c r="B84" i="9"/>
  <c r="H84" i="9"/>
  <c r="G84" i="9"/>
  <c r="E84" i="9"/>
  <c r="D84" i="9"/>
  <c r="E52" i="9"/>
  <c r="D52" i="9"/>
  <c r="B52" i="9"/>
  <c r="G52" i="9"/>
  <c r="H240" i="9"/>
  <c r="B240" i="9"/>
  <c r="G240" i="9"/>
  <c r="E240" i="9"/>
  <c r="D240" i="9"/>
  <c r="F240" i="9"/>
  <c r="E232" i="9"/>
  <c r="D232" i="9"/>
  <c r="G30" i="9"/>
  <c r="E30" i="9"/>
  <c r="D30" i="9"/>
  <c r="F30" i="9"/>
  <c r="B30" i="9"/>
  <c r="B146" i="9"/>
  <c r="F146" i="9"/>
  <c r="E146" i="9"/>
  <c r="D146" i="9"/>
  <c r="G146" i="9"/>
  <c r="H146" i="9"/>
  <c r="F270" i="9"/>
  <c r="G106" i="9"/>
  <c r="K5" i="10"/>
  <c r="H283" i="9"/>
  <c r="D31" i="9"/>
  <c r="E31" i="9"/>
  <c r="G31" i="9"/>
  <c r="F31" i="9"/>
  <c r="H247" i="9"/>
  <c r="G247" i="9"/>
  <c r="F247" i="9"/>
  <c r="E247" i="9"/>
  <c r="D247" i="9"/>
  <c r="B247" i="9"/>
  <c r="D308" i="9"/>
  <c r="B308" i="9"/>
  <c r="H308" i="9"/>
  <c r="G308" i="9"/>
  <c r="G124" i="9"/>
  <c r="E124" i="9"/>
  <c r="D124" i="9"/>
  <c r="B310" i="9"/>
  <c r="D310" i="9"/>
  <c r="E310" i="9"/>
  <c r="H310" i="9"/>
  <c r="G310" i="9"/>
  <c r="F310" i="9"/>
  <c r="D163" i="9"/>
  <c r="B163" i="9"/>
  <c r="H163" i="9"/>
  <c r="G163" i="9"/>
  <c r="F163" i="9"/>
  <c r="E163" i="9"/>
  <c r="H91" i="9"/>
  <c r="B91" i="9"/>
  <c r="D91" i="9"/>
  <c r="E91" i="9"/>
  <c r="G91" i="9"/>
  <c r="F91" i="9"/>
  <c r="D128" i="9"/>
  <c r="D133" i="9"/>
  <c r="B133" i="9"/>
  <c r="E133" i="9"/>
  <c r="H133" i="9"/>
  <c r="G133" i="9"/>
  <c r="F133" i="9"/>
  <c r="D290" i="9"/>
  <c r="B290" i="9"/>
  <c r="E290" i="9"/>
  <c r="H290" i="9"/>
  <c r="G290" i="9"/>
  <c r="F290" i="9"/>
  <c r="G24" i="9"/>
  <c r="F24" i="9"/>
  <c r="E24" i="9"/>
  <c r="D24" i="9"/>
  <c r="B24" i="9"/>
  <c r="F222" i="9"/>
  <c r="B95" i="9"/>
  <c r="H95" i="9"/>
  <c r="G95" i="9"/>
  <c r="F95" i="9"/>
  <c r="E95" i="9"/>
  <c r="D95" i="9"/>
  <c r="H92" i="9"/>
  <c r="G92" i="9"/>
  <c r="F92" i="9"/>
  <c r="D92" i="9"/>
  <c r="B92" i="9"/>
  <c r="E92" i="9"/>
  <c r="F279" i="9"/>
  <c r="E279" i="9"/>
  <c r="D279" i="9"/>
  <c r="H279" i="9"/>
  <c r="B279" i="9"/>
  <c r="H189" i="9"/>
  <c r="D228" i="9"/>
  <c r="F228" i="9"/>
  <c r="E228" i="9"/>
  <c r="B228" i="9"/>
  <c r="H228" i="9"/>
  <c r="G228" i="9"/>
  <c r="D153" i="9"/>
  <c r="B153" i="9"/>
  <c r="H153" i="9"/>
  <c r="G153" i="9"/>
  <c r="F153" i="9"/>
  <c r="E153" i="9"/>
  <c r="F69" i="9"/>
  <c r="E69" i="9"/>
  <c r="D69" i="9"/>
  <c r="G69" i="9"/>
  <c r="B69" i="9"/>
  <c r="B41" i="9"/>
  <c r="E41" i="9"/>
  <c r="D41" i="9"/>
  <c r="F41" i="9"/>
  <c r="G41" i="9"/>
  <c r="G34" i="9"/>
  <c r="F34" i="9"/>
  <c r="E34" i="9"/>
  <c r="D34" i="9"/>
  <c r="B34" i="9"/>
  <c r="E62" i="9"/>
  <c r="D62" i="9"/>
  <c r="F62" i="9"/>
  <c r="B62" i="9"/>
  <c r="G62" i="9"/>
  <c r="B122" i="9"/>
  <c r="H122" i="9"/>
  <c r="G122" i="9"/>
  <c r="F122" i="9"/>
  <c r="E122" i="9"/>
  <c r="D122" i="9"/>
  <c r="O28" i="1"/>
  <c r="B224" i="9"/>
  <c r="H224" i="9"/>
  <c r="E224" i="9"/>
  <c r="G224" i="9"/>
  <c r="F224" i="9"/>
  <c r="D224" i="9"/>
  <c r="G26" i="9"/>
  <c r="F26" i="9"/>
  <c r="E26" i="9"/>
  <c r="B26" i="9"/>
  <c r="D26" i="9"/>
  <c r="F39" i="9"/>
  <c r="E39" i="9"/>
  <c r="D39" i="9"/>
  <c r="B39" i="9"/>
  <c r="G39" i="9"/>
  <c r="E185" i="9"/>
  <c r="H185" i="9"/>
  <c r="F185" i="9"/>
  <c r="D185" i="9"/>
  <c r="B185" i="9"/>
  <c r="E40" i="14"/>
  <c r="F40" i="14" s="1"/>
  <c r="F253" i="9"/>
  <c r="E253" i="9"/>
  <c r="D253" i="9"/>
  <c r="H253" i="9"/>
  <c r="G253" i="9"/>
  <c r="B253" i="9"/>
  <c r="F269" i="9"/>
  <c r="H269" i="9"/>
  <c r="G269" i="9"/>
  <c r="E269" i="9"/>
  <c r="D269" i="9"/>
  <c r="B269" i="9"/>
  <c r="F59" i="9"/>
  <c r="E59" i="9"/>
  <c r="D59" i="9"/>
  <c r="G59" i="9"/>
  <c r="B59" i="9"/>
  <c r="H216" i="9"/>
  <c r="G216" i="9"/>
  <c r="F216" i="9"/>
  <c r="E216" i="9"/>
  <c r="D216" i="9"/>
  <c r="B216" i="9"/>
  <c r="E100" i="9"/>
  <c r="D100" i="9"/>
  <c r="H100" i="9"/>
  <c r="B100" i="9"/>
  <c r="G100" i="9"/>
  <c r="F100" i="9"/>
  <c r="H81" i="9"/>
  <c r="H210" i="9"/>
  <c r="E210" i="9"/>
  <c r="E225" i="9"/>
  <c r="D225" i="9"/>
  <c r="G225" i="9"/>
  <c r="F225" i="9"/>
  <c r="H225" i="9"/>
  <c r="B225" i="9"/>
  <c r="G66" i="9"/>
  <c r="F66" i="9"/>
  <c r="E66" i="9"/>
  <c r="D66" i="9"/>
  <c r="B66" i="9"/>
  <c r="B250" i="9"/>
  <c r="F250" i="9"/>
  <c r="F303" i="9"/>
  <c r="E303" i="9"/>
  <c r="D303" i="9"/>
  <c r="H303" i="9"/>
  <c r="G303" i="9"/>
  <c r="B303" i="9"/>
  <c r="G54" i="9"/>
  <c r="F54" i="9"/>
  <c r="E54" i="9"/>
  <c r="D54" i="9"/>
  <c r="B54" i="9"/>
  <c r="B149" i="9"/>
  <c r="H149" i="9"/>
  <c r="G149" i="9"/>
  <c r="F149" i="9"/>
  <c r="E149" i="9"/>
  <c r="D149" i="9"/>
  <c r="F77" i="9"/>
  <c r="E77" i="9"/>
  <c r="D77" i="9"/>
  <c r="B77" i="9"/>
  <c r="G77" i="9"/>
  <c r="E49" i="14"/>
  <c r="F212" i="9"/>
  <c r="E212" i="9"/>
  <c r="B212" i="9"/>
  <c r="H212" i="9"/>
  <c r="G212" i="9"/>
  <c r="D212" i="9"/>
  <c r="G23" i="9"/>
  <c r="F23" i="9"/>
  <c r="E23" i="9"/>
  <c r="D23" i="9"/>
  <c r="B23" i="9"/>
  <c r="B57" i="9"/>
  <c r="B142" i="9"/>
  <c r="D142" i="9"/>
  <c r="H142" i="9"/>
  <c r="G142" i="9"/>
  <c r="F142" i="9"/>
  <c r="E142" i="9"/>
  <c r="E235" i="9"/>
  <c r="D235" i="9"/>
  <c r="H235" i="9"/>
  <c r="F235" i="9"/>
  <c r="B235" i="9"/>
  <c r="G235" i="9"/>
  <c r="E72" i="9"/>
  <c r="D72" i="9"/>
  <c r="G72" i="9"/>
  <c r="F72" i="9"/>
  <c r="B72" i="9"/>
  <c r="H282" i="9"/>
  <c r="G282" i="9"/>
  <c r="F282" i="9"/>
  <c r="E282" i="9"/>
  <c r="D282" i="9"/>
  <c r="B282" i="9"/>
  <c r="B197" i="9"/>
  <c r="E85" i="9"/>
  <c r="D85" i="9"/>
  <c r="F85" i="9"/>
  <c r="H85" i="9"/>
  <c r="G85" i="9"/>
  <c r="B85" i="9"/>
  <c r="F289" i="9"/>
  <c r="E289" i="9"/>
  <c r="G289" i="9"/>
  <c r="D289" i="9"/>
  <c r="H289" i="9"/>
  <c r="B289" i="9"/>
  <c r="G152" i="9"/>
  <c r="F152" i="9"/>
  <c r="B12" i="9"/>
  <c r="B129" i="9"/>
  <c r="H129" i="9"/>
  <c r="G129" i="9"/>
  <c r="F129" i="9"/>
  <c r="E129" i="9"/>
  <c r="D129" i="9"/>
  <c r="B169" i="9"/>
  <c r="G169" i="9"/>
  <c r="E169" i="9"/>
  <c r="D169" i="9"/>
  <c r="H169" i="9"/>
  <c r="F169" i="9"/>
  <c r="E217" i="9"/>
  <c r="D217" i="9"/>
  <c r="H217" i="9"/>
  <c r="G217" i="9"/>
  <c r="F217" i="9"/>
  <c r="B217" i="9"/>
  <c r="G63" i="9"/>
  <c r="F63" i="9"/>
  <c r="B63" i="9"/>
  <c r="E63" i="9"/>
  <c r="D63" i="9"/>
  <c r="B254" i="9"/>
  <c r="H254" i="9"/>
  <c r="E254" i="9"/>
  <c r="D115" i="9"/>
  <c r="F287" i="9"/>
  <c r="E287" i="9"/>
  <c r="B287" i="9"/>
  <c r="H287" i="9"/>
  <c r="G287" i="9"/>
  <c r="D287" i="9"/>
  <c r="H208" i="9"/>
  <c r="E208" i="9"/>
  <c r="B208" i="9"/>
  <c r="B220" i="9" l="1"/>
  <c r="F168" i="9"/>
  <c r="E139" i="9"/>
  <c r="G67" i="9"/>
  <c r="B168" i="9"/>
  <c r="H139" i="9"/>
  <c r="G82" i="9"/>
  <c r="B67" i="9"/>
  <c r="D67" i="9"/>
  <c r="G168" i="9"/>
  <c r="E82" i="9"/>
  <c r="B273" i="9"/>
  <c r="F51" i="9"/>
  <c r="E67" i="9"/>
  <c r="E273" i="9"/>
  <c r="B294" i="9"/>
  <c r="B51" i="9"/>
  <c r="H214" i="9"/>
  <c r="B214" i="9"/>
  <c r="B109" i="9"/>
  <c r="D151" i="9"/>
  <c r="E151" i="9"/>
  <c r="F151" i="9"/>
  <c r="G151" i="9"/>
  <c r="D255" i="9"/>
  <c r="G220" i="9"/>
  <c r="D139" i="9"/>
  <c r="F220" i="9"/>
  <c r="E136" i="9"/>
  <c r="H93" i="9"/>
  <c r="E243" i="9"/>
  <c r="G251" i="9"/>
  <c r="D135" i="9"/>
  <c r="D243" i="9"/>
  <c r="E93" i="9"/>
  <c r="H251" i="9"/>
  <c r="E135" i="9"/>
  <c r="F243" i="9"/>
  <c r="F93" i="9"/>
  <c r="G243" i="9"/>
  <c r="B251" i="9"/>
  <c r="F135" i="9"/>
  <c r="D57" i="9"/>
  <c r="E249" i="9"/>
  <c r="G93" i="9"/>
  <c r="H243" i="9"/>
  <c r="D251" i="9"/>
  <c r="H135" i="9"/>
  <c r="D42" i="9"/>
  <c r="B93" i="9"/>
  <c r="E251" i="9"/>
  <c r="E57" i="9"/>
  <c r="F57" i="9"/>
  <c r="G42" i="9"/>
  <c r="F42" i="9"/>
  <c r="B135" i="9"/>
  <c r="G237" i="9"/>
  <c r="E280" i="9"/>
  <c r="D29" i="9"/>
  <c r="H237" i="9"/>
  <c r="B280" i="9"/>
  <c r="G15" i="9"/>
  <c r="D280" i="9"/>
  <c r="F15" i="9"/>
  <c r="F249" i="9"/>
  <c r="B136" i="9"/>
  <c r="E29" i="9"/>
  <c r="E47" i="9"/>
  <c r="E15" i="9"/>
  <c r="G280" i="9"/>
  <c r="G136" i="9"/>
  <c r="F47" i="9"/>
  <c r="B15" i="9"/>
  <c r="H249" i="9"/>
  <c r="G47" i="9"/>
  <c r="H136" i="9"/>
  <c r="B249" i="9"/>
  <c r="F136" i="9"/>
  <c r="D47" i="9"/>
  <c r="B29" i="9"/>
  <c r="D249" i="9"/>
  <c r="G29" i="9"/>
  <c r="E237" i="9"/>
  <c r="H280" i="9"/>
  <c r="F237" i="9"/>
  <c r="F119" i="9"/>
  <c r="F71" i="9"/>
  <c r="F45" i="9"/>
  <c r="G45" i="9"/>
  <c r="H152" i="9"/>
  <c r="B176" i="9"/>
  <c r="B226" i="9"/>
  <c r="E152" i="9"/>
  <c r="G197" i="9"/>
  <c r="E123" i="9"/>
  <c r="B81" i="9"/>
  <c r="F123" i="9"/>
  <c r="G123" i="9"/>
  <c r="D197" i="9"/>
  <c r="B14" i="9"/>
  <c r="H123" i="9"/>
  <c r="G14" i="9"/>
  <c r="B123" i="9"/>
  <c r="E197" i="9"/>
  <c r="B164" i="9"/>
  <c r="D14" i="9"/>
  <c r="H197" i="9"/>
  <c r="E164" i="9"/>
  <c r="E14" i="9"/>
  <c r="B150" i="9"/>
  <c r="F164" i="9"/>
  <c r="D81" i="9"/>
  <c r="E81" i="9"/>
  <c r="F28" i="9"/>
  <c r="F81" i="9"/>
  <c r="E103" i="9"/>
  <c r="B152" i="9"/>
  <c r="D103" i="9"/>
  <c r="E45" i="9"/>
  <c r="D28" i="9"/>
  <c r="F115" i="9"/>
  <c r="F161" i="9"/>
  <c r="D12" i="9"/>
  <c r="G115" i="9"/>
  <c r="E12" i="9"/>
  <c r="F208" i="9"/>
  <c r="F12" i="9"/>
  <c r="H12" i="9" s="1"/>
  <c r="E230" i="9"/>
  <c r="E115" i="9"/>
  <c r="G208" i="9"/>
  <c r="B115" i="9"/>
  <c r="E194" i="9"/>
  <c r="E250" i="9"/>
  <c r="H233" i="9"/>
  <c r="B230" i="9"/>
  <c r="E73" i="9"/>
  <c r="H250" i="9"/>
  <c r="F230" i="9"/>
  <c r="G250" i="9"/>
  <c r="D161" i="9"/>
  <c r="E161" i="9"/>
  <c r="B71" i="9"/>
  <c r="B222" i="9"/>
  <c r="D222" i="9"/>
  <c r="G222" i="9"/>
  <c r="D71" i="9"/>
  <c r="H222" i="9"/>
  <c r="E71" i="9"/>
  <c r="E112" i="9"/>
  <c r="G128" i="9"/>
  <c r="F112" i="9"/>
  <c r="G108" i="9"/>
  <c r="E283" i="9"/>
  <c r="F180" i="9"/>
  <c r="B128" i="9"/>
  <c r="B278" i="9"/>
  <c r="D278" i="9"/>
  <c r="E278" i="9"/>
  <c r="F278" i="9"/>
  <c r="G278" i="9"/>
  <c r="D19" i="9"/>
  <c r="H252" i="9"/>
  <c r="F156" i="9"/>
  <c r="F232" i="9"/>
  <c r="D187" i="9"/>
  <c r="E184" i="9"/>
  <c r="D189" i="9"/>
  <c r="H103" i="9"/>
  <c r="E187" i="9"/>
  <c r="F173" i="9"/>
  <c r="B189" i="9"/>
  <c r="G173" i="9"/>
  <c r="F189" i="9"/>
  <c r="E173" i="9"/>
  <c r="G189" i="9"/>
  <c r="H173" i="9"/>
  <c r="B173" i="9"/>
  <c r="B110" i="9"/>
  <c r="G159" i="9"/>
  <c r="D110" i="9"/>
  <c r="B232" i="9"/>
  <c r="E110" i="9"/>
  <c r="G86" i="9"/>
  <c r="H232" i="9"/>
  <c r="H184" i="9"/>
  <c r="G132" i="9"/>
  <c r="F184" i="9"/>
  <c r="H110" i="9"/>
  <c r="G184" i="9"/>
  <c r="D159" i="9"/>
  <c r="D184" i="9"/>
  <c r="H159" i="9"/>
  <c r="H226" i="9"/>
  <c r="F170" i="9"/>
  <c r="E170" i="9"/>
  <c r="H108" i="9"/>
  <c r="B103" i="9"/>
  <c r="D226" i="9"/>
  <c r="H176" i="9"/>
  <c r="E226" i="9"/>
  <c r="F176" i="9"/>
  <c r="F226" i="9"/>
  <c r="E32" i="9"/>
  <c r="D164" i="9"/>
  <c r="F103" i="9"/>
  <c r="F76" i="9"/>
  <c r="E74" i="9"/>
  <c r="H164" i="9"/>
  <c r="F21" i="9"/>
  <c r="G21" i="9"/>
  <c r="F74" i="9"/>
  <c r="E21" i="9"/>
  <c r="G74" i="9"/>
  <c r="D21" i="9"/>
  <c r="B209" i="9"/>
  <c r="B74" i="9"/>
  <c r="B32" i="9"/>
  <c r="F114" i="9"/>
  <c r="D209" i="9"/>
  <c r="H144" i="9"/>
  <c r="E205" i="9"/>
  <c r="E20" i="9"/>
  <c r="B194" i="9"/>
  <c r="F210" i="9"/>
  <c r="B161" i="9"/>
  <c r="D283" i="9"/>
  <c r="E270" i="9"/>
  <c r="G299" i="9"/>
  <c r="E117" i="9"/>
  <c r="G37" i="9"/>
  <c r="D108" i="9"/>
  <c r="D239" i="9"/>
  <c r="G138" i="9"/>
  <c r="G283" i="9"/>
  <c r="F117" i="9"/>
  <c r="F108" i="9"/>
  <c r="H190" i="9"/>
  <c r="G191" i="9"/>
  <c r="G161" i="9"/>
  <c r="E128" i="9"/>
  <c r="F308" i="9"/>
  <c r="F283" i="9"/>
  <c r="E299" i="9"/>
  <c r="B33" i="9"/>
  <c r="F239" i="9"/>
  <c r="B180" i="9"/>
  <c r="G190" i="9"/>
  <c r="H304" i="9"/>
  <c r="F94" i="9"/>
  <c r="F128" i="9"/>
  <c r="D274" i="9"/>
  <c r="D33" i="9"/>
  <c r="E158" i="9"/>
  <c r="B101" i="9"/>
  <c r="G112" i="9"/>
  <c r="H180" i="9"/>
  <c r="G194" i="9"/>
  <c r="H270" i="9"/>
  <c r="E195" i="9"/>
  <c r="F49" i="9"/>
  <c r="G180" i="9"/>
  <c r="B112" i="9"/>
  <c r="D180" i="9"/>
  <c r="H194" i="9"/>
  <c r="G210" i="9"/>
  <c r="H205" i="9"/>
  <c r="B270" i="9"/>
  <c r="B117" i="9"/>
  <c r="F307" i="9"/>
  <c r="B210" i="9"/>
  <c r="G270" i="9"/>
  <c r="H94" i="9"/>
  <c r="D112" i="9"/>
  <c r="D194" i="9"/>
  <c r="G117" i="9"/>
  <c r="B213" i="9"/>
  <c r="B236" i="9"/>
  <c r="H117" i="9"/>
  <c r="B108" i="9"/>
  <c r="E260" i="9"/>
  <c r="F132" i="9"/>
  <c r="G295" i="9"/>
  <c r="G118" i="9"/>
  <c r="H132" i="9"/>
  <c r="F295" i="9"/>
  <c r="D271" i="9"/>
  <c r="E159" i="9"/>
  <c r="F159" i="9"/>
  <c r="B132" i="9"/>
  <c r="E272" i="9"/>
  <c r="G170" i="9"/>
  <c r="B170" i="9"/>
  <c r="G110" i="9"/>
  <c r="D86" i="9"/>
  <c r="D170" i="9"/>
  <c r="H260" i="9"/>
  <c r="D132" i="9"/>
  <c r="G254" i="9"/>
  <c r="B260" i="9"/>
  <c r="F102" i="9"/>
  <c r="G113" i="9"/>
  <c r="E55" i="9"/>
  <c r="D55" i="9"/>
  <c r="D306" i="9"/>
  <c r="B178" i="9"/>
  <c r="D275" i="9"/>
  <c r="H275" i="9"/>
  <c r="G116" i="9"/>
  <c r="D158" i="9"/>
  <c r="D134" i="9"/>
  <c r="H116" i="9"/>
  <c r="H88" i="9"/>
  <c r="B195" i="9"/>
  <c r="F242" i="9"/>
  <c r="F195" i="9"/>
  <c r="F158" i="9"/>
  <c r="F20" i="9"/>
  <c r="E176" i="9"/>
  <c r="F32" i="9"/>
  <c r="G176" i="9"/>
  <c r="D17" i="9"/>
  <c r="F281" i="9"/>
  <c r="F56" i="9"/>
  <c r="H292" i="9"/>
  <c r="B90" i="9"/>
  <c r="G213" i="9"/>
  <c r="F190" i="9"/>
  <c r="E138" i="9"/>
  <c r="E256" i="9"/>
  <c r="E68" i="9"/>
  <c r="F191" i="9"/>
  <c r="E94" i="9"/>
  <c r="B205" i="9"/>
  <c r="G233" i="9"/>
  <c r="E307" i="9"/>
  <c r="D49" i="9"/>
  <c r="E49" i="9"/>
  <c r="E213" i="9"/>
  <c r="G94" i="9"/>
  <c r="D101" i="9"/>
  <c r="E258" i="9"/>
  <c r="F288" i="9"/>
  <c r="F105" i="9"/>
  <c r="E274" i="9"/>
  <c r="G20" i="9"/>
  <c r="G309" i="9"/>
  <c r="B144" i="9"/>
  <c r="D90" i="9"/>
  <c r="H311" i="9"/>
  <c r="F213" i="9"/>
  <c r="E101" i="9"/>
  <c r="B258" i="9"/>
  <c r="G105" i="9"/>
  <c r="F274" i="9"/>
  <c r="D37" i="9"/>
  <c r="D20" i="9"/>
  <c r="B190" i="9"/>
  <c r="G311" i="9"/>
  <c r="H309" i="9"/>
  <c r="D144" i="9"/>
  <c r="F90" i="9"/>
  <c r="B304" i="9"/>
  <c r="B311" i="9"/>
  <c r="D213" i="9"/>
  <c r="G101" i="9"/>
  <c r="D258" i="9"/>
  <c r="E105" i="9"/>
  <c r="D73" i="9"/>
  <c r="G274" i="9"/>
  <c r="E37" i="9"/>
  <c r="F258" i="9"/>
  <c r="B309" i="9"/>
  <c r="H101" i="9"/>
  <c r="H293" i="9"/>
  <c r="D105" i="9"/>
  <c r="H274" i="9"/>
  <c r="G304" i="9"/>
  <c r="B105" i="9"/>
  <c r="B73" i="9"/>
  <c r="E285" i="9"/>
  <c r="E144" i="9"/>
  <c r="F256" i="9"/>
  <c r="G258" i="9"/>
  <c r="F144" i="9"/>
  <c r="D304" i="9"/>
  <c r="G193" i="9"/>
  <c r="E236" i="9"/>
  <c r="H307" i="9"/>
  <c r="F73" i="9"/>
  <c r="B285" i="9"/>
  <c r="G90" i="9"/>
  <c r="E311" i="9"/>
  <c r="E309" i="9"/>
  <c r="E90" i="9"/>
  <c r="G256" i="9"/>
  <c r="E304" i="9"/>
  <c r="H256" i="9"/>
  <c r="H193" i="9"/>
  <c r="D191" i="9"/>
  <c r="F236" i="9"/>
  <c r="G307" i="9"/>
  <c r="G73" i="9"/>
  <c r="H285" i="9"/>
  <c r="D190" i="9"/>
  <c r="B256" i="9"/>
  <c r="D193" i="9"/>
  <c r="H191" i="9"/>
  <c r="G236" i="9"/>
  <c r="B94" i="9"/>
  <c r="B307" i="9"/>
  <c r="B49" i="9"/>
  <c r="D285" i="9"/>
  <c r="D311" i="9"/>
  <c r="D309" i="9"/>
  <c r="D236" i="9"/>
  <c r="B138" i="9"/>
  <c r="E193" i="9"/>
  <c r="E191" i="9"/>
  <c r="G285" i="9"/>
  <c r="D265" i="9"/>
  <c r="G297" i="9"/>
  <c r="H265" i="9"/>
  <c r="B265" i="9"/>
  <c r="G192" i="9"/>
  <c r="B171" i="9"/>
  <c r="H209" i="9"/>
  <c r="B148" i="9"/>
  <c r="H286" i="9"/>
  <c r="B271" i="9"/>
  <c r="E257" i="9"/>
  <c r="G125" i="9"/>
  <c r="F257" i="9"/>
  <c r="B174" i="9"/>
  <c r="F271" i="9"/>
  <c r="B86" i="9"/>
  <c r="G288" i="9"/>
  <c r="D43" i="9"/>
  <c r="E86" i="9"/>
  <c r="F86" i="9"/>
  <c r="D263" i="9"/>
  <c r="G293" i="9"/>
  <c r="B293" i="9"/>
  <c r="B22" i="9"/>
  <c r="D293" i="9"/>
  <c r="F22" i="9"/>
  <c r="E293" i="9"/>
  <c r="G22" i="9"/>
  <c r="D48" i="9"/>
  <c r="H271" i="9"/>
  <c r="D288" i="9"/>
  <c r="E288" i="9"/>
  <c r="D131" i="9"/>
  <c r="F131" i="9"/>
  <c r="E35" i="9"/>
  <c r="D277" i="9"/>
  <c r="G17" i="9"/>
  <c r="F35" i="9"/>
  <c r="B17" i="9"/>
  <c r="G97" i="9"/>
  <c r="D204" i="9"/>
  <c r="G203" i="9"/>
  <c r="G35" i="9"/>
  <c r="G137" i="9"/>
  <c r="G277" i="9"/>
  <c r="F58" i="9"/>
  <c r="H97" i="9"/>
  <c r="F53" i="9"/>
  <c r="D207" i="9"/>
  <c r="E204" i="9"/>
  <c r="D203" i="9"/>
  <c r="B35" i="9"/>
  <c r="H137" i="9"/>
  <c r="H277" i="9"/>
  <c r="B80" i="9"/>
  <c r="G58" i="9"/>
  <c r="B97" i="9"/>
  <c r="G53" i="9"/>
  <c r="E207" i="9"/>
  <c r="G204" i="9"/>
  <c r="E203" i="9"/>
  <c r="F97" i="9"/>
  <c r="H207" i="9"/>
  <c r="B204" i="9"/>
  <c r="H203" i="9"/>
  <c r="D281" i="9"/>
  <c r="D80" i="9"/>
  <c r="D137" i="9"/>
  <c r="G281" i="9"/>
  <c r="F277" i="9"/>
  <c r="E80" i="9"/>
  <c r="D292" i="9"/>
  <c r="F207" i="9"/>
  <c r="D305" i="9"/>
  <c r="D252" i="9"/>
  <c r="B137" i="9"/>
  <c r="B56" i="9"/>
  <c r="E292" i="9"/>
  <c r="F305" i="9"/>
  <c r="E252" i="9"/>
  <c r="B277" i="9"/>
  <c r="F137" i="9"/>
  <c r="B281" i="9"/>
  <c r="F292" i="9"/>
  <c r="H281" i="9"/>
  <c r="F80" i="9"/>
  <c r="H156" i="9"/>
  <c r="D56" i="9"/>
  <c r="G80" i="9"/>
  <c r="D156" i="9"/>
  <c r="B19" i="9"/>
  <c r="F252" i="9"/>
  <c r="E131" i="9"/>
  <c r="E56" i="9"/>
  <c r="E156" i="9"/>
  <c r="B263" i="9"/>
  <c r="G292" i="9"/>
  <c r="G19" i="9"/>
  <c r="G252" i="9"/>
  <c r="E19" i="9"/>
  <c r="F17" i="9"/>
  <c r="B156" i="9"/>
  <c r="D97" i="9"/>
  <c r="D53" i="9"/>
  <c r="F204" i="9"/>
  <c r="B203" i="9"/>
  <c r="B131" i="9"/>
  <c r="E53" i="9"/>
  <c r="G131" i="9"/>
  <c r="G126" i="9"/>
  <c r="G102" i="9"/>
  <c r="D178" i="9"/>
  <c r="F275" i="9"/>
  <c r="D171" i="9"/>
  <c r="H134" i="9"/>
  <c r="B88" i="9"/>
  <c r="H126" i="9"/>
  <c r="H102" i="9"/>
  <c r="F116" i="9"/>
  <c r="G178" i="9"/>
  <c r="D121" i="9"/>
  <c r="F171" i="9"/>
  <c r="E134" i="9"/>
  <c r="H178" i="9"/>
  <c r="G171" i="9"/>
  <c r="F134" i="9"/>
  <c r="F126" i="9"/>
  <c r="B102" i="9"/>
  <c r="E126" i="9"/>
  <c r="H306" i="9"/>
  <c r="D116" i="9"/>
  <c r="B121" i="9"/>
  <c r="F246" i="9"/>
  <c r="H171" i="9"/>
  <c r="G134" i="9"/>
  <c r="E121" i="9"/>
  <c r="E246" i="9"/>
  <c r="B219" i="9"/>
  <c r="D126" i="9"/>
  <c r="G306" i="9"/>
  <c r="F177" i="9"/>
  <c r="B237" i="9"/>
  <c r="F120" i="9"/>
  <c r="B116" i="9"/>
  <c r="G32" i="9"/>
  <c r="F121" i="9"/>
  <c r="F306" i="9"/>
  <c r="E120" i="9"/>
  <c r="G121" i="9"/>
  <c r="F78" i="9"/>
  <c r="E113" i="9"/>
  <c r="B297" i="9"/>
  <c r="B306" i="9"/>
  <c r="E262" i="9"/>
  <c r="B242" i="9"/>
  <c r="G78" i="9"/>
  <c r="F113" i="9"/>
  <c r="G242" i="9"/>
  <c r="H78" i="9"/>
  <c r="H242" i="9"/>
  <c r="E275" i="9"/>
  <c r="D78" i="9"/>
  <c r="H113" i="9"/>
  <c r="F55" i="9"/>
  <c r="B262" i="9"/>
  <c r="G70" i="9"/>
  <c r="E297" i="9"/>
  <c r="G55" i="9"/>
  <c r="G18" i="9"/>
  <c r="D102" i="9"/>
  <c r="D192" i="9"/>
  <c r="E178" i="9"/>
  <c r="D242" i="9"/>
  <c r="B275" i="9"/>
  <c r="B78" i="9"/>
  <c r="H127" i="9"/>
  <c r="B113" i="9"/>
  <c r="F262" i="9"/>
  <c r="H297" i="9"/>
  <c r="F297" i="9"/>
  <c r="G141" i="9"/>
  <c r="H192" i="9"/>
  <c r="F127" i="9"/>
  <c r="H305" i="9"/>
  <c r="D154" i="9"/>
  <c r="E154" i="9"/>
  <c r="G154" i="9"/>
  <c r="H120" i="9"/>
  <c r="F18" i="9"/>
  <c r="B118" i="9"/>
  <c r="B70" i="9"/>
  <c r="E271" i="9"/>
  <c r="D18" i="9"/>
  <c r="G120" i="9"/>
  <c r="D118" i="9"/>
  <c r="D70" i="9"/>
  <c r="B114" i="9"/>
  <c r="H195" i="9"/>
  <c r="B158" i="9"/>
  <c r="F265" i="9"/>
  <c r="B127" i="9"/>
  <c r="E18" i="9"/>
  <c r="B120" i="9"/>
  <c r="F118" i="9"/>
  <c r="E70" i="9"/>
  <c r="D114" i="9"/>
  <c r="H167" i="9"/>
  <c r="H231" i="9"/>
  <c r="B207" i="9"/>
  <c r="G305" i="9"/>
  <c r="F154" i="9"/>
  <c r="G257" i="9"/>
  <c r="D195" i="9"/>
  <c r="E305" i="9"/>
  <c r="B154" i="9"/>
  <c r="D200" i="9"/>
  <c r="H268" i="9"/>
  <c r="H263" i="9"/>
  <c r="D88" i="9"/>
  <c r="E174" i="9"/>
  <c r="G263" i="9"/>
  <c r="F96" i="9"/>
  <c r="F268" i="9"/>
  <c r="B288" i="9"/>
  <c r="D22" i="9"/>
  <c r="H257" i="9"/>
  <c r="B257" i="9"/>
  <c r="G143" i="9"/>
  <c r="B268" i="9"/>
  <c r="E143" i="9"/>
  <c r="E231" i="9"/>
  <c r="D58" i="9"/>
  <c r="G200" i="9"/>
  <c r="F16" i="9"/>
  <c r="G16" i="9"/>
  <c r="B96" i="9"/>
  <c r="G241" i="9"/>
  <c r="D96" i="9"/>
  <c r="H241" i="9"/>
  <c r="H96" i="9"/>
  <c r="D231" i="9"/>
  <c r="E96" i="9"/>
  <c r="D268" i="9"/>
  <c r="B200" i="9"/>
  <c r="E268" i="9"/>
  <c r="E200" i="9"/>
  <c r="F200" i="9"/>
  <c r="D186" i="9"/>
  <c r="F186" i="9"/>
  <c r="F174" i="9"/>
  <c r="G174" i="9"/>
  <c r="E263" i="9"/>
  <c r="H186" i="9"/>
  <c r="G44" i="9"/>
  <c r="E48" i="9"/>
  <c r="G223" i="9"/>
  <c r="B186" i="9"/>
  <c r="G219" i="9"/>
  <c r="E43" i="9"/>
  <c r="D220" i="9"/>
  <c r="D260" i="9"/>
  <c r="D148" i="9"/>
  <c r="E298" i="9"/>
  <c r="H168" i="9"/>
  <c r="F273" i="9"/>
  <c r="B139" i="9"/>
  <c r="F193" i="9"/>
  <c r="D167" i="9"/>
  <c r="B13" i="9"/>
  <c r="H118" i="9"/>
  <c r="D262" i="9"/>
  <c r="E255" i="9"/>
  <c r="B231" i="9"/>
  <c r="G114" i="9"/>
  <c r="F205" i="9"/>
  <c r="B124" i="9"/>
  <c r="E172" i="9"/>
  <c r="B79" i="9"/>
  <c r="B165" i="9"/>
  <c r="B272" i="9"/>
  <c r="F37" i="9"/>
  <c r="G43" i="9"/>
  <c r="D254" i="9"/>
  <c r="F65" i="9"/>
  <c r="D221" i="9"/>
  <c r="F260" i="9"/>
  <c r="H148" i="9"/>
  <c r="G298" i="9"/>
  <c r="G177" i="9"/>
  <c r="D138" i="9"/>
  <c r="F68" i="9"/>
  <c r="B215" i="9"/>
  <c r="E13" i="9"/>
  <c r="H294" i="9"/>
  <c r="E192" i="9"/>
  <c r="G255" i="9"/>
  <c r="G205" i="9"/>
  <c r="H124" i="9"/>
  <c r="H172" i="9"/>
  <c r="F143" i="9"/>
  <c r="H79" i="9"/>
  <c r="H109" i="9"/>
  <c r="E227" i="9"/>
  <c r="E165" i="9"/>
  <c r="D298" i="9"/>
  <c r="H221" i="9"/>
  <c r="B255" i="9"/>
  <c r="G79" i="9"/>
  <c r="B227" i="9"/>
  <c r="G65" i="9"/>
  <c r="E221" i="9"/>
  <c r="G68" i="9"/>
  <c r="F13" i="9"/>
  <c r="G148" i="9"/>
  <c r="G215" i="9"/>
  <c r="D13" i="9"/>
  <c r="D165" i="9"/>
  <c r="H298" i="9"/>
  <c r="E141" i="9"/>
  <c r="H177" i="9"/>
  <c r="F215" i="9"/>
  <c r="D294" i="9"/>
  <c r="H255" i="9"/>
  <c r="B172" i="9"/>
  <c r="F233" i="9"/>
  <c r="D79" i="9"/>
  <c r="B76" i="9"/>
  <c r="G109" i="9"/>
  <c r="F227" i="9"/>
  <c r="F165" i="9"/>
  <c r="G157" i="9"/>
  <c r="D61" i="9"/>
  <c r="G221" i="9"/>
  <c r="D16" i="9"/>
  <c r="B141" i="9"/>
  <c r="B177" i="9"/>
  <c r="F138" i="9"/>
  <c r="H215" i="9"/>
  <c r="E294" i="9"/>
  <c r="B192" i="9"/>
  <c r="D172" i="9"/>
  <c r="B233" i="9"/>
  <c r="G51" i="9"/>
  <c r="H143" i="9"/>
  <c r="E79" i="9"/>
  <c r="D76" i="9"/>
  <c r="D109" i="9"/>
  <c r="D227" i="9"/>
  <c r="G165" i="9"/>
  <c r="G265" i="9"/>
  <c r="D119" i="9"/>
  <c r="D157" i="9"/>
  <c r="E61" i="9"/>
  <c r="B244" i="9"/>
  <c r="G89" i="9"/>
  <c r="F43" i="9"/>
  <c r="E65" i="9"/>
  <c r="F298" i="9"/>
  <c r="B65" i="9"/>
  <c r="F221" i="9"/>
  <c r="D141" i="9"/>
  <c r="D177" i="9"/>
  <c r="D68" i="9"/>
  <c r="D233" i="9"/>
  <c r="G227" i="9"/>
  <c r="D246" i="9"/>
  <c r="H119" i="9"/>
  <c r="G172" i="9"/>
  <c r="B16" i="9"/>
  <c r="D215" i="9"/>
  <c r="F294" i="9"/>
  <c r="B229" i="9"/>
  <c r="D51" i="9"/>
  <c r="E109" i="9"/>
  <c r="F157" i="9"/>
  <c r="F141" i="9"/>
  <c r="E229" i="9"/>
  <c r="D219" i="9"/>
  <c r="D143" i="9"/>
  <c r="B82" i="9"/>
  <c r="B295" i="9"/>
  <c r="G214" i="9"/>
  <c r="E76" i="9"/>
  <c r="B246" i="9"/>
  <c r="E119" i="9"/>
  <c r="H273" i="9"/>
  <c r="E219" i="9"/>
  <c r="H82" i="9"/>
  <c r="E284" i="9"/>
  <c r="G119" i="9"/>
  <c r="H220" i="9"/>
  <c r="E148" i="9"/>
  <c r="B276" i="9"/>
  <c r="E168" i="9"/>
  <c r="G273" i="9"/>
  <c r="F139" i="9"/>
  <c r="G262" i="9"/>
  <c r="F231" i="9"/>
  <c r="H114" i="9"/>
  <c r="H219" i="9"/>
  <c r="G186" i="9"/>
  <c r="F82" i="9"/>
  <c r="D295" i="9"/>
  <c r="E214" i="9"/>
  <c r="G246" i="9"/>
  <c r="D127" i="9"/>
  <c r="E127" i="9"/>
  <c r="B48" i="9"/>
  <c r="D147" i="9"/>
  <c r="E286" i="9"/>
  <c r="E209" i="9"/>
  <c r="F44" i="9"/>
  <c r="B125" i="9"/>
  <c r="F48" i="9"/>
  <c r="G229" i="9"/>
  <c r="H244" i="9"/>
  <c r="G211" i="9"/>
  <c r="D229" i="9"/>
  <c r="E75" i="9"/>
  <c r="H229" i="9"/>
  <c r="D241" i="9"/>
  <c r="F75" i="9"/>
  <c r="G147" i="9"/>
  <c r="F284" i="9"/>
  <c r="B211" i="9"/>
  <c r="D291" i="9"/>
  <c r="H147" i="9"/>
  <c r="H188" i="9"/>
  <c r="H157" i="9"/>
  <c r="B157" i="9"/>
  <c r="G145" i="9"/>
  <c r="D50" i="9"/>
  <c r="F87" i="9"/>
  <c r="B202" i="9"/>
  <c r="G167" i="9"/>
  <c r="G75" i="9"/>
  <c r="B284" i="9"/>
  <c r="G300" i="9"/>
  <c r="F267" i="9"/>
  <c r="B182" i="9"/>
  <c r="B238" i="9"/>
  <c r="H145" i="9"/>
  <c r="E234" i="9"/>
  <c r="B302" i="9"/>
  <c r="D182" i="9"/>
  <c r="B46" i="9"/>
  <c r="B188" i="9"/>
  <c r="D238" i="9"/>
  <c r="E291" i="9"/>
  <c r="H106" i="9"/>
  <c r="E50" i="9"/>
  <c r="G202" i="9"/>
  <c r="H234" i="9"/>
  <c r="B58" i="9"/>
  <c r="F291" i="9"/>
  <c r="B106" i="9"/>
  <c r="D302" i="9"/>
  <c r="F50" i="9"/>
  <c r="F182" i="9"/>
  <c r="D46" i="9"/>
  <c r="D188" i="9"/>
  <c r="D179" i="9"/>
  <c r="H202" i="9"/>
  <c r="F234" i="9"/>
  <c r="H302" i="9"/>
  <c r="G50" i="9"/>
  <c r="B198" i="9"/>
  <c r="E46" i="9"/>
  <c r="E179" i="9"/>
  <c r="G234" i="9"/>
  <c r="E302" i="9"/>
  <c r="F198" i="9"/>
  <c r="F46" i="9"/>
  <c r="F179" i="9"/>
  <c r="E202" i="9"/>
  <c r="D234" i="9"/>
  <c r="F162" i="9"/>
  <c r="F302" i="9"/>
  <c r="G198" i="9"/>
  <c r="D166" i="9"/>
  <c r="H130" i="9"/>
  <c r="H179" i="9"/>
  <c r="F202" i="9"/>
  <c r="B155" i="9"/>
  <c r="B218" i="9"/>
  <c r="G162" i="9"/>
  <c r="E198" i="9"/>
  <c r="E166" i="9"/>
  <c r="B130" i="9"/>
  <c r="G179" i="9"/>
  <c r="G87" i="9"/>
  <c r="E218" i="9"/>
  <c r="H162" i="9"/>
  <c r="H198" i="9"/>
  <c r="F166" i="9"/>
  <c r="F130" i="9"/>
  <c r="E155" i="9"/>
  <c r="H87" i="9"/>
  <c r="F218" i="9"/>
  <c r="B145" i="9"/>
  <c r="B162" i="9"/>
  <c r="F241" i="9"/>
  <c r="B300" i="9"/>
  <c r="G166" i="9"/>
  <c r="G130" i="9"/>
  <c r="H238" i="9"/>
  <c r="G244" i="9"/>
  <c r="H218" i="9"/>
  <c r="D145" i="9"/>
  <c r="D162" i="9"/>
  <c r="G291" i="9"/>
  <c r="D106" i="9"/>
  <c r="D300" i="9"/>
  <c r="B267" i="9"/>
  <c r="H166" i="9"/>
  <c r="D130" i="9"/>
  <c r="E188" i="9"/>
  <c r="E238" i="9"/>
  <c r="D155" i="9"/>
  <c r="G155" i="9"/>
  <c r="G218" i="9"/>
  <c r="E145" i="9"/>
  <c r="H291" i="9"/>
  <c r="E106" i="9"/>
  <c r="E300" i="9"/>
  <c r="H267" i="9"/>
  <c r="H182" i="9"/>
  <c r="F188" i="9"/>
  <c r="F238" i="9"/>
  <c r="F155" i="9"/>
  <c r="E87" i="9"/>
  <c r="B87" i="9"/>
  <c r="B241" i="9"/>
  <c r="F300" i="9"/>
  <c r="D267" i="9"/>
  <c r="E182" i="9"/>
  <c r="D44" i="9"/>
  <c r="B286" i="9"/>
  <c r="E223" i="9"/>
  <c r="E44" i="9"/>
  <c r="B147" i="9"/>
  <c r="E147" i="9"/>
  <c r="H211" i="9"/>
  <c r="D183" i="9"/>
  <c r="D286" i="9"/>
  <c r="E211" i="9"/>
  <c r="B223" i="9"/>
  <c r="F286" i="9"/>
  <c r="F245" i="9"/>
  <c r="B183" i="9"/>
  <c r="H276" i="9"/>
  <c r="F89" i="9"/>
  <c r="B245" i="9"/>
  <c r="F183" i="9"/>
  <c r="H89" i="9"/>
  <c r="G276" i="9"/>
  <c r="F276" i="9"/>
  <c r="E89" i="9"/>
  <c r="B75" i="9"/>
  <c r="E267" i="9"/>
  <c r="G158" i="9"/>
  <c r="F125" i="9"/>
  <c r="F209" i="9"/>
  <c r="F61" i="9"/>
  <c r="D244" i="9"/>
  <c r="D276" i="9"/>
  <c r="D89" i="9"/>
  <c r="D211" i="9"/>
  <c r="D125" i="9"/>
  <c r="G61" i="9"/>
  <c r="H223" i="9"/>
  <c r="E125" i="9"/>
  <c r="H183" i="9"/>
  <c r="G183" i="9"/>
  <c r="F244" i="9"/>
  <c r="D174" i="9"/>
  <c r="H284" i="9"/>
  <c r="F88" i="9"/>
  <c r="G284" i="9"/>
  <c r="E88" i="9"/>
  <c r="H245" i="9"/>
  <c r="F223" i="9"/>
  <c r="G245" i="9"/>
  <c r="D245" i="9"/>
  <c r="B167" i="9"/>
  <c r="E167" i="9"/>
  <c r="I38" i="14"/>
  <c r="I85" i="13"/>
  <c r="H85" i="13"/>
  <c r="G85" i="13"/>
  <c r="F85" i="13"/>
  <c r="D85" i="13"/>
  <c r="B85" i="13"/>
  <c r="H66" i="13"/>
  <c r="F66" i="13"/>
  <c r="B66" i="13"/>
  <c r="I66" i="13"/>
  <c r="G66" i="13"/>
  <c r="D66" i="13"/>
  <c r="I53" i="13"/>
  <c r="H53" i="13"/>
  <c r="G53" i="13"/>
  <c r="F53" i="13"/>
  <c r="D53" i="13"/>
  <c r="B53" i="13"/>
  <c r="I61" i="13"/>
  <c r="H61" i="13"/>
  <c r="G61" i="13"/>
  <c r="F61" i="13"/>
  <c r="D61" i="13"/>
  <c r="B61" i="13"/>
  <c r="I95" i="13"/>
  <c r="B95" i="13"/>
  <c r="H95" i="13"/>
  <c r="G95" i="13"/>
  <c r="F95" i="13"/>
  <c r="D95" i="13"/>
  <c r="H141" i="13"/>
  <c r="I141" i="13"/>
  <c r="F141" i="13"/>
  <c r="D141" i="13"/>
  <c r="G141" i="13"/>
  <c r="B141" i="13"/>
  <c r="I89" i="13"/>
  <c r="D89" i="13"/>
  <c r="F89" i="13"/>
  <c r="B89" i="13"/>
  <c r="H89" i="13"/>
  <c r="G89" i="13"/>
  <c r="I77" i="13"/>
  <c r="F77" i="13"/>
  <c r="D77" i="13"/>
  <c r="G77" i="13"/>
  <c r="B77" i="13"/>
  <c r="H77" i="13"/>
  <c r="D42" i="13"/>
  <c r="B42" i="13"/>
  <c r="H42" i="13"/>
  <c r="G42" i="13"/>
  <c r="F42" i="13"/>
  <c r="I113" i="13"/>
  <c r="G113" i="13"/>
  <c r="F113" i="13"/>
  <c r="B113" i="13"/>
  <c r="D113" i="13"/>
  <c r="H113" i="13"/>
  <c r="F74" i="13"/>
  <c r="I74" i="13"/>
  <c r="H74" i="13"/>
  <c r="G74" i="13"/>
  <c r="D74" i="13"/>
  <c r="B74" i="13"/>
  <c r="F94" i="13"/>
  <c r="D94" i="13"/>
  <c r="I94" i="13"/>
  <c r="H94" i="13"/>
  <c r="G94" i="13"/>
  <c r="B94" i="13"/>
  <c r="F114" i="13"/>
  <c r="D114" i="13"/>
  <c r="B114" i="13"/>
  <c r="I114" i="13"/>
  <c r="H114" i="13"/>
  <c r="G114" i="13"/>
  <c r="I175" i="13"/>
  <c r="B175" i="13"/>
  <c r="H175" i="13"/>
  <c r="G175" i="13"/>
  <c r="F175" i="13"/>
  <c r="D175" i="13"/>
  <c r="F144" i="13"/>
  <c r="H144" i="13"/>
  <c r="I144" i="13"/>
  <c r="D144" i="13"/>
  <c r="B144" i="13"/>
  <c r="G144" i="13"/>
  <c r="F164" i="13"/>
  <c r="H164" i="13"/>
  <c r="I164" i="13"/>
  <c r="G164" i="13"/>
  <c r="D164" i="13"/>
  <c r="B164" i="13"/>
  <c r="F184" i="13"/>
  <c r="H184" i="13"/>
  <c r="D184" i="13"/>
  <c r="B184" i="13"/>
  <c r="I184" i="13"/>
  <c r="G184" i="13"/>
  <c r="B40" i="13"/>
  <c r="G40" i="13"/>
  <c r="F40" i="13"/>
  <c r="D40" i="13"/>
  <c r="H40" i="13"/>
  <c r="I79" i="13"/>
  <c r="H79" i="13"/>
  <c r="G79" i="13"/>
  <c r="F79" i="13"/>
  <c r="D79" i="13"/>
  <c r="B79" i="13"/>
  <c r="I103" i="13"/>
  <c r="G103" i="13"/>
  <c r="B103" i="13"/>
  <c r="H103" i="13"/>
  <c r="F103" i="13"/>
  <c r="D103" i="13"/>
  <c r="I97" i="13"/>
  <c r="F97" i="13"/>
  <c r="D97" i="13"/>
  <c r="G97" i="13"/>
  <c r="H97" i="13"/>
  <c r="B97" i="13"/>
  <c r="H132" i="13"/>
  <c r="F132" i="13"/>
  <c r="D132" i="13"/>
  <c r="B132" i="13"/>
  <c r="I132" i="13"/>
  <c r="G132" i="13"/>
  <c r="I87" i="13"/>
  <c r="F87" i="13"/>
  <c r="D87" i="13"/>
  <c r="H87" i="13"/>
  <c r="G87" i="13"/>
  <c r="B87" i="13"/>
  <c r="D47" i="13"/>
  <c r="B47" i="13"/>
  <c r="I47" i="13"/>
  <c r="H47" i="13"/>
  <c r="G47" i="13"/>
  <c r="F47" i="13"/>
  <c r="H181" i="13"/>
  <c r="I181" i="13"/>
  <c r="F181" i="13"/>
  <c r="B181" i="13"/>
  <c r="G181" i="13"/>
  <c r="D181" i="13"/>
  <c r="F76" i="13"/>
  <c r="I76" i="13"/>
  <c r="H76" i="13"/>
  <c r="G76" i="13"/>
  <c r="D76" i="13"/>
  <c r="B76" i="13"/>
  <c r="F96" i="13"/>
  <c r="H96" i="13"/>
  <c r="G96" i="13"/>
  <c r="D96" i="13"/>
  <c r="I96" i="13"/>
  <c r="B96" i="13"/>
  <c r="F116" i="13"/>
  <c r="B116" i="13"/>
  <c r="D116" i="13"/>
  <c r="I116" i="13"/>
  <c r="H116" i="13"/>
  <c r="G116" i="13"/>
  <c r="I187" i="13"/>
  <c r="G187" i="13"/>
  <c r="B187" i="13"/>
  <c r="H187" i="13"/>
  <c r="F187" i="13"/>
  <c r="D187" i="13"/>
  <c r="F146" i="13"/>
  <c r="G146" i="13"/>
  <c r="I146" i="13"/>
  <c r="H146" i="13"/>
  <c r="D146" i="13"/>
  <c r="B146" i="13"/>
  <c r="F166" i="13"/>
  <c r="I166" i="13"/>
  <c r="B166" i="13"/>
  <c r="H166" i="13"/>
  <c r="G166" i="13"/>
  <c r="D166" i="13"/>
  <c r="F186" i="13"/>
  <c r="I186" i="13"/>
  <c r="H186" i="13"/>
  <c r="D186" i="13"/>
  <c r="B186" i="13"/>
  <c r="G186" i="13"/>
  <c r="I51" i="13"/>
  <c r="H51" i="13"/>
  <c r="G51" i="13"/>
  <c r="F51" i="13"/>
  <c r="B51" i="13"/>
  <c r="D51" i="13"/>
  <c r="B60" i="13"/>
  <c r="I60" i="13"/>
  <c r="H60" i="13"/>
  <c r="G60" i="13"/>
  <c r="F60" i="13"/>
  <c r="D60" i="13"/>
  <c r="B183" i="13"/>
  <c r="G183" i="13"/>
  <c r="D183" i="13"/>
  <c r="H183" i="13"/>
  <c r="F183" i="13"/>
  <c r="I183" i="13"/>
  <c r="I127" i="13"/>
  <c r="H127" i="13"/>
  <c r="G127" i="13"/>
  <c r="F127" i="13"/>
  <c r="B127" i="13"/>
  <c r="D127" i="13"/>
  <c r="G70" i="13"/>
  <c r="F70" i="13"/>
  <c r="D70" i="13"/>
  <c r="I70" i="13"/>
  <c r="H70" i="13"/>
  <c r="B70" i="13"/>
  <c r="I155" i="13"/>
  <c r="G155" i="13"/>
  <c r="D155" i="13"/>
  <c r="H155" i="13"/>
  <c r="F155" i="13"/>
  <c r="B155" i="13"/>
  <c r="I115" i="13"/>
  <c r="B115" i="13"/>
  <c r="D115" i="13"/>
  <c r="H115" i="13"/>
  <c r="G115" i="13"/>
  <c r="F115" i="13"/>
  <c r="D52" i="13"/>
  <c r="B52" i="13"/>
  <c r="I52" i="13"/>
  <c r="H52" i="13"/>
  <c r="F52" i="13"/>
  <c r="G52" i="13"/>
  <c r="I109" i="13"/>
  <c r="D109" i="13"/>
  <c r="H109" i="13"/>
  <c r="G109" i="13"/>
  <c r="F109" i="13"/>
  <c r="B109" i="13"/>
  <c r="F78" i="13"/>
  <c r="B78" i="13"/>
  <c r="I78" i="13"/>
  <c r="H78" i="13"/>
  <c r="G78" i="13"/>
  <c r="D78" i="13"/>
  <c r="F98" i="13"/>
  <c r="H98" i="13"/>
  <c r="D98" i="13"/>
  <c r="B98" i="13"/>
  <c r="G98" i="13"/>
  <c r="I98" i="13"/>
  <c r="F118" i="13"/>
  <c r="H118" i="13"/>
  <c r="G118" i="13"/>
  <c r="B118" i="13"/>
  <c r="D118" i="13"/>
  <c r="I118" i="13"/>
  <c r="D139" i="13"/>
  <c r="B139" i="13"/>
  <c r="F139" i="13"/>
  <c r="I139" i="13"/>
  <c r="H139" i="13"/>
  <c r="G139" i="13"/>
  <c r="F148" i="13"/>
  <c r="D148" i="13"/>
  <c r="B148" i="13"/>
  <c r="H148" i="13"/>
  <c r="G148" i="13"/>
  <c r="I148" i="13"/>
  <c r="F168" i="13"/>
  <c r="D168" i="13"/>
  <c r="B168" i="13"/>
  <c r="H168" i="13"/>
  <c r="I168" i="13"/>
  <c r="G168" i="13"/>
  <c r="I46" i="13"/>
  <c r="H46" i="13"/>
  <c r="G46" i="13"/>
  <c r="F46" i="13"/>
  <c r="D46" i="13"/>
  <c r="B46" i="13"/>
  <c r="I63" i="13"/>
  <c r="H63" i="13"/>
  <c r="G63" i="13"/>
  <c r="F63" i="13"/>
  <c r="D63" i="13"/>
  <c r="B63" i="13"/>
  <c r="I56" i="13"/>
  <c r="H56" i="13"/>
  <c r="G56" i="13"/>
  <c r="F56" i="13"/>
  <c r="D56" i="13"/>
  <c r="B56" i="13"/>
  <c r="H136" i="13"/>
  <c r="F136" i="13"/>
  <c r="D136" i="13"/>
  <c r="G136" i="13"/>
  <c r="B136" i="13"/>
  <c r="I136" i="13"/>
  <c r="I75" i="13"/>
  <c r="H75" i="13"/>
  <c r="G75" i="13"/>
  <c r="F75" i="13"/>
  <c r="D75" i="13"/>
  <c r="B75" i="13"/>
  <c r="G39" i="13"/>
  <c r="F39" i="13"/>
  <c r="D39" i="13"/>
  <c r="H39" i="13"/>
  <c r="B39" i="13"/>
  <c r="I117" i="13"/>
  <c r="H117" i="13"/>
  <c r="B117" i="13"/>
  <c r="D117" i="13"/>
  <c r="G117" i="13"/>
  <c r="F117" i="13"/>
  <c r="D57" i="13"/>
  <c r="B57" i="13"/>
  <c r="I57" i="13"/>
  <c r="H57" i="13"/>
  <c r="G57" i="13"/>
  <c r="F57" i="13"/>
  <c r="I119" i="13"/>
  <c r="D119" i="13"/>
  <c r="F119" i="13"/>
  <c r="B119" i="13"/>
  <c r="G119" i="13"/>
  <c r="H119" i="13"/>
  <c r="F80" i="13"/>
  <c r="I80" i="13"/>
  <c r="H80" i="13"/>
  <c r="G80" i="13"/>
  <c r="D80" i="13"/>
  <c r="B80" i="13"/>
  <c r="F100" i="13"/>
  <c r="B100" i="13"/>
  <c r="D100" i="13"/>
  <c r="I100" i="13"/>
  <c r="H100" i="13"/>
  <c r="G100" i="13"/>
  <c r="F120" i="13"/>
  <c r="G120" i="13"/>
  <c r="D120" i="13"/>
  <c r="B120" i="13"/>
  <c r="H120" i="13"/>
  <c r="I120" i="13"/>
  <c r="G159" i="13"/>
  <c r="D159" i="13"/>
  <c r="F159" i="13"/>
  <c r="B159" i="13"/>
  <c r="I159" i="13"/>
  <c r="H159" i="13"/>
  <c r="F150" i="13"/>
  <c r="I150" i="13"/>
  <c r="G150" i="13"/>
  <c r="B150" i="13"/>
  <c r="H150" i="13"/>
  <c r="D150" i="13"/>
  <c r="F170" i="13"/>
  <c r="I170" i="13"/>
  <c r="G170" i="13"/>
  <c r="H170" i="13"/>
  <c r="D170" i="13"/>
  <c r="B170" i="13"/>
  <c r="G64" i="13"/>
  <c r="F64" i="13"/>
  <c r="D64" i="13"/>
  <c r="I64" i="13"/>
  <c r="H64" i="13"/>
  <c r="B64" i="13"/>
  <c r="H68" i="13"/>
  <c r="I68" i="13"/>
  <c r="G68" i="13"/>
  <c r="F68" i="13"/>
  <c r="D68" i="13"/>
  <c r="B68" i="13"/>
  <c r="F177" i="13"/>
  <c r="D177" i="13"/>
  <c r="I177" i="13"/>
  <c r="H177" i="13"/>
  <c r="G177" i="13"/>
  <c r="B177" i="13"/>
  <c r="I107" i="13"/>
  <c r="H107" i="13"/>
  <c r="G107" i="13"/>
  <c r="F107" i="13"/>
  <c r="D107" i="13"/>
  <c r="B107" i="13"/>
  <c r="G44" i="13"/>
  <c r="F44" i="13"/>
  <c r="D44" i="13"/>
  <c r="H44" i="13"/>
  <c r="B44" i="13"/>
  <c r="H169" i="13"/>
  <c r="F169" i="13"/>
  <c r="B169" i="13"/>
  <c r="G169" i="13"/>
  <c r="D169" i="13"/>
  <c r="I169" i="13"/>
  <c r="D62" i="13"/>
  <c r="B62" i="13"/>
  <c r="I62" i="13"/>
  <c r="H62" i="13"/>
  <c r="G62" i="13"/>
  <c r="F62" i="13"/>
  <c r="I129" i="13"/>
  <c r="D129" i="13"/>
  <c r="H129" i="13"/>
  <c r="G129" i="13"/>
  <c r="F129" i="13"/>
  <c r="B129" i="13"/>
  <c r="F82" i="13"/>
  <c r="G82" i="13"/>
  <c r="D82" i="13"/>
  <c r="B82" i="13"/>
  <c r="I82" i="13"/>
  <c r="H82" i="13"/>
  <c r="F102" i="13"/>
  <c r="I102" i="13"/>
  <c r="H102" i="13"/>
  <c r="G102" i="13"/>
  <c r="D102" i="13"/>
  <c r="B102" i="13"/>
  <c r="F122" i="13"/>
  <c r="I122" i="13"/>
  <c r="G122" i="13"/>
  <c r="D122" i="13"/>
  <c r="B122" i="13"/>
  <c r="H122" i="13"/>
  <c r="G179" i="13"/>
  <c r="D179" i="13"/>
  <c r="I179" i="13"/>
  <c r="H179" i="13"/>
  <c r="B179" i="13"/>
  <c r="F179" i="13"/>
  <c r="F152" i="13"/>
  <c r="I152" i="13"/>
  <c r="D152" i="13"/>
  <c r="B152" i="13"/>
  <c r="H152" i="13"/>
  <c r="G152" i="13"/>
  <c r="F172" i="13"/>
  <c r="D172" i="13"/>
  <c r="B172" i="13"/>
  <c r="I172" i="13"/>
  <c r="H172" i="13"/>
  <c r="G172" i="13"/>
  <c r="I81" i="13"/>
  <c r="H81" i="13"/>
  <c r="G81" i="13"/>
  <c r="F81" i="13"/>
  <c r="D81" i="13"/>
  <c r="B81" i="13"/>
  <c r="G49" i="13"/>
  <c r="F49" i="13"/>
  <c r="D49" i="13"/>
  <c r="I49" i="13"/>
  <c r="H49" i="13"/>
  <c r="B49" i="13"/>
  <c r="I99" i="13"/>
  <c r="D99" i="13"/>
  <c r="B99" i="13"/>
  <c r="F99" i="13"/>
  <c r="H99" i="13"/>
  <c r="G99" i="13"/>
  <c r="B65" i="13"/>
  <c r="I65" i="13"/>
  <c r="H65" i="13"/>
  <c r="G65" i="13"/>
  <c r="F65" i="13"/>
  <c r="D65" i="13"/>
  <c r="H153" i="13"/>
  <c r="F153" i="13"/>
  <c r="B153" i="13"/>
  <c r="I153" i="13"/>
  <c r="G153" i="13"/>
  <c r="D153" i="13"/>
  <c r="F84" i="13"/>
  <c r="H84" i="13"/>
  <c r="G84" i="13"/>
  <c r="D84" i="13"/>
  <c r="B84" i="13"/>
  <c r="I84" i="13"/>
  <c r="F104" i="13"/>
  <c r="D104" i="13"/>
  <c r="I104" i="13"/>
  <c r="H104" i="13"/>
  <c r="G104" i="13"/>
  <c r="B104" i="13"/>
  <c r="F124" i="13"/>
  <c r="D124" i="13"/>
  <c r="B124" i="13"/>
  <c r="I124" i="13"/>
  <c r="H124" i="13"/>
  <c r="G124" i="13"/>
  <c r="D151" i="13"/>
  <c r="B151" i="13"/>
  <c r="H151" i="13"/>
  <c r="G151" i="13"/>
  <c r="F151" i="13"/>
  <c r="I151" i="13"/>
  <c r="F154" i="13"/>
  <c r="I154" i="13"/>
  <c r="B154" i="13"/>
  <c r="H154" i="13"/>
  <c r="G154" i="13"/>
  <c r="D154" i="13"/>
  <c r="F174" i="13"/>
  <c r="B174" i="13"/>
  <c r="I174" i="13"/>
  <c r="H174" i="13"/>
  <c r="G174" i="13"/>
  <c r="D174" i="13"/>
  <c r="H41" i="13"/>
  <c r="G41" i="13"/>
  <c r="F41" i="13"/>
  <c r="D41" i="13"/>
  <c r="B41" i="13"/>
  <c r="I123" i="13"/>
  <c r="G123" i="13"/>
  <c r="F123" i="13"/>
  <c r="H123" i="13"/>
  <c r="D123" i="13"/>
  <c r="B123" i="13"/>
  <c r="B133" i="13"/>
  <c r="I133" i="13"/>
  <c r="H133" i="13"/>
  <c r="G133" i="13"/>
  <c r="F133" i="13"/>
  <c r="D133" i="13"/>
  <c r="F145" i="13"/>
  <c r="H145" i="13"/>
  <c r="D145" i="13"/>
  <c r="I145" i="13"/>
  <c r="G145" i="13"/>
  <c r="B145" i="13"/>
  <c r="F86" i="13"/>
  <c r="I86" i="13"/>
  <c r="H86" i="13"/>
  <c r="G86" i="13"/>
  <c r="D86" i="13"/>
  <c r="B86" i="13"/>
  <c r="F106" i="13"/>
  <c r="I106" i="13"/>
  <c r="D106" i="13"/>
  <c r="B106" i="13"/>
  <c r="H106" i="13"/>
  <c r="G106" i="13"/>
  <c r="F126" i="13"/>
  <c r="I126" i="13"/>
  <c r="H126" i="13"/>
  <c r="G126" i="13"/>
  <c r="D126" i="13"/>
  <c r="B126" i="13"/>
  <c r="D171" i="13"/>
  <c r="B171" i="13"/>
  <c r="G171" i="13"/>
  <c r="I171" i="13"/>
  <c r="H171" i="13"/>
  <c r="F171" i="13"/>
  <c r="F156" i="13"/>
  <c r="H156" i="13"/>
  <c r="D156" i="13"/>
  <c r="G156" i="13"/>
  <c r="I156" i="13"/>
  <c r="B156" i="13"/>
  <c r="F176" i="13"/>
  <c r="H176" i="13"/>
  <c r="D176" i="13"/>
  <c r="B176" i="13"/>
  <c r="G176" i="13"/>
  <c r="I176" i="13"/>
  <c r="I48" i="13"/>
  <c r="H48" i="13"/>
  <c r="G48" i="13"/>
  <c r="F48" i="13"/>
  <c r="B48" i="13"/>
  <c r="D48" i="13"/>
  <c r="I93" i="13"/>
  <c r="G93" i="13"/>
  <c r="H93" i="13"/>
  <c r="F93" i="13"/>
  <c r="D93" i="13"/>
  <c r="B93" i="13"/>
  <c r="H73" i="13"/>
  <c r="B73" i="13"/>
  <c r="I73" i="13"/>
  <c r="G73" i="13"/>
  <c r="F73" i="13"/>
  <c r="D73" i="13"/>
  <c r="B50" i="13"/>
  <c r="I50" i="13"/>
  <c r="H50" i="13"/>
  <c r="G50" i="13"/>
  <c r="F50" i="13"/>
  <c r="D50" i="13"/>
  <c r="I121" i="13"/>
  <c r="F121" i="13"/>
  <c r="D121" i="13"/>
  <c r="G121" i="13"/>
  <c r="H121" i="13"/>
  <c r="B121" i="13"/>
  <c r="I125" i="13"/>
  <c r="B125" i="13"/>
  <c r="H125" i="13"/>
  <c r="G125" i="13"/>
  <c r="F125" i="13"/>
  <c r="D125" i="13"/>
  <c r="I91" i="13"/>
  <c r="H91" i="13"/>
  <c r="G91" i="13"/>
  <c r="F91" i="13"/>
  <c r="D91" i="13"/>
  <c r="B91" i="13"/>
  <c r="B137" i="13"/>
  <c r="I137" i="13"/>
  <c r="G137" i="13"/>
  <c r="D137" i="13"/>
  <c r="H137" i="13"/>
  <c r="F137" i="13"/>
  <c r="G59" i="13"/>
  <c r="F59" i="13"/>
  <c r="D59" i="13"/>
  <c r="I59" i="13"/>
  <c r="H59" i="13"/>
  <c r="B59" i="13"/>
  <c r="H134" i="13"/>
  <c r="G134" i="13"/>
  <c r="I134" i="13"/>
  <c r="F134" i="13"/>
  <c r="B134" i="13"/>
  <c r="D134" i="13"/>
  <c r="I83" i="13"/>
  <c r="B83" i="13"/>
  <c r="F83" i="13"/>
  <c r="D83" i="13"/>
  <c r="H83" i="13"/>
  <c r="G83" i="13"/>
  <c r="I167" i="13"/>
  <c r="G167" i="13"/>
  <c r="H167" i="13"/>
  <c r="F167" i="13"/>
  <c r="D167" i="13"/>
  <c r="B167" i="13"/>
  <c r="F88" i="13"/>
  <c r="B88" i="13"/>
  <c r="I88" i="13"/>
  <c r="H88" i="13"/>
  <c r="G88" i="13"/>
  <c r="D88" i="13"/>
  <c r="F108" i="13"/>
  <c r="H108" i="13"/>
  <c r="G108" i="13"/>
  <c r="I108" i="13"/>
  <c r="D108" i="13"/>
  <c r="B108" i="13"/>
  <c r="F128" i="13"/>
  <c r="H128" i="13"/>
  <c r="G128" i="13"/>
  <c r="I128" i="13"/>
  <c r="D128" i="13"/>
  <c r="B128" i="13"/>
  <c r="F138" i="13"/>
  <c r="I138" i="13"/>
  <c r="D138" i="13"/>
  <c r="B138" i="13"/>
  <c r="H138" i="13"/>
  <c r="G138" i="13"/>
  <c r="F158" i="13"/>
  <c r="I158" i="13"/>
  <c r="G158" i="13"/>
  <c r="H158" i="13"/>
  <c r="D158" i="13"/>
  <c r="B158" i="13"/>
  <c r="F178" i="13"/>
  <c r="I178" i="13"/>
  <c r="G178" i="13"/>
  <c r="D178" i="13"/>
  <c r="H178" i="13"/>
  <c r="B178" i="13"/>
  <c r="B143" i="13"/>
  <c r="I143" i="13"/>
  <c r="G143" i="13"/>
  <c r="H143" i="13"/>
  <c r="F143" i="13"/>
  <c r="D143" i="13"/>
  <c r="B135" i="13"/>
  <c r="F135" i="13"/>
  <c r="H135" i="13"/>
  <c r="G135" i="13"/>
  <c r="D135" i="13"/>
  <c r="I135" i="13"/>
  <c r="F38" i="13"/>
  <c r="D38" i="13"/>
  <c r="G38" i="13"/>
  <c r="H38" i="13"/>
  <c r="B38" i="13"/>
  <c r="B55" i="13"/>
  <c r="I55" i="13"/>
  <c r="H55" i="13"/>
  <c r="G55" i="13"/>
  <c r="F55" i="13"/>
  <c r="D55" i="13"/>
  <c r="H157" i="13"/>
  <c r="F157" i="13"/>
  <c r="I157" i="13"/>
  <c r="D157" i="13"/>
  <c r="B157" i="13"/>
  <c r="G157" i="13"/>
  <c r="I105" i="13"/>
  <c r="B105" i="13"/>
  <c r="H105" i="13"/>
  <c r="G105" i="13"/>
  <c r="F105" i="13"/>
  <c r="D105" i="13"/>
  <c r="H161" i="13"/>
  <c r="B161" i="13"/>
  <c r="I161" i="13"/>
  <c r="G161" i="13"/>
  <c r="F161" i="13"/>
  <c r="D161" i="13"/>
  <c r="H71" i="13"/>
  <c r="F71" i="13"/>
  <c r="D71" i="13"/>
  <c r="B71" i="13"/>
  <c r="I71" i="13"/>
  <c r="G71" i="13"/>
  <c r="H149" i="13"/>
  <c r="G149" i="13"/>
  <c r="I149" i="13"/>
  <c r="F149" i="13"/>
  <c r="D149" i="13"/>
  <c r="B149" i="13"/>
  <c r="I101" i="13"/>
  <c r="B101" i="13"/>
  <c r="H101" i="13"/>
  <c r="G101" i="13"/>
  <c r="F101" i="13"/>
  <c r="D101" i="13"/>
  <c r="I147" i="13"/>
  <c r="G147" i="13"/>
  <c r="D147" i="13"/>
  <c r="B147" i="13"/>
  <c r="F147" i="13"/>
  <c r="H147" i="13"/>
  <c r="F90" i="13"/>
  <c r="I90" i="13"/>
  <c r="H90" i="13"/>
  <c r="G90" i="13"/>
  <c r="D90" i="13"/>
  <c r="B90" i="13"/>
  <c r="F110" i="13"/>
  <c r="I110" i="13"/>
  <c r="H110" i="13"/>
  <c r="G110" i="13"/>
  <c r="D110" i="13"/>
  <c r="B110" i="13"/>
  <c r="F130" i="13"/>
  <c r="I130" i="13"/>
  <c r="H130" i="13"/>
  <c r="G130" i="13"/>
  <c r="D130" i="13"/>
  <c r="B130" i="13"/>
  <c r="F140" i="13"/>
  <c r="D140" i="13"/>
  <c r="B140" i="13"/>
  <c r="H140" i="13"/>
  <c r="G140" i="13"/>
  <c r="I140" i="13"/>
  <c r="F160" i="13"/>
  <c r="B160" i="13"/>
  <c r="D160" i="13"/>
  <c r="G160" i="13"/>
  <c r="H160" i="13"/>
  <c r="I160" i="13"/>
  <c r="F180" i="13"/>
  <c r="B180" i="13"/>
  <c r="H180" i="13"/>
  <c r="G180" i="13"/>
  <c r="D180" i="13"/>
  <c r="I180" i="13"/>
  <c r="F69" i="13"/>
  <c r="I69" i="13"/>
  <c r="H69" i="13"/>
  <c r="G69" i="13"/>
  <c r="D69" i="13"/>
  <c r="B69" i="13"/>
  <c r="G43" i="13"/>
  <c r="F43" i="13"/>
  <c r="D43" i="13"/>
  <c r="H43" i="13"/>
  <c r="B43" i="13"/>
  <c r="G54" i="13"/>
  <c r="F54" i="13"/>
  <c r="D54" i="13"/>
  <c r="I54" i="13"/>
  <c r="H54" i="13"/>
  <c r="B54" i="13"/>
  <c r="B45" i="13"/>
  <c r="H45" i="13"/>
  <c r="G45" i="13"/>
  <c r="F45" i="13"/>
  <c r="I45" i="13"/>
  <c r="D45" i="13"/>
  <c r="I58" i="13"/>
  <c r="H58" i="13"/>
  <c r="G58" i="13"/>
  <c r="F58" i="13"/>
  <c r="D58" i="13"/>
  <c r="B58" i="13"/>
  <c r="I67" i="13"/>
  <c r="F67" i="13"/>
  <c r="D67" i="13"/>
  <c r="B67" i="13"/>
  <c r="H67" i="13"/>
  <c r="G67" i="13"/>
  <c r="I131" i="13"/>
  <c r="H131" i="13"/>
  <c r="G131" i="13"/>
  <c r="F131" i="13"/>
  <c r="D131" i="13"/>
  <c r="B131" i="13"/>
  <c r="H173" i="13"/>
  <c r="F173" i="13"/>
  <c r="D173" i="13"/>
  <c r="B173" i="13"/>
  <c r="G173" i="13"/>
  <c r="I173" i="13"/>
  <c r="D72" i="13"/>
  <c r="B72" i="13"/>
  <c r="H72" i="13"/>
  <c r="G72" i="13"/>
  <c r="F72" i="13"/>
  <c r="I72" i="13"/>
  <c r="F165" i="13"/>
  <c r="I165" i="13"/>
  <c r="H165" i="13"/>
  <c r="G165" i="13"/>
  <c r="D165" i="13"/>
  <c r="B165" i="13"/>
  <c r="I111" i="13"/>
  <c r="B111" i="13"/>
  <c r="G111" i="13"/>
  <c r="F111" i="13"/>
  <c r="D111" i="13"/>
  <c r="H111" i="13"/>
  <c r="F185" i="13"/>
  <c r="D185" i="13"/>
  <c r="H185" i="13"/>
  <c r="G185" i="13"/>
  <c r="I185" i="13"/>
  <c r="B185" i="13"/>
  <c r="F92" i="13"/>
  <c r="I92" i="13"/>
  <c r="D92" i="13"/>
  <c r="B92" i="13"/>
  <c r="H92" i="13"/>
  <c r="G92" i="13"/>
  <c r="F112" i="13"/>
  <c r="I112" i="13"/>
  <c r="H112" i="13"/>
  <c r="G112" i="13"/>
  <c r="D112" i="13"/>
  <c r="B112" i="13"/>
  <c r="B163" i="13"/>
  <c r="G163" i="13"/>
  <c r="F163" i="13"/>
  <c r="D163" i="13"/>
  <c r="I163" i="13"/>
  <c r="H163" i="13"/>
  <c r="F142" i="13"/>
  <c r="G142" i="13"/>
  <c r="I142" i="13"/>
  <c r="H142" i="13"/>
  <c r="D142" i="13"/>
  <c r="B142" i="13"/>
  <c r="F162" i="13"/>
  <c r="G162" i="13"/>
  <c r="D162" i="13"/>
  <c r="B162" i="13"/>
  <c r="I162" i="13"/>
  <c r="H162" i="13"/>
  <c r="F182" i="13"/>
  <c r="G182" i="13"/>
  <c r="I182" i="13"/>
  <c r="D182" i="13"/>
  <c r="H182" i="13"/>
  <c r="B182" i="13"/>
  <c r="H13" i="9" l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D9" i="9"/>
  <c r="B9" i="9"/>
  <c r="I38" i="13"/>
  <c r="I39" i="13" s="1"/>
  <c r="I40" i="13" s="1"/>
  <c r="I41" i="13" s="1"/>
  <c r="I42" i="13" s="1"/>
  <c r="I43" i="13" s="1"/>
  <c r="I44" i="13" s="1"/>
  <c r="F9" i="9" l="1"/>
  <c r="E50" i="14" s="1"/>
  <c r="F50" i="14" s="1"/>
  <c r="A2" i="1" s="1"/>
  <c r="S9" i="12" l="1"/>
  <c r="S10" i="12"/>
  <c r="S13" i="12"/>
  <c r="S12" i="12"/>
  <c r="S7" i="12"/>
  <c r="S11" i="12"/>
  <c r="S8" i="12"/>
  <c r="O36" i="1"/>
</calcChain>
</file>

<file path=xl/sharedStrings.xml><?xml version="1.0" encoding="utf-8"?>
<sst xmlns="http://schemas.openxmlformats.org/spreadsheetml/2006/main" count="4552" uniqueCount="1163">
  <si>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</si>
  <si>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</si>
  <si>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</si>
  <si>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</si>
  <si>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</si>
  <si>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</si>
  <si>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</si>
  <si>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</si>
  <si>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</si>
  <si>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</si>
  <si>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GECİKMİŞ İŞ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</si>
  <si>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</si>
  <si>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</si>
  <si>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</si>
  <si>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</si>
  <si>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</si>
  <si>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</si>
  <si>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</si>
  <si>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Gecikmiş müşteri işi</t>
  </si>
  <si>
    <t>Müşteri No</t>
  </si>
  <si>
    <t>Bugün teslim edilecek iş</t>
  </si>
  <si>
    <t>Borç Durumu</t>
  </si>
  <si>
    <t>7 gün içindeki işler</t>
  </si>
  <si>
    <t>Haftalık Ücret</t>
  </si>
  <si>
    <t>Gecikmiş müşteri teması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</si>
  <si>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</si>
  <si>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</si>
  <si>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</si>
  <si>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</si>
  <si>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</si>
  <si>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</si>
  <si>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</si>
  <si>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</si>
  <si>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</si>
  <si>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</si>
  <si>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</si>
  <si>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</si>
  <si>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</si>
  <si>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</si>
  <si>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</si>
  <si>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</si>
  <si>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</si>
  <si>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</si>
  <si>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</si>
  <si>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</si>
  <si>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</si>
  <si>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</si>
  <si>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</si>
  <si>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</si>
  <si>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</si>
  <si>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</si>
  <si>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</si>
  <si>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</si>
  <si>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</si>
  <si>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</si>
  <si>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</si>
  <si>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</si>
  <si>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</si>
  <si>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</si>
  <si>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</si>
  <si>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</si>
  <si>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</si>
  <si>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50 otomatik kontrol çalıştırır ve hatanın hangi satırda olduğunu yazar. Bir KRİTİK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</si>
  <si>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</si>
  <si>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</si>
  <si>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</si>
  <si>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Dağıtım yalnız tahsil edilmiş nakit kârdan yapılır. Tahsil edilmemiş alacak kâr sayılmaz. Zararlı ay olursa sonraki kârdan mahsup edilir.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</si>
  <si>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</si>
  <si>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</si>
  <si>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</si>
  <si>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</si>
  <si>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</si>
  <si>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</si>
  <si>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</si>
  <si>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</si>
  <si>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</si>
  <si>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</si>
  <si>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</si>
  <si>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</si>
  <si>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</si>
  <si>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</si>
  <si>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</si>
  <si>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</si>
  <si>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</si>
  <si>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</si>
  <si>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</si>
  <si>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</si>
  <si>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</si>
  <si>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</si>
  <si>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</si>
  <si>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</si>
  <si>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</si>
  <si>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</si>
  <si>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</si>
  <si>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</si>
  <si>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</si>
  <si>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</si>
  <si>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</si>
  <si>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</si>
  <si>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</si>
  <si>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</si>
  <si>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</si>
  <si>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</si>
  <si>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</si>
  <si>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</si>
  <si>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</si>
  <si>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</si>
  <si>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</si>
  <si>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</si>
  <si>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</si>
  <si>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</si>
  <si>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</si>
  <si>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</si>
  <si>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</si>
  <si>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</si>
  <si>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</si>
  <si>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</si>
  <si>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</si>
  <si>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</si>
  <si>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</si>
  <si>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</si>
  <si>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</si>
  <si>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</si>
  <si>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</si>
  <si>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Beyanname, bildirim, telefon, toplantı ve son tarihleri kaydedin.</t>
  </si>
  <si>
    <t>⚠  SON TARİHİ BOŞ BIRAKMAYIN. Boş bırakılan iş için gecikme uyarısı üretilemez.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</si>
  <si>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</si>
  <si>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</si>
  <si>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</si>
  <si>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</si>
  <si>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</si>
  <si>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</si>
  <si>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“Dağıtıldı mı?” sütunu girilir; diğer tüm sütunlar otomatiktir.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</si>
  <si>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</si>
  <si>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</si>
  <si>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</si>
  <si>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</si>
  <si>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</si>
  <si>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</si>
  <si>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</si>
  <si>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</si>
  <si>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</si>
  <si>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</si>
  <si>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</si>
  <si>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</si>
  <si>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</si>
  <si>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</si>
  <si>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AKTİVİTE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</si>
  <si>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</si>
  <si>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</si>
  <si>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</si>
  <si>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</si>
  <si>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</si>
  <si>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</si>
  <si>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</si>
  <si>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CARİ EKSTRE · MÜŞTERİ 360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</si>
  <si>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</si>
  <si>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</si>
  <si>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</si>
  <si>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</si>
  <si>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</si>
  <si>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</si>
  <si>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</si>
  <si>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</si>
  <si>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</si>
  <si>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</si>
  <si>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</si>
  <si>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</si>
  <si>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</si>
  <si>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</si>
  <si>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</si>
  <si>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</si>
  <si>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</si>
  <si>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</si>
  <si>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</si>
  <si>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</si>
  <si>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</si>
  <si>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</si>
  <si>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</si>
  <si>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</si>
  <si>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</si>
  <si>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</si>
  <si>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</si>
  <si>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</si>
  <si>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</si>
  <si>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</si>
  <si>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</si>
  <si>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</si>
  <si>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</si>
  <si>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</si>
  <si>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</si>
  <si>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</si>
  <si>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İş ve görüşme kaydet</t>
  </si>
  <si>
    <t>Tür, müşteri, konu, son tarih</t>
  </si>
  <si>
    <t>Gecikme uyarısı üretir</t>
  </si>
  <si>
    <t>Uyarı GECİKMİŞ olmamalı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</si>
  <si>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</si>
  <si>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</si>
  <si>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</si>
  <si>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</si>
  <si>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</si>
  <si>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</si>
  <si>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</si>
  <si>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</si>
  <si>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</si>
  <si>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</si>
  <si>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</si>
  <si>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</si>
  <si>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Dağıtım bilgisi</t>
  </si>
  <si>
    <t>Nakit kâr ve ortak payları</t>
  </si>
  <si>
    <t>Dönem Durumu = KAPANABİLİR</t>
  </si>
  <si>
    <t>11</t>
  </si>
  <si>
    <t>Ortak payı öde</t>
  </si>
  <si>
    <t>Tür = Gider, Kategori = Kâr Payı</t>
  </si>
  <si>
    <t>Ortak carisine işlenir, kasadan düşer</t>
  </si>
  <si>
    <t>Ortak Kontrol = UYGUN</t>
  </si>
  <si>
    <t>12</t>
  </si>
  <si>
    <t>Sistemi denetle</t>
  </si>
  <si>
    <t>Parametre ve kalem listeleri</t>
  </si>
  <si>
    <t>50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</si>
  <si>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</si>
  <si>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</si>
  <si>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</si>
  <si>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</si>
  <si>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</si>
  <si>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</si>
  <si>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</si>
  <si>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</si>
  <si>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</si>
  <si>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</si>
  <si>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</si>
  <si>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</si>
  <si>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</si>
  <si>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</si>
  <si>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</si>
  <si>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</si>
  <si>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</si>
  <si>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</si>
  <si>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</si>
  <si>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</si>
  <si>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</si>
  <si>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</si>
  <si>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</si>
  <si>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</si>
  <si>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</si>
  <si>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Kategori olarak “Kâr Payı – ortak adı” seçin. Kasadan düşer, ortak carisine işlenir, ama aylık gider toplamına DAHİL EDİLMEZ — böylece kâr iki kez azalmaz.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</si>
  <si>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</si>
  <si>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</si>
  <si>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</si>
  <si>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</si>
  <si>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</si>
  <si>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</si>
  <si>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</si>
  <si>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</si>
  <si>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</si>
  <si>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</si>
  <si>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</si>
  <si>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</si>
  <si>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</si>
  <si>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</si>
  <si>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</si>
  <si>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</si>
  <si>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</si>
  <si>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</si>
  <si>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</si>
  <si>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</si>
  <si>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</si>
  <si>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</si>
  <si>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</si>
  <si>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</si>
  <si>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</si>
  <si>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</si>
  <si>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</si>
  <si>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</si>
  <si>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</si>
  <si>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</si>
  <si>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</si>
  <si>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</si>
  <si>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</si>
  <si>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</si>
  <si>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</si>
  <si>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</si>
  <si>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</si>
  <si>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</si>
  <si>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</si>
  <si>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</si>
  <si>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</si>
  <si>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</si>
  <si>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</si>
  <si>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</si>
  <si>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</si>
  <si>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</si>
  <si>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</si>
  <si>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Beyanname/iş takibi</t>
  </si>
  <si>
    <t>AKTİVİTE</t>
  </si>
  <si>
    <t>Tür (İş/Görüşme), müşteri, konu, SON TARİH, sorumlu. Görüşmede “Sonraki İşlem” zorunlu.</t>
  </si>
  <si>
    <t>PANO'da gecikme uyarısı üretir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</si>
  <si>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</si>
  <si>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</si>
  <si>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</si>
  <si>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</si>
  <si>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</si>
  <si>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</si>
  <si>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SİSTEM'de KALDI yazan satır var mı bakın, varsa “Nerede?” sütunundaki satırı düzeltin.  2) AY SONU'nda Dönem Durumu KAPANABİLİR olmalı.  3) Dağıtıldı mı? = Evet yapın.</t>
  </si>
  <si>
    <t>KAPATILAMAZ diyorsa kapatmayın</t>
  </si>
  <si>
    <t>Ortaklara kâr payı dağıtacağım</t>
  </si>
  <si>
    <t>Her ortak için ayrı satır: Tür=Gider, Kategori=“Kâr Payı – ortak adı”, tutar, kasa, Gerçekleşti=Evet.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</si>
  <si>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</si>
  <si>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</si>
  <si>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</si>
  <si>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</si>
  <si>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</si>
  <si>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</si>
  <si>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</si>
  <si>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</si>
  <si>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</si>
  <si>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</si>
  <si>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</si>
  <si>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</si>
  <si>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</si>
  <si>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</si>
  <si>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</si>
  <si>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</si>
  <si>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</si>
  <si>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</si>
  <si>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</si>
  <si>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</si>
  <si>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</si>
  <si>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</si>
  <si>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</si>
  <si>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</si>
  <si>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</si>
  <si>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</si>
  <si>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</si>
  <si>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</si>
  <si>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</si>
  <si>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</si>
  <si>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</si>
  <si>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</si>
  <si>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</si>
  <si>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</si>
  <si>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</si>
  <si>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</si>
  <si>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</si>
  <si>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</si>
  <si>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</si>
  <si>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</si>
  <si>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</si>
  <si>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</si>
  <si>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</si>
  <si>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Aktivite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</si>
  <si>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</si>
  <si>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</si>
  <si>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</si>
  <si>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</si>
  <si>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</si>
  <si>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</si>
  <si>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</si>
  <si>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</si>
  <si>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</si>
  <si>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</si>
  <si>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</si>
  <si>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</si>
  <si>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</si>
  <si>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</si>
  <si>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</si>
  <si>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</si>
  <si>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</si>
  <si>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</si>
  <si>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</si>
  <si>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</si>
  <si>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</si>
  <si>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</si>
  <si>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</si>
  <si>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</si>
  <si>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</si>
  <si>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</si>
  <si>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</si>
  <si>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</si>
  <si>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</si>
  <si>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</si>
  <si>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</si>
  <si>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</si>
  <si>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</si>
  <si>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</si>
  <si>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</si>
  <si>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</si>
  <si>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</si>
  <si>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</si>
  <si>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</si>
  <si>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</si>
  <si>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</si>
  <si>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</si>
  <si>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</si>
  <si>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</si>
  <si>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</si>
  <si>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</si>
  <si>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</si>
  <si>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</si>
  <si>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</si>
  <si>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</si>
  <si>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</si>
  <si>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</si>
  <si>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</si>
  <si>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</si>
  <si>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</si>
  <si>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</si>
  <si>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İki ortağa aynı kâr payı kalemi seçilmiş.</t>
  </si>
  <si>
    <t>Her ortak için ayrı kalem seçin.</t>
  </si>
  <si>
    <t>GECİKMİŞ / BUGÜN / 7 GÜN İÇİNDE</t>
  </si>
  <si>
    <t>Aktivite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</si>
  <si>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</si>
  <si>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</si>
  <si>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</si>
  <si>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</si>
  <si>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</si>
  <si>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</si>
  <si>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</si>
  <si>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</si>
  <si>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</si>
  <si>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</si>
  <si>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</si>
  <si>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</si>
  <si>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</si>
  <si>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</si>
  <si>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</si>
  <si>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</si>
  <si>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</si>
  <si>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</si>
  <si>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</si>
  <si>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</si>
  <si>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</si>
  <si>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</si>
  <si>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</si>
  <si>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</si>
  <si>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</si>
  <si>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</si>
  <si>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</si>
  <si>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</si>
  <si>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</si>
  <si>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</si>
  <si>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</si>
  <si>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</si>
  <si>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</si>
  <si>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</si>
  <si>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</si>
  <si>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</si>
  <si>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</si>
  <si>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</si>
  <si>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</si>
  <si>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</si>
  <si>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</si>
  <si>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</si>
  <si>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</si>
  <si>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</si>
  <si>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</si>
  <si>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</si>
  <si>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</si>
  <si>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</si>
  <si>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</si>
  <si>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</si>
  <si>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</si>
  <si>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</si>
  <si>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</si>
  <si>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</si>
  <si>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</si>
  <si>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</si>
  <si>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</si>
  <si>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</si>
  <si>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</si>
  <si>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</si>
  <si>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</si>
  <si>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</si>
  <si>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</si>
  <si>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</si>
  <si>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</si>
  <si>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</si>
  <si>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</si>
  <si>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</si>
  <si>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</si>
  <si>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</si>
  <si>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</si>
  <si>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</si>
  <si>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</si>
  <si>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</si>
  <si>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</si>
  <si>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Kategori mutlaka “Kâr Payı – ortak adı” olmalı. Bu kalemler aylık gider toplamına dahil edilmez; başka bir kalem seçerseniz kâr iki kez azalır.</t>
  </si>
  <si>
    <t>İki ortağın bakiyesi farklı çıkıyor</t>
  </si>
  <si>
    <t>Hak edişler eşitse fark ÖDEMEDEN gelir.</t>
  </si>
  <si>
    <t>ORTAKLAR üst tablosunda “Ödenen Kâr Payı” sütununu karşılaştırın. Ayrıca Kontrol sütunu KALEM ÇAKIŞMASI diyorsa kalemleri ayırın.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</si>
  <si>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</si>
  <si>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</si>
  <si>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</si>
  <si>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</si>
  <si>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</si>
  <si>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</si>
  <si>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</si>
  <si>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</si>
  <si>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</si>
  <si>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</si>
  <si>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</si>
  <si>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</si>
  <si>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</si>
  <si>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</si>
  <si>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</si>
  <si>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</si>
  <si>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</si>
  <si>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</si>
  <si>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</si>
  <si>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</si>
  <si>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</si>
  <si>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</si>
  <si>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</si>
  <si>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</si>
  <si>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</si>
  <si>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Dağıtım yalnız tahsil edilmiş nakit kârdan yapılır.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</si>
  <si>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</si>
  <si>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</si>
  <si>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</si>
  <si>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</si>
  <si>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</si>
  <si>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</si>
  <si>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</si>
  <si>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</si>
  <si>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</si>
  <si>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</si>
  <si>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</si>
  <si>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</si>
  <si>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</si>
  <si>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</si>
  <si>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</si>
  <si>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</si>
  <si>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</si>
  <si>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</si>
  <si>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</si>
  <si>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</si>
  <si>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</si>
  <si>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</si>
  <si>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</si>
  <si>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</si>
  <si>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</si>
  <si>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</si>
  <si>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1.000 aktivite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</si>
  <si>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</si>
  <si>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</si>
  <si>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</si>
  <si>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</si>
  <si>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</si>
  <si>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</si>
  <si>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</si>
  <si>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</si>
  <si>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</si>
  <si>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</si>
  <si>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</si>
  <si>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</si>
  <si>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</si>
  <si>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</si>
  <si>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</si>
  <si>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</si>
  <si>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</si>
  <si>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</si>
  <si>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</si>
  <si>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</si>
  <si>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</si>
  <si>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</si>
  <si>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</si>
  <si>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</si>
  <si>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</si>
  <si>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</si>
  <si>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</si>
  <si>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</si>
  <si>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</si>
  <si>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</si>
  <si>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</si>
  <si>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</si>
  <si>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</si>
  <si>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</si>
  <si>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</si>
  <si>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</si>
  <si>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</si>
  <si>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</si>
  <si>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</si>
  <si>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</si>
  <si>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</si>
  <si>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</si>
  <si>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</si>
  <si>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</si>
  <si>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</si>
  <si>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</si>
  <si>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</si>
  <si>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</si>
  <si>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</si>
  <si>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</si>
  <si>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</si>
  <si>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</si>
  <si>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</si>
  <si>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</si>
  <si>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</si>
  <si>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</si>
  <si>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</si>
  <si>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</si>
  <si>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</si>
  <si>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</si>
  <si>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</si>
  <si>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</si>
  <si>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</si>
  <si>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</si>
  <si>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</si>
  <si>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</si>
  <si>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</si>
  <si>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</si>
  <si>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</si>
  <si>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</si>
  <si>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</si>
  <si>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</si>
  <si>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</si>
  <si>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</si>
  <si>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</si>
  <si>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</si>
  <si>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</si>
  <si>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</si>
  <si>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</si>
  <si>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</si>
  <si>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</si>
  <si>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</si>
  <si>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</si>
  <si>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</si>
  <si>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</si>
  <si>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</si>
  <si>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</si>
  <si>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</si>
  <si>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</si>
  <si>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</si>
  <si>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</si>
  <si>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</si>
  <si>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</si>
  <si>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</si>
  <si>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</si>
  <si>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</si>
  <si>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</si>
  <si>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</si>
  <si>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</si>
  <si>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</si>
  <si>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</si>
  <si>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</si>
  <si>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</si>
  <si>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</si>
  <si>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</si>
  <si>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</si>
  <si>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</si>
  <si>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</si>
  <si>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</si>
  <si>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</si>
  <si>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</si>
  <si>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</si>
  <si>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</si>
  <si>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</si>
  <si>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</si>
  <si>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</si>
  <si>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</si>
  <si>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</si>
  <si>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</si>
  <si>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</si>
  <si>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</si>
  <si>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</si>
  <si>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</si>
  <si>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</si>
  <si>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</si>
  <si>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</si>
  <si>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</si>
  <si>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</si>
  <si>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</si>
  <si>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</si>
  <si>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</si>
  <si>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</si>
  <si>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</si>
  <si>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</si>
  <si>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</si>
  <si>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</si>
  <si>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</si>
  <si>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</si>
  <si>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</si>
  <si>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</si>
  <si>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</si>
  <si>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</si>
  <si>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</si>
  <si>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</si>
  <si>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</si>
  <si>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</si>
  <si>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</si>
  <si>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</si>
  <si>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</si>
  <si>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</si>
  <si>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</si>
  <si>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</si>
  <si>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</si>
  <si>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</si>
  <si>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Pasif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</si>
  <si>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</si>
  <si>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</si>
  <si>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</si>
  <si>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</si>
  <si>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</si>
  <si>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</si>
  <si>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</si>
  <si>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</si>
  <si>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</si>
  <si>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</si>
  <si>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</si>
  <si>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</si>
  <si>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</si>
  <si>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</si>
  <si>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</si>
  <si>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</si>
  <si>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</si>
  <si>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ÖMER KARTAL</t>
  </si>
  <si>
    <t>ÖMER KARTALA ÖDENEN</t>
  </si>
  <si>
    <t>NAKİT ÖDENEN</t>
  </si>
  <si>
    <t xml:space="preserve">ALTINEL LTD.ŞTİ. </t>
  </si>
  <si>
    <t>ONUR BAKİYESİNE MAHSUP</t>
  </si>
  <si>
    <t>2026/5 HAFTA VE 2 HAFTALIK FARK</t>
  </si>
  <si>
    <t>NAKİT ÖDENEN M.ALİ KARTAL</t>
  </si>
  <si>
    <t>Ankara Havana Ltd.Şti.</t>
  </si>
  <si>
    <t>Çayıralan Ltd.Şti.</t>
  </si>
  <si>
    <t>Eğlengör Ltd.Şti.</t>
  </si>
  <si>
    <t>Final Siyah Beyaz Ltd.Şti.</t>
  </si>
  <si>
    <t>İbrahim Maldan</t>
  </si>
  <si>
    <t>İldeş Ltd.Şti.</t>
  </si>
  <si>
    <t>Monamour Ltd.Şti.</t>
  </si>
  <si>
    <t>Naz 1 Gıda Ltd.Şti.</t>
  </si>
  <si>
    <t>Pakyıldız Ltd.Şti.</t>
  </si>
  <si>
    <t>Rix Şow Ltd.Şti.</t>
  </si>
  <si>
    <t>Zümrüt Grup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</si>
  <si>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</si>
  <si>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</si>
  <si>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</si>
  <si>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</si>
  <si>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</si>
  <si>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</si>
  <si>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</si>
  <si>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</si>
  <si>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</si>
  <si>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</si>
  <si>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</si>
  <si>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</si>
  <si>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</si>
  <si>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</si>
  <si>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</si>
  <si>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</si>
  <si>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</si>
  <si>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</si>
  <si>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</si>
  <si>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</si>
  <si>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</si>
  <si>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</si>
  <si>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</si>
  <si>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</si>
  <si>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</si>
  <si>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</si>
  <si>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</si>
  <si>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</si>
  <si>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</si>
  <si>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</si>
  <si>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</si>
  <si>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Rix Şow Kapalı Dönemler Zararı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</si>
  <si>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</si>
  <si>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</si>
  <si>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</si>
  <si>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</si>
  <si>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</si>
  <si>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</si>
  <si>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</si>
  <si>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</si>
  <si>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</si>
  <si>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</si>
  <si>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</si>
  <si>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</si>
  <si>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</si>
  <si>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</si>
  <si>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</si>
  <si>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</si>
  <si>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</si>
  <si>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</si>
  <si>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</si>
  <si>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</si>
  <si>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</si>
  <si>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</si>
  <si>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</si>
  <si>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</si>
  <si>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</si>
  <si>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Şubat Ayı Ofis Kira Ödemesi</t>
  </si>
  <si>
    <t>Ofis Vergi Ödemeleri</t>
  </si>
  <si>
    <t>Ocak Ayı Ofis Aidatı Ödemesi</t>
  </si>
  <si>
    <t>Şubat Ayı Ofis Aidatı Ödemesi</t>
  </si>
  <si>
    <t>İsmail Harçlık</t>
  </si>
  <si>
    <t>Ofis Temizlik Alışverişi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</si>
  <si>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</si>
  <si>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</si>
  <si>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</si>
  <si>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</si>
  <si>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</si>
  <si>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</si>
  <si>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Zeynep Hanım Ramazan Primi</t>
  </si>
  <si>
    <t>Aralık KDV Ödemesi</t>
  </si>
  <si>
    <t>Geçici Vergi Damga Ödeme</t>
  </si>
  <si>
    <t>Şubat Bağkur Ödemesi</t>
  </si>
  <si>
    <t>Zeynep Hanım Maaş Mahsuben</t>
  </si>
  <si>
    <t>Mutfak Gereci</t>
  </si>
  <si>
    <t xml:space="preserve">Gıda Alışverişi </t>
  </si>
  <si>
    <t>Çay</t>
  </si>
  <si>
    <t xml:space="preserve">Market </t>
  </si>
  <si>
    <t>Ofis İnternet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</si>
  <si>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</si>
  <si>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</si>
  <si>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</si>
  <si>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</si>
  <si>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</si>
  <si>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</si>
  <si>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</si>
  <si>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</si>
  <si>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</si>
  <si>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</si>
  <si>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</si>
  <si>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</si>
  <si>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</si>
  <si>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</si>
  <si>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</si>
  <si>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</si>
  <si>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</si>
  <si>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</si>
  <si>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</si>
  <si>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</si>
  <si>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</si>
  <si>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</si>
  <si>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</si>
  <si>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</si>
  <si>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</si>
  <si>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</si>
  <si>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</si>
  <si>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</si>
  <si>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</si>
  <si>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</si>
  <si>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</si>
  <si>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</si>
  <si>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</si>
  <si>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</si>
  <si>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</si>
  <si>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</si>
  <si>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</si>
  <si>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</si>
  <si>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</si>
  <si>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</si>
  <si>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</si>
  <si>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 xml:space="preserve">Mail Depolama </t>
  </si>
  <si>
    <t>Zeynep Nisan Maaşı Ödemesi</t>
  </si>
  <si>
    <t xml:space="preserve">Araç Yakıt Alımı ( Ömer ) </t>
  </si>
  <si>
    <t>Mehmet Ali Kartal Haziran Maaşı</t>
  </si>
  <si>
    <t>AraçYakıt</t>
  </si>
  <si>
    <t>Ofis Whatsapp Hattı Haziran</t>
  </si>
  <si>
    <t>Araç Lastik Değişimi Yıkama</t>
  </si>
  <si>
    <t>Ofis Whatsapp Hattı Temmuz</t>
  </si>
  <si>
    <t>Zeynep Hanım Haziran Maaş Bakiye Ödemesi</t>
  </si>
  <si>
    <t>Araç Yakıt</t>
  </si>
  <si>
    <t>Irmak Maaş Ödemesi</t>
  </si>
  <si>
    <t>Ofis Elektrik Fatura Ödemesi 3 Adet</t>
  </si>
  <si>
    <t>Serkan Baş Toner</t>
  </si>
  <si>
    <t>Temmuz İşyeri Kira Ödemesi</t>
  </si>
  <si>
    <t>Ağustos İşyeri Kira Ödemesi</t>
  </si>
  <si>
    <t>Eylül İşyeri Kira Ödemesi</t>
  </si>
  <si>
    <t>Temmuz Ağustos Eylül İşyeri Aidatı Ödemesi</t>
  </si>
  <si>
    <t>Ofis Whatsapp Hattı Ağustos</t>
  </si>
  <si>
    <t>Arman Dik Vergi Telafisi</t>
  </si>
  <si>
    <t>KILIÇ MUHASEBE   │   KASA / BANKA ARASI VİRMAN</t>
  </si>
  <si>
    <t>SARI HÜCRELERE YAZIN   │   Hesaplar arası para geçişi gelir veya gider değildir │ Toplam nakit değişmez</t>
  </si>
  <si>
    <t>⚠  SAKIN: transferi gelir veya gider olarak yazmayın — nakit kâr yanlış çıkar.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</si>
  <si>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</si>
  <si>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</si>
  <si>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</si>
  <si>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</si>
  <si>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</si>
  <si>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</si>
  <si>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</si>
  <si>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</si>
  <si>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</si>
  <si>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</si>
  <si>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</si>
  <si>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</si>
  <si>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</si>
  <si>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</si>
  <si>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</si>
  <si>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</si>
  <si>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KILIÇ MUHASEBE   │   MÜŞTERİ AKTİVİTESİ  │  İşLER VE GÖRÜŞMELER</t>
  </si>
  <si>
    <t>SARI HÜCRELERE YAZIN   │   Beyanname, bildirim, telefon, toplantı │ Her kayıt son tarih ve sonraki adım üretir</t>
  </si>
  <si>
    <t>⚠  SAKIN: son tarihi boş bırakmayın — gecikme uyarısı üretilemez.</t>
  </si>
  <si>
    <t>Sarı = giriş, beyaz = otomatik (kilitli). Tür = Görüşme seçildiğinde Sonraki İşlem zorunludur.</t>
  </si>
  <si>
    <t>TOPLAM  │  Açık iş ve gecikmiş uyarı</t>
  </si>
  <si>
    <t>Konu / İş Türü</t>
  </si>
  <si>
    <t>Dönem</t>
  </si>
  <si>
    <t>Kayıt Tarihi</t>
  </si>
  <si>
    <t>Son Tarih / Sonraki Temas</t>
  </si>
  <si>
    <t>Öncelik</t>
  </si>
  <si>
    <t>Sonuç / Not</t>
  </si>
  <si>
    <t>Sonraki İşlem</t>
  </si>
  <si>
    <t>Tamamlanma</t>
  </si>
  <si>
    <t>Kalan Gün</t>
  </si>
  <si>
    <t>Uyarı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</si>
  <si>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</si>
  <si>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</si>
  <si>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</si>
  <si>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</si>
  <si>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</si>
  <si>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</si>
  <si>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</si>
  <si>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</si>
  <si>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</si>
  <si>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</si>
  <si>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Sıra</t>
  </si>
  <si>
    <t>Hareket Türü</t>
  </si>
  <si>
    <t>BORÇ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</si>
  <si>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</si>
  <si>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</si>
  <si>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</si>
  <si>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</si>
  <si>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</si>
  <si>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</si>
  <si>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Rakam yanlışsa MÜŞTERİLER, ÜCRETLER veya TAHSİLAT ekranını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</si>
  <si>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</si>
  <si>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</si>
  <si>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</si>
  <si>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</si>
  <si>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</si>
  <si>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</si>
  <si>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</si>
  <si>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</si>
  <si>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</si>
  <si>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SAKIN: hesap adını sonradan değiştirmeyin — eski kayıtlar hesapsız kalır ve kasa tutmaz.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</si>
  <si>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</si>
  <si>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</si>
  <si>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</si>
  <si>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</si>
  <si>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</si>
  <si>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</si>
  <si>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</si>
  <si>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</si>
  <si>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</si>
  <si>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</t>
  </si>
  <si>
    <t>ALİ KILIÇ</t>
  </si>
  <si>
    <t>GARANTİBANK</t>
  </si>
  <si>
    <t>Banka</t>
  </si>
  <si>
    <t>ZİRAATBANK</t>
  </si>
  <si>
    <t>TOPLAM NAKİT POZİSYONU</t>
  </si>
  <si>
    <t>⚙  KARMA EKRAN — YALNIZ SARI ALANLARA YAZIN</t>
  </si>
  <si>
    <t>KILIÇ MUHASEBE   │   AY SONU KAPANIŞI VE ORTAK PAY DAĞITIMI</t>
  </si>
  <si>
    <t>YALNIZ SARI ALANLAR GİRİLEBİLİR   │   Tahakkuk kârı ile nakit kâr ayrı hesaplanır │ Dağıtım yalnız nakit kârdan yapılır</t>
  </si>
  <si>
    <t>⚠  SAKIN: Dönem Durumu KAPATILAMAZ diyorsa ayı kapatmayın; önce SİSTEM ekranındaki KALDI satırlarını düzeltin.</t>
  </si>
  <si>
    <t>Sarı = giriş, beyaz = otomatik (kilitli). Bu ekranda YALNIZ “Dağıtıldı mı?” sütunu girilir; diğer tüm sütunlar otomatiktir.</t>
  </si>
  <si>
    <t>36 AYLIK TOPLAM</t>
  </si>
  <si>
    <t>Tahakkuk Geliri</t>
  </si>
  <si>
    <t>Müşteri Tahsilatı (Nakit)</t>
  </si>
  <si>
    <t>Toplam Nakit Giriş</t>
  </si>
  <si>
    <t>Gerçekleşmiş Gider</t>
  </si>
  <si>
    <t>Tahakkuk Sonucu</t>
  </si>
  <si>
    <t>Nakit Kâr</t>
  </si>
  <si>
    <t>Kasa Tamponu</t>
  </si>
  <si>
    <t>Dağıtılabilir Kâr (birikimli)</t>
  </si>
  <si>
    <t>Ortak 1 Payı</t>
  </si>
  <si>
    <t>Ortak 2 Payı</t>
  </si>
  <si>
    <t>Dağıtıldı mı?</t>
  </si>
  <si>
    <t>Ortak 1 Ödeme</t>
  </si>
  <si>
    <t>Ortak 2 Ödeme</t>
  </si>
  <si>
    <t>Ödenmemiş Pay</t>
  </si>
  <si>
    <t>KILIÇ MUHASEBE   │   ORTAKLAR  │  PAY ORANLARI VE CARİ HESAP</t>
  </si>
  <si>
    <t>YALNIZ SARI ALANLAR GİRİLEBİLİR   │   Kâr payı hak edişi ay bazlı orana göre oluşur │ Ödeme GELİR/GİDER ekranından girilir</t>
  </si>
  <si>
    <t>⚠  SAKIN: iki ortağa AYNI kâr payı gider kalemini seçmeyin; oran değişinde eski satırı kapatıp yeni satır açın.</t>
  </si>
  <si>
    <t>1.  ORTAK TANIMLARI VE CARİ ÖZETİ       ✎  SARI SÜTUNLAR GİRİLEBİLİR</t>
  </si>
  <si>
    <t>Ortak Adı</t>
  </si>
  <si>
    <t>Kasa Hesabı</t>
  </si>
  <si>
    <t>Elindeki Kasa</t>
  </si>
  <si>
    <t>Kâr Payı Gider Kalemi</t>
  </si>
  <si>
    <t>Birikimli Hak Ediş</t>
  </si>
  <si>
    <t>Ödenen Kâr Payı</t>
  </si>
  <si>
    <t>KALAN ALACAK</t>
  </si>
  <si>
    <t>Kâr Payı – ALİ KILIÇ</t>
  </si>
  <si>
    <t>Kâr Payı – ÖMER KARTAL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</si>
  <si>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</si>
  <si>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</si>
  <si>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</si>
  <si>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</si>
  <si>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</si>
  <si>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</si>
  <si>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3.  ORTAK CARİ EKSTRESİ       ◈  SALT OKUNUR — yalnız ortak seçim kutusu   │   hak ediş = alacak, ödeme = borç</t>
  </si>
  <si>
    <t>ORTAK SEÇ</t>
  </si>
  <si>
    <t>HAK EDİŞ (Alacak)</t>
  </si>
  <si>
    <t>ÖDEME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</si>
  <si>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</si>
  <si>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</si>
  <si>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</si>
  <si>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</si>
  <si>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</si>
  <si>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</si>
  <si>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</si>
  <si>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</si>
  <si>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</si>
  <si>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</si>
  <si>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</si>
  <si>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</si>
  <si>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</si>
  <si>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</si>
  <si>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</si>
  <si>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</si>
  <si>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DÖNEMSEL ORAN ORTAKLAR SAYFASINDAN YÖNETİLİR</t>
  </si>
  <si>
    <t>Bilgi amaçlı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</si>
  <si>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</si>
  <si>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</si>
  <si>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</si>
  <si>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</si>
  <si>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</si>
  <si>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</si>
  <si>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</si>
  <si>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</si>
  <si>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</si>
  <si>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</si>
  <si>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</si>
  <si>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</si>
  <si>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</si>
  <si>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</si>
  <si>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</si>
  <si>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</si>
  <si>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</si>
  <si>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</si>
  <si>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</si>
  <si>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</si>
  <si>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</si>
  <si>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</si>
  <si>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</si>
  <si>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</si>
  <si>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</si>
  <si>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</si>
  <si>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</si>
  <si>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</si>
  <si>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</si>
  <si>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</si>
  <si>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</si>
  <si>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</si>
  <si>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</si>
  <si>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</si>
  <si>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</si>
  <si>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</si>
  <si>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</si>
  <si>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</si>
  <si>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</si>
  <si>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</si>
  <si>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</si>
  <si>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</si>
  <si>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</si>
  <si>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</si>
  <si>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</si>
  <si>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</si>
  <si>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</si>
  <si>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</si>
  <si>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</si>
  <si>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</si>
  <si>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</si>
  <si>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</si>
  <si>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Defter Tasdik Geliri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</si>
  <si>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</si>
  <si>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</si>
  <si>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</si>
  <si>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</si>
  <si>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</si>
  <si>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</si>
  <si>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</si>
  <si>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</si>
  <si>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</si>
  <si>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</si>
  <si>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</si>
  <si>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</si>
  <si>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</si>
  <si>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</si>
  <si>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Hesap satırları toplamı = genel toplam</t>
  </si>
  <si>
    <t>Kurumlar Vergisi Damga</t>
  </si>
  <si>
    <t>Negatif hesap bakiyesi</t>
  </si>
  <si>
    <t>BİLGİ</t>
  </si>
  <si>
    <t>İzle</t>
  </si>
  <si>
    <t>Bakiyesi eksiye düşen hesap incelenmeli</t>
  </si>
  <si>
    <t>Geçici Vergi Damga</t>
  </si>
  <si>
    <t>Ortak pay dağıtım hatası</t>
  </si>
  <si>
    <t>Dağıtılan pay toplamı tutmalı</t>
  </si>
  <si>
    <t>Luca Kontör</t>
  </si>
  <si>
    <t>Aktivitede tanımsız müşteri</t>
  </si>
  <si>
    <t>İş/görüşme ana müşteri kartıyla eşleşmeli</t>
  </si>
  <si>
    <t>Kuruluş Ücreti</t>
  </si>
  <si>
    <t>Aktivitede eksik son tarih</t>
  </si>
  <si>
    <t>Açık işin son tarihi olmalı</t>
  </si>
  <si>
    <t>Diğer Gelirler</t>
  </si>
  <si>
    <t>Sonraki işlem eksik</t>
  </si>
  <si>
    <t>Görüşmeden sonra adım tanımlanmalı</t>
  </si>
  <si>
    <t>Muhasebe Hizmet Geliri (sözleşme dışı)</t>
  </si>
  <si>
    <t>Son tarihi geçmiş açık işler</t>
  </si>
  <si>
    <t>Beyanname / Bildirim Ücreti</t>
  </si>
  <si>
    <t>Bugün yapılacak iş</t>
  </si>
  <si>
    <t>Bugün tamamlanması gereken işler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</si>
  <si>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</si>
  <si>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</si>
  <si>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</si>
  <si>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</si>
  <si>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</si>
  <si>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</si>
  <si>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</si>
  <si>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</si>
  <si>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</si>
  <si>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</si>
  <si>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</si>
  <si>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</si>
  <si>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</si>
  <si>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</si>
  <si>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</si>
  <si>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</si>
  <si>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</si>
  <si>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</si>
  <si>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</si>
  <si>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</si>
  <si>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</si>
  <si>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</si>
  <si>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</si>
  <si>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Her ortağın kâr payı gider kalemi ayrı olmalı; aynıysa ödemeler yanlış ortakta görünür</t>
  </si>
  <si>
    <t>Ortak pay dönemi hatası</t>
  </si>
  <si>
    <t>Başlangıç/oran/tarih eksik veya hatalı pay dönemi</t>
  </si>
  <si>
    <t>Ortaklara ödenmemiş kâr payı</t>
  </si>
  <si>
    <t>Hak edilmiş ama henüz ödenmemiş toplam kâr payı</t>
  </si>
  <si>
    <t>Ortak fazla ödeme almış</t>
  </si>
  <si>
    <t>Bir ortak hak edişinden fazla kâr payı almış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</si>
  <si>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</si>
  <si>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</si>
  <si>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</si>
  <si>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</si>
  <si>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</si>
  <si>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</si>
  <si>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</si>
  <si>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</si>
  <si>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</si>
  <si>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</si>
  <si>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</si>
  <si>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</si>
  <si>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</si>
  <si>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</si>
  <si>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</si>
  <si>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</si>
  <si>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</si>
  <si>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</si>
  <si>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</si>
  <si>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</si>
  <si>
    <t>Temmuz Maaş Ödemesi</t>
  </si>
  <si>
    <t>Gelir</t>
  </si>
  <si>
    <t>2026 / 01 DÖNEM GEÇİCİ DAMGA</t>
  </si>
  <si>
    <t xml:space="preserve">2026 YILI DEFTER TASDİK </t>
  </si>
  <si>
    <t>SGK DANIŞMANLIK</t>
  </si>
  <si>
    <t>2025 KURUMLAR DAMGA</t>
  </si>
  <si>
    <t>PALAOĞULLAR LTD.ŞTİ.</t>
  </si>
  <si>
    <t>ALI KILIC 2025 YILI GELİR VERGİSİ İADE</t>
  </si>
  <si>
    <t>E-DEFTER KONTÖR</t>
  </si>
  <si>
    <t>ELVAN ALTIPARMAK 10 GÜNLÜK SİGORTA</t>
  </si>
  <si>
    <t>ASIM AÇIKGÖZ LUCA KONTÖR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</si>
</sst>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</numFmts>
  <fonts count="76" x14ac:knownFonts="1">
    <font>
      <sz val="10"/>
      <color rgb="FF0F172A"/>
      <name val="Segoe UI"/>
      <charset val="1"/>
    </font>
    <font>
      <b/>
      <sz val="10.5"/>
      <color rgb="FF2B333F"/>
      <name val="Segoe UI"/>
      <charset val="1"/>
    </font>
    <font>
      <b/>
      <sz val="14"/>
      <color rgb="FFFFFFFF"/>
      <name val="Segoe UI"/>
      <charset val="1"/>
    </font>
    <font>
      <sz val="11"/>
      <color theme="1"/>
      <name val="Segoe UI"/>
      <charset val="1"/>
    </font>
    <font>
      <sz val="10.5"/>
      <color rgb="FFCBD5E1"/>
      <name val="Segoe UI"/>
      <charset val="1"/>
    </font>
    <font>
      <sz val="10.5"/>
      <color rgb="FF64748B"/>
      <name val="Segoe UI"/>
      <charset val="1"/>
    </font>
    <font>
      <b/>
      <sz val="9.5"/>
      <color rgb="FFC6A15B"/>
      <name val="Segoe UI"/>
      <charset val="1"/>
    </font>
    <font>
      <b/>
      <sz val="10.5"/>
      <color rgb="FF64748B"/>
      <name val="Segoe UI"/>
      <charset val="1"/>
    </font>
    <font>
      <b/>
      <sz val="11.5"/>
      <color rgb="FFFFFFFF"/>
      <name val="Segoe UI"/>
      <charset val="1"/>
    </font>
    <font>
      <b/>
      <sz val="16"/>
      <color rgb="FF0F172A"/>
      <name val="Segoe UI"/>
      <charset val="1"/>
    </font>
    <font>
      <sz val="11.5"/>
      <color rgb="FFC3D6EA"/>
      <name val="Segoe UI"/>
      <charset val="1"/>
    </font>
    <font>
      <b/>
      <sz val="11.5"/>
      <color rgb="FF17324D"/>
      <name val="Segoe UI"/>
      <charset val="1"/>
    </font>
    <font>
      <b/>
      <sz val="12.5"/>
      <color rgb="FF1D4ED8"/>
      <name val="Segoe UI"/>
      <charset val="1"/>
    </font>
    <font>
      <sz val="11"/>
      <color rgb="FF0F172A"/>
      <name val="Segoe UI"/>
      <charset val="1"/>
    </font>
    <font>
      <b/>
      <sz val="13"/>
      <color rgb="FFA32D2D"/>
      <name val="Segoe UI"/>
      <charset val="1"/>
    </font>
    <font>
      <sz val="11"/>
      <color rgb="FF64748B"/>
      <name val="Segoe UI"/>
      <charset val="1"/>
    </font>
    <font>
      <sz val="11.5"/>
      <color rgb="FF0F172A"/>
      <name val="Segoe UI"/>
      <charset val="1"/>
    </font>
    <font>
      <b/>
      <sz val="13"/>
      <color rgb="FF854F0B"/>
      <name val="Segoe UI"/>
      <charset val="1"/>
    </font>
    <font>
      <b/>
      <sz val="13"/>
      <color rgb="FF185FA5"/>
      <name val="Segoe UI"/>
      <charset val="1"/>
    </font>
    <font>
      <b/>
      <sz val="11.5"/>
      <color rgb="FF0F172A"/>
      <name val="Segoe UI"/>
      <charset val="1"/>
    </font>
    <font>
      <b/>
      <sz val="12"/>
      <color rgb="FF1D3B58"/>
      <name val="Segoe UI"/>
      <charset val="1"/>
    </font>
    <font>
      <b/>
      <sz val="10.5"/>
      <color rgb="FFFFFFFF"/>
      <name val="Segoe UI"/>
      <charset val="1"/>
    </font>
    <font>
      <b/>
      <sz val="18"/>
      <color rgb="FF17324D"/>
      <name val="Segoe UI"/>
      <charset val="1"/>
    </font>
    <font>
      <i/>
      <sz val="11"/>
      <color rgb="FF64748B"/>
      <name val="Segoe UI"/>
      <charset val="1"/>
    </font>
    <font>
      <b/>
      <sz val="12"/>
      <color rgb="FF17324D"/>
      <name val="Segoe UI"/>
      <charset val="1"/>
    </font>
    <font>
      <b/>
      <sz val="11"/>
      <color rgb="FF2563EB"/>
      <name val="Segoe UI"/>
      <charset val="1"/>
    </font>
    <font>
      <b/>
      <sz val="11"/>
      <color rgb="FF17324D"/>
      <name val="Segoe UI"/>
      <charset val="1"/>
    </font>
    <font>
      <b/>
      <sz val="14"/>
      <color rgb="FF1D4ED8"/>
      <name val="Segoe UI"/>
      <charset val="1"/>
    </font>
    <font>
      <b/>
      <sz val="11"/>
      <color rgb="FF1D4ED8"/>
      <name val="Segoe UI"/>
      <charset val="1"/>
    </font>
    <font>
      <b/>
      <sz val="14"/>
      <color rgb="FF0F172A"/>
      <name val="Segoe UI"/>
      <charset val="1"/>
    </font>
    <font>
      <b/>
      <sz val="11"/>
      <color rgb="FF0F172A"/>
      <name val="Segoe UI"/>
      <charset val="1"/>
    </font>
    <font>
      <b/>
      <sz val="14"/>
      <color rgb="FF854F0B"/>
      <name val="Segoe UI"/>
      <charset val="1"/>
    </font>
    <font>
      <b/>
      <sz val="11"/>
      <color rgb="FF854F0B"/>
      <name val="Segoe UI"/>
      <charset val="1"/>
    </font>
    <font>
      <b/>
      <sz val="11"/>
      <color rgb="FFFFFFFF"/>
      <name val="Segoe UI"/>
      <charset val="1"/>
    </font>
    <font>
      <b/>
      <sz val="14"/>
      <color rgb="FF64748B"/>
      <name val="Segoe UI"/>
      <charset val="1"/>
    </font>
    <font>
      <b/>
      <sz val="11"/>
      <color rgb="FF64748B"/>
      <name val="Segoe UI"/>
      <charset val="1"/>
    </font>
    <font>
      <b/>
      <sz val="14"/>
      <color rgb="FF17324D"/>
      <name val="Segoe UI"/>
      <charset val="1"/>
    </font>
    <font>
      <b/>
      <sz val="14"/>
      <color rgb="FF0F6E56"/>
      <name val="Segoe UI"/>
      <charset val="1"/>
    </font>
    <font>
      <b/>
      <sz val="11"/>
      <color rgb="FF0F6E56"/>
      <name val="Segoe UI"/>
      <charset val="1"/>
    </font>
    <font>
      <b/>
      <sz val="14"/>
      <color rgb="FFA32D2D"/>
      <name val="Segoe UI"/>
      <charset val="1"/>
    </font>
    <font>
      <b/>
      <sz val="11"/>
      <color rgb="FFA32D2D"/>
      <name val="Segoe UI"/>
      <charset val="1"/>
    </font>
    <font>
      <b/>
      <sz val="10.5"/>
      <color rgb="FFA32D2D"/>
      <name val="Segoe UI"/>
      <charset val="1"/>
    </font>
    <font>
      <b/>
      <sz val="14"/>
      <color rgb="FF0F766E"/>
      <name val="Segoe UI"/>
      <charset val="1"/>
    </font>
    <font>
      <b/>
      <sz val="14"/>
      <color rgb="FF6A4C93"/>
      <name val="Segoe UI"/>
      <charset val="1"/>
    </font>
    <font>
      <b/>
      <sz val="14"/>
      <color rgb="FF1565C0"/>
      <name val="Segoe UI"/>
      <charset val="1"/>
    </font>
    <font>
      <b/>
      <sz val="14"/>
      <color rgb="FFD97706"/>
      <name val="Segoe UI"/>
      <charset val="1"/>
    </font>
    <font>
      <b/>
      <sz val="14"/>
      <color rgb="FF0E7490"/>
      <name val="Segoe UI"/>
      <charset val="1"/>
    </font>
    <font>
      <b/>
      <sz val="14"/>
      <color rgb="FF0369A1"/>
      <name val="Segoe UI"/>
      <charset val="1"/>
    </font>
    <font>
      <b/>
      <sz val="14"/>
      <color rgb="FF15803D"/>
      <name val="Segoe UI"/>
      <charset val="1"/>
    </font>
    <font>
      <b/>
      <sz val="14"/>
      <color rgb="FF7E22CE"/>
      <name val="Segoe UI"/>
      <charset val="1"/>
    </font>
    <font>
      <b/>
      <sz val="14"/>
      <color rgb="FF991B1B"/>
      <name val="Segoe UI"/>
      <charset val="1"/>
    </font>
    <font>
      <b/>
      <sz val="14"/>
      <color rgb="FF2B333F"/>
      <name val="Segoe UI"/>
      <charset val="1"/>
    </font>
    <font>
      <b/>
      <sz val="11"/>
      <color rgb="FF2B333F"/>
      <name val="Segoe UI"/>
      <charset val="1"/>
    </font>
    <font>
      <b/>
      <sz val="13"/>
      <color rgb="FFC6A15B"/>
      <name val="Segoe UI"/>
      <charset val="1"/>
    </font>
    <font>
      <sz val="11"/>
      <color rgb="FF2563EB"/>
      <name val="Segoe UI"/>
      <charset val="1"/>
    </font>
    <font>
      <b/>
      <sz val="10.5"/>
      <color rgb="FF854F0B"/>
      <name val="Segoe UI"/>
      <charset val="1"/>
    </font>
    <font>
      <b/>
      <sz val="11"/>
      <color rgb="FF185FA5"/>
      <name val="Segoe UI"/>
      <charset val="1"/>
    </font>
    <font>
      <b/>
      <sz val="10.5"/>
      <color rgb="FF0F6E56"/>
      <name val="Segoe UI"/>
      <charset val="1"/>
    </font>
    <font>
      <sz val="11"/>
      <color rgb="FFA32D2D"/>
      <name val="Segoe UI"/>
      <charset val="1"/>
    </font>
    <font>
      <b/>
      <sz val="12"/>
      <color rgb="FFC6A15B"/>
      <name val="Segoe UI"/>
      <charset val="1"/>
    </font>
    <font>
      <b/>
      <sz val="10.5"/>
      <color rgb="FF1D4ED8"/>
      <name val="Segoe UI"/>
      <charset val="1"/>
    </font>
    <font>
      <sz val="10.5"/>
      <color rgb="FFC3D6EA"/>
      <name val="Segoe UI"/>
      <charset val="1"/>
    </font>
    <font>
      <i/>
      <sz val="10.5"/>
      <color rgb="FF64748B"/>
      <name val="Segoe UI"/>
      <charset val="1"/>
    </font>
    <font>
      <sz val="11"/>
      <color rgb="FF1D4ED8"/>
      <name val="Segoe UI"/>
      <charset val="1"/>
    </font>
    <font>
      <b/>
      <sz val="12"/>
      <color rgb="FF1D4ED8"/>
      <name val="Segoe UI"/>
      <charset val="1"/>
    </font>
    <font>
      <b/>
      <sz val="17"/>
      <color rgb="FF17324D"/>
      <name val="Segoe UI"/>
      <charset val="1"/>
    </font>
    <font>
      <b/>
      <sz val="10"/>
      <color rgb="FF64748B"/>
      <name val="Segoe UI"/>
      <charset val="1"/>
    </font>
    <font>
      <b/>
      <sz val="15"/>
      <color rgb="FF17324D"/>
      <name val="Segoe UI"/>
      <charset val="1"/>
    </font>
    <font>
      <b/>
      <sz val="15"/>
      <color rgb="FF0F6E56"/>
      <name val="Segoe UI"/>
      <charset val="1"/>
    </font>
    <font>
      <b/>
      <sz val="15"/>
      <color rgb="FFA32D2D"/>
      <name val="Segoe UI"/>
      <charset val="1"/>
    </font>
    <font>
      <i/>
      <sz val="10"/>
      <color rgb="FF64748B"/>
      <name val="Segoe UI"/>
      <charset val="1"/>
    </font>
    <font>
      <b/>
      <sz val="13"/>
      <color rgb="FF17324D"/>
      <name val="Segoe UI"/>
      <charset val="1"/>
    </font>
    <font>
      <sz val="10.5"/>
      <color rgb="FF2563EB"/>
      <name val="Segoe UI"/>
      <charset val="1"/>
    </font>
    <font>
      <b/>
      <sz val="10.5"/>
      <color rgb="FF2563EB"/>
      <name val="Segoe UI"/>
      <charset val="1"/>
    </font>
    <font>
      <b/>
      <sz val="10"/>
      <color rgb="FF0F172A"/>
      <name val="Segoe UI"/>
      <charset val="1"/>
    </font>
    <font>
      <sz val="10"/>
      <color rgb="FF64748B"/>
      <name val="Segoe UI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6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6" fontId="71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0" fontId="72" fillId="5" borderId="0" xfId="0" applyFont="1" applyFill="1" applyAlignment="1">
      <alignment horizontal="left" vertical="center"/>
    </xf>
    <xf numFmtId="0" fontId="73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24" fillId="2" borderId="19" xfId="0" applyNumberFormat="1" applyFont="1" applyFill="1" applyBorder="1" applyAlignment="1">
      <alignment horizontal="right" vertical="center" indent="1"/>
    </xf>
    <xf numFmtId="0" fontId="74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72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166" fontId="19" fillId="2" borderId="0" xfId="0" applyNumberFormat="1" applyFont="1" applyFill="1" applyAlignment="1">
      <alignment horizontal="right" vertical="center" indent="1"/>
    </xf>
    <xf numFmtId="167" fontId="16" fillId="2" borderId="0" xfId="0" applyNumberFormat="1" applyFont="1" applyFill="1" applyAlignment="1">
      <alignment horizontal="right" vertical="center" indent="1"/>
    </xf>
    <xf numFmtId="168" fontId="16" fillId="2" borderId="0" xfId="0" applyNumberFormat="1" applyFont="1" applyFill="1" applyAlignment="1">
      <alignment horizontal="right" vertical="center" indent="1"/>
    </xf>
    <xf numFmtId="166" fontId="16" fillId="2" borderId="0" xfId="0" applyNumberFormat="1" applyFont="1" applyFill="1" applyAlignment="1">
      <alignment horizontal="right" vertical="center" indent="1"/>
    </xf>
    <xf numFmtId="0" fontId="13" fillId="2" borderId="15" xfId="0" applyFont="1" applyFill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5" fillId="2" borderId="9" xfId="0" applyFont="1" applyFill="1" applyBorder="1" applyAlignment="1">
      <alignment horizontal="left" vertical="center" indent="1"/>
    </xf>
    <xf numFmtId="0" fontId="11" fillId="2" borderId="11" xfId="0" applyFont="1" applyFill="1" applyBorder="1" applyAlignment="1">
      <alignment horizontal="left" vertical="center" indent="1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3" fillId="2" borderId="13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7" fillId="2" borderId="4" xfId="0" applyFont="1" applyFill="1" applyBorder="1" applyAlignment="1">
      <alignment horizontal="left" vertical="center" indent="1"/>
    </xf>
    <xf numFmtId="165" fontId="9" fillId="2" borderId="7" xfId="0" applyNumberFormat="1" applyFont="1" applyFill="1" applyBorder="1" applyAlignment="1">
      <alignment horizontal="left" vertical="center" indent="1"/>
    </xf>
    <xf numFmtId="164" fontId="9" fillId="2" borderId="7" xfId="0" applyNumberFormat="1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26" fillId="2" borderId="15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/>
    </xf>
    <xf numFmtId="0" fontId="21" fillId="6" borderId="0" xfId="0" applyFont="1" applyFill="1" applyAlignment="1">
      <alignment horizontal="left" vertical="center" wrapText="1" indent="1"/>
    </xf>
    <xf numFmtId="0" fontId="15" fillId="2" borderId="19" xfId="0" applyFont="1" applyFill="1" applyBorder="1" applyAlignment="1">
      <alignment horizontal="left" vertical="center" wrapText="1" indent="1"/>
    </xf>
    <xf numFmtId="0" fontId="40" fillId="2" borderId="15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41" fillId="2" borderId="16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28" fillId="2" borderId="19" xfId="0" applyFont="1" applyFill="1" applyBorder="1" applyAlignment="1">
      <alignment horizontal="left" vertical="center" wrapText="1" indent="1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40" fillId="2" borderId="19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26" fillId="2" borderId="19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25" fillId="2" borderId="19" xfId="0" applyFont="1" applyFill="1" applyBorder="1" applyAlignment="1">
      <alignment horizontal="left" vertical="center" indent="1"/>
    </xf>
    <xf numFmtId="0" fontId="2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60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70" fillId="5" borderId="24" xfId="0" applyFont="1" applyFill="1" applyBorder="1" applyAlignment="1">
      <alignment horizontal="left" vertical="center" wrapText="1" indent="1"/>
    </xf>
    <xf numFmtId="0" fontId="66" fillId="5" borderId="25" xfId="0" applyFont="1" applyFill="1" applyBorder="1" applyAlignment="1">
      <alignment horizontal="center"/>
    </xf>
    <xf numFmtId="166" fontId="67" fillId="2" borderId="9" xfId="0" applyNumberFormat="1" applyFont="1" applyFill="1" applyBorder="1" applyAlignment="1">
      <alignment horizontal="left" vertical="center" indent="1"/>
    </xf>
    <xf numFmtId="166" fontId="68" fillId="2" borderId="9" xfId="0" applyNumberFormat="1" applyFont="1" applyFill="1" applyBorder="1" applyAlignment="1">
      <alignment horizontal="left" vertical="center" indent="1"/>
    </xf>
    <xf numFmtId="166" fontId="69" fillId="2" borderId="9" xfId="0" applyNumberFormat="1" applyFont="1" applyFill="1" applyBorder="1" applyAlignment="1">
      <alignment horizontal="left" vertical="center" indent="1"/>
    </xf>
    <xf numFmtId="0" fontId="21" fillId="9" borderId="23" xfId="0" applyFont="1" applyFill="1" applyBorder="1" applyAlignment="1">
      <alignment horizontal="left" vertical="center" indent="2"/>
    </xf>
    <xf numFmtId="0" fontId="21" fillId="19" borderId="23" xfId="0" applyFont="1" applyFill="1" applyBorder="1" applyAlignment="1">
      <alignment horizontal="left" vertical="center" indent="2"/>
    </xf>
    <xf numFmtId="0" fontId="5" fillId="2" borderId="19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66" fillId="2" borderId="3" xfId="0" applyFont="1" applyFill="1" applyBorder="1" applyAlignment="1">
      <alignment horizontal="left" vertical="center" indent="1"/>
    </xf>
    <xf numFmtId="0" fontId="66" fillId="2" borderId="5" xfId="0" applyFont="1" applyFill="1" applyBorder="1" applyAlignment="1">
      <alignment horizontal="left" vertical="center" indent="1"/>
    </xf>
    <xf numFmtId="0" fontId="66" fillId="2" borderId="4" xfId="0" applyFont="1" applyFill="1" applyBorder="1" applyAlignment="1">
      <alignment horizontal="left" vertical="center" indent="1"/>
    </xf>
    <xf numFmtId="0" fontId="64" fillId="8" borderId="21" xfId="0" applyFont="1" applyFill="1" applyBorder="1" applyAlignment="1" applyProtection="1">
      <alignment horizontal="left" vertical="center" indent="1"/>
      <protection locked="0"/>
    </xf>
    <xf numFmtId="0" fontId="65" fillId="2" borderId="22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13" fillId="2" borderId="19" xfId="0" applyFont="1" applyFill="1" applyBorder="1" applyAlignment="1">
      <alignment horizontal="lef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62" fillId="5" borderId="0" xfId="0" applyFont="1" applyFill="1" applyAlignment="1">
      <alignment horizontal="left" vertical="center" wrapText="1" indent="1"/>
    </xf>
    <xf numFmtId="0" fontId="71" fillId="5" borderId="0" xfId="0" applyFont="1" applyFill="1" applyAlignment="1">
      <alignment horizontal="right" vertical="center" indent="1"/>
    </xf>
  </cellXfs>
  <cellStyles count="1">
    <cellStyle name="Normal" xfId="0" builtinId="0"/>
  </cellStyles>
  <dxfs count="91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 diagonalUp="0" diagonalDown="0"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Nakit Kâr</c:v>
                </c:pt>
              </c:strCache>
            </c:strRef>
          </c:tx>
          <c:spPr>
            <a:ln w="219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228866.18</c:v>
                </c:pt>
                <c:pt idx="1">
                  <c:v>-122578.19000000006</c:v>
                </c:pt>
                <c:pt idx="2">
                  <c:v>104092.03</c:v>
                </c:pt>
                <c:pt idx="3">
                  <c:v>154506</c:v>
                </c:pt>
                <c:pt idx="4">
                  <c:v>166396</c:v>
                </c:pt>
                <c:pt idx="5">
                  <c:v>206240</c:v>
                </c:pt>
                <c:pt idx="6">
                  <c:v>95740</c:v>
                </c:pt>
                <c:pt idx="7">
                  <c:v>187350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8-F94B-B953-EE9C9F85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683747"/>
        <c:axId val="68307813"/>
      </c:lineChart>
      <c:dateAx>
        <c:axId val="66683747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68307813"/>
        <c:crosses val="autoZero"/>
        <c:auto val="1"/>
        <c:lblOffset val="100"/>
        <c:baseTimeUnit val="months"/>
      </c:dateAx>
      <c:valAx>
        <c:axId val="6830781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66683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Geliri</c:v>
                </c:pt>
              </c:strCache>
            </c:strRef>
          </c:tx>
          <c:spPr>
            <a:solidFill>
              <a:srgbClr val="9FB8D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452250</c:v>
                </c:pt>
                <c:pt idx="1">
                  <c:v>430500</c:v>
                </c:pt>
                <c:pt idx="2">
                  <c:v>448500</c:v>
                </c:pt>
                <c:pt idx="3">
                  <c:v>530500</c:v>
                </c:pt>
                <c:pt idx="4">
                  <c:v>547400</c:v>
                </c:pt>
                <c:pt idx="5">
                  <c:v>424000</c:v>
                </c:pt>
                <c:pt idx="6">
                  <c:v>418000</c:v>
                </c:pt>
                <c:pt idx="7">
                  <c:v>511750</c:v>
                </c:pt>
                <c:pt idx="8">
                  <c:v>446000</c:v>
                </c:pt>
                <c:pt idx="9">
                  <c:v>524750</c:v>
                </c:pt>
                <c:pt idx="10">
                  <c:v>446000</c:v>
                </c:pt>
                <c:pt idx="11">
                  <c:v>446000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9-6D42-98BA-71BCFD81B017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(Nakit)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317150</c:v>
                </c:pt>
                <c:pt idx="1">
                  <c:v>159500</c:v>
                </c:pt>
                <c:pt idx="2">
                  <c:v>262750</c:v>
                </c:pt>
                <c:pt idx="3">
                  <c:v>278200</c:v>
                </c:pt>
                <c:pt idx="4">
                  <c:v>342650</c:v>
                </c:pt>
                <c:pt idx="5">
                  <c:v>305350</c:v>
                </c:pt>
                <c:pt idx="6">
                  <c:v>203250</c:v>
                </c:pt>
                <c:pt idx="7">
                  <c:v>277150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9-6D42-98BA-71BCFD81B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1417878"/>
        <c:axId val="25993731"/>
      </c:barChart>
      <c:dateAx>
        <c:axId val="9141787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25993731"/>
        <c:crosses val="autoZero"/>
        <c:auto val="1"/>
        <c:lblOffset val="100"/>
        <c:baseTimeUnit val="months"/>
      </c:dateAx>
      <c:valAx>
        <c:axId val="2599373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914178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750" b="0" strike="noStrike" spc="-1">
              <a:solidFill>
                <a:srgbClr val="64748B"/>
              </a:solidFill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320400</c:v>
                </c:pt>
                <c:pt idx="1">
                  <c:v>43750</c:v>
                </c:pt>
                <c:pt idx="2">
                  <c:v>181000</c:v>
                </c:pt>
                <c:pt idx="3">
                  <c:v>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3-794F-90CF-496CE9E6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513184"/>
        <c:axId val="27439679"/>
      </c:barChart>
      <c:catAx>
        <c:axId val="45131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27439679"/>
        <c:crosses val="autoZero"/>
        <c:auto val="1"/>
        <c:lblAlgn val="ctr"/>
        <c:lblOffset val="100"/>
        <c:noMultiLvlLbl val="0"/>
      </c:catAx>
      <c:valAx>
        <c:axId val="27439679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4513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340920</xdr:colOff>
      <xdr:row>20</xdr:row>
      <xdr:rowOff>225720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340920</xdr:colOff>
      <xdr:row>20</xdr:row>
      <xdr:rowOff>225720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341280</xdr:colOff>
      <xdr:row>20</xdr:row>
      <xdr:rowOff>225720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Q42"/>
  <sheetViews>
    <sheetView showGridLines="0" zoomScaleNormal="100" workbookViewId="0">
      <pane ySplit="4" topLeftCell="A5" activePane="bottomLeft" state="frozen"/>
      <selection pane="bottomLeft" sqref="A1:E1"/>
    </sheetView>
  </sheetViews>
  <sheetFormatPr defaultColWidth="8.5703125" defaultRowHeight="14.25" x14ac:dyDescent="0.25"/>
  <cols>
    <col min="1" max="1" width="2.42578125" customWidth="1"/>
    <col min="2" max="2" width="21" customWidth="1"/>
    <col min="3" max="3" width="1.42578125" customWidth="1"/>
    <col min="4" max="15" width="9.5703125" customWidth="1"/>
  </cols>
  <sheetData>
    <row r="1" spans="1:17" ht="37.5" customHeight="1" x14ac:dyDescent="0.3">
      <c r="A1" s="119" t="s">
        <v>0</v>
      </c>
      <c r="B1" s="119"/>
      <c r="C1" s="119"/>
      <c r="D1" s="119"/>
      <c r="E1" s="119"/>
      <c r="F1" s="120" t="s">
        <v>1</v>
      </c>
      <c r="G1" s="120"/>
      <c r="H1" s="120"/>
      <c r="I1" s="120"/>
      <c r="J1" s="120"/>
      <c r="K1" s="120"/>
      <c r="L1" s="120"/>
      <c r="M1" s="120"/>
      <c r="N1" s="120"/>
      <c r="O1" s="120"/>
      <c r="P1" s="1"/>
      <c r="Q1" s="1"/>
    </row>
    <row r="2" spans="1:17" ht="21.75" customHeight="1" x14ac:dyDescent="0.3">
      <c r="A2" s="121" t="str">
        <f ca="1">"BU EKRANA KAYIT GİRİLMEZ   │   SİSTEM DURUMU:  "&amp;IF(COUNTIFS(SISTEM!$C$23:$C$70,"KRİTİK",SISTEM!$F$23:$F$70,"KALDI")&gt;0,"KRİTİK HATA – AY KAPATILAMAZ",IF(COUNTIF(SISTEM!$F$23:$F$70,"KALDI")=0,"KULLANIMA UYGUN","UYARI VAR – İNCELEYİN"))&amp;"   │   "&amp;COUNTIF(SISTEM!$F$23:$F$70,"GEÇTİ")&amp;" / "&amp;COUNTIF(SISTEM!$F$23:$F$70,"&lt;&gt;BİLGİ")&amp;" kontrol geçti"</f>
        <v>BU EKRANA KAYIT GİRİLMEZ   │   SİSTEM DURUMU:  KRİTİK HATA – AY KAPATILAMAZ   │   32 / 37 kontrol geçti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"/>
      <c r="Q2" s="1"/>
    </row>
    <row r="3" spans="1:17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3">
      <c r="A4" s="2"/>
      <c r="B4" s="3" t="str">
        <f ca="1">RIGHT("0"&amp;DAY(TODAY()),2)&amp;"."&amp;RIGHT("0"&amp;MONTH(TODAY()),2)&amp;"."&amp;YEAR(TODAY())&amp;"   │   "&amp;SISTEM!$C$7</f>
        <v>24.08.2026   │   KILIÇ MUHASEBE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75" customHeight="1" x14ac:dyDescent="0.3">
      <c r="A5" s="2"/>
      <c r="B5" s="4" t="s">
        <v>2</v>
      </c>
      <c r="C5" s="2"/>
      <c r="D5" s="114" t="s">
        <v>3</v>
      </c>
      <c r="E5" s="114"/>
      <c r="F5" s="114"/>
      <c r="G5" s="122" t="s">
        <v>4</v>
      </c>
      <c r="H5" s="122"/>
      <c r="I5" s="122"/>
      <c r="J5" s="116" t="s">
        <v>5</v>
      </c>
      <c r="K5" s="116"/>
      <c r="L5" s="116"/>
      <c r="M5" s="113" t="s">
        <v>6</v>
      </c>
      <c r="N5" s="113"/>
      <c r="O5" s="113"/>
      <c r="P5" s="2"/>
      <c r="Q5" s="2"/>
    </row>
    <row r="6" spans="1:17" ht="21.75" customHeight="1" x14ac:dyDescent="0.3">
      <c r="A6" s="2"/>
      <c r="B6" s="5" t="str">
        <f>HYPERLINK("#PANO!A1","    PANO")</f>
        <v xml:space="preserve">    PANO</v>
      </c>
      <c r="C6" s="2"/>
      <c r="D6" s="118">
        <f>COUNTIF(MUSTERILER!$D$7:$D$156,"Aktif")</f>
        <v>55</v>
      </c>
      <c r="E6" s="118"/>
      <c r="F6" s="118"/>
      <c r="G6" s="117">
        <f ca="1">SUM(MUSTERI_360!$J$7:$J$156)</f>
        <v>1521150</v>
      </c>
      <c r="H6" s="117"/>
      <c r="I6" s="117"/>
      <c r="J6" s="117">
        <f ca="1">SUM(MUSTERI_360!$N$7:$N$156)</f>
        <v>976000</v>
      </c>
      <c r="K6" s="117"/>
      <c r="L6" s="117"/>
      <c r="M6" s="117">
        <f>HESAPLAR!$K$18</f>
        <v>1020612.02</v>
      </c>
      <c r="N6" s="117"/>
      <c r="O6" s="117"/>
      <c r="P6" s="2"/>
      <c r="Q6" s="2"/>
    </row>
    <row r="7" spans="1:17" ht="21.75" customHeight="1" x14ac:dyDescent="0.3">
      <c r="A7" s="2"/>
      <c r="B7" s="6" t="str">
        <f>HYPERLINK("#MUSTERILER!A1","    Müşteriler")</f>
        <v xml:space="preserve">    Müşteriler</v>
      </c>
      <c r="C7" s="2"/>
      <c r="D7" s="109" t="str">
        <f>COUNTA(MUSTERILER!$C$7:$C$156)&amp;" kayıtlı müşteri"</f>
        <v>55 kayıtlı müşteri</v>
      </c>
      <c r="E7" s="109"/>
      <c r="F7" s="109"/>
      <c r="G7" s="109" t="str">
        <f ca="1">COUNTIF(MUSTERI_360!$J$7:$J$156,"&gt;0")&amp;" müşteride açık bakiye"</f>
        <v>48 müşteride açık bakiye</v>
      </c>
      <c r="H7" s="109"/>
      <c r="I7" s="109"/>
      <c r="J7" s="109" t="str">
        <f ca="1">ROUND(IFERROR(SUM(MUSTERI_360!$N$7:$N$156)/SUM(MUSTERI_360!$J$7:$J$156),0)*100,1)&amp;"% toplam alacağın payı"</f>
        <v>64,2% toplam alacağın payı</v>
      </c>
      <c r="K7" s="109"/>
      <c r="L7" s="109"/>
      <c r="M7" s="109" t="str">
        <f>COUNTIF(HESAPLAR!$D$7:$D$16,"Aktif")&amp;" aktif hesap"</f>
        <v>5 aktif hesap</v>
      </c>
      <c r="N7" s="109"/>
      <c r="O7" s="109"/>
      <c r="P7" s="2"/>
      <c r="Q7" s="2"/>
    </row>
    <row r="8" spans="1:17" ht="21.75" customHeight="1" x14ac:dyDescent="0.3">
      <c r="A8" s="2"/>
      <c r="B8" s="6" t="str">
        <f>HYPERLINK("#UCRETLER!A1","    Haftalık Ücretler")</f>
        <v xml:space="preserve">    Haftalık Ücretler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75" customHeight="1" x14ac:dyDescent="0.3">
      <c r="A9" s="2"/>
      <c r="B9" s="6" t="str">
        <f>HYPERLINK("#TAHSILAT!A1","    Tahsilat")</f>
        <v xml:space="preserve">    Tahsilat</v>
      </c>
      <c r="C9" s="2"/>
      <c r="D9" s="113" t="s">
        <v>7</v>
      </c>
      <c r="E9" s="113"/>
      <c r="F9" s="113"/>
      <c r="G9" s="114" t="s">
        <v>8</v>
      </c>
      <c r="H9" s="114"/>
      <c r="I9" s="114"/>
      <c r="J9" s="115" t="s">
        <v>9</v>
      </c>
      <c r="K9" s="115"/>
      <c r="L9" s="115"/>
      <c r="M9" s="116" t="s">
        <v>10</v>
      </c>
      <c r="N9" s="116"/>
      <c r="O9" s="116"/>
      <c r="P9" s="2"/>
      <c r="Q9" s="2"/>
    </row>
    <row r="10" spans="1:17" ht="21.75" customHeight="1" x14ac:dyDescent="0.3">
      <c r="A10" s="2"/>
      <c r="B10" s="6" t="str">
        <f>HYPERLINK("#GELIR_GIDER!A1","    Gelir / Gider")</f>
        <v xml:space="preserve">    Gelir / Gider</v>
      </c>
      <c r="C10" s="2"/>
      <c r="D10" s="117">
        <f ca="1">SUMIFS(AY_SONU!$I$7:$I$42,AY_SONU!$B$7:$B$42,"&gt;="&amp;EOMONTH(TODAY(),-1)+1,AY_SONU!$B$7:$B$42,"&lt;="&amp;EOMONTH(TODAY(),0))</f>
        <v>187350</v>
      </c>
      <c r="E10" s="117"/>
      <c r="F10" s="117"/>
      <c r="G10" s="117">
        <f ca="1">SUMIFS(AY_SONU!$D$7:$D$42,AY_SONU!$B$7:$B$42,"&gt;="&amp;EOMONTH(TODAY(),-1)+1,AY_SONU!$B$7:$B$42,"&lt;="&amp;EOMONTH(TODAY(),0))</f>
        <v>277150</v>
      </c>
      <c r="H10" s="117"/>
      <c r="I10" s="117"/>
      <c r="J10" s="117">
        <f>SUMIFS(UCRETLER!$G$7:$G$606,UCRETLER!$H$7:$H$606,"Aktif",UCRETLER!$F$7:$F$606,"Haftalık")</f>
        <v>78750</v>
      </c>
      <c r="K10" s="117"/>
      <c r="L10" s="117"/>
      <c r="M10" s="118">
        <f ca="1">COUNTIF(AKTIVITE!$Q$7:$Q$1006,"GECİKMİŞ")</f>
        <v>0</v>
      </c>
      <c r="N10" s="118"/>
      <c r="O10" s="118"/>
      <c r="P10" s="2"/>
      <c r="Q10" s="2"/>
    </row>
    <row r="11" spans="1:17" ht="21.75" customHeight="1" x14ac:dyDescent="0.3">
      <c r="A11" s="2"/>
      <c r="B11" s="6" t="str">
        <f>HYPERLINK("#VIRMAN!A1","    Virman")</f>
        <v xml:space="preserve">    Virman</v>
      </c>
      <c r="C11" s="2"/>
      <c r="D11" s="109" t="str">
        <f ca="1">CHOOSE(MONTH(TODAY()),"Ocak","Şubat","Mart","Nisan","Mayıs","Haziran","Temmuz","Ağustos","Eylül","Ekim","Kasım","Aralık")&amp;" "&amp;YEAR(TODAY())&amp;" dönemi"</f>
        <v>Ağustos 2026 dönemi</v>
      </c>
      <c r="E11" s="109"/>
      <c r="F11" s="109"/>
      <c r="G11" s="109" t="str">
        <f ca="1">"Ay tahakkuku "&amp;TEXT(SUMIFS(AY_SONU!$C$7:$C$42,AY_SONU!$B$7:$B$42,"&gt;="&amp;EOMONTH(TODAY(),-1)+1,AY_SONU!$B$7:$B$42,"&lt;="&amp;EOMONTH(TODAY(),0)),"#,##0")&amp;" ₺"</f>
        <v>Ay tahakkuku 511750,0 ₺</v>
      </c>
      <c r="H11" s="109"/>
      <c r="I11" s="109"/>
      <c r="J11" s="109" t="str">
        <f>"Aylık: "&amp;TEXT(SUMIFS(UCRETLER!$G$7:$G$606,UCRETLER!$H$7:$H$606,"Aktif",UCRETLER!$F$7:$F$606,"Aylık"),"#,##0")&amp;" ₺  │  "&amp;COUNTIFS(UCRETLER!$H$7:$H$606,"Aktif")&amp;" aktif dönem"</f>
        <v>Aylık: 131000,0 ₺  │  53 aktif dönem</v>
      </c>
      <c r="K11" s="109"/>
      <c r="L11" s="109"/>
      <c r="M11" s="109" t="str">
        <f ca="1">COUNTIF(AKTIVITE!$Q$7:$Q$1006,"BUGÜN")&amp;" iş bugün teslim"</f>
        <v>0 iş bugün teslim</v>
      </c>
      <c r="N11" s="109"/>
      <c r="O11" s="109"/>
      <c r="P11" s="2"/>
      <c r="Q11" s="2"/>
    </row>
    <row r="12" spans="1:17" ht="21.75" customHeight="1" x14ac:dyDescent="0.3">
      <c r="A12" s="2"/>
      <c r="B12" s="6" t="str">
        <f>HYPERLINK("#AKTIVITE!A1","    Aktivite")</f>
        <v xml:space="preserve">    Aktivite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75" customHeight="1" x14ac:dyDescent="0.3">
      <c r="A13" s="2"/>
      <c r="B13" s="6" t="str">
        <f>HYPERLINK("#MUSTERI_360!A1","    Müşteri 360")</f>
        <v xml:space="preserve">    Müşteri 360</v>
      </c>
      <c r="C13" s="2"/>
      <c r="D13" s="7" t="s">
        <v>11</v>
      </c>
      <c r="E13" s="2"/>
      <c r="F13" s="2"/>
      <c r="G13" s="2"/>
      <c r="H13" s="7" t="s">
        <v>12</v>
      </c>
      <c r="I13" s="2"/>
      <c r="J13" s="2"/>
      <c r="K13" s="2"/>
      <c r="L13" s="7" t="s">
        <v>13</v>
      </c>
      <c r="M13" s="2"/>
      <c r="N13" s="2"/>
      <c r="O13" s="2"/>
      <c r="P13" s="2"/>
      <c r="Q13" s="2"/>
    </row>
    <row r="14" spans="1:17" ht="21.75" customHeight="1" x14ac:dyDescent="0.3">
      <c r="A14" s="2"/>
      <c r="B14" s="6" t="str">
        <f>HYPERLINK("#CARI_EKSTRE!A1","    Cari Ekstre")</f>
        <v xml:space="preserve">    Cari Ekstre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75" customHeight="1" x14ac:dyDescent="0.3">
      <c r="A15" s="2"/>
      <c r="B15" s="6" t="str">
        <f>HYPERLINK("#HESAPLAR!A1","    Hesaplar")</f>
        <v xml:space="preserve">    Hesaplar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75" customHeight="1" x14ac:dyDescent="0.3">
      <c r="A16" s="2"/>
      <c r="B16" s="6" t="str">
        <f>HYPERLINK("#ORTAKLAR!A1","    Ortaklar")</f>
        <v xml:space="preserve">    Ortaklar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75" customHeight="1" x14ac:dyDescent="0.3">
      <c r="A17" s="2"/>
      <c r="B17" s="6" t="str">
        <f>HYPERLINK("#AY_SONU!A1","    Ay Sonu")</f>
        <v xml:space="preserve">    Ay Sonu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75" customHeight="1" x14ac:dyDescent="0.3">
      <c r="A18" s="2"/>
      <c r="B18" s="6" t="str">
        <f>HYPERLINK("#SISTEM!A1","    Sistem &amp; Kontrol")</f>
        <v xml:space="preserve">    Sistem &amp; Kontrol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75" customHeight="1" x14ac:dyDescent="0.3">
      <c r="A19" s="2"/>
      <c r="B19" s="6" t="str">
        <f>HYPERLINK("#BASLANGIC!A1","    Başlangıç")</f>
        <v xml:space="preserve">    Başlangıç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75" customHeight="1" x14ac:dyDescent="0.3">
      <c r="A20" s="2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3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75" customHeight="1" x14ac:dyDescent="0.3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75" customHeight="1" x14ac:dyDescent="0.3">
      <c r="A23" s="2"/>
      <c r="B23" s="8"/>
      <c r="C23" s="2"/>
      <c r="D23" s="7" t="s">
        <v>14</v>
      </c>
      <c r="E23" s="2"/>
      <c r="F23" s="2"/>
      <c r="G23" s="2"/>
      <c r="H23" s="2"/>
      <c r="I23" s="2"/>
      <c r="J23" s="7" t="s">
        <v>15</v>
      </c>
      <c r="K23" s="2"/>
      <c r="L23" s="2"/>
      <c r="M23" s="2"/>
      <c r="N23" s="2"/>
      <c r="O23" s="2"/>
      <c r="P23" s="2"/>
      <c r="Q23" s="2"/>
    </row>
    <row r="24" spans="1:17" ht="21.75" customHeight="1" x14ac:dyDescent="0.3">
      <c r="A24" s="2"/>
      <c r="B24" s="8"/>
      <c r="C24" s="2"/>
      <c r="D24" s="110" t="s">
        <v>16</v>
      </c>
      <c r="E24" s="110"/>
      <c r="F24" s="111" t="s">
        <v>17</v>
      </c>
      <c r="G24" s="111"/>
      <c r="H24" s="111"/>
      <c r="I24" s="111"/>
      <c r="J24" s="112" t="s">
        <v>18</v>
      </c>
      <c r="K24" s="112"/>
      <c r="L24" s="112"/>
      <c r="M24" s="112"/>
      <c r="N24" s="112"/>
      <c r="O24" s="9">
        <f ca="1">COUNTIF(AKTIVITE!$Q$7:$Q$1006,"GECİKMİŞ")</f>
        <v>0</v>
      </c>
      <c r="P24" s="2"/>
      <c r="Q24" s="2"/>
    </row>
    <row r="25" spans="1:17" ht="21.75" customHeight="1" x14ac:dyDescent="0.3">
      <c r="A25" s="2"/>
      <c r="B25" s="8"/>
      <c r="C25" s="2"/>
      <c r="D25" s="101" t="s">
        <v>19</v>
      </c>
      <c r="E25" s="101"/>
      <c r="F25" s="108" t="str">
        <f>IF($F$24="","",IFERROR(INDEX(MUSTERI_360!$B$7:$B$156,MATCH($F$24,MUSTERI_360!$C$7:$C$156,0)),""))</f>
        <v>M001</v>
      </c>
      <c r="G25" s="108"/>
      <c r="H25" s="108"/>
      <c r="I25" s="108"/>
      <c r="J25" s="107" t="s">
        <v>20</v>
      </c>
      <c r="K25" s="107"/>
      <c r="L25" s="107"/>
      <c r="M25" s="107"/>
      <c r="N25" s="107"/>
      <c r="O25" s="10">
        <f ca="1">COUNTIF(AKTIVITE!$Q$7:$Q$1006,"BUGÜN")</f>
        <v>0</v>
      </c>
      <c r="P25" s="2"/>
      <c r="Q25" s="2"/>
    </row>
    <row r="26" spans="1:17" ht="21.75" customHeight="1" x14ac:dyDescent="0.3">
      <c r="A26" s="2"/>
      <c r="B26" s="8"/>
      <c r="C26" s="2"/>
      <c r="D26" s="101" t="s">
        <v>21</v>
      </c>
      <c r="E26" s="101"/>
      <c r="F26" s="108" t="str">
        <f ca="1">IF($F$24="","",IFERROR(INDEX(MUSTERI_360!$Q$7:$Q$156,MATCH($F$24,MUSTERI_360!$C$7:$C$156,0)),""))</f>
        <v>KRİTİK</v>
      </c>
      <c r="G26" s="108"/>
      <c r="H26" s="108"/>
      <c r="I26" s="108"/>
      <c r="J26" s="107" t="s">
        <v>22</v>
      </c>
      <c r="K26" s="107"/>
      <c r="L26" s="107"/>
      <c r="M26" s="107"/>
      <c r="N26" s="107"/>
      <c r="O26" s="11">
        <f ca="1">COUNTIF(AKTIVITE!$Q$7:$Q$1006,"7 GÜN İÇİNDE")</f>
        <v>0</v>
      </c>
      <c r="P26" s="2"/>
      <c r="Q26" s="2"/>
    </row>
    <row r="27" spans="1:17" ht="21.75" customHeight="1" x14ac:dyDescent="0.3">
      <c r="A27" s="2"/>
      <c r="B27" s="8"/>
      <c r="C27" s="2"/>
      <c r="D27" s="101" t="s">
        <v>23</v>
      </c>
      <c r="E27" s="101"/>
      <c r="F27" s="106">
        <f>IF($F$24="","",IFERROR(INDEX(MUSTERI_360!$D$7:$D$156,MATCH($F$24,MUSTERI_360!$C$7:$C$156,0)),""))</f>
        <v>4000</v>
      </c>
      <c r="G27" s="106"/>
      <c r="H27" s="106"/>
      <c r="I27" s="106"/>
      <c r="J27" s="107" t="s">
        <v>24</v>
      </c>
      <c r="K27" s="107"/>
      <c r="L27" s="107"/>
      <c r="M27" s="107"/>
      <c r="N27" s="107"/>
      <c r="O27" s="12">
        <f>COUNTIFS(AKTIVITE!$C$7:$C$1006,"Görüşme",AKTIVITE!$Q$7:$Q$1006,"GECİKMİŞ")</f>
        <v>0</v>
      </c>
      <c r="P27" s="2"/>
      <c r="Q27" s="2"/>
    </row>
    <row r="28" spans="1:17" ht="21.75" customHeight="1" x14ac:dyDescent="0.3">
      <c r="A28" s="2"/>
      <c r="B28" s="8"/>
      <c r="C28" s="2"/>
      <c r="D28" s="101" t="s">
        <v>25</v>
      </c>
      <c r="E28" s="101"/>
      <c r="F28" s="106">
        <f>IF($F$24="","",IFERROR(INDEX(MUSTERI_360!$E$7:$E$156,MATCH($F$24,MUSTERI_360!$C$7:$C$156,0)),""))</f>
        <v>0</v>
      </c>
      <c r="G28" s="106"/>
      <c r="H28" s="106"/>
      <c r="I28" s="106"/>
      <c r="J28" s="107" t="s">
        <v>26</v>
      </c>
      <c r="K28" s="107"/>
      <c r="L28" s="107"/>
      <c r="M28" s="107"/>
      <c r="N28" s="107"/>
      <c r="O28" s="12">
        <f ca="1">COUNTIF(MUSTERI_360!$Q$7:$Q$156,"KRİTİK")</f>
        <v>32</v>
      </c>
      <c r="P28" s="2"/>
      <c r="Q28" s="2"/>
    </row>
    <row r="29" spans="1:17" ht="21.75" customHeight="1" x14ac:dyDescent="0.3">
      <c r="A29" s="2"/>
      <c r="B29" s="8"/>
      <c r="C29" s="2"/>
      <c r="D29" s="101" t="s">
        <v>27</v>
      </c>
      <c r="E29" s="101"/>
      <c r="F29" s="106">
        <f>IF($F$24="","",IFERROR(INDEX(MUSTERI_360!$F$7:$F$156,MATCH($F$24,MUSTERI_360!$C$7:$C$156,0)),""))</f>
        <v>0</v>
      </c>
      <c r="G29" s="106"/>
      <c r="H29" s="106"/>
      <c r="I29" s="106"/>
      <c r="J29" s="107" t="s">
        <v>28</v>
      </c>
      <c r="K29" s="107"/>
      <c r="L29" s="107"/>
      <c r="M29" s="107"/>
      <c r="N29" s="107"/>
      <c r="O29" s="10">
        <f>COUNTIF(MUSTERILER!$P$7:$P$156,"EKSİK")</f>
        <v>0</v>
      </c>
      <c r="P29" s="2"/>
      <c r="Q29" s="2"/>
    </row>
    <row r="30" spans="1:17" ht="21.75" customHeight="1" x14ac:dyDescent="0.3">
      <c r="A30" s="2"/>
      <c r="B30" s="8"/>
      <c r="C30" s="2"/>
      <c r="D30" s="101" t="s">
        <v>29</v>
      </c>
      <c r="E30" s="101"/>
      <c r="F30" s="106">
        <f ca="1">IF($F$24="","",IFERROR(INDEX(MUSTERI_360!$G$7:$G$156,MATCH($F$24,MUSTERI_360!$C$7:$C$156,0)),""))</f>
        <v>140200</v>
      </c>
      <c r="G30" s="106"/>
      <c r="H30" s="106"/>
      <c r="I30" s="106"/>
      <c r="J30" s="107" t="s">
        <v>30</v>
      </c>
      <c r="K30" s="107"/>
      <c r="L30" s="107"/>
      <c r="M30" s="107"/>
      <c r="N30" s="107"/>
      <c r="O30" s="10">
        <f>COUNTIFS(MUSTERILER!$D$7:$D$156,"Aktif",MUSTERILER!$O$7:$O$156,"HAYIR")</f>
        <v>2</v>
      </c>
      <c r="P30" s="2"/>
      <c r="Q30" s="2"/>
    </row>
    <row r="31" spans="1:17" ht="21.75" customHeight="1" x14ac:dyDescent="0.3">
      <c r="A31" s="2"/>
      <c r="B31" s="8"/>
      <c r="C31" s="2"/>
      <c r="D31" s="101" t="s">
        <v>31</v>
      </c>
      <c r="E31" s="101"/>
      <c r="F31" s="106">
        <f ca="1">IF($F$24="","",IFERROR(INDEX(MUSTERI_360!$H$7:$H$156,MATCH($F$24,MUSTERI_360!$C$7:$C$156,0)),""))</f>
        <v>140200</v>
      </c>
      <c r="G31" s="106"/>
      <c r="H31" s="106"/>
      <c r="I31" s="106"/>
      <c r="J31" s="107" t="s">
        <v>32</v>
      </c>
      <c r="K31" s="107"/>
      <c r="L31" s="107"/>
      <c r="M31" s="107"/>
      <c r="N31" s="107"/>
      <c r="O31" s="10">
        <f ca="1">COUNTIF(TAHSILAT!$M$7:$M$2506,"EKSİK")</f>
        <v>0</v>
      </c>
      <c r="P31" s="2"/>
      <c r="Q31" s="2"/>
    </row>
    <row r="32" spans="1:17" ht="21.75" customHeight="1" x14ac:dyDescent="0.3">
      <c r="A32" s="2"/>
      <c r="B32" s="8"/>
      <c r="C32" s="2"/>
      <c r="D32" s="101" t="s">
        <v>33</v>
      </c>
      <c r="E32" s="101"/>
      <c r="F32" s="106">
        <f>IF($F$24="","",IFERROR(INDEX(MUSTERI_360!$I$7:$I$156,MATCH($F$24,MUSTERI_360!$C$7:$C$156,0)),""))</f>
        <v>112000</v>
      </c>
      <c r="G32" s="106"/>
      <c r="H32" s="106"/>
      <c r="I32" s="106"/>
      <c r="J32" s="107" t="s">
        <v>34</v>
      </c>
      <c r="K32" s="107"/>
      <c r="L32" s="107"/>
      <c r="M32" s="107"/>
      <c r="N32" s="107"/>
      <c r="O32" s="10">
        <f ca="1">COUNTIF(GELIR_GIDER!$P$7:$P$3006,"EKSİK")</f>
        <v>0</v>
      </c>
      <c r="P32" s="2"/>
      <c r="Q32" s="2"/>
    </row>
    <row r="33" spans="1:17" ht="21.75" customHeight="1" x14ac:dyDescent="0.3">
      <c r="A33" s="2"/>
      <c r="B33" s="8"/>
      <c r="C33" s="2"/>
      <c r="D33" s="101" t="s">
        <v>35</v>
      </c>
      <c r="E33" s="101"/>
      <c r="F33" s="103">
        <f ca="1">IF($F$24="","",IFERROR(INDEX(MUSTERI_360!$J$7:$J$156,MATCH($F$24,MUSTERI_360!$C$7:$C$156,0)),""))</f>
        <v>28200</v>
      </c>
      <c r="G33" s="103"/>
      <c r="H33" s="103"/>
      <c r="I33" s="103"/>
      <c r="J33" s="107" t="s">
        <v>36</v>
      </c>
      <c r="K33" s="107"/>
      <c r="L33" s="107"/>
      <c r="M33" s="107"/>
      <c r="N33" s="107"/>
      <c r="O33" s="11">
        <f ca="1">COUNTIF(MUSTERI_360!$V$7:$V$156,"&gt;0")</f>
        <v>3</v>
      </c>
      <c r="P33" s="2"/>
      <c r="Q33" s="2"/>
    </row>
    <row r="34" spans="1:17" ht="21.75" customHeight="1" x14ac:dyDescent="0.3">
      <c r="A34" s="2"/>
      <c r="B34" s="8"/>
      <c r="C34" s="2"/>
      <c r="D34" s="101" t="s">
        <v>37</v>
      </c>
      <c r="E34" s="101"/>
      <c r="F34" s="106">
        <f ca="1">IF($F$24="","",IFERROR(INDEX(MUSTERI_360!$K$7:$K$156,MATCH($F$24,MUSTERI_360!$C$7:$C$156,0)),""))</f>
        <v>8200</v>
      </c>
      <c r="G34" s="106"/>
      <c r="H34" s="106"/>
      <c r="I34" s="106"/>
      <c r="J34" s="107" t="s">
        <v>38</v>
      </c>
      <c r="K34" s="107"/>
      <c r="L34" s="107"/>
      <c r="M34" s="107"/>
      <c r="N34" s="107"/>
      <c r="O34" s="12">
        <f ca="1">COUNTIF(TAHSILAT!$M$7:$M$2506,"MÜKERRER?")+COUNTIF(GELIR_GIDER!$P$7:$P$3006,"MÜKERRER?")</f>
        <v>22</v>
      </c>
      <c r="P34" s="2"/>
      <c r="Q34" s="2"/>
    </row>
    <row r="35" spans="1:17" ht="21.75" customHeight="1" x14ac:dyDescent="0.3">
      <c r="A35" s="2"/>
      <c r="B35" s="8"/>
      <c r="C35" s="2"/>
      <c r="D35" s="101" t="s">
        <v>39</v>
      </c>
      <c r="E35" s="101"/>
      <c r="F35" s="106">
        <f ca="1">IF($F$24="","",IFERROR(INDEX(MUSTERI_360!$L$7:$L$156,MATCH($F$24,MUSTERI_360!$C$7:$C$156,0)),""))</f>
        <v>4000</v>
      </c>
      <c r="G35" s="106"/>
      <c r="H35" s="106"/>
      <c r="I35" s="106"/>
      <c r="J35" s="107" t="s">
        <v>40</v>
      </c>
      <c r="K35" s="107"/>
      <c r="L35" s="107"/>
      <c r="M35" s="107"/>
      <c r="N35" s="107"/>
      <c r="O35" s="10">
        <f ca="1">COUNTIF(GELIR_GIDER!$P$7:$P$3006,"ÖDENECEK")</f>
        <v>0</v>
      </c>
      <c r="P35" s="2"/>
      <c r="Q35" s="2"/>
    </row>
    <row r="36" spans="1:17" ht="21.75" customHeight="1" x14ac:dyDescent="0.3">
      <c r="A36" s="2"/>
      <c r="B36" s="8"/>
      <c r="C36" s="2"/>
      <c r="D36" s="101" t="s">
        <v>41</v>
      </c>
      <c r="E36" s="101"/>
      <c r="F36" s="106">
        <f ca="1">IF($F$24="","",IFERROR(INDEX(MUSTERI_360!$M$7:$M$156,MATCH($F$24,MUSTERI_360!$C$7:$C$156,0)),""))</f>
        <v>8000</v>
      </c>
      <c r="G36" s="106"/>
      <c r="H36" s="106"/>
      <c r="I36" s="106"/>
      <c r="J36" s="107" t="s">
        <v>42</v>
      </c>
      <c r="K36" s="107"/>
      <c r="L36" s="107"/>
      <c r="M36" s="107"/>
      <c r="N36" s="107"/>
      <c r="O36" s="12">
        <f ca="1">COUNTIF(SISTEM!$F$23:$F$70,"KALDI")</f>
        <v>5</v>
      </c>
      <c r="P36" s="2"/>
      <c r="Q36" s="2"/>
    </row>
    <row r="37" spans="1:17" ht="21.75" customHeight="1" x14ac:dyDescent="0.3">
      <c r="A37" s="2"/>
      <c r="B37" s="8"/>
      <c r="C37" s="2"/>
      <c r="D37" s="101" t="s">
        <v>43</v>
      </c>
      <c r="E37" s="101"/>
      <c r="F37" s="103">
        <f ca="1">IF($F$24="","",IFERROR(INDEX(MUSTERI_360!$N$7:$N$156,MATCH($F$24,MUSTERI_360!$C$7:$C$156,0)),""))</f>
        <v>8000</v>
      </c>
      <c r="G37" s="103"/>
      <c r="H37" s="103"/>
      <c r="I37" s="103"/>
      <c r="J37" s="2"/>
      <c r="K37" s="2"/>
      <c r="L37" s="2"/>
      <c r="M37" s="2"/>
      <c r="N37" s="2"/>
      <c r="O37" s="2"/>
      <c r="P37" s="2"/>
      <c r="Q37" s="2"/>
    </row>
    <row r="38" spans="1:17" ht="21.75" customHeight="1" x14ac:dyDescent="0.3">
      <c r="A38" s="2"/>
      <c r="B38" s="8"/>
      <c r="C38" s="2"/>
      <c r="D38" s="101" t="s">
        <v>44</v>
      </c>
      <c r="E38" s="101"/>
      <c r="F38" s="104">
        <f ca="1">IF($F$24="","",IFERROR(INDEX(MUSTERI_360!$O$7:$O$156,MATCH($F$24,MUSTERI_360!$C$7:$C$156,0)),""))</f>
        <v>0.79885877318116971</v>
      </c>
      <c r="G38" s="104"/>
      <c r="H38" s="104"/>
      <c r="I38" s="104"/>
      <c r="J38" s="2"/>
      <c r="K38" s="2"/>
      <c r="L38" s="2"/>
      <c r="M38" s="2"/>
      <c r="N38" s="2"/>
      <c r="O38" s="2"/>
      <c r="P38" s="2"/>
      <c r="Q38" s="2"/>
    </row>
    <row r="39" spans="1:17" ht="21.75" customHeight="1" x14ac:dyDescent="0.3">
      <c r="A39" s="2"/>
      <c r="B39" s="8"/>
      <c r="C39" s="2"/>
      <c r="D39" s="101" t="s">
        <v>45</v>
      </c>
      <c r="E39" s="101"/>
      <c r="F39" s="105">
        <f>IF($F$24="","",IFERROR(INDEX(MUSTERI_360!$P$7:$P$156,MATCH($F$24,MUSTERI_360!$C$7:$C$156,0)),""))</f>
        <v>46249</v>
      </c>
      <c r="G39" s="105"/>
      <c r="H39" s="105"/>
      <c r="I39" s="105"/>
      <c r="J39" s="2"/>
      <c r="K39" s="2"/>
      <c r="L39" s="2"/>
      <c r="M39" s="2"/>
      <c r="N39" s="2"/>
      <c r="O39" s="2"/>
      <c r="P39" s="2"/>
      <c r="Q39" s="2"/>
    </row>
    <row r="40" spans="1:17" ht="36" customHeight="1" x14ac:dyDescent="0.3">
      <c r="A40" s="2"/>
      <c r="B40" s="8"/>
      <c r="C40" s="2"/>
      <c r="D40" s="101" t="s">
        <v>46</v>
      </c>
      <c r="E40" s="101"/>
      <c r="F40" s="102" t="str">
        <f ca="1">IF($F$24="","",IFERROR(INDEX(MUSTERI_360!$R$7:$R$156,MATCH($F$24,MUSTERI_360!$C$7:$C$156,0)),""))</f>
        <v>Acil tahsilat görüşmesi ve cari mutabakat</v>
      </c>
      <c r="G40" s="102"/>
      <c r="H40" s="102"/>
      <c r="I40" s="102"/>
      <c r="J40" s="2"/>
      <c r="K40" s="2"/>
      <c r="L40" s="2"/>
      <c r="M40" s="2"/>
      <c r="N40" s="2"/>
      <c r="O40" s="2"/>
      <c r="P40" s="2"/>
      <c r="Q40" s="2"/>
    </row>
    <row r="41" spans="1:17" ht="21.75" customHeight="1" x14ac:dyDescent="0.3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75" customHeight="1" x14ac:dyDescent="0.3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sheetProtection password="CC3D" sheet="1" formatCells="0" formatColumns="0" formatRows="0" sort="0" autoFilter="0"/>
  <mergeCells count="74">
    <mergeCell ref="A1:E1"/>
    <mergeCell ref="F1:O1"/>
    <mergeCell ref="A2:O2"/>
    <mergeCell ref="D5:F5"/>
    <mergeCell ref="G5:I5"/>
    <mergeCell ref="J5:L5"/>
    <mergeCell ref="M5:O5"/>
    <mergeCell ref="D6:F6"/>
    <mergeCell ref="G6:I6"/>
    <mergeCell ref="J6:L6"/>
    <mergeCell ref="M6:O6"/>
    <mergeCell ref="D7:F7"/>
    <mergeCell ref="G7:I7"/>
    <mergeCell ref="J7:L7"/>
    <mergeCell ref="M7:O7"/>
    <mergeCell ref="D9:F9"/>
    <mergeCell ref="G9:I9"/>
    <mergeCell ref="J9:L9"/>
    <mergeCell ref="M9:O9"/>
    <mergeCell ref="D10:F10"/>
    <mergeCell ref="G10:I10"/>
    <mergeCell ref="J10:L10"/>
    <mergeCell ref="M10:O10"/>
    <mergeCell ref="D11:F11"/>
    <mergeCell ref="G11:I11"/>
    <mergeCell ref="J11:L11"/>
    <mergeCell ref="M11:O11"/>
    <mergeCell ref="D24:E24"/>
    <mergeCell ref="F24:I24"/>
    <mergeCell ref="J24:N24"/>
    <mergeCell ref="D25:E25"/>
    <mergeCell ref="F25:I25"/>
    <mergeCell ref="J25:N25"/>
    <mergeCell ref="D26:E26"/>
    <mergeCell ref="F26:I26"/>
    <mergeCell ref="J26:N26"/>
    <mergeCell ref="D27:E27"/>
    <mergeCell ref="F27:I27"/>
    <mergeCell ref="J27:N27"/>
    <mergeCell ref="D28:E28"/>
    <mergeCell ref="F28:I28"/>
    <mergeCell ref="J28:N28"/>
    <mergeCell ref="D29:E29"/>
    <mergeCell ref="F29:I29"/>
    <mergeCell ref="J29:N29"/>
    <mergeCell ref="D30:E30"/>
    <mergeCell ref="F30:I30"/>
    <mergeCell ref="J30:N30"/>
    <mergeCell ref="D31:E31"/>
    <mergeCell ref="F31:I31"/>
    <mergeCell ref="J31:N31"/>
    <mergeCell ref="D32:E32"/>
    <mergeCell ref="F32:I32"/>
    <mergeCell ref="J32:N32"/>
    <mergeCell ref="D33:E33"/>
    <mergeCell ref="F33:I33"/>
    <mergeCell ref="J33:N33"/>
    <mergeCell ref="D34:E34"/>
    <mergeCell ref="F34:I34"/>
    <mergeCell ref="J34:N34"/>
    <mergeCell ref="D35:E35"/>
    <mergeCell ref="F35:I35"/>
    <mergeCell ref="J35:N35"/>
    <mergeCell ref="D36:E36"/>
    <mergeCell ref="F36:I36"/>
    <mergeCell ref="J36:N36"/>
    <mergeCell ref="D40:E40"/>
    <mergeCell ref="F40:I40"/>
    <mergeCell ref="D37:E37"/>
    <mergeCell ref="F37:I37"/>
    <mergeCell ref="D38:E38"/>
    <mergeCell ref="F38:I38"/>
    <mergeCell ref="D39:E39"/>
    <mergeCell ref="F39:I39"/>
  </mergeCells>
  <conditionalFormatting sqref="O24">
    <cfRule type="cellIs" dxfId="90" priority="2" operator="greaterThan">
      <formula>0</formula>
    </cfRule>
  </conditionalFormatting>
  <conditionalFormatting sqref="O25">
    <cfRule type="cellIs" dxfId="89" priority="3" operator="greaterThan">
      <formula>0</formula>
    </cfRule>
  </conditionalFormatting>
  <conditionalFormatting sqref="O26">
    <cfRule type="cellIs" dxfId="88" priority="4" operator="greaterThan">
      <formula>0</formula>
    </cfRule>
  </conditionalFormatting>
  <conditionalFormatting sqref="O27:O28">
    <cfRule type="cellIs" dxfId="87" priority="5" operator="greaterThan">
      <formula>0</formula>
    </cfRule>
  </conditionalFormatting>
  <conditionalFormatting sqref="O29:O32">
    <cfRule type="cellIs" dxfId="86" priority="7" operator="greaterThan">
      <formula>0</formula>
    </cfRule>
  </conditionalFormatting>
  <conditionalFormatting sqref="O33">
    <cfRule type="cellIs" dxfId="85" priority="11" operator="greaterThan">
      <formula>0</formula>
    </cfRule>
  </conditionalFormatting>
  <conditionalFormatting sqref="O34">
    <cfRule type="cellIs" dxfId="84" priority="12" operator="greaterThan">
      <formula>0</formula>
    </cfRule>
  </conditionalFormatting>
  <conditionalFormatting sqref="O35">
    <cfRule type="cellIs" dxfId="83" priority="13" operator="greaterThan">
      <formula>0</formula>
    </cfRule>
  </conditionalFormatting>
  <conditionalFormatting sqref="O36">
    <cfRule type="cellIs" dxfId="82" priority="14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K193"/>
  <sheetViews>
    <sheetView showGridLines="0" zoomScaleNormal="100" workbookViewId="0">
      <pane ySplit="6" topLeftCell="A37" activePane="bottomLeft" state="frozen"/>
      <selection pane="bottomLeft" activeCell="C4" sqref="C4"/>
    </sheetView>
  </sheetViews>
  <sheetFormatPr defaultColWidth="8.5703125" defaultRowHeight="14.25" x14ac:dyDescent="0.25"/>
  <cols>
    <col min="1" max="1" width="2.42578125" customWidth="1"/>
    <col min="2" max="2" width="10" customWidth="1"/>
    <col min="3" max="3" width="24" customWidth="1"/>
    <col min="4" max="5" width="18" customWidth="1"/>
    <col min="6" max="6" width="30" customWidth="1"/>
    <col min="7" max="7" width="34" customWidth="1"/>
    <col min="8" max="8" width="26" customWidth="1"/>
    <col min="9" max="9" width="20" customWidth="1"/>
    <col min="10" max="11" width="2.42578125" customWidth="1"/>
  </cols>
  <sheetData>
    <row r="1" spans="1:11" ht="37.5" customHeight="1" x14ac:dyDescent="0.3">
      <c r="A1" s="119" t="s">
        <v>0</v>
      </c>
      <c r="B1" s="119"/>
      <c r="C1" s="119"/>
      <c r="D1" s="119"/>
      <c r="E1" s="119"/>
      <c r="F1" s="120" t="s">
        <v>47</v>
      </c>
      <c r="G1" s="120"/>
      <c r="H1" s="120"/>
      <c r="I1" s="120"/>
      <c r="J1" s="13"/>
      <c r="K1" s="13"/>
    </row>
    <row r="2" spans="1:11" ht="21.75" customHeight="1" x14ac:dyDescent="0.3">
      <c r="A2" s="121" t="s">
        <v>48</v>
      </c>
      <c r="B2" s="121"/>
      <c r="C2" s="121"/>
      <c r="D2" s="121"/>
      <c r="E2" s="121"/>
      <c r="F2" s="121"/>
      <c r="G2" s="121"/>
      <c r="H2" s="121"/>
      <c r="I2" s="121"/>
      <c r="J2" s="14"/>
      <c r="K2" s="14"/>
    </row>
    <row r="3" spans="1:11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</row>
    <row r="5" spans="1:11" ht="33.75" customHeight="1" x14ac:dyDescent="0.3">
      <c r="A5" s="2"/>
      <c r="B5" s="148" t="s">
        <v>49</v>
      </c>
      <c r="C5" s="148"/>
      <c r="D5" s="148"/>
      <c r="E5" s="148"/>
      <c r="F5" s="148"/>
      <c r="G5" s="148"/>
      <c r="H5" s="148"/>
      <c r="I5" s="148"/>
      <c r="J5" s="2"/>
      <c r="K5" s="2"/>
    </row>
    <row r="6" spans="1:11" ht="21.75" customHeight="1" x14ac:dyDescent="0.3">
      <c r="A6" s="2"/>
      <c r="B6" s="149" t="s">
        <v>50</v>
      </c>
      <c r="C6" s="149"/>
      <c r="D6" s="149"/>
      <c r="E6" s="149"/>
      <c r="F6" s="149"/>
      <c r="G6" s="149"/>
      <c r="H6" s="149"/>
      <c r="I6" s="149"/>
      <c r="J6" s="2"/>
      <c r="K6" s="2"/>
    </row>
    <row r="7" spans="1:11" ht="18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3">
      <c r="A8" s="2"/>
      <c r="B8" s="127" t="s">
        <v>51</v>
      </c>
      <c r="C8" s="127"/>
      <c r="D8" s="127"/>
      <c r="E8" s="127"/>
      <c r="F8" s="127"/>
      <c r="G8" s="127"/>
      <c r="H8" s="127"/>
      <c r="I8" s="127"/>
      <c r="J8" s="2"/>
      <c r="K8" s="2"/>
    </row>
    <row r="9" spans="1:11" ht="19.5" customHeight="1" x14ac:dyDescent="0.3">
      <c r="A9" s="2"/>
      <c r="B9" s="147" t="str">
        <f>HYPERLINK("#BASLANGIC!B17","▸  1.  BU EXCEL NE İÇİN ÜRETİLDİ?")</f>
        <v>▸  1.  BU EXCEL NE İÇİN ÜRETİLDİ?</v>
      </c>
      <c r="C9" s="147"/>
      <c r="D9" s="147"/>
      <c r="E9" s="147"/>
      <c r="F9" s="147" t="str">
        <f>HYPERLINK("#BASLANGIC!B88","▸  7.  SENARYO KATALOĞU")</f>
        <v>▸  7.  SENARYO KATALOĞU</v>
      </c>
      <c r="G9" s="147"/>
      <c r="H9" s="147"/>
      <c r="I9" s="147"/>
      <c r="J9" s="2"/>
      <c r="K9" s="2"/>
    </row>
    <row r="10" spans="1:11" ht="19.5" customHeight="1" x14ac:dyDescent="0.3">
      <c r="A10" s="2"/>
      <c r="B10" s="147" t="str">
        <f>HYPERLINK("#BASLANGIC!B26","▸  2.  RENK KİLAVUZU")</f>
        <v>▸  2.  RENK KİLAVUZU</v>
      </c>
      <c r="C10" s="147"/>
      <c r="D10" s="147"/>
      <c r="E10" s="147"/>
      <c r="F10" s="147" t="str">
        <f>HYPERLINK("#BASLANGIC!B115","▸  8.  UYARI SÖZLÜĞÜ")</f>
        <v>▸  8.  UYARI SÖZLÜĞÜ</v>
      </c>
      <c r="G10" s="147"/>
      <c r="H10" s="147"/>
      <c r="I10" s="147"/>
      <c r="J10" s="2"/>
      <c r="K10" s="2"/>
    </row>
    <row r="11" spans="1:11" ht="19.5" customHeight="1" x14ac:dyDescent="0.3">
      <c r="A11" s="2"/>
      <c r="B11" s="147" t="str">
        <f>HYPERLINK("#BASLANGIC!B40","▸  3.  SEKME HARİTASI")</f>
        <v>▸  3.  SEKME HARİTASI</v>
      </c>
      <c r="C11" s="147"/>
      <c r="D11" s="147"/>
      <c r="E11" s="147"/>
      <c r="F11" s="147" t="str">
        <f>HYPERLINK("#BASLANGIC!B142","▸  9.  EN SIK YAPILAN HATALAR")</f>
        <v>▸  9.  EN SIK YAPILAN HATALAR</v>
      </c>
      <c r="G11" s="147"/>
      <c r="H11" s="147"/>
      <c r="I11" s="147"/>
      <c r="J11" s="2"/>
      <c r="K11" s="2"/>
    </row>
    <row r="12" spans="1:11" ht="19.5" customHeight="1" x14ac:dyDescent="0.3">
      <c r="A12" s="2"/>
      <c r="B12" s="147" t="str">
        <f>HYPERLINK("#BASLANGIC!B57","▸  4.  EKRAN MODLARI")</f>
        <v>▸  4.  EKRAN MODLARI</v>
      </c>
      <c r="C12" s="147"/>
      <c r="D12" s="147"/>
      <c r="E12" s="147"/>
      <c r="F12" s="147" t="str">
        <f>HYPERLINK("#BASLANGIC!B155","▸  10.  SORUN GİDERME")</f>
        <v>▸  10.  SORUN GİDERME</v>
      </c>
      <c r="G12" s="147"/>
      <c r="H12" s="147"/>
      <c r="I12" s="147"/>
      <c r="J12" s="2"/>
      <c r="K12" s="2"/>
    </row>
    <row r="13" spans="1:11" ht="19.5" customHeight="1" x14ac:dyDescent="0.3">
      <c r="A13" s="2"/>
      <c r="B13" s="147" t="str">
        <f>HYPERLINK("#BASLANGIC!B63","▸  5.  ADIM ADIM KULLANIM")</f>
        <v>▸  5.  ADIM ADIM KULLANIM</v>
      </c>
      <c r="C13" s="147"/>
      <c r="D13" s="147"/>
      <c r="E13" s="147"/>
      <c r="F13" s="147" t="str">
        <f>HYPERLINK("#BASLANGIC!B173","▸  11.  DEĞİŞMEZ KURALLAR")</f>
        <v>▸  11.  DEĞİŞMEZ KURALLAR</v>
      </c>
      <c r="G13" s="147"/>
      <c r="H13" s="147"/>
      <c r="I13" s="147"/>
      <c r="J13" s="2"/>
      <c r="K13" s="2"/>
    </row>
    <row r="14" spans="1:11" ht="19.5" customHeight="1" x14ac:dyDescent="0.3">
      <c r="A14" s="2"/>
      <c r="B14" s="147" t="str">
        <f>HYPERLINK("#BASLANGIC!B78","▸  6.  TAHAKKUK MODELLERİ, ZAM VE PARA GİRİŞİ")</f>
        <v>▸  6.  TAHAKKUK MODELLERİ, ZAM VE PARA GİRİŞİ</v>
      </c>
      <c r="C14" s="147"/>
      <c r="D14" s="147"/>
      <c r="E14" s="147"/>
      <c r="F14" s="147" t="str">
        <f>HYPERLINK("#BASLANGIC!B183","▸  12.  KORUMA, YEDEK VE GÜVENLİK")</f>
        <v>▸  12.  KORUMA, YEDEK VE GÜVENLİK</v>
      </c>
      <c r="G14" s="147"/>
      <c r="H14" s="147"/>
      <c r="I14" s="147"/>
      <c r="J14" s="2"/>
      <c r="K14" s="2"/>
    </row>
    <row r="15" spans="1:11" ht="18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.75" customHeight="1" x14ac:dyDescent="0.3">
      <c r="A17" s="2"/>
      <c r="B17" s="127" t="s">
        <v>52</v>
      </c>
      <c r="C17" s="127"/>
      <c r="D17" s="127"/>
      <c r="E17" s="127"/>
      <c r="F17" s="127"/>
      <c r="G17" s="127"/>
      <c r="H17" s="127"/>
      <c r="I17" s="127"/>
      <c r="J17" s="2"/>
      <c r="K17" s="2"/>
    </row>
    <row r="18" spans="1:11" ht="30" customHeight="1" x14ac:dyDescent="0.3">
      <c r="A18" s="2"/>
      <c r="B18" s="128" t="s">
        <v>53</v>
      </c>
      <c r="C18" s="128"/>
      <c r="D18" s="128" t="s">
        <v>54</v>
      </c>
      <c r="E18" s="128"/>
      <c r="F18" s="128"/>
      <c r="G18" s="128"/>
      <c r="H18" s="128"/>
      <c r="I18" s="128"/>
      <c r="J18" s="2"/>
      <c r="K18" s="2"/>
    </row>
    <row r="19" spans="1:11" ht="31.5" customHeight="1" x14ac:dyDescent="0.3">
      <c r="A19" s="2"/>
      <c r="B19" s="123" t="s">
        <v>55</v>
      </c>
      <c r="C19" s="123"/>
      <c r="D19" s="124" t="s">
        <v>56</v>
      </c>
      <c r="E19" s="124"/>
      <c r="F19" s="124"/>
      <c r="G19" s="124"/>
      <c r="H19" s="124"/>
      <c r="I19" s="124"/>
      <c r="J19" s="2"/>
      <c r="K19" s="2"/>
    </row>
    <row r="20" spans="1:11" ht="31.5" customHeight="1" x14ac:dyDescent="0.3">
      <c r="A20" s="2"/>
      <c r="B20" s="123" t="s">
        <v>57</v>
      </c>
      <c r="C20" s="123"/>
      <c r="D20" s="124" t="s">
        <v>58</v>
      </c>
      <c r="E20" s="124"/>
      <c r="F20" s="124"/>
      <c r="G20" s="124"/>
      <c r="H20" s="124"/>
      <c r="I20" s="124"/>
      <c r="J20" s="2"/>
      <c r="K20" s="2"/>
    </row>
    <row r="21" spans="1:11" ht="31.5" customHeight="1" x14ac:dyDescent="0.3">
      <c r="A21" s="2"/>
      <c r="B21" s="123" t="s">
        <v>59</v>
      </c>
      <c r="C21" s="123"/>
      <c r="D21" s="124" t="s">
        <v>60</v>
      </c>
      <c r="E21" s="124"/>
      <c r="F21" s="124"/>
      <c r="G21" s="124"/>
      <c r="H21" s="124"/>
      <c r="I21" s="124"/>
      <c r="J21" s="2"/>
      <c r="K21" s="2"/>
    </row>
    <row r="22" spans="1:11" ht="31.5" customHeight="1" x14ac:dyDescent="0.3">
      <c r="A22" s="2"/>
      <c r="B22" s="123" t="s">
        <v>61</v>
      </c>
      <c r="C22" s="123"/>
      <c r="D22" s="124" t="s">
        <v>62</v>
      </c>
      <c r="E22" s="124"/>
      <c r="F22" s="124"/>
      <c r="G22" s="124"/>
      <c r="H22" s="124"/>
      <c r="I22" s="124"/>
      <c r="J22" s="2"/>
      <c r="K22" s="2"/>
    </row>
    <row r="23" spans="1:11" ht="31.5" customHeight="1" x14ac:dyDescent="0.3">
      <c r="A23" s="2"/>
      <c r="B23" s="123" t="s">
        <v>63</v>
      </c>
      <c r="C23" s="123"/>
      <c r="D23" s="124" t="s">
        <v>64</v>
      </c>
      <c r="E23" s="124"/>
      <c r="F23" s="124"/>
      <c r="G23" s="124"/>
      <c r="H23" s="124"/>
      <c r="I23" s="124"/>
      <c r="J23" s="2"/>
      <c r="K23" s="2"/>
    </row>
    <row r="24" spans="1:11" ht="31.5" customHeight="1" x14ac:dyDescent="0.3">
      <c r="A24" s="2"/>
      <c r="B24" s="123" t="s">
        <v>65</v>
      </c>
      <c r="C24" s="123"/>
      <c r="D24" s="124" t="s">
        <v>66</v>
      </c>
      <c r="E24" s="124"/>
      <c r="F24" s="124"/>
      <c r="G24" s="124"/>
      <c r="H24" s="124"/>
      <c r="I24" s="124"/>
      <c r="J24" s="2"/>
      <c r="K24" s="2"/>
    </row>
    <row r="25" spans="1:11" ht="18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3">
      <c r="A26" s="2"/>
      <c r="B26" s="127" t="s">
        <v>67</v>
      </c>
      <c r="C26" s="127"/>
      <c r="D26" s="127"/>
      <c r="E26" s="127"/>
      <c r="F26" s="127"/>
      <c r="G26" s="127"/>
      <c r="H26" s="127"/>
      <c r="I26" s="127"/>
      <c r="J26" s="2"/>
      <c r="K26" s="2"/>
    </row>
    <row r="27" spans="1:11" ht="30" customHeight="1" x14ac:dyDescent="0.3">
      <c r="A27" s="2"/>
      <c r="B27" s="18" t="s">
        <v>68</v>
      </c>
      <c r="C27" s="128" t="s">
        <v>69</v>
      </c>
      <c r="D27" s="128"/>
      <c r="E27" s="128" t="s">
        <v>70</v>
      </c>
      <c r="F27" s="128"/>
      <c r="G27" s="128" t="s">
        <v>71</v>
      </c>
      <c r="H27" s="128"/>
      <c r="I27" s="128"/>
      <c r="J27" s="2"/>
      <c r="K27" s="2"/>
    </row>
    <row r="28" spans="1:11" ht="30" customHeight="1" x14ac:dyDescent="0.3">
      <c r="A28" s="2"/>
      <c r="B28" s="20" t="s">
        <v>72</v>
      </c>
      <c r="C28" s="140" t="s">
        <v>73</v>
      </c>
      <c r="D28" s="140"/>
      <c r="E28" s="125" t="s">
        <v>74</v>
      </c>
      <c r="F28" s="125"/>
      <c r="G28" s="124" t="s">
        <v>75</v>
      </c>
      <c r="H28" s="124"/>
      <c r="I28" s="124"/>
      <c r="J28" s="2"/>
      <c r="K28" s="2"/>
    </row>
    <row r="29" spans="1:11" ht="30" customHeight="1" x14ac:dyDescent="0.3">
      <c r="A29" s="2"/>
      <c r="B29" s="22" t="s">
        <v>72</v>
      </c>
      <c r="C29" s="146" t="s">
        <v>76</v>
      </c>
      <c r="D29" s="146"/>
      <c r="E29" s="125" t="s">
        <v>77</v>
      </c>
      <c r="F29" s="125"/>
      <c r="G29" s="124" t="s">
        <v>78</v>
      </c>
      <c r="H29" s="124"/>
      <c r="I29" s="124"/>
      <c r="J29" s="2"/>
      <c r="K29" s="2"/>
    </row>
    <row r="30" spans="1:11" ht="30" customHeight="1" x14ac:dyDescent="0.3">
      <c r="A30" s="2"/>
      <c r="B30" s="23" t="s">
        <v>72</v>
      </c>
      <c r="C30" s="145" t="s">
        <v>79</v>
      </c>
      <c r="D30" s="145"/>
      <c r="E30" s="125" t="s">
        <v>80</v>
      </c>
      <c r="F30" s="125"/>
      <c r="G30" s="124" t="s">
        <v>81</v>
      </c>
      <c r="H30" s="124"/>
      <c r="I30" s="124"/>
      <c r="J30" s="2"/>
      <c r="K30" s="2"/>
    </row>
    <row r="31" spans="1:11" ht="30" customHeight="1" x14ac:dyDescent="0.3">
      <c r="A31" s="2"/>
      <c r="B31" s="24" t="s">
        <v>72</v>
      </c>
      <c r="C31" s="138" t="s">
        <v>82</v>
      </c>
      <c r="D31" s="138"/>
      <c r="E31" s="125" t="s">
        <v>83</v>
      </c>
      <c r="F31" s="125"/>
      <c r="G31" s="124" t="s">
        <v>84</v>
      </c>
      <c r="H31" s="124"/>
      <c r="I31" s="124"/>
      <c r="J31" s="2"/>
      <c r="K31" s="2"/>
    </row>
    <row r="32" spans="1:11" ht="30" customHeight="1" x14ac:dyDescent="0.3">
      <c r="A32" s="2"/>
      <c r="B32" s="25" t="s">
        <v>72</v>
      </c>
      <c r="C32" s="144" t="s">
        <v>85</v>
      </c>
      <c r="D32" s="144"/>
      <c r="E32" s="125" t="s">
        <v>86</v>
      </c>
      <c r="F32" s="125"/>
      <c r="G32" s="124" t="s">
        <v>87</v>
      </c>
      <c r="H32" s="124"/>
      <c r="I32" s="124"/>
      <c r="J32" s="2"/>
      <c r="K32" s="2"/>
    </row>
    <row r="33" spans="1:11" ht="30" customHeight="1" x14ac:dyDescent="0.3">
      <c r="A33" s="2"/>
      <c r="B33" s="26" t="s">
        <v>72</v>
      </c>
      <c r="C33" s="141" t="s">
        <v>88</v>
      </c>
      <c r="D33" s="141"/>
      <c r="E33" s="125" t="s">
        <v>89</v>
      </c>
      <c r="F33" s="125"/>
      <c r="G33" s="124" t="s">
        <v>90</v>
      </c>
      <c r="H33" s="124"/>
      <c r="I33" s="124"/>
      <c r="J33" s="2"/>
      <c r="K33" s="2"/>
    </row>
    <row r="34" spans="1:11" ht="30" customHeight="1" x14ac:dyDescent="0.3">
      <c r="A34" s="2"/>
      <c r="B34" s="27" t="s">
        <v>72</v>
      </c>
      <c r="C34" s="145" t="s">
        <v>91</v>
      </c>
      <c r="D34" s="145"/>
      <c r="E34" s="125" t="s">
        <v>92</v>
      </c>
      <c r="F34" s="125"/>
      <c r="G34" s="124" t="s">
        <v>93</v>
      </c>
      <c r="H34" s="124"/>
      <c r="I34" s="124"/>
      <c r="J34" s="2"/>
      <c r="K34" s="2"/>
    </row>
    <row r="35" spans="1:11" ht="30" customHeight="1" x14ac:dyDescent="0.3">
      <c r="A35" s="2"/>
      <c r="B35" s="28" t="s">
        <v>72</v>
      </c>
      <c r="C35" s="142" t="s">
        <v>94</v>
      </c>
      <c r="D35" s="142"/>
      <c r="E35" s="125" t="s">
        <v>95</v>
      </c>
      <c r="F35" s="125"/>
      <c r="G35" s="124" t="s">
        <v>96</v>
      </c>
      <c r="H35" s="124"/>
      <c r="I35" s="124"/>
      <c r="J35" s="2"/>
      <c r="K35" s="2"/>
    </row>
    <row r="36" spans="1:11" ht="30" customHeight="1" x14ac:dyDescent="0.3">
      <c r="A36" s="2"/>
      <c r="B36" s="29" t="s">
        <v>72</v>
      </c>
      <c r="C36" s="138" t="s">
        <v>97</v>
      </c>
      <c r="D36" s="138"/>
      <c r="E36" s="125" t="s">
        <v>98</v>
      </c>
      <c r="F36" s="125"/>
      <c r="G36" s="124" t="s">
        <v>99</v>
      </c>
      <c r="H36" s="124"/>
      <c r="I36" s="124"/>
      <c r="J36" s="2"/>
      <c r="K36" s="2"/>
    </row>
    <row r="37" spans="1:11" ht="30" customHeight="1" x14ac:dyDescent="0.3">
      <c r="A37" s="2"/>
      <c r="B37" s="30" t="s">
        <v>72</v>
      </c>
      <c r="C37" s="143" t="s">
        <v>100</v>
      </c>
      <c r="D37" s="143"/>
      <c r="E37" s="125" t="s">
        <v>101</v>
      </c>
      <c r="F37" s="125"/>
      <c r="G37" s="124" t="s">
        <v>102</v>
      </c>
      <c r="H37" s="124"/>
      <c r="I37" s="124"/>
      <c r="J37" s="2"/>
      <c r="K37" s="2"/>
    </row>
    <row r="38" spans="1:11" ht="30" customHeight="1" x14ac:dyDescent="0.3">
      <c r="A38" s="2"/>
      <c r="B38" s="31" t="s">
        <v>72</v>
      </c>
      <c r="C38" s="141" t="s">
        <v>103</v>
      </c>
      <c r="D38" s="141"/>
      <c r="E38" s="125" t="s">
        <v>104</v>
      </c>
      <c r="F38" s="125"/>
      <c r="G38" s="124" t="s">
        <v>105</v>
      </c>
      <c r="H38" s="124"/>
      <c r="I38" s="124"/>
      <c r="J38" s="2"/>
      <c r="K38" s="2"/>
    </row>
    <row r="39" spans="1:11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3">
      <c r="A40" s="2"/>
      <c r="B40" s="127" t="s">
        <v>106</v>
      </c>
      <c r="C40" s="127"/>
      <c r="D40" s="127"/>
      <c r="E40" s="127"/>
      <c r="F40" s="127"/>
      <c r="G40" s="127"/>
      <c r="H40" s="127"/>
      <c r="I40" s="127"/>
      <c r="J40" s="2"/>
      <c r="K40" s="2"/>
    </row>
    <row r="41" spans="1:11" ht="30" customHeight="1" x14ac:dyDescent="0.3">
      <c r="A41" s="2"/>
      <c r="B41" s="18" t="s">
        <v>68</v>
      </c>
      <c r="C41" s="18" t="s">
        <v>107</v>
      </c>
      <c r="D41" s="128" t="s">
        <v>108</v>
      </c>
      <c r="E41" s="128"/>
      <c r="F41" s="128"/>
      <c r="G41" s="128" t="s">
        <v>109</v>
      </c>
      <c r="H41" s="128"/>
      <c r="I41" s="128"/>
      <c r="J41" s="2"/>
      <c r="K41" s="2"/>
    </row>
    <row r="42" spans="1:11" ht="43.5" customHeight="1" x14ac:dyDescent="0.3">
      <c r="A42" s="2"/>
      <c r="B42" s="32" t="s">
        <v>72</v>
      </c>
      <c r="C42" s="17" t="str">
        <f>HYPERLINK("#PANO!A1","PANO")</f>
        <v>PANO</v>
      </c>
      <c r="D42" s="125" t="s">
        <v>110</v>
      </c>
      <c r="E42" s="125"/>
      <c r="F42" s="125"/>
      <c r="G42" s="132" t="s">
        <v>111</v>
      </c>
      <c r="H42" s="132"/>
      <c r="I42" s="132"/>
      <c r="J42" s="2"/>
      <c r="K42" s="2"/>
    </row>
    <row r="43" spans="1:11" ht="43.5" customHeight="1" x14ac:dyDescent="0.3">
      <c r="A43" s="2"/>
      <c r="B43" s="33" t="s">
        <v>72</v>
      </c>
      <c r="C43" s="17" t="str">
        <f>HYPERLINK("#BASLANGIC!A1","BASLANGIC")</f>
        <v>BASLANGIC</v>
      </c>
      <c r="D43" s="125" t="s">
        <v>112</v>
      </c>
      <c r="E43" s="125"/>
      <c r="F43" s="125"/>
      <c r="G43" s="132" t="s">
        <v>113</v>
      </c>
      <c r="H43" s="132"/>
      <c r="I43" s="132"/>
      <c r="J43" s="2"/>
      <c r="K43" s="2"/>
    </row>
    <row r="44" spans="1:11" ht="43.5" customHeight="1" x14ac:dyDescent="0.3">
      <c r="A44" s="2"/>
      <c r="B44" s="34" t="s">
        <v>72</v>
      </c>
      <c r="C44" s="17" t="str">
        <f>HYPERLINK("#MUSTERILER!A1","MUSTERILER")</f>
        <v>MUSTERILER</v>
      </c>
      <c r="D44" s="125" t="s">
        <v>114</v>
      </c>
      <c r="E44" s="125"/>
      <c r="F44" s="125"/>
      <c r="G44" s="132" t="s">
        <v>115</v>
      </c>
      <c r="H44" s="132"/>
      <c r="I44" s="132"/>
      <c r="J44" s="2"/>
      <c r="K44" s="2"/>
    </row>
    <row r="45" spans="1:11" ht="43.5" customHeight="1" x14ac:dyDescent="0.3">
      <c r="A45" s="2"/>
      <c r="B45" s="35" t="s">
        <v>72</v>
      </c>
      <c r="C45" s="17" t="str">
        <f>HYPERLINK("#UCRETLER!A1","UCRETLER")</f>
        <v>UCRETLER</v>
      </c>
      <c r="D45" s="125" t="s">
        <v>116</v>
      </c>
      <c r="E45" s="125"/>
      <c r="F45" s="125"/>
      <c r="G45" s="132" t="s">
        <v>117</v>
      </c>
      <c r="H45" s="132"/>
      <c r="I45" s="132"/>
      <c r="J45" s="2"/>
      <c r="K45" s="2"/>
    </row>
    <row r="46" spans="1:11" ht="43.5" customHeight="1" x14ac:dyDescent="0.3">
      <c r="A46" s="2"/>
      <c r="B46" s="36" t="s">
        <v>72</v>
      </c>
      <c r="C46" s="17" t="str">
        <f>HYPERLINK("#TAHSILAT!A1","TAHSILAT")</f>
        <v>TAHSILAT</v>
      </c>
      <c r="D46" s="125" t="s">
        <v>118</v>
      </c>
      <c r="E46" s="125"/>
      <c r="F46" s="125"/>
      <c r="G46" s="132" t="s">
        <v>119</v>
      </c>
      <c r="H46" s="132"/>
      <c r="I46" s="132"/>
      <c r="J46" s="2"/>
      <c r="K46" s="2"/>
    </row>
    <row r="47" spans="1:11" ht="43.5" customHeight="1" x14ac:dyDescent="0.3">
      <c r="A47" s="2"/>
      <c r="B47" s="37" t="s">
        <v>72</v>
      </c>
      <c r="C47" s="17" t="str">
        <f>HYPERLINK("#GELIR_GIDER!A1","GELIR_GIDER")</f>
        <v>GELIR_GIDER</v>
      </c>
      <c r="D47" s="125" t="s">
        <v>120</v>
      </c>
      <c r="E47" s="125"/>
      <c r="F47" s="125"/>
      <c r="G47" s="132" t="s">
        <v>121</v>
      </c>
      <c r="H47" s="132"/>
      <c r="I47" s="132"/>
      <c r="J47" s="2"/>
      <c r="K47" s="2"/>
    </row>
    <row r="48" spans="1:11" ht="43.5" customHeight="1" x14ac:dyDescent="0.3">
      <c r="A48" s="2"/>
      <c r="B48" s="38" t="s">
        <v>72</v>
      </c>
      <c r="C48" s="17" t="str">
        <f>HYPERLINK("#VIRMAN!A1","VIRMAN")</f>
        <v>VIRMAN</v>
      </c>
      <c r="D48" s="125" t="s">
        <v>122</v>
      </c>
      <c r="E48" s="125"/>
      <c r="F48" s="125"/>
      <c r="G48" s="132" t="s">
        <v>123</v>
      </c>
      <c r="H48" s="132"/>
      <c r="I48" s="132"/>
      <c r="J48" s="2"/>
      <c r="K48" s="2"/>
    </row>
    <row r="49" spans="1:11" ht="43.5" customHeight="1" x14ac:dyDescent="0.3">
      <c r="A49" s="2"/>
      <c r="B49" s="39" t="s">
        <v>72</v>
      </c>
      <c r="C49" s="17" t="str">
        <f>HYPERLINK("#AKTIVITE!A1","AKTIVITE")</f>
        <v>AKTIVITE</v>
      </c>
      <c r="D49" s="125" t="s">
        <v>124</v>
      </c>
      <c r="E49" s="125"/>
      <c r="F49" s="125"/>
      <c r="G49" s="132" t="s">
        <v>125</v>
      </c>
      <c r="H49" s="132"/>
      <c r="I49" s="132"/>
      <c r="J49" s="2"/>
      <c r="K49" s="2"/>
    </row>
    <row r="50" spans="1:11" ht="43.5" customHeight="1" x14ac:dyDescent="0.3">
      <c r="A50" s="2"/>
      <c r="B50" s="40" t="s">
        <v>72</v>
      </c>
      <c r="C50" s="17" t="str">
        <f>HYPERLINK("#CARI_EKSTRE!A1","CARI_EKSTRE")</f>
        <v>CARI_EKSTRE</v>
      </c>
      <c r="D50" s="125" t="s">
        <v>126</v>
      </c>
      <c r="E50" s="125"/>
      <c r="F50" s="125"/>
      <c r="G50" s="132" t="s">
        <v>127</v>
      </c>
      <c r="H50" s="132"/>
      <c r="I50" s="132"/>
      <c r="J50" s="2"/>
      <c r="K50" s="2"/>
    </row>
    <row r="51" spans="1:11" ht="43.5" customHeight="1" x14ac:dyDescent="0.3">
      <c r="A51" s="2"/>
      <c r="B51" s="41" t="s">
        <v>72</v>
      </c>
      <c r="C51" s="17" t="str">
        <f>HYPERLINK("#MUSTERI_360!A1","MUSTERI_360")</f>
        <v>MUSTERI_360</v>
      </c>
      <c r="D51" s="125" t="s">
        <v>128</v>
      </c>
      <c r="E51" s="125"/>
      <c r="F51" s="125"/>
      <c r="G51" s="132" t="s">
        <v>129</v>
      </c>
      <c r="H51" s="132"/>
      <c r="I51" s="132"/>
      <c r="J51" s="2"/>
      <c r="K51" s="2"/>
    </row>
    <row r="52" spans="1:11" ht="43.5" customHeight="1" x14ac:dyDescent="0.3">
      <c r="A52" s="2"/>
      <c r="B52" s="42" t="s">
        <v>72</v>
      </c>
      <c r="C52" s="17" t="str">
        <f>HYPERLINK("#HESAPLAR!A1","HESAPLAR")</f>
        <v>HESAPLAR</v>
      </c>
      <c r="D52" s="125" t="s">
        <v>130</v>
      </c>
      <c r="E52" s="125"/>
      <c r="F52" s="125"/>
      <c r="G52" s="132" t="s">
        <v>131</v>
      </c>
      <c r="H52" s="132"/>
      <c r="I52" s="132"/>
      <c r="J52" s="2"/>
      <c r="K52" s="2"/>
    </row>
    <row r="53" spans="1:11" ht="43.5" customHeight="1" x14ac:dyDescent="0.3">
      <c r="A53" s="2"/>
      <c r="B53" s="43" t="s">
        <v>72</v>
      </c>
      <c r="C53" s="17" t="str">
        <f>HYPERLINK("#AY_SONU!A1","AY_SONU")</f>
        <v>AY_SONU</v>
      </c>
      <c r="D53" s="125" t="s">
        <v>132</v>
      </c>
      <c r="E53" s="125"/>
      <c r="F53" s="125"/>
      <c r="G53" s="132" t="s">
        <v>133</v>
      </c>
      <c r="H53" s="132"/>
      <c r="I53" s="132"/>
      <c r="J53" s="2"/>
      <c r="K53" s="2"/>
    </row>
    <row r="54" spans="1:11" ht="43.5" customHeight="1" x14ac:dyDescent="0.3">
      <c r="A54" s="2"/>
      <c r="B54" s="43" t="s">
        <v>72</v>
      </c>
      <c r="C54" s="17" t="str">
        <f>HYPERLINK("#ORTAKLAR!A1","ORTAKLAR")</f>
        <v>ORTAKLAR</v>
      </c>
      <c r="D54" s="125" t="s">
        <v>134</v>
      </c>
      <c r="E54" s="125"/>
      <c r="F54" s="125"/>
      <c r="G54" s="132" t="s">
        <v>135</v>
      </c>
      <c r="H54" s="132"/>
      <c r="I54" s="132"/>
      <c r="J54" s="2"/>
      <c r="K54" s="2"/>
    </row>
    <row r="55" spans="1:11" ht="43.5" customHeight="1" x14ac:dyDescent="0.3">
      <c r="A55" s="2"/>
      <c r="B55" s="44" t="s">
        <v>72</v>
      </c>
      <c r="C55" s="17" t="str">
        <f>HYPERLINK("#SISTEM!A1","SISTEM")</f>
        <v>SISTEM</v>
      </c>
      <c r="D55" s="125" t="s">
        <v>136</v>
      </c>
      <c r="E55" s="125"/>
      <c r="F55" s="125"/>
      <c r="G55" s="132" t="s">
        <v>137</v>
      </c>
      <c r="H55" s="132"/>
      <c r="I55" s="132"/>
      <c r="J55" s="2"/>
      <c r="K55" s="2"/>
    </row>
    <row r="56" spans="1:11" ht="18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27.75" customHeight="1" x14ac:dyDescent="0.3">
      <c r="A57" s="2"/>
      <c r="B57" s="127" t="s">
        <v>138</v>
      </c>
      <c r="C57" s="127"/>
      <c r="D57" s="127"/>
      <c r="E57" s="127"/>
      <c r="F57" s="127"/>
      <c r="G57" s="127"/>
      <c r="H57" s="127"/>
      <c r="I57" s="127"/>
      <c r="J57" s="2"/>
      <c r="K57" s="2"/>
    </row>
    <row r="58" spans="1:11" ht="30" customHeight="1" x14ac:dyDescent="0.3">
      <c r="A58" s="2"/>
      <c r="B58" s="18" t="s">
        <v>139</v>
      </c>
      <c r="C58" s="128" t="s">
        <v>140</v>
      </c>
      <c r="D58" s="128"/>
      <c r="E58" s="18" t="s">
        <v>141</v>
      </c>
      <c r="F58" s="128" t="s">
        <v>142</v>
      </c>
      <c r="G58" s="128"/>
      <c r="H58" s="128" t="s">
        <v>143</v>
      </c>
      <c r="I58" s="128"/>
      <c r="J58" s="2"/>
      <c r="K58" s="2"/>
    </row>
    <row r="59" spans="1:11" ht="42" customHeight="1" x14ac:dyDescent="0.3">
      <c r="A59" s="2"/>
      <c r="B59" s="20" t="s">
        <v>72</v>
      </c>
      <c r="C59" s="140" t="s">
        <v>144</v>
      </c>
      <c r="D59" s="140"/>
      <c r="E59" s="21" t="s">
        <v>145</v>
      </c>
      <c r="F59" s="125" t="s">
        <v>146</v>
      </c>
      <c r="G59" s="125"/>
      <c r="H59" s="124" t="s">
        <v>147</v>
      </c>
      <c r="I59" s="124"/>
      <c r="J59" s="2"/>
      <c r="K59" s="2"/>
    </row>
    <row r="60" spans="1:11" ht="42" customHeight="1" x14ac:dyDescent="0.3">
      <c r="A60" s="2"/>
      <c r="B60" s="24" t="s">
        <v>72</v>
      </c>
      <c r="C60" s="138" t="s">
        <v>148</v>
      </c>
      <c r="D60" s="138"/>
      <c r="E60" s="21" t="s">
        <v>149</v>
      </c>
      <c r="F60" s="125" t="s">
        <v>150</v>
      </c>
      <c r="G60" s="125"/>
      <c r="H60" s="124" t="s">
        <v>151</v>
      </c>
      <c r="I60" s="124"/>
      <c r="J60" s="2"/>
      <c r="K60" s="2"/>
    </row>
    <row r="61" spans="1:11" ht="42" customHeight="1" x14ac:dyDescent="0.3">
      <c r="A61" s="2"/>
      <c r="B61" s="45" t="s">
        <v>72</v>
      </c>
      <c r="C61" s="139" t="s">
        <v>152</v>
      </c>
      <c r="D61" s="139"/>
      <c r="E61" s="21" t="s">
        <v>153</v>
      </c>
      <c r="F61" s="125" t="s">
        <v>154</v>
      </c>
      <c r="G61" s="125"/>
      <c r="H61" s="124" t="s">
        <v>155</v>
      </c>
      <c r="I61" s="124"/>
      <c r="J61" s="2"/>
      <c r="K61" s="2"/>
    </row>
    <row r="62" spans="1:11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3">
      <c r="A63" s="2"/>
      <c r="B63" s="127" t="s">
        <v>156</v>
      </c>
      <c r="C63" s="127"/>
      <c r="D63" s="127"/>
      <c r="E63" s="127"/>
      <c r="F63" s="127"/>
      <c r="G63" s="127"/>
      <c r="H63" s="127"/>
      <c r="I63" s="127"/>
      <c r="J63" s="2"/>
      <c r="K63" s="2"/>
    </row>
    <row r="64" spans="1:11" ht="30" customHeight="1" x14ac:dyDescent="0.3">
      <c r="A64" s="2"/>
      <c r="B64" s="18" t="s">
        <v>157</v>
      </c>
      <c r="C64" s="18" t="s">
        <v>158</v>
      </c>
      <c r="D64" s="18" t="s">
        <v>159</v>
      </c>
      <c r="E64" s="128" t="s">
        <v>160</v>
      </c>
      <c r="F64" s="128"/>
      <c r="G64" s="128" t="s">
        <v>161</v>
      </c>
      <c r="H64" s="128"/>
      <c r="I64" s="18" t="s">
        <v>162</v>
      </c>
      <c r="J64" s="2"/>
      <c r="K64" s="2"/>
    </row>
    <row r="65" spans="1:11" ht="30" customHeight="1" x14ac:dyDescent="0.3">
      <c r="A65" s="2"/>
      <c r="B65" s="46" t="s">
        <v>163</v>
      </c>
      <c r="C65" s="21" t="s">
        <v>164</v>
      </c>
      <c r="D65" s="17" t="str">
        <f>HYPERLINK("#MUSTERILER!A1","MUSTERILER")</f>
        <v>MUSTERILER</v>
      </c>
      <c r="E65" s="125" t="s">
        <v>165</v>
      </c>
      <c r="F65" s="125"/>
      <c r="G65" s="125" t="s">
        <v>166</v>
      </c>
      <c r="H65" s="125"/>
      <c r="I65" s="19" t="s">
        <v>167</v>
      </c>
      <c r="J65" s="2"/>
      <c r="K65" s="2"/>
    </row>
    <row r="66" spans="1:11" ht="30" customHeight="1" x14ac:dyDescent="0.3">
      <c r="A66" s="2"/>
      <c r="B66" s="46" t="s">
        <v>168</v>
      </c>
      <c r="C66" s="21" t="s">
        <v>169</v>
      </c>
      <c r="D66" s="17" t="str">
        <f>HYPERLINK("#UCRETLER!A1","UCRETLER")</f>
        <v>UCRETLER</v>
      </c>
      <c r="E66" s="125" t="s">
        <v>170</v>
      </c>
      <c r="F66" s="125"/>
      <c r="G66" s="125" t="s">
        <v>171</v>
      </c>
      <c r="H66" s="125"/>
      <c r="I66" s="19" t="s">
        <v>172</v>
      </c>
      <c r="J66" s="2"/>
      <c r="K66" s="2"/>
    </row>
    <row r="67" spans="1:11" ht="30" customHeight="1" x14ac:dyDescent="0.3">
      <c r="A67" s="2"/>
      <c r="B67" s="46" t="s">
        <v>173</v>
      </c>
      <c r="C67" s="21" t="s">
        <v>174</v>
      </c>
      <c r="D67" s="17" t="str">
        <f>HYPERLINK("#UCRETLER!A1","UCRETLER")</f>
        <v>UCRETLER</v>
      </c>
      <c r="E67" s="125" t="s">
        <v>175</v>
      </c>
      <c r="F67" s="125"/>
      <c r="G67" s="125" t="s">
        <v>176</v>
      </c>
      <c r="H67" s="125"/>
      <c r="I67" s="19" t="s">
        <v>177</v>
      </c>
      <c r="J67" s="2"/>
      <c r="K67" s="2"/>
    </row>
    <row r="68" spans="1:11" ht="30" customHeight="1" x14ac:dyDescent="0.3">
      <c r="A68" s="2"/>
      <c r="B68" s="46" t="s">
        <v>178</v>
      </c>
      <c r="C68" s="21" t="s">
        <v>179</v>
      </c>
      <c r="D68" s="17" t="str">
        <f>HYPERLINK("#TAHSILAT!A1","TAHSILAT")</f>
        <v>TAHSILAT</v>
      </c>
      <c r="E68" s="125" t="s">
        <v>180</v>
      </c>
      <c r="F68" s="125"/>
      <c r="G68" s="125" t="s">
        <v>181</v>
      </c>
      <c r="H68" s="125"/>
      <c r="I68" s="19" t="s">
        <v>167</v>
      </c>
      <c r="J68" s="2"/>
      <c r="K68" s="2"/>
    </row>
    <row r="69" spans="1:11" ht="30" customHeight="1" x14ac:dyDescent="0.3">
      <c r="A69" s="2"/>
      <c r="B69" s="46" t="s">
        <v>182</v>
      </c>
      <c r="C69" s="21" t="s">
        <v>183</v>
      </c>
      <c r="D69" s="17" t="str">
        <f>HYPERLINK("#GELIR_GIDER!A1","GELIR_GIDER")</f>
        <v>GELIR_GIDER</v>
      </c>
      <c r="E69" s="125" t="s">
        <v>184</v>
      </c>
      <c r="F69" s="125"/>
      <c r="G69" s="125" t="s">
        <v>185</v>
      </c>
      <c r="H69" s="125"/>
      <c r="I69" s="19" t="s">
        <v>186</v>
      </c>
      <c r="J69" s="2"/>
      <c r="K69" s="2"/>
    </row>
    <row r="70" spans="1:11" ht="30" customHeight="1" x14ac:dyDescent="0.3">
      <c r="A70" s="2"/>
      <c r="B70" s="46" t="s">
        <v>187</v>
      </c>
      <c r="C70" s="21" t="s">
        <v>188</v>
      </c>
      <c r="D70" s="17" t="str">
        <f>HYPERLINK("#VIRMAN!A1","VIRMAN")</f>
        <v>VIRMAN</v>
      </c>
      <c r="E70" s="125" t="s">
        <v>189</v>
      </c>
      <c r="F70" s="125"/>
      <c r="G70" s="125" t="s">
        <v>190</v>
      </c>
      <c r="H70" s="125"/>
      <c r="I70" s="19" t="s">
        <v>172</v>
      </c>
      <c r="J70" s="2"/>
      <c r="K70" s="2"/>
    </row>
    <row r="71" spans="1:11" ht="30" customHeight="1" x14ac:dyDescent="0.3">
      <c r="A71" s="2"/>
      <c r="B71" s="46" t="s">
        <v>191</v>
      </c>
      <c r="C71" s="21" t="s">
        <v>192</v>
      </c>
      <c r="D71" s="17" t="str">
        <f>HYPERLINK("#AKTIVITE!A1","AKTIVITE")</f>
        <v>AKTIVITE</v>
      </c>
      <c r="E71" s="125" t="s">
        <v>193</v>
      </c>
      <c r="F71" s="125"/>
      <c r="G71" s="125" t="s">
        <v>194</v>
      </c>
      <c r="H71" s="125"/>
      <c r="I71" s="19" t="s">
        <v>195</v>
      </c>
      <c r="J71" s="2"/>
      <c r="K71" s="2"/>
    </row>
    <row r="72" spans="1:11" ht="30" customHeight="1" x14ac:dyDescent="0.3">
      <c r="A72" s="2"/>
      <c r="B72" s="46" t="s">
        <v>196</v>
      </c>
      <c r="C72" s="21" t="s">
        <v>197</v>
      </c>
      <c r="D72" s="17" t="str">
        <f>HYPERLINK("#MUSTERI_360!A1","MUSTERI_360")</f>
        <v>MUSTERI_360</v>
      </c>
      <c r="E72" s="125" t="s">
        <v>198</v>
      </c>
      <c r="F72" s="125"/>
      <c r="G72" s="125" t="s">
        <v>199</v>
      </c>
      <c r="H72" s="125"/>
      <c r="I72" s="19" t="s">
        <v>200</v>
      </c>
      <c r="J72" s="2"/>
      <c r="K72" s="2"/>
    </row>
    <row r="73" spans="1:11" ht="30" customHeight="1" x14ac:dyDescent="0.3">
      <c r="A73" s="2"/>
      <c r="B73" s="46" t="s">
        <v>201</v>
      </c>
      <c r="C73" s="21" t="s">
        <v>202</v>
      </c>
      <c r="D73" s="17" t="str">
        <f>HYPERLINK("#CARI_EKSTRE!A1","CARI_EKSTRE")</f>
        <v>CARI_EKSTRE</v>
      </c>
      <c r="E73" s="125" t="s">
        <v>203</v>
      </c>
      <c r="F73" s="125"/>
      <c r="G73" s="125" t="s">
        <v>204</v>
      </c>
      <c r="H73" s="125"/>
      <c r="I73" s="19" t="s">
        <v>205</v>
      </c>
      <c r="J73" s="2"/>
      <c r="K73" s="2"/>
    </row>
    <row r="74" spans="1:11" ht="30" customHeight="1" x14ac:dyDescent="0.3">
      <c r="A74" s="2"/>
      <c r="B74" s="46" t="s">
        <v>206</v>
      </c>
      <c r="C74" s="21" t="s">
        <v>207</v>
      </c>
      <c r="D74" s="17" t="str">
        <f>HYPERLINK("#AY_SONU!A1","AY_SONU")</f>
        <v>AY_SONU</v>
      </c>
      <c r="E74" s="125" t="s">
        <v>208</v>
      </c>
      <c r="F74" s="125"/>
      <c r="G74" s="125" t="s">
        <v>209</v>
      </c>
      <c r="H74" s="125"/>
      <c r="I74" s="19" t="s">
        <v>210</v>
      </c>
      <c r="J74" s="2"/>
      <c r="K74" s="2"/>
    </row>
    <row r="75" spans="1:11" ht="30" customHeight="1" x14ac:dyDescent="0.3">
      <c r="A75" s="2"/>
      <c r="B75" s="46" t="s">
        <v>211</v>
      </c>
      <c r="C75" s="21" t="s">
        <v>212</v>
      </c>
      <c r="D75" s="17" t="str">
        <f>HYPERLINK("#GELIR_GIDER!A1","GELIR_GIDER")</f>
        <v>GELIR_GIDER</v>
      </c>
      <c r="E75" s="125" t="s">
        <v>213</v>
      </c>
      <c r="F75" s="125"/>
      <c r="G75" s="125" t="s">
        <v>214</v>
      </c>
      <c r="H75" s="125"/>
      <c r="I75" s="19" t="s">
        <v>215</v>
      </c>
      <c r="J75" s="2"/>
      <c r="K75" s="2"/>
    </row>
    <row r="76" spans="1:11" ht="30" customHeight="1" x14ac:dyDescent="0.3">
      <c r="A76" s="2"/>
      <c r="B76" s="46" t="s">
        <v>216</v>
      </c>
      <c r="C76" s="21" t="s">
        <v>217</v>
      </c>
      <c r="D76" s="17" t="str">
        <f>HYPERLINK("#SISTEM!A1","SISTEM")</f>
        <v>SISTEM</v>
      </c>
      <c r="E76" s="125" t="s">
        <v>218</v>
      </c>
      <c r="F76" s="125"/>
      <c r="G76" s="125" t="s">
        <v>219</v>
      </c>
      <c r="H76" s="125"/>
      <c r="I76" s="19" t="s">
        <v>220</v>
      </c>
      <c r="J76" s="2"/>
      <c r="K76" s="2"/>
    </row>
    <row r="77" spans="1:11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3">
      <c r="A78" s="2"/>
      <c r="B78" s="127" t="s">
        <v>221</v>
      </c>
      <c r="C78" s="127"/>
      <c r="D78" s="127"/>
      <c r="E78" s="127"/>
      <c r="F78" s="127"/>
      <c r="G78" s="127"/>
      <c r="H78" s="127"/>
      <c r="I78" s="127"/>
      <c r="J78" s="2"/>
      <c r="K78" s="2"/>
    </row>
    <row r="79" spans="1:11" ht="30" customHeight="1" x14ac:dyDescent="0.3">
      <c r="A79" s="2"/>
      <c r="B79" s="128" t="s">
        <v>222</v>
      </c>
      <c r="C79" s="128"/>
      <c r="D79" s="128" t="s">
        <v>223</v>
      </c>
      <c r="E79" s="128"/>
      <c r="F79" s="128"/>
      <c r="G79" s="128" t="s">
        <v>224</v>
      </c>
      <c r="H79" s="128"/>
      <c r="I79" s="128"/>
      <c r="J79" s="2"/>
      <c r="K79" s="2"/>
    </row>
    <row r="80" spans="1:11" ht="39.75" customHeight="1" x14ac:dyDescent="0.3">
      <c r="A80" s="2"/>
      <c r="B80" s="123" t="s">
        <v>225</v>
      </c>
      <c r="C80" s="123"/>
      <c r="D80" s="125" t="s">
        <v>226</v>
      </c>
      <c r="E80" s="125"/>
      <c r="F80" s="125"/>
      <c r="G80" s="124" t="s">
        <v>227</v>
      </c>
      <c r="H80" s="124"/>
      <c r="I80" s="124"/>
      <c r="J80" s="2"/>
      <c r="K80" s="2"/>
    </row>
    <row r="81" spans="1:11" ht="39.75" customHeight="1" x14ac:dyDescent="0.3">
      <c r="A81" s="2"/>
      <c r="B81" s="123" t="s">
        <v>228</v>
      </c>
      <c r="C81" s="123"/>
      <c r="D81" s="125" t="s">
        <v>229</v>
      </c>
      <c r="E81" s="125"/>
      <c r="F81" s="125"/>
      <c r="G81" s="124" t="s">
        <v>230</v>
      </c>
      <c r="H81" s="124"/>
      <c r="I81" s="124"/>
      <c r="J81" s="2"/>
      <c r="K81" s="2"/>
    </row>
    <row r="82" spans="1:11" ht="39.75" customHeight="1" x14ac:dyDescent="0.3">
      <c r="A82" s="2"/>
      <c r="B82" s="123" t="s">
        <v>231</v>
      </c>
      <c r="C82" s="123"/>
      <c r="D82" s="125" t="s">
        <v>232</v>
      </c>
      <c r="E82" s="125"/>
      <c r="F82" s="125"/>
      <c r="G82" s="124" t="s">
        <v>233</v>
      </c>
      <c r="H82" s="124"/>
      <c r="I82" s="124"/>
      <c r="J82" s="2"/>
      <c r="K82" s="2"/>
    </row>
    <row r="83" spans="1:11" ht="39.75" customHeight="1" x14ac:dyDescent="0.3">
      <c r="A83" s="2"/>
      <c r="B83" s="123" t="s">
        <v>234</v>
      </c>
      <c r="C83" s="123"/>
      <c r="D83" s="125" t="s">
        <v>235</v>
      </c>
      <c r="E83" s="125"/>
      <c r="F83" s="125"/>
      <c r="G83" s="124" t="s">
        <v>236</v>
      </c>
      <c r="H83" s="124"/>
      <c r="I83" s="124"/>
      <c r="J83" s="2"/>
      <c r="K83" s="2"/>
    </row>
    <row r="84" spans="1:11" ht="39.75" customHeight="1" x14ac:dyDescent="0.3">
      <c r="A84" s="2"/>
      <c r="B84" s="123" t="s">
        <v>237</v>
      </c>
      <c r="C84" s="123"/>
      <c r="D84" s="125" t="s">
        <v>238</v>
      </c>
      <c r="E84" s="125"/>
      <c r="F84" s="125"/>
      <c r="G84" s="124" t="s">
        <v>239</v>
      </c>
      <c r="H84" s="124"/>
      <c r="I84" s="124"/>
      <c r="J84" s="2"/>
      <c r="K84" s="2"/>
    </row>
    <row r="85" spans="1:11" ht="39.75" customHeight="1" x14ac:dyDescent="0.3">
      <c r="A85" s="2"/>
      <c r="B85" s="123" t="s">
        <v>240</v>
      </c>
      <c r="C85" s="123"/>
      <c r="D85" s="125" t="s">
        <v>241</v>
      </c>
      <c r="E85" s="125"/>
      <c r="F85" s="125"/>
      <c r="G85" s="124" t="s">
        <v>242</v>
      </c>
      <c r="H85" s="124"/>
      <c r="I85" s="124"/>
      <c r="J85" s="2"/>
      <c r="K85" s="2"/>
    </row>
    <row r="86" spans="1:11" ht="39.75" customHeight="1" x14ac:dyDescent="0.3">
      <c r="A86" s="2"/>
      <c r="B86" s="123" t="s">
        <v>243</v>
      </c>
      <c r="C86" s="123"/>
      <c r="D86" s="125" t="s">
        <v>244</v>
      </c>
      <c r="E86" s="125"/>
      <c r="F86" s="125"/>
      <c r="G86" s="124" t="s">
        <v>245</v>
      </c>
      <c r="H86" s="124"/>
      <c r="I86" s="124"/>
      <c r="J86" s="2"/>
      <c r="K86" s="2"/>
    </row>
    <row r="87" spans="1:11" ht="18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7.75" customHeight="1" x14ac:dyDescent="0.3">
      <c r="A88" s="2"/>
      <c r="B88" s="127" t="s">
        <v>246</v>
      </c>
      <c r="C88" s="127"/>
      <c r="D88" s="127"/>
      <c r="E88" s="127"/>
      <c r="F88" s="127"/>
      <c r="G88" s="127"/>
      <c r="H88" s="127"/>
      <c r="I88" s="127"/>
      <c r="J88" s="2"/>
      <c r="K88" s="2"/>
    </row>
    <row r="89" spans="1:11" ht="30" customHeight="1" x14ac:dyDescent="0.3">
      <c r="A89" s="2"/>
      <c r="B89" s="128" t="s">
        <v>247</v>
      </c>
      <c r="C89" s="128"/>
      <c r="D89" s="18" t="s">
        <v>159</v>
      </c>
      <c r="E89" s="128" t="s">
        <v>248</v>
      </c>
      <c r="F89" s="128"/>
      <c r="G89" s="128"/>
      <c r="H89" s="128"/>
      <c r="I89" s="18" t="s">
        <v>249</v>
      </c>
      <c r="J89" s="2"/>
      <c r="K89" s="2"/>
    </row>
    <row r="90" spans="1:11" ht="42" customHeight="1" x14ac:dyDescent="0.3">
      <c r="A90" s="2"/>
      <c r="B90" s="123" t="s">
        <v>250</v>
      </c>
      <c r="C90" s="123"/>
      <c r="D90" s="47" t="s">
        <v>251</v>
      </c>
      <c r="E90" s="125" t="s">
        <v>252</v>
      </c>
      <c r="F90" s="125"/>
      <c r="G90" s="125"/>
      <c r="H90" s="125"/>
      <c r="I90" s="48" t="s">
        <v>253</v>
      </c>
      <c r="J90" s="2"/>
      <c r="K90" s="2"/>
    </row>
    <row r="91" spans="1:11" ht="42" customHeight="1" x14ac:dyDescent="0.3">
      <c r="A91" s="2"/>
      <c r="B91" s="123" t="s">
        <v>254</v>
      </c>
      <c r="C91" s="123"/>
      <c r="D91" s="47" t="s">
        <v>255</v>
      </c>
      <c r="E91" s="125" t="s">
        <v>256</v>
      </c>
      <c r="F91" s="125"/>
      <c r="G91" s="125"/>
      <c r="H91" s="125"/>
      <c r="I91" s="48" t="s">
        <v>257</v>
      </c>
      <c r="J91" s="2"/>
      <c r="K91" s="2"/>
    </row>
    <row r="92" spans="1:11" ht="42" customHeight="1" x14ac:dyDescent="0.3">
      <c r="A92" s="2"/>
      <c r="B92" s="123" t="s">
        <v>258</v>
      </c>
      <c r="C92" s="123"/>
      <c r="D92" s="47" t="s">
        <v>255</v>
      </c>
      <c r="E92" s="125" t="s">
        <v>259</v>
      </c>
      <c r="F92" s="125"/>
      <c r="G92" s="125"/>
      <c r="H92" s="125"/>
      <c r="I92" s="48" t="s">
        <v>177</v>
      </c>
      <c r="J92" s="2"/>
      <c r="K92" s="2"/>
    </row>
    <row r="93" spans="1:11" ht="42" customHeight="1" x14ac:dyDescent="0.3">
      <c r="A93" s="2"/>
      <c r="B93" s="123" t="s">
        <v>260</v>
      </c>
      <c r="C93" s="123"/>
      <c r="D93" s="47" t="s">
        <v>261</v>
      </c>
      <c r="E93" s="125" t="s">
        <v>262</v>
      </c>
      <c r="F93" s="125"/>
      <c r="G93" s="125"/>
      <c r="H93" s="125"/>
      <c r="I93" s="48" t="s">
        <v>167</v>
      </c>
      <c r="J93" s="2"/>
      <c r="K93" s="2"/>
    </row>
    <row r="94" spans="1:11" ht="42" customHeight="1" x14ac:dyDescent="0.3">
      <c r="A94" s="2"/>
      <c r="B94" s="123" t="s">
        <v>263</v>
      </c>
      <c r="C94" s="123"/>
      <c r="D94" s="47" t="s">
        <v>261</v>
      </c>
      <c r="E94" s="125" t="s">
        <v>264</v>
      </c>
      <c r="F94" s="125"/>
      <c r="G94" s="125"/>
      <c r="H94" s="125"/>
      <c r="I94" s="48" t="s">
        <v>265</v>
      </c>
      <c r="J94" s="2"/>
      <c r="K94" s="2"/>
    </row>
    <row r="95" spans="1:11" ht="42" customHeight="1" x14ac:dyDescent="0.3">
      <c r="A95" s="2"/>
      <c r="B95" s="123" t="s">
        <v>266</v>
      </c>
      <c r="C95" s="123"/>
      <c r="D95" s="47" t="s">
        <v>261</v>
      </c>
      <c r="E95" s="125" t="s">
        <v>267</v>
      </c>
      <c r="F95" s="125"/>
      <c r="G95" s="125"/>
      <c r="H95" s="125"/>
      <c r="I95" s="48" t="s">
        <v>268</v>
      </c>
      <c r="J95" s="2"/>
      <c r="K95" s="2"/>
    </row>
    <row r="96" spans="1:11" ht="42" customHeight="1" x14ac:dyDescent="0.3">
      <c r="A96" s="2"/>
      <c r="B96" s="123" t="s">
        <v>269</v>
      </c>
      <c r="C96" s="123"/>
      <c r="D96" s="47" t="s">
        <v>261</v>
      </c>
      <c r="E96" s="125" t="s">
        <v>270</v>
      </c>
      <c r="F96" s="125"/>
      <c r="G96" s="125"/>
      <c r="H96" s="125"/>
      <c r="I96" s="48" t="s">
        <v>271</v>
      </c>
      <c r="J96" s="2"/>
      <c r="K96" s="2"/>
    </row>
    <row r="97" spans="1:11" ht="42" customHeight="1" x14ac:dyDescent="0.3">
      <c r="A97" s="2"/>
      <c r="B97" s="123" t="s">
        <v>272</v>
      </c>
      <c r="C97" s="123"/>
      <c r="D97" s="47" t="s">
        <v>273</v>
      </c>
      <c r="E97" s="125" t="s">
        <v>274</v>
      </c>
      <c r="F97" s="125"/>
      <c r="G97" s="125"/>
      <c r="H97" s="125"/>
      <c r="I97" s="48" t="s">
        <v>275</v>
      </c>
      <c r="J97" s="2"/>
      <c r="K97" s="2"/>
    </row>
    <row r="98" spans="1:11" ht="42" customHeight="1" x14ac:dyDescent="0.3">
      <c r="A98" s="2"/>
      <c r="B98" s="123" t="s">
        <v>276</v>
      </c>
      <c r="C98" s="123"/>
      <c r="D98" s="47" t="s">
        <v>273</v>
      </c>
      <c r="E98" s="125" t="s">
        <v>277</v>
      </c>
      <c r="F98" s="125"/>
      <c r="G98" s="125"/>
      <c r="H98" s="125"/>
      <c r="I98" s="48" t="s">
        <v>278</v>
      </c>
      <c r="J98" s="2"/>
      <c r="K98" s="2"/>
    </row>
    <row r="99" spans="1:11" ht="42" customHeight="1" x14ac:dyDescent="0.3">
      <c r="A99" s="2"/>
      <c r="B99" s="123" t="s">
        <v>279</v>
      </c>
      <c r="C99" s="123"/>
      <c r="D99" s="47" t="s">
        <v>280</v>
      </c>
      <c r="E99" s="125" t="s">
        <v>281</v>
      </c>
      <c r="F99" s="125"/>
      <c r="G99" s="125"/>
      <c r="H99" s="125"/>
      <c r="I99" s="48" t="s">
        <v>282</v>
      </c>
      <c r="J99" s="2"/>
      <c r="K99" s="2"/>
    </row>
    <row r="100" spans="1:11" ht="42" customHeight="1" x14ac:dyDescent="0.3">
      <c r="A100" s="2"/>
      <c r="B100" s="123" t="s">
        <v>283</v>
      </c>
      <c r="C100" s="123"/>
      <c r="D100" s="47" t="s">
        <v>273</v>
      </c>
      <c r="E100" s="125" t="s">
        <v>284</v>
      </c>
      <c r="F100" s="125"/>
      <c r="G100" s="125"/>
      <c r="H100" s="125"/>
      <c r="I100" s="48" t="s">
        <v>285</v>
      </c>
      <c r="J100" s="2"/>
      <c r="K100" s="2"/>
    </row>
    <row r="101" spans="1:11" ht="42" customHeight="1" x14ac:dyDescent="0.3">
      <c r="A101" s="2"/>
      <c r="B101" s="123" t="s">
        <v>286</v>
      </c>
      <c r="C101" s="123"/>
      <c r="D101" s="47" t="s">
        <v>273</v>
      </c>
      <c r="E101" s="125" t="s">
        <v>287</v>
      </c>
      <c r="F101" s="125"/>
      <c r="G101" s="125"/>
      <c r="H101" s="125"/>
      <c r="I101" s="48" t="s">
        <v>288</v>
      </c>
      <c r="J101" s="2"/>
      <c r="K101" s="2"/>
    </row>
    <row r="102" spans="1:11" ht="42" customHeight="1" x14ac:dyDescent="0.3">
      <c r="A102" s="2"/>
      <c r="B102" s="123" t="s">
        <v>289</v>
      </c>
      <c r="C102" s="123"/>
      <c r="D102" s="47" t="s">
        <v>290</v>
      </c>
      <c r="E102" s="125" t="s">
        <v>291</v>
      </c>
      <c r="F102" s="125"/>
      <c r="G102" s="125"/>
      <c r="H102" s="125"/>
      <c r="I102" s="48" t="s">
        <v>292</v>
      </c>
      <c r="J102" s="2"/>
      <c r="K102" s="2"/>
    </row>
    <row r="103" spans="1:11" ht="42" customHeight="1" x14ac:dyDescent="0.3">
      <c r="A103" s="2"/>
      <c r="B103" s="123" t="s">
        <v>293</v>
      </c>
      <c r="C103" s="123"/>
      <c r="D103" s="47" t="s">
        <v>294</v>
      </c>
      <c r="E103" s="125" t="s">
        <v>295</v>
      </c>
      <c r="F103" s="125"/>
      <c r="G103" s="125"/>
      <c r="H103" s="125"/>
      <c r="I103" s="48" t="s">
        <v>296</v>
      </c>
      <c r="J103" s="2"/>
      <c r="K103" s="2"/>
    </row>
    <row r="104" spans="1:11" ht="42" customHeight="1" x14ac:dyDescent="0.3">
      <c r="A104" s="2"/>
      <c r="B104" s="123" t="s">
        <v>297</v>
      </c>
      <c r="C104" s="123"/>
      <c r="D104" s="47" t="s">
        <v>298</v>
      </c>
      <c r="E104" s="125" t="s">
        <v>299</v>
      </c>
      <c r="F104" s="125"/>
      <c r="G104" s="125"/>
      <c r="H104" s="125"/>
      <c r="I104" s="48" t="s">
        <v>300</v>
      </c>
      <c r="J104" s="2"/>
      <c r="K104" s="2"/>
    </row>
    <row r="105" spans="1:11" ht="42" customHeight="1" x14ac:dyDescent="0.3">
      <c r="A105" s="2"/>
      <c r="B105" s="123" t="s">
        <v>301</v>
      </c>
      <c r="C105" s="123"/>
      <c r="D105" s="47" t="s">
        <v>302</v>
      </c>
      <c r="E105" s="125" t="s">
        <v>303</v>
      </c>
      <c r="F105" s="125"/>
      <c r="G105" s="125"/>
      <c r="H105" s="125"/>
      <c r="I105" s="48" t="s">
        <v>304</v>
      </c>
      <c r="J105" s="2"/>
      <c r="K105" s="2"/>
    </row>
    <row r="106" spans="1:11" ht="42" customHeight="1" x14ac:dyDescent="0.3">
      <c r="A106" s="2"/>
      <c r="B106" s="123" t="s">
        <v>305</v>
      </c>
      <c r="C106" s="123"/>
      <c r="D106" s="47" t="s">
        <v>273</v>
      </c>
      <c r="E106" s="125" t="s">
        <v>306</v>
      </c>
      <c r="F106" s="125"/>
      <c r="G106" s="125"/>
      <c r="H106" s="125"/>
      <c r="I106" s="48" t="s">
        <v>307</v>
      </c>
      <c r="J106" s="2"/>
      <c r="K106" s="2"/>
    </row>
    <row r="107" spans="1:11" ht="42" customHeight="1" x14ac:dyDescent="0.3">
      <c r="A107" s="2"/>
      <c r="B107" s="123" t="s">
        <v>308</v>
      </c>
      <c r="C107" s="123"/>
      <c r="D107" s="47" t="s">
        <v>309</v>
      </c>
      <c r="E107" s="125" t="s">
        <v>310</v>
      </c>
      <c r="F107" s="125"/>
      <c r="G107" s="125"/>
      <c r="H107" s="125"/>
      <c r="I107" s="48" t="s">
        <v>311</v>
      </c>
      <c r="J107" s="2"/>
      <c r="K107" s="2"/>
    </row>
    <row r="108" spans="1:11" ht="42" customHeight="1" x14ac:dyDescent="0.3">
      <c r="A108" s="2"/>
      <c r="B108" s="123" t="s">
        <v>312</v>
      </c>
      <c r="C108" s="123"/>
      <c r="D108" s="47" t="s">
        <v>313</v>
      </c>
      <c r="E108" s="125" t="s">
        <v>314</v>
      </c>
      <c r="F108" s="125"/>
      <c r="G108" s="125"/>
      <c r="H108" s="125"/>
      <c r="I108" s="48" t="s">
        <v>315</v>
      </c>
      <c r="J108" s="2"/>
      <c r="K108" s="2"/>
    </row>
    <row r="109" spans="1:11" ht="42" customHeight="1" x14ac:dyDescent="0.3">
      <c r="A109" s="2"/>
      <c r="B109" s="123" t="s">
        <v>316</v>
      </c>
      <c r="C109" s="123"/>
      <c r="D109" s="47" t="s">
        <v>317</v>
      </c>
      <c r="E109" s="125" t="s">
        <v>318</v>
      </c>
      <c r="F109" s="125"/>
      <c r="G109" s="125"/>
      <c r="H109" s="125"/>
      <c r="I109" s="48" t="s">
        <v>319</v>
      </c>
      <c r="J109" s="2"/>
      <c r="K109" s="2"/>
    </row>
    <row r="110" spans="1:11" ht="42" customHeight="1" x14ac:dyDescent="0.3">
      <c r="A110" s="2"/>
      <c r="B110" s="123" t="s">
        <v>320</v>
      </c>
      <c r="C110" s="123"/>
      <c r="D110" s="47" t="s">
        <v>321</v>
      </c>
      <c r="E110" s="125" t="s">
        <v>322</v>
      </c>
      <c r="F110" s="125"/>
      <c r="G110" s="125"/>
      <c r="H110" s="125"/>
      <c r="I110" s="48" t="s">
        <v>323</v>
      </c>
      <c r="J110" s="2"/>
      <c r="K110" s="2"/>
    </row>
    <row r="111" spans="1:11" ht="42" customHeight="1" x14ac:dyDescent="0.3">
      <c r="A111" s="2"/>
      <c r="B111" s="123" t="s">
        <v>324</v>
      </c>
      <c r="C111" s="123"/>
      <c r="D111" s="47" t="s">
        <v>325</v>
      </c>
      <c r="E111" s="125" t="s">
        <v>326</v>
      </c>
      <c r="F111" s="125"/>
      <c r="G111" s="125"/>
      <c r="H111" s="125"/>
      <c r="I111" s="48" t="s">
        <v>327</v>
      </c>
      <c r="J111" s="2"/>
      <c r="K111" s="2"/>
    </row>
    <row r="112" spans="1:11" ht="42" customHeight="1" x14ac:dyDescent="0.3">
      <c r="A112" s="2"/>
      <c r="B112" s="123" t="s">
        <v>328</v>
      </c>
      <c r="C112" s="123"/>
      <c r="D112" s="47" t="s">
        <v>317</v>
      </c>
      <c r="E112" s="125" t="s">
        <v>329</v>
      </c>
      <c r="F112" s="125"/>
      <c r="G112" s="125"/>
      <c r="H112" s="125"/>
      <c r="I112" s="48" t="s">
        <v>330</v>
      </c>
      <c r="J112" s="2"/>
      <c r="K112" s="2"/>
    </row>
    <row r="113" spans="1:11" ht="42" customHeight="1" x14ac:dyDescent="0.3">
      <c r="A113" s="2"/>
      <c r="B113" s="123" t="s">
        <v>331</v>
      </c>
      <c r="C113" s="123"/>
      <c r="D113" s="47" t="s">
        <v>317</v>
      </c>
      <c r="E113" s="125" t="s">
        <v>332</v>
      </c>
      <c r="F113" s="125"/>
      <c r="G113" s="125"/>
      <c r="H113" s="125"/>
      <c r="I113" s="48" t="s">
        <v>333</v>
      </c>
      <c r="J113" s="2"/>
      <c r="K113" s="2"/>
    </row>
    <row r="114" spans="1:11" ht="18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7.75" customHeight="1" x14ac:dyDescent="0.3">
      <c r="A115" s="2"/>
      <c r="B115" s="127" t="s">
        <v>334</v>
      </c>
      <c r="C115" s="127"/>
      <c r="D115" s="127"/>
      <c r="E115" s="127"/>
      <c r="F115" s="127"/>
      <c r="G115" s="127"/>
      <c r="H115" s="127"/>
      <c r="I115" s="127"/>
      <c r="J115" s="2"/>
      <c r="K115" s="2"/>
    </row>
    <row r="116" spans="1:11" ht="30" customHeight="1" x14ac:dyDescent="0.3">
      <c r="A116" s="2"/>
      <c r="B116" s="128" t="s">
        <v>335</v>
      </c>
      <c r="C116" s="128"/>
      <c r="D116" s="128" t="s">
        <v>336</v>
      </c>
      <c r="E116" s="128"/>
      <c r="F116" s="128" t="s">
        <v>142</v>
      </c>
      <c r="G116" s="128"/>
      <c r="H116" s="128" t="s">
        <v>337</v>
      </c>
      <c r="I116" s="128"/>
      <c r="J116" s="2"/>
      <c r="K116" s="2"/>
    </row>
    <row r="117" spans="1:11" ht="30" customHeight="1" x14ac:dyDescent="0.3">
      <c r="A117" s="2"/>
      <c r="B117" s="135" t="s">
        <v>338</v>
      </c>
      <c r="C117" s="135"/>
      <c r="D117" s="125" t="s">
        <v>339</v>
      </c>
      <c r="E117" s="125"/>
      <c r="F117" s="125" t="s">
        <v>340</v>
      </c>
      <c r="G117" s="125"/>
      <c r="H117" s="124" t="s">
        <v>341</v>
      </c>
      <c r="I117" s="124"/>
      <c r="J117" s="2"/>
      <c r="K117" s="2"/>
    </row>
    <row r="118" spans="1:11" ht="30" customHeight="1" x14ac:dyDescent="0.3">
      <c r="A118" s="2"/>
      <c r="B118" s="134" t="s">
        <v>342</v>
      </c>
      <c r="C118" s="134"/>
      <c r="D118" s="125" t="s">
        <v>339</v>
      </c>
      <c r="E118" s="125"/>
      <c r="F118" s="125" t="s">
        <v>343</v>
      </c>
      <c r="G118" s="125"/>
      <c r="H118" s="124" t="s">
        <v>344</v>
      </c>
      <c r="I118" s="124"/>
      <c r="J118" s="2"/>
      <c r="K118" s="2"/>
    </row>
    <row r="119" spans="1:11" ht="30" customHeight="1" x14ac:dyDescent="0.3">
      <c r="A119" s="2"/>
      <c r="B119" s="130" t="s">
        <v>345</v>
      </c>
      <c r="C119" s="130"/>
      <c r="D119" s="125" t="s">
        <v>346</v>
      </c>
      <c r="E119" s="125"/>
      <c r="F119" s="125" t="s">
        <v>347</v>
      </c>
      <c r="G119" s="125"/>
      <c r="H119" s="124" t="s">
        <v>348</v>
      </c>
      <c r="I119" s="124"/>
      <c r="J119" s="2"/>
      <c r="K119" s="2"/>
    </row>
    <row r="120" spans="1:11" ht="30" customHeight="1" x14ac:dyDescent="0.3">
      <c r="A120" s="2"/>
      <c r="B120" s="130" t="s">
        <v>349</v>
      </c>
      <c r="C120" s="130"/>
      <c r="D120" s="125" t="s">
        <v>350</v>
      </c>
      <c r="E120" s="125"/>
      <c r="F120" s="125" t="s">
        <v>351</v>
      </c>
      <c r="G120" s="125"/>
      <c r="H120" s="124" t="s">
        <v>352</v>
      </c>
      <c r="I120" s="124"/>
      <c r="J120" s="2"/>
      <c r="K120" s="2"/>
    </row>
    <row r="121" spans="1:11" ht="30" customHeight="1" x14ac:dyDescent="0.3">
      <c r="A121" s="2"/>
      <c r="B121" s="130" t="s">
        <v>353</v>
      </c>
      <c r="C121" s="130"/>
      <c r="D121" s="125" t="s">
        <v>354</v>
      </c>
      <c r="E121" s="125"/>
      <c r="F121" s="125" t="s">
        <v>355</v>
      </c>
      <c r="G121" s="125"/>
      <c r="H121" s="124" t="s">
        <v>356</v>
      </c>
      <c r="I121" s="124"/>
      <c r="J121" s="2"/>
      <c r="K121" s="2"/>
    </row>
    <row r="122" spans="1:11" ht="30" customHeight="1" x14ac:dyDescent="0.3">
      <c r="A122" s="2"/>
      <c r="B122" s="134" t="s">
        <v>357</v>
      </c>
      <c r="C122" s="134"/>
      <c r="D122" s="125" t="s">
        <v>354</v>
      </c>
      <c r="E122" s="125"/>
      <c r="F122" s="125" t="s">
        <v>358</v>
      </c>
      <c r="G122" s="125"/>
      <c r="H122" s="124" t="s">
        <v>359</v>
      </c>
      <c r="I122" s="124"/>
      <c r="J122" s="2"/>
      <c r="K122" s="2"/>
    </row>
    <row r="123" spans="1:11" ht="30" customHeight="1" x14ac:dyDescent="0.3">
      <c r="A123" s="2"/>
      <c r="B123" s="130" t="s">
        <v>360</v>
      </c>
      <c r="C123" s="130"/>
      <c r="D123" s="125" t="s">
        <v>354</v>
      </c>
      <c r="E123" s="125"/>
      <c r="F123" s="125" t="s">
        <v>361</v>
      </c>
      <c r="G123" s="125"/>
      <c r="H123" s="124" t="s">
        <v>362</v>
      </c>
      <c r="I123" s="124"/>
      <c r="J123" s="2"/>
      <c r="K123" s="2"/>
    </row>
    <row r="124" spans="1:11" ht="30" customHeight="1" x14ac:dyDescent="0.3">
      <c r="A124" s="2"/>
      <c r="B124" s="136" t="s">
        <v>363</v>
      </c>
      <c r="C124" s="136"/>
      <c r="D124" s="125" t="s">
        <v>364</v>
      </c>
      <c r="E124" s="125"/>
      <c r="F124" s="125" t="s">
        <v>365</v>
      </c>
      <c r="G124" s="125"/>
      <c r="H124" s="124" t="s">
        <v>366</v>
      </c>
      <c r="I124" s="124"/>
      <c r="J124" s="2"/>
      <c r="K124" s="2"/>
    </row>
    <row r="125" spans="1:11" ht="30" customHeight="1" x14ac:dyDescent="0.3">
      <c r="A125" s="2"/>
      <c r="B125" s="134" t="s">
        <v>367</v>
      </c>
      <c r="C125" s="134"/>
      <c r="D125" s="125" t="s">
        <v>364</v>
      </c>
      <c r="E125" s="125"/>
      <c r="F125" s="125" t="s">
        <v>368</v>
      </c>
      <c r="G125" s="125"/>
      <c r="H125" s="124" t="s">
        <v>369</v>
      </c>
      <c r="I125" s="124"/>
      <c r="J125" s="2"/>
      <c r="K125" s="2"/>
    </row>
    <row r="126" spans="1:11" ht="30" customHeight="1" x14ac:dyDescent="0.3">
      <c r="A126" s="2"/>
      <c r="B126" s="130" t="s">
        <v>370</v>
      </c>
      <c r="C126" s="130"/>
      <c r="D126" s="125" t="s">
        <v>364</v>
      </c>
      <c r="E126" s="125"/>
      <c r="F126" s="125" t="s">
        <v>371</v>
      </c>
      <c r="G126" s="125"/>
      <c r="H126" s="124" t="s">
        <v>372</v>
      </c>
      <c r="I126" s="124"/>
      <c r="J126" s="2"/>
      <c r="K126" s="2"/>
    </row>
    <row r="127" spans="1:11" ht="30" customHeight="1" x14ac:dyDescent="0.3">
      <c r="A127" s="2"/>
      <c r="B127" s="130" t="s">
        <v>373</v>
      </c>
      <c r="C127" s="130"/>
      <c r="D127" s="125" t="s">
        <v>364</v>
      </c>
      <c r="E127" s="125"/>
      <c r="F127" s="125" t="s">
        <v>374</v>
      </c>
      <c r="G127" s="125"/>
      <c r="H127" s="124" t="s">
        <v>375</v>
      </c>
      <c r="I127" s="124"/>
      <c r="J127" s="2"/>
      <c r="K127" s="2"/>
    </row>
    <row r="128" spans="1:11" ht="30" customHeight="1" x14ac:dyDescent="0.3">
      <c r="A128" s="2"/>
      <c r="B128" s="134" t="s">
        <v>376</v>
      </c>
      <c r="C128" s="134"/>
      <c r="D128" s="125" t="s">
        <v>377</v>
      </c>
      <c r="E128" s="125"/>
      <c r="F128" s="125" t="s">
        <v>378</v>
      </c>
      <c r="G128" s="125"/>
      <c r="H128" s="124" t="s">
        <v>379</v>
      </c>
      <c r="I128" s="124"/>
      <c r="J128" s="2"/>
      <c r="K128" s="2"/>
    </row>
    <row r="129" spans="1:11" ht="30" customHeight="1" x14ac:dyDescent="0.3">
      <c r="A129" s="2"/>
      <c r="B129" s="130" t="s">
        <v>380</v>
      </c>
      <c r="C129" s="130"/>
      <c r="D129" s="125" t="s">
        <v>381</v>
      </c>
      <c r="E129" s="125"/>
      <c r="F129" s="125" t="s">
        <v>382</v>
      </c>
      <c r="G129" s="125"/>
      <c r="H129" s="124" t="s">
        <v>383</v>
      </c>
      <c r="I129" s="124"/>
      <c r="J129" s="2"/>
      <c r="K129" s="2"/>
    </row>
    <row r="130" spans="1:11" ht="30" customHeight="1" x14ac:dyDescent="0.3">
      <c r="A130" s="2"/>
      <c r="B130" s="137" t="s">
        <v>384</v>
      </c>
      <c r="C130" s="137"/>
      <c r="D130" s="125" t="s">
        <v>377</v>
      </c>
      <c r="E130" s="125"/>
      <c r="F130" s="125" t="s">
        <v>385</v>
      </c>
      <c r="G130" s="125"/>
      <c r="H130" s="124" t="s">
        <v>386</v>
      </c>
      <c r="I130" s="124"/>
      <c r="J130" s="2"/>
      <c r="K130" s="2"/>
    </row>
    <row r="131" spans="1:11" ht="30" customHeight="1" x14ac:dyDescent="0.3">
      <c r="A131" s="2"/>
      <c r="B131" s="130" t="s">
        <v>387</v>
      </c>
      <c r="C131" s="130"/>
      <c r="D131" s="125" t="s">
        <v>388</v>
      </c>
      <c r="E131" s="125"/>
      <c r="F131" s="125" t="s">
        <v>389</v>
      </c>
      <c r="G131" s="125"/>
      <c r="H131" s="124" t="s">
        <v>390</v>
      </c>
      <c r="I131" s="124"/>
      <c r="J131" s="2"/>
      <c r="K131" s="2"/>
    </row>
    <row r="132" spans="1:11" ht="30" customHeight="1" x14ac:dyDescent="0.3">
      <c r="A132" s="2"/>
      <c r="B132" s="130" t="s">
        <v>391</v>
      </c>
      <c r="C132" s="130"/>
      <c r="D132" s="125" t="s">
        <v>388</v>
      </c>
      <c r="E132" s="125"/>
      <c r="F132" s="125" t="s">
        <v>392</v>
      </c>
      <c r="G132" s="125"/>
      <c r="H132" s="124" t="s">
        <v>393</v>
      </c>
      <c r="I132" s="124"/>
      <c r="J132" s="2"/>
      <c r="K132" s="2"/>
    </row>
    <row r="133" spans="1:11" ht="30" customHeight="1" x14ac:dyDescent="0.3">
      <c r="A133" s="2"/>
      <c r="B133" s="135" t="s">
        <v>394</v>
      </c>
      <c r="C133" s="135"/>
      <c r="D133" s="125" t="s">
        <v>395</v>
      </c>
      <c r="E133" s="125"/>
      <c r="F133" s="125" t="s">
        <v>396</v>
      </c>
      <c r="G133" s="125"/>
      <c r="H133" s="124" t="s">
        <v>397</v>
      </c>
      <c r="I133" s="124"/>
      <c r="J133" s="2"/>
      <c r="K133" s="2"/>
    </row>
    <row r="134" spans="1:11" ht="30" customHeight="1" x14ac:dyDescent="0.3">
      <c r="A134" s="2"/>
      <c r="B134" s="136" t="s">
        <v>398</v>
      </c>
      <c r="C134" s="136"/>
      <c r="D134" s="125" t="s">
        <v>399</v>
      </c>
      <c r="E134" s="125"/>
      <c r="F134" s="125" t="s">
        <v>400</v>
      </c>
      <c r="G134" s="125"/>
      <c r="H134" s="124" t="s">
        <v>401</v>
      </c>
      <c r="I134" s="124"/>
      <c r="J134" s="2"/>
      <c r="K134" s="2"/>
    </row>
    <row r="135" spans="1:11" ht="30" customHeight="1" x14ac:dyDescent="0.3">
      <c r="A135" s="2"/>
      <c r="B135" s="130" t="s">
        <v>402</v>
      </c>
      <c r="C135" s="130"/>
      <c r="D135" s="125" t="s">
        <v>399</v>
      </c>
      <c r="E135" s="125"/>
      <c r="F135" s="125" t="s">
        <v>403</v>
      </c>
      <c r="G135" s="125"/>
      <c r="H135" s="124" t="s">
        <v>404</v>
      </c>
      <c r="I135" s="124"/>
      <c r="J135" s="2"/>
      <c r="K135" s="2"/>
    </row>
    <row r="136" spans="1:11" ht="30" customHeight="1" x14ac:dyDescent="0.3">
      <c r="A136" s="2"/>
      <c r="B136" s="130" t="s">
        <v>405</v>
      </c>
      <c r="C136" s="130"/>
      <c r="D136" s="125" t="s">
        <v>406</v>
      </c>
      <c r="E136" s="125"/>
      <c r="F136" s="125" t="s">
        <v>407</v>
      </c>
      <c r="G136" s="125"/>
      <c r="H136" s="124" t="s">
        <v>408</v>
      </c>
      <c r="I136" s="124"/>
      <c r="J136" s="2"/>
      <c r="K136" s="2"/>
    </row>
    <row r="137" spans="1:11" ht="30" customHeight="1" x14ac:dyDescent="0.3">
      <c r="A137" s="2"/>
      <c r="B137" s="130" t="s">
        <v>409</v>
      </c>
      <c r="C137" s="130"/>
      <c r="D137" s="125" t="s">
        <v>410</v>
      </c>
      <c r="E137" s="125"/>
      <c r="F137" s="125" t="s">
        <v>411</v>
      </c>
      <c r="G137" s="125"/>
      <c r="H137" s="124" t="s">
        <v>412</v>
      </c>
      <c r="I137" s="124"/>
      <c r="J137" s="2"/>
      <c r="K137" s="2"/>
    </row>
    <row r="138" spans="1:11" ht="30" customHeight="1" x14ac:dyDescent="0.3">
      <c r="A138" s="2"/>
      <c r="B138" s="134" t="s">
        <v>413</v>
      </c>
      <c r="C138" s="134"/>
      <c r="D138" s="125" t="s">
        <v>410</v>
      </c>
      <c r="E138" s="125"/>
      <c r="F138" s="125" t="s">
        <v>414</v>
      </c>
      <c r="G138" s="125"/>
      <c r="H138" s="124" t="s">
        <v>415</v>
      </c>
      <c r="I138" s="124"/>
      <c r="J138" s="2"/>
      <c r="K138" s="2"/>
    </row>
    <row r="139" spans="1:11" ht="30" customHeight="1" x14ac:dyDescent="0.3">
      <c r="A139" s="2"/>
      <c r="B139" s="130" t="s">
        <v>416</v>
      </c>
      <c r="C139" s="130"/>
      <c r="D139" s="125" t="s">
        <v>417</v>
      </c>
      <c r="E139" s="125"/>
      <c r="F139" s="125" t="s">
        <v>418</v>
      </c>
      <c r="G139" s="125"/>
      <c r="H139" s="124" t="s">
        <v>419</v>
      </c>
      <c r="I139" s="124"/>
      <c r="J139" s="2"/>
      <c r="K139" s="2"/>
    </row>
    <row r="140" spans="1:11" ht="30" customHeight="1" x14ac:dyDescent="0.3">
      <c r="A140" s="2"/>
      <c r="B140" s="134" t="s">
        <v>420</v>
      </c>
      <c r="C140" s="134"/>
      <c r="D140" s="125" t="s">
        <v>417</v>
      </c>
      <c r="E140" s="125"/>
      <c r="F140" s="125" t="s">
        <v>421</v>
      </c>
      <c r="G140" s="125"/>
      <c r="H140" s="124" t="s">
        <v>422</v>
      </c>
      <c r="I140" s="124"/>
      <c r="J140" s="2"/>
      <c r="K140" s="2"/>
    </row>
    <row r="141" spans="1:11" ht="18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7.75" customHeight="1" x14ac:dyDescent="0.3">
      <c r="A142" s="2"/>
      <c r="B142" s="127" t="s">
        <v>423</v>
      </c>
      <c r="C142" s="127"/>
      <c r="D142" s="127"/>
      <c r="E142" s="127"/>
      <c r="F142" s="127"/>
      <c r="G142" s="127"/>
      <c r="H142" s="127"/>
      <c r="I142" s="127"/>
      <c r="J142" s="2"/>
      <c r="K142" s="2"/>
    </row>
    <row r="143" spans="1:11" ht="30" customHeight="1" x14ac:dyDescent="0.3">
      <c r="A143" s="2"/>
      <c r="B143" s="128" t="s">
        <v>424</v>
      </c>
      <c r="C143" s="128"/>
      <c r="D143" s="128" t="s">
        <v>425</v>
      </c>
      <c r="E143" s="128"/>
      <c r="F143" s="128"/>
      <c r="G143" s="128" t="s">
        <v>161</v>
      </c>
      <c r="H143" s="128"/>
      <c r="I143" s="128"/>
      <c r="J143" s="2"/>
      <c r="K143" s="2"/>
    </row>
    <row r="144" spans="1:11" ht="31.5" customHeight="1" x14ac:dyDescent="0.3">
      <c r="A144" s="2"/>
      <c r="B144" s="130" t="s">
        <v>426</v>
      </c>
      <c r="C144" s="130"/>
      <c r="D144" s="125" t="s">
        <v>427</v>
      </c>
      <c r="E144" s="125"/>
      <c r="F144" s="125"/>
      <c r="G144" s="133" t="s">
        <v>428</v>
      </c>
      <c r="H144" s="133"/>
      <c r="I144" s="133"/>
      <c r="J144" s="2"/>
      <c r="K144" s="2"/>
    </row>
    <row r="145" spans="1:11" ht="31.5" customHeight="1" x14ac:dyDescent="0.3">
      <c r="A145" s="2"/>
      <c r="B145" s="130" t="s">
        <v>429</v>
      </c>
      <c r="C145" s="130"/>
      <c r="D145" s="125" t="s">
        <v>430</v>
      </c>
      <c r="E145" s="125"/>
      <c r="F145" s="125"/>
      <c r="G145" s="132" t="s">
        <v>431</v>
      </c>
      <c r="H145" s="132"/>
      <c r="I145" s="132"/>
      <c r="J145" s="2"/>
      <c r="K145" s="2"/>
    </row>
    <row r="146" spans="1:11" ht="31.5" customHeight="1" x14ac:dyDescent="0.3">
      <c r="A146" s="2"/>
      <c r="B146" s="130" t="s">
        <v>432</v>
      </c>
      <c r="C146" s="130"/>
      <c r="D146" s="125" t="s">
        <v>433</v>
      </c>
      <c r="E146" s="125"/>
      <c r="F146" s="125"/>
      <c r="G146" s="132" t="s">
        <v>434</v>
      </c>
      <c r="H146" s="132"/>
      <c r="I146" s="132"/>
      <c r="J146" s="2"/>
      <c r="K146" s="2"/>
    </row>
    <row r="147" spans="1:11" ht="31.5" customHeight="1" x14ac:dyDescent="0.3">
      <c r="A147" s="2"/>
      <c r="B147" s="130" t="s">
        <v>435</v>
      </c>
      <c r="C147" s="130"/>
      <c r="D147" s="125" t="s">
        <v>436</v>
      </c>
      <c r="E147" s="125"/>
      <c r="F147" s="125"/>
      <c r="G147" s="133" t="s">
        <v>437</v>
      </c>
      <c r="H147" s="133"/>
      <c r="I147" s="133"/>
      <c r="J147" s="2"/>
      <c r="K147" s="2"/>
    </row>
    <row r="148" spans="1:11" ht="31.5" customHeight="1" x14ac:dyDescent="0.3">
      <c r="A148" s="2"/>
      <c r="B148" s="130" t="s">
        <v>438</v>
      </c>
      <c r="C148" s="130"/>
      <c r="D148" s="125" t="s">
        <v>439</v>
      </c>
      <c r="E148" s="125"/>
      <c r="F148" s="125"/>
      <c r="G148" s="133" t="s">
        <v>440</v>
      </c>
      <c r="H148" s="133"/>
      <c r="I148" s="133"/>
      <c r="J148" s="2"/>
      <c r="K148" s="2"/>
    </row>
    <row r="149" spans="1:11" ht="31.5" customHeight="1" x14ac:dyDescent="0.3">
      <c r="A149" s="2"/>
      <c r="B149" s="130" t="s">
        <v>441</v>
      </c>
      <c r="C149" s="130"/>
      <c r="D149" s="125" t="s">
        <v>442</v>
      </c>
      <c r="E149" s="125"/>
      <c r="F149" s="125"/>
      <c r="G149" s="133" t="s">
        <v>443</v>
      </c>
      <c r="H149" s="133"/>
      <c r="I149" s="133"/>
      <c r="J149" s="2"/>
      <c r="K149" s="2"/>
    </row>
    <row r="150" spans="1:11" ht="31.5" customHeight="1" x14ac:dyDescent="0.3">
      <c r="A150" s="2"/>
      <c r="B150" s="130" t="s">
        <v>444</v>
      </c>
      <c r="C150" s="130"/>
      <c r="D150" s="125" t="s">
        <v>445</v>
      </c>
      <c r="E150" s="125"/>
      <c r="F150" s="125"/>
      <c r="G150" s="133" t="s">
        <v>446</v>
      </c>
      <c r="H150" s="133"/>
      <c r="I150" s="133"/>
      <c r="J150" s="2"/>
      <c r="K150" s="2"/>
    </row>
    <row r="151" spans="1:11" ht="31.5" customHeight="1" x14ac:dyDescent="0.3">
      <c r="A151" s="2"/>
      <c r="B151" s="130" t="s">
        <v>447</v>
      </c>
      <c r="C151" s="130"/>
      <c r="D151" s="125" t="s">
        <v>448</v>
      </c>
      <c r="E151" s="125"/>
      <c r="F151" s="125"/>
      <c r="G151" s="133" t="s">
        <v>449</v>
      </c>
      <c r="H151" s="133"/>
      <c r="I151" s="133"/>
      <c r="J151" s="2"/>
      <c r="K151" s="2"/>
    </row>
    <row r="152" spans="1:11" ht="31.5" customHeight="1" x14ac:dyDescent="0.3">
      <c r="A152" s="2"/>
      <c r="B152" s="130" t="s">
        <v>450</v>
      </c>
      <c r="C152" s="130"/>
      <c r="D152" s="125" t="s">
        <v>451</v>
      </c>
      <c r="E152" s="125"/>
      <c r="F152" s="125"/>
      <c r="G152" s="131" t="s">
        <v>452</v>
      </c>
      <c r="H152" s="131"/>
      <c r="I152" s="131"/>
      <c r="J152" s="2"/>
      <c r="K152" s="2"/>
    </row>
    <row r="153" spans="1:11" ht="31.5" customHeight="1" x14ac:dyDescent="0.3">
      <c r="A153" s="2"/>
      <c r="B153" s="130" t="s">
        <v>453</v>
      </c>
      <c r="C153" s="130"/>
      <c r="D153" s="125" t="s">
        <v>454</v>
      </c>
      <c r="E153" s="125"/>
      <c r="F153" s="125"/>
      <c r="G153" s="132" t="s">
        <v>455</v>
      </c>
      <c r="H153" s="132"/>
      <c r="I153" s="132"/>
      <c r="J153" s="2"/>
      <c r="K153" s="2"/>
    </row>
    <row r="154" spans="1:11" ht="18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7.75" customHeight="1" x14ac:dyDescent="0.3">
      <c r="A155" s="2"/>
      <c r="B155" s="127" t="s">
        <v>456</v>
      </c>
      <c r="C155" s="127"/>
      <c r="D155" s="127"/>
      <c r="E155" s="127"/>
      <c r="F155" s="127"/>
      <c r="G155" s="127"/>
      <c r="H155" s="127"/>
      <c r="I155" s="127"/>
      <c r="J155" s="2"/>
      <c r="K155" s="2"/>
    </row>
    <row r="156" spans="1:11" ht="30" customHeight="1" x14ac:dyDescent="0.3">
      <c r="A156" s="2"/>
      <c r="B156" s="128" t="s">
        <v>457</v>
      </c>
      <c r="C156" s="128"/>
      <c r="D156" s="128" t="s">
        <v>458</v>
      </c>
      <c r="E156" s="128"/>
      <c r="F156" s="128"/>
      <c r="G156" s="128" t="s">
        <v>459</v>
      </c>
      <c r="H156" s="128"/>
      <c r="I156" s="128"/>
      <c r="J156" s="2"/>
      <c r="K156" s="2"/>
    </row>
    <row r="157" spans="1:11" ht="37.5" customHeight="1" x14ac:dyDescent="0.3">
      <c r="A157" s="2"/>
      <c r="B157" s="123" t="s">
        <v>460</v>
      </c>
      <c r="C157" s="123"/>
      <c r="D157" s="129" t="s">
        <v>461</v>
      </c>
      <c r="E157" s="129"/>
      <c r="F157" s="129"/>
      <c r="G157" s="124" t="s">
        <v>462</v>
      </c>
      <c r="H157" s="124"/>
      <c r="I157" s="124"/>
      <c r="J157" s="2"/>
      <c r="K157" s="2"/>
    </row>
    <row r="158" spans="1:11" ht="37.5" customHeight="1" x14ac:dyDescent="0.3">
      <c r="A158" s="2"/>
      <c r="B158" s="123" t="s">
        <v>463</v>
      </c>
      <c r="C158" s="123"/>
      <c r="D158" s="129" t="s">
        <v>464</v>
      </c>
      <c r="E158" s="129"/>
      <c r="F158" s="129"/>
      <c r="G158" s="124" t="s">
        <v>465</v>
      </c>
      <c r="H158" s="124"/>
      <c r="I158" s="124"/>
      <c r="J158" s="2"/>
      <c r="K158" s="2"/>
    </row>
    <row r="159" spans="1:11" ht="37.5" customHeight="1" x14ac:dyDescent="0.3">
      <c r="A159" s="2"/>
      <c r="B159" s="123" t="s">
        <v>466</v>
      </c>
      <c r="C159" s="123"/>
      <c r="D159" s="129" t="s">
        <v>467</v>
      </c>
      <c r="E159" s="129"/>
      <c r="F159" s="129"/>
      <c r="G159" s="124" t="s">
        <v>468</v>
      </c>
      <c r="H159" s="124"/>
      <c r="I159" s="124"/>
      <c r="J159" s="2"/>
      <c r="K159" s="2"/>
    </row>
    <row r="160" spans="1:11" ht="37.5" customHeight="1" x14ac:dyDescent="0.3">
      <c r="A160" s="2"/>
      <c r="B160" s="123" t="s">
        <v>469</v>
      </c>
      <c r="C160" s="123"/>
      <c r="D160" s="129" t="s">
        <v>470</v>
      </c>
      <c r="E160" s="129"/>
      <c r="F160" s="129"/>
      <c r="G160" s="124" t="s">
        <v>471</v>
      </c>
      <c r="H160" s="124"/>
      <c r="I160" s="124"/>
      <c r="J160" s="2"/>
      <c r="K160" s="2"/>
    </row>
    <row r="161" spans="1:11" ht="37.5" customHeight="1" x14ac:dyDescent="0.3">
      <c r="A161" s="2"/>
      <c r="B161" s="123" t="s">
        <v>472</v>
      </c>
      <c r="C161" s="123"/>
      <c r="D161" s="129" t="s">
        <v>473</v>
      </c>
      <c r="E161" s="129"/>
      <c r="F161" s="129"/>
      <c r="G161" s="124" t="s">
        <v>474</v>
      </c>
      <c r="H161" s="124"/>
      <c r="I161" s="124"/>
      <c r="J161" s="2"/>
      <c r="K161" s="2"/>
    </row>
    <row r="162" spans="1:11" ht="37.5" customHeight="1" x14ac:dyDescent="0.3">
      <c r="A162" s="2"/>
      <c r="B162" s="123" t="s">
        <v>475</v>
      </c>
      <c r="C162" s="123"/>
      <c r="D162" s="129" t="s">
        <v>476</v>
      </c>
      <c r="E162" s="129"/>
      <c r="F162" s="129"/>
      <c r="G162" s="124" t="s">
        <v>477</v>
      </c>
      <c r="H162" s="124"/>
      <c r="I162" s="124"/>
      <c r="J162" s="2"/>
      <c r="K162" s="2"/>
    </row>
    <row r="163" spans="1:11" ht="37.5" customHeight="1" x14ac:dyDescent="0.3">
      <c r="A163" s="2"/>
      <c r="B163" s="123" t="s">
        <v>478</v>
      </c>
      <c r="C163" s="123"/>
      <c r="D163" s="129" t="s">
        <v>479</v>
      </c>
      <c r="E163" s="129"/>
      <c r="F163" s="129"/>
      <c r="G163" s="124" t="s">
        <v>480</v>
      </c>
      <c r="H163" s="124"/>
      <c r="I163" s="124"/>
      <c r="J163" s="2"/>
      <c r="K163" s="2"/>
    </row>
    <row r="164" spans="1:11" ht="37.5" customHeight="1" x14ac:dyDescent="0.3">
      <c r="A164" s="2"/>
      <c r="B164" s="123" t="s">
        <v>481</v>
      </c>
      <c r="C164" s="123"/>
      <c r="D164" s="129" t="s">
        <v>482</v>
      </c>
      <c r="E164" s="129"/>
      <c r="F164" s="129"/>
      <c r="G164" s="124" t="s">
        <v>483</v>
      </c>
      <c r="H164" s="124"/>
      <c r="I164" s="124"/>
      <c r="J164" s="2"/>
      <c r="K164" s="2"/>
    </row>
    <row r="165" spans="1:11" ht="37.5" customHeight="1" x14ac:dyDescent="0.3">
      <c r="A165" s="2"/>
      <c r="B165" s="123" t="s">
        <v>484</v>
      </c>
      <c r="C165" s="123"/>
      <c r="D165" s="129" t="s">
        <v>485</v>
      </c>
      <c r="E165" s="129"/>
      <c r="F165" s="129"/>
      <c r="G165" s="124" t="s">
        <v>486</v>
      </c>
      <c r="H165" s="124"/>
      <c r="I165" s="124"/>
      <c r="J165" s="2"/>
      <c r="K165" s="2"/>
    </row>
    <row r="166" spans="1:11" ht="37.5" customHeight="1" x14ac:dyDescent="0.3">
      <c r="A166" s="2"/>
      <c r="B166" s="123" t="s">
        <v>487</v>
      </c>
      <c r="C166" s="123"/>
      <c r="D166" s="129" t="s">
        <v>488</v>
      </c>
      <c r="E166" s="129"/>
      <c r="F166" s="129"/>
      <c r="G166" s="124" t="s">
        <v>489</v>
      </c>
      <c r="H166" s="124"/>
      <c r="I166" s="124"/>
      <c r="J166" s="2"/>
      <c r="K166" s="2"/>
    </row>
    <row r="167" spans="1:11" ht="37.5" customHeight="1" x14ac:dyDescent="0.3">
      <c r="A167" s="2"/>
      <c r="B167" s="123" t="s">
        <v>490</v>
      </c>
      <c r="C167" s="123"/>
      <c r="D167" s="129" t="s">
        <v>491</v>
      </c>
      <c r="E167" s="129"/>
      <c r="F167" s="129"/>
      <c r="G167" s="124" t="s">
        <v>492</v>
      </c>
      <c r="H167" s="124"/>
      <c r="I167" s="124"/>
      <c r="J167" s="2"/>
      <c r="K167" s="2"/>
    </row>
    <row r="168" spans="1:11" ht="37.5" customHeight="1" x14ac:dyDescent="0.3">
      <c r="A168" s="2"/>
      <c r="B168" s="123" t="s">
        <v>493</v>
      </c>
      <c r="C168" s="123"/>
      <c r="D168" s="129" t="s">
        <v>494</v>
      </c>
      <c r="E168" s="129"/>
      <c r="F168" s="129"/>
      <c r="G168" s="124" t="s">
        <v>495</v>
      </c>
      <c r="H168" s="124"/>
      <c r="I168" s="124"/>
      <c r="J168" s="2"/>
      <c r="K168" s="2"/>
    </row>
    <row r="169" spans="1:11" ht="37.5" customHeight="1" x14ac:dyDescent="0.3">
      <c r="A169" s="2"/>
      <c r="B169" s="123" t="s">
        <v>496</v>
      </c>
      <c r="C169" s="123"/>
      <c r="D169" s="129" t="s">
        <v>497</v>
      </c>
      <c r="E169" s="129"/>
      <c r="F169" s="129"/>
      <c r="G169" s="124" t="s">
        <v>498</v>
      </c>
      <c r="H169" s="124"/>
      <c r="I169" s="124"/>
      <c r="J169" s="2"/>
      <c r="K169" s="2"/>
    </row>
    <row r="170" spans="1:11" ht="37.5" customHeight="1" x14ac:dyDescent="0.3">
      <c r="A170" s="2"/>
      <c r="B170" s="123" t="s">
        <v>499</v>
      </c>
      <c r="C170" s="123"/>
      <c r="D170" s="129" t="s">
        <v>500</v>
      </c>
      <c r="E170" s="129"/>
      <c r="F170" s="129"/>
      <c r="G170" s="124" t="s">
        <v>501</v>
      </c>
      <c r="H170" s="124"/>
      <c r="I170" s="124"/>
      <c r="J170" s="2"/>
      <c r="K170" s="2"/>
    </row>
    <row r="171" spans="1:11" ht="37.5" customHeight="1" x14ac:dyDescent="0.3">
      <c r="A171" s="2"/>
      <c r="B171" s="123" t="s">
        <v>502</v>
      </c>
      <c r="C171" s="123"/>
      <c r="D171" s="129" t="s">
        <v>503</v>
      </c>
      <c r="E171" s="129"/>
      <c r="F171" s="129"/>
      <c r="G171" s="124" t="s">
        <v>504</v>
      </c>
      <c r="H171" s="124"/>
      <c r="I171" s="124"/>
      <c r="J171" s="2"/>
      <c r="K171" s="2"/>
    </row>
    <row r="172" spans="1:11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7.75" customHeight="1" x14ac:dyDescent="0.3">
      <c r="A173" s="2"/>
      <c r="B173" s="127" t="s">
        <v>505</v>
      </c>
      <c r="C173" s="127"/>
      <c r="D173" s="127"/>
      <c r="E173" s="127"/>
      <c r="F173" s="127"/>
      <c r="G173" s="127"/>
      <c r="H173" s="127"/>
      <c r="I173" s="127"/>
      <c r="J173" s="2"/>
      <c r="K173" s="2"/>
    </row>
    <row r="174" spans="1:11" ht="30" customHeight="1" x14ac:dyDescent="0.3">
      <c r="A174" s="2"/>
      <c r="B174" s="128" t="s">
        <v>223</v>
      </c>
      <c r="C174" s="128"/>
      <c r="D174" s="128" t="s">
        <v>506</v>
      </c>
      <c r="E174" s="128"/>
      <c r="F174" s="128"/>
      <c r="G174" s="128" t="s">
        <v>507</v>
      </c>
      <c r="H174" s="128"/>
      <c r="I174" s="128"/>
      <c r="J174" s="2"/>
      <c r="K174" s="2"/>
    </row>
    <row r="175" spans="1:11" ht="27.75" customHeight="1" x14ac:dyDescent="0.3">
      <c r="A175" s="2"/>
      <c r="B175" s="123" t="s">
        <v>508</v>
      </c>
      <c r="C175" s="123"/>
      <c r="D175" s="125" t="s">
        <v>509</v>
      </c>
      <c r="E175" s="125"/>
      <c r="F175" s="125"/>
      <c r="G175" s="126" t="s">
        <v>510</v>
      </c>
      <c r="H175" s="126"/>
      <c r="I175" s="126"/>
      <c r="J175" s="2"/>
      <c r="K175" s="2"/>
    </row>
    <row r="176" spans="1:11" ht="27.75" customHeight="1" x14ac:dyDescent="0.3">
      <c r="A176" s="2"/>
      <c r="B176" s="123" t="s">
        <v>511</v>
      </c>
      <c r="C176" s="123"/>
      <c r="D176" s="125" t="s">
        <v>512</v>
      </c>
      <c r="E176" s="125"/>
      <c r="F176" s="125"/>
      <c r="G176" s="126" t="s">
        <v>513</v>
      </c>
      <c r="H176" s="126"/>
      <c r="I176" s="126"/>
      <c r="J176" s="2"/>
      <c r="K176" s="2"/>
    </row>
    <row r="177" spans="1:11" ht="27.75" customHeight="1" x14ac:dyDescent="0.3">
      <c r="A177" s="2"/>
      <c r="B177" s="123" t="s">
        <v>514</v>
      </c>
      <c r="C177" s="123"/>
      <c r="D177" s="125" t="s">
        <v>515</v>
      </c>
      <c r="E177" s="125"/>
      <c r="F177" s="125"/>
      <c r="G177" s="126" t="s">
        <v>516</v>
      </c>
      <c r="H177" s="126"/>
      <c r="I177" s="126"/>
      <c r="J177" s="2"/>
      <c r="K177" s="2"/>
    </row>
    <row r="178" spans="1:11" ht="27.75" customHeight="1" x14ac:dyDescent="0.3">
      <c r="A178" s="2"/>
      <c r="B178" s="123" t="s">
        <v>517</v>
      </c>
      <c r="C178" s="123"/>
      <c r="D178" s="125" t="s">
        <v>518</v>
      </c>
      <c r="E178" s="125"/>
      <c r="F178" s="125"/>
      <c r="G178" s="126" t="s">
        <v>519</v>
      </c>
      <c r="H178" s="126"/>
      <c r="I178" s="126"/>
      <c r="J178" s="2"/>
      <c r="K178" s="2"/>
    </row>
    <row r="179" spans="1:11" ht="27.75" customHeight="1" x14ac:dyDescent="0.3">
      <c r="A179" s="2"/>
      <c r="B179" s="123" t="s">
        <v>520</v>
      </c>
      <c r="C179" s="123"/>
      <c r="D179" s="125" t="s">
        <v>521</v>
      </c>
      <c r="E179" s="125"/>
      <c r="F179" s="125"/>
      <c r="G179" s="126" t="s">
        <v>522</v>
      </c>
      <c r="H179" s="126"/>
      <c r="I179" s="126"/>
      <c r="J179" s="2"/>
      <c r="K179" s="2"/>
    </row>
    <row r="180" spans="1:11" ht="27.75" customHeight="1" x14ac:dyDescent="0.3">
      <c r="A180" s="2"/>
      <c r="B180" s="123" t="s">
        <v>523</v>
      </c>
      <c r="C180" s="123"/>
      <c r="D180" s="125" t="s">
        <v>524</v>
      </c>
      <c r="E180" s="125"/>
      <c r="F180" s="125"/>
      <c r="G180" s="126" t="s">
        <v>525</v>
      </c>
      <c r="H180" s="126"/>
      <c r="I180" s="126"/>
      <c r="J180" s="2"/>
      <c r="K180" s="2"/>
    </row>
    <row r="181" spans="1:11" ht="27.75" customHeight="1" x14ac:dyDescent="0.3">
      <c r="A181" s="2"/>
      <c r="B181" s="123" t="s">
        <v>526</v>
      </c>
      <c r="C181" s="123"/>
      <c r="D181" s="125" t="s">
        <v>527</v>
      </c>
      <c r="E181" s="125"/>
      <c r="F181" s="125"/>
      <c r="G181" s="126" t="s">
        <v>528</v>
      </c>
      <c r="H181" s="126"/>
      <c r="I181" s="126"/>
      <c r="J181" s="2"/>
      <c r="K181" s="2"/>
    </row>
    <row r="182" spans="1:11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7.75" customHeight="1" x14ac:dyDescent="0.3">
      <c r="A183" s="2"/>
      <c r="B183" s="127" t="s">
        <v>529</v>
      </c>
      <c r="C183" s="127"/>
      <c r="D183" s="127"/>
      <c r="E183" s="127"/>
      <c r="F183" s="127"/>
      <c r="G183" s="127"/>
      <c r="H183" s="127"/>
      <c r="I183" s="127"/>
      <c r="J183" s="2"/>
      <c r="K183" s="2"/>
    </row>
    <row r="184" spans="1:11" ht="30" customHeight="1" x14ac:dyDescent="0.3">
      <c r="A184" s="2"/>
      <c r="B184" s="128" t="s">
        <v>222</v>
      </c>
      <c r="C184" s="128"/>
      <c r="D184" s="18" t="s">
        <v>530</v>
      </c>
      <c r="E184" s="128" t="s">
        <v>54</v>
      </c>
      <c r="F184" s="128"/>
      <c r="G184" s="128"/>
      <c r="H184" s="128"/>
      <c r="I184" s="128"/>
      <c r="J184" s="2"/>
      <c r="K184" s="2"/>
    </row>
    <row r="185" spans="1:11" ht="30" customHeight="1" x14ac:dyDescent="0.3">
      <c r="A185" s="2"/>
      <c r="B185" s="123" t="s">
        <v>531</v>
      </c>
      <c r="C185" s="123"/>
      <c r="D185" s="49" t="s">
        <v>532</v>
      </c>
      <c r="E185" s="124" t="s">
        <v>533</v>
      </c>
      <c r="F185" s="124"/>
      <c r="G185" s="124"/>
      <c r="H185" s="124"/>
      <c r="I185" s="124"/>
      <c r="J185" s="2"/>
      <c r="K185" s="2"/>
    </row>
    <row r="186" spans="1:11" ht="30" customHeight="1" x14ac:dyDescent="0.3">
      <c r="A186" s="2"/>
      <c r="B186" s="123" t="s">
        <v>534</v>
      </c>
      <c r="C186" s="123"/>
      <c r="D186" s="49" t="s">
        <v>535</v>
      </c>
      <c r="E186" s="124" t="s">
        <v>536</v>
      </c>
      <c r="F186" s="124"/>
      <c r="G186" s="124"/>
      <c r="H186" s="124"/>
      <c r="I186" s="124"/>
      <c r="J186" s="2"/>
      <c r="K186" s="2"/>
    </row>
    <row r="187" spans="1:11" ht="30" customHeight="1" x14ac:dyDescent="0.3">
      <c r="A187" s="2"/>
      <c r="B187" s="123" t="s">
        <v>537</v>
      </c>
      <c r="C187" s="123"/>
      <c r="D187" s="49" t="s">
        <v>538</v>
      </c>
      <c r="E187" s="124" t="s">
        <v>539</v>
      </c>
      <c r="F187" s="124"/>
      <c r="G187" s="124"/>
      <c r="H187" s="124"/>
      <c r="I187" s="124"/>
      <c r="J187" s="2"/>
      <c r="K187" s="2"/>
    </row>
    <row r="188" spans="1:11" ht="30" customHeight="1" x14ac:dyDescent="0.3">
      <c r="A188" s="2"/>
      <c r="B188" s="123" t="s">
        <v>540</v>
      </c>
      <c r="C188" s="123"/>
      <c r="D188" s="49" t="s">
        <v>541</v>
      </c>
      <c r="E188" s="124" t="s">
        <v>542</v>
      </c>
      <c r="F188" s="124"/>
      <c r="G188" s="124"/>
      <c r="H188" s="124"/>
      <c r="I188" s="124"/>
      <c r="J188" s="2"/>
      <c r="K188" s="2"/>
    </row>
    <row r="189" spans="1:11" ht="30" customHeight="1" x14ac:dyDescent="0.3">
      <c r="A189" s="2"/>
      <c r="B189" s="123" t="s">
        <v>543</v>
      </c>
      <c r="C189" s="123"/>
      <c r="D189" s="49" t="s">
        <v>544</v>
      </c>
      <c r="E189" s="124" t="s">
        <v>545</v>
      </c>
      <c r="F189" s="124"/>
      <c r="G189" s="124"/>
      <c r="H189" s="124"/>
      <c r="I189" s="124"/>
      <c r="J189" s="2"/>
      <c r="K189" s="2"/>
    </row>
    <row r="190" spans="1:11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8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</row>
  </sheetData>
  <sheetProtection password="CC3D" sheet="1" formatCells="0" formatColumns="0" formatRows="0" sort="0" autoFilter="0"/>
  <mergeCells count="439">
    <mergeCell ref="A1:E1"/>
    <mergeCell ref="F1:I1"/>
    <mergeCell ref="A2:I2"/>
    <mergeCell ref="B5:I5"/>
    <mergeCell ref="B6:I6"/>
    <mergeCell ref="B8:I8"/>
    <mergeCell ref="B9:E9"/>
    <mergeCell ref="F9:I9"/>
    <mergeCell ref="B10:E10"/>
    <mergeCell ref="F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7:I17"/>
    <mergeCell ref="B18:C18"/>
    <mergeCell ref="D18:I18"/>
    <mergeCell ref="B19:C19"/>
    <mergeCell ref="D19:I19"/>
    <mergeCell ref="B20:C20"/>
    <mergeCell ref="D20:I20"/>
    <mergeCell ref="B21:C21"/>
    <mergeCell ref="D21:I21"/>
    <mergeCell ref="B22:C22"/>
    <mergeCell ref="D22:I22"/>
    <mergeCell ref="B23:C23"/>
    <mergeCell ref="D23:I23"/>
    <mergeCell ref="B24:C24"/>
    <mergeCell ref="D24:I24"/>
    <mergeCell ref="B26:I26"/>
    <mergeCell ref="C27:D27"/>
    <mergeCell ref="E27:F27"/>
    <mergeCell ref="G27:I27"/>
    <mergeCell ref="C28:D28"/>
    <mergeCell ref="E28:F28"/>
    <mergeCell ref="G28:I28"/>
    <mergeCell ref="C29:D29"/>
    <mergeCell ref="E29:F29"/>
    <mergeCell ref="G29:I29"/>
    <mergeCell ref="C30:D30"/>
    <mergeCell ref="E30:F30"/>
    <mergeCell ref="G30:I30"/>
    <mergeCell ref="C31:D31"/>
    <mergeCell ref="E31:F31"/>
    <mergeCell ref="G31:I31"/>
    <mergeCell ref="C32:D32"/>
    <mergeCell ref="E32:F32"/>
    <mergeCell ref="G32:I32"/>
    <mergeCell ref="C33:D33"/>
    <mergeCell ref="E33:F33"/>
    <mergeCell ref="G33:I33"/>
    <mergeCell ref="C34:D34"/>
    <mergeCell ref="E34:F34"/>
    <mergeCell ref="G34:I34"/>
    <mergeCell ref="C35:D35"/>
    <mergeCell ref="E35:F35"/>
    <mergeCell ref="G35:I35"/>
    <mergeCell ref="C36:D36"/>
    <mergeCell ref="E36:F36"/>
    <mergeCell ref="G36:I36"/>
    <mergeCell ref="C37:D37"/>
    <mergeCell ref="E37:F37"/>
    <mergeCell ref="G37:I37"/>
    <mergeCell ref="C38:D38"/>
    <mergeCell ref="E38:F38"/>
    <mergeCell ref="G38:I38"/>
    <mergeCell ref="B40:I40"/>
    <mergeCell ref="D41:F41"/>
    <mergeCell ref="G41:I41"/>
    <mergeCell ref="D42:F42"/>
    <mergeCell ref="G42:I42"/>
    <mergeCell ref="D43:F43"/>
    <mergeCell ref="G43:I43"/>
    <mergeCell ref="D44:F44"/>
    <mergeCell ref="G44:I44"/>
    <mergeCell ref="D45:F45"/>
    <mergeCell ref="G45:I45"/>
    <mergeCell ref="D46:F46"/>
    <mergeCell ref="G46:I46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D52:F52"/>
    <mergeCell ref="G52:I52"/>
    <mergeCell ref="D53:F53"/>
    <mergeCell ref="G53:I53"/>
    <mergeCell ref="D54:F54"/>
    <mergeCell ref="G54:I54"/>
    <mergeCell ref="D55:F55"/>
    <mergeCell ref="G55:I55"/>
    <mergeCell ref="B57:I57"/>
    <mergeCell ref="C58:D58"/>
    <mergeCell ref="F58:G58"/>
    <mergeCell ref="H58:I58"/>
    <mergeCell ref="C59:D59"/>
    <mergeCell ref="F59:G59"/>
    <mergeCell ref="H59:I59"/>
    <mergeCell ref="C60:D60"/>
    <mergeCell ref="F60:G60"/>
    <mergeCell ref="H60:I60"/>
    <mergeCell ref="C61:D61"/>
    <mergeCell ref="F61:G61"/>
    <mergeCell ref="H61:I61"/>
    <mergeCell ref="B63:I63"/>
    <mergeCell ref="E64:F64"/>
    <mergeCell ref="G64:H6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  <mergeCell ref="E70:F70"/>
    <mergeCell ref="G70:H70"/>
    <mergeCell ref="E71:F71"/>
    <mergeCell ref="G71:H71"/>
    <mergeCell ref="E72:F72"/>
    <mergeCell ref="G72:H72"/>
    <mergeCell ref="E73:F73"/>
    <mergeCell ref="G73:H73"/>
    <mergeCell ref="E74:F74"/>
    <mergeCell ref="G74:H74"/>
    <mergeCell ref="E75:F75"/>
    <mergeCell ref="G75:H75"/>
    <mergeCell ref="E76:F76"/>
    <mergeCell ref="G76:H76"/>
    <mergeCell ref="B78:I78"/>
    <mergeCell ref="B79:C79"/>
    <mergeCell ref="D79:F79"/>
    <mergeCell ref="G79:I79"/>
    <mergeCell ref="B80:C80"/>
    <mergeCell ref="D80:F80"/>
    <mergeCell ref="G80:I80"/>
    <mergeCell ref="B81:C81"/>
    <mergeCell ref="D81:F81"/>
    <mergeCell ref="G81:I81"/>
    <mergeCell ref="B82:C82"/>
    <mergeCell ref="D82:F82"/>
    <mergeCell ref="G82:I82"/>
    <mergeCell ref="B83:C83"/>
    <mergeCell ref="D83:F83"/>
    <mergeCell ref="G83:I83"/>
    <mergeCell ref="B84:C84"/>
    <mergeCell ref="D84:F84"/>
    <mergeCell ref="G84:I84"/>
    <mergeCell ref="B85:C85"/>
    <mergeCell ref="D85:F85"/>
    <mergeCell ref="G85:I85"/>
    <mergeCell ref="B86:C86"/>
    <mergeCell ref="D86:F86"/>
    <mergeCell ref="G86:I86"/>
    <mergeCell ref="B88:I88"/>
    <mergeCell ref="B89:C89"/>
    <mergeCell ref="E89:H89"/>
    <mergeCell ref="B90:C90"/>
    <mergeCell ref="E90:H90"/>
    <mergeCell ref="B91:C91"/>
    <mergeCell ref="E91:H91"/>
    <mergeCell ref="B92:C92"/>
    <mergeCell ref="E92:H92"/>
    <mergeCell ref="B93:C93"/>
    <mergeCell ref="E93:H93"/>
    <mergeCell ref="B94:C94"/>
    <mergeCell ref="E94:H94"/>
    <mergeCell ref="B95:C95"/>
    <mergeCell ref="E95:H95"/>
    <mergeCell ref="B96:C96"/>
    <mergeCell ref="E96:H96"/>
    <mergeCell ref="B97:C97"/>
    <mergeCell ref="E97:H97"/>
    <mergeCell ref="B98:C98"/>
    <mergeCell ref="E98:H98"/>
    <mergeCell ref="B99:C99"/>
    <mergeCell ref="E99:H99"/>
    <mergeCell ref="B100:C100"/>
    <mergeCell ref="E100:H100"/>
    <mergeCell ref="B101:C101"/>
    <mergeCell ref="E101:H101"/>
    <mergeCell ref="B102:C102"/>
    <mergeCell ref="E102:H102"/>
    <mergeCell ref="B103:C103"/>
    <mergeCell ref="E103:H103"/>
    <mergeCell ref="B104:C104"/>
    <mergeCell ref="E104:H104"/>
    <mergeCell ref="B105:C105"/>
    <mergeCell ref="E105:H105"/>
    <mergeCell ref="B106:C106"/>
    <mergeCell ref="E106:H106"/>
    <mergeCell ref="B107:C107"/>
    <mergeCell ref="E107:H107"/>
    <mergeCell ref="B108:C108"/>
    <mergeCell ref="E108:H108"/>
    <mergeCell ref="B109:C109"/>
    <mergeCell ref="E109:H109"/>
    <mergeCell ref="B110:C110"/>
    <mergeCell ref="E110:H110"/>
    <mergeCell ref="B111:C111"/>
    <mergeCell ref="E111:H111"/>
    <mergeCell ref="B112:C112"/>
    <mergeCell ref="E112:H112"/>
    <mergeCell ref="B113:C113"/>
    <mergeCell ref="E113:H113"/>
    <mergeCell ref="B115:I115"/>
    <mergeCell ref="B116:C116"/>
    <mergeCell ref="D116:E116"/>
    <mergeCell ref="F116:G116"/>
    <mergeCell ref="H116:I116"/>
    <mergeCell ref="B117:C117"/>
    <mergeCell ref="D117:E117"/>
    <mergeCell ref="F117:G117"/>
    <mergeCell ref="H117:I117"/>
    <mergeCell ref="B118:C118"/>
    <mergeCell ref="D118:E118"/>
    <mergeCell ref="F118:G118"/>
    <mergeCell ref="H118:I118"/>
    <mergeCell ref="B119:C119"/>
    <mergeCell ref="D119:E119"/>
    <mergeCell ref="F119:G119"/>
    <mergeCell ref="H119:I119"/>
    <mergeCell ref="B120:C120"/>
    <mergeCell ref="D120:E120"/>
    <mergeCell ref="F120:G120"/>
    <mergeCell ref="H120:I120"/>
    <mergeCell ref="B121:C121"/>
    <mergeCell ref="D121:E121"/>
    <mergeCell ref="F121:G121"/>
    <mergeCell ref="H121:I121"/>
    <mergeCell ref="B122:C122"/>
    <mergeCell ref="D122:E122"/>
    <mergeCell ref="F122:G122"/>
    <mergeCell ref="H122:I122"/>
    <mergeCell ref="B123:C123"/>
    <mergeCell ref="D123:E123"/>
    <mergeCell ref="F123:G123"/>
    <mergeCell ref="H123:I123"/>
    <mergeCell ref="B124:C124"/>
    <mergeCell ref="D124:E124"/>
    <mergeCell ref="F124:G124"/>
    <mergeCell ref="H124:I124"/>
    <mergeCell ref="B125:C125"/>
    <mergeCell ref="D125:E125"/>
    <mergeCell ref="F125:G125"/>
    <mergeCell ref="H125:I125"/>
    <mergeCell ref="B126:C126"/>
    <mergeCell ref="D126:E126"/>
    <mergeCell ref="F126:G126"/>
    <mergeCell ref="H126:I126"/>
    <mergeCell ref="B127:C127"/>
    <mergeCell ref="D127:E127"/>
    <mergeCell ref="F127:G127"/>
    <mergeCell ref="H127:I127"/>
    <mergeCell ref="B128:C128"/>
    <mergeCell ref="D128:E128"/>
    <mergeCell ref="F128:G128"/>
    <mergeCell ref="H128:I128"/>
    <mergeCell ref="B129:C129"/>
    <mergeCell ref="D129:E129"/>
    <mergeCell ref="F129:G129"/>
    <mergeCell ref="H129:I129"/>
    <mergeCell ref="B130:C130"/>
    <mergeCell ref="D130:E130"/>
    <mergeCell ref="F130:G130"/>
    <mergeCell ref="H130:I130"/>
    <mergeCell ref="B131:C131"/>
    <mergeCell ref="D131:E131"/>
    <mergeCell ref="F131:G131"/>
    <mergeCell ref="H131:I131"/>
    <mergeCell ref="B132:C132"/>
    <mergeCell ref="D132:E132"/>
    <mergeCell ref="F132:G132"/>
    <mergeCell ref="H132:I132"/>
    <mergeCell ref="B133:C133"/>
    <mergeCell ref="D133:E133"/>
    <mergeCell ref="F133:G133"/>
    <mergeCell ref="H133:I133"/>
    <mergeCell ref="B134:C134"/>
    <mergeCell ref="D134:E134"/>
    <mergeCell ref="F134:G134"/>
    <mergeCell ref="H134:I134"/>
    <mergeCell ref="B135:C135"/>
    <mergeCell ref="D135:E135"/>
    <mergeCell ref="F135:G135"/>
    <mergeCell ref="H135:I135"/>
    <mergeCell ref="B136:C136"/>
    <mergeCell ref="D136:E136"/>
    <mergeCell ref="F136:G136"/>
    <mergeCell ref="H136:I136"/>
    <mergeCell ref="B137:C137"/>
    <mergeCell ref="D137:E137"/>
    <mergeCell ref="F137:G137"/>
    <mergeCell ref="H137:I137"/>
    <mergeCell ref="B138:C138"/>
    <mergeCell ref="D138:E138"/>
    <mergeCell ref="F138:G138"/>
    <mergeCell ref="H138:I138"/>
    <mergeCell ref="B139:C139"/>
    <mergeCell ref="D139:E139"/>
    <mergeCell ref="F139:G139"/>
    <mergeCell ref="H139:I139"/>
    <mergeCell ref="B140:C140"/>
    <mergeCell ref="D140:E140"/>
    <mergeCell ref="F140:G140"/>
    <mergeCell ref="H140:I140"/>
    <mergeCell ref="B142:I142"/>
    <mergeCell ref="B143:C143"/>
    <mergeCell ref="D143:F143"/>
    <mergeCell ref="G143:I143"/>
    <mergeCell ref="B144:C144"/>
    <mergeCell ref="D144:F144"/>
    <mergeCell ref="G144:I144"/>
    <mergeCell ref="B145:C145"/>
    <mergeCell ref="D145:F145"/>
    <mergeCell ref="G145:I145"/>
    <mergeCell ref="B146:C146"/>
    <mergeCell ref="D146:F146"/>
    <mergeCell ref="G146:I146"/>
    <mergeCell ref="B147:C147"/>
    <mergeCell ref="D147:F147"/>
    <mergeCell ref="G147:I147"/>
    <mergeCell ref="B148:C148"/>
    <mergeCell ref="D148:F148"/>
    <mergeCell ref="G148:I148"/>
    <mergeCell ref="B149:C149"/>
    <mergeCell ref="D149:F149"/>
    <mergeCell ref="G149:I149"/>
    <mergeCell ref="B150:C150"/>
    <mergeCell ref="D150:F150"/>
    <mergeCell ref="G150:I150"/>
    <mergeCell ref="B151:C151"/>
    <mergeCell ref="D151:F151"/>
    <mergeCell ref="G151:I151"/>
    <mergeCell ref="B152:C152"/>
    <mergeCell ref="D152:F152"/>
    <mergeCell ref="G152:I152"/>
    <mergeCell ref="B153:C153"/>
    <mergeCell ref="D153:F153"/>
    <mergeCell ref="G153:I153"/>
    <mergeCell ref="B155:I155"/>
    <mergeCell ref="B156:C156"/>
    <mergeCell ref="D156:F156"/>
    <mergeCell ref="G156:I156"/>
    <mergeCell ref="B157:C157"/>
    <mergeCell ref="D157:F157"/>
    <mergeCell ref="G157:I157"/>
    <mergeCell ref="B158:C158"/>
    <mergeCell ref="D158:F158"/>
    <mergeCell ref="G158:I158"/>
    <mergeCell ref="B159:C159"/>
    <mergeCell ref="D159:F159"/>
    <mergeCell ref="G159:I159"/>
    <mergeCell ref="B160:C160"/>
    <mergeCell ref="D160:F160"/>
    <mergeCell ref="G160:I160"/>
    <mergeCell ref="B161:C161"/>
    <mergeCell ref="D161:F161"/>
    <mergeCell ref="G161:I161"/>
    <mergeCell ref="B162:C162"/>
    <mergeCell ref="D162:F162"/>
    <mergeCell ref="G162:I162"/>
    <mergeCell ref="B163:C163"/>
    <mergeCell ref="D163:F163"/>
    <mergeCell ref="G163:I163"/>
    <mergeCell ref="B164:C164"/>
    <mergeCell ref="D164:F164"/>
    <mergeCell ref="G164:I164"/>
    <mergeCell ref="B165:C165"/>
    <mergeCell ref="D165:F165"/>
    <mergeCell ref="G165:I165"/>
    <mergeCell ref="B166:C166"/>
    <mergeCell ref="D166:F166"/>
    <mergeCell ref="G166:I166"/>
    <mergeCell ref="B167:C167"/>
    <mergeCell ref="D167:F167"/>
    <mergeCell ref="G167:I167"/>
    <mergeCell ref="B168:C168"/>
    <mergeCell ref="D168:F168"/>
    <mergeCell ref="G168:I168"/>
    <mergeCell ref="B169:C169"/>
    <mergeCell ref="D169:F169"/>
    <mergeCell ref="G169:I169"/>
    <mergeCell ref="B170:C170"/>
    <mergeCell ref="D170:F170"/>
    <mergeCell ref="G170:I170"/>
    <mergeCell ref="B171:C171"/>
    <mergeCell ref="D171:F171"/>
    <mergeCell ref="G171:I171"/>
    <mergeCell ref="B173:I173"/>
    <mergeCell ref="B174:C174"/>
    <mergeCell ref="D174:F174"/>
    <mergeCell ref="G174:I174"/>
    <mergeCell ref="B175:C175"/>
    <mergeCell ref="D175:F175"/>
    <mergeCell ref="G175:I175"/>
    <mergeCell ref="B176:C176"/>
    <mergeCell ref="D176:F176"/>
    <mergeCell ref="G176:I176"/>
    <mergeCell ref="B177:C177"/>
    <mergeCell ref="D177:F177"/>
    <mergeCell ref="G177:I177"/>
    <mergeCell ref="B178:C178"/>
    <mergeCell ref="D178:F178"/>
    <mergeCell ref="G178:I178"/>
    <mergeCell ref="B179:C179"/>
    <mergeCell ref="D179:F179"/>
    <mergeCell ref="G179:I179"/>
    <mergeCell ref="B180:C180"/>
    <mergeCell ref="D180:F180"/>
    <mergeCell ref="G180:I180"/>
    <mergeCell ref="B181:C181"/>
    <mergeCell ref="D181:F181"/>
    <mergeCell ref="G181:I181"/>
    <mergeCell ref="B183:I183"/>
    <mergeCell ref="B184:C184"/>
    <mergeCell ref="E184:I184"/>
    <mergeCell ref="B185:C185"/>
    <mergeCell ref="E185:I185"/>
    <mergeCell ref="B186:C186"/>
    <mergeCell ref="E186:I186"/>
    <mergeCell ref="B187:C187"/>
    <mergeCell ref="E187:I187"/>
    <mergeCell ref="B188:C188"/>
    <mergeCell ref="E188:I188"/>
    <mergeCell ref="B189:C189"/>
    <mergeCell ref="E189:I189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  <pageSetUpPr fitToPage="1"/>
  </sheetPr>
  <dimension ref="A1:U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defaultColWidth="8.5703125" defaultRowHeight="14.25" x14ac:dyDescent="0.25"/>
  <cols>
    <col min="1" max="1" width="2.42578125" customWidth="1"/>
    <col min="2" max="2" width="12" customWidth="1"/>
    <col min="3" max="3" width="32" customWidth="1"/>
    <col min="4" max="4" width="12" customWidth="1"/>
    <col min="5" max="5" width="18" customWidth="1"/>
    <col min="6" max="6" width="16" customWidth="1"/>
    <col min="7" max="7" width="14" customWidth="1"/>
    <col min="8" max="8" width="15" customWidth="1"/>
    <col min="9" max="9" width="14" customWidth="1"/>
    <col min="10" max="10" width="16" customWidth="1"/>
    <col min="11" max="11" width="15" customWidth="1"/>
    <col min="12" max="12" width="24" customWidth="1"/>
    <col min="13" max="13" width="26" customWidth="1"/>
    <col min="14" max="14" width="15" customWidth="1"/>
    <col min="15" max="15" width="14" customWidth="1"/>
    <col min="16" max="16" width="15" customWidth="1"/>
    <col min="17" max="18" width="2.42578125" customWidth="1"/>
    <col min="20" max="21" width="13" hidden="1" customWidth="1"/>
  </cols>
  <sheetData>
    <row r="1" spans="1:21" ht="37.5" customHeight="1" x14ac:dyDescent="0.3">
      <c r="A1" s="150" t="s">
        <v>546</v>
      </c>
      <c r="B1" s="150"/>
      <c r="C1" s="150"/>
      <c r="D1" s="150"/>
      <c r="E1" s="150"/>
      <c r="F1" s="151" t="s">
        <v>547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3"/>
      <c r="R1" s="13"/>
      <c r="S1" s="1"/>
      <c r="T1" s="1"/>
      <c r="U1" s="1"/>
    </row>
    <row r="2" spans="1:21" ht="21.75" customHeight="1" x14ac:dyDescent="0.3">
      <c r="A2" s="152" t="s">
        <v>548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4"/>
      <c r="R2" s="14"/>
      <c r="S2" s="1"/>
      <c r="T2" s="1"/>
      <c r="U2" s="1"/>
    </row>
    <row r="3" spans="1:21" ht="19.5" customHeight="1" x14ac:dyDescent="0.3">
      <c r="A3" s="2"/>
      <c r="B3" s="50" t="s">
        <v>549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</row>
    <row r="4" spans="1:2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HYPERLINK("#UCRETLER!A1","Haftalık Ücretler")</f>
        <v>Haftalık Ücretler</v>
      </c>
      <c r="E4" s="2"/>
      <c r="F4" s="51" t="str">
        <f>HYPERLINK("#MUSTERI_360!A1","Müşteri 360")</f>
        <v>Müşteri 360</v>
      </c>
      <c r="G4" s="2"/>
      <c r="H4" s="52" t="s">
        <v>550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</row>
    <row r="5" spans="1:21" ht="25.5" customHeight="1" x14ac:dyDescent="0.3">
      <c r="A5" s="2"/>
      <c r="B5" s="53"/>
      <c r="C5" s="54" t="s">
        <v>551</v>
      </c>
      <c r="D5" s="55">
        <f>COUNTIF($D$7:$D$156,"Aktif")</f>
        <v>55</v>
      </c>
      <c r="E5" s="53"/>
      <c r="F5" s="53"/>
      <c r="G5" s="53"/>
      <c r="H5" s="53"/>
      <c r="I5" s="53"/>
      <c r="J5" s="56">
        <f>SUM($J$7:$J$156)</f>
        <v>0</v>
      </c>
      <c r="K5" s="53"/>
      <c r="L5" s="53"/>
      <c r="M5" s="53"/>
      <c r="N5" s="53"/>
      <c r="O5" s="53"/>
      <c r="P5" s="53"/>
      <c r="Q5" s="2"/>
      <c r="R5" s="2"/>
      <c r="S5" s="1"/>
      <c r="T5" s="1"/>
      <c r="U5" s="1"/>
    </row>
    <row r="6" spans="1:21" ht="39.75" customHeight="1" x14ac:dyDescent="0.3">
      <c r="A6" s="2"/>
      <c r="B6" s="57" t="s">
        <v>19</v>
      </c>
      <c r="C6" s="58" t="s">
        <v>552</v>
      </c>
      <c r="D6" s="57" t="s">
        <v>553</v>
      </c>
      <c r="E6" s="58" t="s">
        <v>554</v>
      </c>
      <c r="F6" s="58" t="s">
        <v>555</v>
      </c>
      <c r="G6" s="58" t="s">
        <v>556</v>
      </c>
      <c r="H6" s="57" t="s">
        <v>557</v>
      </c>
      <c r="I6" s="57" t="s">
        <v>558</v>
      </c>
      <c r="J6" s="59" t="s">
        <v>27</v>
      </c>
      <c r="K6" s="57" t="s">
        <v>559</v>
      </c>
      <c r="L6" s="58" t="s">
        <v>560</v>
      </c>
      <c r="M6" s="58" t="s">
        <v>561</v>
      </c>
      <c r="N6" s="57" t="s">
        <v>562</v>
      </c>
      <c r="O6" s="57" t="s">
        <v>563</v>
      </c>
      <c r="P6" s="57" t="s">
        <v>564</v>
      </c>
      <c r="Q6" s="2"/>
      <c r="R6" s="2"/>
      <c r="S6" s="1"/>
      <c r="T6" s="1"/>
      <c r="U6" s="1"/>
    </row>
    <row r="7" spans="1:21" ht="18" customHeight="1" x14ac:dyDescent="0.3">
      <c r="A7" s="2"/>
      <c r="B7" s="60" t="s">
        <v>565</v>
      </c>
      <c r="C7" s="61" t="s">
        <v>566</v>
      </c>
      <c r="D7" s="60" t="s">
        <v>567</v>
      </c>
      <c r="E7" s="61"/>
      <c r="F7" s="61"/>
      <c r="G7" s="61"/>
      <c r="H7" s="60" t="s">
        <v>568</v>
      </c>
      <c r="I7" s="62">
        <v>46023</v>
      </c>
      <c r="J7" s="63">
        <v>0</v>
      </c>
      <c r="K7" s="64"/>
      <c r="L7" s="61"/>
      <c r="M7" s="61"/>
      <c r="N7" s="60"/>
      <c r="O7" s="65" t="str">
        <f>IF($C7="","",IF(COUNTIFS(UCRETLER!$B$7:$B$606,$B7,UCRETLER!$H$7:$H$606,"Aktif")&gt;0,"EVET","HAYIR"))</f>
        <v>EVET</v>
      </c>
      <c r="P7" s="65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2"/>
      <c r="R7" s="2"/>
      <c r="S7" s="1"/>
      <c r="T7" s="1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">
        <f>IF($C7="","",COUNTIF($C$7:$C$156,"&lt;"&amp;$C7)+COUNTIF($C$7:$C7,$C7))</f>
        <v>1</v>
      </c>
    </row>
    <row r="8" spans="1:21" ht="18" customHeight="1" x14ac:dyDescent="0.3">
      <c r="A8" s="2"/>
      <c r="B8" s="60" t="s">
        <v>569</v>
      </c>
      <c r="C8" s="61" t="s">
        <v>570</v>
      </c>
      <c r="D8" s="60" t="s">
        <v>567</v>
      </c>
      <c r="E8" s="61"/>
      <c r="F8" s="61"/>
      <c r="G8" s="61"/>
      <c r="H8" s="60" t="s">
        <v>568</v>
      </c>
      <c r="I8" s="62">
        <v>46023</v>
      </c>
      <c r="J8" s="63">
        <v>0</v>
      </c>
      <c r="K8" s="64"/>
      <c r="L8" s="61"/>
      <c r="M8" s="61"/>
      <c r="N8" s="60"/>
      <c r="O8" s="65" t="str">
        <f>IF($C8="","",IF(COUNTIFS(UCRETLER!$B$7:$B$606,$B8,UCRETLER!$H$7:$H$606,"Aktif")&gt;0,"EVET","HAYIR"))</f>
        <v>EVET</v>
      </c>
      <c r="P8" s="65" t="str">
        <f t="shared" si="0"/>
        <v>UYGUN</v>
      </c>
      <c r="Q8" s="2"/>
      <c r="R8" s="2"/>
      <c r="S8" s="1"/>
      <c r="T8" s="1" t="str">
        <f t="shared" si="1"/>
        <v>ADEMKARABENLI</v>
      </c>
      <c r="U8" s="1">
        <f>IF($C8="","",COUNTIF($C$7:$C$156,"&lt;"&amp;$C8)+COUNTIF($C$7:$C8,$C8))</f>
        <v>2</v>
      </c>
    </row>
    <row r="9" spans="1:21" ht="18" customHeight="1" x14ac:dyDescent="0.3">
      <c r="A9" s="2"/>
      <c r="B9" s="60" t="s">
        <v>571</v>
      </c>
      <c r="C9" s="61" t="s">
        <v>572</v>
      </c>
      <c r="D9" s="60" t="s">
        <v>567</v>
      </c>
      <c r="E9" s="61"/>
      <c r="F9" s="61"/>
      <c r="G9" s="61"/>
      <c r="H9" s="60" t="s">
        <v>568</v>
      </c>
      <c r="I9" s="62">
        <v>46023</v>
      </c>
      <c r="J9" s="63">
        <v>0</v>
      </c>
      <c r="K9" s="64"/>
      <c r="L9" s="61"/>
      <c r="M9" s="61"/>
      <c r="N9" s="60"/>
      <c r="O9" s="65" t="str">
        <f>IF($C9="","",IF(COUNTIFS(UCRETLER!$B$7:$B$606,$B9,UCRETLER!$H$7:$H$606,"Aktif")&gt;0,"EVET","HAYIR"))</f>
        <v>EVET</v>
      </c>
      <c r="P9" s="65" t="str">
        <f t="shared" si="0"/>
        <v>UYGUN</v>
      </c>
      <c r="Q9" s="2"/>
      <c r="R9" s="2"/>
      <c r="S9" s="1"/>
      <c r="T9" s="1" t="str">
        <f t="shared" si="1"/>
        <v>ALTINELLTDSTI</v>
      </c>
      <c r="U9" s="1">
        <f>IF($C9="","",COUNTIF($C$7:$C$156,"&lt;"&amp;$C9)+COUNTIF($C$7:$C9,$C9))</f>
        <v>3</v>
      </c>
    </row>
    <row r="10" spans="1:21" ht="18" customHeight="1" x14ac:dyDescent="0.3">
      <c r="A10" s="2"/>
      <c r="B10" s="60" t="s">
        <v>573</v>
      </c>
      <c r="C10" s="61" t="s">
        <v>17</v>
      </c>
      <c r="D10" s="60" t="s">
        <v>567</v>
      </c>
      <c r="E10" s="61"/>
      <c r="F10" s="61"/>
      <c r="G10" s="61"/>
      <c r="H10" s="60" t="s">
        <v>568</v>
      </c>
      <c r="I10" s="62">
        <v>46023</v>
      </c>
      <c r="J10" s="63">
        <v>0</v>
      </c>
      <c r="K10" s="64"/>
      <c r="L10" s="61"/>
      <c r="M10" s="61"/>
      <c r="N10" s="60"/>
      <c r="O10" s="65" t="str">
        <f>IF($C10="","",IF(COUNTIFS(UCRETLER!$B$7:$B$606,$B10,UCRETLER!$H$7:$H$606,"Aktif")&gt;0,"EVET","HAYIR"))</f>
        <v>EVET</v>
      </c>
      <c r="P10" s="65" t="str">
        <f t="shared" si="0"/>
        <v>UYGUN</v>
      </c>
      <c r="Q10" s="2"/>
      <c r="R10" s="2"/>
      <c r="S10" s="1"/>
      <c r="T10" s="1" t="str">
        <f t="shared" si="1"/>
        <v>ANKARAHAVANALTDSTI</v>
      </c>
      <c r="U10" s="1">
        <f>IF($C10="","",COUNTIF($C$7:$C$156,"&lt;"&amp;$C10)+COUNTIF($C$7:$C10,$C10))</f>
        <v>4</v>
      </c>
    </row>
    <row r="11" spans="1:21" ht="18" customHeight="1" x14ac:dyDescent="0.3">
      <c r="A11" s="2"/>
      <c r="B11" s="60" t="s">
        <v>574</v>
      </c>
      <c r="C11" s="61" t="s">
        <v>575</v>
      </c>
      <c r="D11" s="60" t="s">
        <v>567</v>
      </c>
      <c r="E11" s="61"/>
      <c r="F11" s="61"/>
      <c r="G11" s="61"/>
      <c r="H11" s="60" t="s">
        <v>568</v>
      </c>
      <c r="I11" s="62">
        <v>46023</v>
      </c>
      <c r="J11" s="63">
        <v>0</v>
      </c>
      <c r="K11" s="64"/>
      <c r="L11" s="61"/>
      <c r="M11" s="61"/>
      <c r="N11" s="60"/>
      <c r="O11" s="65" t="str">
        <f>IF($C11="","",IF(COUNTIFS(UCRETLER!$B$7:$B$606,$B11,UCRETLER!$H$7:$H$606,"Aktif")&gt;0,"EVET","HAYIR"))</f>
        <v>EVET</v>
      </c>
      <c r="P11" s="65" t="str">
        <f t="shared" si="0"/>
        <v>UYGUN</v>
      </c>
      <c r="Q11" s="2"/>
      <c r="R11" s="2"/>
      <c r="S11" s="1"/>
      <c r="T11" s="1" t="str">
        <f t="shared" si="1"/>
        <v>ARMANDIK</v>
      </c>
      <c r="U11" s="1">
        <f>IF($C11="","",COUNTIF($C$7:$C$156,"&lt;"&amp;$C11)+COUNTIF($C$7:$C11,$C11))</f>
        <v>5</v>
      </c>
    </row>
    <row r="12" spans="1:21" ht="18" customHeight="1" x14ac:dyDescent="0.3">
      <c r="A12" s="2"/>
      <c r="B12" s="60" t="s">
        <v>576</v>
      </c>
      <c r="C12" s="61" t="s">
        <v>577</v>
      </c>
      <c r="D12" s="60" t="s">
        <v>567</v>
      </c>
      <c r="E12" s="61"/>
      <c r="F12" s="61"/>
      <c r="G12" s="61"/>
      <c r="H12" s="60" t="s">
        <v>568</v>
      </c>
      <c r="I12" s="62">
        <v>46023</v>
      </c>
      <c r="J12" s="63">
        <v>0</v>
      </c>
      <c r="K12" s="64"/>
      <c r="L12" s="61"/>
      <c r="M12" s="61"/>
      <c r="N12" s="60"/>
      <c r="O12" s="65" t="str">
        <f>IF($C12="","",IF(COUNTIFS(UCRETLER!$B$7:$B$606,$B12,UCRETLER!$H$7:$H$606,"Aktif")&gt;0,"EVET","HAYIR"))</f>
        <v>EVET</v>
      </c>
      <c r="P12" s="65" t="str">
        <f t="shared" si="0"/>
        <v>UYGUN</v>
      </c>
      <c r="Q12" s="2"/>
      <c r="R12" s="2"/>
      <c r="S12" s="1"/>
      <c r="T12" s="1" t="str">
        <f t="shared" si="1"/>
        <v>ARONTOPTANLTDSTI</v>
      </c>
      <c r="U12" s="1">
        <f>IF($C12="","",COUNTIF($C$7:$C$156,"&lt;"&amp;$C12)+COUNTIF($C$7:$C12,$C12))</f>
        <v>6</v>
      </c>
    </row>
    <row r="13" spans="1:21" ht="18" customHeight="1" x14ac:dyDescent="0.3">
      <c r="A13" s="2"/>
      <c r="B13" s="60" t="s">
        <v>578</v>
      </c>
      <c r="C13" s="61" t="s">
        <v>579</v>
      </c>
      <c r="D13" s="60" t="s">
        <v>567</v>
      </c>
      <c r="E13" s="61"/>
      <c r="F13" s="61"/>
      <c r="G13" s="61"/>
      <c r="H13" s="60" t="s">
        <v>568</v>
      </c>
      <c r="I13" s="62">
        <v>46023</v>
      </c>
      <c r="J13" s="63">
        <v>0</v>
      </c>
      <c r="K13" s="64"/>
      <c r="L13" s="61"/>
      <c r="M13" s="61"/>
      <c r="N13" s="60"/>
      <c r="O13" s="65" t="str">
        <f>IF($C13="","",IF(COUNTIFS(UCRETLER!$B$7:$B$606,$B13,UCRETLER!$H$7:$H$606,"Aktif")&gt;0,"EVET","HAYIR"))</f>
        <v>EVET</v>
      </c>
      <c r="P13" s="65" t="str">
        <f t="shared" si="0"/>
        <v>UYGUN</v>
      </c>
      <c r="Q13" s="2"/>
      <c r="R13" s="2"/>
      <c r="S13" s="1"/>
      <c r="T13" s="1" t="str">
        <f t="shared" si="1"/>
        <v>ASIMACIKGOZ</v>
      </c>
      <c r="U13" s="1">
        <f>IF($C13="","",COUNTIF($C$7:$C$156,"&lt;"&amp;$C13)+COUNTIF($C$7:$C13,$C13))</f>
        <v>7</v>
      </c>
    </row>
    <row r="14" spans="1:21" ht="18" customHeight="1" x14ac:dyDescent="0.3">
      <c r="A14" s="2"/>
      <c r="B14" s="60" t="s">
        <v>580</v>
      </c>
      <c r="C14" s="61" t="s">
        <v>581</v>
      </c>
      <c r="D14" s="60" t="s">
        <v>567</v>
      </c>
      <c r="E14" s="61"/>
      <c r="F14" s="61"/>
      <c r="G14" s="61"/>
      <c r="H14" s="60" t="s">
        <v>568</v>
      </c>
      <c r="I14" s="62">
        <v>46023</v>
      </c>
      <c r="J14" s="63">
        <v>0</v>
      </c>
      <c r="K14" s="64"/>
      <c r="L14" s="61"/>
      <c r="M14" s="61"/>
      <c r="N14" s="60"/>
      <c r="O14" s="65" t="str">
        <f>IF($C14="","",IF(COUNTIFS(UCRETLER!$B$7:$B$606,$B14,UCRETLER!$H$7:$H$606,"Aktif")&gt;0,"EVET","HAYIR"))</f>
        <v>EVET</v>
      </c>
      <c r="P14" s="65" t="str">
        <f t="shared" si="0"/>
        <v>UYGUN</v>
      </c>
      <c r="Q14" s="2"/>
      <c r="R14" s="2"/>
      <c r="S14" s="1"/>
      <c r="T14" s="1" t="str">
        <f t="shared" si="1"/>
        <v>ASMEGLENCELTDSTI</v>
      </c>
      <c r="U14" s="1">
        <f>IF($C14="","",COUNTIF($C$7:$C$156,"&lt;"&amp;$C14)+COUNTIF($C$7:$C14,$C14))</f>
        <v>8</v>
      </c>
    </row>
    <row r="15" spans="1:21" ht="18" customHeight="1" x14ac:dyDescent="0.3">
      <c r="A15" s="2"/>
      <c r="B15" s="60" t="s">
        <v>582</v>
      </c>
      <c r="C15" s="61" t="s">
        <v>583</v>
      </c>
      <c r="D15" s="60" t="s">
        <v>567</v>
      </c>
      <c r="E15" s="61"/>
      <c r="F15" s="61"/>
      <c r="G15" s="61"/>
      <c r="H15" s="60" t="s">
        <v>568</v>
      </c>
      <c r="I15" s="62">
        <v>46023</v>
      </c>
      <c r="J15" s="63">
        <v>0</v>
      </c>
      <c r="K15" s="64"/>
      <c r="L15" s="61"/>
      <c r="M15" s="61"/>
      <c r="N15" s="60"/>
      <c r="O15" s="65" t="str">
        <f>IF($C15="","",IF(COUNTIFS(UCRETLER!$B$7:$B$606,$B15,UCRETLER!$H$7:$H$606,"Aktif")&gt;0,"EVET","HAYIR"))</f>
        <v>EVET</v>
      </c>
      <c r="P15" s="65" t="str">
        <f t="shared" si="0"/>
        <v>UYGUN</v>
      </c>
      <c r="Q15" s="2"/>
      <c r="R15" s="2"/>
      <c r="S15" s="1"/>
      <c r="T15" s="1" t="str">
        <f t="shared" si="1"/>
        <v>AYDESLTDSTI</v>
      </c>
      <c r="U15" s="1">
        <f>IF($C15="","",COUNTIF($C$7:$C$156,"&lt;"&amp;$C15)+COUNTIF($C$7:$C15,$C15))</f>
        <v>9</v>
      </c>
    </row>
    <row r="16" spans="1:21" ht="18" customHeight="1" x14ac:dyDescent="0.3">
      <c r="A16" s="2"/>
      <c r="B16" s="60" t="s">
        <v>584</v>
      </c>
      <c r="C16" s="61" t="s">
        <v>585</v>
      </c>
      <c r="D16" s="60" t="s">
        <v>567</v>
      </c>
      <c r="E16" s="61"/>
      <c r="F16" s="61"/>
      <c r="G16" s="61"/>
      <c r="H16" s="60" t="s">
        <v>568</v>
      </c>
      <c r="I16" s="62">
        <v>46023</v>
      </c>
      <c r="J16" s="63">
        <v>0</v>
      </c>
      <c r="K16" s="64"/>
      <c r="L16" s="61"/>
      <c r="M16" s="61"/>
      <c r="N16" s="60"/>
      <c r="O16" s="65" t="str">
        <f>IF($C16="","",IF(COUNTIFS(UCRETLER!$B$7:$B$606,$B16,UCRETLER!$H$7:$H$606,"Aktif")&gt;0,"EVET","HAYIR"))</f>
        <v>EVET</v>
      </c>
      <c r="P16" s="65" t="str">
        <f t="shared" si="0"/>
        <v>UYGUN</v>
      </c>
      <c r="Q16" s="2"/>
      <c r="R16" s="2"/>
      <c r="S16" s="1"/>
      <c r="T16" s="1" t="str">
        <f t="shared" si="1"/>
        <v>CAYIRALANLTDSTI</v>
      </c>
      <c r="U16" s="1">
        <f>IF($C16="","",COUNTIF($C$7:$C$156,"&lt;"&amp;$C16)+COUNTIF($C$7:$C16,$C16))</f>
        <v>11</v>
      </c>
    </row>
    <row r="17" spans="1:21" ht="18" customHeight="1" x14ac:dyDescent="0.3">
      <c r="A17" s="2"/>
      <c r="B17" s="60" t="s">
        <v>586</v>
      </c>
      <c r="C17" s="61" t="s">
        <v>587</v>
      </c>
      <c r="D17" s="60" t="s">
        <v>567</v>
      </c>
      <c r="E17" s="61"/>
      <c r="F17" s="61"/>
      <c r="G17" s="61"/>
      <c r="H17" s="60" t="s">
        <v>568</v>
      </c>
      <c r="I17" s="62">
        <v>46023</v>
      </c>
      <c r="J17" s="63">
        <v>0</v>
      </c>
      <c r="K17" s="64"/>
      <c r="L17" s="61"/>
      <c r="M17" s="61"/>
      <c r="N17" s="60"/>
      <c r="O17" s="65" t="str">
        <f>IF($C17="","",IF(COUNTIFS(UCRETLER!$B$7:$B$606,$B17,UCRETLER!$H$7:$H$606,"Aktif")&gt;0,"EVET","HAYIR"))</f>
        <v>EVET</v>
      </c>
      <c r="P17" s="65" t="str">
        <f t="shared" si="0"/>
        <v>UYGUN</v>
      </c>
      <c r="Q17" s="2"/>
      <c r="R17" s="2"/>
      <c r="S17" s="1"/>
      <c r="T17" s="1" t="str">
        <f t="shared" si="1"/>
        <v>CERENDEMIRCI</v>
      </c>
      <c r="U17" s="1">
        <f>IF($C17="","",COUNTIF($C$7:$C$156,"&lt;"&amp;$C17)+COUNTIF($C$7:$C17,$C17))</f>
        <v>10</v>
      </c>
    </row>
    <row r="18" spans="1:21" ht="18" customHeight="1" x14ac:dyDescent="0.3">
      <c r="A18" s="2"/>
      <c r="B18" s="60" t="s">
        <v>588</v>
      </c>
      <c r="C18" s="61" t="s">
        <v>589</v>
      </c>
      <c r="D18" s="60" t="s">
        <v>567</v>
      </c>
      <c r="E18" s="61"/>
      <c r="F18" s="61"/>
      <c r="G18" s="61"/>
      <c r="H18" s="60" t="s">
        <v>568</v>
      </c>
      <c r="I18" s="62">
        <v>46023</v>
      </c>
      <c r="J18" s="63">
        <v>0</v>
      </c>
      <c r="K18" s="64"/>
      <c r="L18" s="61"/>
      <c r="M18" s="61"/>
      <c r="N18" s="60"/>
      <c r="O18" s="65" t="str">
        <f>IF($C18="","",IF(COUNTIFS(UCRETLER!$B$7:$B$606,$B18,UCRETLER!$H$7:$H$606,"Aktif")&gt;0,"EVET","HAYIR"))</f>
        <v>EVET</v>
      </c>
      <c r="P18" s="65" t="str">
        <f t="shared" si="0"/>
        <v>UYGUN</v>
      </c>
      <c r="Q18" s="2"/>
      <c r="R18" s="2"/>
      <c r="S18" s="1"/>
      <c r="T18" s="1" t="str">
        <f t="shared" si="1"/>
        <v>CINARHANLTDSTI</v>
      </c>
      <c r="U18" s="1">
        <f>IF($C18="","",COUNTIF($C$7:$C$156,"&lt;"&amp;$C18)+COUNTIF($C$7:$C18,$C18))</f>
        <v>12</v>
      </c>
    </row>
    <row r="19" spans="1:21" ht="18" customHeight="1" x14ac:dyDescent="0.3">
      <c r="A19" s="2"/>
      <c r="B19" s="60" t="s">
        <v>590</v>
      </c>
      <c r="C19" s="61" t="s">
        <v>591</v>
      </c>
      <c r="D19" s="60" t="s">
        <v>567</v>
      </c>
      <c r="E19" s="61"/>
      <c r="F19" s="61"/>
      <c r="G19" s="61"/>
      <c r="H19" s="60" t="s">
        <v>568</v>
      </c>
      <c r="I19" s="62">
        <v>46023</v>
      </c>
      <c r="J19" s="63">
        <v>0</v>
      </c>
      <c r="K19" s="64"/>
      <c r="L19" s="61"/>
      <c r="M19" s="61"/>
      <c r="N19" s="60"/>
      <c r="O19" s="65" t="str">
        <f>IF($C19="","",IF(COUNTIFS(UCRETLER!$B$7:$B$606,$B19,UCRETLER!$H$7:$H$606,"Aktif")&gt;0,"EVET","HAYIR"))</f>
        <v>EVET</v>
      </c>
      <c r="P19" s="65" t="str">
        <f t="shared" si="0"/>
        <v>UYGUN</v>
      </c>
      <c r="Q19" s="2"/>
      <c r="R19" s="2"/>
      <c r="S19" s="1"/>
      <c r="T19" s="1" t="str">
        <f t="shared" si="1"/>
        <v>DERVISHANLTDSTI</v>
      </c>
      <c r="U19" s="1">
        <f>IF($C19="","",COUNTIF($C$7:$C$156,"&lt;"&amp;$C19)+COUNTIF($C$7:$C19,$C19))</f>
        <v>13</v>
      </c>
    </row>
    <row r="20" spans="1:21" ht="18" customHeight="1" x14ac:dyDescent="0.3">
      <c r="A20" s="2"/>
      <c r="B20" s="60" t="s">
        <v>592</v>
      </c>
      <c r="C20" s="61" t="s">
        <v>593</v>
      </c>
      <c r="D20" s="60" t="s">
        <v>567</v>
      </c>
      <c r="E20" s="61"/>
      <c r="F20" s="61"/>
      <c r="G20" s="61"/>
      <c r="H20" s="60" t="s">
        <v>568</v>
      </c>
      <c r="I20" s="62">
        <v>46039</v>
      </c>
      <c r="J20" s="63">
        <v>0</v>
      </c>
      <c r="K20" s="64"/>
      <c r="L20" s="61"/>
      <c r="M20" s="61"/>
      <c r="N20" s="60"/>
      <c r="O20" s="65" t="str">
        <f>IF($C20="","",IF(COUNTIFS(UCRETLER!$B$7:$B$606,$B20,UCRETLER!$H$7:$H$606,"Aktif")&gt;0,"EVET","HAYIR"))</f>
        <v>EVET</v>
      </c>
      <c r="P20" s="65" t="str">
        <f t="shared" si="0"/>
        <v>UYGUN</v>
      </c>
      <c r="Q20" s="2"/>
      <c r="R20" s="2"/>
      <c r="S20" s="1"/>
      <c r="T20" s="1" t="str">
        <f t="shared" si="1"/>
        <v>EGLENGORLTDSTI</v>
      </c>
      <c r="U20" s="1">
        <f>IF($C20="","",COUNTIF($C$7:$C$156,"&lt;"&amp;$C20)+COUNTIF($C$7:$C20,$C20))</f>
        <v>14</v>
      </c>
    </row>
    <row r="21" spans="1:21" ht="18" customHeight="1" x14ac:dyDescent="0.3">
      <c r="A21" s="2"/>
      <c r="B21" s="60" t="s">
        <v>594</v>
      </c>
      <c r="C21" s="61" t="s">
        <v>595</v>
      </c>
      <c r="D21" s="60" t="s">
        <v>567</v>
      </c>
      <c r="E21" s="61"/>
      <c r="F21" s="61"/>
      <c r="G21" s="61"/>
      <c r="H21" s="60" t="s">
        <v>568</v>
      </c>
      <c r="I21" s="62">
        <v>46023</v>
      </c>
      <c r="J21" s="63">
        <v>0</v>
      </c>
      <c r="K21" s="64"/>
      <c r="L21" s="61"/>
      <c r="M21" s="61"/>
      <c r="N21" s="60"/>
      <c r="O21" s="65" t="str">
        <f>IF($C21="","",IF(COUNTIFS(UCRETLER!$B$7:$B$606,$B21,UCRETLER!$H$7:$H$606,"Aktif")&gt;0,"EVET","HAYIR"))</f>
        <v>EVET</v>
      </c>
      <c r="P21" s="65" t="str">
        <f t="shared" si="0"/>
        <v>UYGUN</v>
      </c>
      <c r="Q21" s="2"/>
      <c r="R21" s="2"/>
      <c r="S21" s="1"/>
      <c r="T21" s="1" t="str">
        <f t="shared" si="1"/>
        <v>EMRAHSAVURKAN</v>
      </c>
      <c r="U21" s="1">
        <f>IF($C21="","",COUNTIF($C$7:$C$156,"&lt;"&amp;$C21)+COUNTIF($C$7:$C21,$C21))</f>
        <v>15</v>
      </c>
    </row>
    <row r="22" spans="1:21" ht="18" customHeight="1" x14ac:dyDescent="0.3">
      <c r="A22" s="2"/>
      <c r="B22" s="60" t="s">
        <v>596</v>
      </c>
      <c r="C22" s="61" t="s">
        <v>597</v>
      </c>
      <c r="D22" s="60" t="s">
        <v>567</v>
      </c>
      <c r="E22" s="61"/>
      <c r="F22" s="61"/>
      <c r="G22" s="61"/>
      <c r="H22" s="60" t="s">
        <v>568</v>
      </c>
      <c r="I22" s="62">
        <v>46023</v>
      </c>
      <c r="J22" s="63">
        <v>0</v>
      </c>
      <c r="K22" s="64"/>
      <c r="L22" s="61"/>
      <c r="M22" s="61"/>
      <c r="N22" s="60"/>
      <c r="O22" s="65" t="str">
        <f>IF($C22="","",IF(COUNTIFS(UCRETLER!$B$7:$B$606,$B22,UCRETLER!$H$7:$H$606,"Aktif")&gt;0,"EVET","HAYIR"))</f>
        <v>EVET</v>
      </c>
      <c r="P22" s="65" t="str">
        <f t="shared" si="0"/>
        <v>UYGUN</v>
      </c>
      <c r="Q22" s="2"/>
      <c r="R22" s="2"/>
      <c r="S22" s="1"/>
      <c r="T22" s="1" t="str">
        <f t="shared" si="1"/>
        <v>ESERLILTDSTI</v>
      </c>
      <c r="U22" s="1">
        <f>IF($C22="","",COUNTIF($C$7:$C$156,"&lt;"&amp;$C22)+COUNTIF($C$7:$C22,$C22))</f>
        <v>16</v>
      </c>
    </row>
    <row r="23" spans="1:21" ht="18" customHeight="1" x14ac:dyDescent="0.3">
      <c r="A23" s="2"/>
      <c r="B23" s="60" t="s">
        <v>598</v>
      </c>
      <c r="C23" s="61" t="s">
        <v>599</v>
      </c>
      <c r="D23" s="60" t="s">
        <v>567</v>
      </c>
      <c r="E23" s="61"/>
      <c r="F23" s="61"/>
      <c r="G23" s="61"/>
      <c r="H23" s="60" t="s">
        <v>568</v>
      </c>
      <c r="I23" s="62">
        <v>46023</v>
      </c>
      <c r="J23" s="63">
        <v>0</v>
      </c>
      <c r="K23" s="64"/>
      <c r="L23" s="61"/>
      <c r="M23" s="61"/>
      <c r="N23" s="60"/>
      <c r="O23" s="65" t="str">
        <f>IF($C23="","",IF(COUNTIFS(UCRETLER!$B$7:$B$606,$B23,UCRETLER!$H$7:$H$606,"Aktif")&gt;0,"EVET","HAYIR"))</f>
        <v>EVET</v>
      </c>
      <c r="P23" s="65" t="str">
        <f t="shared" si="0"/>
        <v>UYGUN</v>
      </c>
      <c r="Q23" s="2"/>
      <c r="R23" s="2"/>
      <c r="S23" s="1"/>
      <c r="T23" s="1" t="str">
        <f t="shared" si="1"/>
        <v>FARUKDEMIRCI</v>
      </c>
      <c r="U23" s="1">
        <f>IF($C23="","",COUNTIF($C$7:$C$156,"&lt;"&amp;$C23)+COUNTIF($C$7:$C23,$C23))</f>
        <v>17</v>
      </c>
    </row>
    <row r="24" spans="1:21" ht="18" customHeight="1" x14ac:dyDescent="0.3">
      <c r="A24" s="2"/>
      <c r="B24" s="60" t="s">
        <v>600</v>
      </c>
      <c r="C24" s="61" t="s">
        <v>601</v>
      </c>
      <c r="D24" s="60" t="s">
        <v>567</v>
      </c>
      <c r="E24" s="61"/>
      <c r="F24" s="61"/>
      <c r="G24" s="61"/>
      <c r="H24" s="60" t="s">
        <v>568</v>
      </c>
      <c r="I24" s="62">
        <v>46023</v>
      </c>
      <c r="J24" s="63">
        <v>0</v>
      </c>
      <c r="K24" s="64"/>
      <c r="L24" s="61"/>
      <c r="M24" s="61"/>
      <c r="N24" s="60"/>
      <c r="O24" s="65" t="str">
        <f>IF($C24="","",IF(COUNTIFS(UCRETLER!$B$7:$B$606,$B24,UCRETLER!$H$7:$H$606,"Aktif")&gt;0,"EVET","HAYIR"))</f>
        <v>EVET</v>
      </c>
      <c r="P24" s="65" t="str">
        <f t="shared" si="0"/>
        <v>UYGUN</v>
      </c>
      <c r="Q24" s="2"/>
      <c r="R24" s="2"/>
      <c r="S24" s="1"/>
      <c r="T24" s="1" t="str">
        <f t="shared" si="1"/>
        <v>FINALSIYAHBEYAZLTDSTI</v>
      </c>
      <c r="U24" s="1">
        <f>IF($C24="","",COUNTIF($C$7:$C$156,"&lt;"&amp;$C24)+COUNTIF($C$7:$C24,$C24))</f>
        <v>18</v>
      </c>
    </row>
    <row r="25" spans="1:21" ht="18" customHeight="1" x14ac:dyDescent="0.3">
      <c r="A25" s="2"/>
      <c r="B25" s="60" t="s">
        <v>602</v>
      </c>
      <c r="C25" s="61" t="s">
        <v>603</v>
      </c>
      <c r="D25" s="60" t="s">
        <v>567</v>
      </c>
      <c r="E25" s="61"/>
      <c r="F25" s="61"/>
      <c r="G25" s="61"/>
      <c r="H25" s="60" t="s">
        <v>568</v>
      </c>
      <c r="I25" s="62">
        <v>46023</v>
      </c>
      <c r="J25" s="63">
        <v>0</v>
      </c>
      <c r="K25" s="64"/>
      <c r="L25" s="61"/>
      <c r="M25" s="61"/>
      <c r="N25" s="60"/>
      <c r="O25" s="65" t="str">
        <f>IF($C25="","",IF(COUNTIFS(UCRETLER!$B$7:$B$606,$B25,UCRETLER!$H$7:$H$606,"Aktif")&gt;0,"EVET","HAYIR"))</f>
        <v>EVET</v>
      </c>
      <c r="P25" s="65" t="str">
        <f t="shared" si="0"/>
        <v>UYGUN</v>
      </c>
      <c r="Q25" s="2"/>
      <c r="R25" s="2"/>
      <c r="S25" s="1"/>
      <c r="T25" s="1" t="str">
        <f t="shared" si="1"/>
        <v>HALILAVSAR</v>
      </c>
      <c r="U25" s="1">
        <f>IF($C25="","",COUNTIF($C$7:$C$156,"&lt;"&amp;$C25)+COUNTIF($C$7:$C25,$C25))</f>
        <v>19</v>
      </c>
    </row>
    <row r="26" spans="1:21" ht="18" customHeight="1" x14ac:dyDescent="0.3">
      <c r="A26" s="2"/>
      <c r="B26" s="60" t="s">
        <v>604</v>
      </c>
      <c r="C26" s="61" t="s">
        <v>605</v>
      </c>
      <c r="D26" s="60" t="s">
        <v>567</v>
      </c>
      <c r="E26" s="61"/>
      <c r="F26" s="61"/>
      <c r="G26" s="61"/>
      <c r="H26" s="60" t="s">
        <v>568</v>
      </c>
      <c r="I26" s="62">
        <v>46023</v>
      </c>
      <c r="J26" s="63">
        <v>0</v>
      </c>
      <c r="K26" s="64"/>
      <c r="L26" s="61"/>
      <c r="M26" s="61"/>
      <c r="N26" s="60"/>
      <c r="O26" s="65" t="str">
        <f>IF($C26="","",IF(COUNTIFS(UCRETLER!$B$7:$B$606,$B26,UCRETLER!$H$7:$H$606,"Aktif")&gt;0,"EVET","HAYIR"))</f>
        <v>EVET</v>
      </c>
      <c r="P26" s="65" t="str">
        <f t="shared" si="0"/>
        <v>UYGUN</v>
      </c>
      <c r="Q26" s="2"/>
      <c r="R26" s="2"/>
      <c r="S26" s="1"/>
      <c r="T26" s="1" t="str">
        <f t="shared" si="1"/>
        <v>HAYDARKAYA</v>
      </c>
      <c r="U26" s="1">
        <f>IF($C26="","",COUNTIF($C$7:$C$156,"&lt;"&amp;$C26)+COUNTIF($C$7:$C26,$C26))</f>
        <v>20</v>
      </c>
    </row>
    <row r="27" spans="1:21" ht="18" customHeight="1" x14ac:dyDescent="0.3">
      <c r="A27" s="2"/>
      <c r="B27" s="60" t="s">
        <v>606</v>
      </c>
      <c r="C27" s="61" t="s">
        <v>607</v>
      </c>
      <c r="D27" s="60" t="s">
        <v>567</v>
      </c>
      <c r="E27" s="61"/>
      <c r="F27" s="61"/>
      <c r="G27" s="61"/>
      <c r="H27" s="60" t="s">
        <v>568</v>
      </c>
      <c r="I27" s="62">
        <v>46023</v>
      </c>
      <c r="J27" s="63">
        <v>0</v>
      </c>
      <c r="K27" s="64"/>
      <c r="L27" s="61"/>
      <c r="M27" s="61"/>
      <c r="N27" s="60"/>
      <c r="O27" s="65" t="str">
        <f>IF($C27="","",IF(COUNTIFS(UCRETLER!$B$7:$B$606,$B27,UCRETLER!$H$7:$H$606,"Aktif")&gt;0,"EVET","HAYIR"))</f>
        <v>EVET</v>
      </c>
      <c r="P27" s="65" t="str">
        <f t="shared" si="0"/>
        <v>UYGUN</v>
      </c>
      <c r="Q27" s="2"/>
      <c r="R27" s="2"/>
      <c r="S27" s="1"/>
      <c r="T27" s="1" t="str">
        <f t="shared" si="1"/>
        <v>IBRAHIMMALDAN</v>
      </c>
      <c r="U27" s="1">
        <f>IF($C27="","",COUNTIF($C$7:$C$156,"&lt;"&amp;$C27)+COUNTIF($C$7:$C27,$C27))</f>
        <v>22</v>
      </c>
    </row>
    <row r="28" spans="1:21" ht="18" customHeight="1" x14ac:dyDescent="0.3">
      <c r="A28" s="2"/>
      <c r="B28" s="60" t="s">
        <v>608</v>
      </c>
      <c r="C28" s="61" t="s">
        <v>609</v>
      </c>
      <c r="D28" s="60" t="s">
        <v>567</v>
      </c>
      <c r="E28" s="61"/>
      <c r="F28" s="61"/>
      <c r="G28" s="61"/>
      <c r="H28" s="60" t="s">
        <v>568</v>
      </c>
      <c r="I28" s="62">
        <v>46023</v>
      </c>
      <c r="J28" s="63">
        <v>0</v>
      </c>
      <c r="K28" s="64"/>
      <c r="L28" s="61"/>
      <c r="M28" s="61"/>
      <c r="N28" s="60"/>
      <c r="O28" s="65" t="str">
        <f>IF($C28="","",IF(COUNTIFS(UCRETLER!$B$7:$B$606,$B28,UCRETLER!$H$7:$H$606,"Aktif")&gt;0,"EVET","HAYIR"))</f>
        <v>EVET</v>
      </c>
      <c r="P28" s="65" t="str">
        <f t="shared" si="0"/>
        <v>UYGUN</v>
      </c>
      <c r="Q28" s="2"/>
      <c r="R28" s="2"/>
      <c r="S28" s="1"/>
      <c r="T28" s="1" t="str">
        <f t="shared" si="1"/>
        <v>ILDESLTDSTI</v>
      </c>
      <c r="U28" s="1">
        <f>IF($C28="","",COUNTIF($C$7:$C$156,"&lt;"&amp;$C28)+COUNTIF($C$7:$C28,$C28))</f>
        <v>23</v>
      </c>
    </row>
    <row r="29" spans="1:21" ht="18" customHeight="1" x14ac:dyDescent="0.3">
      <c r="A29" s="2"/>
      <c r="B29" s="60" t="s">
        <v>610</v>
      </c>
      <c r="C29" s="61" t="s">
        <v>611</v>
      </c>
      <c r="D29" s="60" t="s">
        <v>567</v>
      </c>
      <c r="E29" s="61"/>
      <c r="F29" s="61"/>
      <c r="G29" s="61"/>
      <c r="H29" s="60" t="s">
        <v>568</v>
      </c>
      <c r="I29" s="62">
        <v>46023</v>
      </c>
      <c r="J29" s="63">
        <v>0</v>
      </c>
      <c r="K29" s="64"/>
      <c r="L29" s="61"/>
      <c r="M29" s="61"/>
      <c r="N29" s="60"/>
      <c r="O29" s="65" t="str">
        <f>IF($C29="","",IF(COUNTIFS(UCRETLER!$B$7:$B$606,$B29,UCRETLER!$H$7:$H$606,"Aktif")&gt;0,"EVET","HAYIR"))</f>
        <v>EVET</v>
      </c>
      <c r="P29" s="65" t="str">
        <f t="shared" si="0"/>
        <v>UYGUN</v>
      </c>
      <c r="Q29" s="2"/>
      <c r="R29" s="2"/>
      <c r="S29" s="1"/>
      <c r="T29" s="1" t="str">
        <f t="shared" si="1"/>
        <v>ISADEMIRCI</v>
      </c>
      <c r="U29" s="1">
        <f>IF($C29="","",COUNTIF($C$7:$C$156,"&lt;"&amp;$C29)+COUNTIF($C$7:$C29,$C29))</f>
        <v>24</v>
      </c>
    </row>
    <row r="30" spans="1:21" ht="18" customHeight="1" x14ac:dyDescent="0.3">
      <c r="A30" s="2"/>
      <c r="B30" s="60" t="s">
        <v>612</v>
      </c>
      <c r="C30" s="61" t="s">
        <v>613</v>
      </c>
      <c r="D30" s="60" t="s">
        <v>567</v>
      </c>
      <c r="E30" s="61"/>
      <c r="F30" s="61"/>
      <c r="G30" s="61"/>
      <c r="H30" s="60" t="s">
        <v>568</v>
      </c>
      <c r="I30" s="62">
        <v>46023</v>
      </c>
      <c r="J30" s="63">
        <v>0</v>
      </c>
      <c r="K30" s="64"/>
      <c r="L30" s="61"/>
      <c r="M30" s="61"/>
      <c r="N30" s="60"/>
      <c r="O30" s="65" t="str">
        <f>IF($C30="","",IF(COUNTIFS(UCRETLER!$B$7:$B$606,$B30,UCRETLER!$H$7:$H$606,"Aktif")&gt;0,"EVET","HAYIR"))</f>
        <v>EVET</v>
      </c>
      <c r="P30" s="65" t="str">
        <f t="shared" si="0"/>
        <v>UYGUN</v>
      </c>
      <c r="Q30" s="2"/>
      <c r="R30" s="2"/>
      <c r="S30" s="1"/>
      <c r="T30" s="1" t="str">
        <f t="shared" si="1"/>
        <v>ISILGRUPLTDSTI</v>
      </c>
      <c r="U30" s="1">
        <f>IF($C30="","",COUNTIF($C$7:$C$156,"&lt;"&amp;$C30)+COUNTIF($C$7:$C30,$C30))</f>
        <v>21</v>
      </c>
    </row>
    <row r="31" spans="1:21" ht="18" customHeight="1" x14ac:dyDescent="0.3">
      <c r="A31" s="2"/>
      <c r="B31" s="60" t="s">
        <v>614</v>
      </c>
      <c r="C31" s="61" t="s">
        <v>615</v>
      </c>
      <c r="D31" s="60" t="s">
        <v>567</v>
      </c>
      <c r="E31" s="61"/>
      <c r="F31" s="61"/>
      <c r="G31" s="61"/>
      <c r="H31" s="60" t="s">
        <v>568</v>
      </c>
      <c r="I31" s="62">
        <v>46023</v>
      </c>
      <c r="J31" s="63">
        <v>0</v>
      </c>
      <c r="K31" s="64"/>
      <c r="L31" s="61"/>
      <c r="M31" s="61"/>
      <c r="N31" s="60"/>
      <c r="O31" s="65" t="str">
        <f>IF($C31="","",IF(COUNTIFS(UCRETLER!$B$7:$B$606,$B31,UCRETLER!$H$7:$H$606,"Aktif")&gt;0,"EVET","HAYIR"))</f>
        <v>EVET</v>
      </c>
      <c r="P31" s="65" t="str">
        <f t="shared" si="0"/>
        <v>UYGUN</v>
      </c>
      <c r="Q31" s="2"/>
      <c r="R31" s="2"/>
      <c r="S31" s="1"/>
      <c r="T31" s="1" t="str">
        <f t="shared" si="1"/>
        <v>ISMAILAKPINAR</v>
      </c>
      <c r="U31" s="1">
        <f>IF($C31="","",COUNTIF($C$7:$C$156,"&lt;"&amp;$C31)+COUNTIF($C$7:$C31,$C31))</f>
        <v>25</v>
      </c>
    </row>
    <row r="32" spans="1:21" ht="18" customHeight="1" x14ac:dyDescent="0.3">
      <c r="A32" s="2"/>
      <c r="B32" s="60" t="s">
        <v>616</v>
      </c>
      <c r="C32" s="61" t="s">
        <v>617</v>
      </c>
      <c r="D32" s="60" t="s">
        <v>567</v>
      </c>
      <c r="E32" s="61"/>
      <c r="F32" s="61"/>
      <c r="G32" s="61"/>
      <c r="H32" s="60" t="s">
        <v>568</v>
      </c>
      <c r="I32" s="62">
        <v>46023</v>
      </c>
      <c r="J32" s="63">
        <v>0</v>
      </c>
      <c r="K32" s="64"/>
      <c r="L32" s="61"/>
      <c r="M32" s="61"/>
      <c r="N32" s="60"/>
      <c r="O32" s="65" t="str">
        <f>IF($C32="","",IF(COUNTIFS(UCRETLER!$B$7:$B$606,$B32,UCRETLER!$H$7:$H$606,"Aktif")&gt;0,"EVET","HAYIR"))</f>
        <v>EVET</v>
      </c>
      <c r="P32" s="65" t="str">
        <f t="shared" si="0"/>
        <v>UYGUN</v>
      </c>
      <c r="Q32" s="2"/>
      <c r="R32" s="2"/>
      <c r="S32" s="1"/>
      <c r="T32" s="1" t="str">
        <f t="shared" si="1"/>
        <v>KOSKYUKSELENLTDSTI</v>
      </c>
      <c r="U32" s="1">
        <f>IF($C32="","",COUNTIF($C$7:$C$156,"&lt;"&amp;$C32)+COUNTIF($C$7:$C32,$C32))</f>
        <v>26</v>
      </c>
    </row>
    <row r="33" spans="1:21" ht="18" customHeight="1" x14ac:dyDescent="0.3">
      <c r="A33" s="2"/>
      <c r="B33" s="60" t="s">
        <v>618</v>
      </c>
      <c r="C33" s="61" t="s">
        <v>619</v>
      </c>
      <c r="D33" s="60" t="s">
        <v>567</v>
      </c>
      <c r="E33" s="61"/>
      <c r="F33" s="61"/>
      <c r="G33" s="61"/>
      <c r="H33" s="60" t="s">
        <v>568</v>
      </c>
      <c r="I33" s="62">
        <v>46023</v>
      </c>
      <c r="J33" s="63">
        <v>0</v>
      </c>
      <c r="K33" s="64"/>
      <c r="L33" s="61"/>
      <c r="M33" s="61"/>
      <c r="N33" s="60"/>
      <c r="O33" s="65" t="str">
        <f>IF($C33="","",IF(COUNTIFS(UCRETLER!$B$7:$B$606,$B33,UCRETLER!$H$7:$H$606,"Aktif")&gt;0,"EVET","HAYIR"))</f>
        <v>EVET</v>
      </c>
      <c r="P33" s="65" t="str">
        <f t="shared" si="0"/>
        <v>UYGUN</v>
      </c>
      <c r="Q33" s="2"/>
      <c r="R33" s="2"/>
      <c r="S33" s="1"/>
      <c r="T33" s="1" t="str">
        <f t="shared" si="1"/>
        <v>KRISTALLTDSTI</v>
      </c>
      <c r="U33" s="1">
        <f>IF($C33="","",COUNTIF($C$7:$C$156,"&lt;"&amp;$C33)+COUNTIF($C$7:$C33,$C33))</f>
        <v>27</v>
      </c>
    </row>
    <row r="34" spans="1:21" ht="18" customHeight="1" x14ac:dyDescent="0.3">
      <c r="A34" s="2"/>
      <c r="B34" s="60" t="s">
        <v>620</v>
      </c>
      <c r="C34" s="61" t="s">
        <v>621</v>
      </c>
      <c r="D34" s="60" t="s">
        <v>567</v>
      </c>
      <c r="E34" s="61"/>
      <c r="F34" s="61"/>
      <c r="G34" s="61"/>
      <c r="H34" s="60" t="s">
        <v>568</v>
      </c>
      <c r="I34" s="62">
        <v>46023</v>
      </c>
      <c r="J34" s="63">
        <v>0</v>
      </c>
      <c r="K34" s="64"/>
      <c r="L34" s="61"/>
      <c r="M34" s="61"/>
      <c r="N34" s="60"/>
      <c r="O34" s="65" t="str">
        <f>IF($C34="","",IF(COUNTIFS(UCRETLER!$B$7:$B$606,$B34,UCRETLER!$H$7:$H$606,"Aktif")&gt;0,"EVET","HAYIR"))</f>
        <v>EVET</v>
      </c>
      <c r="P34" s="65" t="str">
        <f t="shared" si="0"/>
        <v>UYGUN</v>
      </c>
      <c r="Q34" s="2"/>
      <c r="R34" s="2"/>
      <c r="S34" s="1"/>
      <c r="T34" s="1" t="str">
        <f t="shared" si="1"/>
        <v>MEHMETEVRENKILINC</v>
      </c>
      <c r="U34" s="1">
        <f>IF($C34="","",COUNTIF($C$7:$C$156,"&lt;"&amp;$C34)+COUNTIF($C$7:$C34,$C34))</f>
        <v>28</v>
      </c>
    </row>
    <row r="35" spans="1:21" ht="18" customHeight="1" x14ac:dyDescent="0.3">
      <c r="A35" s="2"/>
      <c r="B35" s="60" t="s">
        <v>622</v>
      </c>
      <c r="C35" s="61" t="s">
        <v>623</v>
      </c>
      <c r="D35" s="60" t="s">
        <v>567</v>
      </c>
      <c r="E35" s="61"/>
      <c r="F35" s="61"/>
      <c r="G35" s="61"/>
      <c r="H35" s="60" t="s">
        <v>568</v>
      </c>
      <c r="I35" s="62">
        <v>46023</v>
      </c>
      <c r="J35" s="63">
        <v>0</v>
      </c>
      <c r="K35" s="64"/>
      <c r="L35" s="61"/>
      <c r="M35" s="61"/>
      <c r="N35" s="60"/>
      <c r="O35" s="65" t="str">
        <f>IF($C35="","",IF(COUNTIFS(UCRETLER!$B$7:$B$606,$B35,UCRETLER!$H$7:$H$606,"Aktif")&gt;0,"EVET","HAYIR"))</f>
        <v>EVET</v>
      </c>
      <c r="P35" s="65" t="str">
        <f t="shared" si="0"/>
        <v>UYGUN</v>
      </c>
      <c r="Q35" s="2"/>
      <c r="R35" s="2"/>
      <c r="S35" s="1"/>
      <c r="T35" s="1" t="str">
        <f t="shared" si="1"/>
        <v>MELEKGULER</v>
      </c>
      <c r="U35" s="1">
        <f>IF($C35="","",COUNTIF($C$7:$C$156,"&lt;"&amp;$C35)+COUNTIF($C$7:$C35,$C35))</f>
        <v>29</v>
      </c>
    </row>
    <row r="36" spans="1:21" ht="18" customHeight="1" x14ac:dyDescent="0.3">
      <c r="A36" s="2"/>
      <c r="B36" s="60" t="s">
        <v>624</v>
      </c>
      <c r="C36" s="61" t="s">
        <v>625</v>
      </c>
      <c r="D36" s="60" t="s">
        <v>567</v>
      </c>
      <c r="E36" s="61"/>
      <c r="F36" s="61"/>
      <c r="G36" s="61"/>
      <c r="H36" s="60" t="s">
        <v>568</v>
      </c>
      <c r="I36" s="62">
        <v>46023</v>
      </c>
      <c r="J36" s="63">
        <v>0</v>
      </c>
      <c r="K36" s="64"/>
      <c r="L36" s="61"/>
      <c r="M36" s="61"/>
      <c r="N36" s="60"/>
      <c r="O36" s="65" t="str">
        <f>IF($C36="","",IF(COUNTIFS(UCRETLER!$B$7:$B$606,$B36,UCRETLER!$H$7:$H$606,"Aktif")&gt;0,"EVET","HAYIR"))</f>
        <v>EVET</v>
      </c>
      <c r="P36" s="65" t="str">
        <f t="shared" si="0"/>
        <v>UYGUN</v>
      </c>
      <c r="Q36" s="2"/>
      <c r="R36" s="2"/>
      <c r="S36" s="1"/>
      <c r="T36" s="1" t="str">
        <f t="shared" si="1"/>
        <v>MELISABEDIR</v>
      </c>
      <c r="U36" s="1">
        <f>IF($C36="","",COUNTIF($C$7:$C$156,"&lt;"&amp;$C36)+COUNTIF($C$7:$C36,$C36))</f>
        <v>30</v>
      </c>
    </row>
    <row r="37" spans="1:21" ht="18" customHeight="1" x14ac:dyDescent="0.3">
      <c r="A37" s="2"/>
      <c r="B37" s="60" t="s">
        <v>626</v>
      </c>
      <c r="C37" s="61" t="s">
        <v>627</v>
      </c>
      <c r="D37" s="60" t="s">
        <v>567</v>
      </c>
      <c r="E37" s="61"/>
      <c r="F37" s="61"/>
      <c r="G37" s="61"/>
      <c r="H37" s="60" t="s">
        <v>568</v>
      </c>
      <c r="I37" s="62">
        <v>46023</v>
      </c>
      <c r="J37" s="63">
        <v>0</v>
      </c>
      <c r="K37" s="64"/>
      <c r="L37" s="61"/>
      <c r="M37" s="61"/>
      <c r="N37" s="60"/>
      <c r="O37" s="65" t="str">
        <f>IF($C37="","",IF(COUNTIFS(UCRETLER!$B$7:$B$606,$B37,UCRETLER!$H$7:$H$606,"Aktif")&gt;0,"EVET","HAYIR"))</f>
        <v>EVET</v>
      </c>
      <c r="P37" s="65" t="str">
        <f t="shared" si="0"/>
        <v>UYGUN</v>
      </c>
      <c r="Q37" s="2"/>
      <c r="R37" s="2"/>
      <c r="S37" s="1"/>
      <c r="T37" s="1" t="str">
        <f t="shared" si="1"/>
        <v>MENEKSEAKAN</v>
      </c>
      <c r="U37" s="1">
        <f>IF($C37="","",COUNTIF($C$7:$C$156,"&lt;"&amp;$C37)+COUNTIF($C$7:$C37,$C37))</f>
        <v>31</v>
      </c>
    </row>
    <row r="38" spans="1:21" ht="18" customHeight="1" x14ac:dyDescent="0.3">
      <c r="A38" s="2"/>
      <c r="B38" s="60" t="s">
        <v>628</v>
      </c>
      <c r="C38" s="61" t="s">
        <v>629</v>
      </c>
      <c r="D38" s="60" t="s">
        <v>567</v>
      </c>
      <c r="E38" s="61"/>
      <c r="F38" s="61"/>
      <c r="G38" s="61"/>
      <c r="H38" s="60" t="s">
        <v>568</v>
      </c>
      <c r="I38" s="62">
        <v>46023</v>
      </c>
      <c r="J38" s="63">
        <v>0</v>
      </c>
      <c r="K38" s="64"/>
      <c r="L38" s="61"/>
      <c r="M38" s="61"/>
      <c r="N38" s="60"/>
      <c r="O38" s="65" t="str">
        <f>IF($C38="","",IF(COUNTIFS(UCRETLER!$B$7:$B$606,$B38,UCRETLER!$H$7:$H$606,"Aktif")&gt;0,"EVET","HAYIR"))</f>
        <v>EVET</v>
      </c>
      <c r="P38" s="65" t="str">
        <f t="shared" si="0"/>
        <v>UYGUN</v>
      </c>
      <c r="Q38" s="2"/>
      <c r="R38" s="2"/>
      <c r="S38" s="1"/>
      <c r="T38" s="1" t="str">
        <f t="shared" si="1"/>
        <v>MESUTKOKLU</v>
      </c>
      <c r="U38" s="1">
        <f>IF($C38="","",COUNTIF($C$7:$C$156,"&lt;"&amp;$C38)+COUNTIF($C$7:$C38,$C38))</f>
        <v>32</v>
      </c>
    </row>
    <row r="39" spans="1:21" ht="18" customHeight="1" x14ac:dyDescent="0.3">
      <c r="A39" s="2"/>
      <c r="B39" s="60" t="s">
        <v>630</v>
      </c>
      <c r="C39" s="61" t="s">
        <v>631</v>
      </c>
      <c r="D39" s="60" t="s">
        <v>567</v>
      </c>
      <c r="E39" s="61"/>
      <c r="F39" s="61"/>
      <c r="G39" s="61"/>
      <c r="H39" s="60" t="s">
        <v>568</v>
      </c>
      <c r="I39" s="62">
        <v>46023</v>
      </c>
      <c r="J39" s="63">
        <v>0</v>
      </c>
      <c r="K39" s="64"/>
      <c r="L39" s="61"/>
      <c r="M39" s="61"/>
      <c r="N39" s="60"/>
      <c r="O39" s="65" t="str">
        <f>IF($C39="","",IF(COUNTIFS(UCRETLER!$B$7:$B$606,$B39,UCRETLER!$H$7:$H$606,"Aktif")&gt;0,"EVET","HAYIR"))</f>
        <v>EVET</v>
      </c>
      <c r="P39" s="65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2"/>
      <c r="R39" s="2"/>
      <c r="S39" s="1"/>
      <c r="T39" s="1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">
        <f>IF($C39="","",COUNTIF($C$7:$C$156,"&lt;"&amp;$C39)+COUNTIF($C$7:$C39,$C39))</f>
        <v>33</v>
      </c>
    </row>
    <row r="40" spans="1:21" ht="18" customHeight="1" x14ac:dyDescent="0.3">
      <c r="A40" s="2"/>
      <c r="B40" s="60" t="s">
        <v>632</v>
      </c>
      <c r="C40" s="61" t="s">
        <v>633</v>
      </c>
      <c r="D40" s="60" t="s">
        <v>567</v>
      </c>
      <c r="E40" s="61"/>
      <c r="F40" s="61"/>
      <c r="G40" s="61"/>
      <c r="H40" s="60" t="s">
        <v>568</v>
      </c>
      <c r="I40" s="62">
        <v>46023</v>
      </c>
      <c r="J40" s="63">
        <v>0</v>
      </c>
      <c r="K40" s="64"/>
      <c r="L40" s="61"/>
      <c r="M40" s="61"/>
      <c r="N40" s="60"/>
      <c r="O40" s="65" t="str">
        <f>IF($C40="","",IF(COUNTIFS(UCRETLER!$B$7:$B$606,$B40,UCRETLER!$H$7:$H$606,"Aktif")&gt;0,"EVET","HAYIR"))</f>
        <v>EVET</v>
      </c>
      <c r="P40" s="65" t="str">
        <f t="shared" si="2"/>
        <v>UYGUN</v>
      </c>
      <c r="Q40" s="2"/>
      <c r="R40" s="2"/>
      <c r="S40" s="1"/>
      <c r="T40" s="1" t="str">
        <f t="shared" si="3"/>
        <v>MSTOPTANLTDSTI</v>
      </c>
      <c r="U40" s="1">
        <f>IF($C40="","",COUNTIF($C$7:$C$156,"&lt;"&amp;$C40)+COUNTIF($C$7:$C40,$C40))</f>
        <v>34</v>
      </c>
    </row>
    <row r="41" spans="1:21" ht="18" customHeight="1" x14ac:dyDescent="0.3">
      <c r="A41" s="2"/>
      <c r="B41" s="60" t="s">
        <v>634</v>
      </c>
      <c r="C41" s="61" t="s">
        <v>635</v>
      </c>
      <c r="D41" s="60" t="s">
        <v>567</v>
      </c>
      <c r="E41" s="61"/>
      <c r="F41" s="61"/>
      <c r="G41" s="61"/>
      <c r="H41" s="60" t="s">
        <v>568</v>
      </c>
      <c r="I41" s="62">
        <v>46023</v>
      </c>
      <c r="J41" s="63">
        <v>0</v>
      </c>
      <c r="K41" s="64"/>
      <c r="L41" s="61"/>
      <c r="M41" s="61"/>
      <c r="N41" s="60"/>
      <c r="O41" s="65" t="str">
        <f>IF($C41="","",IF(COUNTIFS(UCRETLER!$B$7:$B$606,$B41,UCRETLER!$H$7:$H$606,"Aktif")&gt;0,"EVET","HAYIR"))</f>
        <v>EVET</v>
      </c>
      <c r="P41" s="65" t="str">
        <f t="shared" si="2"/>
        <v>UYGUN</v>
      </c>
      <c r="Q41" s="2"/>
      <c r="R41" s="2"/>
      <c r="S41" s="1"/>
      <c r="T41" s="1" t="str">
        <f t="shared" si="3"/>
        <v>MUSTAFAKOLBASI</v>
      </c>
      <c r="U41" s="1">
        <f>IF($C41="","",COUNTIF($C$7:$C$156,"&lt;"&amp;$C41)+COUNTIF($C$7:$C41,$C41))</f>
        <v>35</v>
      </c>
    </row>
    <row r="42" spans="1:21" ht="18" customHeight="1" x14ac:dyDescent="0.3">
      <c r="A42" s="2"/>
      <c r="B42" s="60" t="s">
        <v>636</v>
      </c>
      <c r="C42" s="61" t="s">
        <v>637</v>
      </c>
      <c r="D42" s="60" t="s">
        <v>567</v>
      </c>
      <c r="E42" s="61"/>
      <c r="F42" s="61"/>
      <c r="G42" s="61"/>
      <c r="H42" s="60" t="s">
        <v>568</v>
      </c>
      <c r="I42" s="62">
        <v>46023</v>
      </c>
      <c r="J42" s="63">
        <v>0</v>
      </c>
      <c r="K42" s="64"/>
      <c r="L42" s="61"/>
      <c r="M42" s="61"/>
      <c r="N42" s="60"/>
      <c r="O42" s="65" t="str">
        <f>IF($C42="","",IF(COUNTIFS(UCRETLER!$B$7:$B$606,$B42,UCRETLER!$H$7:$H$606,"Aktif")&gt;0,"EVET","HAYIR"))</f>
        <v>EVET</v>
      </c>
      <c r="P42" s="65" t="str">
        <f t="shared" si="2"/>
        <v>UYGUN</v>
      </c>
      <c r="Q42" s="2"/>
      <c r="R42" s="2"/>
      <c r="S42" s="1"/>
      <c r="T42" s="1" t="str">
        <f t="shared" si="3"/>
        <v>MUSTAFAUMUTKOYUN</v>
      </c>
      <c r="U42" s="1">
        <f>IF($C42="","",COUNTIF($C$7:$C$156,"&lt;"&amp;$C42)+COUNTIF($C$7:$C42,$C42))</f>
        <v>36</v>
      </c>
    </row>
    <row r="43" spans="1:21" ht="18" customHeight="1" x14ac:dyDescent="0.3">
      <c r="A43" s="2"/>
      <c r="B43" s="60" t="s">
        <v>638</v>
      </c>
      <c r="C43" s="61" t="s">
        <v>639</v>
      </c>
      <c r="D43" s="60" t="s">
        <v>567</v>
      </c>
      <c r="E43" s="61"/>
      <c r="F43" s="61"/>
      <c r="G43" s="61"/>
      <c r="H43" s="60" t="s">
        <v>568</v>
      </c>
      <c r="I43" s="62">
        <v>46023</v>
      </c>
      <c r="J43" s="63">
        <v>0</v>
      </c>
      <c r="K43" s="64"/>
      <c r="L43" s="61"/>
      <c r="M43" s="61"/>
      <c r="N43" s="60"/>
      <c r="O43" s="65" t="str">
        <f>IF($C43="","",IF(COUNTIFS(UCRETLER!$B$7:$B$606,$B43,UCRETLER!$H$7:$H$606,"Aktif")&gt;0,"EVET","HAYIR"))</f>
        <v>EVET</v>
      </c>
      <c r="P43" s="65" t="str">
        <f t="shared" si="2"/>
        <v>UYGUN</v>
      </c>
      <c r="Q43" s="2"/>
      <c r="R43" s="2"/>
      <c r="S43" s="1"/>
      <c r="T43" s="1" t="str">
        <f t="shared" si="3"/>
        <v>NAZ1GIDALTDSTI</v>
      </c>
      <c r="U43" s="1">
        <f>IF($C43="","",COUNTIF($C$7:$C$156,"&lt;"&amp;$C43)+COUNTIF($C$7:$C43,$C43))</f>
        <v>37</v>
      </c>
    </row>
    <row r="44" spans="1:21" ht="18" customHeight="1" x14ac:dyDescent="0.3">
      <c r="A44" s="2"/>
      <c r="B44" s="60" t="s">
        <v>640</v>
      </c>
      <c r="C44" s="61" t="s">
        <v>641</v>
      </c>
      <c r="D44" s="60" t="s">
        <v>567</v>
      </c>
      <c r="E44" s="61"/>
      <c r="F44" s="61"/>
      <c r="G44" s="61"/>
      <c r="H44" s="60" t="s">
        <v>568</v>
      </c>
      <c r="I44" s="62">
        <v>46023</v>
      </c>
      <c r="J44" s="63">
        <v>0</v>
      </c>
      <c r="K44" s="64"/>
      <c r="L44" s="61"/>
      <c r="M44" s="61"/>
      <c r="N44" s="60"/>
      <c r="O44" s="65" t="str">
        <f>IF($C44="","",IF(COUNTIFS(UCRETLER!$B$7:$B$606,$B44,UCRETLER!$H$7:$H$606,"Aktif")&gt;0,"EVET","HAYIR"))</f>
        <v>EVET</v>
      </c>
      <c r="P44" s="65" t="str">
        <f t="shared" si="2"/>
        <v>UYGUN</v>
      </c>
      <c r="Q44" s="2"/>
      <c r="R44" s="2"/>
      <c r="S44" s="1"/>
      <c r="T44" s="1" t="str">
        <f t="shared" si="3"/>
        <v>NEROETICARETLTDSTI</v>
      </c>
      <c r="U44" s="1">
        <f>IF($C44="","",COUNTIF($C$7:$C$156,"&lt;"&amp;$C44)+COUNTIF($C$7:$C44,$C44))</f>
        <v>38</v>
      </c>
    </row>
    <row r="45" spans="1:21" ht="18" customHeight="1" x14ac:dyDescent="0.3">
      <c r="A45" s="2"/>
      <c r="B45" s="60" t="s">
        <v>642</v>
      </c>
      <c r="C45" s="61" t="s">
        <v>643</v>
      </c>
      <c r="D45" s="60" t="s">
        <v>567</v>
      </c>
      <c r="E45" s="61"/>
      <c r="F45" s="61"/>
      <c r="G45" s="61"/>
      <c r="H45" s="60" t="s">
        <v>568</v>
      </c>
      <c r="I45" s="62">
        <v>46023</v>
      </c>
      <c r="J45" s="63">
        <v>0</v>
      </c>
      <c r="K45" s="64"/>
      <c r="L45" s="61"/>
      <c r="M45" s="61"/>
      <c r="N45" s="60"/>
      <c r="O45" s="65" t="str">
        <f>IF($C45="","",IF(COUNTIFS(UCRETLER!$B$7:$B$606,$B45,UCRETLER!$H$7:$H$606,"Aktif")&gt;0,"EVET","HAYIR"))</f>
        <v>EVET</v>
      </c>
      <c r="P45" s="65" t="str">
        <f t="shared" si="2"/>
        <v>UYGUN</v>
      </c>
      <c r="Q45" s="2"/>
      <c r="R45" s="2"/>
      <c r="S45" s="1"/>
      <c r="T45" s="1" t="str">
        <f t="shared" si="3"/>
        <v>OMERDEMIRCI</v>
      </c>
      <c r="U45" s="1">
        <f>IF($C45="","",COUNTIF($C$7:$C$156,"&lt;"&amp;$C45)+COUNTIF($C$7:$C45,$C45))</f>
        <v>39</v>
      </c>
    </row>
    <row r="46" spans="1:21" ht="18" customHeight="1" x14ac:dyDescent="0.3">
      <c r="A46" s="2"/>
      <c r="B46" s="60" t="s">
        <v>644</v>
      </c>
      <c r="C46" s="61" t="s">
        <v>645</v>
      </c>
      <c r="D46" s="60" t="s">
        <v>567</v>
      </c>
      <c r="E46" s="61"/>
      <c r="F46" s="61"/>
      <c r="G46" s="61"/>
      <c r="H46" s="60" t="s">
        <v>568</v>
      </c>
      <c r="I46" s="62">
        <v>46023</v>
      </c>
      <c r="J46" s="63">
        <v>0</v>
      </c>
      <c r="K46" s="64"/>
      <c r="L46" s="61"/>
      <c r="M46" s="61"/>
      <c r="N46" s="60"/>
      <c r="O46" s="65" t="str">
        <f>IF($C46="","",IF(COUNTIFS(UCRETLER!$B$7:$B$606,$B46,UCRETLER!$H$7:$H$606,"Aktif")&gt;0,"EVET","HAYIR"))</f>
        <v>EVET</v>
      </c>
      <c r="P46" s="65" t="str">
        <f t="shared" si="2"/>
        <v>UYGUN</v>
      </c>
      <c r="Q46" s="2"/>
      <c r="R46" s="2"/>
      <c r="S46" s="1"/>
      <c r="T46" s="1" t="str">
        <f t="shared" si="3"/>
        <v>OZFIDANLARLTDSTI</v>
      </c>
      <c r="U46" s="1">
        <f>IF($C46="","",COUNTIF($C$7:$C$156,"&lt;"&amp;$C46)+COUNTIF($C$7:$C46,$C46))</f>
        <v>40</v>
      </c>
    </row>
    <row r="47" spans="1:21" ht="18" customHeight="1" x14ac:dyDescent="0.3">
      <c r="A47" s="2"/>
      <c r="B47" s="60" t="s">
        <v>646</v>
      </c>
      <c r="C47" s="61" t="s">
        <v>647</v>
      </c>
      <c r="D47" s="60" t="s">
        <v>567</v>
      </c>
      <c r="E47" s="61"/>
      <c r="F47" s="61"/>
      <c r="G47" s="61"/>
      <c r="H47" s="60" t="s">
        <v>568</v>
      </c>
      <c r="I47" s="62">
        <v>46023</v>
      </c>
      <c r="J47" s="63">
        <v>0</v>
      </c>
      <c r="K47" s="64"/>
      <c r="L47" s="61"/>
      <c r="M47" s="61"/>
      <c r="N47" s="60"/>
      <c r="O47" s="65" t="str">
        <f>IF($C47="","",IF(COUNTIFS(UCRETLER!$B$7:$B$606,$B47,UCRETLER!$H$7:$H$606,"Aktif")&gt;0,"EVET","HAYIR"))</f>
        <v>EVET</v>
      </c>
      <c r="P47" s="65" t="str">
        <f t="shared" si="2"/>
        <v>UYGUN</v>
      </c>
      <c r="Q47" s="2"/>
      <c r="R47" s="2"/>
      <c r="S47" s="1"/>
      <c r="T47" s="1" t="str">
        <f t="shared" si="3"/>
        <v>PAKYILDIZLTDSTI</v>
      </c>
      <c r="U47" s="1">
        <f>IF($C47="","",COUNTIF($C$7:$C$156,"&lt;"&amp;$C47)+COUNTIF($C$7:$C47,$C47))</f>
        <v>41</v>
      </c>
    </row>
    <row r="48" spans="1:21" ht="18" customHeight="1" x14ac:dyDescent="0.3">
      <c r="A48" s="2"/>
      <c r="B48" s="60" t="s">
        <v>648</v>
      </c>
      <c r="C48" s="61" t="s">
        <v>649</v>
      </c>
      <c r="D48" s="60" t="s">
        <v>567</v>
      </c>
      <c r="E48" s="61"/>
      <c r="F48" s="61"/>
      <c r="G48" s="61"/>
      <c r="H48" s="60" t="s">
        <v>568</v>
      </c>
      <c r="I48" s="62">
        <v>46023</v>
      </c>
      <c r="J48" s="63">
        <v>0</v>
      </c>
      <c r="K48" s="64"/>
      <c r="L48" s="61"/>
      <c r="M48" s="61"/>
      <c r="N48" s="60"/>
      <c r="O48" s="65" t="str">
        <f>IF($C48="","",IF(COUNTIFS(UCRETLER!$B$7:$B$606,$B48,UCRETLER!$H$7:$H$606,"Aktif")&gt;0,"EVET","HAYIR"))</f>
        <v>EVET</v>
      </c>
      <c r="P48" s="65" t="str">
        <f t="shared" si="2"/>
        <v>UYGUN</v>
      </c>
      <c r="Q48" s="2"/>
      <c r="R48" s="2"/>
      <c r="S48" s="1"/>
      <c r="T48" s="1" t="str">
        <f t="shared" si="3"/>
        <v>PALAOGULLARILTDSTI</v>
      </c>
      <c r="U48" s="1">
        <f>IF($C48="","",COUNTIF($C$7:$C$156,"&lt;"&amp;$C48)+COUNTIF($C$7:$C48,$C48))</f>
        <v>42</v>
      </c>
    </row>
    <row r="49" spans="1:21" ht="18" customHeight="1" x14ac:dyDescent="0.3">
      <c r="A49" s="2"/>
      <c r="B49" s="60" t="s">
        <v>650</v>
      </c>
      <c r="C49" s="61" t="s">
        <v>651</v>
      </c>
      <c r="D49" s="60" t="s">
        <v>567</v>
      </c>
      <c r="E49" s="61"/>
      <c r="F49" s="61"/>
      <c r="G49" s="61"/>
      <c r="H49" s="60" t="s">
        <v>568</v>
      </c>
      <c r="I49" s="62">
        <v>46023</v>
      </c>
      <c r="J49" s="63">
        <v>0</v>
      </c>
      <c r="K49" s="64"/>
      <c r="L49" s="61"/>
      <c r="M49" s="61"/>
      <c r="N49" s="60"/>
      <c r="O49" s="65" t="str">
        <f>IF($C49="","",IF(COUNTIFS(UCRETLER!$B$7:$B$606,$B49,UCRETLER!$H$7:$H$606,"Aktif")&gt;0,"EVET","HAYIR"))</f>
        <v>EVET</v>
      </c>
      <c r="P49" s="65" t="str">
        <f t="shared" si="2"/>
        <v>UYGUN</v>
      </c>
      <c r="Q49" s="2"/>
      <c r="R49" s="2"/>
      <c r="S49" s="1"/>
      <c r="T49" s="1" t="str">
        <f t="shared" si="3"/>
        <v>RASIMDEMIRCI</v>
      </c>
      <c r="U49" s="1">
        <f>IF($C49="","",COUNTIF($C$7:$C$156,"&lt;"&amp;$C49)+COUNTIF($C$7:$C49,$C49))</f>
        <v>43</v>
      </c>
    </row>
    <row r="50" spans="1:21" ht="18" customHeight="1" x14ac:dyDescent="0.3">
      <c r="A50" s="2"/>
      <c r="B50" s="60" t="s">
        <v>652</v>
      </c>
      <c r="C50" s="61" t="s">
        <v>653</v>
      </c>
      <c r="D50" s="60" t="s">
        <v>567</v>
      </c>
      <c r="E50" s="61"/>
      <c r="F50" s="61"/>
      <c r="G50" s="61"/>
      <c r="H50" s="60" t="s">
        <v>568</v>
      </c>
      <c r="I50" s="62">
        <v>46023</v>
      </c>
      <c r="J50" s="63">
        <v>0</v>
      </c>
      <c r="K50" s="64"/>
      <c r="L50" s="61"/>
      <c r="M50" s="61"/>
      <c r="N50" s="60"/>
      <c r="O50" s="65" t="str">
        <f>IF($C50="","",IF(COUNTIFS(UCRETLER!$B$7:$B$606,$B50,UCRETLER!$H$7:$H$606,"Aktif")&gt;0,"EVET","HAYIR"))</f>
        <v>EVET</v>
      </c>
      <c r="P50" s="65" t="str">
        <f t="shared" si="2"/>
        <v>UYGUN</v>
      </c>
      <c r="Q50" s="2"/>
      <c r="R50" s="2"/>
      <c r="S50" s="1"/>
      <c r="T50" s="1" t="str">
        <f t="shared" si="3"/>
        <v>RIXSOWLTDSTI</v>
      </c>
      <c r="U50" s="1">
        <f>IF($C50="","",COUNTIF($C$7:$C$156,"&lt;"&amp;$C50)+COUNTIF($C$7:$C50,$C50))</f>
        <v>44</v>
      </c>
    </row>
    <row r="51" spans="1:21" ht="18" customHeight="1" x14ac:dyDescent="0.3">
      <c r="A51" s="2"/>
      <c r="B51" s="60" t="s">
        <v>654</v>
      </c>
      <c r="C51" s="61" t="s">
        <v>655</v>
      </c>
      <c r="D51" s="60" t="s">
        <v>567</v>
      </c>
      <c r="E51" s="61"/>
      <c r="F51" s="61"/>
      <c r="G51" s="61"/>
      <c r="H51" s="60" t="s">
        <v>568</v>
      </c>
      <c r="I51" s="62">
        <v>46023</v>
      </c>
      <c r="J51" s="63"/>
      <c r="K51" s="64"/>
      <c r="L51" s="61"/>
      <c r="M51" s="61"/>
      <c r="N51" s="60"/>
      <c r="O51" s="65" t="str">
        <f>IF($C51="","",IF(COUNTIFS(UCRETLER!$B$7:$B$606,$B51,UCRETLER!$H$7:$H$606,"Aktif")&gt;0,"EVET","HAYIR"))</f>
        <v>HAYIR</v>
      </c>
      <c r="P51" s="65" t="str">
        <f t="shared" si="2"/>
        <v>UYGUN</v>
      </c>
      <c r="Q51" s="2"/>
      <c r="R51" s="2"/>
      <c r="S51" s="1"/>
      <c r="T51" s="1" t="str">
        <f t="shared" si="3"/>
        <v>SEMRAGUMUS</v>
      </c>
      <c r="U51" s="1">
        <f>IF($C51="","",COUNTIF($C$7:$C$156,"&lt;"&amp;$C51)+COUNTIF($C$7:$C51,$C51))</f>
        <v>45</v>
      </c>
    </row>
    <row r="52" spans="1:21" ht="18" customHeight="1" x14ac:dyDescent="0.3">
      <c r="A52" s="2"/>
      <c r="B52" s="60" t="s">
        <v>656</v>
      </c>
      <c r="C52" s="61" t="s">
        <v>657</v>
      </c>
      <c r="D52" s="60" t="s">
        <v>567</v>
      </c>
      <c r="E52" s="61"/>
      <c r="F52" s="61"/>
      <c r="G52" s="61"/>
      <c r="H52" s="60" t="s">
        <v>568</v>
      </c>
      <c r="I52" s="62">
        <v>46023</v>
      </c>
      <c r="J52" s="63">
        <v>0</v>
      </c>
      <c r="K52" s="64"/>
      <c r="L52" s="61"/>
      <c r="M52" s="61"/>
      <c r="N52" s="60"/>
      <c r="O52" s="65" t="str">
        <f>IF($C52="","",IF(COUNTIFS(UCRETLER!$B$7:$B$606,$B52,UCRETLER!$H$7:$H$606,"Aktif")&gt;0,"EVET","HAYIR"))</f>
        <v>EVET</v>
      </c>
      <c r="P52" s="65" t="str">
        <f t="shared" si="2"/>
        <v>UYGUN</v>
      </c>
      <c r="Q52" s="2"/>
      <c r="R52" s="2"/>
      <c r="S52" s="1"/>
      <c r="T52" s="1" t="str">
        <f t="shared" si="3"/>
        <v>STARSOWLTDSTI</v>
      </c>
      <c r="U52" s="1">
        <f>IF($C52="","",COUNTIF($C$7:$C$156,"&lt;"&amp;$C52)+COUNTIF($C$7:$C52,$C52))</f>
        <v>46</v>
      </c>
    </row>
    <row r="53" spans="1:21" ht="18" customHeight="1" x14ac:dyDescent="0.3">
      <c r="A53" s="2"/>
      <c r="B53" s="60" t="s">
        <v>658</v>
      </c>
      <c r="C53" s="61" t="s">
        <v>659</v>
      </c>
      <c r="D53" s="60" t="s">
        <v>567</v>
      </c>
      <c r="E53" s="61"/>
      <c r="F53" s="61"/>
      <c r="G53" s="61"/>
      <c r="H53" s="60" t="s">
        <v>568</v>
      </c>
      <c r="I53" s="62">
        <v>46023</v>
      </c>
      <c r="J53" s="63">
        <v>0</v>
      </c>
      <c r="K53" s="64"/>
      <c r="L53" s="61"/>
      <c r="M53" s="61"/>
      <c r="N53" s="60"/>
      <c r="O53" s="65" t="str">
        <f>IF($C53="","",IF(COUNTIFS(UCRETLER!$B$7:$B$606,$B53,UCRETLER!$H$7:$H$606,"Aktif")&gt;0,"EVET","HAYIR"))</f>
        <v>EVET</v>
      </c>
      <c r="P53" s="65" t="str">
        <f t="shared" si="2"/>
        <v>UYGUN</v>
      </c>
      <c r="Q53" s="2"/>
      <c r="R53" s="2"/>
      <c r="S53" s="1"/>
      <c r="T53" s="1" t="str">
        <f t="shared" si="3"/>
        <v>TANAKLTDSTI</v>
      </c>
      <c r="U53" s="1">
        <f>IF($C53="","",COUNTIF($C$7:$C$156,"&lt;"&amp;$C53)+COUNTIF($C$7:$C53,$C53))</f>
        <v>47</v>
      </c>
    </row>
    <row r="54" spans="1:21" ht="18" customHeight="1" x14ac:dyDescent="0.3">
      <c r="A54" s="2"/>
      <c r="B54" s="60" t="s">
        <v>660</v>
      </c>
      <c r="C54" s="61" t="s">
        <v>661</v>
      </c>
      <c r="D54" s="60" t="s">
        <v>567</v>
      </c>
      <c r="E54" s="61"/>
      <c r="F54" s="61"/>
      <c r="G54" s="61"/>
      <c r="H54" s="60" t="s">
        <v>568</v>
      </c>
      <c r="I54" s="62">
        <v>46023</v>
      </c>
      <c r="J54" s="63">
        <v>0</v>
      </c>
      <c r="K54" s="64"/>
      <c r="L54" s="61"/>
      <c r="M54" s="61"/>
      <c r="N54" s="60"/>
      <c r="O54" s="65" t="str">
        <f>IF($C54="","",IF(COUNTIFS(UCRETLER!$B$7:$B$606,$B54,UCRETLER!$H$7:$H$606,"Aktif")&gt;0,"EVET","HAYIR"))</f>
        <v>EVET</v>
      </c>
      <c r="P54" s="65" t="str">
        <f t="shared" si="2"/>
        <v>UYGUN</v>
      </c>
      <c r="Q54" s="2"/>
      <c r="R54" s="2"/>
      <c r="S54" s="1"/>
      <c r="T54" s="1" t="str">
        <f t="shared" si="3"/>
        <v>TYANALTDSTI</v>
      </c>
      <c r="U54" s="1">
        <f>IF($C54="","",COUNTIF($C$7:$C$156,"&lt;"&amp;$C54)+COUNTIF($C$7:$C54,$C54))</f>
        <v>48</v>
      </c>
    </row>
    <row r="55" spans="1:21" ht="18" customHeight="1" x14ac:dyDescent="0.3">
      <c r="A55" s="2"/>
      <c r="B55" s="60" t="s">
        <v>662</v>
      </c>
      <c r="C55" s="61" t="s">
        <v>663</v>
      </c>
      <c r="D55" s="60" t="s">
        <v>567</v>
      </c>
      <c r="E55" s="61"/>
      <c r="F55" s="61"/>
      <c r="G55" s="61"/>
      <c r="H55" s="60" t="s">
        <v>568</v>
      </c>
      <c r="I55" s="62">
        <v>46023</v>
      </c>
      <c r="J55" s="63">
        <v>0</v>
      </c>
      <c r="K55" s="64"/>
      <c r="L55" s="61"/>
      <c r="M55" s="61"/>
      <c r="N55" s="60"/>
      <c r="O55" s="65" t="str">
        <f>IF($C55="","",IF(COUNTIFS(UCRETLER!$B$7:$B$606,$B55,UCRETLER!$H$7:$H$606,"Aktif")&gt;0,"EVET","HAYIR"))</f>
        <v>EVET</v>
      </c>
      <c r="P55" s="65" t="str">
        <f t="shared" si="2"/>
        <v>UYGUN</v>
      </c>
      <c r="Q55" s="2"/>
      <c r="R55" s="2"/>
      <c r="S55" s="1"/>
      <c r="T55" s="1" t="str">
        <f t="shared" si="3"/>
        <v>UFUKYILMAZ</v>
      </c>
      <c r="U55" s="1">
        <f>IF($C55="","",COUNTIF($C$7:$C$156,"&lt;"&amp;$C55)+COUNTIF($C$7:$C55,$C55))</f>
        <v>49</v>
      </c>
    </row>
    <row r="56" spans="1:21" ht="18" customHeight="1" x14ac:dyDescent="0.3">
      <c r="A56" s="2"/>
      <c r="B56" s="60" t="s">
        <v>664</v>
      </c>
      <c r="C56" s="61" t="s">
        <v>665</v>
      </c>
      <c r="D56" s="60" t="s">
        <v>567</v>
      </c>
      <c r="E56" s="61"/>
      <c r="F56" s="61"/>
      <c r="G56" s="61"/>
      <c r="H56" s="60" t="s">
        <v>568</v>
      </c>
      <c r="I56" s="62">
        <v>46023</v>
      </c>
      <c r="J56" s="63">
        <v>0</v>
      </c>
      <c r="K56" s="64"/>
      <c r="L56" s="61"/>
      <c r="M56" s="61"/>
      <c r="N56" s="60"/>
      <c r="O56" s="65" t="str">
        <f>IF($C56="","",IF(COUNTIFS(UCRETLER!$B$7:$B$606,$B56,UCRETLER!$H$7:$H$606,"Aktif")&gt;0,"EVET","HAYIR"))</f>
        <v>EVET</v>
      </c>
      <c r="P56" s="65" t="str">
        <f t="shared" si="2"/>
        <v>UYGUN</v>
      </c>
      <c r="Q56" s="2"/>
      <c r="R56" s="2"/>
      <c r="S56" s="1"/>
      <c r="T56" s="1" t="str">
        <f t="shared" si="3"/>
        <v>VANOLYASULTDSTI</v>
      </c>
      <c r="U56" s="1">
        <f>IF($C56="","",COUNTIF($C$7:$C$156,"&lt;"&amp;$C56)+COUNTIF($C$7:$C56,$C56))</f>
        <v>50</v>
      </c>
    </row>
    <row r="57" spans="1:21" ht="18" customHeight="1" x14ac:dyDescent="0.3">
      <c r="A57" s="2"/>
      <c r="B57" s="60" t="s">
        <v>666</v>
      </c>
      <c r="C57" s="61" t="s">
        <v>667</v>
      </c>
      <c r="D57" s="60" t="s">
        <v>567</v>
      </c>
      <c r="E57" s="61"/>
      <c r="F57" s="61"/>
      <c r="G57" s="61"/>
      <c r="H57" s="60" t="s">
        <v>568</v>
      </c>
      <c r="I57" s="62">
        <v>46023</v>
      </c>
      <c r="J57" s="63">
        <v>0</v>
      </c>
      <c r="K57" s="64"/>
      <c r="L57" s="61"/>
      <c r="M57" s="61"/>
      <c r="N57" s="60"/>
      <c r="O57" s="65" t="str">
        <f>IF($C57="","",IF(COUNTIFS(UCRETLER!$B$7:$B$606,$B57,UCRETLER!$H$7:$H$606,"Aktif")&gt;0,"EVET","HAYIR"))</f>
        <v>EVET</v>
      </c>
      <c r="P57" s="65" t="str">
        <f t="shared" si="2"/>
        <v>UYGUN</v>
      </c>
      <c r="Q57" s="2"/>
      <c r="R57" s="2"/>
      <c r="S57" s="1"/>
      <c r="T57" s="1" t="str">
        <f t="shared" si="3"/>
        <v>VOLKANACIK</v>
      </c>
      <c r="U57" s="1">
        <f>IF($C57="","",COUNTIF($C$7:$C$156,"&lt;"&amp;$C57)+COUNTIF($C$7:$C57,$C57))</f>
        <v>51</v>
      </c>
    </row>
    <row r="58" spans="1:21" ht="18" customHeight="1" x14ac:dyDescent="0.3">
      <c r="A58" s="2"/>
      <c r="B58" s="60" t="s">
        <v>668</v>
      </c>
      <c r="C58" s="61" t="s">
        <v>669</v>
      </c>
      <c r="D58" s="60" t="s">
        <v>567</v>
      </c>
      <c r="E58" s="61"/>
      <c r="F58" s="61"/>
      <c r="G58" s="61"/>
      <c r="H58" s="60" t="s">
        <v>568</v>
      </c>
      <c r="I58" s="62">
        <v>46023</v>
      </c>
      <c r="J58" s="63"/>
      <c r="K58" s="64"/>
      <c r="L58" s="61"/>
      <c r="M58" s="61"/>
      <c r="N58" s="60"/>
      <c r="O58" s="65" t="str">
        <f>IF($C58="","",IF(COUNTIFS(UCRETLER!$B$7:$B$606,$B58,UCRETLER!$H$7:$H$606,"Aktif")&gt;0,"EVET","HAYIR"))</f>
        <v>HAYIR</v>
      </c>
      <c r="P58" s="65" t="str">
        <f t="shared" si="2"/>
        <v>UYGUN</v>
      </c>
      <c r="Q58" s="2"/>
      <c r="R58" s="2"/>
      <c r="S58" s="1"/>
      <c r="T58" s="1" t="str">
        <f t="shared" si="3"/>
        <v>YALIKENTLTDSTI</v>
      </c>
      <c r="U58" s="1">
        <f>IF($C58="","",COUNTIF($C$7:$C$156,"&lt;"&amp;$C58)+COUNTIF($C$7:$C58,$C58))</f>
        <v>52</v>
      </c>
    </row>
    <row r="59" spans="1:21" ht="18" customHeight="1" x14ac:dyDescent="0.3">
      <c r="A59" s="2"/>
      <c r="B59" s="60" t="s">
        <v>670</v>
      </c>
      <c r="C59" s="61" t="s">
        <v>671</v>
      </c>
      <c r="D59" s="60" t="s">
        <v>567</v>
      </c>
      <c r="E59" s="61"/>
      <c r="F59" s="61"/>
      <c r="G59" s="61"/>
      <c r="H59" s="60" t="s">
        <v>568</v>
      </c>
      <c r="I59" s="62">
        <v>46023</v>
      </c>
      <c r="J59" s="63">
        <v>0</v>
      </c>
      <c r="K59" s="64"/>
      <c r="L59" s="61"/>
      <c r="M59" s="61"/>
      <c r="N59" s="60"/>
      <c r="O59" s="65" t="str">
        <f>IF($C59="","",IF(COUNTIFS(UCRETLER!$B$7:$B$606,$B59,UCRETLER!$H$7:$H$606,"Aktif")&gt;0,"EVET","HAYIR"))</f>
        <v>EVET</v>
      </c>
      <c r="P59" s="65" t="str">
        <f t="shared" si="2"/>
        <v>UYGUN</v>
      </c>
      <c r="Q59" s="2"/>
      <c r="R59" s="2"/>
      <c r="S59" s="1"/>
      <c r="T59" s="1" t="str">
        <f t="shared" si="3"/>
        <v>YEDIYIRMIDORTLTDSTI</v>
      </c>
      <c r="U59" s="1">
        <f>IF($C59="","",COUNTIF($C$7:$C$156,"&lt;"&amp;$C59)+COUNTIF($C$7:$C59,$C59))</f>
        <v>53</v>
      </c>
    </row>
    <row r="60" spans="1:21" ht="18" customHeight="1" x14ac:dyDescent="0.3">
      <c r="A60" s="2"/>
      <c r="B60" s="60" t="s">
        <v>672</v>
      </c>
      <c r="C60" s="61" t="s">
        <v>673</v>
      </c>
      <c r="D60" s="60" t="s">
        <v>567</v>
      </c>
      <c r="E60" s="61"/>
      <c r="F60" s="61"/>
      <c r="G60" s="61"/>
      <c r="H60" s="60" t="s">
        <v>568</v>
      </c>
      <c r="I60" s="62">
        <v>46023</v>
      </c>
      <c r="J60" s="63">
        <v>0</v>
      </c>
      <c r="K60" s="64"/>
      <c r="L60" s="61"/>
      <c r="M60" s="61"/>
      <c r="N60" s="60"/>
      <c r="O60" s="65" t="str">
        <f>IF($C60="","",IF(COUNTIFS(UCRETLER!$B$7:$B$606,$B60,UCRETLER!$H$7:$H$606,"Aktif")&gt;0,"EVET","HAYIR"))</f>
        <v>EVET</v>
      </c>
      <c r="P60" s="65" t="str">
        <f t="shared" si="2"/>
        <v>UYGUN</v>
      </c>
      <c r="Q60" s="2"/>
      <c r="R60" s="2"/>
      <c r="S60" s="1"/>
      <c r="T60" s="1" t="str">
        <f t="shared" si="3"/>
        <v>ZUMRUTEGLENCELTDSTI</v>
      </c>
      <c r="U60" s="1">
        <f>IF($C60="","",COUNTIF($C$7:$C$156,"&lt;"&amp;$C60)+COUNTIF($C$7:$C60,$C60))</f>
        <v>54</v>
      </c>
    </row>
    <row r="61" spans="1:21" ht="18" customHeight="1" x14ac:dyDescent="0.3">
      <c r="A61" s="2"/>
      <c r="B61" s="60" t="s">
        <v>674</v>
      </c>
      <c r="C61" s="61" t="s">
        <v>675</v>
      </c>
      <c r="D61" s="60" t="s">
        <v>567</v>
      </c>
      <c r="E61" s="61"/>
      <c r="F61" s="61"/>
      <c r="G61" s="61"/>
      <c r="H61" s="60" t="s">
        <v>568</v>
      </c>
      <c r="I61" s="62">
        <v>46023</v>
      </c>
      <c r="J61" s="63">
        <v>0</v>
      </c>
      <c r="K61" s="64"/>
      <c r="L61" s="61"/>
      <c r="M61" s="61"/>
      <c r="N61" s="60"/>
      <c r="O61" s="65" t="str">
        <f>IF($C61="","",IF(COUNTIFS(UCRETLER!$B$7:$B$606,$B61,UCRETLER!$H$7:$H$606,"Aktif")&gt;0,"EVET","HAYIR"))</f>
        <v>EVET</v>
      </c>
      <c r="P61" s="65" t="str">
        <f t="shared" si="2"/>
        <v>UYGUN</v>
      </c>
      <c r="Q61" s="2"/>
      <c r="R61" s="2"/>
      <c r="S61" s="1"/>
      <c r="T61" s="1" t="str">
        <f t="shared" si="3"/>
        <v>ZUMRUTGRUPLTDSTI</v>
      </c>
      <c r="U61" s="1">
        <f>IF($C61="","",COUNTIF($C$7:$C$156,"&lt;"&amp;$C61)+COUNTIF($C$7:$C61,$C61))</f>
        <v>55</v>
      </c>
    </row>
    <row r="62" spans="1:21" ht="18" customHeight="1" x14ac:dyDescent="0.3">
      <c r="A62" s="2"/>
      <c r="B62" s="60"/>
      <c r="C62" s="61"/>
      <c r="D62" s="60"/>
      <c r="E62" s="61"/>
      <c r="F62" s="61"/>
      <c r="G62" s="61"/>
      <c r="H62" s="60"/>
      <c r="I62" s="62"/>
      <c r="J62" s="63"/>
      <c r="K62" s="64"/>
      <c r="L62" s="61"/>
      <c r="M62" s="61"/>
      <c r="N62" s="60"/>
      <c r="O62" s="65" t="str">
        <f>IF($C62="","",IF(COUNTIFS(UCRETLER!$B$7:$B$606,$B62,UCRETLER!$H$7:$H$606,"Aktif")&gt;0,"EVET","HAYIR"))</f>
        <v/>
      </c>
      <c r="P62" s="65" t="str">
        <f t="shared" si="2"/>
        <v/>
      </c>
      <c r="Q62" s="2"/>
      <c r="R62" s="2"/>
      <c r="S62" s="1"/>
      <c r="T62" s="1" t="str">
        <f t="shared" si="3"/>
        <v/>
      </c>
      <c r="U62" s="1" t="str">
        <f>IF($C62="","",COUNTIF($C$7:$C$156,"&lt;"&amp;$C62)+COUNTIF($C$7:$C62,$C62))</f>
        <v/>
      </c>
    </row>
    <row r="63" spans="1:21" ht="18" customHeight="1" x14ac:dyDescent="0.3">
      <c r="A63" s="2"/>
      <c r="B63" s="60"/>
      <c r="C63" s="61"/>
      <c r="D63" s="60"/>
      <c r="E63" s="61"/>
      <c r="F63" s="61"/>
      <c r="G63" s="61"/>
      <c r="H63" s="60"/>
      <c r="I63" s="62"/>
      <c r="J63" s="63"/>
      <c r="K63" s="64"/>
      <c r="L63" s="61"/>
      <c r="M63" s="61"/>
      <c r="N63" s="60"/>
      <c r="O63" s="65" t="str">
        <f>IF($C63="","",IF(COUNTIFS(UCRETLER!$B$7:$B$606,$B63,UCRETLER!$H$7:$H$606,"Aktif")&gt;0,"EVET","HAYIR"))</f>
        <v/>
      </c>
      <c r="P63" s="65" t="str">
        <f t="shared" si="2"/>
        <v/>
      </c>
      <c r="Q63" s="2"/>
      <c r="R63" s="2"/>
      <c r="S63" s="1"/>
      <c r="T63" s="1" t="str">
        <f t="shared" si="3"/>
        <v/>
      </c>
      <c r="U63" s="1" t="str">
        <f>IF($C63="","",COUNTIF($C$7:$C$156,"&lt;"&amp;$C63)+COUNTIF($C$7:$C63,$C63))</f>
        <v/>
      </c>
    </row>
    <row r="64" spans="1:21" ht="18" customHeight="1" x14ac:dyDescent="0.3">
      <c r="A64" s="2"/>
      <c r="B64" s="60"/>
      <c r="C64" s="61"/>
      <c r="D64" s="60"/>
      <c r="E64" s="61"/>
      <c r="F64" s="61"/>
      <c r="G64" s="61"/>
      <c r="H64" s="60"/>
      <c r="I64" s="62"/>
      <c r="J64" s="63"/>
      <c r="K64" s="64"/>
      <c r="L64" s="61"/>
      <c r="M64" s="61"/>
      <c r="N64" s="60"/>
      <c r="O64" s="65" t="str">
        <f>IF($C64="","",IF(COUNTIFS(UCRETLER!$B$7:$B$606,$B64,UCRETLER!$H$7:$H$606,"Aktif")&gt;0,"EVET","HAYIR"))</f>
        <v/>
      </c>
      <c r="P64" s="65" t="str">
        <f t="shared" si="2"/>
        <v/>
      </c>
      <c r="Q64" s="2"/>
      <c r="R64" s="2"/>
      <c r="S64" s="1"/>
      <c r="T64" s="1" t="str">
        <f t="shared" si="3"/>
        <v/>
      </c>
      <c r="U64" s="1" t="str">
        <f>IF($C64="","",COUNTIF($C$7:$C$156,"&lt;"&amp;$C64)+COUNTIF($C$7:$C64,$C64))</f>
        <v/>
      </c>
    </row>
    <row r="65" spans="1:21" ht="18" customHeight="1" x14ac:dyDescent="0.3">
      <c r="A65" s="2"/>
      <c r="B65" s="60"/>
      <c r="C65" s="61"/>
      <c r="D65" s="60"/>
      <c r="E65" s="61"/>
      <c r="F65" s="61"/>
      <c r="G65" s="61"/>
      <c r="H65" s="60"/>
      <c r="I65" s="62"/>
      <c r="J65" s="63"/>
      <c r="K65" s="64"/>
      <c r="L65" s="61"/>
      <c r="M65" s="61"/>
      <c r="N65" s="60"/>
      <c r="O65" s="65" t="str">
        <f>IF($C65="","",IF(COUNTIFS(UCRETLER!$B$7:$B$606,$B65,UCRETLER!$H$7:$H$606,"Aktif")&gt;0,"EVET","HAYIR"))</f>
        <v/>
      </c>
      <c r="P65" s="65" t="str">
        <f t="shared" si="2"/>
        <v/>
      </c>
      <c r="Q65" s="2"/>
      <c r="R65" s="2"/>
      <c r="S65" s="1"/>
      <c r="T65" s="1" t="str">
        <f t="shared" si="3"/>
        <v/>
      </c>
      <c r="U65" s="1" t="str">
        <f>IF($C65="","",COUNTIF($C$7:$C$156,"&lt;"&amp;$C65)+COUNTIF($C$7:$C65,$C65))</f>
        <v/>
      </c>
    </row>
    <row r="66" spans="1:21" ht="18" customHeight="1" x14ac:dyDescent="0.3">
      <c r="A66" s="2"/>
      <c r="B66" s="60"/>
      <c r="C66" s="61"/>
      <c r="D66" s="60"/>
      <c r="E66" s="61"/>
      <c r="F66" s="61"/>
      <c r="G66" s="61"/>
      <c r="H66" s="60"/>
      <c r="I66" s="62"/>
      <c r="J66" s="63"/>
      <c r="K66" s="64"/>
      <c r="L66" s="61"/>
      <c r="M66" s="61"/>
      <c r="N66" s="60"/>
      <c r="O66" s="65" t="str">
        <f>IF($C66="","",IF(COUNTIFS(UCRETLER!$B$7:$B$606,$B66,UCRETLER!$H$7:$H$606,"Aktif")&gt;0,"EVET","HAYIR"))</f>
        <v/>
      </c>
      <c r="P66" s="65" t="str">
        <f t="shared" si="2"/>
        <v/>
      </c>
      <c r="Q66" s="2"/>
      <c r="R66" s="2"/>
      <c r="S66" s="1"/>
      <c r="T66" s="1" t="str">
        <f t="shared" si="3"/>
        <v/>
      </c>
      <c r="U66" s="1" t="str">
        <f>IF($C66="","",COUNTIF($C$7:$C$156,"&lt;"&amp;$C66)+COUNTIF($C$7:$C66,$C66))</f>
        <v/>
      </c>
    </row>
    <row r="67" spans="1:21" ht="18" customHeight="1" x14ac:dyDescent="0.3">
      <c r="A67" s="2"/>
      <c r="B67" s="60"/>
      <c r="C67" s="61"/>
      <c r="D67" s="60"/>
      <c r="E67" s="61"/>
      <c r="F67" s="61"/>
      <c r="G67" s="61"/>
      <c r="H67" s="60"/>
      <c r="I67" s="62"/>
      <c r="J67" s="63"/>
      <c r="K67" s="64"/>
      <c r="L67" s="61"/>
      <c r="M67" s="61"/>
      <c r="N67" s="60"/>
      <c r="O67" s="65" t="str">
        <f>IF($C67="","",IF(COUNTIFS(UCRETLER!$B$7:$B$606,$B67,UCRETLER!$H$7:$H$606,"Aktif")&gt;0,"EVET","HAYIR"))</f>
        <v/>
      </c>
      <c r="P67" s="65" t="str">
        <f t="shared" si="2"/>
        <v/>
      </c>
      <c r="Q67" s="2"/>
      <c r="R67" s="2"/>
      <c r="S67" s="1"/>
      <c r="T67" s="1" t="str">
        <f t="shared" si="3"/>
        <v/>
      </c>
      <c r="U67" s="1" t="str">
        <f>IF($C67="","",COUNTIF($C$7:$C$156,"&lt;"&amp;$C67)+COUNTIF($C$7:$C67,$C67))</f>
        <v/>
      </c>
    </row>
    <row r="68" spans="1:21" ht="18" customHeight="1" x14ac:dyDescent="0.3">
      <c r="A68" s="2"/>
      <c r="B68" s="60"/>
      <c r="C68" s="61"/>
      <c r="D68" s="60"/>
      <c r="E68" s="61"/>
      <c r="F68" s="61"/>
      <c r="G68" s="61"/>
      <c r="H68" s="60"/>
      <c r="I68" s="62"/>
      <c r="J68" s="63"/>
      <c r="K68" s="64"/>
      <c r="L68" s="61"/>
      <c r="M68" s="61"/>
      <c r="N68" s="60"/>
      <c r="O68" s="65" t="str">
        <f>IF($C68="","",IF(COUNTIFS(UCRETLER!$B$7:$B$606,$B68,UCRETLER!$H$7:$H$606,"Aktif")&gt;0,"EVET","HAYIR"))</f>
        <v/>
      </c>
      <c r="P68" s="65" t="str">
        <f t="shared" si="2"/>
        <v/>
      </c>
      <c r="Q68" s="2"/>
      <c r="R68" s="2"/>
      <c r="S68" s="1"/>
      <c r="T68" s="1" t="str">
        <f t="shared" si="3"/>
        <v/>
      </c>
      <c r="U68" s="1" t="str">
        <f>IF($C68="","",COUNTIF($C$7:$C$156,"&lt;"&amp;$C68)+COUNTIF($C$7:$C68,$C68))</f>
        <v/>
      </c>
    </row>
    <row r="69" spans="1:21" ht="18" customHeight="1" x14ac:dyDescent="0.3">
      <c r="A69" s="2"/>
      <c r="B69" s="60"/>
      <c r="C69" s="61"/>
      <c r="D69" s="60"/>
      <c r="E69" s="61"/>
      <c r="F69" s="61"/>
      <c r="G69" s="61"/>
      <c r="H69" s="60"/>
      <c r="I69" s="62"/>
      <c r="J69" s="63"/>
      <c r="K69" s="64"/>
      <c r="L69" s="61"/>
      <c r="M69" s="61"/>
      <c r="N69" s="60"/>
      <c r="O69" s="65" t="str">
        <f>IF($C69="","",IF(COUNTIFS(UCRETLER!$B$7:$B$606,$B69,UCRETLER!$H$7:$H$606,"Aktif")&gt;0,"EVET","HAYIR"))</f>
        <v/>
      </c>
      <c r="P69" s="65" t="str">
        <f t="shared" si="2"/>
        <v/>
      </c>
      <c r="Q69" s="2"/>
      <c r="R69" s="2"/>
      <c r="S69" s="1"/>
      <c r="T69" s="1" t="str">
        <f t="shared" si="3"/>
        <v/>
      </c>
      <c r="U69" s="1" t="str">
        <f>IF($C69="","",COUNTIF($C$7:$C$156,"&lt;"&amp;$C69)+COUNTIF($C$7:$C69,$C69))</f>
        <v/>
      </c>
    </row>
    <row r="70" spans="1:21" ht="18" customHeight="1" x14ac:dyDescent="0.3">
      <c r="A70" s="2"/>
      <c r="B70" s="60"/>
      <c r="C70" s="61"/>
      <c r="D70" s="60"/>
      <c r="E70" s="61"/>
      <c r="F70" s="61"/>
      <c r="G70" s="61"/>
      <c r="H70" s="60"/>
      <c r="I70" s="62"/>
      <c r="J70" s="63"/>
      <c r="K70" s="64"/>
      <c r="L70" s="61"/>
      <c r="M70" s="61"/>
      <c r="N70" s="60"/>
      <c r="O70" s="65" t="str">
        <f>IF($C70="","",IF(COUNTIFS(UCRETLER!$B$7:$B$606,$B70,UCRETLER!$H$7:$H$606,"Aktif")&gt;0,"EVET","HAYIR"))</f>
        <v/>
      </c>
      <c r="P70" s="65" t="str">
        <f t="shared" si="2"/>
        <v/>
      </c>
      <c r="Q70" s="2"/>
      <c r="R70" s="2"/>
      <c r="S70" s="1"/>
      <c r="T70" s="1" t="str">
        <f t="shared" si="3"/>
        <v/>
      </c>
      <c r="U70" s="1" t="str">
        <f>IF($C70="","",COUNTIF($C$7:$C$156,"&lt;"&amp;$C70)+COUNTIF($C$7:$C70,$C70))</f>
        <v/>
      </c>
    </row>
    <row r="71" spans="1:21" ht="18" customHeight="1" x14ac:dyDescent="0.3">
      <c r="A71" s="2"/>
      <c r="B71" s="60"/>
      <c r="C71" s="61"/>
      <c r="D71" s="60"/>
      <c r="E71" s="61"/>
      <c r="F71" s="61"/>
      <c r="G71" s="61"/>
      <c r="H71" s="60"/>
      <c r="I71" s="62"/>
      <c r="J71" s="63"/>
      <c r="K71" s="64"/>
      <c r="L71" s="61"/>
      <c r="M71" s="61"/>
      <c r="N71" s="60"/>
      <c r="O71" s="65" t="str">
        <f>IF($C71="","",IF(COUNTIFS(UCRETLER!$B$7:$B$606,$B71,UCRETLER!$H$7:$H$606,"Aktif")&gt;0,"EVET","HAYIR"))</f>
        <v/>
      </c>
      <c r="P71" s="65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/>
      <c r="R71" s="2"/>
      <c r="S71" s="1"/>
      <c r="T71" s="1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 t="str">
        <f>IF($C71="","",COUNTIF($C$7:$C$156,"&lt;"&amp;$C71)+COUNTIF($C$7:$C71,$C71))</f>
        <v/>
      </c>
    </row>
    <row r="72" spans="1:21" ht="18" customHeight="1" x14ac:dyDescent="0.3">
      <c r="A72" s="2"/>
      <c r="B72" s="60"/>
      <c r="C72" s="61"/>
      <c r="D72" s="60"/>
      <c r="E72" s="61"/>
      <c r="F72" s="61"/>
      <c r="G72" s="61"/>
      <c r="H72" s="60"/>
      <c r="I72" s="62"/>
      <c r="J72" s="63"/>
      <c r="K72" s="64"/>
      <c r="L72" s="61"/>
      <c r="M72" s="61"/>
      <c r="N72" s="60"/>
      <c r="O72" s="65" t="str">
        <f>IF($C72="","",IF(COUNTIFS(UCRETLER!$B$7:$B$606,$B72,UCRETLER!$H$7:$H$606,"Aktif")&gt;0,"EVET","HAYIR"))</f>
        <v/>
      </c>
      <c r="P72" s="65" t="str">
        <f t="shared" si="4"/>
        <v/>
      </c>
      <c r="Q72" s="2"/>
      <c r="R72" s="2"/>
      <c r="S72" s="1"/>
      <c r="T72" s="1" t="str">
        <f t="shared" si="5"/>
        <v/>
      </c>
      <c r="U72" s="1" t="str">
        <f>IF($C72="","",COUNTIF($C$7:$C$156,"&lt;"&amp;$C72)+COUNTIF($C$7:$C72,$C72))</f>
        <v/>
      </c>
    </row>
    <row r="73" spans="1:21" ht="18" customHeight="1" x14ac:dyDescent="0.3">
      <c r="A73" s="2"/>
      <c r="B73" s="60"/>
      <c r="C73" s="61"/>
      <c r="D73" s="60"/>
      <c r="E73" s="61"/>
      <c r="F73" s="61"/>
      <c r="G73" s="61"/>
      <c r="H73" s="60"/>
      <c r="I73" s="62"/>
      <c r="J73" s="63"/>
      <c r="K73" s="64"/>
      <c r="L73" s="61"/>
      <c r="M73" s="61"/>
      <c r="N73" s="60"/>
      <c r="O73" s="65" t="str">
        <f>IF($C73="","",IF(COUNTIFS(UCRETLER!$B$7:$B$606,$B73,UCRETLER!$H$7:$H$606,"Aktif")&gt;0,"EVET","HAYIR"))</f>
        <v/>
      </c>
      <c r="P73" s="65" t="str">
        <f t="shared" si="4"/>
        <v/>
      </c>
      <c r="Q73" s="2"/>
      <c r="R73" s="2"/>
      <c r="S73" s="1"/>
      <c r="T73" s="1" t="str">
        <f t="shared" si="5"/>
        <v/>
      </c>
      <c r="U73" s="1" t="str">
        <f>IF($C73="","",COUNTIF($C$7:$C$156,"&lt;"&amp;$C73)+COUNTIF($C$7:$C73,$C73))</f>
        <v/>
      </c>
    </row>
    <row r="74" spans="1:21" ht="18" customHeight="1" x14ac:dyDescent="0.3">
      <c r="A74" s="2"/>
      <c r="B74" s="60"/>
      <c r="C74" s="61"/>
      <c r="D74" s="60"/>
      <c r="E74" s="61"/>
      <c r="F74" s="61"/>
      <c r="G74" s="61"/>
      <c r="H74" s="60"/>
      <c r="I74" s="62"/>
      <c r="J74" s="63"/>
      <c r="K74" s="64"/>
      <c r="L74" s="61"/>
      <c r="M74" s="61"/>
      <c r="N74" s="60"/>
      <c r="O74" s="65" t="str">
        <f>IF($C74="","",IF(COUNTIFS(UCRETLER!$B$7:$B$606,$B74,UCRETLER!$H$7:$H$606,"Aktif")&gt;0,"EVET","HAYIR"))</f>
        <v/>
      </c>
      <c r="P74" s="65" t="str">
        <f t="shared" si="4"/>
        <v/>
      </c>
      <c r="Q74" s="2"/>
      <c r="R74" s="2"/>
      <c r="S74" s="1"/>
      <c r="T74" s="1" t="str">
        <f t="shared" si="5"/>
        <v/>
      </c>
      <c r="U74" s="1" t="str">
        <f>IF($C74="","",COUNTIF($C$7:$C$156,"&lt;"&amp;$C74)+COUNTIF($C$7:$C74,$C74))</f>
        <v/>
      </c>
    </row>
    <row r="75" spans="1:21" ht="18" customHeight="1" x14ac:dyDescent="0.3">
      <c r="A75" s="2"/>
      <c r="B75" s="60"/>
      <c r="C75" s="61"/>
      <c r="D75" s="60"/>
      <c r="E75" s="61"/>
      <c r="F75" s="61"/>
      <c r="G75" s="61"/>
      <c r="H75" s="60"/>
      <c r="I75" s="62"/>
      <c r="J75" s="63"/>
      <c r="K75" s="64"/>
      <c r="L75" s="61"/>
      <c r="M75" s="61"/>
      <c r="N75" s="60"/>
      <c r="O75" s="65" t="str">
        <f>IF($C75="","",IF(COUNTIFS(UCRETLER!$B$7:$B$606,$B75,UCRETLER!$H$7:$H$606,"Aktif")&gt;0,"EVET","HAYIR"))</f>
        <v/>
      </c>
      <c r="P75" s="65" t="str">
        <f t="shared" si="4"/>
        <v/>
      </c>
      <c r="Q75" s="2"/>
      <c r="R75" s="2"/>
      <c r="S75" s="1"/>
      <c r="T75" s="1" t="str">
        <f t="shared" si="5"/>
        <v/>
      </c>
      <c r="U75" s="1" t="str">
        <f>IF($C75="","",COUNTIF($C$7:$C$156,"&lt;"&amp;$C75)+COUNTIF($C$7:$C75,$C75))</f>
        <v/>
      </c>
    </row>
    <row r="76" spans="1:21" ht="18" customHeight="1" x14ac:dyDescent="0.3">
      <c r="A76" s="2"/>
      <c r="B76" s="60"/>
      <c r="C76" s="61"/>
      <c r="D76" s="60"/>
      <c r="E76" s="61"/>
      <c r="F76" s="61"/>
      <c r="G76" s="61"/>
      <c r="H76" s="60"/>
      <c r="I76" s="62"/>
      <c r="J76" s="63"/>
      <c r="K76" s="64"/>
      <c r="L76" s="61"/>
      <c r="M76" s="61"/>
      <c r="N76" s="60"/>
      <c r="O76" s="65" t="str">
        <f>IF($C76="","",IF(COUNTIFS(UCRETLER!$B$7:$B$606,$B76,UCRETLER!$H$7:$H$606,"Aktif")&gt;0,"EVET","HAYIR"))</f>
        <v/>
      </c>
      <c r="P76" s="65" t="str">
        <f t="shared" si="4"/>
        <v/>
      </c>
      <c r="Q76" s="2"/>
      <c r="R76" s="2"/>
      <c r="S76" s="1"/>
      <c r="T76" s="1" t="str">
        <f t="shared" si="5"/>
        <v/>
      </c>
      <c r="U76" s="1" t="str">
        <f>IF($C76="","",COUNTIF($C$7:$C$156,"&lt;"&amp;$C76)+COUNTIF($C$7:$C76,$C76))</f>
        <v/>
      </c>
    </row>
    <row r="77" spans="1:21" ht="18" customHeight="1" x14ac:dyDescent="0.3">
      <c r="A77" s="2"/>
      <c r="B77" s="60"/>
      <c r="C77" s="61"/>
      <c r="D77" s="60"/>
      <c r="E77" s="61"/>
      <c r="F77" s="61"/>
      <c r="G77" s="61"/>
      <c r="H77" s="60"/>
      <c r="I77" s="62"/>
      <c r="J77" s="63"/>
      <c r="K77" s="64"/>
      <c r="L77" s="61"/>
      <c r="M77" s="61"/>
      <c r="N77" s="60"/>
      <c r="O77" s="65" t="str">
        <f>IF($C77="","",IF(COUNTIFS(UCRETLER!$B$7:$B$606,$B77,UCRETLER!$H$7:$H$606,"Aktif")&gt;0,"EVET","HAYIR"))</f>
        <v/>
      </c>
      <c r="P77" s="65" t="str">
        <f t="shared" si="4"/>
        <v/>
      </c>
      <c r="Q77" s="2"/>
      <c r="R77" s="2"/>
      <c r="S77" s="1"/>
      <c r="T77" s="1" t="str">
        <f t="shared" si="5"/>
        <v/>
      </c>
      <c r="U77" s="1" t="str">
        <f>IF($C77="","",COUNTIF($C$7:$C$156,"&lt;"&amp;$C77)+COUNTIF($C$7:$C77,$C77))</f>
        <v/>
      </c>
    </row>
    <row r="78" spans="1:21" ht="18" customHeight="1" x14ac:dyDescent="0.3">
      <c r="A78" s="2"/>
      <c r="B78" s="60"/>
      <c r="C78" s="61"/>
      <c r="D78" s="60"/>
      <c r="E78" s="61"/>
      <c r="F78" s="61"/>
      <c r="G78" s="61"/>
      <c r="H78" s="60"/>
      <c r="I78" s="62"/>
      <c r="J78" s="63"/>
      <c r="K78" s="64"/>
      <c r="L78" s="61"/>
      <c r="M78" s="61"/>
      <c r="N78" s="60"/>
      <c r="O78" s="65" t="str">
        <f>IF($C78="","",IF(COUNTIFS(UCRETLER!$B$7:$B$606,$B78,UCRETLER!$H$7:$H$606,"Aktif")&gt;0,"EVET","HAYIR"))</f>
        <v/>
      </c>
      <c r="P78" s="65" t="str">
        <f t="shared" si="4"/>
        <v/>
      </c>
      <c r="Q78" s="2"/>
      <c r="R78" s="2"/>
      <c r="S78" s="1"/>
      <c r="T78" s="1" t="str">
        <f t="shared" si="5"/>
        <v/>
      </c>
      <c r="U78" s="1" t="str">
        <f>IF($C78="","",COUNTIF($C$7:$C$156,"&lt;"&amp;$C78)+COUNTIF($C$7:$C78,$C78))</f>
        <v/>
      </c>
    </row>
    <row r="79" spans="1:21" ht="18" customHeight="1" x14ac:dyDescent="0.3">
      <c r="A79" s="2"/>
      <c r="B79" s="60"/>
      <c r="C79" s="61"/>
      <c r="D79" s="60"/>
      <c r="E79" s="61"/>
      <c r="F79" s="61"/>
      <c r="G79" s="61"/>
      <c r="H79" s="60"/>
      <c r="I79" s="62"/>
      <c r="J79" s="63"/>
      <c r="K79" s="64"/>
      <c r="L79" s="61"/>
      <c r="M79" s="61"/>
      <c r="N79" s="60"/>
      <c r="O79" s="65" t="str">
        <f>IF($C79="","",IF(COUNTIFS(UCRETLER!$B$7:$B$606,$B79,UCRETLER!$H$7:$H$606,"Aktif")&gt;0,"EVET","HAYIR"))</f>
        <v/>
      </c>
      <c r="P79" s="65" t="str">
        <f t="shared" si="4"/>
        <v/>
      </c>
      <c r="Q79" s="2"/>
      <c r="R79" s="2"/>
      <c r="S79" s="1"/>
      <c r="T79" s="1" t="str">
        <f t="shared" si="5"/>
        <v/>
      </c>
      <c r="U79" s="1" t="str">
        <f>IF($C79="","",COUNTIF($C$7:$C$156,"&lt;"&amp;$C79)+COUNTIF($C$7:$C79,$C79))</f>
        <v/>
      </c>
    </row>
    <row r="80" spans="1:21" ht="18" customHeight="1" x14ac:dyDescent="0.3">
      <c r="A80" s="2"/>
      <c r="B80" s="60"/>
      <c r="C80" s="61"/>
      <c r="D80" s="60"/>
      <c r="E80" s="61"/>
      <c r="F80" s="61"/>
      <c r="G80" s="61"/>
      <c r="H80" s="60"/>
      <c r="I80" s="62"/>
      <c r="J80" s="63"/>
      <c r="K80" s="64"/>
      <c r="L80" s="61"/>
      <c r="M80" s="61"/>
      <c r="N80" s="60"/>
      <c r="O80" s="65" t="str">
        <f>IF($C80="","",IF(COUNTIFS(UCRETLER!$B$7:$B$606,$B80,UCRETLER!$H$7:$H$606,"Aktif")&gt;0,"EVET","HAYIR"))</f>
        <v/>
      </c>
      <c r="P80" s="65" t="str">
        <f t="shared" si="4"/>
        <v/>
      </c>
      <c r="Q80" s="2"/>
      <c r="R80" s="2"/>
      <c r="S80" s="1"/>
      <c r="T80" s="1" t="str">
        <f t="shared" si="5"/>
        <v/>
      </c>
      <c r="U80" s="1" t="str">
        <f>IF($C80="","",COUNTIF($C$7:$C$156,"&lt;"&amp;$C80)+COUNTIF($C$7:$C80,$C80))</f>
        <v/>
      </c>
    </row>
    <row r="81" spans="1:21" ht="18" customHeight="1" x14ac:dyDescent="0.3">
      <c r="A81" s="2"/>
      <c r="B81" s="60"/>
      <c r="C81" s="61"/>
      <c r="D81" s="60"/>
      <c r="E81" s="61"/>
      <c r="F81" s="61"/>
      <c r="G81" s="61"/>
      <c r="H81" s="60"/>
      <c r="I81" s="62"/>
      <c r="J81" s="63"/>
      <c r="K81" s="64"/>
      <c r="L81" s="61"/>
      <c r="M81" s="61"/>
      <c r="N81" s="60"/>
      <c r="O81" s="65" t="str">
        <f>IF($C81="","",IF(COUNTIFS(UCRETLER!$B$7:$B$606,$B81,UCRETLER!$H$7:$H$606,"Aktif")&gt;0,"EVET","HAYIR"))</f>
        <v/>
      </c>
      <c r="P81" s="65" t="str">
        <f t="shared" si="4"/>
        <v/>
      </c>
      <c r="Q81" s="2"/>
      <c r="R81" s="2"/>
      <c r="S81" s="1"/>
      <c r="T81" s="1" t="str">
        <f t="shared" si="5"/>
        <v/>
      </c>
      <c r="U81" s="1" t="str">
        <f>IF($C81="","",COUNTIF($C$7:$C$156,"&lt;"&amp;$C81)+COUNTIF($C$7:$C81,$C81))</f>
        <v/>
      </c>
    </row>
    <row r="82" spans="1:21" ht="18" customHeight="1" x14ac:dyDescent="0.3">
      <c r="A82" s="2"/>
      <c r="B82" s="60"/>
      <c r="C82" s="61"/>
      <c r="D82" s="60"/>
      <c r="E82" s="61"/>
      <c r="F82" s="61"/>
      <c r="G82" s="61"/>
      <c r="H82" s="60"/>
      <c r="I82" s="62"/>
      <c r="J82" s="63"/>
      <c r="K82" s="64"/>
      <c r="L82" s="61"/>
      <c r="M82" s="61"/>
      <c r="N82" s="60"/>
      <c r="O82" s="65" t="str">
        <f>IF($C82="","",IF(COUNTIFS(UCRETLER!$B$7:$B$606,$B82,UCRETLER!$H$7:$H$606,"Aktif")&gt;0,"EVET","HAYIR"))</f>
        <v/>
      </c>
      <c r="P82" s="65" t="str">
        <f t="shared" si="4"/>
        <v/>
      </c>
      <c r="Q82" s="2"/>
      <c r="R82" s="2"/>
      <c r="S82" s="1"/>
      <c r="T82" s="1" t="str">
        <f t="shared" si="5"/>
        <v/>
      </c>
      <c r="U82" s="1" t="str">
        <f>IF($C82="","",COUNTIF($C$7:$C$156,"&lt;"&amp;$C82)+COUNTIF($C$7:$C82,$C82))</f>
        <v/>
      </c>
    </row>
    <row r="83" spans="1:21" ht="18" customHeight="1" x14ac:dyDescent="0.3">
      <c r="A83" s="2"/>
      <c r="B83" s="60"/>
      <c r="C83" s="61"/>
      <c r="D83" s="60"/>
      <c r="E83" s="61"/>
      <c r="F83" s="61"/>
      <c r="G83" s="61"/>
      <c r="H83" s="60"/>
      <c r="I83" s="62"/>
      <c r="J83" s="63"/>
      <c r="K83" s="64"/>
      <c r="L83" s="61"/>
      <c r="M83" s="61"/>
      <c r="N83" s="60"/>
      <c r="O83" s="65" t="str">
        <f>IF($C83="","",IF(COUNTIFS(UCRETLER!$B$7:$B$606,$B83,UCRETLER!$H$7:$H$606,"Aktif")&gt;0,"EVET","HAYIR"))</f>
        <v/>
      </c>
      <c r="P83" s="65" t="str">
        <f t="shared" si="4"/>
        <v/>
      </c>
      <c r="Q83" s="2"/>
      <c r="R83" s="2"/>
      <c r="S83" s="1"/>
      <c r="T83" s="1" t="str">
        <f t="shared" si="5"/>
        <v/>
      </c>
      <c r="U83" s="1" t="str">
        <f>IF($C83="","",COUNTIF($C$7:$C$156,"&lt;"&amp;$C83)+COUNTIF($C$7:$C83,$C83))</f>
        <v/>
      </c>
    </row>
    <row r="84" spans="1:21" ht="18" customHeight="1" x14ac:dyDescent="0.3">
      <c r="A84" s="2"/>
      <c r="B84" s="60"/>
      <c r="C84" s="61"/>
      <c r="D84" s="60"/>
      <c r="E84" s="61"/>
      <c r="F84" s="61"/>
      <c r="G84" s="61"/>
      <c r="H84" s="60"/>
      <c r="I84" s="62"/>
      <c r="J84" s="63"/>
      <c r="K84" s="64"/>
      <c r="L84" s="61"/>
      <c r="M84" s="61"/>
      <c r="N84" s="60"/>
      <c r="O84" s="65" t="str">
        <f>IF($C84="","",IF(COUNTIFS(UCRETLER!$B$7:$B$606,$B84,UCRETLER!$H$7:$H$606,"Aktif")&gt;0,"EVET","HAYIR"))</f>
        <v/>
      </c>
      <c r="P84" s="65" t="str">
        <f t="shared" si="4"/>
        <v/>
      </c>
      <c r="Q84" s="2"/>
      <c r="R84" s="2"/>
      <c r="S84" s="1"/>
      <c r="T84" s="1" t="str">
        <f t="shared" si="5"/>
        <v/>
      </c>
      <c r="U84" s="1" t="str">
        <f>IF($C84="","",COUNTIF($C$7:$C$156,"&lt;"&amp;$C84)+COUNTIF($C$7:$C84,$C84))</f>
        <v/>
      </c>
    </row>
    <row r="85" spans="1:21" ht="18" customHeight="1" x14ac:dyDescent="0.3">
      <c r="A85" s="2"/>
      <c r="B85" s="60"/>
      <c r="C85" s="61"/>
      <c r="D85" s="60"/>
      <c r="E85" s="61"/>
      <c r="F85" s="61"/>
      <c r="G85" s="61"/>
      <c r="H85" s="60"/>
      <c r="I85" s="62"/>
      <c r="J85" s="63"/>
      <c r="K85" s="64"/>
      <c r="L85" s="61"/>
      <c r="M85" s="61"/>
      <c r="N85" s="60"/>
      <c r="O85" s="65" t="str">
        <f>IF($C85="","",IF(COUNTIFS(UCRETLER!$B$7:$B$606,$B85,UCRETLER!$H$7:$H$606,"Aktif")&gt;0,"EVET","HAYIR"))</f>
        <v/>
      </c>
      <c r="P85" s="65" t="str">
        <f t="shared" si="4"/>
        <v/>
      </c>
      <c r="Q85" s="2"/>
      <c r="R85" s="2"/>
      <c r="S85" s="1"/>
      <c r="T85" s="1" t="str">
        <f t="shared" si="5"/>
        <v/>
      </c>
      <c r="U85" s="1" t="str">
        <f>IF($C85="","",COUNTIF($C$7:$C$156,"&lt;"&amp;$C85)+COUNTIF($C$7:$C85,$C85))</f>
        <v/>
      </c>
    </row>
    <row r="86" spans="1:21" ht="18" customHeight="1" x14ac:dyDescent="0.3">
      <c r="A86" s="2"/>
      <c r="B86" s="60"/>
      <c r="C86" s="61"/>
      <c r="D86" s="60"/>
      <c r="E86" s="61"/>
      <c r="F86" s="61"/>
      <c r="G86" s="61"/>
      <c r="H86" s="60"/>
      <c r="I86" s="62"/>
      <c r="J86" s="63"/>
      <c r="K86" s="64"/>
      <c r="L86" s="61"/>
      <c r="M86" s="61"/>
      <c r="N86" s="60"/>
      <c r="O86" s="65" t="str">
        <f>IF($C86="","",IF(COUNTIFS(UCRETLER!$B$7:$B$606,$B86,UCRETLER!$H$7:$H$606,"Aktif")&gt;0,"EVET","HAYIR"))</f>
        <v/>
      </c>
      <c r="P86" s="65" t="str">
        <f t="shared" si="4"/>
        <v/>
      </c>
      <c r="Q86" s="2"/>
      <c r="R86" s="2"/>
      <c r="S86" s="1"/>
      <c r="T86" s="1" t="str">
        <f t="shared" si="5"/>
        <v/>
      </c>
      <c r="U86" s="1" t="str">
        <f>IF($C86="","",COUNTIF($C$7:$C$156,"&lt;"&amp;$C86)+COUNTIF($C$7:$C86,$C86))</f>
        <v/>
      </c>
    </row>
    <row r="87" spans="1:21" ht="18" customHeight="1" x14ac:dyDescent="0.3">
      <c r="A87" s="2"/>
      <c r="B87" s="60"/>
      <c r="C87" s="61"/>
      <c r="D87" s="60"/>
      <c r="E87" s="61"/>
      <c r="F87" s="61"/>
      <c r="G87" s="61"/>
      <c r="H87" s="60"/>
      <c r="I87" s="62"/>
      <c r="J87" s="63"/>
      <c r="K87" s="64"/>
      <c r="L87" s="61"/>
      <c r="M87" s="61"/>
      <c r="N87" s="60"/>
      <c r="O87" s="65" t="str">
        <f>IF($C87="","",IF(COUNTIFS(UCRETLER!$B$7:$B$606,$B87,UCRETLER!$H$7:$H$606,"Aktif")&gt;0,"EVET","HAYIR"))</f>
        <v/>
      </c>
      <c r="P87" s="65" t="str">
        <f t="shared" si="4"/>
        <v/>
      </c>
      <c r="Q87" s="2"/>
      <c r="R87" s="2"/>
      <c r="S87" s="1"/>
      <c r="T87" s="1" t="str">
        <f t="shared" si="5"/>
        <v/>
      </c>
      <c r="U87" s="1" t="str">
        <f>IF($C87="","",COUNTIF($C$7:$C$156,"&lt;"&amp;$C87)+COUNTIF($C$7:$C87,$C87))</f>
        <v/>
      </c>
    </row>
    <row r="88" spans="1:21" ht="18" customHeight="1" x14ac:dyDescent="0.3">
      <c r="A88" s="2"/>
      <c r="B88" s="60"/>
      <c r="C88" s="61"/>
      <c r="D88" s="60"/>
      <c r="E88" s="61"/>
      <c r="F88" s="61"/>
      <c r="G88" s="61"/>
      <c r="H88" s="60"/>
      <c r="I88" s="62"/>
      <c r="J88" s="63"/>
      <c r="K88" s="64"/>
      <c r="L88" s="61"/>
      <c r="M88" s="61"/>
      <c r="N88" s="60"/>
      <c r="O88" s="65" t="str">
        <f>IF($C88="","",IF(COUNTIFS(UCRETLER!$B$7:$B$606,$B88,UCRETLER!$H$7:$H$606,"Aktif")&gt;0,"EVET","HAYIR"))</f>
        <v/>
      </c>
      <c r="P88" s="65" t="str">
        <f t="shared" si="4"/>
        <v/>
      </c>
      <c r="Q88" s="2"/>
      <c r="R88" s="2"/>
      <c r="S88" s="1"/>
      <c r="T88" s="1" t="str">
        <f t="shared" si="5"/>
        <v/>
      </c>
      <c r="U88" s="1" t="str">
        <f>IF($C88="","",COUNTIF($C$7:$C$156,"&lt;"&amp;$C88)+COUNTIF($C$7:$C88,$C88))</f>
        <v/>
      </c>
    </row>
    <row r="89" spans="1:21" ht="18" customHeight="1" x14ac:dyDescent="0.3">
      <c r="A89" s="2"/>
      <c r="B89" s="60"/>
      <c r="C89" s="61"/>
      <c r="D89" s="60"/>
      <c r="E89" s="61"/>
      <c r="F89" s="61"/>
      <c r="G89" s="61"/>
      <c r="H89" s="60"/>
      <c r="I89" s="62"/>
      <c r="J89" s="63"/>
      <c r="K89" s="64"/>
      <c r="L89" s="61"/>
      <c r="M89" s="61"/>
      <c r="N89" s="60"/>
      <c r="O89" s="65" t="str">
        <f>IF($C89="","",IF(COUNTIFS(UCRETLER!$B$7:$B$606,$B89,UCRETLER!$H$7:$H$606,"Aktif")&gt;0,"EVET","HAYIR"))</f>
        <v/>
      </c>
      <c r="P89" s="65" t="str">
        <f t="shared" si="4"/>
        <v/>
      </c>
      <c r="Q89" s="2"/>
      <c r="R89" s="2"/>
      <c r="S89" s="1"/>
      <c r="T89" s="1" t="str">
        <f t="shared" si="5"/>
        <v/>
      </c>
      <c r="U89" s="1" t="str">
        <f>IF($C89="","",COUNTIF($C$7:$C$156,"&lt;"&amp;$C89)+COUNTIF($C$7:$C89,$C89))</f>
        <v/>
      </c>
    </row>
    <row r="90" spans="1:21" ht="18" customHeight="1" x14ac:dyDescent="0.3">
      <c r="A90" s="2"/>
      <c r="B90" s="60"/>
      <c r="C90" s="61"/>
      <c r="D90" s="60"/>
      <c r="E90" s="61"/>
      <c r="F90" s="61"/>
      <c r="G90" s="61"/>
      <c r="H90" s="60"/>
      <c r="I90" s="62"/>
      <c r="J90" s="63"/>
      <c r="K90" s="64"/>
      <c r="L90" s="61"/>
      <c r="M90" s="61"/>
      <c r="N90" s="60"/>
      <c r="O90" s="65" t="str">
        <f>IF($C90="","",IF(COUNTIFS(UCRETLER!$B$7:$B$606,$B90,UCRETLER!$H$7:$H$606,"Aktif")&gt;0,"EVET","HAYIR"))</f>
        <v/>
      </c>
      <c r="P90" s="65" t="str">
        <f t="shared" si="4"/>
        <v/>
      </c>
      <c r="Q90" s="2"/>
      <c r="R90" s="2"/>
      <c r="S90" s="1"/>
      <c r="T90" s="1" t="str">
        <f t="shared" si="5"/>
        <v/>
      </c>
      <c r="U90" s="1" t="str">
        <f>IF($C90="","",COUNTIF($C$7:$C$156,"&lt;"&amp;$C90)+COUNTIF($C$7:$C90,$C90))</f>
        <v/>
      </c>
    </row>
    <row r="91" spans="1:21" ht="18" customHeight="1" x14ac:dyDescent="0.3">
      <c r="A91" s="2"/>
      <c r="B91" s="60"/>
      <c r="C91" s="61"/>
      <c r="D91" s="60"/>
      <c r="E91" s="61"/>
      <c r="F91" s="61"/>
      <c r="G91" s="61"/>
      <c r="H91" s="60"/>
      <c r="I91" s="62"/>
      <c r="J91" s="63"/>
      <c r="K91" s="64"/>
      <c r="L91" s="61"/>
      <c r="M91" s="61"/>
      <c r="N91" s="60"/>
      <c r="O91" s="65" t="str">
        <f>IF($C91="","",IF(COUNTIFS(UCRETLER!$B$7:$B$606,$B91,UCRETLER!$H$7:$H$606,"Aktif")&gt;0,"EVET","HAYIR"))</f>
        <v/>
      </c>
      <c r="P91" s="65" t="str">
        <f t="shared" si="4"/>
        <v/>
      </c>
      <c r="Q91" s="2"/>
      <c r="R91" s="2"/>
      <c r="S91" s="1"/>
      <c r="T91" s="1" t="str">
        <f t="shared" si="5"/>
        <v/>
      </c>
      <c r="U91" s="1" t="str">
        <f>IF($C91="","",COUNTIF($C$7:$C$156,"&lt;"&amp;$C91)+COUNTIF($C$7:$C91,$C91))</f>
        <v/>
      </c>
    </row>
    <row r="92" spans="1:21" ht="18" customHeight="1" x14ac:dyDescent="0.3">
      <c r="A92" s="2"/>
      <c r="B92" s="60"/>
      <c r="C92" s="61"/>
      <c r="D92" s="60"/>
      <c r="E92" s="61"/>
      <c r="F92" s="61"/>
      <c r="G92" s="61"/>
      <c r="H92" s="60"/>
      <c r="I92" s="62"/>
      <c r="J92" s="63"/>
      <c r="K92" s="64"/>
      <c r="L92" s="61"/>
      <c r="M92" s="61"/>
      <c r="N92" s="60"/>
      <c r="O92" s="65" t="str">
        <f>IF($C92="","",IF(COUNTIFS(UCRETLER!$B$7:$B$606,$B92,UCRETLER!$H$7:$H$606,"Aktif")&gt;0,"EVET","HAYIR"))</f>
        <v/>
      </c>
      <c r="P92" s="65" t="str">
        <f t="shared" si="4"/>
        <v/>
      </c>
      <c r="Q92" s="2"/>
      <c r="R92" s="2"/>
      <c r="S92" s="1"/>
      <c r="T92" s="1" t="str">
        <f t="shared" si="5"/>
        <v/>
      </c>
      <c r="U92" s="1" t="str">
        <f>IF($C92="","",COUNTIF($C$7:$C$156,"&lt;"&amp;$C92)+COUNTIF($C$7:$C92,$C92))</f>
        <v/>
      </c>
    </row>
    <row r="93" spans="1:21" ht="18" customHeight="1" x14ac:dyDescent="0.3">
      <c r="A93" s="2"/>
      <c r="B93" s="60"/>
      <c r="C93" s="61"/>
      <c r="D93" s="60"/>
      <c r="E93" s="61"/>
      <c r="F93" s="61"/>
      <c r="G93" s="61"/>
      <c r="H93" s="60"/>
      <c r="I93" s="62"/>
      <c r="J93" s="63"/>
      <c r="K93" s="64"/>
      <c r="L93" s="61"/>
      <c r="M93" s="61"/>
      <c r="N93" s="60"/>
      <c r="O93" s="65" t="str">
        <f>IF($C93="","",IF(COUNTIFS(UCRETLER!$B$7:$B$606,$B93,UCRETLER!$H$7:$H$606,"Aktif")&gt;0,"EVET","HAYIR"))</f>
        <v/>
      </c>
      <c r="P93" s="65" t="str">
        <f t="shared" si="4"/>
        <v/>
      </c>
      <c r="Q93" s="2"/>
      <c r="R93" s="2"/>
      <c r="S93" s="1"/>
      <c r="T93" s="1" t="str">
        <f t="shared" si="5"/>
        <v/>
      </c>
      <c r="U93" s="1" t="str">
        <f>IF($C93="","",COUNTIF($C$7:$C$156,"&lt;"&amp;$C93)+COUNTIF($C$7:$C93,$C93))</f>
        <v/>
      </c>
    </row>
    <row r="94" spans="1:21" ht="18" customHeight="1" x14ac:dyDescent="0.3">
      <c r="A94" s="2"/>
      <c r="B94" s="60"/>
      <c r="C94" s="61"/>
      <c r="D94" s="60"/>
      <c r="E94" s="61"/>
      <c r="F94" s="61"/>
      <c r="G94" s="61"/>
      <c r="H94" s="60"/>
      <c r="I94" s="62"/>
      <c r="J94" s="63"/>
      <c r="K94" s="64"/>
      <c r="L94" s="61"/>
      <c r="M94" s="61"/>
      <c r="N94" s="60"/>
      <c r="O94" s="65" t="str">
        <f>IF($C94="","",IF(COUNTIFS(UCRETLER!$B$7:$B$606,$B94,UCRETLER!$H$7:$H$606,"Aktif")&gt;0,"EVET","HAYIR"))</f>
        <v/>
      </c>
      <c r="P94" s="65" t="str">
        <f t="shared" si="4"/>
        <v/>
      </c>
      <c r="Q94" s="2"/>
      <c r="R94" s="2"/>
      <c r="S94" s="1"/>
      <c r="T94" s="1" t="str">
        <f t="shared" si="5"/>
        <v/>
      </c>
      <c r="U94" s="1" t="str">
        <f>IF($C94="","",COUNTIF($C$7:$C$156,"&lt;"&amp;$C94)+COUNTIF($C$7:$C94,$C94))</f>
        <v/>
      </c>
    </row>
    <row r="95" spans="1:21" ht="18" customHeight="1" x14ac:dyDescent="0.3">
      <c r="A95" s="2"/>
      <c r="B95" s="60"/>
      <c r="C95" s="61"/>
      <c r="D95" s="60"/>
      <c r="E95" s="61"/>
      <c r="F95" s="61"/>
      <c r="G95" s="61"/>
      <c r="H95" s="60"/>
      <c r="I95" s="62"/>
      <c r="J95" s="63"/>
      <c r="K95" s="64"/>
      <c r="L95" s="61"/>
      <c r="M95" s="61"/>
      <c r="N95" s="60"/>
      <c r="O95" s="65" t="str">
        <f>IF($C95="","",IF(COUNTIFS(UCRETLER!$B$7:$B$606,$B95,UCRETLER!$H$7:$H$606,"Aktif")&gt;0,"EVET","HAYIR"))</f>
        <v/>
      </c>
      <c r="P95" s="65" t="str">
        <f t="shared" si="4"/>
        <v/>
      </c>
      <c r="Q95" s="2"/>
      <c r="R95" s="2"/>
      <c r="S95" s="1"/>
      <c r="T95" s="1" t="str">
        <f t="shared" si="5"/>
        <v/>
      </c>
      <c r="U95" s="1" t="str">
        <f>IF($C95="","",COUNTIF($C$7:$C$156,"&lt;"&amp;$C95)+COUNTIF($C$7:$C95,$C95))</f>
        <v/>
      </c>
    </row>
    <row r="96" spans="1:21" ht="18" customHeight="1" x14ac:dyDescent="0.3">
      <c r="A96" s="2"/>
      <c r="B96" s="60"/>
      <c r="C96" s="61"/>
      <c r="D96" s="60"/>
      <c r="E96" s="61"/>
      <c r="F96" s="61"/>
      <c r="G96" s="61"/>
      <c r="H96" s="60"/>
      <c r="I96" s="62"/>
      <c r="J96" s="63"/>
      <c r="K96" s="64"/>
      <c r="L96" s="61"/>
      <c r="M96" s="61"/>
      <c r="N96" s="60"/>
      <c r="O96" s="65" t="str">
        <f>IF($C96="","",IF(COUNTIFS(UCRETLER!$B$7:$B$606,$B96,UCRETLER!$H$7:$H$606,"Aktif")&gt;0,"EVET","HAYIR"))</f>
        <v/>
      </c>
      <c r="P96" s="65" t="str">
        <f t="shared" si="4"/>
        <v/>
      </c>
      <c r="Q96" s="2"/>
      <c r="R96" s="2"/>
      <c r="S96" s="1"/>
      <c r="T96" s="1" t="str">
        <f t="shared" si="5"/>
        <v/>
      </c>
      <c r="U96" s="1" t="str">
        <f>IF($C96="","",COUNTIF($C$7:$C$156,"&lt;"&amp;$C96)+COUNTIF($C$7:$C96,$C96))</f>
        <v/>
      </c>
    </row>
    <row r="97" spans="1:21" ht="18" customHeight="1" x14ac:dyDescent="0.3">
      <c r="A97" s="2"/>
      <c r="B97" s="60"/>
      <c r="C97" s="61"/>
      <c r="D97" s="60"/>
      <c r="E97" s="61"/>
      <c r="F97" s="61"/>
      <c r="G97" s="61"/>
      <c r="H97" s="60"/>
      <c r="I97" s="62"/>
      <c r="J97" s="63"/>
      <c r="K97" s="64"/>
      <c r="L97" s="61"/>
      <c r="M97" s="61"/>
      <c r="N97" s="60"/>
      <c r="O97" s="65" t="str">
        <f>IF($C97="","",IF(COUNTIFS(UCRETLER!$B$7:$B$606,$B97,UCRETLER!$H$7:$H$606,"Aktif")&gt;0,"EVET","HAYIR"))</f>
        <v/>
      </c>
      <c r="P97" s="65" t="str">
        <f t="shared" si="4"/>
        <v/>
      </c>
      <c r="Q97" s="2"/>
      <c r="R97" s="2"/>
      <c r="S97" s="1"/>
      <c r="T97" s="1" t="str">
        <f t="shared" si="5"/>
        <v/>
      </c>
      <c r="U97" s="1" t="str">
        <f>IF($C97="","",COUNTIF($C$7:$C$156,"&lt;"&amp;$C97)+COUNTIF($C$7:$C97,$C97))</f>
        <v/>
      </c>
    </row>
    <row r="98" spans="1:21" ht="18" customHeight="1" x14ac:dyDescent="0.3">
      <c r="A98" s="2"/>
      <c r="B98" s="60"/>
      <c r="C98" s="61"/>
      <c r="D98" s="60"/>
      <c r="E98" s="61"/>
      <c r="F98" s="61"/>
      <c r="G98" s="61"/>
      <c r="H98" s="60"/>
      <c r="I98" s="62"/>
      <c r="J98" s="63"/>
      <c r="K98" s="64"/>
      <c r="L98" s="61"/>
      <c r="M98" s="61"/>
      <c r="N98" s="60"/>
      <c r="O98" s="65" t="str">
        <f>IF($C98="","",IF(COUNTIFS(UCRETLER!$B$7:$B$606,$B98,UCRETLER!$H$7:$H$606,"Aktif")&gt;0,"EVET","HAYIR"))</f>
        <v/>
      </c>
      <c r="P98" s="65" t="str">
        <f t="shared" si="4"/>
        <v/>
      </c>
      <c r="Q98" s="2"/>
      <c r="R98" s="2"/>
      <c r="S98" s="1"/>
      <c r="T98" s="1" t="str">
        <f t="shared" si="5"/>
        <v/>
      </c>
      <c r="U98" s="1" t="str">
        <f>IF($C98="","",COUNTIF($C$7:$C$156,"&lt;"&amp;$C98)+COUNTIF($C$7:$C98,$C98))</f>
        <v/>
      </c>
    </row>
    <row r="99" spans="1:21" ht="18" customHeight="1" x14ac:dyDescent="0.3">
      <c r="A99" s="2"/>
      <c r="B99" s="60"/>
      <c r="C99" s="61"/>
      <c r="D99" s="60"/>
      <c r="E99" s="61"/>
      <c r="F99" s="61"/>
      <c r="G99" s="61"/>
      <c r="H99" s="60"/>
      <c r="I99" s="62"/>
      <c r="J99" s="63"/>
      <c r="K99" s="64"/>
      <c r="L99" s="61"/>
      <c r="M99" s="61"/>
      <c r="N99" s="60"/>
      <c r="O99" s="65" t="str">
        <f>IF($C99="","",IF(COUNTIFS(UCRETLER!$B$7:$B$606,$B99,UCRETLER!$H$7:$H$606,"Aktif")&gt;0,"EVET","HAYIR"))</f>
        <v/>
      </c>
      <c r="P99" s="65" t="str">
        <f t="shared" si="4"/>
        <v/>
      </c>
      <c r="Q99" s="2"/>
      <c r="R99" s="2"/>
      <c r="S99" s="1"/>
      <c r="T99" s="1" t="str">
        <f t="shared" si="5"/>
        <v/>
      </c>
      <c r="U99" s="1" t="str">
        <f>IF($C99="","",COUNTIF($C$7:$C$156,"&lt;"&amp;$C99)+COUNTIF($C$7:$C99,$C99))</f>
        <v/>
      </c>
    </row>
    <row r="100" spans="1:21" ht="18" customHeight="1" x14ac:dyDescent="0.3">
      <c r="A100" s="2"/>
      <c r="B100" s="60"/>
      <c r="C100" s="61"/>
      <c r="D100" s="60"/>
      <c r="E100" s="61"/>
      <c r="F100" s="61"/>
      <c r="G100" s="61"/>
      <c r="H100" s="60"/>
      <c r="I100" s="62"/>
      <c r="J100" s="63"/>
      <c r="K100" s="64"/>
      <c r="L100" s="61"/>
      <c r="M100" s="61"/>
      <c r="N100" s="60"/>
      <c r="O100" s="65" t="str">
        <f>IF($C100="","",IF(COUNTIFS(UCRETLER!$B$7:$B$606,$B100,UCRETLER!$H$7:$H$606,"Aktif")&gt;0,"EVET","HAYIR"))</f>
        <v/>
      </c>
      <c r="P100" s="65" t="str">
        <f t="shared" si="4"/>
        <v/>
      </c>
      <c r="Q100" s="2"/>
      <c r="R100" s="2"/>
      <c r="S100" s="1"/>
      <c r="T100" s="1" t="str">
        <f t="shared" si="5"/>
        <v/>
      </c>
      <c r="U100" s="1" t="str">
        <f>IF($C100="","",COUNTIF($C$7:$C$156,"&lt;"&amp;$C100)+COUNTIF($C$7:$C100,$C100))</f>
        <v/>
      </c>
    </row>
    <row r="101" spans="1:21" ht="18" customHeight="1" x14ac:dyDescent="0.3">
      <c r="A101" s="2"/>
      <c r="B101" s="60"/>
      <c r="C101" s="61"/>
      <c r="D101" s="60"/>
      <c r="E101" s="61"/>
      <c r="F101" s="61"/>
      <c r="G101" s="61"/>
      <c r="H101" s="60"/>
      <c r="I101" s="62"/>
      <c r="J101" s="63"/>
      <c r="K101" s="64"/>
      <c r="L101" s="61"/>
      <c r="M101" s="61"/>
      <c r="N101" s="60"/>
      <c r="O101" s="65" t="str">
        <f>IF($C101="","",IF(COUNTIFS(UCRETLER!$B$7:$B$606,$B101,UCRETLER!$H$7:$H$606,"Aktif")&gt;0,"EVET","HAYIR"))</f>
        <v/>
      </c>
      <c r="P101" s="65" t="str">
        <f t="shared" si="4"/>
        <v/>
      </c>
      <c r="Q101" s="2"/>
      <c r="R101" s="2"/>
      <c r="S101" s="1"/>
      <c r="T101" s="1" t="str">
        <f t="shared" si="5"/>
        <v/>
      </c>
      <c r="U101" s="1" t="str">
        <f>IF($C101="","",COUNTIF($C$7:$C$156,"&lt;"&amp;$C101)+COUNTIF($C$7:$C101,$C101))</f>
        <v/>
      </c>
    </row>
    <row r="102" spans="1:21" ht="18" customHeight="1" x14ac:dyDescent="0.3">
      <c r="A102" s="2"/>
      <c r="B102" s="60"/>
      <c r="C102" s="61"/>
      <c r="D102" s="60"/>
      <c r="E102" s="61"/>
      <c r="F102" s="61"/>
      <c r="G102" s="61"/>
      <c r="H102" s="60"/>
      <c r="I102" s="62"/>
      <c r="J102" s="63"/>
      <c r="K102" s="64"/>
      <c r="L102" s="61"/>
      <c r="M102" s="61"/>
      <c r="N102" s="60"/>
      <c r="O102" s="65" t="str">
        <f>IF($C102="","",IF(COUNTIFS(UCRETLER!$B$7:$B$606,$B102,UCRETLER!$H$7:$H$606,"Aktif")&gt;0,"EVET","HAYIR"))</f>
        <v/>
      </c>
      <c r="P102" s="65" t="str">
        <f t="shared" si="4"/>
        <v/>
      </c>
      <c r="Q102" s="2"/>
      <c r="R102" s="2"/>
      <c r="S102" s="1"/>
      <c r="T102" s="1" t="str">
        <f t="shared" si="5"/>
        <v/>
      </c>
      <c r="U102" s="1" t="str">
        <f>IF($C102="","",COUNTIF($C$7:$C$156,"&lt;"&amp;$C102)+COUNTIF($C$7:$C102,$C102))</f>
        <v/>
      </c>
    </row>
    <row r="103" spans="1:21" ht="18" customHeight="1" x14ac:dyDescent="0.3">
      <c r="A103" s="2"/>
      <c r="B103" s="60"/>
      <c r="C103" s="61"/>
      <c r="D103" s="60"/>
      <c r="E103" s="61"/>
      <c r="F103" s="61"/>
      <c r="G103" s="61"/>
      <c r="H103" s="60"/>
      <c r="I103" s="62"/>
      <c r="J103" s="63"/>
      <c r="K103" s="64"/>
      <c r="L103" s="61"/>
      <c r="M103" s="61"/>
      <c r="N103" s="60"/>
      <c r="O103" s="65" t="str">
        <f>IF($C103="","",IF(COUNTIFS(UCRETLER!$B$7:$B$606,$B103,UCRETLER!$H$7:$H$606,"Aktif")&gt;0,"EVET","HAYIR"))</f>
        <v/>
      </c>
      <c r="P103" s="65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/>
      <c r="R103" s="2"/>
      <c r="S103" s="1"/>
      <c r="T103" s="1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 t="str">
        <f>IF($C103="","",COUNTIF($C$7:$C$156,"&lt;"&amp;$C103)+COUNTIF($C$7:$C103,$C103))</f>
        <v/>
      </c>
    </row>
    <row r="104" spans="1:21" ht="18" customHeight="1" x14ac:dyDescent="0.3">
      <c r="A104" s="2"/>
      <c r="B104" s="60"/>
      <c r="C104" s="61"/>
      <c r="D104" s="60"/>
      <c r="E104" s="61"/>
      <c r="F104" s="61"/>
      <c r="G104" s="61"/>
      <c r="H104" s="60"/>
      <c r="I104" s="62"/>
      <c r="J104" s="63"/>
      <c r="K104" s="64"/>
      <c r="L104" s="61"/>
      <c r="M104" s="61"/>
      <c r="N104" s="60"/>
      <c r="O104" s="65" t="str">
        <f>IF($C104="","",IF(COUNTIFS(UCRETLER!$B$7:$B$606,$B104,UCRETLER!$H$7:$H$606,"Aktif")&gt;0,"EVET","HAYIR"))</f>
        <v/>
      </c>
      <c r="P104" s="65" t="str">
        <f t="shared" si="6"/>
        <v/>
      </c>
      <c r="Q104" s="2"/>
      <c r="R104" s="2"/>
      <c r="S104" s="1"/>
      <c r="T104" s="1" t="str">
        <f t="shared" si="7"/>
        <v/>
      </c>
      <c r="U104" s="1" t="str">
        <f>IF($C104="","",COUNTIF($C$7:$C$156,"&lt;"&amp;$C104)+COUNTIF($C$7:$C104,$C104))</f>
        <v/>
      </c>
    </row>
    <row r="105" spans="1:21" ht="18" customHeight="1" x14ac:dyDescent="0.3">
      <c r="A105" s="2"/>
      <c r="B105" s="60"/>
      <c r="C105" s="61"/>
      <c r="D105" s="60"/>
      <c r="E105" s="61"/>
      <c r="F105" s="61"/>
      <c r="G105" s="61"/>
      <c r="H105" s="60"/>
      <c r="I105" s="62"/>
      <c r="J105" s="63"/>
      <c r="K105" s="64"/>
      <c r="L105" s="61"/>
      <c r="M105" s="61"/>
      <c r="N105" s="60"/>
      <c r="O105" s="65" t="str">
        <f>IF($C105="","",IF(COUNTIFS(UCRETLER!$B$7:$B$606,$B105,UCRETLER!$H$7:$H$606,"Aktif")&gt;0,"EVET","HAYIR"))</f>
        <v/>
      </c>
      <c r="P105" s="65" t="str">
        <f t="shared" si="6"/>
        <v/>
      </c>
      <c r="Q105" s="2"/>
      <c r="R105" s="2"/>
      <c r="S105" s="1"/>
      <c r="T105" s="1" t="str">
        <f t="shared" si="7"/>
        <v/>
      </c>
      <c r="U105" s="1" t="str">
        <f>IF($C105="","",COUNTIF($C$7:$C$156,"&lt;"&amp;$C105)+COUNTIF($C$7:$C105,$C105))</f>
        <v/>
      </c>
    </row>
    <row r="106" spans="1:21" ht="18" customHeight="1" x14ac:dyDescent="0.3">
      <c r="A106" s="2"/>
      <c r="B106" s="60"/>
      <c r="C106" s="61"/>
      <c r="D106" s="60"/>
      <c r="E106" s="61"/>
      <c r="F106" s="61"/>
      <c r="G106" s="61"/>
      <c r="H106" s="60"/>
      <c r="I106" s="62"/>
      <c r="J106" s="63"/>
      <c r="K106" s="64"/>
      <c r="L106" s="61"/>
      <c r="M106" s="61"/>
      <c r="N106" s="60"/>
      <c r="O106" s="65" t="str">
        <f>IF($C106="","",IF(COUNTIFS(UCRETLER!$B$7:$B$606,$B106,UCRETLER!$H$7:$H$606,"Aktif")&gt;0,"EVET","HAYIR"))</f>
        <v/>
      </c>
      <c r="P106" s="65" t="str">
        <f t="shared" si="6"/>
        <v/>
      </c>
      <c r="Q106" s="2"/>
      <c r="R106" s="2"/>
      <c r="S106" s="1"/>
      <c r="T106" s="1" t="str">
        <f t="shared" si="7"/>
        <v/>
      </c>
      <c r="U106" s="1" t="str">
        <f>IF($C106="","",COUNTIF($C$7:$C$156,"&lt;"&amp;$C106)+COUNTIF($C$7:$C106,$C106))</f>
        <v/>
      </c>
    </row>
    <row r="107" spans="1:21" ht="18" customHeight="1" x14ac:dyDescent="0.3">
      <c r="A107" s="2"/>
      <c r="B107" s="60"/>
      <c r="C107" s="61"/>
      <c r="D107" s="60"/>
      <c r="E107" s="61"/>
      <c r="F107" s="61"/>
      <c r="G107" s="61"/>
      <c r="H107" s="60"/>
      <c r="I107" s="62"/>
      <c r="J107" s="63"/>
      <c r="K107" s="64"/>
      <c r="L107" s="61"/>
      <c r="M107" s="61"/>
      <c r="N107" s="60"/>
      <c r="O107" s="65" t="str">
        <f>IF($C107="","",IF(COUNTIFS(UCRETLER!$B$7:$B$606,$B107,UCRETLER!$H$7:$H$606,"Aktif")&gt;0,"EVET","HAYIR"))</f>
        <v/>
      </c>
      <c r="P107" s="65" t="str">
        <f t="shared" si="6"/>
        <v/>
      </c>
      <c r="Q107" s="2"/>
      <c r="R107" s="2"/>
      <c r="S107" s="1"/>
      <c r="T107" s="1" t="str">
        <f t="shared" si="7"/>
        <v/>
      </c>
      <c r="U107" s="1" t="str">
        <f>IF($C107="","",COUNTIF($C$7:$C$156,"&lt;"&amp;$C107)+COUNTIF($C$7:$C107,$C107))</f>
        <v/>
      </c>
    </row>
    <row r="108" spans="1:21" ht="18" customHeight="1" x14ac:dyDescent="0.3">
      <c r="A108" s="2"/>
      <c r="B108" s="60"/>
      <c r="C108" s="61"/>
      <c r="D108" s="60"/>
      <c r="E108" s="61"/>
      <c r="F108" s="61"/>
      <c r="G108" s="61"/>
      <c r="H108" s="60"/>
      <c r="I108" s="62"/>
      <c r="J108" s="63"/>
      <c r="K108" s="64"/>
      <c r="L108" s="61"/>
      <c r="M108" s="61"/>
      <c r="N108" s="60"/>
      <c r="O108" s="65" t="str">
        <f>IF($C108="","",IF(COUNTIFS(UCRETLER!$B$7:$B$606,$B108,UCRETLER!$H$7:$H$606,"Aktif")&gt;0,"EVET","HAYIR"))</f>
        <v/>
      </c>
      <c r="P108" s="65" t="str">
        <f t="shared" si="6"/>
        <v/>
      </c>
      <c r="Q108" s="2"/>
      <c r="R108" s="2"/>
      <c r="S108" s="1"/>
      <c r="T108" s="1" t="str">
        <f t="shared" si="7"/>
        <v/>
      </c>
      <c r="U108" s="1" t="str">
        <f>IF($C108="","",COUNTIF($C$7:$C$156,"&lt;"&amp;$C108)+COUNTIF($C$7:$C108,$C108))</f>
        <v/>
      </c>
    </row>
    <row r="109" spans="1:21" ht="18" customHeight="1" x14ac:dyDescent="0.3">
      <c r="A109" s="2"/>
      <c r="B109" s="60"/>
      <c r="C109" s="61"/>
      <c r="D109" s="60"/>
      <c r="E109" s="61"/>
      <c r="F109" s="61"/>
      <c r="G109" s="61"/>
      <c r="H109" s="60"/>
      <c r="I109" s="62"/>
      <c r="J109" s="63"/>
      <c r="K109" s="64"/>
      <c r="L109" s="61"/>
      <c r="M109" s="61"/>
      <c r="N109" s="60"/>
      <c r="O109" s="65" t="str">
        <f>IF($C109="","",IF(COUNTIFS(UCRETLER!$B$7:$B$606,$B109,UCRETLER!$H$7:$H$606,"Aktif")&gt;0,"EVET","HAYIR"))</f>
        <v/>
      </c>
      <c r="P109" s="65" t="str">
        <f t="shared" si="6"/>
        <v/>
      </c>
      <c r="Q109" s="2"/>
      <c r="R109" s="2"/>
      <c r="S109" s="1"/>
      <c r="T109" s="1" t="str">
        <f t="shared" si="7"/>
        <v/>
      </c>
      <c r="U109" s="1" t="str">
        <f>IF($C109="","",COUNTIF($C$7:$C$156,"&lt;"&amp;$C109)+COUNTIF($C$7:$C109,$C109))</f>
        <v/>
      </c>
    </row>
    <row r="110" spans="1:21" ht="18" customHeight="1" x14ac:dyDescent="0.3">
      <c r="A110" s="2"/>
      <c r="B110" s="60"/>
      <c r="C110" s="61"/>
      <c r="D110" s="60"/>
      <c r="E110" s="61"/>
      <c r="F110" s="61"/>
      <c r="G110" s="61"/>
      <c r="H110" s="60"/>
      <c r="I110" s="62"/>
      <c r="J110" s="63"/>
      <c r="K110" s="64"/>
      <c r="L110" s="61"/>
      <c r="M110" s="61"/>
      <c r="N110" s="60"/>
      <c r="O110" s="65" t="str">
        <f>IF($C110="","",IF(COUNTIFS(UCRETLER!$B$7:$B$606,$B110,UCRETLER!$H$7:$H$606,"Aktif")&gt;0,"EVET","HAYIR"))</f>
        <v/>
      </c>
      <c r="P110" s="65" t="str">
        <f t="shared" si="6"/>
        <v/>
      </c>
      <c r="Q110" s="2"/>
      <c r="R110" s="2"/>
      <c r="S110" s="1"/>
      <c r="T110" s="1" t="str">
        <f t="shared" si="7"/>
        <v/>
      </c>
      <c r="U110" s="1" t="str">
        <f>IF($C110="","",COUNTIF($C$7:$C$156,"&lt;"&amp;$C110)+COUNTIF($C$7:$C110,$C110))</f>
        <v/>
      </c>
    </row>
    <row r="111" spans="1:21" ht="18" customHeight="1" x14ac:dyDescent="0.3">
      <c r="A111" s="2"/>
      <c r="B111" s="60"/>
      <c r="C111" s="61"/>
      <c r="D111" s="60"/>
      <c r="E111" s="61"/>
      <c r="F111" s="61"/>
      <c r="G111" s="61"/>
      <c r="H111" s="60"/>
      <c r="I111" s="62"/>
      <c r="J111" s="63"/>
      <c r="K111" s="64"/>
      <c r="L111" s="61"/>
      <c r="M111" s="61"/>
      <c r="N111" s="60"/>
      <c r="O111" s="65" t="str">
        <f>IF($C111="","",IF(COUNTIFS(UCRETLER!$B$7:$B$606,$B111,UCRETLER!$H$7:$H$606,"Aktif")&gt;0,"EVET","HAYIR"))</f>
        <v/>
      </c>
      <c r="P111" s="65" t="str">
        <f t="shared" si="6"/>
        <v/>
      </c>
      <c r="Q111" s="2"/>
      <c r="R111" s="2"/>
      <c r="S111" s="1"/>
      <c r="T111" s="1" t="str">
        <f t="shared" si="7"/>
        <v/>
      </c>
      <c r="U111" s="1" t="str">
        <f>IF($C111="","",COUNTIF($C$7:$C$156,"&lt;"&amp;$C111)+COUNTIF($C$7:$C111,$C111))</f>
        <v/>
      </c>
    </row>
    <row r="112" spans="1:21" ht="18" customHeight="1" x14ac:dyDescent="0.3">
      <c r="A112" s="2"/>
      <c r="B112" s="60"/>
      <c r="C112" s="61"/>
      <c r="D112" s="60"/>
      <c r="E112" s="61"/>
      <c r="F112" s="61"/>
      <c r="G112" s="61"/>
      <c r="H112" s="60"/>
      <c r="I112" s="62"/>
      <c r="J112" s="63"/>
      <c r="K112" s="64"/>
      <c r="L112" s="61"/>
      <c r="M112" s="61"/>
      <c r="N112" s="60"/>
      <c r="O112" s="65" t="str">
        <f>IF($C112="","",IF(COUNTIFS(UCRETLER!$B$7:$B$606,$B112,UCRETLER!$H$7:$H$606,"Aktif")&gt;0,"EVET","HAYIR"))</f>
        <v/>
      </c>
      <c r="P112" s="65" t="str">
        <f t="shared" si="6"/>
        <v/>
      </c>
      <c r="Q112" s="2"/>
      <c r="R112" s="2"/>
      <c r="S112" s="1"/>
      <c r="T112" s="1" t="str">
        <f t="shared" si="7"/>
        <v/>
      </c>
      <c r="U112" s="1" t="str">
        <f>IF($C112="","",COUNTIF($C$7:$C$156,"&lt;"&amp;$C112)+COUNTIF($C$7:$C112,$C112))</f>
        <v/>
      </c>
    </row>
    <row r="113" spans="1:21" ht="18" customHeight="1" x14ac:dyDescent="0.3">
      <c r="A113" s="2"/>
      <c r="B113" s="60"/>
      <c r="C113" s="61"/>
      <c r="D113" s="60"/>
      <c r="E113" s="61"/>
      <c r="F113" s="61"/>
      <c r="G113" s="61"/>
      <c r="H113" s="60"/>
      <c r="I113" s="62"/>
      <c r="J113" s="63"/>
      <c r="K113" s="64"/>
      <c r="L113" s="61"/>
      <c r="M113" s="61"/>
      <c r="N113" s="60"/>
      <c r="O113" s="65" t="str">
        <f>IF($C113="","",IF(COUNTIFS(UCRETLER!$B$7:$B$606,$B113,UCRETLER!$H$7:$H$606,"Aktif")&gt;0,"EVET","HAYIR"))</f>
        <v/>
      </c>
      <c r="P113" s="65" t="str">
        <f t="shared" si="6"/>
        <v/>
      </c>
      <c r="Q113" s="2"/>
      <c r="R113" s="2"/>
      <c r="S113" s="1"/>
      <c r="T113" s="1" t="str">
        <f t="shared" si="7"/>
        <v/>
      </c>
      <c r="U113" s="1" t="str">
        <f>IF($C113="","",COUNTIF($C$7:$C$156,"&lt;"&amp;$C113)+COUNTIF($C$7:$C113,$C113))</f>
        <v/>
      </c>
    </row>
    <row r="114" spans="1:21" ht="18" customHeight="1" x14ac:dyDescent="0.3">
      <c r="A114" s="2"/>
      <c r="B114" s="60"/>
      <c r="C114" s="61"/>
      <c r="D114" s="60"/>
      <c r="E114" s="61"/>
      <c r="F114" s="61"/>
      <c r="G114" s="61"/>
      <c r="H114" s="60"/>
      <c r="I114" s="62"/>
      <c r="J114" s="63"/>
      <c r="K114" s="64"/>
      <c r="L114" s="61"/>
      <c r="M114" s="61"/>
      <c r="N114" s="60"/>
      <c r="O114" s="65" t="str">
        <f>IF($C114="","",IF(COUNTIFS(UCRETLER!$B$7:$B$606,$B114,UCRETLER!$H$7:$H$606,"Aktif")&gt;0,"EVET","HAYIR"))</f>
        <v/>
      </c>
      <c r="P114" s="65" t="str">
        <f t="shared" si="6"/>
        <v/>
      </c>
      <c r="Q114" s="2"/>
      <c r="R114" s="2"/>
      <c r="S114" s="1"/>
      <c r="T114" s="1" t="str">
        <f t="shared" si="7"/>
        <v/>
      </c>
      <c r="U114" s="1" t="str">
        <f>IF($C114="","",COUNTIF($C$7:$C$156,"&lt;"&amp;$C114)+COUNTIF($C$7:$C114,$C114))</f>
        <v/>
      </c>
    </row>
    <row r="115" spans="1:21" ht="18" customHeight="1" x14ac:dyDescent="0.3">
      <c r="A115" s="2"/>
      <c r="B115" s="60"/>
      <c r="C115" s="61"/>
      <c r="D115" s="60"/>
      <c r="E115" s="61"/>
      <c r="F115" s="61"/>
      <c r="G115" s="61"/>
      <c r="H115" s="60"/>
      <c r="I115" s="62"/>
      <c r="J115" s="63"/>
      <c r="K115" s="64"/>
      <c r="L115" s="61"/>
      <c r="M115" s="61"/>
      <c r="N115" s="60"/>
      <c r="O115" s="65" t="str">
        <f>IF($C115="","",IF(COUNTIFS(UCRETLER!$B$7:$B$606,$B115,UCRETLER!$H$7:$H$606,"Aktif")&gt;0,"EVET","HAYIR"))</f>
        <v/>
      </c>
      <c r="P115" s="65" t="str">
        <f t="shared" si="6"/>
        <v/>
      </c>
      <c r="Q115" s="2"/>
      <c r="R115" s="2"/>
      <c r="S115" s="1"/>
      <c r="T115" s="1" t="str">
        <f t="shared" si="7"/>
        <v/>
      </c>
      <c r="U115" s="1" t="str">
        <f>IF($C115="","",COUNTIF($C$7:$C$156,"&lt;"&amp;$C115)+COUNTIF($C$7:$C115,$C115))</f>
        <v/>
      </c>
    </row>
    <row r="116" spans="1:21" ht="18" customHeight="1" x14ac:dyDescent="0.3">
      <c r="A116" s="2"/>
      <c r="B116" s="60"/>
      <c r="C116" s="61"/>
      <c r="D116" s="60"/>
      <c r="E116" s="61"/>
      <c r="F116" s="61"/>
      <c r="G116" s="61"/>
      <c r="H116" s="60"/>
      <c r="I116" s="62"/>
      <c r="J116" s="63"/>
      <c r="K116" s="64"/>
      <c r="L116" s="61"/>
      <c r="M116" s="61"/>
      <c r="N116" s="60"/>
      <c r="O116" s="65" t="str">
        <f>IF($C116="","",IF(COUNTIFS(UCRETLER!$B$7:$B$606,$B116,UCRETLER!$H$7:$H$606,"Aktif")&gt;0,"EVET","HAYIR"))</f>
        <v/>
      </c>
      <c r="P116" s="65" t="str">
        <f t="shared" si="6"/>
        <v/>
      </c>
      <c r="Q116" s="2"/>
      <c r="R116" s="2"/>
      <c r="S116" s="1"/>
      <c r="T116" s="1" t="str">
        <f t="shared" si="7"/>
        <v/>
      </c>
      <c r="U116" s="1" t="str">
        <f>IF($C116="","",COUNTIF($C$7:$C$156,"&lt;"&amp;$C116)+COUNTIF($C$7:$C116,$C116))</f>
        <v/>
      </c>
    </row>
    <row r="117" spans="1:21" ht="18" customHeight="1" x14ac:dyDescent="0.3">
      <c r="A117" s="2"/>
      <c r="B117" s="60"/>
      <c r="C117" s="61"/>
      <c r="D117" s="60"/>
      <c r="E117" s="61"/>
      <c r="F117" s="61"/>
      <c r="G117" s="61"/>
      <c r="H117" s="60"/>
      <c r="I117" s="62"/>
      <c r="J117" s="63"/>
      <c r="K117" s="64"/>
      <c r="L117" s="61"/>
      <c r="M117" s="61"/>
      <c r="N117" s="60"/>
      <c r="O117" s="65" t="str">
        <f>IF($C117="","",IF(COUNTIFS(UCRETLER!$B$7:$B$606,$B117,UCRETLER!$H$7:$H$606,"Aktif")&gt;0,"EVET","HAYIR"))</f>
        <v/>
      </c>
      <c r="P117" s="65" t="str">
        <f t="shared" si="6"/>
        <v/>
      </c>
      <c r="Q117" s="2"/>
      <c r="R117" s="2"/>
      <c r="S117" s="1"/>
      <c r="T117" s="1" t="str">
        <f t="shared" si="7"/>
        <v/>
      </c>
      <c r="U117" s="1" t="str">
        <f>IF($C117="","",COUNTIF($C$7:$C$156,"&lt;"&amp;$C117)+COUNTIF($C$7:$C117,$C117))</f>
        <v/>
      </c>
    </row>
    <row r="118" spans="1:21" ht="18" customHeight="1" x14ac:dyDescent="0.3">
      <c r="A118" s="2"/>
      <c r="B118" s="60"/>
      <c r="C118" s="61"/>
      <c r="D118" s="60"/>
      <c r="E118" s="61"/>
      <c r="F118" s="61"/>
      <c r="G118" s="61"/>
      <c r="H118" s="60"/>
      <c r="I118" s="62"/>
      <c r="J118" s="63"/>
      <c r="K118" s="64"/>
      <c r="L118" s="61"/>
      <c r="M118" s="61"/>
      <c r="N118" s="60"/>
      <c r="O118" s="65" t="str">
        <f>IF($C118="","",IF(COUNTIFS(UCRETLER!$B$7:$B$606,$B118,UCRETLER!$H$7:$H$606,"Aktif")&gt;0,"EVET","HAYIR"))</f>
        <v/>
      </c>
      <c r="P118" s="65" t="str">
        <f t="shared" si="6"/>
        <v/>
      </c>
      <c r="Q118" s="2"/>
      <c r="R118" s="2"/>
      <c r="S118" s="1"/>
      <c r="T118" s="1" t="str">
        <f t="shared" si="7"/>
        <v/>
      </c>
      <c r="U118" s="1" t="str">
        <f>IF($C118="","",COUNTIF($C$7:$C$156,"&lt;"&amp;$C118)+COUNTIF($C$7:$C118,$C118))</f>
        <v/>
      </c>
    </row>
    <row r="119" spans="1:21" ht="18" customHeight="1" x14ac:dyDescent="0.3">
      <c r="A119" s="2"/>
      <c r="B119" s="60"/>
      <c r="C119" s="61"/>
      <c r="D119" s="60"/>
      <c r="E119" s="61"/>
      <c r="F119" s="61"/>
      <c r="G119" s="61"/>
      <c r="H119" s="60"/>
      <c r="I119" s="62"/>
      <c r="J119" s="63"/>
      <c r="K119" s="64"/>
      <c r="L119" s="61"/>
      <c r="M119" s="61"/>
      <c r="N119" s="60"/>
      <c r="O119" s="65" t="str">
        <f>IF($C119="","",IF(COUNTIFS(UCRETLER!$B$7:$B$606,$B119,UCRETLER!$H$7:$H$606,"Aktif")&gt;0,"EVET","HAYIR"))</f>
        <v/>
      </c>
      <c r="P119" s="65" t="str">
        <f t="shared" si="6"/>
        <v/>
      </c>
      <c r="Q119" s="2"/>
      <c r="R119" s="2"/>
      <c r="S119" s="1"/>
      <c r="T119" s="1" t="str">
        <f t="shared" si="7"/>
        <v/>
      </c>
      <c r="U119" s="1" t="str">
        <f>IF($C119="","",COUNTIF($C$7:$C$156,"&lt;"&amp;$C119)+COUNTIF($C$7:$C119,$C119))</f>
        <v/>
      </c>
    </row>
    <row r="120" spans="1:21" ht="18" customHeight="1" x14ac:dyDescent="0.3">
      <c r="A120" s="2"/>
      <c r="B120" s="60"/>
      <c r="C120" s="61"/>
      <c r="D120" s="60"/>
      <c r="E120" s="61"/>
      <c r="F120" s="61"/>
      <c r="G120" s="61"/>
      <c r="H120" s="60"/>
      <c r="I120" s="62"/>
      <c r="J120" s="63"/>
      <c r="K120" s="64"/>
      <c r="L120" s="61"/>
      <c r="M120" s="61"/>
      <c r="N120" s="60"/>
      <c r="O120" s="65" t="str">
        <f>IF($C120="","",IF(COUNTIFS(UCRETLER!$B$7:$B$606,$B120,UCRETLER!$H$7:$H$606,"Aktif")&gt;0,"EVET","HAYIR"))</f>
        <v/>
      </c>
      <c r="P120" s="65" t="str">
        <f t="shared" si="6"/>
        <v/>
      </c>
      <c r="Q120" s="2"/>
      <c r="R120" s="2"/>
      <c r="S120" s="1"/>
      <c r="T120" s="1" t="str">
        <f t="shared" si="7"/>
        <v/>
      </c>
      <c r="U120" s="1" t="str">
        <f>IF($C120="","",COUNTIF($C$7:$C$156,"&lt;"&amp;$C120)+COUNTIF($C$7:$C120,$C120))</f>
        <v/>
      </c>
    </row>
    <row r="121" spans="1:21" ht="18" customHeight="1" x14ac:dyDescent="0.3">
      <c r="A121" s="2"/>
      <c r="B121" s="60"/>
      <c r="C121" s="61"/>
      <c r="D121" s="60"/>
      <c r="E121" s="61"/>
      <c r="F121" s="61"/>
      <c r="G121" s="61"/>
      <c r="H121" s="60"/>
      <c r="I121" s="62"/>
      <c r="J121" s="63"/>
      <c r="K121" s="64"/>
      <c r="L121" s="61"/>
      <c r="M121" s="61"/>
      <c r="N121" s="60"/>
      <c r="O121" s="65" t="str">
        <f>IF($C121="","",IF(COUNTIFS(UCRETLER!$B$7:$B$606,$B121,UCRETLER!$H$7:$H$606,"Aktif")&gt;0,"EVET","HAYIR"))</f>
        <v/>
      </c>
      <c r="P121" s="65" t="str">
        <f t="shared" si="6"/>
        <v/>
      </c>
      <c r="Q121" s="2"/>
      <c r="R121" s="2"/>
      <c r="S121" s="1"/>
      <c r="T121" s="1" t="str">
        <f t="shared" si="7"/>
        <v/>
      </c>
      <c r="U121" s="1" t="str">
        <f>IF($C121="","",COUNTIF($C$7:$C$156,"&lt;"&amp;$C121)+COUNTIF($C$7:$C121,$C121))</f>
        <v/>
      </c>
    </row>
    <row r="122" spans="1:21" ht="18" customHeight="1" x14ac:dyDescent="0.3">
      <c r="A122" s="2"/>
      <c r="B122" s="60"/>
      <c r="C122" s="61"/>
      <c r="D122" s="60"/>
      <c r="E122" s="61"/>
      <c r="F122" s="61"/>
      <c r="G122" s="61"/>
      <c r="H122" s="60"/>
      <c r="I122" s="62"/>
      <c r="J122" s="63"/>
      <c r="K122" s="64"/>
      <c r="L122" s="61"/>
      <c r="M122" s="61"/>
      <c r="N122" s="60"/>
      <c r="O122" s="65" t="str">
        <f>IF($C122="","",IF(COUNTIFS(UCRETLER!$B$7:$B$606,$B122,UCRETLER!$H$7:$H$606,"Aktif")&gt;0,"EVET","HAYIR"))</f>
        <v/>
      </c>
      <c r="P122" s="65" t="str">
        <f t="shared" si="6"/>
        <v/>
      </c>
      <c r="Q122" s="2"/>
      <c r="R122" s="2"/>
      <c r="S122" s="1"/>
      <c r="T122" s="1" t="str">
        <f t="shared" si="7"/>
        <v/>
      </c>
      <c r="U122" s="1" t="str">
        <f>IF($C122="","",COUNTIF($C$7:$C$156,"&lt;"&amp;$C122)+COUNTIF($C$7:$C122,$C122))</f>
        <v/>
      </c>
    </row>
    <row r="123" spans="1:21" ht="18" customHeight="1" x14ac:dyDescent="0.3">
      <c r="A123" s="2"/>
      <c r="B123" s="60"/>
      <c r="C123" s="61"/>
      <c r="D123" s="60"/>
      <c r="E123" s="61"/>
      <c r="F123" s="61"/>
      <c r="G123" s="61"/>
      <c r="H123" s="60"/>
      <c r="I123" s="62"/>
      <c r="J123" s="63"/>
      <c r="K123" s="64"/>
      <c r="L123" s="61"/>
      <c r="M123" s="61"/>
      <c r="N123" s="60"/>
      <c r="O123" s="65" t="str">
        <f>IF($C123="","",IF(COUNTIFS(UCRETLER!$B$7:$B$606,$B123,UCRETLER!$H$7:$H$606,"Aktif")&gt;0,"EVET","HAYIR"))</f>
        <v/>
      </c>
      <c r="P123" s="65" t="str">
        <f t="shared" si="6"/>
        <v/>
      </c>
      <c r="Q123" s="2"/>
      <c r="R123" s="2"/>
      <c r="S123" s="1"/>
      <c r="T123" s="1" t="str">
        <f t="shared" si="7"/>
        <v/>
      </c>
      <c r="U123" s="1" t="str">
        <f>IF($C123="","",COUNTIF($C$7:$C$156,"&lt;"&amp;$C123)+COUNTIF($C$7:$C123,$C123))</f>
        <v/>
      </c>
    </row>
    <row r="124" spans="1:21" ht="18" customHeight="1" x14ac:dyDescent="0.3">
      <c r="A124" s="2"/>
      <c r="B124" s="60"/>
      <c r="C124" s="61"/>
      <c r="D124" s="60"/>
      <c r="E124" s="61"/>
      <c r="F124" s="61"/>
      <c r="G124" s="61"/>
      <c r="H124" s="60"/>
      <c r="I124" s="62"/>
      <c r="J124" s="63"/>
      <c r="K124" s="64"/>
      <c r="L124" s="61"/>
      <c r="M124" s="61"/>
      <c r="N124" s="60"/>
      <c r="O124" s="65" t="str">
        <f>IF($C124="","",IF(COUNTIFS(UCRETLER!$B$7:$B$606,$B124,UCRETLER!$H$7:$H$606,"Aktif")&gt;0,"EVET","HAYIR"))</f>
        <v/>
      </c>
      <c r="P124" s="65" t="str">
        <f t="shared" si="6"/>
        <v/>
      </c>
      <c r="Q124" s="2"/>
      <c r="R124" s="2"/>
      <c r="S124" s="1"/>
      <c r="T124" s="1" t="str">
        <f t="shared" si="7"/>
        <v/>
      </c>
      <c r="U124" s="1" t="str">
        <f>IF($C124="","",COUNTIF($C$7:$C$156,"&lt;"&amp;$C124)+COUNTIF($C$7:$C124,$C124))</f>
        <v/>
      </c>
    </row>
    <row r="125" spans="1:21" ht="18" customHeight="1" x14ac:dyDescent="0.3">
      <c r="A125" s="2"/>
      <c r="B125" s="60"/>
      <c r="C125" s="61"/>
      <c r="D125" s="60"/>
      <c r="E125" s="61"/>
      <c r="F125" s="61"/>
      <c r="G125" s="61"/>
      <c r="H125" s="60"/>
      <c r="I125" s="62"/>
      <c r="J125" s="63"/>
      <c r="K125" s="64"/>
      <c r="L125" s="61"/>
      <c r="M125" s="61"/>
      <c r="N125" s="60"/>
      <c r="O125" s="65" t="str">
        <f>IF($C125="","",IF(COUNTIFS(UCRETLER!$B$7:$B$606,$B125,UCRETLER!$H$7:$H$606,"Aktif")&gt;0,"EVET","HAYIR"))</f>
        <v/>
      </c>
      <c r="P125" s="65" t="str">
        <f t="shared" si="6"/>
        <v/>
      </c>
      <c r="Q125" s="2"/>
      <c r="R125" s="2"/>
      <c r="S125" s="1"/>
      <c r="T125" s="1" t="str">
        <f t="shared" si="7"/>
        <v/>
      </c>
      <c r="U125" s="1" t="str">
        <f>IF($C125="","",COUNTIF($C$7:$C$156,"&lt;"&amp;$C125)+COUNTIF($C$7:$C125,$C125))</f>
        <v/>
      </c>
    </row>
    <row r="126" spans="1:21" ht="18" customHeight="1" x14ac:dyDescent="0.3">
      <c r="A126" s="2"/>
      <c r="B126" s="60"/>
      <c r="C126" s="61"/>
      <c r="D126" s="60"/>
      <c r="E126" s="61"/>
      <c r="F126" s="61"/>
      <c r="G126" s="61"/>
      <c r="H126" s="60"/>
      <c r="I126" s="62"/>
      <c r="J126" s="63"/>
      <c r="K126" s="64"/>
      <c r="L126" s="61"/>
      <c r="M126" s="61"/>
      <c r="N126" s="60"/>
      <c r="O126" s="65" t="str">
        <f>IF($C126="","",IF(COUNTIFS(UCRETLER!$B$7:$B$606,$B126,UCRETLER!$H$7:$H$606,"Aktif")&gt;0,"EVET","HAYIR"))</f>
        <v/>
      </c>
      <c r="P126" s="65" t="str">
        <f t="shared" si="6"/>
        <v/>
      </c>
      <c r="Q126" s="2"/>
      <c r="R126" s="2"/>
      <c r="S126" s="1"/>
      <c r="T126" s="1" t="str">
        <f t="shared" si="7"/>
        <v/>
      </c>
      <c r="U126" s="1" t="str">
        <f>IF($C126="","",COUNTIF($C$7:$C$156,"&lt;"&amp;$C126)+COUNTIF($C$7:$C126,$C126))</f>
        <v/>
      </c>
    </row>
    <row r="127" spans="1:21" ht="18" customHeight="1" x14ac:dyDescent="0.3">
      <c r="A127" s="2"/>
      <c r="B127" s="60"/>
      <c r="C127" s="61"/>
      <c r="D127" s="60"/>
      <c r="E127" s="61"/>
      <c r="F127" s="61"/>
      <c r="G127" s="61"/>
      <c r="H127" s="60"/>
      <c r="I127" s="62"/>
      <c r="J127" s="63"/>
      <c r="K127" s="64"/>
      <c r="L127" s="61"/>
      <c r="M127" s="61"/>
      <c r="N127" s="60"/>
      <c r="O127" s="65" t="str">
        <f>IF($C127="","",IF(COUNTIFS(UCRETLER!$B$7:$B$606,$B127,UCRETLER!$H$7:$H$606,"Aktif")&gt;0,"EVET","HAYIR"))</f>
        <v/>
      </c>
      <c r="P127" s="65" t="str">
        <f t="shared" si="6"/>
        <v/>
      </c>
      <c r="Q127" s="2"/>
      <c r="R127" s="2"/>
      <c r="S127" s="1"/>
      <c r="T127" s="1" t="str">
        <f t="shared" si="7"/>
        <v/>
      </c>
      <c r="U127" s="1" t="str">
        <f>IF($C127="","",COUNTIF($C$7:$C$156,"&lt;"&amp;$C127)+COUNTIF($C$7:$C127,$C127))</f>
        <v/>
      </c>
    </row>
    <row r="128" spans="1:21" ht="18" customHeight="1" x14ac:dyDescent="0.3">
      <c r="A128" s="2"/>
      <c r="B128" s="60"/>
      <c r="C128" s="61"/>
      <c r="D128" s="60"/>
      <c r="E128" s="61"/>
      <c r="F128" s="61"/>
      <c r="G128" s="61"/>
      <c r="H128" s="60"/>
      <c r="I128" s="62"/>
      <c r="J128" s="63"/>
      <c r="K128" s="64"/>
      <c r="L128" s="61"/>
      <c r="M128" s="61"/>
      <c r="N128" s="60"/>
      <c r="O128" s="65" t="str">
        <f>IF($C128="","",IF(COUNTIFS(UCRETLER!$B$7:$B$606,$B128,UCRETLER!$H$7:$H$606,"Aktif")&gt;0,"EVET","HAYIR"))</f>
        <v/>
      </c>
      <c r="P128" s="65" t="str">
        <f t="shared" si="6"/>
        <v/>
      </c>
      <c r="Q128" s="2"/>
      <c r="R128" s="2"/>
      <c r="S128" s="1"/>
      <c r="T128" s="1" t="str">
        <f t="shared" si="7"/>
        <v/>
      </c>
      <c r="U128" s="1" t="str">
        <f>IF($C128="","",COUNTIF($C$7:$C$156,"&lt;"&amp;$C128)+COUNTIF($C$7:$C128,$C128))</f>
        <v/>
      </c>
    </row>
    <row r="129" spans="1:21" ht="18" customHeight="1" x14ac:dyDescent="0.3">
      <c r="A129" s="2"/>
      <c r="B129" s="60"/>
      <c r="C129" s="61"/>
      <c r="D129" s="60"/>
      <c r="E129" s="61"/>
      <c r="F129" s="61"/>
      <c r="G129" s="61"/>
      <c r="H129" s="60"/>
      <c r="I129" s="62"/>
      <c r="J129" s="63"/>
      <c r="K129" s="64"/>
      <c r="L129" s="61"/>
      <c r="M129" s="61"/>
      <c r="N129" s="60"/>
      <c r="O129" s="65" t="str">
        <f>IF($C129="","",IF(COUNTIFS(UCRETLER!$B$7:$B$606,$B129,UCRETLER!$H$7:$H$606,"Aktif")&gt;0,"EVET","HAYIR"))</f>
        <v/>
      </c>
      <c r="P129" s="65" t="str">
        <f t="shared" si="6"/>
        <v/>
      </c>
      <c r="Q129" s="2"/>
      <c r="R129" s="2"/>
      <c r="S129" s="1"/>
      <c r="T129" s="1" t="str">
        <f t="shared" si="7"/>
        <v/>
      </c>
      <c r="U129" s="1" t="str">
        <f>IF($C129="","",COUNTIF($C$7:$C$156,"&lt;"&amp;$C129)+COUNTIF($C$7:$C129,$C129))</f>
        <v/>
      </c>
    </row>
    <row r="130" spans="1:21" ht="18" customHeight="1" x14ac:dyDescent="0.3">
      <c r="A130" s="2"/>
      <c r="B130" s="60"/>
      <c r="C130" s="61"/>
      <c r="D130" s="60"/>
      <c r="E130" s="61"/>
      <c r="F130" s="61"/>
      <c r="G130" s="61"/>
      <c r="H130" s="60"/>
      <c r="I130" s="62"/>
      <c r="J130" s="63"/>
      <c r="K130" s="64"/>
      <c r="L130" s="61"/>
      <c r="M130" s="61"/>
      <c r="N130" s="60"/>
      <c r="O130" s="65" t="str">
        <f>IF($C130="","",IF(COUNTIFS(UCRETLER!$B$7:$B$606,$B130,UCRETLER!$H$7:$H$606,"Aktif")&gt;0,"EVET","HAYIR"))</f>
        <v/>
      </c>
      <c r="P130" s="65" t="str">
        <f t="shared" si="6"/>
        <v/>
      </c>
      <c r="Q130" s="2"/>
      <c r="R130" s="2"/>
      <c r="S130" s="1"/>
      <c r="T130" s="1" t="str">
        <f t="shared" si="7"/>
        <v/>
      </c>
      <c r="U130" s="1" t="str">
        <f>IF($C130="","",COUNTIF($C$7:$C$156,"&lt;"&amp;$C130)+COUNTIF($C$7:$C130,$C130))</f>
        <v/>
      </c>
    </row>
    <row r="131" spans="1:21" ht="18" customHeight="1" x14ac:dyDescent="0.3">
      <c r="A131" s="2"/>
      <c r="B131" s="60"/>
      <c r="C131" s="61"/>
      <c r="D131" s="60"/>
      <c r="E131" s="61"/>
      <c r="F131" s="61"/>
      <c r="G131" s="61"/>
      <c r="H131" s="60"/>
      <c r="I131" s="62"/>
      <c r="J131" s="63"/>
      <c r="K131" s="64"/>
      <c r="L131" s="61"/>
      <c r="M131" s="61"/>
      <c r="N131" s="60"/>
      <c r="O131" s="65" t="str">
        <f>IF($C131="","",IF(COUNTIFS(UCRETLER!$B$7:$B$606,$B131,UCRETLER!$H$7:$H$606,"Aktif")&gt;0,"EVET","HAYIR"))</f>
        <v/>
      </c>
      <c r="P131" s="65" t="str">
        <f t="shared" si="6"/>
        <v/>
      </c>
      <c r="Q131" s="2"/>
      <c r="R131" s="2"/>
      <c r="S131" s="1"/>
      <c r="T131" s="1" t="str">
        <f t="shared" si="7"/>
        <v/>
      </c>
      <c r="U131" s="1" t="str">
        <f>IF($C131="","",COUNTIF($C$7:$C$156,"&lt;"&amp;$C131)+COUNTIF($C$7:$C131,$C131))</f>
        <v/>
      </c>
    </row>
    <row r="132" spans="1:21" ht="18" customHeight="1" x14ac:dyDescent="0.3">
      <c r="A132" s="2"/>
      <c r="B132" s="60"/>
      <c r="C132" s="61"/>
      <c r="D132" s="60"/>
      <c r="E132" s="61"/>
      <c r="F132" s="61"/>
      <c r="G132" s="61"/>
      <c r="H132" s="60"/>
      <c r="I132" s="62"/>
      <c r="J132" s="63"/>
      <c r="K132" s="64"/>
      <c r="L132" s="61"/>
      <c r="M132" s="61"/>
      <c r="N132" s="60"/>
      <c r="O132" s="65" t="str">
        <f>IF($C132="","",IF(COUNTIFS(UCRETLER!$B$7:$B$606,$B132,UCRETLER!$H$7:$H$606,"Aktif")&gt;0,"EVET","HAYIR"))</f>
        <v/>
      </c>
      <c r="P132" s="65" t="str">
        <f t="shared" si="6"/>
        <v/>
      </c>
      <c r="Q132" s="2"/>
      <c r="R132" s="2"/>
      <c r="S132" s="1"/>
      <c r="T132" s="1" t="str">
        <f t="shared" si="7"/>
        <v/>
      </c>
      <c r="U132" s="1" t="str">
        <f>IF($C132="","",COUNTIF($C$7:$C$156,"&lt;"&amp;$C132)+COUNTIF($C$7:$C132,$C132))</f>
        <v/>
      </c>
    </row>
    <row r="133" spans="1:21" ht="18" customHeight="1" x14ac:dyDescent="0.3">
      <c r="A133" s="2"/>
      <c r="B133" s="60"/>
      <c r="C133" s="61"/>
      <c r="D133" s="60"/>
      <c r="E133" s="61"/>
      <c r="F133" s="61"/>
      <c r="G133" s="61"/>
      <c r="H133" s="60"/>
      <c r="I133" s="62"/>
      <c r="J133" s="63"/>
      <c r="K133" s="64"/>
      <c r="L133" s="61"/>
      <c r="M133" s="61"/>
      <c r="N133" s="60"/>
      <c r="O133" s="65" t="str">
        <f>IF($C133="","",IF(COUNTIFS(UCRETLER!$B$7:$B$606,$B133,UCRETLER!$H$7:$H$606,"Aktif")&gt;0,"EVET","HAYIR"))</f>
        <v/>
      </c>
      <c r="P133" s="65" t="str">
        <f t="shared" si="6"/>
        <v/>
      </c>
      <c r="Q133" s="2"/>
      <c r="R133" s="2"/>
      <c r="S133" s="1"/>
      <c r="T133" s="1" t="str">
        <f t="shared" si="7"/>
        <v/>
      </c>
      <c r="U133" s="1" t="str">
        <f>IF($C133="","",COUNTIF($C$7:$C$156,"&lt;"&amp;$C133)+COUNTIF($C$7:$C133,$C133))</f>
        <v/>
      </c>
    </row>
    <row r="134" spans="1:21" ht="18" customHeight="1" x14ac:dyDescent="0.3">
      <c r="A134" s="2"/>
      <c r="B134" s="60"/>
      <c r="C134" s="61"/>
      <c r="D134" s="60"/>
      <c r="E134" s="61"/>
      <c r="F134" s="61"/>
      <c r="G134" s="61"/>
      <c r="H134" s="60"/>
      <c r="I134" s="62"/>
      <c r="J134" s="63"/>
      <c r="K134" s="64"/>
      <c r="L134" s="61"/>
      <c r="M134" s="61"/>
      <c r="N134" s="60"/>
      <c r="O134" s="65" t="str">
        <f>IF($C134="","",IF(COUNTIFS(UCRETLER!$B$7:$B$606,$B134,UCRETLER!$H$7:$H$606,"Aktif")&gt;0,"EVET","HAYIR"))</f>
        <v/>
      </c>
      <c r="P134" s="65" t="str">
        <f t="shared" si="6"/>
        <v/>
      </c>
      <c r="Q134" s="2"/>
      <c r="R134" s="2"/>
      <c r="S134" s="1"/>
      <c r="T134" s="1" t="str">
        <f t="shared" si="7"/>
        <v/>
      </c>
      <c r="U134" s="1" t="str">
        <f>IF($C134="","",COUNTIF($C$7:$C$156,"&lt;"&amp;$C134)+COUNTIF($C$7:$C134,$C134))</f>
        <v/>
      </c>
    </row>
    <row r="135" spans="1:21" ht="18" customHeight="1" x14ac:dyDescent="0.3">
      <c r="A135" s="2"/>
      <c r="B135" s="60"/>
      <c r="C135" s="61"/>
      <c r="D135" s="60"/>
      <c r="E135" s="61"/>
      <c r="F135" s="61"/>
      <c r="G135" s="61"/>
      <c r="H135" s="60"/>
      <c r="I135" s="62"/>
      <c r="J135" s="63"/>
      <c r="K135" s="64"/>
      <c r="L135" s="61"/>
      <c r="M135" s="61"/>
      <c r="N135" s="60"/>
      <c r="O135" s="65" t="str">
        <f>IF($C135="","",IF(COUNTIFS(UCRETLER!$B$7:$B$606,$B135,UCRETLER!$H$7:$H$606,"Aktif")&gt;0,"EVET","HAYIR"))</f>
        <v/>
      </c>
      <c r="P135" s="65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/>
      <c r="R135" s="2"/>
      <c r="S135" s="1"/>
      <c r="T135" s="1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 t="str">
        <f>IF($C135="","",COUNTIF($C$7:$C$156,"&lt;"&amp;$C135)+COUNTIF($C$7:$C135,$C135))</f>
        <v/>
      </c>
    </row>
    <row r="136" spans="1:21" ht="18" customHeight="1" x14ac:dyDescent="0.3">
      <c r="A136" s="2"/>
      <c r="B136" s="60"/>
      <c r="C136" s="61"/>
      <c r="D136" s="60"/>
      <c r="E136" s="61"/>
      <c r="F136" s="61"/>
      <c r="G136" s="61"/>
      <c r="H136" s="60"/>
      <c r="I136" s="62"/>
      <c r="J136" s="63"/>
      <c r="K136" s="64"/>
      <c r="L136" s="61"/>
      <c r="M136" s="61"/>
      <c r="N136" s="60"/>
      <c r="O136" s="65" t="str">
        <f>IF($C136="","",IF(COUNTIFS(UCRETLER!$B$7:$B$606,$B136,UCRETLER!$H$7:$H$606,"Aktif")&gt;0,"EVET","HAYIR"))</f>
        <v/>
      </c>
      <c r="P136" s="65" t="str">
        <f t="shared" si="8"/>
        <v/>
      </c>
      <c r="Q136" s="2"/>
      <c r="R136" s="2"/>
      <c r="S136" s="1"/>
      <c r="T136" s="1" t="str">
        <f t="shared" si="9"/>
        <v/>
      </c>
      <c r="U136" s="1" t="str">
        <f>IF($C136="","",COUNTIF($C$7:$C$156,"&lt;"&amp;$C136)+COUNTIF($C$7:$C136,$C136))</f>
        <v/>
      </c>
    </row>
    <row r="137" spans="1:21" ht="18" customHeight="1" x14ac:dyDescent="0.3">
      <c r="A137" s="2"/>
      <c r="B137" s="60"/>
      <c r="C137" s="61"/>
      <c r="D137" s="60"/>
      <c r="E137" s="61"/>
      <c r="F137" s="61"/>
      <c r="G137" s="61"/>
      <c r="H137" s="60"/>
      <c r="I137" s="62"/>
      <c r="J137" s="63"/>
      <c r="K137" s="64"/>
      <c r="L137" s="61"/>
      <c r="M137" s="61"/>
      <c r="N137" s="60"/>
      <c r="O137" s="65" t="str">
        <f>IF($C137="","",IF(COUNTIFS(UCRETLER!$B$7:$B$606,$B137,UCRETLER!$H$7:$H$606,"Aktif")&gt;0,"EVET","HAYIR"))</f>
        <v/>
      </c>
      <c r="P137" s="65" t="str">
        <f t="shared" si="8"/>
        <v/>
      </c>
      <c r="Q137" s="2"/>
      <c r="R137" s="2"/>
      <c r="S137" s="1"/>
      <c r="T137" s="1" t="str">
        <f t="shared" si="9"/>
        <v/>
      </c>
      <c r="U137" s="1" t="str">
        <f>IF($C137="","",COUNTIF($C$7:$C$156,"&lt;"&amp;$C137)+COUNTIF($C$7:$C137,$C137))</f>
        <v/>
      </c>
    </row>
    <row r="138" spans="1:21" ht="18" customHeight="1" x14ac:dyDescent="0.3">
      <c r="A138" s="2"/>
      <c r="B138" s="60"/>
      <c r="C138" s="61"/>
      <c r="D138" s="60"/>
      <c r="E138" s="61"/>
      <c r="F138" s="61"/>
      <c r="G138" s="61"/>
      <c r="H138" s="60"/>
      <c r="I138" s="62"/>
      <c r="J138" s="63"/>
      <c r="K138" s="64"/>
      <c r="L138" s="61"/>
      <c r="M138" s="61"/>
      <c r="N138" s="60"/>
      <c r="O138" s="65" t="str">
        <f>IF($C138="","",IF(COUNTIFS(UCRETLER!$B$7:$B$606,$B138,UCRETLER!$H$7:$H$606,"Aktif")&gt;0,"EVET","HAYIR"))</f>
        <v/>
      </c>
      <c r="P138" s="65" t="str">
        <f t="shared" si="8"/>
        <v/>
      </c>
      <c r="Q138" s="2"/>
      <c r="R138" s="2"/>
      <c r="S138" s="1"/>
      <c r="T138" s="1" t="str">
        <f t="shared" si="9"/>
        <v/>
      </c>
      <c r="U138" s="1" t="str">
        <f>IF($C138="","",COUNTIF($C$7:$C$156,"&lt;"&amp;$C138)+COUNTIF($C$7:$C138,$C138))</f>
        <v/>
      </c>
    </row>
    <row r="139" spans="1:21" ht="18" customHeight="1" x14ac:dyDescent="0.3">
      <c r="A139" s="2"/>
      <c r="B139" s="60"/>
      <c r="C139" s="61"/>
      <c r="D139" s="60"/>
      <c r="E139" s="61"/>
      <c r="F139" s="61"/>
      <c r="G139" s="61"/>
      <c r="H139" s="60"/>
      <c r="I139" s="62"/>
      <c r="J139" s="63"/>
      <c r="K139" s="64"/>
      <c r="L139" s="61"/>
      <c r="M139" s="61"/>
      <c r="N139" s="60"/>
      <c r="O139" s="65" t="str">
        <f>IF($C139="","",IF(COUNTIFS(UCRETLER!$B$7:$B$606,$B139,UCRETLER!$H$7:$H$606,"Aktif")&gt;0,"EVET","HAYIR"))</f>
        <v/>
      </c>
      <c r="P139" s="65" t="str">
        <f t="shared" si="8"/>
        <v/>
      </c>
      <c r="Q139" s="2"/>
      <c r="R139" s="2"/>
      <c r="S139" s="1"/>
      <c r="T139" s="1" t="str">
        <f t="shared" si="9"/>
        <v/>
      </c>
      <c r="U139" s="1" t="str">
        <f>IF($C139="","",COUNTIF($C$7:$C$156,"&lt;"&amp;$C139)+COUNTIF($C$7:$C139,$C139))</f>
        <v/>
      </c>
    </row>
    <row r="140" spans="1:21" ht="18" customHeight="1" x14ac:dyDescent="0.3">
      <c r="A140" s="2"/>
      <c r="B140" s="60"/>
      <c r="C140" s="61"/>
      <c r="D140" s="60"/>
      <c r="E140" s="61"/>
      <c r="F140" s="61"/>
      <c r="G140" s="61"/>
      <c r="H140" s="60"/>
      <c r="I140" s="62"/>
      <c r="J140" s="63"/>
      <c r="K140" s="64"/>
      <c r="L140" s="61"/>
      <c r="M140" s="61"/>
      <c r="N140" s="60"/>
      <c r="O140" s="65" t="str">
        <f>IF($C140="","",IF(COUNTIFS(UCRETLER!$B$7:$B$606,$B140,UCRETLER!$H$7:$H$606,"Aktif")&gt;0,"EVET","HAYIR"))</f>
        <v/>
      </c>
      <c r="P140" s="65" t="str">
        <f t="shared" si="8"/>
        <v/>
      </c>
      <c r="Q140" s="2"/>
      <c r="R140" s="2"/>
      <c r="S140" s="1"/>
      <c r="T140" s="1" t="str">
        <f t="shared" si="9"/>
        <v/>
      </c>
      <c r="U140" s="1" t="str">
        <f>IF($C140="","",COUNTIF($C$7:$C$156,"&lt;"&amp;$C140)+COUNTIF($C$7:$C140,$C140))</f>
        <v/>
      </c>
    </row>
    <row r="141" spans="1:21" ht="18" customHeight="1" x14ac:dyDescent="0.3">
      <c r="A141" s="2"/>
      <c r="B141" s="60"/>
      <c r="C141" s="61"/>
      <c r="D141" s="60"/>
      <c r="E141" s="61"/>
      <c r="F141" s="61"/>
      <c r="G141" s="61"/>
      <c r="H141" s="60"/>
      <c r="I141" s="62"/>
      <c r="J141" s="63"/>
      <c r="K141" s="64"/>
      <c r="L141" s="61"/>
      <c r="M141" s="61"/>
      <c r="N141" s="60"/>
      <c r="O141" s="65" t="str">
        <f>IF($C141="","",IF(COUNTIFS(UCRETLER!$B$7:$B$606,$B141,UCRETLER!$H$7:$H$606,"Aktif")&gt;0,"EVET","HAYIR"))</f>
        <v/>
      </c>
      <c r="P141" s="65" t="str">
        <f t="shared" si="8"/>
        <v/>
      </c>
      <c r="Q141" s="2"/>
      <c r="R141" s="2"/>
      <c r="S141" s="1"/>
      <c r="T141" s="1" t="str">
        <f t="shared" si="9"/>
        <v/>
      </c>
      <c r="U141" s="1" t="str">
        <f>IF($C141="","",COUNTIF($C$7:$C$156,"&lt;"&amp;$C141)+COUNTIF($C$7:$C141,$C141))</f>
        <v/>
      </c>
    </row>
    <row r="142" spans="1:21" ht="18" customHeight="1" x14ac:dyDescent="0.3">
      <c r="A142" s="2"/>
      <c r="B142" s="60"/>
      <c r="C142" s="61"/>
      <c r="D142" s="60"/>
      <c r="E142" s="61"/>
      <c r="F142" s="61"/>
      <c r="G142" s="61"/>
      <c r="H142" s="60"/>
      <c r="I142" s="62"/>
      <c r="J142" s="63"/>
      <c r="K142" s="64"/>
      <c r="L142" s="61"/>
      <c r="M142" s="61"/>
      <c r="N142" s="60"/>
      <c r="O142" s="65" t="str">
        <f>IF($C142="","",IF(COUNTIFS(UCRETLER!$B$7:$B$606,$B142,UCRETLER!$H$7:$H$606,"Aktif")&gt;0,"EVET","HAYIR"))</f>
        <v/>
      </c>
      <c r="P142" s="65" t="str">
        <f t="shared" si="8"/>
        <v/>
      </c>
      <c r="Q142" s="2"/>
      <c r="R142" s="2"/>
      <c r="S142" s="1"/>
      <c r="T142" s="1" t="str">
        <f t="shared" si="9"/>
        <v/>
      </c>
      <c r="U142" s="1" t="str">
        <f>IF($C142="","",COUNTIF($C$7:$C$156,"&lt;"&amp;$C142)+COUNTIF($C$7:$C142,$C142))</f>
        <v/>
      </c>
    </row>
    <row r="143" spans="1:21" ht="18" customHeight="1" x14ac:dyDescent="0.3">
      <c r="A143" s="2"/>
      <c r="B143" s="60"/>
      <c r="C143" s="61"/>
      <c r="D143" s="60"/>
      <c r="E143" s="61"/>
      <c r="F143" s="61"/>
      <c r="G143" s="61"/>
      <c r="H143" s="60"/>
      <c r="I143" s="62"/>
      <c r="J143" s="63"/>
      <c r="K143" s="64"/>
      <c r="L143" s="61"/>
      <c r="M143" s="61"/>
      <c r="N143" s="60"/>
      <c r="O143" s="65" t="str">
        <f>IF($C143="","",IF(COUNTIFS(UCRETLER!$B$7:$B$606,$B143,UCRETLER!$H$7:$H$606,"Aktif")&gt;0,"EVET","HAYIR"))</f>
        <v/>
      </c>
      <c r="P143" s="65" t="str">
        <f t="shared" si="8"/>
        <v/>
      </c>
      <c r="Q143" s="2"/>
      <c r="R143" s="2"/>
      <c r="S143" s="1"/>
      <c r="T143" s="1" t="str">
        <f t="shared" si="9"/>
        <v/>
      </c>
      <c r="U143" s="1" t="str">
        <f>IF($C143="","",COUNTIF($C$7:$C$156,"&lt;"&amp;$C143)+COUNTIF($C$7:$C143,$C143))</f>
        <v/>
      </c>
    </row>
    <row r="144" spans="1:21" ht="18" customHeight="1" x14ac:dyDescent="0.3">
      <c r="A144" s="2"/>
      <c r="B144" s="60"/>
      <c r="C144" s="61"/>
      <c r="D144" s="60"/>
      <c r="E144" s="61"/>
      <c r="F144" s="61"/>
      <c r="G144" s="61"/>
      <c r="H144" s="60"/>
      <c r="I144" s="62"/>
      <c r="J144" s="63"/>
      <c r="K144" s="64"/>
      <c r="L144" s="61"/>
      <c r="M144" s="61"/>
      <c r="N144" s="60"/>
      <c r="O144" s="65" t="str">
        <f>IF($C144="","",IF(COUNTIFS(UCRETLER!$B$7:$B$606,$B144,UCRETLER!$H$7:$H$606,"Aktif")&gt;0,"EVET","HAYIR"))</f>
        <v/>
      </c>
      <c r="P144" s="65" t="str">
        <f t="shared" si="8"/>
        <v/>
      </c>
      <c r="Q144" s="2"/>
      <c r="R144" s="2"/>
      <c r="S144" s="1"/>
      <c r="T144" s="1" t="str">
        <f t="shared" si="9"/>
        <v/>
      </c>
      <c r="U144" s="1" t="str">
        <f>IF($C144="","",COUNTIF($C$7:$C$156,"&lt;"&amp;$C144)+COUNTIF($C$7:$C144,$C144))</f>
        <v/>
      </c>
    </row>
    <row r="145" spans="1:21" ht="18" customHeight="1" x14ac:dyDescent="0.3">
      <c r="A145" s="2"/>
      <c r="B145" s="60"/>
      <c r="C145" s="61"/>
      <c r="D145" s="60"/>
      <c r="E145" s="61"/>
      <c r="F145" s="61"/>
      <c r="G145" s="61"/>
      <c r="H145" s="60"/>
      <c r="I145" s="62"/>
      <c r="J145" s="63"/>
      <c r="K145" s="64"/>
      <c r="L145" s="61"/>
      <c r="M145" s="61"/>
      <c r="N145" s="60"/>
      <c r="O145" s="65" t="str">
        <f>IF($C145="","",IF(COUNTIFS(UCRETLER!$B$7:$B$606,$B145,UCRETLER!$H$7:$H$606,"Aktif")&gt;0,"EVET","HAYIR"))</f>
        <v/>
      </c>
      <c r="P145" s="65" t="str">
        <f t="shared" si="8"/>
        <v/>
      </c>
      <c r="Q145" s="2"/>
      <c r="R145" s="2"/>
      <c r="S145" s="1"/>
      <c r="T145" s="1" t="str">
        <f t="shared" si="9"/>
        <v/>
      </c>
      <c r="U145" s="1" t="str">
        <f>IF($C145="","",COUNTIF($C$7:$C$156,"&lt;"&amp;$C145)+COUNTIF($C$7:$C145,$C145))</f>
        <v/>
      </c>
    </row>
    <row r="146" spans="1:21" ht="18" customHeight="1" x14ac:dyDescent="0.3">
      <c r="A146" s="2"/>
      <c r="B146" s="60"/>
      <c r="C146" s="61"/>
      <c r="D146" s="60"/>
      <c r="E146" s="61"/>
      <c r="F146" s="61"/>
      <c r="G146" s="61"/>
      <c r="H146" s="60"/>
      <c r="I146" s="62"/>
      <c r="J146" s="63"/>
      <c r="K146" s="64"/>
      <c r="L146" s="61"/>
      <c r="M146" s="61"/>
      <c r="N146" s="60"/>
      <c r="O146" s="65" t="str">
        <f>IF($C146="","",IF(COUNTIFS(UCRETLER!$B$7:$B$606,$B146,UCRETLER!$H$7:$H$606,"Aktif")&gt;0,"EVET","HAYIR"))</f>
        <v/>
      </c>
      <c r="P146" s="65" t="str">
        <f t="shared" si="8"/>
        <v/>
      </c>
      <c r="Q146" s="2"/>
      <c r="R146" s="2"/>
      <c r="S146" s="1"/>
      <c r="T146" s="1" t="str">
        <f t="shared" si="9"/>
        <v/>
      </c>
      <c r="U146" s="1" t="str">
        <f>IF($C146="","",COUNTIF($C$7:$C$156,"&lt;"&amp;$C146)+COUNTIF($C$7:$C146,$C146))</f>
        <v/>
      </c>
    </row>
    <row r="147" spans="1:21" ht="18" customHeight="1" x14ac:dyDescent="0.3">
      <c r="A147" s="2"/>
      <c r="B147" s="60"/>
      <c r="C147" s="61"/>
      <c r="D147" s="60"/>
      <c r="E147" s="61"/>
      <c r="F147" s="61"/>
      <c r="G147" s="61"/>
      <c r="H147" s="60"/>
      <c r="I147" s="62"/>
      <c r="J147" s="63"/>
      <c r="K147" s="64"/>
      <c r="L147" s="61"/>
      <c r="M147" s="61"/>
      <c r="N147" s="60"/>
      <c r="O147" s="65" t="str">
        <f>IF($C147="","",IF(COUNTIFS(UCRETLER!$B$7:$B$606,$B147,UCRETLER!$H$7:$H$606,"Aktif")&gt;0,"EVET","HAYIR"))</f>
        <v/>
      </c>
      <c r="P147" s="65" t="str">
        <f t="shared" si="8"/>
        <v/>
      </c>
      <c r="Q147" s="2"/>
      <c r="R147" s="2"/>
      <c r="S147" s="1"/>
      <c r="T147" s="1" t="str">
        <f t="shared" si="9"/>
        <v/>
      </c>
      <c r="U147" s="1" t="str">
        <f>IF($C147="","",COUNTIF($C$7:$C$156,"&lt;"&amp;$C147)+COUNTIF($C$7:$C147,$C147))</f>
        <v/>
      </c>
    </row>
    <row r="148" spans="1:21" ht="18" customHeight="1" x14ac:dyDescent="0.3">
      <c r="A148" s="2"/>
      <c r="B148" s="60"/>
      <c r="C148" s="61"/>
      <c r="D148" s="60"/>
      <c r="E148" s="61"/>
      <c r="F148" s="61"/>
      <c r="G148" s="61"/>
      <c r="H148" s="60"/>
      <c r="I148" s="62"/>
      <c r="J148" s="63"/>
      <c r="K148" s="64"/>
      <c r="L148" s="61"/>
      <c r="M148" s="61"/>
      <c r="N148" s="60"/>
      <c r="O148" s="65" t="str">
        <f>IF($C148="","",IF(COUNTIFS(UCRETLER!$B$7:$B$606,$B148,UCRETLER!$H$7:$H$606,"Aktif")&gt;0,"EVET","HAYIR"))</f>
        <v/>
      </c>
      <c r="P148" s="65" t="str">
        <f t="shared" si="8"/>
        <v/>
      </c>
      <c r="Q148" s="2"/>
      <c r="R148" s="2"/>
      <c r="S148" s="1"/>
      <c r="T148" s="1" t="str">
        <f t="shared" si="9"/>
        <v/>
      </c>
      <c r="U148" s="1" t="str">
        <f>IF($C148="","",COUNTIF($C$7:$C$156,"&lt;"&amp;$C148)+COUNTIF($C$7:$C148,$C148))</f>
        <v/>
      </c>
    </row>
    <row r="149" spans="1:21" ht="18" customHeight="1" x14ac:dyDescent="0.3">
      <c r="A149" s="2"/>
      <c r="B149" s="60"/>
      <c r="C149" s="61"/>
      <c r="D149" s="60"/>
      <c r="E149" s="61"/>
      <c r="F149" s="61"/>
      <c r="G149" s="61"/>
      <c r="H149" s="60"/>
      <c r="I149" s="62"/>
      <c r="J149" s="63"/>
      <c r="K149" s="64"/>
      <c r="L149" s="61"/>
      <c r="M149" s="61"/>
      <c r="N149" s="60"/>
      <c r="O149" s="65" t="str">
        <f>IF($C149="","",IF(COUNTIFS(UCRETLER!$B$7:$B$606,$B149,UCRETLER!$H$7:$H$606,"Aktif")&gt;0,"EVET","HAYIR"))</f>
        <v/>
      </c>
      <c r="P149" s="65" t="str">
        <f t="shared" si="8"/>
        <v/>
      </c>
      <c r="Q149" s="2"/>
      <c r="R149" s="2"/>
      <c r="S149" s="1"/>
      <c r="T149" s="1" t="str">
        <f t="shared" si="9"/>
        <v/>
      </c>
      <c r="U149" s="1" t="str">
        <f>IF($C149="","",COUNTIF($C$7:$C$156,"&lt;"&amp;$C149)+COUNTIF($C$7:$C149,$C149))</f>
        <v/>
      </c>
    </row>
    <row r="150" spans="1:21" ht="18" customHeight="1" x14ac:dyDescent="0.3">
      <c r="A150" s="2"/>
      <c r="B150" s="60"/>
      <c r="C150" s="61"/>
      <c r="D150" s="60"/>
      <c r="E150" s="61"/>
      <c r="F150" s="61"/>
      <c r="G150" s="61"/>
      <c r="H150" s="60"/>
      <c r="I150" s="62"/>
      <c r="J150" s="63"/>
      <c r="K150" s="64"/>
      <c r="L150" s="61"/>
      <c r="M150" s="61"/>
      <c r="N150" s="60"/>
      <c r="O150" s="65" t="str">
        <f>IF($C150="","",IF(COUNTIFS(UCRETLER!$B$7:$B$606,$B150,UCRETLER!$H$7:$H$606,"Aktif")&gt;0,"EVET","HAYIR"))</f>
        <v/>
      </c>
      <c r="P150" s="65" t="str">
        <f t="shared" si="8"/>
        <v/>
      </c>
      <c r="Q150" s="2"/>
      <c r="R150" s="2"/>
      <c r="S150" s="1"/>
      <c r="T150" s="1" t="str">
        <f t="shared" si="9"/>
        <v/>
      </c>
      <c r="U150" s="1" t="str">
        <f>IF($C150="","",COUNTIF($C$7:$C$156,"&lt;"&amp;$C150)+COUNTIF($C$7:$C150,$C150))</f>
        <v/>
      </c>
    </row>
    <row r="151" spans="1:21" ht="18" customHeight="1" x14ac:dyDescent="0.3">
      <c r="A151" s="2"/>
      <c r="B151" s="60"/>
      <c r="C151" s="61"/>
      <c r="D151" s="60"/>
      <c r="E151" s="61"/>
      <c r="F151" s="61"/>
      <c r="G151" s="61"/>
      <c r="H151" s="60"/>
      <c r="I151" s="62"/>
      <c r="J151" s="63"/>
      <c r="K151" s="64"/>
      <c r="L151" s="61"/>
      <c r="M151" s="61"/>
      <c r="N151" s="60"/>
      <c r="O151" s="65" t="str">
        <f>IF($C151="","",IF(COUNTIFS(UCRETLER!$B$7:$B$606,$B151,UCRETLER!$H$7:$H$606,"Aktif")&gt;0,"EVET","HAYIR"))</f>
        <v/>
      </c>
      <c r="P151" s="65" t="str">
        <f t="shared" si="8"/>
        <v/>
      </c>
      <c r="Q151" s="2"/>
      <c r="R151" s="2"/>
      <c r="S151" s="1"/>
      <c r="T151" s="1" t="str">
        <f t="shared" si="9"/>
        <v/>
      </c>
      <c r="U151" s="1" t="str">
        <f>IF($C151="","",COUNTIF($C$7:$C$156,"&lt;"&amp;$C151)+COUNTIF($C$7:$C151,$C151))</f>
        <v/>
      </c>
    </row>
    <row r="152" spans="1:21" ht="18" customHeight="1" x14ac:dyDescent="0.3">
      <c r="A152" s="2"/>
      <c r="B152" s="60"/>
      <c r="C152" s="61"/>
      <c r="D152" s="60"/>
      <c r="E152" s="61"/>
      <c r="F152" s="61"/>
      <c r="G152" s="61"/>
      <c r="H152" s="60"/>
      <c r="I152" s="62"/>
      <c r="J152" s="63"/>
      <c r="K152" s="64"/>
      <c r="L152" s="61"/>
      <c r="M152" s="61"/>
      <c r="N152" s="60"/>
      <c r="O152" s="65" t="str">
        <f>IF($C152="","",IF(COUNTIFS(UCRETLER!$B$7:$B$606,$B152,UCRETLER!$H$7:$H$606,"Aktif")&gt;0,"EVET","HAYIR"))</f>
        <v/>
      </c>
      <c r="P152" s="65" t="str">
        <f t="shared" si="8"/>
        <v/>
      </c>
      <c r="Q152" s="2"/>
      <c r="R152" s="2"/>
      <c r="S152" s="1"/>
      <c r="T152" s="1" t="str">
        <f t="shared" si="9"/>
        <v/>
      </c>
      <c r="U152" s="1" t="str">
        <f>IF($C152="","",COUNTIF($C$7:$C$156,"&lt;"&amp;$C152)+COUNTIF($C$7:$C152,$C152))</f>
        <v/>
      </c>
    </row>
    <row r="153" spans="1:21" ht="18" customHeight="1" x14ac:dyDescent="0.3">
      <c r="A153" s="2"/>
      <c r="B153" s="60"/>
      <c r="C153" s="61"/>
      <c r="D153" s="60"/>
      <c r="E153" s="61"/>
      <c r="F153" s="61"/>
      <c r="G153" s="61"/>
      <c r="H153" s="60"/>
      <c r="I153" s="62"/>
      <c r="J153" s="63"/>
      <c r="K153" s="64"/>
      <c r="L153" s="61"/>
      <c r="M153" s="61"/>
      <c r="N153" s="60"/>
      <c r="O153" s="65" t="str">
        <f>IF($C153="","",IF(COUNTIFS(UCRETLER!$B$7:$B$606,$B153,UCRETLER!$H$7:$H$606,"Aktif")&gt;0,"EVET","HAYIR"))</f>
        <v/>
      </c>
      <c r="P153" s="65" t="str">
        <f t="shared" si="8"/>
        <v/>
      </c>
      <c r="Q153" s="2"/>
      <c r="R153" s="2"/>
      <c r="S153" s="1"/>
      <c r="T153" s="1" t="str">
        <f t="shared" si="9"/>
        <v/>
      </c>
      <c r="U153" s="1" t="str">
        <f>IF($C153="","",COUNTIF($C$7:$C$156,"&lt;"&amp;$C153)+COUNTIF($C$7:$C153,$C153))</f>
        <v/>
      </c>
    </row>
    <row r="154" spans="1:21" ht="18" customHeight="1" x14ac:dyDescent="0.3">
      <c r="A154" s="2"/>
      <c r="B154" s="60"/>
      <c r="C154" s="61"/>
      <c r="D154" s="60"/>
      <c r="E154" s="61"/>
      <c r="F154" s="61"/>
      <c r="G154" s="61"/>
      <c r="H154" s="60"/>
      <c r="I154" s="62"/>
      <c r="J154" s="63"/>
      <c r="K154" s="64"/>
      <c r="L154" s="61"/>
      <c r="M154" s="61"/>
      <c r="N154" s="60"/>
      <c r="O154" s="65" t="str">
        <f>IF($C154="","",IF(COUNTIFS(UCRETLER!$B$7:$B$606,$B154,UCRETLER!$H$7:$H$606,"Aktif")&gt;0,"EVET","HAYIR"))</f>
        <v/>
      </c>
      <c r="P154" s="65" t="str">
        <f t="shared" si="8"/>
        <v/>
      </c>
      <c r="Q154" s="2"/>
      <c r="R154" s="2"/>
      <c r="S154" s="1"/>
      <c r="T154" s="1" t="str">
        <f t="shared" si="9"/>
        <v/>
      </c>
      <c r="U154" s="1" t="str">
        <f>IF($C154="","",COUNTIF($C$7:$C$156,"&lt;"&amp;$C154)+COUNTIF($C$7:$C154,$C154))</f>
        <v/>
      </c>
    </row>
    <row r="155" spans="1:21" ht="18" customHeight="1" x14ac:dyDescent="0.3">
      <c r="A155" s="2"/>
      <c r="B155" s="60"/>
      <c r="C155" s="61"/>
      <c r="D155" s="60"/>
      <c r="E155" s="61"/>
      <c r="F155" s="61"/>
      <c r="G155" s="61"/>
      <c r="H155" s="60"/>
      <c r="I155" s="62"/>
      <c r="J155" s="63"/>
      <c r="K155" s="64"/>
      <c r="L155" s="61"/>
      <c r="M155" s="61"/>
      <c r="N155" s="60"/>
      <c r="O155" s="65" t="str">
        <f>IF($C155="","",IF(COUNTIFS(UCRETLER!$B$7:$B$606,$B155,UCRETLER!$H$7:$H$606,"Aktif")&gt;0,"EVET","HAYIR"))</f>
        <v/>
      </c>
      <c r="P155" s="65" t="str">
        <f t="shared" si="8"/>
        <v/>
      </c>
      <c r="Q155" s="2"/>
      <c r="R155" s="2"/>
      <c r="S155" s="1"/>
      <c r="T155" s="1" t="str">
        <f t="shared" si="9"/>
        <v/>
      </c>
      <c r="U155" s="1" t="str">
        <f>IF($C155="","",COUNTIF($C$7:$C$156,"&lt;"&amp;$C155)+COUNTIF($C$7:$C155,$C155))</f>
        <v/>
      </c>
    </row>
    <row r="156" spans="1:21" ht="18" customHeight="1" x14ac:dyDescent="0.3">
      <c r="A156" s="2"/>
      <c r="B156" s="60"/>
      <c r="C156" s="61"/>
      <c r="D156" s="60"/>
      <c r="E156" s="61"/>
      <c r="F156" s="61"/>
      <c r="G156" s="61"/>
      <c r="H156" s="60"/>
      <c r="I156" s="62"/>
      <c r="J156" s="63"/>
      <c r="K156" s="64"/>
      <c r="L156" s="61"/>
      <c r="M156" s="61"/>
      <c r="N156" s="60"/>
      <c r="O156" s="65" t="str">
        <f>IF($C156="","",IF(COUNTIFS(UCRETLER!$B$7:$B$606,$B156,UCRETLER!$H$7:$H$606,"Aktif")&gt;0,"EVET","HAYIR"))</f>
        <v/>
      </c>
      <c r="P156" s="65" t="str">
        <f t="shared" si="8"/>
        <v/>
      </c>
      <c r="Q156" s="2"/>
      <c r="R156" s="2"/>
      <c r="S156" s="1"/>
      <c r="T156" s="1" t="str">
        <f t="shared" si="9"/>
        <v/>
      </c>
      <c r="U156" s="1" t="str">
        <f>IF($C156="","",COUNTIF($C$7:$C$156,"&lt;"&amp;$C156)+COUNTIF($C$7:$C156,$C156))</f>
        <v/>
      </c>
    </row>
    <row r="157" spans="1:21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1"/>
      <c r="T157" s="1"/>
      <c r="U157" s="1"/>
    </row>
    <row r="158" spans="1:21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1"/>
      <c r="T158" s="1"/>
      <c r="U158" s="1"/>
    </row>
  </sheetData>
  <sheetProtection password="CC3D" sheet="1" formatCells="0" formatColumns="0" formatRows="0" sort="0" autoFilter="0"/>
  <autoFilter ref="B6:P156" xr:uid="{00000000-0009-0000-0000-000002000000}"/>
  <mergeCells count="3">
    <mergeCell ref="A1:E1"/>
    <mergeCell ref="F1:P1"/>
    <mergeCell ref="A2:P2"/>
  </mergeCells>
  <conditionalFormatting sqref="O7:O156">
    <cfRule type="expression" dxfId="81" priority="8">
      <formula>EXACT($O7,"EVET")</formula>
    </cfRule>
    <cfRule type="expression" dxfId="80" priority="9">
      <formula>EXACT($O7,"HAYIR")</formula>
    </cfRule>
  </conditionalFormatting>
  <conditionalFormatting sqref="P7:P156">
    <cfRule type="expression" dxfId="79" priority="2">
      <formula>EXACT($P7,"UYGUN")</formula>
    </cfRule>
    <cfRule type="expression" dxfId="78" priority="3">
      <formula>EXACT($P7,"DURUM EKSİK")</formula>
    </cfRule>
    <cfRule type="expression" dxfId="77" priority="4">
      <formula>EXACT($P7,"NO EKSİK")</formula>
    </cfRule>
    <cfRule type="expression" dxfId="76" priority="5">
      <formula>EXACT($P7,"NO TEKRARI")</formula>
    </cfRule>
    <cfRule type="expression" dxfId="75" priority="6">
      <formula>EXACT($P7,"UNVAN TEKRARI")</formula>
    </cfRule>
    <cfRule type="expression" dxfId="74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4C93"/>
    <pageSetUpPr fitToPage="1"/>
  </sheetPr>
  <dimension ref="A1:Z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defaultColWidth="8.5703125" defaultRowHeight="14.25" x14ac:dyDescent="0.25"/>
  <cols>
    <col min="1" max="1" width="2.42578125" customWidth="1"/>
    <col min="2" max="2" width="12" customWidth="1"/>
    <col min="3" max="3" width="30" customWidth="1"/>
    <col min="4" max="4" width="16" customWidth="1"/>
    <col min="5" max="5" width="18" customWidth="1"/>
    <col min="6" max="7" width="15" customWidth="1"/>
    <col min="8" max="8" width="13" customWidth="1"/>
    <col min="9" max="9" width="16" customWidth="1"/>
    <col min="10" max="12" width="15" customWidth="1"/>
    <col min="13" max="13" width="13" customWidth="1"/>
    <col min="14" max="14" width="17" customWidth="1"/>
    <col min="15" max="15" width="15" customWidth="1"/>
    <col min="16" max="16" width="26" customWidth="1"/>
    <col min="17" max="18" width="2.42578125" customWidth="1"/>
    <col min="19" max="26" width="13" hidden="1" customWidth="1"/>
  </cols>
  <sheetData>
    <row r="1" spans="1:26" ht="37.5" customHeight="1" x14ac:dyDescent="0.3">
      <c r="A1" s="150" t="s">
        <v>546</v>
      </c>
      <c r="B1" s="150"/>
      <c r="C1" s="150"/>
      <c r="D1" s="150"/>
      <c r="E1" s="150"/>
      <c r="F1" s="151" t="s">
        <v>676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152" t="s">
        <v>677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4"/>
      <c r="R2" s="14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2"/>
      <c r="B3" s="50" t="s">
        <v>678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1" t="str">
        <f>HYPERLINK("#MUSTERI_360!A1","Müşteri 360")</f>
        <v>Müşteri 360</v>
      </c>
      <c r="G4" s="2"/>
      <c r="H4" s="52" t="s">
        <v>679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2"/>
      <c r="B5" s="53"/>
      <c r="C5" s="54" t="s">
        <v>680</v>
      </c>
      <c r="D5" s="53"/>
      <c r="E5" s="53"/>
      <c r="F5" s="53"/>
      <c r="G5" s="56">
        <f>SUMIFS($G$7:$G$606,$H$7:$H$606,"Aktif")</f>
        <v>209750</v>
      </c>
      <c r="H5" s="53"/>
      <c r="I5" s="56">
        <f ca="1">SUM($I$7:$I$606)</f>
        <v>3311000</v>
      </c>
      <c r="J5" s="53"/>
      <c r="K5" s="53"/>
      <c r="L5" s="53"/>
      <c r="M5" s="53"/>
      <c r="N5" s="53"/>
      <c r="O5" s="53"/>
      <c r="P5" s="53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6" ht="39.75" customHeight="1" x14ac:dyDescent="0.3">
      <c r="A6" s="2"/>
      <c r="B6" s="57" t="s">
        <v>19</v>
      </c>
      <c r="C6" s="58" t="s">
        <v>681</v>
      </c>
      <c r="D6" s="57" t="s">
        <v>682</v>
      </c>
      <c r="E6" s="57" t="s">
        <v>683</v>
      </c>
      <c r="F6" s="57" t="s">
        <v>684</v>
      </c>
      <c r="G6" s="59" t="s">
        <v>685</v>
      </c>
      <c r="H6" s="57" t="s">
        <v>686</v>
      </c>
      <c r="I6" s="59" t="s">
        <v>687</v>
      </c>
      <c r="J6" s="59" t="s">
        <v>688</v>
      </c>
      <c r="K6" s="59" t="s">
        <v>689</v>
      </c>
      <c r="L6" s="59" t="s">
        <v>690</v>
      </c>
      <c r="M6" s="57" t="s">
        <v>691</v>
      </c>
      <c r="N6" s="57" t="s">
        <v>692</v>
      </c>
      <c r="O6" s="57" t="s">
        <v>693</v>
      </c>
      <c r="P6" s="58" t="s">
        <v>694</v>
      </c>
      <c r="Q6" s="2"/>
      <c r="R6" s="2"/>
      <c r="S6" s="1"/>
      <c r="T6" s="1"/>
      <c r="U6" s="1"/>
      <c r="V6" s="1"/>
      <c r="W6" s="1"/>
      <c r="X6" s="1"/>
      <c r="Y6" s="1"/>
      <c r="Z6" s="1"/>
    </row>
    <row r="7" spans="1:26" ht="18" customHeight="1" x14ac:dyDescent="0.3">
      <c r="A7" s="2"/>
      <c r="B7" s="65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61" t="s">
        <v>566</v>
      </c>
      <c r="D7" s="66">
        <v>46023</v>
      </c>
      <c r="E7" s="66"/>
      <c r="F7" s="60" t="s">
        <v>695</v>
      </c>
      <c r="G7" s="67">
        <v>4000</v>
      </c>
      <c r="H7" s="60" t="s">
        <v>567</v>
      </c>
      <c r="I7" s="68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68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68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68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69">
        <f t="shared" ref="M7:M70" ca="1" si="4">IF($G7&gt;0,$I7/$G7,0)</f>
        <v>7</v>
      </c>
      <c r="N7" s="65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70">
        <f>IF(OR($C7="",$D7="",$F7=""),"",IF($F7="Aylık",EOMONTH($D7,0),($D7+MOD(SISTEM!$F$8-WEEKDAY($D7,2),7))))</f>
        <v>46053</v>
      </c>
      <c r="P7" s="61"/>
      <c r="Q7" s="2"/>
      <c r="R7" s="2"/>
      <c r="S7" s="1" t="str">
        <f>IF($B7="","",$B7&amp;"|"&amp;COUNTIFS($B$7:$B7,$B7))</f>
        <v>M019|1</v>
      </c>
      <c r="T7" s="1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71">
        <f t="shared" ref="U7:U70" si="7">IF($O7="",0,$O7)</f>
        <v>46053</v>
      </c>
      <c r="V7" s="1">
        <f t="shared" ref="V7:V70" si="8">IF($E7="",2958465,$E7)</f>
        <v>2958465</v>
      </c>
      <c r="W7" s="1">
        <f t="shared" ref="W7:W70" si="9">IF($F7="Haftalık",1,IF($F7="Aylık",2,0))</f>
        <v>2</v>
      </c>
      <c r="X7" s="1">
        <f t="shared" ref="X7:X70" si="10">IF($U7=0,0,(YEAR($U7)-1900)*12+MONTH($U7))</f>
        <v>1513</v>
      </c>
      <c r="Y7" s="1">
        <f t="shared" ref="Y7:Y70" si="11">(YEAR($V7)-1900)*12+MONTH($V7)</f>
        <v>97200</v>
      </c>
      <c r="Z7" s="1">
        <f t="shared" ref="Z7:Z70" si="12">IF($V7=EOMONTH($V7,0),1,0)</f>
        <v>1</v>
      </c>
    </row>
    <row r="8" spans="1:26" ht="18" customHeight="1" x14ac:dyDescent="0.3">
      <c r="A8" s="2"/>
      <c r="B8" s="65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61" t="s">
        <v>570</v>
      </c>
      <c r="D8" s="66">
        <v>46023</v>
      </c>
      <c r="E8" s="66"/>
      <c r="F8" s="60" t="s">
        <v>695</v>
      </c>
      <c r="G8" s="67">
        <v>3000</v>
      </c>
      <c r="H8" s="60" t="s">
        <v>567</v>
      </c>
      <c r="I8" s="68">
        <f t="shared" ca="1" si="0"/>
        <v>21000</v>
      </c>
      <c r="J8" s="68">
        <f t="shared" ca="1" si="1"/>
        <v>21000</v>
      </c>
      <c r="K8" s="68">
        <f t="shared" ca="1" si="2"/>
        <v>21000</v>
      </c>
      <c r="L8" s="68">
        <f t="shared" ca="1" si="3"/>
        <v>18000</v>
      </c>
      <c r="M8" s="69">
        <f t="shared" ca="1" si="4"/>
        <v>7</v>
      </c>
      <c r="N8" s="65" t="str">
        <f t="shared" si="5"/>
        <v>UYGUN</v>
      </c>
      <c r="O8" s="70">
        <f>IF(OR($C8="",$D8="",$F8=""),"",IF($F8="Aylık",EOMONTH($D8,0),($D8+MOD(SISTEM!$F$8-WEEKDAY($D8,2),7))))</f>
        <v>46053</v>
      </c>
      <c r="P8" s="61"/>
      <c r="Q8" s="2"/>
      <c r="R8" s="2"/>
      <c r="S8" s="1" t="str">
        <f>IF($B8="","",$B8&amp;"|"&amp;COUNTIFS($B$7:$B8,$B8))</f>
        <v>M022|1</v>
      </c>
      <c r="T8" s="1" t="str">
        <f t="shared" si="6"/>
        <v>ADEMKARABENLI</v>
      </c>
      <c r="U8" s="71">
        <f t="shared" si="7"/>
        <v>46053</v>
      </c>
      <c r="V8" s="1">
        <f t="shared" si="8"/>
        <v>2958465</v>
      </c>
      <c r="W8" s="1">
        <f t="shared" si="9"/>
        <v>2</v>
      </c>
      <c r="X8" s="1">
        <f t="shared" si="10"/>
        <v>1513</v>
      </c>
      <c r="Y8" s="1">
        <f t="shared" si="11"/>
        <v>97200</v>
      </c>
      <c r="Z8" s="1">
        <f t="shared" si="12"/>
        <v>1</v>
      </c>
    </row>
    <row r="9" spans="1:26" ht="18" customHeight="1" x14ac:dyDescent="0.3">
      <c r="A9" s="2"/>
      <c r="B9" s="65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61" t="s">
        <v>572</v>
      </c>
      <c r="D9" s="66">
        <v>46266</v>
      </c>
      <c r="E9" s="66"/>
      <c r="F9" s="60" t="s">
        <v>695</v>
      </c>
      <c r="G9" s="67">
        <v>10000</v>
      </c>
      <c r="H9" s="60" t="s">
        <v>567</v>
      </c>
      <c r="I9" s="68">
        <f t="shared" ca="1" si="0"/>
        <v>0</v>
      </c>
      <c r="J9" s="68">
        <f t="shared" ca="1" si="1"/>
        <v>0</v>
      </c>
      <c r="K9" s="68">
        <f t="shared" ca="1" si="2"/>
        <v>0</v>
      </c>
      <c r="L9" s="68">
        <f t="shared" ca="1" si="3"/>
        <v>0</v>
      </c>
      <c r="M9" s="69">
        <f t="shared" ca="1" si="4"/>
        <v>0</v>
      </c>
      <c r="N9" s="65" t="str">
        <f t="shared" si="5"/>
        <v>UYGUN</v>
      </c>
      <c r="O9" s="70">
        <f>IF(OR($C9="",$D9="",$F9=""),"",IF($F9="Aylık",EOMONTH($D9,0),($D9+MOD(SISTEM!$F$8-WEEKDAY($D9,2),7))))</f>
        <v>46295</v>
      </c>
      <c r="P9" s="61"/>
      <c r="Q9" s="2"/>
      <c r="R9" s="2"/>
      <c r="S9" s="1" t="str">
        <f>IF($B9="","",$B9&amp;"|"&amp;COUNTIFS($B$7:$B9,$B9))</f>
        <v>M023|1</v>
      </c>
      <c r="T9" s="1" t="str">
        <f t="shared" si="6"/>
        <v>ALTINELLTDSTI</v>
      </c>
      <c r="U9" s="71">
        <f t="shared" si="7"/>
        <v>46295</v>
      </c>
      <c r="V9" s="1">
        <f t="shared" si="8"/>
        <v>2958465</v>
      </c>
      <c r="W9" s="1">
        <f t="shared" si="9"/>
        <v>2</v>
      </c>
      <c r="X9" s="1">
        <f t="shared" si="10"/>
        <v>1521</v>
      </c>
      <c r="Y9" s="1">
        <f t="shared" si="11"/>
        <v>97200</v>
      </c>
      <c r="Z9" s="1">
        <f t="shared" si="12"/>
        <v>1</v>
      </c>
    </row>
    <row r="10" spans="1:26" ht="18" customHeight="1" x14ac:dyDescent="0.3">
      <c r="A10" s="2"/>
      <c r="B10" s="65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61" t="s">
        <v>17</v>
      </c>
      <c r="D10" s="66">
        <v>46023</v>
      </c>
      <c r="E10" s="66"/>
      <c r="F10" s="60" t="s">
        <v>696</v>
      </c>
      <c r="G10" s="67">
        <v>4000</v>
      </c>
      <c r="H10" s="60" t="s">
        <v>567</v>
      </c>
      <c r="I10" s="68">
        <f t="shared" ca="1" si="0"/>
        <v>136000</v>
      </c>
      <c r="J10" s="68">
        <f t="shared" ca="1" si="1"/>
        <v>132000</v>
      </c>
      <c r="K10" s="68">
        <f t="shared" ca="1" si="2"/>
        <v>128000</v>
      </c>
      <c r="L10" s="68">
        <f t="shared" ca="1" si="3"/>
        <v>120000</v>
      </c>
      <c r="M10" s="69">
        <f t="shared" ca="1" si="4"/>
        <v>34</v>
      </c>
      <c r="N10" s="65" t="str">
        <f t="shared" si="5"/>
        <v>UYGUN</v>
      </c>
      <c r="O10" s="70">
        <f>IF(OR($C10="",$D10="",$F10=""),"",IF($F10="Aylık",EOMONTH($D10,0),($D10+MOD(SISTEM!$F$8-WEEKDAY($D10,2),7))))</f>
        <v>46025</v>
      </c>
      <c r="P10" s="61"/>
      <c r="Q10" s="2"/>
      <c r="R10" s="2"/>
      <c r="S10" s="1" t="str">
        <f>IF($B10="","",$B10&amp;"|"&amp;COUNTIFS($B$7:$B10,$B10))</f>
        <v>M001|1</v>
      </c>
      <c r="T10" s="1" t="str">
        <f t="shared" si="6"/>
        <v>ANKARAHAVANALTDSTI</v>
      </c>
      <c r="U10" s="71">
        <f t="shared" si="7"/>
        <v>46025</v>
      </c>
      <c r="V10" s="1">
        <f t="shared" si="8"/>
        <v>2958465</v>
      </c>
      <c r="W10" s="1">
        <f t="shared" si="9"/>
        <v>1</v>
      </c>
      <c r="X10" s="1">
        <f t="shared" si="10"/>
        <v>1513</v>
      </c>
      <c r="Y10" s="1">
        <f t="shared" si="11"/>
        <v>97200</v>
      </c>
      <c r="Z10" s="1">
        <f t="shared" si="12"/>
        <v>1</v>
      </c>
    </row>
    <row r="11" spans="1:26" ht="18" customHeight="1" x14ac:dyDescent="0.3">
      <c r="A11" s="2"/>
      <c r="B11" s="65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61" t="s">
        <v>575</v>
      </c>
      <c r="D11" s="66">
        <v>46023</v>
      </c>
      <c r="E11" s="66"/>
      <c r="F11" s="60" t="s">
        <v>695</v>
      </c>
      <c r="G11" s="67">
        <v>3000</v>
      </c>
      <c r="H11" s="60" t="s">
        <v>567</v>
      </c>
      <c r="I11" s="68">
        <f t="shared" ca="1" si="0"/>
        <v>21000</v>
      </c>
      <c r="J11" s="68">
        <f t="shared" ca="1" si="1"/>
        <v>21000</v>
      </c>
      <c r="K11" s="68">
        <f t="shared" ca="1" si="2"/>
        <v>21000</v>
      </c>
      <c r="L11" s="68">
        <f t="shared" ca="1" si="3"/>
        <v>18000</v>
      </c>
      <c r="M11" s="69">
        <f t="shared" ca="1" si="4"/>
        <v>7</v>
      </c>
      <c r="N11" s="65" t="str">
        <f t="shared" si="5"/>
        <v>UYGUN</v>
      </c>
      <c r="O11" s="70">
        <f>IF(OR($C11="",$D11="",$F11=""),"",IF($F11="Aylık",EOMONTH($D11,0),($D11+MOD(SISTEM!$F$8-WEEKDAY($D11,2),7))))</f>
        <v>46053</v>
      </c>
      <c r="P11" s="61"/>
      <c r="Q11" s="2"/>
      <c r="R11" s="2"/>
      <c r="S11" s="1" t="str">
        <f>IF($B11="","",$B11&amp;"|"&amp;COUNTIFS($B$7:$B11,$B11))</f>
        <v>M024|1</v>
      </c>
      <c r="T11" s="1" t="str">
        <f t="shared" si="6"/>
        <v>ARMANDIK</v>
      </c>
      <c r="U11" s="71">
        <f t="shared" si="7"/>
        <v>46053</v>
      </c>
      <c r="V11" s="1">
        <f t="shared" si="8"/>
        <v>2958465</v>
      </c>
      <c r="W11" s="1">
        <f t="shared" si="9"/>
        <v>2</v>
      </c>
      <c r="X11" s="1">
        <f t="shared" si="10"/>
        <v>1513</v>
      </c>
      <c r="Y11" s="1">
        <f t="shared" si="11"/>
        <v>97200</v>
      </c>
      <c r="Z11" s="1">
        <f t="shared" si="12"/>
        <v>1</v>
      </c>
    </row>
    <row r="12" spans="1:26" ht="18" customHeight="1" x14ac:dyDescent="0.3">
      <c r="A12" s="2"/>
      <c r="B12" s="65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61" t="s">
        <v>577</v>
      </c>
      <c r="D12" s="66">
        <v>46023</v>
      </c>
      <c r="E12" s="66"/>
      <c r="F12" s="60" t="s">
        <v>695</v>
      </c>
      <c r="G12" s="67">
        <v>10000</v>
      </c>
      <c r="H12" s="60" t="s">
        <v>567</v>
      </c>
      <c r="I12" s="68">
        <f t="shared" ca="1" si="0"/>
        <v>70000</v>
      </c>
      <c r="J12" s="68">
        <f t="shared" ca="1" si="1"/>
        <v>70000</v>
      </c>
      <c r="K12" s="68">
        <f t="shared" ca="1" si="2"/>
        <v>70000</v>
      </c>
      <c r="L12" s="68">
        <f t="shared" ca="1" si="3"/>
        <v>60000</v>
      </c>
      <c r="M12" s="69">
        <f t="shared" ca="1" si="4"/>
        <v>7</v>
      </c>
      <c r="N12" s="65" t="str">
        <f t="shared" si="5"/>
        <v>UYGUN</v>
      </c>
      <c r="O12" s="70">
        <f>IF(OR($C12="",$D12="",$F12=""),"",IF($F12="Aylık",EOMONTH($D12,0),($D12+MOD(SISTEM!$F$8-WEEKDAY($D12,2),7))))</f>
        <v>46053</v>
      </c>
      <c r="P12" s="61"/>
      <c r="Q12" s="2"/>
      <c r="R12" s="2"/>
      <c r="S12" s="1" t="str">
        <f>IF($B12="","",$B12&amp;"|"&amp;COUNTIFS($B$7:$B12,$B12))</f>
        <v>M021|1</v>
      </c>
      <c r="T12" s="1" t="str">
        <f t="shared" si="6"/>
        <v>ARONTOPTANLTDSTI</v>
      </c>
      <c r="U12" s="71">
        <f t="shared" si="7"/>
        <v>46053</v>
      </c>
      <c r="V12" s="1">
        <f t="shared" si="8"/>
        <v>2958465</v>
      </c>
      <c r="W12" s="1">
        <f t="shared" si="9"/>
        <v>2</v>
      </c>
      <c r="X12" s="1">
        <f t="shared" si="10"/>
        <v>1513</v>
      </c>
      <c r="Y12" s="1">
        <f t="shared" si="11"/>
        <v>97200</v>
      </c>
      <c r="Z12" s="1">
        <f t="shared" si="12"/>
        <v>1</v>
      </c>
    </row>
    <row r="13" spans="1:26" ht="18" customHeight="1" x14ac:dyDescent="0.3">
      <c r="A13" s="2"/>
      <c r="B13" s="65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61" t="s">
        <v>579</v>
      </c>
      <c r="D13" s="66">
        <v>46023</v>
      </c>
      <c r="E13" s="66"/>
      <c r="F13" s="60" t="s">
        <v>696</v>
      </c>
      <c r="G13" s="67">
        <v>2000</v>
      </c>
      <c r="H13" s="60" t="s">
        <v>567</v>
      </c>
      <c r="I13" s="68">
        <f t="shared" ca="1" si="0"/>
        <v>68000</v>
      </c>
      <c r="J13" s="68">
        <f t="shared" ca="1" si="1"/>
        <v>66000</v>
      </c>
      <c r="K13" s="68">
        <f t="shared" ca="1" si="2"/>
        <v>64000</v>
      </c>
      <c r="L13" s="68">
        <f t="shared" ca="1" si="3"/>
        <v>60000</v>
      </c>
      <c r="M13" s="69">
        <f t="shared" ca="1" si="4"/>
        <v>34</v>
      </c>
      <c r="N13" s="65" t="str">
        <f t="shared" si="5"/>
        <v>UYGUN</v>
      </c>
      <c r="O13" s="70">
        <f>IF(OR($C13="",$D13="",$F13=""),"",IF($F13="Aylık",EOMONTH($D13,0),($D13+MOD(SISTEM!$F$8-WEEKDAY($D13,2),7))))</f>
        <v>46025</v>
      </c>
      <c r="P13" s="61"/>
      <c r="Q13" s="2"/>
      <c r="R13" s="2"/>
      <c r="S13" s="1" t="str">
        <f>IF($B13="","",$B13&amp;"|"&amp;COUNTIFS($B$7:$B13,$B13))</f>
        <v>M025|1</v>
      </c>
      <c r="T13" s="1" t="str">
        <f t="shared" si="6"/>
        <v>ASIMACIKGOZ</v>
      </c>
      <c r="U13" s="71">
        <f t="shared" si="7"/>
        <v>46025</v>
      </c>
      <c r="V13" s="1">
        <f t="shared" si="8"/>
        <v>2958465</v>
      </c>
      <c r="W13" s="1">
        <f t="shared" si="9"/>
        <v>1</v>
      </c>
      <c r="X13" s="1">
        <f t="shared" si="10"/>
        <v>1513</v>
      </c>
      <c r="Y13" s="1">
        <f t="shared" si="11"/>
        <v>97200</v>
      </c>
      <c r="Z13" s="1">
        <f t="shared" si="12"/>
        <v>1</v>
      </c>
    </row>
    <row r="14" spans="1:26" ht="18" customHeight="1" x14ac:dyDescent="0.3">
      <c r="A14" s="2"/>
      <c r="B14" s="65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61" t="s">
        <v>581</v>
      </c>
      <c r="D14" s="66">
        <v>46023</v>
      </c>
      <c r="E14" s="66"/>
      <c r="F14" s="60" t="s">
        <v>696</v>
      </c>
      <c r="G14" s="67">
        <v>2500</v>
      </c>
      <c r="H14" s="60" t="s">
        <v>567</v>
      </c>
      <c r="I14" s="68">
        <f t="shared" ca="1" si="0"/>
        <v>85000</v>
      </c>
      <c r="J14" s="68">
        <f t="shared" ca="1" si="1"/>
        <v>82500</v>
      </c>
      <c r="K14" s="68">
        <f t="shared" ca="1" si="2"/>
        <v>80000</v>
      </c>
      <c r="L14" s="68">
        <f t="shared" ca="1" si="3"/>
        <v>75000</v>
      </c>
      <c r="M14" s="69">
        <f t="shared" ca="1" si="4"/>
        <v>34</v>
      </c>
      <c r="N14" s="65" t="str">
        <f t="shared" si="5"/>
        <v>UYGUN</v>
      </c>
      <c r="O14" s="70">
        <f>IF(OR($C14="",$D14="",$F14=""),"",IF($F14="Aylık",EOMONTH($D14,0),($D14+MOD(SISTEM!$F$8-WEEKDAY($D14,2),7))))</f>
        <v>46025</v>
      </c>
      <c r="P14" s="61"/>
      <c r="Q14" s="2"/>
      <c r="R14" s="2"/>
      <c r="S14" s="1" t="str">
        <f>IF($B14="","",$B14&amp;"|"&amp;COUNTIFS($B$7:$B14,$B14))</f>
        <v>M017|1</v>
      </c>
      <c r="T14" s="1" t="str">
        <f t="shared" si="6"/>
        <v>ASMEGLENCELTDSTI</v>
      </c>
      <c r="U14" s="71">
        <f t="shared" si="7"/>
        <v>46025</v>
      </c>
      <c r="V14" s="1">
        <f t="shared" si="8"/>
        <v>2958465</v>
      </c>
      <c r="W14" s="1">
        <f t="shared" si="9"/>
        <v>1</v>
      </c>
      <c r="X14" s="1">
        <f t="shared" si="10"/>
        <v>1513</v>
      </c>
      <c r="Y14" s="1">
        <f t="shared" si="11"/>
        <v>97200</v>
      </c>
      <c r="Z14" s="1">
        <f t="shared" si="12"/>
        <v>1</v>
      </c>
    </row>
    <row r="15" spans="1:26" ht="18" customHeight="1" x14ac:dyDescent="0.3">
      <c r="A15" s="2"/>
      <c r="B15" s="65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61" t="s">
        <v>583</v>
      </c>
      <c r="D15" s="66">
        <v>46023</v>
      </c>
      <c r="E15" s="66"/>
      <c r="F15" s="60" t="s">
        <v>695</v>
      </c>
      <c r="G15" s="67">
        <v>7500</v>
      </c>
      <c r="H15" s="60" t="s">
        <v>567</v>
      </c>
      <c r="I15" s="68">
        <f t="shared" ca="1" si="0"/>
        <v>52500</v>
      </c>
      <c r="J15" s="68">
        <f t="shared" ca="1" si="1"/>
        <v>52500</v>
      </c>
      <c r="K15" s="68">
        <f t="shared" ca="1" si="2"/>
        <v>52500</v>
      </c>
      <c r="L15" s="68">
        <f t="shared" ca="1" si="3"/>
        <v>45000</v>
      </c>
      <c r="M15" s="69">
        <f t="shared" ca="1" si="4"/>
        <v>7</v>
      </c>
      <c r="N15" s="65" t="str">
        <f t="shared" si="5"/>
        <v>UYGUN</v>
      </c>
      <c r="O15" s="70">
        <f>IF(OR($C15="",$D15="",$F15=""),"",IF($F15="Aylık",EOMONTH($D15,0),($D15+MOD(SISTEM!$F$8-WEEKDAY($D15,2),7))))</f>
        <v>46053</v>
      </c>
      <c r="P15" s="61"/>
      <c r="Q15" s="2"/>
      <c r="R15" s="2"/>
      <c r="S15" s="1" t="str">
        <f>IF($B15="","",$B15&amp;"|"&amp;COUNTIFS($B$7:$B15,$B15))</f>
        <v>M026|1</v>
      </c>
      <c r="T15" s="1" t="str">
        <f t="shared" si="6"/>
        <v>AYDESLTDSTI</v>
      </c>
      <c r="U15" s="71">
        <f t="shared" si="7"/>
        <v>46053</v>
      </c>
      <c r="V15" s="1">
        <f t="shared" si="8"/>
        <v>2958465</v>
      </c>
      <c r="W15" s="1">
        <f t="shared" si="9"/>
        <v>2</v>
      </c>
      <c r="X15" s="1">
        <f t="shared" si="10"/>
        <v>1513</v>
      </c>
      <c r="Y15" s="1">
        <f t="shared" si="11"/>
        <v>97200</v>
      </c>
      <c r="Z15" s="1">
        <f t="shared" si="12"/>
        <v>1</v>
      </c>
    </row>
    <row r="16" spans="1:26" ht="18" customHeight="1" x14ac:dyDescent="0.3">
      <c r="A16" s="2"/>
      <c r="B16" s="65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61" t="s">
        <v>587</v>
      </c>
      <c r="D16" s="66">
        <v>46023</v>
      </c>
      <c r="E16" s="66"/>
      <c r="F16" s="60" t="s">
        <v>695</v>
      </c>
      <c r="G16" s="67">
        <v>4000</v>
      </c>
      <c r="H16" s="60" t="s">
        <v>567</v>
      </c>
      <c r="I16" s="68">
        <f t="shared" ca="1" si="0"/>
        <v>28000</v>
      </c>
      <c r="J16" s="68">
        <f t="shared" ca="1" si="1"/>
        <v>28000</v>
      </c>
      <c r="K16" s="68">
        <f t="shared" ca="1" si="2"/>
        <v>28000</v>
      </c>
      <c r="L16" s="68">
        <f t="shared" ca="1" si="3"/>
        <v>24000</v>
      </c>
      <c r="M16" s="69">
        <f t="shared" ca="1" si="4"/>
        <v>7</v>
      </c>
      <c r="N16" s="65" t="str">
        <f t="shared" si="5"/>
        <v>UYGUN</v>
      </c>
      <c r="O16" s="70">
        <f>IF(OR($C16="",$D16="",$F16=""),"",IF($F16="Aylık",EOMONTH($D16,0),($D16+MOD(SISTEM!$F$8-WEEKDAY($D16,2),7))))</f>
        <v>46053</v>
      </c>
      <c r="P16" s="61"/>
      <c r="Q16" s="2"/>
      <c r="R16" s="2"/>
      <c r="S16" s="1" t="str">
        <f>IF($B16="","",$B16&amp;"|"&amp;COUNTIFS($B$7:$B16,$B16))</f>
        <v>M027|1</v>
      </c>
      <c r="T16" s="1" t="str">
        <f t="shared" si="6"/>
        <v>CERENDEMIRCI</v>
      </c>
      <c r="U16" s="71">
        <f t="shared" si="7"/>
        <v>46053</v>
      </c>
      <c r="V16" s="1">
        <f t="shared" si="8"/>
        <v>2958465</v>
      </c>
      <c r="W16" s="1">
        <f t="shared" si="9"/>
        <v>2</v>
      </c>
      <c r="X16" s="1">
        <f t="shared" si="10"/>
        <v>1513</v>
      </c>
      <c r="Y16" s="1">
        <f t="shared" si="11"/>
        <v>97200</v>
      </c>
      <c r="Z16" s="1">
        <f t="shared" si="12"/>
        <v>1</v>
      </c>
    </row>
    <row r="17" spans="1:26" ht="18" customHeight="1" x14ac:dyDescent="0.3">
      <c r="A17" s="2"/>
      <c r="B17" s="65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61" t="s">
        <v>585</v>
      </c>
      <c r="D17" s="66">
        <v>46023</v>
      </c>
      <c r="E17" s="66"/>
      <c r="F17" s="60" t="s">
        <v>696</v>
      </c>
      <c r="G17" s="67">
        <v>3000</v>
      </c>
      <c r="H17" s="60" t="s">
        <v>567</v>
      </c>
      <c r="I17" s="68">
        <f t="shared" ca="1" si="0"/>
        <v>102000</v>
      </c>
      <c r="J17" s="68">
        <f t="shared" ca="1" si="1"/>
        <v>99000</v>
      </c>
      <c r="K17" s="68">
        <f t="shared" ca="1" si="2"/>
        <v>96000</v>
      </c>
      <c r="L17" s="68">
        <f t="shared" ca="1" si="3"/>
        <v>90000</v>
      </c>
      <c r="M17" s="69">
        <f t="shared" ca="1" si="4"/>
        <v>34</v>
      </c>
      <c r="N17" s="65" t="str">
        <f t="shared" si="5"/>
        <v>UYGUN</v>
      </c>
      <c r="O17" s="70">
        <f>IF(OR($C17="",$D17="",$F17=""),"",IF($F17="Aylık",EOMONTH($D17,0),($D17+MOD(SISTEM!$F$8-WEEKDAY($D17,2),7))))</f>
        <v>46025</v>
      </c>
      <c r="P17" s="61"/>
      <c r="Q17" s="2"/>
      <c r="R17" s="2"/>
      <c r="S17" s="1" t="str">
        <f>IF($B17="","",$B17&amp;"|"&amp;COUNTIFS($B$7:$B17,$B17))</f>
        <v>M015|1</v>
      </c>
      <c r="T17" s="1" t="str">
        <f t="shared" si="6"/>
        <v>CAYIRALANLTDSTI</v>
      </c>
      <c r="U17" s="71">
        <f t="shared" si="7"/>
        <v>46025</v>
      </c>
      <c r="V17" s="1">
        <f t="shared" si="8"/>
        <v>2958465</v>
      </c>
      <c r="W17" s="1">
        <f t="shared" si="9"/>
        <v>1</v>
      </c>
      <c r="X17" s="1">
        <f t="shared" si="10"/>
        <v>1513</v>
      </c>
      <c r="Y17" s="1">
        <f t="shared" si="11"/>
        <v>97200</v>
      </c>
      <c r="Z17" s="1">
        <f t="shared" si="12"/>
        <v>1</v>
      </c>
    </row>
    <row r="18" spans="1:26" ht="18" customHeight="1" x14ac:dyDescent="0.3">
      <c r="A18" s="2"/>
      <c r="B18" s="65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61" t="s">
        <v>589</v>
      </c>
      <c r="D18" s="66">
        <v>46023</v>
      </c>
      <c r="E18" s="66">
        <v>46248</v>
      </c>
      <c r="F18" s="60" t="s">
        <v>696</v>
      </c>
      <c r="G18" s="67">
        <v>2500</v>
      </c>
      <c r="H18" s="60" t="s">
        <v>697</v>
      </c>
      <c r="I18" s="68">
        <f t="shared" ca="1" si="0"/>
        <v>80000</v>
      </c>
      <c r="J18" s="68">
        <f t="shared" ca="1" si="1"/>
        <v>80000</v>
      </c>
      <c r="K18" s="68">
        <f t="shared" ca="1" si="2"/>
        <v>80000</v>
      </c>
      <c r="L18" s="68">
        <f t="shared" ca="1" si="3"/>
        <v>75000</v>
      </c>
      <c r="M18" s="69">
        <f t="shared" ca="1" si="4"/>
        <v>32</v>
      </c>
      <c r="N18" s="65" t="str">
        <f t="shared" si="5"/>
        <v>KAPALI DÖNEM</v>
      </c>
      <c r="O18" s="70">
        <f>IF(OR($C18="",$D18="",$F18=""),"",IF($F18="Aylık",EOMONTH($D18,0),($D18+MOD(SISTEM!$F$8-WEEKDAY($D18,2),7))))</f>
        <v>46025</v>
      </c>
      <c r="P18" s="61"/>
      <c r="Q18" s="2"/>
      <c r="R18" s="2"/>
      <c r="S18" s="1" t="str">
        <f>IF($B18="","",$B18&amp;"|"&amp;COUNTIFS($B$7:$B18,$B18))</f>
        <v>M018|1</v>
      </c>
      <c r="T18" s="1" t="str">
        <f t="shared" si="6"/>
        <v>CINARHANLTDSTI</v>
      </c>
      <c r="U18" s="71">
        <f t="shared" si="7"/>
        <v>46025</v>
      </c>
      <c r="V18" s="71">
        <f t="shared" si="8"/>
        <v>46248</v>
      </c>
      <c r="W18" s="1">
        <f t="shared" si="9"/>
        <v>1</v>
      </c>
      <c r="X18" s="1">
        <f t="shared" si="10"/>
        <v>1513</v>
      </c>
      <c r="Y18" s="1">
        <f t="shared" si="11"/>
        <v>1520</v>
      </c>
      <c r="Z18" s="1">
        <f t="shared" si="12"/>
        <v>0</v>
      </c>
    </row>
    <row r="19" spans="1:26" ht="18" customHeight="1" x14ac:dyDescent="0.3">
      <c r="A19" s="2"/>
      <c r="B19" s="65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61" t="s">
        <v>591</v>
      </c>
      <c r="D19" s="66">
        <v>46023</v>
      </c>
      <c r="E19" s="66"/>
      <c r="F19" s="60" t="s">
        <v>695</v>
      </c>
      <c r="G19" s="67">
        <v>10000</v>
      </c>
      <c r="H19" s="60" t="s">
        <v>567</v>
      </c>
      <c r="I19" s="68">
        <f t="shared" ca="1" si="0"/>
        <v>70000</v>
      </c>
      <c r="J19" s="68">
        <f t="shared" ca="1" si="1"/>
        <v>70000</v>
      </c>
      <c r="K19" s="68">
        <f t="shared" ca="1" si="2"/>
        <v>70000</v>
      </c>
      <c r="L19" s="68">
        <f t="shared" ca="1" si="3"/>
        <v>60000</v>
      </c>
      <c r="M19" s="69">
        <f t="shared" ca="1" si="4"/>
        <v>7</v>
      </c>
      <c r="N19" s="65" t="str">
        <f t="shared" si="5"/>
        <v>UYGUN</v>
      </c>
      <c r="O19" s="70">
        <f>IF(OR($C19="",$D19="",$F19=""),"",IF($F19="Aylık",EOMONTH($D19,0),($D19+MOD(SISTEM!$F$8-WEEKDAY($D19,2),7))))</f>
        <v>46053</v>
      </c>
      <c r="P19" s="61"/>
      <c r="Q19" s="2"/>
      <c r="R19" s="2"/>
      <c r="S19" s="1" t="str">
        <f>IF($B19="","",$B19&amp;"|"&amp;COUNTIFS($B$7:$B19,$B19))</f>
        <v>M028|1</v>
      </c>
      <c r="T19" s="1" t="str">
        <f t="shared" si="6"/>
        <v>DERVISHANLTDSTI</v>
      </c>
      <c r="U19" s="71">
        <f t="shared" si="7"/>
        <v>46053</v>
      </c>
      <c r="V19" s="1">
        <f t="shared" si="8"/>
        <v>2958465</v>
      </c>
      <c r="W19" s="1">
        <f t="shared" si="9"/>
        <v>2</v>
      </c>
      <c r="X19" s="1">
        <f t="shared" si="10"/>
        <v>1513</v>
      </c>
      <c r="Y19" s="1">
        <f t="shared" si="11"/>
        <v>97200</v>
      </c>
      <c r="Z19" s="1">
        <f t="shared" si="12"/>
        <v>1</v>
      </c>
    </row>
    <row r="20" spans="1:26" ht="18" customHeight="1" x14ac:dyDescent="0.3">
      <c r="A20" s="2"/>
      <c r="B20" s="65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61" t="s">
        <v>593</v>
      </c>
      <c r="D20" s="66">
        <v>46039</v>
      </c>
      <c r="E20" s="66">
        <v>46109</v>
      </c>
      <c r="F20" s="60" t="s">
        <v>696</v>
      </c>
      <c r="G20" s="67">
        <v>3000</v>
      </c>
      <c r="H20" s="60" t="s">
        <v>697</v>
      </c>
      <c r="I20" s="68">
        <f t="shared" ca="1" si="0"/>
        <v>33000</v>
      </c>
      <c r="J20" s="68">
        <f t="shared" ca="1" si="1"/>
        <v>33000</v>
      </c>
      <c r="K20" s="68">
        <f t="shared" ca="1" si="2"/>
        <v>33000</v>
      </c>
      <c r="L20" s="68">
        <f t="shared" ca="1" si="3"/>
        <v>33000</v>
      </c>
      <c r="M20" s="69">
        <f t="shared" ca="1" si="4"/>
        <v>11</v>
      </c>
      <c r="N20" s="65" t="str">
        <f t="shared" si="5"/>
        <v>KAPALI DÖNEM</v>
      </c>
      <c r="O20" s="70">
        <f>IF(OR($C20="",$D20="",$F20=""),"",IF($F20="Aylık",EOMONTH($D20,0),($D20+MOD(SISTEM!$F$8-WEEKDAY($D20,2),7))))</f>
        <v>46039</v>
      </c>
      <c r="P20" s="61"/>
      <c r="Q20" s="2"/>
      <c r="R20" s="2"/>
      <c r="S20" s="1" t="str">
        <f>IF($B20="","",$B20&amp;"|"&amp;COUNTIFS($B$7:$B20,$B20))</f>
        <v>M011|1</v>
      </c>
      <c r="T20" s="1" t="str">
        <f t="shared" si="6"/>
        <v>EGLENGORLTDSTI</v>
      </c>
      <c r="U20" s="71">
        <f t="shared" si="7"/>
        <v>46039</v>
      </c>
      <c r="V20" s="71">
        <f t="shared" si="8"/>
        <v>46109</v>
      </c>
      <c r="W20" s="1">
        <f t="shared" si="9"/>
        <v>1</v>
      </c>
      <c r="X20" s="1">
        <f t="shared" si="10"/>
        <v>1513</v>
      </c>
      <c r="Y20" s="1">
        <f t="shared" si="11"/>
        <v>1515</v>
      </c>
      <c r="Z20" s="1">
        <f t="shared" si="12"/>
        <v>0</v>
      </c>
    </row>
    <row r="21" spans="1:26" ht="18" customHeight="1" x14ac:dyDescent="0.3">
      <c r="A21" s="2"/>
      <c r="B21" s="65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61" t="s">
        <v>595</v>
      </c>
      <c r="D21" s="66">
        <v>46023</v>
      </c>
      <c r="E21" s="66"/>
      <c r="F21" s="60" t="s">
        <v>695</v>
      </c>
      <c r="G21" s="67">
        <v>2000</v>
      </c>
      <c r="H21" s="60" t="s">
        <v>567</v>
      </c>
      <c r="I21" s="68">
        <f t="shared" ca="1" si="0"/>
        <v>14000</v>
      </c>
      <c r="J21" s="68">
        <f t="shared" ca="1" si="1"/>
        <v>14000</v>
      </c>
      <c r="K21" s="68">
        <f t="shared" ca="1" si="2"/>
        <v>14000</v>
      </c>
      <c r="L21" s="68">
        <f t="shared" ca="1" si="3"/>
        <v>12000</v>
      </c>
      <c r="M21" s="69">
        <f t="shared" ca="1" si="4"/>
        <v>7</v>
      </c>
      <c r="N21" s="65" t="str">
        <f t="shared" si="5"/>
        <v>UYGUN</v>
      </c>
      <c r="O21" s="70">
        <f>IF(OR($C21="",$D21="",$F21=""),"",IF($F21="Aylık",EOMONTH($D21,0),($D21+MOD(SISTEM!$F$8-WEEKDAY($D21,2),7))))</f>
        <v>46053</v>
      </c>
      <c r="P21" s="61"/>
      <c r="Q21" s="2"/>
      <c r="R21" s="2"/>
      <c r="S21" s="1" t="str">
        <f>IF($B21="","",$B21&amp;"|"&amp;COUNTIFS($B$7:$B21,$B21))</f>
        <v>M029|1</v>
      </c>
      <c r="T21" s="1" t="str">
        <f t="shared" si="6"/>
        <v>EMRAHSAVURKAN</v>
      </c>
      <c r="U21" s="71">
        <f t="shared" si="7"/>
        <v>46053</v>
      </c>
      <c r="V21" s="1">
        <f t="shared" si="8"/>
        <v>2958465</v>
      </c>
      <c r="W21" s="1">
        <f t="shared" si="9"/>
        <v>2</v>
      </c>
      <c r="X21" s="1">
        <f t="shared" si="10"/>
        <v>1513</v>
      </c>
      <c r="Y21" s="1">
        <f t="shared" si="11"/>
        <v>97200</v>
      </c>
      <c r="Z21" s="1">
        <f t="shared" si="12"/>
        <v>1</v>
      </c>
    </row>
    <row r="22" spans="1:26" ht="18" customHeight="1" x14ac:dyDescent="0.3">
      <c r="A22" s="2"/>
      <c r="B22" s="65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61" t="s">
        <v>597</v>
      </c>
      <c r="D22" s="66">
        <v>46023</v>
      </c>
      <c r="E22" s="66"/>
      <c r="F22" s="60" t="s">
        <v>696</v>
      </c>
      <c r="G22" s="67">
        <v>3500</v>
      </c>
      <c r="H22" s="60" t="s">
        <v>567</v>
      </c>
      <c r="I22" s="68">
        <f t="shared" ca="1" si="0"/>
        <v>119000</v>
      </c>
      <c r="J22" s="68">
        <f t="shared" ca="1" si="1"/>
        <v>115500</v>
      </c>
      <c r="K22" s="68">
        <f t="shared" ca="1" si="2"/>
        <v>112000</v>
      </c>
      <c r="L22" s="68">
        <f t="shared" ca="1" si="3"/>
        <v>105000</v>
      </c>
      <c r="M22" s="69">
        <f t="shared" ca="1" si="4"/>
        <v>34</v>
      </c>
      <c r="N22" s="65" t="str">
        <f t="shared" si="5"/>
        <v>UYGUN</v>
      </c>
      <c r="O22" s="70">
        <f>IF(OR($C22="",$D22="",$F22=""),"",IF($F22="Aylık",EOMONTH($D22,0),($D22+MOD(SISTEM!$F$8-WEEKDAY($D22,2),7))))</f>
        <v>46025</v>
      </c>
      <c r="P22" s="61"/>
      <c r="Q22" s="2"/>
      <c r="R22" s="2"/>
      <c r="S22" s="1" t="str">
        <f>IF($B22="","",$B22&amp;"|"&amp;COUNTIFS($B$7:$B22,$B22))</f>
        <v>M002|1</v>
      </c>
      <c r="T22" s="1" t="str">
        <f t="shared" si="6"/>
        <v>ESERLILTDSTI</v>
      </c>
      <c r="U22" s="71">
        <f t="shared" si="7"/>
        <v>46025</v>
      </c>
      <c r="V22" s="1">
        <f t="shared" si="8"/>
        <v>2958465</v>
      </c>
      <c r="W22" s="1">
        <f t="shared" si="9"/>
        <v>1</v>
      </c>
      <c r="X22" s="1">
        <f t="shared" si="10"/>
        <v>1513</v>
      </c>
      <c r="Y22" s="1">
        <f t="shared" si="11"/>
        <v>97200</v>
      </c>
      <c r="Z22" s="1">
        <f t="shared" si="12"/>
        <v>1</v>
      </c>
    </row>
    <row r="23" spans="1:26" ht="18" customHeight="1" x14ac:dyDescent="0.3">
      <c r="A23" s="2"/>
      <c r="B23" s="65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61" t="s">
        <v>599</v>
      </c>
      <c r="D23" s="66">
        <v>46023</v>
      </c>
      <c r="E23" s="66"/>
      <c r="F23" s="60" t="s">
        <v>695</v>
      </c>
      <c r="G23" s="67">
        <v>2000</v>
      </c>
      <c r="H23" s="60" t="s">
        <v>567</v>
      </c>
      <c r="I23" s="68">
        <f t="shared" ca="1" si="0"/>
        <v>14000</v>
      </c>
      <c r="J23" s="68">
        <f t="shared" ca="1" si="1"/>
        <v>14000</v>
      </c>
      <c r="K23" s="68">
        <f t="shared" ca="1" si="2"/>
        <v>14000</v>
      </c>
      <c r="L23" s="68">
        <f t="shared" ca="1" si="3"/>
        <v>12000</v>
      </c>
      <c r="M23" s="69">
        <f t="shared" ca="1" si="4"/>
        <v>7</v>
      </c>
      <c r="N23" s="65" t="str">
        <f t="shared" si="5"/>
        <v>UYGUN</v>
      </c>
      <c r="O23" s="70">
        <f>IF(OR($C23="",$D23="",$F23=""),"",IF($F23="Aylık",EOMONTH($D23,0),($D23+MOD(SISTEM!$F$8-WEEKDAY($D23,2),7))))</f>
        <v>46053</v>
      </c>
      <c r="P23" s="61"/>
      <c r="Q23" s="2"/>
      <c r="R23" s="2"/>
      <c r="S23" s="1" t="str">
        <f>IF($B23="","",$B23&amp;"|"&amp;COUNTIFS($B$7:$B23,$B23))</f>
        <v>M030|1</v>
      </c>
      <c r="T23" s="1" t="str">
        <f t="shared" si="6"/>
        <v>FARUKDEMIRCI</v>
      </c>
      <c r="U23" s="71">
        <f t="shared" si="7"/>
        <v>46053</v>
      </c>
      <c r="V23" s="1">
        <f t="shared" si="8"/>
        <v>2958465</v>
      </c>
      <c r="W23" s="1">
        <f t="shared" si="9"/>
        <v>2</v>
      </c>
      <c r="X23" s="1">
        <f t="shared" si="10"/>
        <v>1513</v>
      </c>
      <c r="Y23" s="1">
        <f t="shared" si="11"/>
        <v>97200</v>
      </c>
      <c r="Z23" s="1">
        <f t="shared" si="12"/>
        <v>1</v>
      </c>
    </row>
    <row r="24" spans="1:26" ht="18" customHeight="1" x14ac:dyDescent="0.3">
      <c r="A24" s="2"/>
      <c r="B24" s="65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61" t="s">
        <v>601</v>
      </c>
      <c r="D24" s="66">
        <v>46023</v>
      </c>
      <c r="E24" s="66">
        <v>46115</v>
      </c>
      <c r="F24" s="60" t="s">
        <v>696</v>
      </c>
      <c r="G24" s="67">
        <v>2000</v>
      </c>
      <c r="H24" s="60" t="s">
        <v>697</v>
      </c>
      <c r="I24" s="68">
        <f t="shared" ca="1" si="0"/>
        <v>26000</v>
      </c>
      <c r="J24" s="68">
        <f t="shared" ca="1" si="1"/>
        <v>26000</v>
      </c>
      <c r="K24" s="68">
        <f t="shared" ca="1" si="2"/>
        <v>26000</v>
      </c>
      <c r="L24" s="68">
        <f t="shared" ca="1" si="3"/>
        <v>26000</v>
      </c>
      <c r="M24" s="69">
        <f t="shared" ca="1" si="4"/>
        <v>13</v>
      </c>
      <c r="N24" s="65" t="str">
        <f t="shared" si="5"/>
        <v>KAPALI DÖNEM</v>
      </c>
      <c r="O24" s="70">
        <f>IF(OR($C24="",$D24="",$F24=""),"",IF($F24="Aylık",EOMONTH($D24,0),($D24+MOD(SISTEM!$F$8-WEEKDAY($D24,2),7))))</f>
        <v>46025</v>
      </c>
      <c r="P24" s="61"/>
      <c r="Q24" s="2"/>
      <c r="R24" s="2"/>
      <c r="S24" s="1" t="str">
        <f>IF($B24="","",$B24&amp;"|"&amp;COUNTIFS($B$7:$B24,$B24))</f>
        <v>M014|1</v>
      </c>
      <c r="T24" s="1" t="str">
        <f t="shared" si="6"/>
        <v>FINALSIYAHBEYAZLTDSTI</v>
      </c>
      <c r="U24" s="71">
        <f t="shared" si="7"/>
        <v>46025</v>
      </c>
      <c r="V24" s="71">
        <f t="shared" si="8"/>
        <v>46115</v>
      </c>
      <c r="W24" s="1">
        <f t="shared" si="9"/>
        <v>1</v>
      </c>
      <c r="X24" s="1">
        <f t="shared" si="10"/>
        <v>1513</v>
      </c>
      <c r="Y24" s="1">
        <f t="shared" si="11"/>
        <v>1516</v>
      </c>
      <c r="Z24" s="1">
        <f t="shared" si="12"/>
        <v>0</v>
      </c>
    </row>
    <row r="25" spans="1:26" ht="18" customHeight="1" x14ac:dyDescent="0.3">
      <c r="A25" s="2"/>
      <c r="B25" s="65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61" t="s">
        <v>603</v>
      </c>
      <c r="D25" s="66">
        <v>46023</v>
      </c>
      <c r="E25" s="66"/>
      <c r="F25" s="60" t="s">
        <v>695</v>
      </c>
      <c r="G25" s="67">
        <v>3000</v>
      </c>
      <c r="H25" s="60" t="s">
        <v>567</v>
      </c>
      <c r="I25" s="68">
        <f t="shared" ca="1" si="0"/>
        <v>21000</v>
      </c>
      <c r="J25" s="68">
        <f t="shared" ca="1" si="1"/>
        <v>21000</v>
      </c>
      <c r="K25" s="68">
        <f t="shared" ca="1" si="2"/>
        <v>21000</v>
      </c>
      <c r="L25" s="68">
        <f t="shared" ca="1" si="3"/>
        <v>18000</v>
      </c>
      <c r="M25" s="69">
        <f t="shared" ca="1" si="4"/>
        <v>7</v>
      </c>
      <c r="N25" s="65" t="str">
        <f t="shared" si="5"/>
        <v>UYGUN</v>
      </c>
      <c r="O25" s="70">
        <f>IF(OR($C25="",$D25="",$F25=""),"",IF($F25="Aylık",EOMONTH($D25,0),($D25+MOD(SISTEM!$F$8-WEEKDAY($D25,2),7))))</f>
        <v>46053</v>
      </c>
      <c r="P25" s="61"/>
      <c r="Q25" s="2"/>
      <c r="R25" s="2"/>
      <c r="S25" s="1" t="str">
        <f>IF($B25="","",$B25&amp;"|"&amp;COUNTIFS($B$7:$B25,$B25))</f>
        <v>M031|1</v>
      </c>
      <c r="T25" s="1" t="str">
        <f t="shared" si="6"/>
        <v>HALILAVSAR</v>
      </c>
      <c r="U25" s="71">
        <f t="shared" si="7"/>
        <v>46053</v>
      </c>
      <c r="V25" s="1">
        <f t="shared" si="8"/>
        <v>2958465</v>
      </c>
      <c r="W25" s="1">
        <f t="shared" si="9"/>
        <v>2</v>
      </c>
      <c r="X25" s="1">
        <f t="shared" si="10"/>
        <v>1513</v>
      </c>
      <c r="Y25" s="1">
        <f t="shared" si="11"/>
        <v>97200</v>
      </c>
      <c r="Z25" s="1">
        <f t="shared" si="12"/>
        <v>1</v>
      </c>
    </row>
    <row r="26" spans="1:26" ht="18" customHeight="1" x14ac:dyDescent="0.3">
      <c r="A26" s="2"/>
      <c r="B26" s="65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61" t="s">
        <v>605</v>
      </c>
      <c r="D26" s="66">
        <v>46023</v>
      </c>
      <c r="E26" s="66"/>
      <c r="F26" s="60" t="s">
        <v>695</v>
      </c>
      <c r="G26" s="67">
        <v>1000</v>
      </c>
      <c r="H26" s="60" t="s">
        <v>567</v>
      </c>
      <c r="I26" s="68">
        <f t="shared" ca="1" si="0"/>
        <v>7000</v>
      </c>
      <c r="J26" s="68">
        <f t="shared" ca="1" si="1"/>
        <v>7000</v>
      </c>
      <c r="K26" s="68">
        <f t="shared" ca="1" si="2"/>
        <v>7000</v>
      </c>
      <c r="L26" s="68">
        <f t="shared" ca="1" si="3"/>
        <v>6000</v>
      </c>
      <c r="M26" s="69">
        <f t="shared" ca="1" si="4"/>
        <v>7</v>
      </c>
      <c r="N26" s="65" t="str">
        <f t="shared" si="5"/>
        <v>UYGUN</v>
      </c>
      <c r="O26" s="70">
        <f>IF(OR($C26="",$D26="",$F26=""),"",IF($F26="Aylık",EOMONTH($D26,0),($D26+MOD(SISTEM!$F$8-WEEKDAY($D26,2),7))))</f>
        <v>46053</v>
      </c>
      <c r="P26" s="61"/>
      <c r="Q26" s="2"/>
      <c r="R26" s="2"/>
      <c r="S26" s="1" t="str">
        <f>IF($B26="","",$B26&amp;"|"&amp;COUNTIFS($B$7:$B26,$B26))</f>
        <v>M032|1</v>
      </c>
      <c r="T26" s="1" t="str">
        <f t="shared" si="6"/>
        <v>HAYDARKAYA</v>
      </c>
      <c r="U26" s="71">
        <f t="shared" si="7"/>
        <v>46053</v>
      </c>
      <c r="V26" s="1">
        <f t="shared" si="8"/>
        <v>2958465</v>
      </c>
      <c r="W26" s="1">
        <f t="shared" si="9"/>
        <v>2</v>
      </c>
      <c r="X26" s="1">
        <f t="shared" si="10"/>
        <v>1513</v>
      </c>
      <c r="Y26" s="1">
        <f t="shared" si="11"/>
        <v>97200</v>
      </c>
      <c r="Z26" s="1">
        <f t="shared" si="12"/>
        <v>1</v>
      </c>
    </row>
    <row r="27" spans="1:26" ht="18" customHeight="1" x14ac:dyDescent="0.3">
      <c r="A27" s="2"/>
      <c r="B27" s="65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61" t="s">
        <v>613</v>
      </c>
      <c r="D27" s="66">
        <v>46023</v>
      </c>
      <c r="E27" s="66"/>
      <c r="F27" s="60" t="s">
        <v>695</v>
      </c>
      <c r="G27" s="67">
        <v>7500</v>
      </c>
      <c r="H27" s="60" t="s">
        <v>567</v>
      </c>
      <c r="I27" s="68">
        <f t="shared" ca="1" si="0"/>
        <v>52500</v>
      </c>
      <c r="J27" s="68">
        <f t="shared" ca="1" si="1"/>
        <v>52500</v>
      </c>
      <c r="K27" s="68">
        <f t="shared" ca="1" si="2"/>
        <v>52500</v>
      </c>
      <c r="L27" s="68">
        <f t="shared" ca="1" si="3"/>
        <v>45000</v>
      </c>
      <c r="M27" s="69">
        <f t="shared" ca="1" si="4"/>
        <v>7</v>
      </c>
      <c r="N27" s="65" t="str">
        <f t="shared" si="5"/>
        <v>UYGUN</v>
      </c>
      <c r="O27" s="70">
        <f>IF(OR($C27="",$D27="",$F27=""),"",IF($F27="Aylık",EOMONTH($D27,0),($D27+MOD(SISTEM!$F$8-WEEKDAY($D27,2),7))))</f>
        <v>46053</v>
      </c>
      <c r="P27" s="61"/>
      <c r="Q27" s="2"/>
      <c r="R27" s="2"/>
      <c r="S27" s="1" t="str">
        <f>IF($B27="","",$B27&amp;"|"&amp;COUNTIFS($B$7:$B27,$B27))</f>
        <v>M033|1</v>
      </c>
      <c r="T27" s="1" t="str">
        <f t="shared" si="6"/>
        <v>ISILGRUPLTDSTI</v>
      </c>
      <c r="U27" s="71">
        <f t="shared" si="7"/>
        <v>46053</v>
      </c>
      <c r="V27" s="1">
        <f t="shared" si="8"/>
        <v>2958465</v>
      </c>
      <c r="W27" s="1">
        <f t="shared" si="9"/>
        <v>2</v>
      </c>
      <c r="X27" s="1">
        <f t="shared" si="10"/>
        <v>1513</v>
      </c>
      <c r="Y27" s="1">
        <f t="shared" si="11"/>
        <v>97200</v>
      </c>
      <c r="Z27" s="1">
        <f t="shared" si="12"/>
        <v>1</v>
      </c>
    </row>
    <row r="28" spans="1:26" ht="18" customHeight="1" x14ac:dyDescent="0.3">
      <c r="A28" s="2"/>
      <c r="B28" s="65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61" t="s">
        <v>607</v>
      </c>
      <c r="D28" s="66">
        <v>46023</v>
      </c>
      <c r="E28" s="66">
        <v>46081</v>
      </c>
      <c r="F28" s="60" t="s">
        <v>696</v>
      </c>
      <c r="G28" s="67">
        <v>1500</v>
      </c>
      <c r="H28" s="60" t="s">
        <v>697</v>
      </c>
      <c r="I28" s="68">
        <f t="shared" ca="1" si="0"/>
        <v>13500</v>
      </c>
      <c r="J28" s="68">
        <f t="shared" ca="1" si="1"/>
        <v>13500</v>
      </c>
      <c r="K28" s="68">
        <f t="shared" ca="1" si="2"/>
        <v>13500</v>
      </c>
      <c r="L28" s="68">
        <f t="shared" ca="1" si="3"/>
        <v>13500</v>
      </c>
      <c r="M28" s="69">
        <f t="shared" ca="1" si="4"/>
        <v>9</v>
      </c>
      <c r="N28" s="65" t="str">
        <f t="shared" si="5"/>
        <v>KAPALI DÖNEM</v>
      </c>
      <c r="O28" s="70">
        <f>IF(OR($C28="",$D28="",$F28=""),"",IF($F28="Aylık",EOMONTH($D28,0),($D28+MOD(SISTEM!$F$8-WEEKDAY($D28,2),7))))</f>
        <v>46025</v>
      </c>
      <c r="P28" s="61"/>
      <c r="Q28" s="2"/>
      <c r="R28" s="2"/>
      <c r="S28" s="1" t="str">
        <f>IF($B28="","",$B28&amp;"|"&amp;COUNTIFS($B$7:$B28,$B28))</f>
        <v>M034|1</v>
      </c>
      <c r="T28" s="1" t="str">
        <f t="shared" si="6"/>
        <v>IBRAHIMMALDAN</v>
      </c>
      <c r="U28" s="71">
        <f t="shared" si="7"/>
        <v>46025</v>
      </c>
      <c r="V28" s="71">
        <f t="shared" si="8"/>
        <v>46081</v>
      </c>
      <c r="W28" s="1">
        <f t="shared" si="9"/>
        <v>1</v>
      </c>
      <c r="X28" s="1">
        <f t="shared" si="10"/>
        <v>1513</v>
      </c>
      <c r="Y28" s="1">
        <f t="shared" si="11"/>
        <v>1514</v>
      </c>
      <c r="Z28" s="1">
        <f t="shared" si="12"/>
        <v>1</v>
      </c>
    </row>
    <row r="29" spans="1:26" ht="18" customHeight="1" x14ac:dyDescent="0.3">
      <c r="A29" s="2"/>
      <c r="B29" s="65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61" t="s">
        <v>609</v>
      </c>
      <c r="D29" s="66">
        <v>46023</v>
      </c>
      <c r="E29" s="66">
        <v>46112</v>
      </c>
      <c r="F29" s="60" t="s">
        <v>696</v>
      </c>
      <c r="G29" s="67">
        <v>2000</v>
      </c>
      <c r="H29" s="60" t="s">
        <v>697</v>
      </c>
      <c r="I29" s="68">
        <f t="shared" ca="1" si="0"/>
        <v>26000</v>
      </c>
      <c r="J29" s="68">
        <f t="shared" ca="1" si="1"/>
        <v>26000</v>
      </c>
      <c r="K29" s="68">
        <f t="shared" ca="1" si="2"/>
        <v>26000</v>
      </c>
      <c r="L29" s="68">
        <f t="shared" ca="1" si="3"/>
        <v>26000</v>
      </c>
      <c r="M29" s="69">
        <f t="shared" ca="1" si="4"/>
        <v>13</v>
      </c>
      <c r="N29" s="65" t="str">
        <f t="shared" si="5"/>
        <v>KAPALI DÖNEM</v>
      </c>
      <c r="O29" s="70">
        <f>IF(OR($C29="",$D29="",$F29=""),"",IF($F29="Aylık",EOMONTH($D29,0),($D29+MOD(SISTEM!$F$8-WEEKDAY($D29,2),7))))</f>
        <v>46025</v>
      </c>
      <c r="P29" s="61"/>
      <c r="Q29" s="2"/>
      <c r="R29" s="2"/>
      <c r="S29" s="1" t="str">
        <f>IF($B29="","",$B29&amp;"|"&amp;COUNTIFS($B$7:$B29,$B29))</f>
        <v>M012|1</v>
      </c>
      <c r="T29" s="1" t="str">
        <f t="shared" si="6"/>
        <v>ILDESLTDSTI</v>
      </c>
      <c r="U29" s="71">
        <f t="shared" si="7"/>
        <v>46025</v>
      </c>
      <c r="V29" s="71">
        <f t="shared" si="8"/>
        <v>46112</v>
      </c>
      <c r="W29" s="1">
        <f t="shared" si="9"/>
        <v>1</v>
      </c>
      <c r="X29" s="1">
        <f t="shared" si="10"/>
        <v>1513</v>
      </c>
      <c r="Y29" s="1">
        <f t="shared" si="11"/>
        <v>1515</v>
      </c>
      <c r="Z29" s="1">
        <f t="shared" si="12"/>
        <v>1</v>
      </c>
    </row>
    <row r="30" spans="1:26" ht="18" customHeight="1" x14ac:dyDescent="0.3">
      <c r="A30" s="2"/>
      <c r="B30" s="65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61" t="s">
        <v>611</v>
      </c>
      <c r="D30" s="66">
        <v>46023</v>
      </c>
      <c r="E30" s="66"/>
      <c r="F30" s="60" t="s">
        <v>695</v>
      </c>
      <c r="G30" s="67">
        <v>3500</v>
      </c>
      <c r="H30" s="60" t="s">
        <v>567</v>
      </c>
      <c r="I30" s="68">
        <f t="shared" ca="1" si="0"/>
        <v>24500</v>
      </c>
      <c r="J30" s="68">
        <f t="shared" ca="1" si="1"/>
        <v>24500</v>
      </c>
      <c r="K30" s="68">
        <f t="shared" ca="1" si="2"/>
        <v>24500</v>
      </c>
      <c r="L30" s="68">
        <f t="shared" ca="1" si="3"/>
        <v>21000</v>
      </c>
      <c r="M30" s="69">
        <f t="shared" ca="1" si="4"/>
        <v>7</v>
      </c>
      <c r="N30" s="65" t="str">
        <f t="shared" si="5"/>
        <v>UYGUN</v>
      </c>
      <c r="O30" s="70">
        <f>IF(OR($C30="",$D30="",$F30=""),"",IF($F30="Aylık",EOMONTH($D30,0),($D30+MOD(SISTEM!$F$8-WEEKDAY($D30,2),7))))</f>
        <v>46053</v>
      </c>
      <c r="P30" s="61"/>
      <c r="Q30" s="2"/>
      <c r="R30" s="2"/>
      <c r="S30" s="1" t="str">
        <f>IF($B30="","",$B30&amp;"|"&amp;COUNTIFS($B$7:$B30,$B30))</f>
        <v>M035|1</v>
      </c>
      <c r="T30" s="1" t="str">
        <f t="shared" si="6"/>
        <v>ISADEMIRCI</v>
      </c>
      <c r="U30" s="71">
        <f t="shared" si="7"/>
        <v>46053</v>
      </c>
      <c r="V30" s="1">
        <f t="shared" si="8"/>
        <v>2958465</v>
      </c>
      <c r="W30" s="1">
        <f t="shared" si="9"/>
        <v>2</v>
      </c>
      <c r="X30" s="1">
        <f t="shared" si="10"/>
        <v>1513</v>
      </c>
      <c r="Y30" s="1">
        <f t="shared" si="11"/>
        <v>97200</v>
      </c>
      <c r="Z30" s="1">
        <f t="shared" si="12"/>
        <v>1</v>
      </c>
    </row>
    <row r="31" spans="1:26" ht="18" customHeight="1" x14ac:dyDescent="0.3">
      <c r="A31" s="2"/>
      <c r="B31" s="65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61" t="s">
        <v>615</v>
      </c>
      <c r="D31" s="66">
        <v>46023</v>
      </c>
      <c r="E31" s="66"/>
      <c r="F31" s="60" t="s">
        <v>695</v>
      </c>
      <c r="G31" s="67">
        <v>4000</v>
      </c>
      <c r="H31" s="60" t="s">
        <v>567</v>
      </c>
      <c r="I31" s="68">
        <f t="shared" ca="1" si="0"/>
        <v>28000</v>
      </c>
      <c r="J31" s="68">
        <f t="shared" ca="1" si="1"/>
        <v>28000</v>
      </c>
      <c r="K31" s="68">
        <f t="shared" ca="1" si="2"/>
        <v>28000</v>
      </c>
      <c r="L31" s="68">
        <f t="shared" ca="1" si="3"/>
        <v>24000</v>
      </c>
      <c r="M31" s="69">
        <f t="shared" ca="1" si="4"/>
        <v>7</v>
      </c>
      <c r="N31" s="65" t="str">
        <f t="shared" si="5"/>
        <v>UYGUN</v>
      </c>
      <c r="O31" s="70">
        <f>IF(OR($C31="",$D31="",$F31=""),"",IF($F31="Aylık",EOMONTH($D31,0),($D31+MOD(SISTEM!$F$8-WEEKDAY($D31,2),7))))</f>
        <v>46053</v>
      </c>
      <c r="P31" s="61"/>
      <c r="Q31" s="2"/>
      <c r="R31" s="2"/>
      <c r="S31" s="1" t="str">
        <f>IF($B31="","",$B31&amp;"|"&amp;COUNTIFS($B$7:$B31,$B31))</f>
        <v>M036|1</v>
      </c>
      <c r="T31" s="1" t="str">
        <f t="shared" si="6"/>
        <v>ISMAILAKPINAR</v>
      </c>
      <c r="U31" s="71">
        <f t="shared" si="7"/>
        <v>46053</v>
      </c>
      <c r="V31" s="1">
        <f t="shared" si="8"/>
        <v>2958465</v>
      </c>
      <c r="W31" s="1">
        <f t="shared" si="9"/>
        <v>2</v>
      </c>
      <c r="X31" s="1">
        <f t="shared" si="10"/>
        <v>1513</v>
      </c>
      <c r="Y31" s="1">
        <f t="shared" si="11"/>
        <v>97200</v>
      </c>
      <c r="Z31" s="1">
        <f t="shared" si="12"/>
        <v>1</v>
      </c>
    </row>
    <row r="32" spans="1:26" ht="18" customHeight="1" x14ac:dyDescent="0.3">
      <c r="A32" s="2"/>
      <c r="B32" s="65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61" t="s">
        <v>617</v>
      </c>
      <c r="D32" s="66">
        <v>46023</v>
      </c>
      <c r="E32" s="66"/>
      <c r="F32" s="60" t="s">
        <v>696</v>
      </c>
      <c r="G32" s="67">
        <v>2500</v>
      </c>
      <c r="H32" s="60" t="s">
        <v>567</v>
      </c>
      <c r="I32" s="68">
        <f t="shared" ca="1" si="0"/>
        <v>85000</v>
      </c>
      <c r="J32" s="68">
        <f t="shared" ca="1" si="1"/>
        <v>82500</v>
      </c>
      <c r="K32" s="68">
        <f t="shared" ca="1" si="2"/>
        <v>80000</v>
      </c>
      <c r="L32" s="68">
        <f t="shared" ca="1" si="3"/>
        <v>75000</v>
      </c>
      <c r="M32" s="69">
        <f t="shared" ca="1" si="4"/>
        <v>34</v>
      </c>
      <c r="N32" s="65" t="str">
        <f t="shared" si="5"/>
        <v>UYGUN</v>
      </c>
      <c r="O32" s="70">
        <f>IF(OR($C32="",$D32="",$F32=""),"",IF($F32="Aylık",EOMONTH($D32,0),($D32+MOD(SISTEM!$F$8-WEEKDAY($D32,2),7))))</f>
        <v>46025</v>
      </c>
      <c r="P32" s="61"/>
      <c r="Q32" s="2"/>
      <c r="R32" s="2"/>
      <c r="S32" s="1" t="str">
        <f>IF($B32="","",$B32&amp;"|"&amp;COUNTIFS($B$7:$B32,$B32))</f>
        <v>M008|1</v>
      </c>
      <c r="T32" s="1" t="str">
        <f t="shared" si="6"/>
        <v>KOSKYUKSELENLTDSTI</v>
      </c>
      <c r="U32" s="71">
        <f t="shared" si="7"/>
        <v>46025</v>
      </c>
      <c r="V32" s="1">
        <f t="shared" si="8"/>
        <v>2958465</v>
      </c>
      <c r="W32" s="1">
        <f t="shared" si="9"/>
        <v>1</v>
      </c>
      <c r="X32" s="1">
        <f t="shared" si="10"/>
        <v>1513</v>
      </c>
      <c r="Y32" s="1">
        <f t="shared" si="11"/>
        <v>97200</v>
      </c>
      <c r="Z32" s="1">
        <f t="shared" si="12"/>
        <v>1</v>
      </c>
    </row>
    <row r="33" spans="1:26" ht="18" customHeight="1" x14ac:dyDescent="0.3">
      <c r="A33" s="2"/>
      <c r="B33" s="65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61" t="s">
        <v>619</v>
      </c>
      <c r="D33" s="66">
        <v>46023</v>
      </c>
      <c r="E33" s="66"/>
      <c r="F33" s="60" t="s">
        <v>696</v>
      </c>
      <c r="G33" s="67">
        <v>3000</v>
      </c>
      <c r="H33" s="60" t="s">
        <v>567</v>
      </c>
      <c r="I33" s="68">
        <f t="shared" ca="1" si="0"/>
        <v>102000</v>
      </c>
      <c r="J33" s="68">
        <f t="shared" ca="1" si="1"/>
        <v>99000</v>
      </c>
      <c r="K33" s="68">
        <f t="shared" ca="1" si="2"/>
        <v>96000</v>
      </c>
      <c r="L33" s="68">
        <f t="shared" ca="1" si="3"/>
        <v>90000</v>
      </c>
      <c r="M33" s="69">
        <f t="shared" ca="1" si="4"/>
        <v>34</v>
      </c>
      <c r="N33" s="65" t="str">
        <f t="shared" si="5"/>
        <v>UYGUN</v>
      </c>
      <c r="O33" s="70">
        <f>IF(OR($C33="",$D33="",$F33=""),"",IF($F33="Aylık",EOMONTH($D33,0),($D33+MOD(SISTEM!$F$8-WEEKDAY($D33,2),7))))</f>
        <v>46025</v>
      </c>
      <c r="P33" s="61"/>
      <c r="Q33" s="2"/>
      <c r="R33" s="2"/>
      <c r="S33" s="1" t="str">
        <f>IF($B33="","",$B33&amp;"|"&amp;COUNTIFS($B$7:$B33,$B33))</f>
        <v>M020|1</v>
      </c>
      <c r="T33" s="1" t="str">
        <f t="shared" si="6"/>
        <v>KRISTALLTDSTI</v>
      </c>
      <c r="U33" s="71">
        <f t="shared" si="7"/>
        <v>46025</v>
      </c>
      <c r="V33" s="1">
        <f t="shared" si="8"/>
        <v>2958465</v>
      </c>
      <c r="W33" s="1">
        <f t="shared" si="9"/>
        <v>1</v>
      </c>
      <c r="X33" s="1">
        <f t="shared" si="10"/>
        <v>1513</v>
      </c>
      <c r="Y33" s="1">
        <f t="shared" si="11"/>
        <v>97200</v>
      </c>
      <c r="Z33" s="1">
        <f t="shared" si="12"/>
        <v>1</v>
      </c>
    </row>
    <row r="34" spans="1:26" ht="18" customHeight="1" x14ac:dyDescent="0.3">
      <c r="A34" s="2"/>
      <c r="B34" s="65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61" t="s">
        <v>621</v>
      </c>
      <c r="D34" s="66">
        <v>46023</v>
      </c>
      <c r="E34" s="66"/>
      <c r="F34" s="60" t="s">
        <v>695</v>
      </c>
      <c r="G34" s="67">
        <v>2000</v>
      </c>
      <c r="H34" s="60" t="s">
        <v>567</v>
      </c>
      <c r="I34" s="68">
        <f t="shared" ca="1" si="0"/>
        <v>14000</v>
      </c>
      <c r="J34" s="68">
        <f t="shared" ca="1" si="1"/>
        <v>14000</v>
      </c>
      <c r="K34" s="68">
        <f t="shared" ca="1" si="2"/>
        <v>14000</v>
      </c>
      <c r="L34" s="68">
        <f t="shared" ca="1" si="3"/>
        <v>12000</v>
      </c>
      <c r="M34" s="69">
        <f t="shared" ca="1" si="4"/>
        <v>7</v>
      </c>
      <c r="N34" s="65" t="str">
        <f t="shared" si="5"/>
        <v>UYGUN</v>
      </c>
      <c r="O34" s="70">
        <f>IF(OR($C34="",$D34="",$F34=""),"",IF($F34="Aylık",EOMONTH($D34,0),($D34+MOD(SISTEM!$F$8-WEEKDAY($D34,2),7))))</f>
        <v>46053</v>
      </c>
      <c r="P34" s="61"/>
      <c r="Q34" s="2"/>
      <c r="R34" s="2"/>
      <c r="S34" s="1" t="str">
        <f>IF($B34="","",$B34&amp;"|"&amp;COUNTIFS($B$7:$B34,$B34))</f>
        <v>M037|1</v>
      </c>
      <c r="T34" s="1" t="str">
        <f t="shared" si="6"/>
        <v>MEHMETEVRENKILINC</v>
      </c>
      <c r="U34" s="71">
        <f t="shared" si="7"/>
        <v>46053</v>
      </c>
      <c r="V34" s="1">
        <f t="shared" si="8"/>
        <v>2958465</v>
      </c>
      <c r="W34" s="1">
        <f t="shared" si="9"/>
        <v>2</v>
      </c>
      <c r="X34" s="1">
        <f t="shared" si="10"/>
        <v>1513</v>
      </c>
      <c r="Y34" s="1">
        <f t="shared" si="11"/>
        <v>97200</v>
      </c>
      <c r="Z34" s="1">
        <f t="shared" si="12"/>
        <v>1</v>
      </c>
    </row>
    <row r="35" spans="1:26" ht="18" customHeight="1" x14ac:dyDescent="0.3">
      <c r="A35" s="2"/>
      <c r="B35" s="65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61" t="s">
        <v>623</v>
      </c>
      <c r="D35" s="66">
        <v>46023</v>
      </c>
      <c r="E35" s="66"/>
      <c r="F35" s="60" t="s">
        <v>695</v>
      </c>
      <c r="G35" s="67">
        <v>3000</v>
      </c>
      <c r="H35" s="60" t="s">
        <v>567</v>
      </c>
      <c r="I35" s="68">
        <f t="shared" ca="1" si="0"/>
        <v>21000</v>
      </c>
      <c r="J35" s="68">
        <f t="shared" ca="1" si="1"/>
        <v>21000</v>
      </c>
      <c r="K35" s="68">
        <f t="shared" ca="1" si="2"/>
        <v>21000</v>
      </c>
      <c r="L35" s="68">
        <f t="shared" ca="1" si="3"/>
        <v>18000</v>
      </c>
      <c r="M35" s="69">
        <f t="shared" ca="1" si="4"/>
        <v>7</v>
      </c>
      <c r="N35" s="65" t="str">
        <f t="shared" si="5"/>
        <v>UYGUN</v>
      </c>
      <c r="O35" s="70">
        <f>IF(OR($C35="",$D35="",$F35=""),"",IF($F35="Aylık",EOMONTH($D35,0),($D35+MOD(SISTEM!$F$8-WEEKDAY($D35,2),7))))</f>
        <v>46053</v>
      </c>
      <c r="P35" s="61"/>
      <c r="Q35" s="2"/>
      <c r="R35" s="2"/>
      <c r="S35" s="1" t="str">
        <f>IF($B35="","",$B35&amp;"|"&amp;COUNTIFS($B$7:$B35,$B35))</f>
        <v>M038|1</v>
      </c>
      <c r="T35" s="1" t="str">
        <f t="shared" si="6"/>
        <v>MELEKGULER</v>
      </c>
      <c r="U35" s="71">
        <f t="shared" si="7"/>
        <v>46053</v>
      </c>
      <c r="V35" s="1">
        <f t="shared" si="8"/>
        <v>2958465</v>
      </c>
      <c r="W35" s="1">
        <f t="shared" si="9"/>
        <v>2</v>
      </c>
      <c r="X35" s="1">
        <f t="shared" si="10"/>
        <v>1513</v>
      </c>
      <c r="Y35" s="1">
        <f t="shared" si="11"/>
        <v>97200</v>
      </c>
      <c r="Z35" s="1">
        <f t="shared" si="12"/>
        <v>1</v>
      </c>
    </row>
    <row r="36" spans="1:26" ht="18" customHeight="1" x14ac:dyDescent="0.3">
      <c r="A36" s="2"/>
      <c r="B36" s="65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61" t="s">
        <v>625</v>
      </c>
      <c r="D36" s="66">
        <v>46023</v>
      </c>
      <c r="E36" s="66"/>
      <c r="F36" s="60" t="s">
        <v>695</v>
      </c>
      <c r="G36" s="67">
        <v>3000</v>
      </c>
      <c r="H36" s="60" t="s">
        <v>567</v>
      </c>
      <c r="I36" s="68">
        <f t="shared" ca="1" si="0"/>
        <v>21000</v>
      </c>
      <c r="J36" s="68">
        <f t="shared" ca="1" si="1"/>
        <v>21000</v>
      </c>
      <c r="K36" s="68">
        <f t="shared" ca="1" si="2"/>
        <v>21000</v>
      </c>
      <c r="L36" s="68">
        <f t="shared" ca="1" si="3"/>
        <v>18000</v>
      </c>
      <c r="M36" s="69">
        <f t="shared" ca="1" si="4"/>
        <v>7</v>
      </c>
      <c r="N36" s="65" t="str">
        <f t="shared" si="5"/>
        <v>UYGUN</v>
      </c>
      <c r="O36" s="70">
        <f>IF(OR($C36="",$D36="",$F36=""),"",IF($F36="Aylık",EOMONTH($D36,0),($D36+MOD(SISTEM!$F$8-WEEKDAY($D36,2),7))))</f>
        <v>46053</v>
      </c>
      <c r="P36" s="61"/>
      <c r="Q36" s="2"/>
      <c r="R36" s="2"/>
      <c r="S36" s="1" t="str">
        <f>IF($B36="","",$B36&amp;"|"&amp;COUNTIFS($B$7:$B36,$B36))</f>
        <v>M039|1</v>
      </c>
      <c r="T36" s="1" t="str">
        <f t="shared" si="6"/>
        <v>MELISABEDIR</v>
      </c>
      <c r="U36" s="71">
        <f t="shared" si="7"/>
        <v>46053</v>
      </c>
      <c r="V36" s="1">
        <f t="shared" si="8"/>
        <v>2958465</v>
      </c>
      <c r="W36" s="1">
        <f t="shared" si="9"/>
        <v>2</v>
      </c>
      <c r="X36" s="1">
        <f t="shared" si="10"/>
        <v>1513</v>
      </c>
      <c r="Y36" s="1">
        <f t="shared" si="11"/>
        <v>97200</v>
      </c>
      <c r="Z36" s="1">
        <f t="shared" si="12"/>
        <v>1</v>
      </c>
    </row>
    <row r="37" spans="1:26" ht="18" customHeight="1" x14ac:dyDescent="0.3">
      <c r="A37" s="2"/>
      <c r="B37" s="65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61" t="s">
        <v>627</v>
      </c>
      <c r="D37" s="66">
        <v>46023</v>
      </c>
      <c r="E37" s="66"/>
      <c r="F37" s="60" t="s">
        <v>695</v>
      </c>
      <c r="G37" s="67">
        <v>1500</v>
      </c>
      <c r="H37" s="60" t="s">
        <v>567</v>
      </c>
      <c r="I37" s="68">
        <f t="shared" ca="1" si="0"/>
        <v>10500</v>
      </c>
      <c r="J37" s="68">
        <f t="shared" ca="1" si="1"/>
        <v>10500</v>
      </c>
      <c r="K37" s="68">
        <f t="shared" ca="1" si="2"/>
        <v>10500</v>
      </c>
      <c r="L37" s="68">
        <f t="shared" ca="1" si="3"/>
        <v>9000</v>
      </c>
      <c r="M37" s="69">
        <f t="shared" ca="1" si="4"/>
        <v>7</v>
      </c>
      <c r="N37" s="65" t="str">
        <f t="shared" si="5"/>
        <v>UYGUN</v>
      </c>
      <c r="O37" s="70">
        <f>IF(OR($C37="",$D37="",$F37=""),"",IF($F37="Aylık",EOMONTH($D37,0),($D37+MOD(SISTEM!$F$8-WEEKDAY($D37,2),7))))</f>
        <v>46053</v>
      </c>
      <c r="P37" s="61"/>
      <c r="Q37" s="2"/>
      <c r="R37" s="2"/>
      <c r="S37" s="1" t="str">
        <f>IF($B37="","",$B37&amp;"|"&amp;COUNTIFS($B$7:$B37,$B37))</f>
        <v>M040|1</v>
      </c>
      <c r="T37" s="1" t="str">
        <f t="shared" si="6"/>
        <v>MENEKSEAKAN</v>
      </c>
      <c r="U37" s="71">
        <f t="shared" si="7"/>
        <v>46053</v>
      </c>
      <c r="V37" s="1">
        <f t="shared" si="8"/>
        <v>2958465</v>
      </c>
      <c r="W37" s="1">
        <f t="shared" si="9"/>
        <v>2</v>
      </c>
      <c r="X37" s="1">
        <f t="shared" si="10"/>
        <v>1513</v>
      </c>
      <c r="Y37" s="1">
        <f t="shared" si="11"/>
        <v>97200</v>
      </c>
      <c r="Z37" s="1">
        <f t="shared" si="12"/>
        <v>1</v>
      </c>
    </row>
    <row r="38" spans="1:26" ht="18" customHeight="1" x14ac:dyDescent="0.3">
      <c r="A38" s="2"/>
      <c r="B38" s="65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61" t="s">
        <v>629</v>
      </c>
      <c r="D38" s="66">
        <v>46023</v>
      </c>
      <c r="E38" s="66"/>
      <c r="F38" s="60" t="s">
        <v>695</v>
      </c>
      <c r="G38" s="67">
        <v>5000</v>
      </c>
      <c r="H38" s="60" t="s">
        <v>567</v>
      </c>
      <c r="I38" s="68">
        <f t="shared" ca="1" si="0"/>
        <v>35000</v>
      </c>
      <c r="J38" s="68">
        <f t="shared" ca="1" si="1"/>
        <v>35000</v>
      </c>
      <c r="K38" s="68">
        <f t="shared" ca="1" si="2"/>
        <v>35000</v>
      </c>
      <c r="L38" s="68">
        <f t="shared" ca="1" si="3"/>
        <v>30000</v>
      </c>
      <c r="M38" s="69">
        <f t="shared" ca="1" si="4"/>
        <v>7</v>
      </c>
      <c r="N38" s="65" t="str">
        <f t="shared" si="5"/>
        <v>UYGUN</v>
      </c>
      <c r="O38" s="70">
        <f>IF(OR($C38="",$D38="",$F38=""),"",IF($F38="Aylık",EOMONTH($D38,0),($D38+MOD(SISTEM!$F$8-WEEKDAY($D38,2),7))))</f>
        <v>46053</v>
      </c>
      <c r="P38" s="61"/>
      <c r="Q38" s="2"/>
      <c r="R38" s="2"/>
      <c r="S38" s="1" t="str">
        <f>IF($B38="","",$B38&amp;"|"&amp;COUNTIFS($B$7:$B38,$B38))</f>
        <v>M041|1</v>
      </c>
      <c r="T38" s="1" t="str">
        <f t="shared" si="6"/>
        <v>MESUTKOKLU</v>
      </c>
      <c r="U38" s="71">
        <f t="shared" si="7"/>
        <v>46053</v>
      </c>
      <c r="V38" s="1">
        <f t="shared" si="8"/>
        <v>2958465</v>
      </c>
      <c r="W38" s="1">
        <f t="shared" si="9"/>
        <v>2</v>
      </c>
      <c r="X38" s="1">
        <f t="shared" si="10"/>
        <v>1513</v>
      </c>
      <c r="Y38" s="1">
        <f t="shared" si="11"/>
        <v>97200</v>
      </c>
      <c r="Z38" s="1">
        <f t="shared" si="12"/>
        <v>1</v>
      </c>
    </row>
    <row r="39" spans="1:26" ht="18" customHeight="1" x14ac:dyDescent="0.3">
      <c r="A39" s="2"/>
      <c r="B39" s="65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61" t="s">
        <v>631</v>
      </c>
      <c r="D39" s="66">
        <v>46023</v>
      </c>
      <c r="E39" s="66"/>
      <c r="F39" s="60" t="s">
        <v>696</v>
      </c>
      <c r="G39" s="67">
        <v>3500</v>
      </c>
      <c r="H39" s="60" t="s">
        <v>567</v>
      </c>
      <c r="I39" s="68">
        <f t="shared" ca="1" si="0"/>
        <v>119000</v>
      </c>
      <c r="J39" s="68">
        <f t="shared" ca="1" si="1"/>
        <v>115500</v>
      </c>
      <c r="K39" s="68">
        <f t="shared" ca="1" si="2"/>
        <v>112000</v>
      </c>
      <c r="L39" s="68">
        <f t="shared" ca="1" si="3"/>
        <v>105000</v>
      </c>
      <c r="M39" s="69">
        <f t="shared" ca="1" si="4"/>
        <v>34</v>
      </c>
      <c r="N39" s="65" t="str">
        <f t="shared" si="5"/>
        <v>UYGUN</v>
      </c>
      <c r="O39" s="70">
        <f>IF(OR($C39="",$D39="",$F39=""),"",IF($F39="Aylık",EOMONTH($D39,0),($D39+MOD(SISTEM!$F$8-WEEKDAY($D39,2),7))))</f>
        <v>46025</v>
      </c>
      <c r="P39" s="61"/>
      <c r="Q39" s="2"/>
      <c r="R39" s="2"/>
      <c r="S39" s="1" t="str">
        <f>IF($B39="","",$B39&amp;"|"&amp;COUNTIFS($B$7:$B39,$B39))</f>
        <v>M007|1</v>
      </c>
      <c r="T39" s="1" t="str">
        <f t="shared" si="6"/>
        <v>MONAMOURLTDSTI</v>
      </c>
      <c r="U39" s="71">
        <f t="shared" si="7"/>
        <v>46025</v>
      </c>
      <c r="V39" s="1">
        <f t="shared" si="8"/>
        <v>2958465</v>
      </c>
      <c r="W39" s="1">
        <f t="shared" si="9"/>
        <v>1</v>
      </c>
      <c r="X39" s="1">
        <f t="shared" si="10"/>
        <v>1513</v>
      </c>
      <c r="Y39" s="1">
        <f t="shared" si="11"/>
        <v>97200</v>
      </c>
      <c r="Z39" s="1">
        <f t="shared" si="12"/>
        <v>1</v>
      </c>
    </row>
    <row r="40" spans="1:26" ht="18" customHeight="1" x14ac:dyDescent="0.3">
      <c r="A40" s="2"/>
      <c r="B40" s="65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61" t="s">
        <v>633</v>
      </c>
      <c r="D40" s="66">
        <v>46023</v>
      </c>
      <c r="E40" s="66"/>
      <c r="F40" s="60" t="s">
        <v>695</v>
      </c>
      <c r="G40" s="67">
        <v>0</v>
      </c>
      <c r="H40" s="60" t="s">
        <v>567</v>
      </c>
      <c r="I40" s="68">
        <f t="shared" ca="1" si="0"/>
        <v>0</v>
      </c>
      <c r="J40" s="68">
        <f t="shared" ca="1" si="1"/>
        <v>0</v>
      </c>
      <c r="K40" s="68">
        <f t="shared" ca="1" si="2"/>
        <v>0</v>
      </c>
      <c r="L40" s="68">
        <f t="shared" ca="1" si="3"/>
        <v>0</v>
      </c>
      <c r="M40" s="69">
        <f t="shared" si="4"/>
        <v>0</v>
      </c>
      <c r="N40" s="65" t="str">
        <f t="shared" si="5"/>
        <v>EKSİK</v>
      </c>
      <c r="O40" s="70">
        <f>IF(OR($C40="",$D40="",$F40=""),"",IF($F40="Aylık",EOMONTH($D40,0),($D40+MOD(SISTEM!$F$8-WEEKDAY($D40,2),7))))</f>
        <v>46053</v>
      </c>
      <c r="P40" s="61"/>
      <c r="Q40" s="2"/>
      <c r="R40" s="2"/>
      <c r="S40" s="1" t="str">
        <f>IF($B40="","",$B40&amp;"|"&amp;COUNTIFS($B$7:$B40,$B40))</f>
        <v>M042|1</v>
      </c>
      <c r="T40" s="1" t="str">
        <f t="shared" si="6"/>
        <v>MSTOPTANLTDSTI</v>
      </c>
      <c r="U40" s="71">
        <f t="shared" si="7"/>
        <v>46053</v>
      </c>
      <c r="V40" s="1">
        <f t="shared" si="8"/>
        <v>2958465</v>
      </c>
      <c r="W40" s="1">
        <f t="shared" si="9"/>
        <v>2</v>
      </c>
      <c r="X40" s="1">
        <f t="shared" si="10"/>
        <v>1513</v>
      </c>
      <c r="Y40" s="1">
        <f t="shared" si="11"/>
        <v>97200</v>
      </c>
      <c r="Z40" s="1">
        <f t="shared" si="12"/>
        <v>1</v>
      </c>
    </row>
    <row r="41" spans="1:26" ht="18" customHeight="1" x14ac:dyDescent="0.3">
      <c r="A41" s="2"/>
      <c r="B41" s="65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61" t="s">
        <v>635</v>
      </c>
      <c r="D41" s="66">
        <v>46023</v>
      </c>
      <c r="E41" s="66"/>
      <c r="F41" s="60" t="s">
        <v>695</v>
      </c>
      <c r="G41" s="67">
        <v>3000</v>
      </c>
      <c r="H41" s="60" t="s">
        <v>567</v>
      </c>
      <c r="I41" s="68">
        <f t="shared" ca="1" si="0"/>
        <v>21000</v>
      </c>
      <c r="J41" s="68">
        <f t="shared" ca="1" si="1"/>
        <v>21000</v>
      </c>
      <c r="K41" s="68">
        <f t="shared" ca="1" si="2"/>
        <v>21000</v>
      </c>
      <c r="L41" s="68">
        <f t="shared" ca="1" si="3"/>
        <v>18000</v>
      </c>
      <c r="M41" s="69">
        <f t="shared" ca="1" si="4"/>
        <v>7</v>
      </c>
      <c r="N41" s="65" t="str">
        <f t="shared" si="5"/>
        <v>UYGUN</v>
      </c>
      <c r="O41" s="70">
        <f>IF(OR($C41="",$D41="",$F41=""),"",IF($F41="Aylık",EOMONTH($D41,0),($D41+MOD(SISTEM!$F$8-WEEKDAY($D41,2),7))))</f>
        <v>46053</v>
      </c>
      <c r="P41" s="61"/>
      <c r="Q41" s="2"/>
      <c r="R41" s="2"/>
      <c r="S41" s="1" t="str">
        <f>IF($B41="","",$B41&amp;"|"&amp;COUNTIFS($B$7:$B41,$B41))</f>
        <v>M044|1</v>
      </c>
      <c r="T41" s="1" t="str">
        <f t="shared" si="6"/>
        <v>MUSTAFAKOLBASI</v>
      </c>
      <c r="U41" s="71">
        <f t="shared" si="7"/>
        <v>46053</v>
      </c>
      <c r="V41" s="1">
        <f t="shared" si="8"/>
        <v>2958465</v>
      </c>
      <c r="W41" s="1">
        <f t="shared" si="9"/>
        <v>2</v>
      </c>
      <c r="X41" s="1">
        <f t="shared" si="10"/>
        <v>1513</v>
      </c>
      <c r="Y41" s="1">
        <f t="shared" si="11"/>
        <v>97200</v>
      </c>
      <c r="Z41" s="1">
        <f t="shared" si="12"/>
        <v>1</v>
      </c>
    </row>
    <row r="42" spans="1:26" ht="18" customHeight="1" x14ac:dyDescent="0.3">
      <c r="A42" s="2"/>
      <c r="B42" s="65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61" t="s">
        <v>637</v>
      </c>
      <c r="D42" s="66">
        <v>46023</v>
      </c>
      <c r="E42" s="66"/>
      <c r="F42" s="60" t="s">
        <v>695</v>
      </c>
      <c r="G42" s="67">
        <v>2000</v>
      </c>
      <c r="H42" s="60" t="s">
        <v>567</v>
      </c>
      <c r="I42" s="68">
        <f t="shared" ca="1" si="0"/>
        <v>14000</v>
      </c>
      <c r="J42" s="68">
        <f t="shared" ca="1" si="1"/>
        <v>14000</v>
      </c>
      <c r="K42" s="68">
        <f t="shared" ca="1" si="2"/>
        <v>14000</v>
      </c>
      <c r="L42" s="68">
        <f t="shared" ca="1" si="3"/>
        <v>12000</v>
      </c>
      <c r="M42" s="69">
        <f t="shared" ca="1" si="4"/>
        <v>7</v>
      </c>
      <c r="N42" s="65" t="str">
        <f t="shared" si="5"/>
        <v>UYGUN</v>
      </c>
      <c r="O42" s="70">
        <f>IF(OR($C42="",$D42="",$F42=""),"",IF($F42="Aylık",EOMONTH($D42,0),($D42+MOD(SISTEM!$F$8-WEEKDAY($D42,2),7))))</f>
        <v>46053</v>
      </c>
      <c r="P42" s="61"/>
      <c r="Q42" s="2"/>
      <c r="R42" s="2"/>
      <c r="S42" s="1" t="str">
        <f>IF($B42="","",$B42&amp;"|"&amp;COUNTIFS($B$7:$B42,$B42))</f>
        <v>M043|1</v>
      </c>
      <c r="T42" s="1" t="str">
        <f t="shared" si="6"/>
        <v>MUSTAFAUMUTKOYUN</v>
      </c>
      <c r="U42" s="71">
        <f t="shared" si="7"/>
        <v>46053</v>
      </c>
      <c r="V42" s="1">
        <f t="shared" si="8"/>
        <v>2958465</v>
      </c>
      <c r="W42" s="1">
        <f t="shared" si="9"/>
        <v>2</v>
      </c>
      <c r="X42" s="1">
        <f t="shared" si="10"/>
        <v>1513</v>
      </c>
      <c r="Y42" s="1">
        <f t="shared" si="11"/>
        <v>97200</v>
      </c>
      <c r="Z42" s="1">
        <f t="shared" si="12"/>
        <v>1</v>
      </c>
    </row>
    <row r="43" spans="1:26" ht="18" customHeight="1" x14ac:dyDescent="0.3">
      <c r="A43" s="2"/>
      <c r="B43" s="65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61" t="s">
        <v>639</v>
      </c>
      <c r="D43" s="66">
        <v>46023</v>
      </c>
      <c r="E43" s="66"/>
      <c r="F43" s="60" t="s">
        <v>696</v>
      </c>
      <c r="G43" s="67">
        <v>2000</v>
      </c>
      <c r="H43" s="60" t="s">
        <v>567</v>
      </c>
      <c r="I43" s="68">
        <f t="shared" ca="1" si="0"/>
        <v>68000</v>
      </c>
      <c r="J43" s="68">
        <f t="shared" ca="1" si="1"/>
        <v>66000</v>
      </c>
      <c r="K43" s="68">
        <f t="shared" ca="1" si="2"/>
        <v>64000</v>
      </c>
      <c r="L43" s="68">
        <f t="shared" ca="1" si="3"/>
        <v>60000</v>
      </c>
      <c r="M43" s="69">
        <f t="shared" ca="1" si="4"/>
        <v>34</v>
      </c>
      <c r="N43" s="65" t="str">
        <f t="shared" si="5"/>
        <v>UYGUN</v>
      </c>
      <c r="O43" s="70">
        <f>IF(OR($C43="",$D43="",$F43=""),"",IF($F43="Aylık",EOMONTH($D43,0),($D43+MOD(SISTEM!$F$8-WEEKDAY($D43,2),7))))</f>
        <v>46025</v>
      </c>
      <c r="P43" s="61"/>
      <c r="Q43" s="2"/>
      <c r="R43" s="2"/>
      <c r="S43" s="1" t="str">
        <f>IF($B43="","",$B43&amp;"|"&amp;COUNTIFS($B$7:$B43,$B43))</f>
        <v>M013|1</v>
      </c>
      <c r="T43" s="1" t="str">
        <f t="shared" si="6"/>
        <v>NAZ1GIDALTDSTI</v>
      </c>
      <c r="U43" s="71">
        <f t="shared" si="7"/>
        <v>46025</v>
      </c>
      <c r="V43" s="1">
        <f t="shared" si="8"/>
        <v>2958465</v>
      </c>
      <c r="W43" s="1">
        <f t="shared" si="9"/>
        <v>1</v>
      </c>
      <c r="X43" s="1">
        <f t="shared" si="10"/>
        <v>1513</v>
      </c>
      <c r="Y43" s="1">
        <f t="shared" si="11"/>
        <v>97200</v>
      </c>
      <c r="Z43" s="1">
        <f t="shared" si="12"/>
        <v>1</v>
      </c>
    </row>
    <row r="44" spans="1:26" ht="18" customHeight="1" x14ac:dyDescent="0.3">
      <c r="A44" s="2"/>
      <c r="B44" s="65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61" t="s">
        <v>641</v>
      </c>
      <c r="D44" s="66">
        <v>46023</v>
      </c>
      <c r="E44" s="66"/>
      <c r="F44" s="60" t="s">
        <v>695</v>
      </c>
      <c r="G44" s="67">
        <v>7500</v>
      </c>
      <c r="H44" s="60" t="s">
        <v>567</v>
      </c>
      <c r="I44" s="68">
        <f t="shared" ca="1" si="0"/>
        <v>52500</v>
      </c>
      <c r="J44" s="68">
        <f t="shared" ca="1" si="1"/>
        <v>52500</v>
      </c>
      <c r="K44" s="68">
        <f t="shared" ca="1" si="2"/>
        <v>52500</v>
      </c>
      <c r="L44" s="68">
        <f t="shared" ca="1" si="3"/>
        <v>45000</v>
      </c>
      <c r="M44" s="69">
        <f t="shared" ca="1" si="4"/>
        <v>7</v>
      </c>
      <c r="N44" s="65" t="str">
        <f t="shared" si="5"/>
        <v>UYGUN</v>
      </c>
      <c r="O44" s="70">
        <f>IF(OR($C44="",$D44="",$F44=""),"",IF($F44="Aylık",EOMONTH($D44,0),($D44+MOD(SISTEM!$F$8-WEEKDAY($D44,2),7))))</f>
        <v>46053</v>
      </c>
      <c r="P44" s="61"/>
      <c r="Q44" s="2"/>
      <c r="R44" s="2"/>
      <c r="S44" s="1" t="str">
        <f>IF($B44="","",$B44&amp;"|"&amp;COUNTIFS($B$7:$B44,$B44))</f>
        <v>M045|1</v>
      </c>
      <c r="T44" s="1" t="str">
        <f t="shared" si="6"/>
        <v>NEROETICARETLTDSTI</v>
      </c>
      <c r="U44" s="71">
        <f t="shared" si="7"/>
        <v>46053</v>
      </c>
      <c r="V44" s="1">
        <f t="shared" si="8"/>
        <v>2958465</v>
      </c>
      <c r="W44" s="1">
        <f t="shared" si="9"/>
        <v>2</v>
      </c>
      <c r="X44" s="1">
        <f t="shared" si="10"/>
        <v>1513</v>
      </c>
      <c r="Y44" s="1">
        <f t="shared" si="11"/>
        <v>97200</v>
      </c>
      <c r="Z44" s="1">
        <f t="shared" si="12"/>
        <v>1</v>
      </c>
    </row>
    <row r="45" spans="1:26" ht="18" customHeight="1" x14ac:dyDescent="0.3">
      <c r="A45" s="2"/>
      <c r="B45" s="65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61" t="s">
        <v>643</v>
      </c>
      <c r="D45" s="66">
        <v>46143</v>
      </c>
      <c r="E45" s="66"/>
      <c r="F45" s="60" t="s">
        <v>695</v>
      </c>
      <c r="G45" s="67">
        <v>3500</v>
      </c>
      <c r="H45" s="60" t="s">
        <v>567</v>
      </c>
      <c r="I45" s="68">
        <f t="shared" ca="1" si="0"/>
        <v>10500</v>
      </c>
      <c r="J45" s="68">
        <f t="shared" ca="1" si="1"/>
        <v>10500</v>
      </c>
      <c r="K45" s="68">
        <f t="shared" ca="1" si="2"/>
        <v>10500</v>
      </c>
      <c r="L45" s="68">
        <f t="shared" ca="1" si="3"/>
        <v>7000</v>
      </c>
      <c r="M45" s="69">
        <f t="shared" ca="1" si="4"/>
        <v>3</v>
      </c>
      <c r="N45" s="65" t="str">
        <f t="shared" si="5"/>
        <v>UYGUN</v>
      </c>
      <c r="O45" s="70">
        <f>IF(OR($C45="",$D45="",$F45=""),"",IF($F45="Aylık",EOMONTH($D45,0),($D45+MOD(SISTEM!$F$8-WEEKDAY($D45,2),7))))</f>
        <v>46173</v>
      </c>
      <c r="P45" s="61"/>
      <c r="Q45" s="2"/>
      <c r="R45" s="2"/>
      <c r="S45" s="1" t="str">
        <f>IF($B45="","",$B45&amp;"|"&amp;COUNTIFS($B$7:$B45,$B45))</f>
        <v>M046|1</v>
      </c>
      <c r="T45" s="1" t="str">
        <f t="shared" si="6"/>
        <v>OMERDEMIRCI</v>
      </c>
      <c r="U45" s="71">
        <f t="shared" si="7"/>
        <v>46173</v>
      </c>
      <c r="V45" s="1">
        <f t="shared" si="8"/>
        <v>2958465</v>
      </c>
      <c r="W45" s="1">
        <f t="shared" si="9"/>
        <v>2</v>
      </c>
      <c r="X45" s="1">
        <f t="shared" si="10"/>
        <v>1517</v>
      </c>
      <c r="Y45" s="1">
        <f t="shared" si="11"/>
        <v>97200</v>
      </c>
      <c r="Z45" s="1">
        <f t="shared" si="12"/>
        <v>1</v>
      </c>
    </row>
    <row r="46" spans="1:26" ht="18" customHeight="1" x14ac:dyDescent="0.3">
      <c r="A46" s="2"/>
      <c r="B46" s="65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61" t="s">
        <v>645</v>
      </c>
      <c r="D46" s="66">
        <v>46023</v>
      </c>
      <c r="E46" s="66"/>
      <c r="F46" s="60" t="s">
        <v>696</v>
      </c>
      <c r="G46" s="67">
        <v>4000</v>
      </c>
      <c r="H46" s="60" t="s">
        <v>567</v>
      </c>
      <c r="I46" s="68">
        <f t="shared" ca="1" si="0"/>
        <v>136000</v>
      </c>
      <c r="J46" s="68">
        <f t="shared" ca="1" si="1"/>
        <v>132000</v>
      </c>
      <c r="K46" s="68">
        <f t="shared" ca="1" si="2"/>
        <v>128000</v>
      </c>
      <c r="L46" s="68">
        <f t="shared" ca="1" si="3"/>
        <v>120000</v>
      </c>
      <c r="M46" s="69">
        <f t="shared" ca="1" si="4"/>
        <v>34</v>
      </c>
      <c r="N46" s="65" t="str">
        <f t="shared" si="5"/>
        <v>UYGUN</v>
      </c>
      <c r="O46" s="70">
        <f>IF(OR($C46="",$D46="",$F46=""),"",IF($F46="Aylık",EOMONTH($D46,0),($D46+MOD(SISTEM!$F$8-WEEKDAY($D46,2),7))))</f>
        <v>46025</v>
      </c>
      <c r="P46" s="61"/>
      <c r="Q46" s="2"/>
      <c r="R46" s="2"/>
      <c r="S46" s="1" t="str">
        <f>IF($B46="","",$B46&amp;"|"&amp;COUNTIFS($B$7:$B46,$B46))</f>
        <v>M010|1</v>
      </c>
      <c r="T46" s="1" t="str">
        <f t="shared" si="6"/>
        <v>OZFIDANLARLTDSTI</v>
      </c>
      <c r="U46" s="71">
        <f t="shared" si="7"/>
        <v>46025</v>
      </c>
      <c r="V46" s="1">
        <f t="shared" si="8"/>
        <v>2958465</v>
      </c>
      <c r="W46" s="1">
        <f t="shared" si="9"/>
        <v>1</v>
      </c>
      <c r="X46" s="1">
        <f t="shared" si="10"/>
        <v>1513</v>
      </c>
      <c r="Y46" s="1">
        <f t="shared" si="11"/>
        <v>97200</v>
      </c>
      <c r="Z46" s="1">
        <f t="shared" si="12"/>
        <v>1</v>
      </c>
    </row>
    <row r="47" spans="1:26" ht="18" customHeight="1" x14ac:dyDescent="0.3">
      <c r="A47" s="2"/>
      <c r="B47" s="65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61" t="s">
        <v>647</v>
      </c>
      <c r="D47" s="66">
        <v>46023</v>
      </c>
      <c r="E47" s="66"/>
      <c r="F47" s="60" t="s">
        <v>696</v>
      </c>
      <c r="G47" s="67">
        <v>4000</v>
      </c>
      <c r="H47" s="60" t="s">
        <v>567</v>
      </c>
      <c r="I47" s="68">
        <f t="shared" ca="1" si="0"/>
        <v>136000</v>
      </c>
      <c r="J47" s="68">
        <f t="shared" ca="1" si="1"/>
        <v>132000</v>
      </c>
      <c r="K47" s="68">
        <f t="shared" ca="1" si="2"/>
        <v>128000</v>
      </c>
      <c r="L47" s="68">
        <f t="shared" ca="1" si="3"/>
        <v>120000</v>
      </c>
      <c r="M47" s="69">
        <f t="shared" ca="1" si="4"/>
        <v>34</v>
      </c>
      <c r="N47" s="65" t="str">
        <f t="shared" si="5"/>
        <v>UYGUN</v>
      </c>
      <c r="O47" s="70">
        <f>IF(OR($C47="",$D47="",$F47=""),"",IF($F47="Aylık",EOMONTH($D47,0),($D47+MOD(SISTEM!$F$8-WEEKDAY($D47,2),7))))</f>
        <v>46025</v>
      </c>
      <c r="P47" s="61"/>
      <c r="Q47" s="2"/>
      <c r="R47" s="2"/>
      <c r="S47" s="1" t="str">
        <f>IF($B47="","",$B47&amp;"|"&amp;COUNTIFS($B$7:$B47,$B47))</f>
        <v>M009|1</v>
      </c>
      <c r="T47" s="1" t="str">
        <f t="shared" si="6"/>
        <v>PAKYILDIZLTDSTI</v>
      </c>
      <c r="U47" s="71">
        <f t="shared" si="7"/>
        <v>46025</v>
      </c>
      <c r="V47" s="1">
        <f t="shared" si="8"/>
        <v>2958465</v>
      </c>
      <c r="W47" s="1">
        <f t="shared" si="9"/>
        <v>1</v>
      </c>
      <c r="X47" s="1">
        <f t="shared" si="10"/>
        <v>1513</v>
      </c>
      <c r="Y47" s="1">
        <f t="shared" si="11"/>
        <v>97200</v>
      </c>
      <c r="Z47" s="1">
        <f t="shared" si="12"/>
        <v>1</v>
      </c>
    </row>
    <row r="48" spans="1:26" ht="18" customHeight="1" x14ac:dyDescent="0.3">
      <c r="A48" s="2"/>
      <c r="B48" s="65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61" t="s">
        <v>649</v>
      </c>
      <c r="D48" s="66">
        <v>46023</v>
      </c>
      <c r="E48" s="66">
        <v>46178</v>
      </c>
      <c r="F48" s="60" t="s">
        <v>696</v>
      </c>
      <c r="G48" s="67">
        <v>4000</v>
      </c>
      <c r="H48" s="60" t="s">
        <v>697</v>
      </c>
      <c r="I48" s="68">
        <f t="shared" ca="1" si="0"/>
        <v>88000</v>
      </c>
      <c r="J48" s="68">
        <f t="shared" ca="1" si="1"/>
        <v>88000</v>
      </c>
      <c r="K48" s="68">
        <f t="shared" ca="1" si="2"/>
        <v>88000</v>
      </c>
      <c r="L48" s="68">
        <f t="shared" ca="1" si="3"/>
        <v>88000</v>
      </c>
      <c r="M48" s="69">
        <f t="shared" ca="1" si="4"/>
        <v>22</v>
      </c>
      <c r="N48" s="65" t="str">
        <f t="shared" si="5"/>
        <v>KAPALI DÖNEM</v>
      </c>
      <c r="O48" s="70">
        <f>IF(OR($C48="",$D48="",$F48=""),"",IF($F48="Aylık",EOMONTH($D48,0),($D48+MOD(SISTEM!$F$8-WEEKDAY($D48,2),7))))</f>
        <v>46025</v>
      </c>
      <c r="P48" s="61"/>
      <c r="Q48" s="2"/>
      <c r="R48" s="2"/>
      <c r="S48" s="1" t="str">
        <f>IF($B48="","",$B48&amp;"|"&amp;COUNTIFS($B$7:$B48,$B48))</f>
        <v>M047|1</v>
      </c>
      <c r="T48" s="1" t="str">
        <f t="shared" si="6"/>
        <v>PALAOGULLARILTDSTI</v>
      </c>
      <c r="U48" s="71">
        <f t="shared" si="7"/>
        <v>46025</v>
      </c>
      <c r="V48" s="71">
        <f t="shared" si="8"/>
        <v>46178</v>
      </c>
      <c r="W48" s="1">
        <f t="shared" si="9"/>
        <v>1</v>
      </c>
      <c r="X48" s="1">
        <f t="shared" si="10"/>
        <v>1513</v>
      </c>
      <c r="Y48" s="1">
        <f t="shared" si="11"/>
        <v>1518</v>
      </c>
      <c r="Z48" s="1">
        <f t="shared" si="12"/>
        <v>0</v>
      </c>
    </row>
    <row r="49" spans="1:26" ht="18" customHeight="1" x14ac:dyDescent="0.3">
      <c r="A49" s="2"/>
      <c r="B49" s="65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61" t="s">
        <v>651</v>
      </c>
      <c r="D49" s="66">
        <v>46023</v>
      </c>
      <c r="E49" s="66"/>
      <c r="F49" s="60" t="s">
        <v>695</v>
      </c>
      <c r="G49" s="67">
        <v>3000</v>
      </c>
      <c r="H49" s="60" t="s">
        <v>567</v>
      </c>
      <c r="I49" s="68">
        <f t="shared" ca="1" si="0"/>
        <v>21000</v>
      </c>
      <c r="J49" s="68">
        <f t="shared" ca="1" si="1"/>
        <v>21000</v>
      </c>
      <c r="K49" s="68">
        <f t="shared" ca="1" si="2"/>
        <v>21000</v>
      </c>
      <c r="L49" s="68">
        <f t="shared" ca="1" si="3"/>
        <v>18000</v>
      </c>
      <c r="M49" s="69">
        <f t="shared" ca="1" si="4"/>
        <v>7</v>
      </c>
      <c r="N49" s="65" t="str">
        <f t="shared" si="5"/>
        <v>UYGUN</v>
      </c>
      <c r="O49" s="70">
        <f>IF(OR($C49="",$D49="",$F49=""),"",IF($F49="Aylık",EOMONTH($D49,0),($D49+MOD(SISTEM!$F$8-WEEKDAY($D49,2),7))))</f>
        <v>46053</v>
      </c>
      <c r="P49" s="61"/>
      <c r="Q49" s="2"/>
      <c r="R49" s="2"/>
      <c r="S49" s="1" t="str">
        <f>IF($B49="","",$B49&amp;"|"&amp;COUNTIFS($B$7:$B49,$B49))</f>
        <v>M048|1</v>
      </c>
      <c r="T49" s="1" t="str">
        <f t="shared" si="6"/>
        <v>RASIMDEMIRCI</v>
      </c>
      <c r="U49" s="71">
        <f t="shared" si="7"/>
        <v>46053</v>
      </c>
      <c r="V49" s="1">
        <f t="shared" si="8"/>
        <v>2958465</v>
      </c>
      <c r="W49" s="1">
        <f t="shared" si="9"/>
        <v>2</v>
      </c>
      <c r="X49" s="1">
        <f t="shared" si="10"/>
        <v>1513</v>
      </c>
      <c r="Y49" s="1">
        <f t="shared" si="11"/>
        <v>97200</v>
      </c>
      <c r="Z49" s="1">
        <f t="shared" si="12"/>
        <v>1</v>
      </c>
    </row>
    <row r="50" spans="1:26" ht="18" customHeight="1" x14ac:dyDescent="0.3">
      <c r="A50" s="2"/>
      <c r="B50" s="65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61" t="s">
        <v>653</v>
      </c>
      <c r="D50" s="66">
        <v>46023</v>
      </c>
      <c r="E50" s="66"/>
      <c r="F50" s="60" t="s">
        <v>696</v>
      </c>
      <c r="G50" s="67">
        <v>3000</v>
      </c>
      <c r="H50" s="60" t="s">
        <v>567</v>
      </c>
      <c r="I50" s="68">
        <f t="shared" ca="1" si="0"/>
        <v>102000</v>
      </c>
      <c r="J50" s="68">
        <f t="shared" ca="1" si="1"/>
        <v>99000</v>
      </c>
      <c r="K50" s="68">
        <f t="shared" ca="1" si="2"/>
        <v>96000</v>
      </c>
      <c r="L50" s="68">
        <f t="shared" ca="1" si="3"/>
        <v>90000</v>
      </c>
      <c r="M50" s="69">
        <f t="shared" ca="1" si="4"/>
        <v>34</v>
      </c>
      <c r="N50" s="65" t="str">
        <f t="shared" si="5"/>
        <v>UYGUN</v>
      </c>
      <c r="O50" s="70">
        <f>IF(OR($C50="",$D50="",$F50=""),"",IF($F50="Aylık",EOMONTH($D50,0),($D50+MOD(SISTEM!$F$8-WEEKDAY($D50,2),7))))</f>
        <v>46025</v>
      </c>
      <c r="P50" s="61"/>
      <c r="Q50" s="2"/>
      <c r="R50" s="2"/>
      <c r="S50" s="1" t="str">
        <f>IF($B50="","",$B50&amp;"|"&amp;COUNTIFS($B$7:$B50,$B50))</f>
        <v>M016|1</v>
      </c>
      <c r="T50" s="1" t="str">
        <f t="shared" si="6"/>
        <v>RIXSOWLTDSTI</v>
      </c>
      <c r="U50" s="71">
        <f t="shared" si="7"/>
        <v>46025</v>
      </c>
      <c r="V50" s="1">
        <f t="shared" si="8"/>
        <v>2958465</v>
      </c>
      <c r="W50" s="1">
        <f t="shared" si="9"/>
        <v>1</v>
      </c>
      <c r="X50" s="1">
        <f t="shared" si="10"/>
        <v>1513</v>
      </c>
      <c r="Y50" s="1">
        <f t="shared" si="11"/>
        <v>97200</v>
      </c>
      <c r="Z50" s="1">
        <f t="shared" si="12"/>
        <v>1</v>
      </c>
    </row>
    <row r="51" spans="1:26" ht="18" customHeight="1" x14ac:dyDescent="0.3">
      <c r="A51" s="2"/>
      <c r="B51" s="65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61" t="s">
        <v>655</v>
      </c>
      <c r="D51" s="66">
        <v>46023</v>
      </c>
      <c r="E51" s="66">
        <v>46173</v>
      </c>
      <c r="F51" s="60" t="s">
        <v>695</v>
      </c>
      <c r="G51" s="67">
        <v>2000</v>
      </c>
      <c r="H51" s="60" t="s">
        <v>697</v>
      </c>
      <c r="I51" s="68">
        <f t="shared" ca="1" si="0"/>
        <v>10000</v>
      </c>
      <c r="J51" s="68">
        <f t="shared" ca="1" si="1"/>
        <v>10000</v>
      </c>
      <c r="K51" s="68">
        <f t="shared" ca="1" si="2"/>
        <v>10000</v>
      </c>
      <c r="L51" s="68">
        <f t="shared" ca="1" si="3"/>
        <v>10000</v>
      </c>
      <c r="M51" s="69">
        <f t="shared" ca="1" si="4"/>
        <v>5</v>
      </c>
      <c r="N51" s="65" t="str">
        <f t="shared" si="5"/>
        <v>KAPALI DÖNEM</v>
      </c>
      <c r="O51" s="70">
        <f>IF(OR($C51="",$D51="",$F51=""),"",IF($F51="Aylık",EOMONTH($D51,0),($D51+MOD(SISTEM!$F$8-WEEKDAY($D51,2),7))))</f>
        <v>46053</v>
      </c>
      <c r="P51" s="61"/>
      <c r="Q51" s="2"/>
      <c r="R51" s="2"/>
      <c r="S51" s="1" t="str">
        <f>IF($B51="","",$B51&amp;"|"&amp;COUNTIFS($B$7:$B51,$B51))</f>
        <v>M055|1</v>
      </c>
      <c r="T51" s="1" t="str">
        <f t="shared" si="6"/>
        <v>SEMRAGUMUS</v>
      </c>
      <c r="U51" s="71">
        <f t="shared" si="7"/>
        <v>46053</v>
      </c>
      <c r="V51" s="71">
        <f t="shared" si="8"/>
        <v>46173</v>
      </c>
      <c r="W51" s="1">
        <f t="shared" si="9"/>
        <v>2</v>
      </c>
      <c r="X51" s="1">
        <f t="shared" si="10"/>
        <v>1513</v>
      </c>
      <c r="Y51" s="1">
        <f t="shared" si="11"/>
        <v>1517</v>
      </c>
      <c r="Z51" s="1">
        <f t="shared" si="12"/>
        <v>1</v>
      </c>
    </row>
    <row r="52" spans="1:26" ht="18" customHeight="1" x14ac:dyDescent="0.3">
      <c r="A52" s="2"/>
      <c r="B52" s="65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61" t="s">
        <v>657</v>
      </c>
      <c r="D52" s="66">
        <v>46235</v>
      </c>
      <c r="E52" s="66"/>
      <c r="F52" s="60" t="s">
        <v>696</v>
      </c>
      <c r="G52" s="67">
        <v>3000</v>
      </c>
      <c r="H52" s="60" t="s">
        <v>567</v>
      </c>
      <c r="I52" s="68">
        <f t="shared" ca="1" si="0"/>
        <v>12000</v>
      </c>
      <c r="J52" s="68">
        <f t="shared" ca="1" si="1"/>
        <v>9000</v>
      </c>
      <c r="K52" s="68">
        <f t="shared" ca="1" si="2"/>
        <v>6000</v>
      </c>
      <c r="L52" s="68">
        <f t="shared" ca="1" si="3"/>
        <v>0</v>
      </c>
      <c r="M52" s="69">
        <f t="shared" ca="1" si="4"/>
        <v>4</v>
      </c>
      <c r="N52" s="65" t="str">
        <f t="shared" si="5"/>
        <v>UYGUN</v>
      </c>
      <c r="O52" s="70">
        <f>IF(OR($C52="",$D52="",$F52=""),"",IF($F52="Aylık",EOMONTH($D52,0),($D52+MOD(SISTEM!$F$8-WEEKDAY($D52,2),7))))</f>
        <v>46235</v>
      </c>
      <c r="P52" s="61"/>
      <c r="Q52" s="2"/>
      <c r="R52" s="2"/>
      <c r="S52" s="1" t="str">
        <f>IF($B52="","",$B52&amp;"|"&amp;COUNTIFS($B$7:$B52,$B52))</f>
        <v>M049|1</v>
      </c>
      <c r="T52" s="1" t="str">
        <f t="shared" si="6"/>
        <v>STARSOWLTDSTI</v>
      </c>
      <c r="U52" s="71">
        <f t="shared" si="7"/>
        <v>46235</v>
      </c>
      <c r="V52" s="1">
        <f t="shared" si="8"/>
        <v>2958465</v>
      </c>
      <c r="W52" s="1">
        <f t="shared" si="9"/>
        <v>1</v>
      </c>
      <c r="X52" s="1">
        <f t="shared" si="10"/>
        <v>1520</v>
      </c>
      <c r="Y52" s="1">
        <f t="shared" si="11"/>
        <v>97200</v>
      </c>
      <c r="Z52" s="1">
        <f t="shared" si="12"/>
        <v>1</v>
      </c>
    </row>
    <row r="53" spans="1:26" ht="18" customHeight="1" x14ac:dyDescent="0.3">
      <c r="A53" s="2"/>
      <c r="B53" s="65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61" t="s">
        <v>659</v>
      </c>
      <c r="D53" s="66">
        <v>46023</v>
      </c>
      <c r="E53" s="66"/>
      <c r="F53" s="60" t="s">
        <v>696</v>
      </c>
      <c r="G53" s="67">
        <v>4000</v>
      </c>
      <c r="H53" s="60" t="s">
        <v>567</v>
      </c>
      <c r="I53" s="68">
        <f t="shared" ca="1" si="0"/>
        <v>136000</v>
      </c>
      <c r="J53" s="68">
        <f t="shared" ca="1" si="1"/>
        <v>132000</v>
      </c>
      <c r="K53" s="68">
        <f t="shared" ca="1" si="2"/>
        <v>128000</v>
      </c>
      <c r="L53" s="68">
        <f t="shared" ca="1" si="3"/>
        <v>120000</v>
      </c>
      <c r="M53" s="69">
        <f t="shared" ca="1" si="4"/>
        <v>34</v>
      </c>
      <c r="N53" s="65" t="str">
        <f t="shared" si="5"/>
        <v>UYGUN</v>
      </c>
      <c r="O53" s="70">
        <f>IF(OR($C53="",$D53="",$F53=""),"",IF($F53="Aylık",EOMONTH($D53,0),($D53+MOD(SISTEM!$F$8-WEEKDAY($D53,2),7))))</f>
        <v>46025</v>
      </c>
      <c r="P53" s="61"/>
      <c r="Q53" s="2"/>
      <c r="R53" s="2"/>
      <c r="S53" s="1" t="str">
        <f>IF($B53="","",$B53&amp;"|"&amp;COUNTIFS($B$7:$B53,$B53))</f>
        <v>M050|1</v>
      </c>
      <c r="T53" s="1" t="str">
        <f t="shared" si="6"/>
        <v>TANAKLTDSTI</v>
      </c>
      <c r="U53" s="71">
        <f t="shared" si="7"/>
        <v>46025</v>
      </c>
      <c r="V53" s="1">
        <f t="shared" si="8"/>
        <v>2958465</v>
      </c>
      <c r="W53" s="1">
        <f t="shared" si="9"/>
        <v>1</v>
      </c>
      <c r="X53" s="1">
        <f t="shared" si="10"/>
        <v>1513</v>
      </c>
      <c r="Y53" s="1">
        <f t="shared" si="11"/>
        <v>97200</v>
      </c>
      <c r="Z53" s="1">
        <f t="shared" si="12"/>
        <v>1</v>
      </c>
    </row>
    <row r="54" spans="1:26" ht="18" customHeight="1" x14ac:dyDescent="0.3">
      <c r="A54" s="2"/>
      <c r="B54" s="65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61" t="s">
        <v>661</v>
      </c>
      <c r="D54" s="66">
        <v>46023</v>
      </c>
      <c r="E54" s="66"/>
      <c r="F54" s="60" t="s">
        <v>696</v>
      </c>
      <c r="G54" s="67">
        <v>4000</v>
      </c>
      <c r="H54" s="60" t="s">
        <v>567</v>
      </c>
      <c r="I54" s="68">
        <f t="shared" ca="1" si="0"/>
        <v>136000</v>
      </c>
      <c r="J54" s="68">
        <f t="shared" ca="1" si="1"/>
        <v>132000</v>
      </c>
      <c r="K54" s="68">
        <f t="shared" ca="1" si="2"/>
        <v>128000</v>
      </c>
      <c r="L54" s="68">
        <f t="shared" ca="1" si="3"/>
        <v>120000</v>
      </c>
      <c r="M54" s="69">
        <f t="shared" ca="1" si="4"/>
        <v>34</v>
      </c>
      <c r="N54" s="65" t="str">
        <f t="shared" si="5"/>
        <v>UYGUN</v>
      </c>
      <c r="O54" s="70">
        <f>IF(OR($C54="",$D54="",$F54=""),"",IF($F54="Aylık",EOMONTH($D54,0),($D54+MOD(SISTEM!$F$8-WEEKDAY($D54,2),7))))</f>
        <v>46025</v>
      </c>
      <c r="P54" s="61"/>
      <c r="Q54" s="2"/>
      <c r="R54" s="2"/>
      <c r="S54" s="1" t="str">
        <f>IF($B54="","",$B54&amp;"|"&amp;COUNTIFS($B$7:$B54,$B54))</f>
        <v>M003|1</v>
      </c>
      <c r="T54" s="1" t="str">
        <f t="shared" si="6"/>
        <v>TYANALTDSTI</v>
      </c>
      <c r="U54" s="71">
        <f t="shared" si="7"/>
        <v>46025</v>
      </c>
      <c r="V54" s="1">
        <f t="shared" si="8"/>
        <v>2958465</v>
      </c>
      <c r="W54" s="1">
        <f t="shared" si="9"/>
        <v>1</v>
      </c>
      <c r="X54" s="1">
        <f t="shared" si="10"/>
        <v>1513</v>
      </c>
      <c r="Y54" s="1">
        <f t="shared" si="11"/>
        <v>97200</v>
      </c>
      <c r="Z54" s="1">
        <f t="shared" si="12"/>
        <v>1</v>
      </c>
    </row>
    <row r="55" spans="1:26" ht="18" customHeight="1" x14ac:dyDescent="0.3">
      <c r="A55" s="2"/>
      <c r="B55" s="65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61" t="s">
        <v>663</v>
      </c>
      <c r="D55" s="66">
        <v>46023</v>
      </c>
      <c r="E55" s="66"/>
      <c r="F55" s="60" t="s">
        <v>695</v>
      </c>
      <c r="G55" s="67">
        <v>3000</v>
      </c>
      <c r="H55" s="60" t="s">
        <v>567</v>
      </c>
      <c r="I55" s="68">
        <f t="shared" ca="1" si="0"/>
        <v>21000</v>
      </c>
      <c r="J55" s="68">
        <f t="shared" ca="1" si="1"/>
        <v>21000</v>
      </c>
      <c r="K55" s="68">
        <f t="shared" ca="1" si="2"/>
        <v>21000</v>
      </c>
      <c r="L55" s="68">
        <f t="shared" ca="1" si="3"/>
        <v>18000</v>
      </c>
      <c r="M55" s="69">
        <f t="shared" ca="1" si="4"/>
        <v>7</v>
      </c>
      <c r="N55" s="65" t="str">
        <f t="shared" si="5"/>
        <v>UYGUN</v>
      </c>
      <c r="O55" s="70">
        <f>IF(OR($C55="",$D55="",$F55=""),"",IF($F55="Aylık",EOMONTH($D55,0),($D55+MOD(SISTEM!$F$8-WEEKDAY($D55,2),7))))</f>
        <v>46053</v>
      </c>
      <c r="P55" s="61"/>
      <c r="Q55" s="2"/>
      <c r="R55" s="2"/>
      <c r="S55" s="1" t="str">
        <f>IF($B55="","",$B55&amp;"|"&amp;COUNTIFS($B$7:$B55,$B55))</f>
        <v>M051|1</v>
      </c>
      <c r="T55" s="1" t="str">
        <f t="shared" si="6"/>
        <v>UFUKYILMAZ</v>
      </c>
      <c r="U55" s="71">
        <f t="shared" si="7"/>
        <v>46053</v>
      </c>
      <c r="V55" s="1">
        <f t="shared" si="8"/>
        <v>2958465</v>
      </c>
      <c r="W55" s="1">
        <f t="shared" si="9"/>
        <v>2</v>
      </c>
      <c r="X55" s="1">
        <f t="shared" si="10"/>
        <v>1513</v>
      </c>
      <c r="Y55" s="1">
        <f t="shared" si="11"/>
        <v>97200</v>
      </c>
      <c r="Z55" s="1">
        <f t="shared" si="12"/>
        <v>1</v>
      </c>
    </row>
    <row r="56" spans="1:26" ht="18" customHeight="1" x14ac:dyDescent="0.3">
      <c r="A56" s="2"/>
      <c r="B56" s="65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61" t="s">
        <v>665</v>
      </c>
      <c r="D56" s="66">
        <v>46204</v>
      </c>
      <c r="E56" s="66"/>
      <c r="F56" s="60" t="s">
        <v>695</v>
      </c>
      <c r="G56" s="67">
        <v>10000</v>
      </c>
      <c r="H56" s="60" t="s">
        <v>567</v>
      </c>
      <c r="I56" s="68">
        <f t="shared" ca="1" si="0"/>
        <v>10000</v>
      </c>
      <c r="J56" s="68">
        <f t="shared" ca="1" si="1"/>
        <v>10000</v>
      </c>
      <c r="K56" s="68">
        <f t="shared" ca="1" si="2"/>
        <v>10000</v>
      </c>
      <c r="L56" s="68">
        <f t="shared" ca="1" si="3"/>
        <v>0</v>
      </c>
      <c r="M56" s="69">
        <f t="shared" ca="1" si="4"/>
        <v>1</v>
      </c>
      <c r="N56" s="65" t="str">
        <f t="shared" si="5"/>
        <v>UYGUN</v>
      </c>
      <c r="O56" s="70">
        <f>IF(OR($C56="",$D56="",$F56=""),"",IF($F56="Aylık",EOMONTH($D56,0),($D56+MOD(SISTEM!$F$8-WEEKDAY($D56,2),7))))</f>
        <v>46234</v>
      </c>
      <c r="P56" s="61"/>
      <c r="Q56" s="2"/>
      <c r="R56" s="2"/>
      <c r="S56" s="1" t="str">
        <f>IF($B56="","",$B56&amp;"|"&amp;COUNTIFS($B$7:$B56,$B56))</f>
        <v>M052|1</v>
      </c>
      <c r="T56" s="1" t="str">
        <f t="shared" si="6"/>
        <v>VANOLYASULTDSTI</v>
      </c>
      <c r="U56" s="71">
        <f t="shared" si="7"/>
        <v>46234</v>
      </c>
      <c r="V56" s="1">
        <f t="shared" si="8"/>
        <v>2958465</v>
      </c>
      <c r="W56" s="1">
        <f t="shared" si="9"/>
        <v>2</v>
      </c>
      <c r="X56" s="1">
        <f t="shared" si="10"/>
        <v>1519</v>
      </c>
      <c r="Y56" s="1">
        <f t="shared" si="11"/>
        <v>97200</v>
      </c>
      <c r="Z56" s="1">
        <f t="shared" si="12"/>
        <v>1</v>
      </c>
    </row>
    <row r="57" spans="1:26" ht="18" customHeight="1" x14ac:dyDescent="0.3">
      <c r="A57" s="2"/>
      <c r="B57" s="65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61" t="s">
        <v>667</v>
      </c>
      <c r="D57" s="66">
        <v>46023</v>
      </c>
      <c r="E57" s="66"/>
      <c r="F57" s="60" t="s">
        <v>696</v>
      </c>
      <c r="G57" s="67">
        <v>1000</v>
      </c>
      <c r="H57" s="60" t="s">
        <v>567</v>
      </c>
      <c r="I57" s="68">
        <f t="shared" ca="1" si="0"/>
        <v>34000</v>
      </c>
      <c r="J57" s="68">
        <f t="shared" ca="1" si="1"/>
        <v>33000</v>
      </c>
      <c r="K57" s="68">
        <f t="shared" ca="1" si="2"/>
        <v>32000</v>
      </c>
      <c r="L57" s="68">
        <f t="shared" ca="1" si="3"/>
        <v>30000</v>
      </c>
      <c r="M57" s="69">
        <f t="shared" ca="1" si="4"/>
        <v>34</v>
      </c>
      <c r="N57" s="65" t="str">
        <f t="shared" si="5"/>
        <v>UYGUN</v>
      </c>
      <c r="O57" s="70">
        <f>IF(OR($C57="",$D57="",$F57=""),"",IF($F57="Aylık",EOMONTH($D57,0),($D57+MOD(SISTEM!$F$8-WEEKDAY($D57,2),7))))</f>
        <v>46025</v>
      </c>
      <c r="P57" s="61"/>
      <c r="Q57" s="2"/>
      <c r="R57" s="2"/>
      <c r="S57" s="1" t="str">
        <f>IF($B57="","",$B57&amp;"|"&amp;COUNTIFS($B$7:$B57,$B57))</f>
        <v>M006|1</v>
      </c>
      <c r="T57" s="1" t="str">
        <f t="shared" si="6"/>
        <v>VOLKANACIK</v>
      </c>
      <c r="U57" s="71">
        <f t="shared" si="7"/>
        <v>46025</v>
      </c>
      <c r="V57" s="1">
        <f t="shared" si="8"/>
        <v>2958465</v>
      </c>
      <c r="W57" s="1">
        <f t="shared" si="9"/>
        <v>1</v>
      </c>
      <c r="X57" s="1">
        <f t="shared" si="10"/>
        <v>1513</v>
      </c>
      <c r="Y57" s="1">
        <f t="shared" si="11"/>
        <v>97200</v>
      </c>
      <c r="Z57" s="1">
        <f t="shared" si="12"/>
        <v>1</v>
      </c>
    </row>
    <row r="58" spans="1:26" ht="18" customHeight="1" x14ac:dyDescent="0.3">
      <c r="A58" s="2"/>
      <c r="B58" s="65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61" t="s">
        <v>669</v>
      </c>
      <c r="D58" s="66">
        <v>46023</v>
      </c>
      <c r="E58" s="66">
        <v>46203</v>
      </c>
      <c r="F58" s="60" t="s">
        <v>696</v>
      </c>
      <c r="G58" s="67">
        <v>4000</v>
      </c>
      <c r="H58" s="60" t="s">
        <v>697</v>
      </c>
      <c r="I58" s="68">
        <f t="shared" ca="1" si="0"/>
        <v>104000</v>
      </c>
      <c r="J58" s="68">
        <f t="shared" ca="1" si="1"/>
        <v>104000</v>
      </c>
      <c r="K58" s="68">
        <f t="shared" ca="1" si="2"/>
        <v>104000</v>
      </c>
      <c r="L58" s="68">
        <f t="shared" ca="1" si="3"/>
        <v>104000</v>
      </c>
      <c r="M58" s="69">
        <f t="shared" ca="1" si="4"/>
        <v>26</v>
      </c>
      <c r="N58" s="65" t="str">
        <f t="shared" si="5"/>
        <v>KAPALI DÖNEM</v>
      </c>
      <c r="O58" s="70">
        <f>IF(OR($C58="",$D58="",$F58=""),"",IF($F58="Aylık",EOMONTH($D58,0),($D58+MOD(SISTEM!$F$8-WEEKDAY($D58,2),7))))</f>
        <v>46025</v>
      </c>
      <c r="P58" s="61"/>
      <c r="Q58" s="2"/>
      <c r="R58" s="2"/>
      <c r="S58" s="1" t="str">
        <f>IF($B58="","",$B58&amp;"|"&amp;COUNTIFS($B$7:$B58,$B58))</f>
        <v>M054|1</v>
      </c>
      <c r="T58" s="1" t="str">
        <f t="shared" si="6"/>
        <v>YALIKENTLTDSTI</v>
      </c>
      <c r="U58" s="71">
        <f t="shared" si="7"/>
        <v>46025</v>
      </c>
      <c r="V58" s="71">
        <f t="shared" si="8"/>
        <v>46203</v>
      </c>
      <c r="W58" s="1">
        <f t="shared" si="9"/>
        <v>1</v>
      </c>
      <c r="X58" s="1">
        <f t="shared" si="10"/>
        <v>1513</v>
      </c>
      <c r="Y58" s="1">
        <f t="shared" si="11"/>
        <v>1518</v>
      </c>
      <c r="Z58" s="1">
        <f t="shared" si="12"/>
        <v>1</v>
      </c>
    </row>
    <row r="59" spans="1:26" ht="18" customHeight="1" x14ac:dyDescent="0.3">
      <c r="A59" s="2"/>
      <c r="B59" s="65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61" t="s">
        <v>671</v>
      </c>
      <c r="D59" s="66">
        <v>46023</v>
      </c>
      <c r="E59" s="66"/>
      <c r="F59" s="60" t="s">
        <v>695</v>
      </c>
      <c r="G59" s="67">
        <v>10000</v>
      </c>
      <c r="H59" s="60" t="s">
        <v>567</v>
      </c>
      <c r="I59" s="68">
        <f t="shared" ca="1" si="0"/>
        <v>70000</v>
      </c>
      <c r="J59" s="68">
        <f t="shared" ca="1" si="1"/>
        <v>70000</v>
      </c>
      <c r="K59" s="68">
        <f t="shared" ca="1" si="2"/>
        <v>70000</v>
      </c>
      <c r="L59" s="68">
        <f t="shared" ca="1" si="3"/>
        <v>60000</v>
      </c>
      <c r="M59" s="69">
        <f t="shared" ca="1" si="4"/>
        <v>7</v>
      </c>
      <c r="N59" s="65" t="str">
        <f t="shared" si="5"/>
        <v>UYGUN</v>
      </c>
      <c r="O59" s="70">
        <f>IF(OR($C59="",$D59="",$F59=""),"",IF($F59="Aylık",EOMONTH($D59,0),($D59+MOD(SISTEM!$F$8-WEEKDAY($D59,2),7))))</f>
        <v>46053</v>
      </c>
      <c r="P59" s="61"/>
      <c r="Q59" s="2"/>
      <c r="R59" s="2"/>
      <c r="S59" s="1" t="str">
        <f>IF($B59="","",$B59&amp;"|"&amp;COUNTIFS($B$7:$B59,$B59))</f>
        <v>M053|1</v>
      </c>
      <c r="T59" s="1" t="str">
        <f t="shared" si="6"/>
        <v>YEDIYIRMIDORTLTDSTI</v>
      </c>
      <c r="U59" s="71">
        <f t="shared" si="7"/>
        <v>46053</v>
      </c>
      <c r="V59" s="1">
        <f t="shared" si="8"/>
        <v>2958465</v>
      </c>
      <c r="W59" s="1">
        <f t="shared" si="9"/>
        <v>2</v>
      </c>
      <c r="X59" s="1">
        <f t="shared" si="10"/>
        <v>1513</v>
      </c>
      <c r="Y59" s="1">
        <f t="shared" si="11"/>
        <v>97200</v>
      </c>
      <c r="Z59" s="1">
        <f t="shared" si="12"/>
        <v>1</v>
      </c>
    </row>
    <row r="60" spans="1:26" ht="18" customHeight="1" x14ac:dyDescent="0.3">
      <c r="A60" s="2"/>
      <c r="B60" s="65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61" t="s">
        <v>673</v>
      </c>
      <c r="D60" s="66">
        <v>46023</v>
      </c>
      <c r="E60" s="66"/>
      <c r="F60" s="60" t="s">
        <v>696</v>
      </c>
      <c r="G60" s="67">
        <v>3000</v>
      </c>
      <c r="H60" s="60" t="s">
        <v>567</v>
      </c>
      <c r="I60" s="68">
        <f t="shared" ca="1" si="0"/>
        <v>102000</v>
      </c>
      <c r="J60" s="68">
        <f t="shared" ca="1" si="1"/>
        <v>99000</v>
      </c>
      <c r="K60" s="68">
        <f t="shared" ca="1" si="2"/>
        <v>96000</v>
      </c>
      <c r="L60" s="68">
        <f t="shared" ca="1" si="3"/>
        <v>90000</v>
      </c>
      <c r="M60" s="69">
        <f t="shared" ca="1" si="4"/>
        <v>34</v>
      </c>
      <c r="N60" s="65" t="str">
        <f t="shared" si="5"/>
        <v>UYGUN</v>
      </c>
      <c r="O60" s="70">
        <f>IF(OR($C60="",$D60="",$F60=""),"",IF($F60="Aylık",EOMONTH($D60,0),($D60+MOD(SISTEM!$F$8-WEEKDAY($D60,2),7))))</f>
        <v>46025</v>
      </c>
      <c r="P60" s="61"/>
      <c r="Q60" s="2"/>
      <c r="R60" s="2"/>
      <c r="S60" s="1" t="str">
        <f>IF($B60="","",$B60&amp;"|"&amp;COUNTIFS($B$7:$B60,$B60))</f>
        <v>M004|1</v>
      </c>
      <c r="T60" s="1" t="str">
        <f t="shared" si="6"/>
        <v>ZUMRUTEGLENCELTDSTI</v>
      </c>
      <c r="U60" s="71">
        <f t="shared" si="7"/>
        <v>46025</v>
      </c>
      <c r="V60" s="1">
        <f t="shared" si="8"/>
        <v>2958465</v>
      </c>
      <c r="W60" s="1">
        <f t="shared" si="9"/>
        <v>1</v>
      </c>
      <c r="X60" s="1">
        <f t="shared" si="10"/>
        <v>1513</v>
      </c>
      <c r="Y60" s="1">
        <f t="shared" si="11"/>
        <v>97200</v>
      </c>
      <c r="Z60" s="1">
        <f t="shared" si="12"/>
        <v>1</v>
      </c>
    </row>
    <row r="61" spans="1:26" ht="18" customHeight="1" x14ac:dyDescent="0.3">
      <c r="A61" s="2"/>
      <c r="B61" s="65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61" t="s">
        <v>675</v>
      </c>
      <c r="D61" s="66">
        <v>46023</v>
      </c>
      <c r="E61" s="66"/>
      <c r="F61" s="60" t="s">
        <v>696</v>
      </c>
      <c r="G61" s="67">
        <v>1750</v>
      </c>
      <c r="H61" s="60" t="s">
        <v>567</v>
      </c>
      <c r="I61" s="68">
        <f t="shared" ca="1" si="0"/>
        <v>59500</v>
      </c>
      <c r="J61" s="68">
        <f t="shared" ca="1" si="1"/>
        <v>57750</v>
      </c>
      <c r="K61" s="68">
        <f t="shared" ca="1" si="2"/>
        <v>56000</v>
      </c>
      <c r="L61" s="68">
        <f t="shared" ca="1" si="3"/>
        <v>52500</v>
      </c>
      <c r="M61" s="69">
        <f t="shared" ca="1" si="4"/>
        <v>34</v>
      </c>
      <c r="N61" s="65" t="str">
        <f t="shared" si="5"/>
        <v>UYGUN</v>
      </c>
      <c r="O61" s="70">
        <f>IF(OR($C61="",$D61="",$F61=""),"",IF($F61="Aylık",EOMONTH($D61,0),($D61+MOD(SISTEM!$F$8-WEEKDAY($D61,2),7))))</f>
        <v>46025</v>
      </c>
      <c r="P61" s="61"/>
      <c r="Q61" s="2"/>
      <c r="R61" s="2"/>
      <c r="S61" s="1" t="str">
        <f>IF($B61="","",$B61&amp;"|"&amp;COUNTIFS($B$7:$B61,$B61))</f>
        <v>M005|1</v>
      </c>
      <c r="T61" s="1" t="str">
        <f t="shared" si="6"/>
        <v>ZUMRUTGRUPLTDSTI</v>
      </c>
      <c r="U61" s="71">
        <f t="shared" si="7"/>
        <v>46025</v>
      </c>
      <c r="V61" s="1">
        <f t="shared" si="8"/>
        <v>2958465</v>
      </c>
      <c r="W61" s="1">
        <f t="shared" si="9"/>
        <v>1</v>
      </c>
      <c r="X61" s="1">
        <f t="shared" si="10"/>
        <v>1513</v>
      </c>
      <c r="Y61" s="1">
        <f t="shared" si="11"/>
        <v>97200</v>
      </c>
      <c r="Z61" s="1">
        <f t="shared" si="12"/>
        <v>1</v>
      </c>
    </row>
    <row r="62" spans="1:26" ht="18" customHeight="1" x14ac:dyDescent="0.3">
      <c r="A62" s="2"/>
      <c r="B62" s="65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61" t="s">
        <v>589</v>
      </c>
      <c r="D62" s="66">
        <v>46249</v>
      </c>
      <c r="E62" s="66"/>
      <c r="F62" s="60" t="s">
        <v>696</v>
      </c>
      <c r="G62" s="67">
        <v>4000</v>
      </c>
      <c r="H62" s="60" t="s">
        <v>567</v>
      </c>
      <c r="I62" s="68">
        <f t="shared" ca="1" si="0"/>
        <v>8000</v>
      </c>
      <c r="J62" s="68">
        <f t="shared" ca="1" si="1"/>
        <v>4000</v>
      </c>
      <c r="K62" s="68">
        <f t="shared" ca="1" si="2"/>
        <v>0</v>
      </c>
      <c r="L62" s="68">
        <f t="shared" ca="1" si="3"/>
        <v>0</v>
      </c>
      <c r="M62" s="69">
        <f t="shared" ca="1" si="4"/>
        <v>2</v>
      </c>
      <c r="N62" s="65" t="str">
        <f t="shared" si="5"/>
        <v>UYGUN</v>
      </c>
      <c r="O62" s="70">
        <f>IF(OR($C62="",$D62="",$F62=""),"",IF($F62="Aylık",EOMONTH($D62,0),($D62+MOD(SISTEM!$F$8-WEEKDAY($D62,2),7))))</f>
        <v>46249</v>
      </c>
      <c r="P62" s="61"/>
      <c r="Q62" s="2"/>
      <c r="R62" s="2"/>
      <c r="S62" s="1" t="str">
        <f>IF($B62="","",$B62&amp;"|"&amp;COUNTIFS($B$7:$B62,$B62))</f>
        <v>M018|2</v>
      </c>
      <c r="T62" s="1" t="str">
        <f t="shared" si="6"/>
        <v>CINARHANLTDSTI</v>
      </c>
      <c r="U62" s="71">
        <f t="shared" si="7"/>
        <v>46249</v>
      </c>
      <c r="V62" s="1">
        <f t="shared" si="8"/>
        <v>2958465</v>
      </c>
      <c r="W62" s="1">
        <f t="shared" si="9"/>
        <v>1</v>
      </c>
      <c r="X62" s="1">
        <f t="shared" si="10"/>
        <v>1520</v>
      </c>
      <c r="Y62" s="1">
        <f t="shared" si="11"/>
        <v>97200</v>
      </c>
      <c r="Z62" s="1">
        <f t="shared" si="12"/>
        <v>1</v>
      </c>
    </row>
    <row r="63" spans="1:26" ht="18" customHeight="1" x14ac:dyDescent="0.3">
      <c r="A63" s="2"/>
      <c r="B63" s="65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61" t="s">
        <v>593</v>
      </c>
      <c r="D63" s="66">
        <v>46110</v>
      </c>
      <c r="E63" s="66"/>
      <c r="F63" s="60" t="s">
        <v>696</v>
      </c>
      <c r="G63" s="67">
        <v>4000</v>
      </c>
      <c r="H63" s="60" t="s">
        <v>567</v>
      </c>
      <c r="I63" s="68">
        <f t="shared" ca="1" si="0"/>
        <v>84000</v>
      </c>
      <c r="J63" s="68">
        <f t="shared" ca="1" si="1"/>
        <v>80000</v>
      </c>
      <c r="K63" s="68">
        <f t="shared" ca="1" si="2"/>
        <v>76000</v>
      </c>
      <c r="L63" s="68">
        <f t="shared" ca="1" si="3"/>
        <v>68000</v>
      </c>
      <c r="M63" s="69">
        <f t="shared" ca="1" si="4"/>
        <v>21</v>
      </c>
      <c r="N63" s="65" t="str">
        <f t="shared" si="5"/>
        <v>UYGUN</v>
      </c>
      <c r="O63" s="70">
        <f>IF(OR($C63="",$D63="",$F63=""),"",IF($F63="Aylık",EOMONTH($D63,0),($D63+MOD(SISTEM!$F$8-WEEKDAY($D63,2),7))))</f>
        <v>46116</v>
      </c>
      <c r="P63" s="61"/>
      <c r="Q63" s="2"/>
      <c r="R63" s="2"/>
      <c r="S63" s="1" t="str">
        <f>IF($B63="","",$B63&amp;"|"&amp;COUNTIFS($B$7:$B63,$B63))</f>
        <v>M011|2</v>
      </c>
      <c r="T63" s="1" t="str">
        <f t="shared" si="6"/>
        <v>EGLENGORLTDSTI</v>
      </c>
      <c r="U63" s="71">
        <f t="shared" si="7"/>
        <v>46116</v>
      </c>
      <c r="V63" s="1">
        <f t="shared" si="8"/>
        <v>2958465</v>
      </c>
      <c r="W63" s="1">
        <f t="shared" si="9"/>
        <v>1</v>
      </c>
      <c r="X63" s="1">
        <f t="shared" si="10"/>
        <v>1516</v>
      </c>
      <c r="Y63" s="1">
        <f t="shared" si="11"/>
        <v>97200</v>
      </c>
      <c r="Z63" s="1">
        <f t="shared" si="12"/>
        <v>1</v>
      </c>
    </row>
    <row r="64" spans="1:26" ht="18" customHeight="1" x14ac:dyDescent="0.3">
      <c r="A64" s="2"/>
      <c r="B64" s="65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61" t="s">
        <v>601</v>
      </c>
      <c r="D64" s="66">
        <v>46116</v>
      </c>
      <c r="E64" s="66"/>
      <c r="F64" s="60" t="s">
        <v>696</v>
      </c>
      <c r="G64" s="67">
        <v>4000</v>
      </c>
      <c r="H64" s="60" t="s">
        <v>567</v>
      </c>
      <c r="I64" s="68">
        <f t="shared" ca="1" si="0"/>
        <v>84000</v>
      </c>
      <c r="J64" s="68">
        <f t="shared" ca="1" si="1"/>
        <v>80000</v>
      </c>
      <c r="K64" s="68">
        <f t="shared" ca="1" si="2"/>
        <v>76000</v>
      </c>
      <c r="L64" s="68">
        <f t="shared" ca="1" si="3"/>
        <v>68000</v>
      </c>
      <c r="M64" s="69">
        <f t="shared" ca="1" si="4"/>
        <v>21</v>
      </c>
      <c r="N64" s="65" t="str">
        <f t="shared" si="5"/>
        <v>UYGUN</v>
      </c>
      <c r="O64" s="70">
        <f>IF(OR($C64="",$D64="",$F64=""),"",IF($F64="Aylık",EOMONTH($D64,0),($D64+MOD(SISTEM!$F$8-WEEKDAY($D64,2),7))))</f>
        <v>46116</v>
      </c>
      <c r="P64" s="61"/>
      <c r="Q64" s="2"/>
      <c r="R64" s="2"/>
      <c r="S64" s="1" t="str">
        <f>IF($B64="","",$B64&amp;"|"&amp;COUNTIFS($B$7:$B64,$B64))</f>
        <v>M014|2</v>
      </c>
      <c r="T64" s="1" t="str">
        <f t="shared" si="6"/>
        <v>FINALSIYAHBEYAZLTDSTI</v>
      </c>
      <c r="U64" s="71">
        <f t="shared" si="7"/>
        <v>46116</v>
      </c>
      <c r="V64" s="1">
        <f t="shared" si="8"/>
        <v>2958465</v>
      </c>
      <c r="W64" s="1">
        <f t="shared" si="9"/>
        <v>1</v>
      </c>
      <c r="X64" s="1">
        <f t="shared" si="10"/>
        <v>1516</v>
      </c>
      <c r="Y64" s="1">
        <f t="shared" si="11"/>
        <v>97200</v>
      </c>
      <c r="Z64" s="1">
        <f t="shared" si="12"/>
        <v>1</v>
      </c>
    </row>
    <row r="65" spans="1:26" ht="18" customHeight="1" x14ac:dyDescent="0.3">
      <c r="A65" s="2"/>
      <c r="B65" s="65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61" t="s">
        <v>607</v>
      </c>
      <c r="D65" s="66">
        <v>46082</v>
      </c>
      <c r="E65" s="66"/>
      <c r="F65" s="60" t="s">
        <v>696</v>
      </c>
      <c r="G65" s="67">
        <v>4000</v>
      </c>
      <c r="H65" s="60" t="s">
        <v>567</v>
      </c>
      <c r="I65" s="68">
        <f t="shared" ca="1" si="0"/>
        <v>100000</v>
      </c>
      <c r="J65" s="68">
        <f t="shared" ca="1" si="1"/>
        <v>96000</v>
      </c>
      <c r="K65" s="68">
        <f t="shared" ca="1" si="2"/>
        <v>92000</v>
      </c>
      <c r="L65" s="68">
        <f t="shared" ca="1" si="3"/>
        <v>84000</v>
      </c>
      <c r="M65" s="69">
        <f t="shared" ca="1" si="4"/>
        <v>25</v>
      </c>
      <c r="N65" s="65" t="str">
        <f t="shared" si="5"/>
        <v>UYGUN</v>
      </c>
      <c r="O65" s="70">
        <f>IF(OR($C65="",$D65="",$F65=""),"",IF($F65="Aylık",EOMONTH($D65,0),($D65+MOD(SISTEM!$F$8-WEEKDAY($D65,2),7))))</f>
        <v>46088</v>
      </c>
      <c r="P65" s="61"/>
      <c r="Q65" s="2"/>
      <c r="R65" s="2"/>
      <c r="S65" s="1" t="str">
        <f>IF($B65="","",$B65&amp;"|"&amp;COUNTIFS($B$7:$B65,$B65))</f>
        <v>M034|2</v>
      </c>
      <c r="T65" s="1" t="str">
        <f t="shared" si="6"/>
        <v>IBRAHIMMALDAN</v>
      </c>
      <c r="U65" s="71">
        <f t="shared" si="7"/>
        <v>46088</v>
      </c>
      <c r="V65" s="1">
        <f t="shared" si="8"/>
        <v>2958465</v>
      </c>
      <c r="W65" s="1">
        <f t="shared" si="9"/>
        <v>1</v>
      </c>
      <c r="X65" s="1">
        <f t="shared" si="10"/>
        <v>1515</v>
      </c>
      <c r="Y65" s="1">
        <f t="shared" si="11"/>
        <v>97200</v>
      </c>
      <c r="Z65" s="1">
        <f t="shared" si="12"/>
        <v>1</v>
      </c>
    </row>
    <row r="66" spans="1:26" ht="18" customHeight="1" x14ac:dyDescent="0.3">
      <c r="A66" s="2"/>
      <c r="B66" s="65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61" t="s">
        <v>609</v>
      </c>
      <c r="D66" s="66">
        <v>46113</v>
      </c>
      <c r="E66" s="66"/>
      <c r="F66" s="60" t="s">
        <v>696</v>
      </c>
      <c r="G66" s="67">
        <v>4000</v>
      </c>
      <c r="H66" s="60" t="s">
        <v>567</v>
      </c>
      <c r="I66" s="68">
        <f t="shared" ca="1" si="0"/>
        <v>84000</v>
      </c>
      <c r="J66" s="68">
        <f t="shared" ca="1" si="1"/>
        <v>80000</v>
      </c>
      <c r="K66" s="68">
        <f t="shared" ca="1" si="2"/>
        <v>76000</v>
      </c>
      <c r="L66" s="68">
        <f t="shared" ca="1" si="3"/>
        <v>68000</v>
      </c>
      <c r="M66" s="69">
        <f t="shared" ca="1" si="4"/>
        <v>21</v>
      </c>
      <c r="N66" s="65" t="str">
        <f t="shared" si="5"/>
        <v>UYGUN</v>
      </c>
      <c r="O66" s="70">
        <f>IF(OR($C66="",$D66="",$F66=""),"",IF($F66="Aylık",EOMONTH($D66,0),($D66+MOD(SISTEM!$F$8-WEEKDAY($D66,2),7))))</f>
        <v>46116</v>
      </c>
      <c r="P66" s="61"/>
      <c r="Q66" s="2"/>
      <c r="R66" s="2"/>
      <c r="S66" s="1" t="str">
        <f>IF($B66="","",$B66&amp;"|"&amp;COUNTIFS($B$7:$B66,$B66))</f>
        <v>M012|2</v>
      </c>
      <c r="T66" s="1" t="str">
        <f t="shared" si="6"/>
        <v>ILDESLTDSTI</v>
      </c>
      <c r="U66" s="71">
        <f t="shared" si="7"/>
        <v>46116</v>
      </c>
      <c r="V66" s="1">
        <f t="shared" si="8"/>
        <v>2958465</v>
      </c>
      <c r="W66" s="1">
        <f t="shared" si="9"/>
        <v>1</v>
      </c>
      <c r="X66" s="1">
        <f t="shared" si="10"/>
        <v>1516</v>
      </c>
      <c r="Y66" s="1">
        <f t="shared" si="11"/>
        <v>97200</v>
      </c>
      <c r="Z66" s="1">
        <f t="shared" si="12"/>
        <v>1</v>
      </c>
    </row>
    <row r="67" spans="1:26" ht="18" customHeight="1" x14ac:dyDescent="0.3">
      <c r="A67" s="2"/>
      <c r="B67" s="65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61" t="s">
        <v>649</v>
      </c>
      <c r="D67" s="66">
        <v>46179</v>
      </c>
      <c r="E67" s="66"/>
      <c r="F67" s="60" t="s">
        <v>696</v>
      </c>
      <c r="G67" s="67">
        <v>5000</v>
      </c>
      <c r="H67" s="60" t="s">
        <v>567</v>
      </c>
      <c r="I67" s="68">
        <f t="shared" ca="1" si="0"/>
        <v>60000</v>
      </c>
      <c r="J67" s="68">
        <f t="shared" ca="1" si="1"/>
        <v>55000</v>
      </c>
      <c r="K67" s="68">
        <f t="shared" ca="1" si="2"/>
        <v>50000</v>
      </c>
      <c r="L67" s="68">
        <f t="shared" ca="1" si="3"/>
        <v>40000</v>
      </c>
      <c r="M67" s="69">
        <f t="shared" ca="1" si="4"/>
        <v>12</v>
      </c>
      <c r="N67" s="65" t="str">
        <f t="shared" si="5"/>
        <v>UYGUN</v>
      </c>
      <c r="O67" s="70">
        <f>IF(OR($C67="",$D67="",$F67=""),"",IF($F67="Aylık",EOMONTH($D67,0),($D67+MOD(SISTEM!$F$8-WEEKDAY($D67,2),7))))</f>
        <v>46179</v>
      </c>
      <c r="P67" s="61"/>
      <c r="Q67" s="2"/>
      <c r="R67" s="2"/>
      <c r="S67" s="1" t="str">
        <f>IF($B67="","",$B67&amp;"|"&amp;COUNTIFS($B$7:$B67,$B67))</f>
        <v>M047|2</v>
      </c>
      <c r="T67" s="1" t="str">
        <f t="shared" si="6"/>
        <v>PALAOGULLARILTDSTI</v>
      </c>
      <c r="U67" s="71">
        <f t="shared" si="7"/>
        <v>46179</v>
      </c>
      <c r="V67" s="1">
        <f t="shared" si="8"/>
        <v>2958465</v>
      </c>
      <c r="W67" s="1">
        <f t="shared" si="9"/>
        <v>1</v>
      </c>
      <c r="X67" s="1">
        <f t="shared" si="10"/>
        <v>1518</v>
      </c>
      <c r="Y67" s="1">
        <f t="shared" si="11"/>
        <v>97200</v>
      </c>
      <c r="Z67" s="1">
        <f t="shared" si="12"/>
        <v>1</v>
      </c>
    </row>
    <row r="68" spans="1:26" ht="18" customHeight="1" x14ac:dyDescent="0.3">
      <c r="A68" s="2"/>
      <c r="B68" s="65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61"/>
      <c r="D68" s="66"/>
      <c r="E68" s="66"/>
      <c r="F68" s="60"/>
      <c r="G68" s="67"/>
      <c r="H68" s="60"/>
      <c r="I68" s="68">
        <f t="shared" ca="1" si="0"/>
        <v>0</v>
      </c>
      <c r="J68" s="68">
        <f t="shared" ca="1" si="1"/>
        <v>0</v>
      </c>
      <c r="K68" s="68">
        <f t="shared" ca="1" si="2"/>
        <v>0</v>
      </c>
      <c r="L68" s="68">
        <f t="shared" ca="1" si="3"/>
        <v>0</v>
      </c>
      <c r="M68" s="69">
        <f t="shared" si="4"/>
        <v>0</v>
      </c>
      <c r="N68" s="65" t="str">
        <f t="shared" si="5"/>
        <v/>
      </c>
      <c r="O68" s="70" t="str">
        <f>IF(OR($C68="",$D68="",$F68=""),"",IF($F68="Aylık",EOMONTH($D68,0),($D68+MOD(SISTEM!$F$8-WEEKDAY($D68,2),7))))</f>
        <v/>
      </c>
      <c r="P68" s="61"/>
      <c r="Q68" s="2"/>
      <c r="R68" s="2"/>
      <c r="S68" s="1" t="str">
        <f>IF($B68="","",$B68&amp;"|"&amp;COUNTIFS($B$7:$B68,$B68))</f>
        <v/>
      </c>
      <c r="T68" s="1" t="str">
        <f t="shared" si="6"/>
        <v/>
      </c>
      <c r="U68" s="1">
        <f t="shared" si="7"/>
        <v>0</v>
      </c>
      <c r="V68" s="1">
        <f t="shared" si="8"/>
        <v>2958465</v>
      </c>
      <c r="W68" s="1">
        <f t="shared" si="9"/>
        <v>0</v>
      </c>
      <c r="X68" s="1">
        <f t="shared" si="10"/>
        <v>0</v>
      </c>
      <c r="Y68" s="1">
        <f t="shared" si="11"/>
        <v>97200</v>
      </c>
      <c r="Z68" s="1">
        <f t="shared" si="12"/>
        <v>1</v>
      </c>
    </row>
    <row r="69" spans="1:26" ht="18" customHeight="1" x14ac:dyDescent="0.3">
      <c r="A69" s="2"/>
      <c r="B69" s="65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66"/>
      <c r="E69" s="66"/>
      <c r="F69" s="60"/>
      <c r="G69" s="67"/>
      <c r="H69" s="60"/>
      <c r="I69" s="68">
        <f t="shared" ca="1" si="0"/>
        <v>0</v>
      </c>
      <c r="J69" s="68">
        <f t="shared" ca="1" si="1"/>
        <v>0</v>
      </c>
      <c r="K69" s="68">
        <f t="shared" ca="1" si="2"/>
        <v>0</v>
      </c>
      <c r="L69" s="68">
        <f t="shared" ca="1" si="3"/>
        <v>0</v>
      </c>
      <c r="M69" s="69">
        <f t="shared" si="4"/>
        <v>0</v>
      </c>
      <c r="N69" s="65" t="str">
        <f t="shared" si="5"/>
        <v/>
      </c>
      <c r="O69" s="70" t="str">
        <f>IF(OR($C69="",$D69="",$F69=""),"",IF($F69="Aylık",EOMONTH($D69,0),($D69+MOD(SISTEM!$F$8-WEEKDAY($D69,2),7))))</f>
        <v/>
      </c>
      <c r="P69" s="61"/>
      <c r="Q69" s="2"/>
      <c r="R69" s="2"/>
      <c r="S69" s="1" t="str">
        <f>IF($B69="","",$B69&amp;"|"&amp;COUNTIFS($B$7:$B69,$B69))</f>
        <v/>
      </c>
      <c r="T69" s="1" t="str">
        <f t="shared" si="6"/>
        <v/>
      </c>
      <c r="U69" s="1">
        <f t="shared" si="7"/>
        <v>0</v>
      </c>
      <c r="V69" s="1">
        <f t="shared" si="8"/>
        <v>2958465</v>
      </c>
      <c r="W69" s="1">
        <f t="shared" si="9"/>
        <v>0</v>
      </c>
      <c r="X69" s="1">
        <f t="shared" si="10"/>
        <v>0</v>
      </c>
      <c r="Y69" s="1">
        <f t="shared" si="11"/>
        <v>97200</v>
      </c>
      <c r="Z69" s="1">
        <f t="shared" si="12"/>
        <v>1</v>
      </c>
    </row>
    <row r="70" spans="1:26" ht="18" customHeight="1" x14ac:dyDescent="0.3">
      <c r="A70" s="2"/>
      <c r="B70" s="65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66"/>
      <c r="E70" s="66"/>
      <c r="F70" s="60"/>
      <c r="G70" s="67"/>
      <c r="H70" s="60"/>
      <c r="I70" s="68">
        <f t="shared" ca="1" si="0"/>
        <v>0</v>
      </c>
      <c r="J70" s="68">
        <f t="shared" ca="1" si="1"/>
        <v>0</v>
      </c>
      <c r="K70" s="68">
        <f t="shared" ca="1" si="2"/>
        <v>0</v>
      </c>
      <c r="L70" s="68">
        <f t="shared" ca="1" si="3"/>
        <v>0</v>
      </c>
      <c r="M70" s="69">
        <f t="shared" si="4"/>
        <v>0</v>
      </c>
      <c r="N70" s="65" t="str">
        <f t="shared" si="5"/>
        <v/>
      </c>
      <c r="O70" s="70" t="str">
        <f>IF(OR($C70="",$D70="",$F70=""),"",IF($F70="Aylık",EOMONTH($D70,0),($D70+MOD(SISTEM!$F$8-WEEKDAY($D70,2),7))))</f>
        <v/>
      </c>
      <c r="P70" s="61"/>
      <c r="Q70" s="2"/>
      <c r="R70" s="2"/>
      <c r="S70" s="1" t="str">
        <f>IF($B70="","",$B70&amp;"|"&amp;COUNTIFS($B$7:$B70,$B70))</f>
        <v/>
      </c>
      <c r="T70" s="1" t="str">
        <f t="shared" si="6"/>
        <v/>
      </c>
      <c r="U70" s="1">
        <f t="shared" si="7"/>
        <v>0</v>
      </c>
      <c r="V70" s="1">
        <f t="shared" si="8"/>
        <v>2958465</v>
      </c>
      <c r="W70" s="1">
        <f t="shared" si="9"/>
        <v>0</v>
      </c>
      <c r="X70" s="1">
        <f t="shared" si="10"/>
        <v>0</v>
      </c>
      <c r="Y70" s="1">
        <f t="shared" si="11"/>
        <v>97200</v>
      </c>
      <c r="Z70" s="1">
        <f t="shared" si="12"/>
        <v>1</v>
      </c>
    </row>
    <row r="71" spans="1:26" ht="18" customHeight="1" x14ac:dyDescent="0.3">
      <c r="A71" s="2"/>
      <c r="B71" s="65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66"/>
      <c r="E71" s="66"/>
      <c r="F71" s="60"/>
      <c r="G71" s="67"/>
      <c r="H71" s="60"/>
      <c r="I71" s="68">
        <f t="shared" ref="I71:I134" ca="1" si="13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68">
        <f t="shared" ref="J71:J134" ca="1" si="14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68">
        <f t="shared" ref="K71:K134" ca="1" si="15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68">
        <f t="shared" ref="L71:L134" ca="1" si="16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69">
        <f t="shared" ref="M71:M134" si="17">IF($G71&gt;0,$I71/$G71,0)</f>
        <v>0</v>
      </c>
      <c r="N71" s="65" t="str">
        <f t="shared" ref="N71:N134" si="18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70" t="str">
        <f>IF(OR($C71="",$D71="",$F71=""),"",IF($F71="Aylık",EOMONTH($D71,0),($D71+MOD(SISTEM!$F$8-WEEKDAY($D71,2),7))))</f>
        <v/>
      </c>
      <c r="P71" s="61"/>
      <c r="Q71" s="2"/>
      <c r="R71" s="2"/>
      <c r="S71" s="1" t="str">
        <f>IF($B71="","",$B71&amp;"|"&amp;COUNTIFS($B$7:$B71,$B71))</f>
        <v/>
      </c>
      <c r="T71" s="1" t="str">
        <f t="shared" ref="T71:T134" si="19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 t="shared" ref="U71:U134" si="20">IF($O71="",0,$O71)</f>
        <v>0</v>
      </c>
      <c r="V71" s="1">
        <f t="shared" ref="V71:V134" si="21">IF($E71="",2958465,$E71)</f>
        <v>2958465</v>
      </c>
      <c r="W71" s="1">
        <f t="shared" ref="W71:W134" si="22">IF($F71="Haftalık",1,IF($F71="Aylık",2,0))</f>
        <v>0</v>
      </c>
      <c r="X71" s="1">
        <f t="shared" ref="X71:X134" si="23">IF($U71=0,0,(YEAR($U71)-1900)*12+MONTH($U71))</f>
        <v>0</v>
      </c>
      <c r="Y71" s="1">
        <f t="shared" ref="Y71:Y134" si="24">(YEAR($V71)-1900)*12+MONTH($V71)</f>
        <v>97200</v>
      </c>
      <c r="Z71" s="1">
        <f t="shared" ref="Z71:Z134" si="25">IF($V71=EOMONTH($V71,0),1,0)</f>
        <v>1</v>
      </c>
    </row>
    <row r="72" spans="1:26" ht="18" customHeight="1" x14ac:dyDescent="0.3">
      <c r="A72" s="2"/>
      <c r="B72" s="65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66"/>
      <c r="E72" s="66"/>
      <c r="F72" s="60"/>
      <c r="G72" s="67"/>
      <c r="H72" s="60"/>
      <c r="I72" s="68">
        <f t="shared" ca="1" si="13"/>
        <v>0</v>
      </c>
      <c r="J72" s="68">
        <f t="shared" ca="1" si="14"/>
        <v>0</v>
      </c>
      <c r="K72" s="68">
        <f t="shared" ca="1" si="15"/>
        <v>0</v>
      </c>
      <c r="L72" s="68">
        <f t="shared" ca="1" si="16"/>
        <v>0</v>
      </c>
      <c r="M72" s="69">
        <f t="shared" si="17"/>
        <v>0</v>
      </c>
      <c r="N72" s="65" t="str">
        <f t="shared" si="18"/>
        <v/>
      </c>
      <c r="O72" s="70" t="str">
        <f>IF(OR($C72="",$D72="",$F72=""),"",IF($F72="Aylık",EOMONTH($D72,0),($D72+MOD(SISTEM!$F$8-WEEKDAY($D72,2),7))))</f>
        <v/>
      </c>
      <c r="P72" s="61"/>
      <c r="Q72" s="2"/>
      <c r="R72" s="2"/>
      <c r="S72" s="1" t="str">
        <f>IF($B72="","",$B72&amp;"|"&amp;COUNTIFS($B$7:$B72,$B72))</f>
        <v/>
      </c>
      <c r="T72" s="1" t="str">
        <f t="shared" si="19"/>
        <v/>
      </c>
      <c r="U72" s="1">
        <f t="shared" si="20"/>
        <v>0</v>
      </c>
      <c r="V72" s="1">
        <f t="shared" si="21"/>
        <v>2958465</v>
      </c>
      <c r="W72" s="1">
        <f t="shared" si="22"/>
        <v>0</v>
      </c>
      <c r="X72" s="1">
        <f t="shared" si="23"/>
        <v>0</v>
      </c>
      <c r="Y72" s="1">
        <f t="shared" si="24"/>
        <v>97200</v>
      </c>
      <c r="Z72" s="1">
        <f t="shared" si="25"/>
        <v>1</v>
      </c>
    </row>
    <row r="73" spans="1:26" ht="18" customHeight="1" x14ac:dyDescent="0.3">
      <c r="A73" s="2"/>
      <c r="B73" s="65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66"/>
      <c r="E73" s="66"/>
      <c r="F73" s="60"/>
      <c r="G73" s="67"/>
      <c r="H73" s="60"/>
      <c r="I73" s="68">
        <f t="shared" ca="1" si="13"/>
        <v>0</v>
      </c>
      <c r="J73" s="68">
        <f t="shared" ca="1" si="14"/>
        <v>0</v>
      </c>
      <c r="K73" s="68">
        <f t="shared" ca="1" si="15"/>
        <v>0</v>
      </c>
      <c r="L73" s="68">
        <f t="shared" ca="1" si="16"/>
        <v>0</v>
      </c>
      <c r="M73" s="69">
        <f t="shared" si="17"/>
        <v>0</v>
      </c>
      <c r="N73" s="65" t="str">
        <f t="shared" si="18"/>
        <v/>
      </c>
      <c r="O73" s="70" t="str">
        <f>IF(OR($C73="",$D73="",$F73=""),"",IF($F73="Aylık",EOMONTH($D73,0),($D73+MOD(SISTEM!$F$8-WEEKDAY($D73,2),7))))</f>
        <v/>
      </c>
      <c r="P73" s="61"/>
      <c r="Q73" s="2"/>
      <c r="R73" s="2"/>
      <c r="S73" s="1" t="str">
        <f>IF($B73="","",$B73&amp;"|"&amp;COUNTIFS($B$7:$B73,$B73))</f>
        <v/>
      </c>
      <c r="T73" s="1" t="str">
        <f t="shared" si="19"/>
        <v/>
      </c>
      <c r="U73" s="1">
        <f t="shared" si="20"/>
        <v>0</v>
      </c>
      <c r="V73" s="1">
        <f t="shared" si="21"/>
        <v>2958465</v>
      </c>
      <c r="W73" s="1">
        <f t="shared" si="22"/>
        <v>0</v>
      </c>
      <c r="X73" s="1">
        <f t="shared" si="23"/>
        <v>0</v>
      </c>
      <c r="Y73" s="1">
        <f t="shared" si="24"/>
        <v>97200</v>
      </c>
      <c r="Z73" s="1">
        <f t="shared" si="25"/>
        <v>1</v>
      </c>
    </row>
    <row r="74" spans="1:26" ht="18" customHeight="1" x14ac:dyDescent="0.3">
      <c r="A74" s="2"/>
      <c r="B74" s="65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66"/>
      <c r="E74" s="66"/>
      <c r="F74" s="60"/>
      <c r="G74" s="67"/>
      <c r="H74" s="60"/>
      <c r="I74" s="68">
        <f t="shared" ca="1" si="13"/>
        <v>0</v>
      </c>
      <c r="J74" s="68">
        <f t="shared" ca="1" si="14"/>
        <v>0</v>
      </c>
      <c r="K74" s="68">
        <f t="shared" ca="1" si="15"/>
        <v>0</v>
      </c>
      <c r="L74" s="68">
        <f t="shared" ca="1" si="16"/>
        <v>0</v>
      </c>
      <c r="M74" s="69">
        <f t="shared" si="17"/>
        <v>0</v>
      </c>
      <c r="N74" s="65" t="str">
        <f t="shared" si="18"/>
        <v/>
      </c>
      <c r="O74" s="70" t="str">
        <f>IF(OR($C74="",$D74="",$F74=""),"",IF($F74="Aylık",EOMONTH($D74,0),($D74+MOD(SISTEM!$F$8-WEEKDAY($D74,2),7))))</f>
        <v/>
      </c>
      <c r="P74" s="61"/>
      <c r="Q74" s="2"/>
      <c r="R74" s="2"/>
      <c r="S74" s="1" t="str">
        <f>IF($B74="","",$B74&amp;"|"&amp;COUNTIFS($B$7:$B74,$B74))</f>
        <v/>
      </c>
      <c r="T74" s="1" t="str">
        <f t="shared" si="19"/>
        <v/>
      </c>
      <c r="U74" s="1">
        <f t="shared" si="20"/>
        <v>0</v>
      </c>
      <c r="V74" s="1">
        <f t="shared" si="21"/>
        <v>2958465</v>
      </c>
      <c r="W74" s="1">
        <f t="shared" si="22"/>
        <v>0</v>
      </c>
      <c r="X74" s="1">
        <f t="shared" si="23"/>
        <v>0</v>
      </c>
      <c r="Y74" s="1">
        <f t="shared" si="24"/>
        <v>97200</v>
      </c>
      <c r="Z74" s="1">
        <f t="shared" si="25"/>
        <v>1</v>
      </c>
    </row>
    <row r="75" spans="1:26" ht="18" customHeight="1" x14ac:dyDescent="0.3">
      <c r="A75" s="2"/>
      <c r="B75" s="65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66"/>
      <c r="E75" s="66"/>
      <c r="F75" s="60"/>
      <c r="G75" s="67"/>
      <c r="H75" s="60"/>
      <c r="I75" s="68">
        <f t="shared" ca="1" si="13"/>
        <v>0</v>
      </c>
      <c r="J75" s="68">
        <f t="shared" ca="1" si="14"/>
        <v>0</v>
      </c>
      <c r="K75" s="68">
        <f t="shared" ca="1" si="15"/>
        <v>0</v>
      </c>
      <c r="L75" s="68">
        <f t="shared" ca="1" si="16"/>
        <v>0</v>
      </c>
      <c r="M75" s="69">
        <f t="shared" si="17"/>
        <v>0</v>
      </c>
      <c r="N75" s="65" t="str">
        <f t="shared" si="18"/>
        <v/>
      </c>
      <c r="O75" s="70" t="str">
        <f>IF(OR($C75="",$D75="",$F75=""),"",IF($F75="Aylık",EOMONTH($D75,0),($D75+MOD(SISTEM!$F$8-WEEKDAY($D75,2),7))))</f>
        <v/>
      </c>
      <c r="P75" s="61"/>
      <c r="Q75" s="2"/>
      <c r="R75" s="2"/>
      <c r="S75" s="1" t="str">
        <f>IF($B75="","",$B75&amp;"|"&amp;COUNTIFS($B$7:$B75,$B75))</f>
        <v/>
      </c>
      <c r="T75" s="1" t="str">
        <f t="shared" si="19"/>
        <v/>
      </c>
      <c r="U75" s="1">
        <f t="shared" si="20"/>
        <v>0</v>
      </c>
      <c r="V75" s="1">
        <f t="shared" si="21"/>
        <v>2958465</v>
      </c>
      <c r="W75" s="1">
        <f t="shared" si="22"/>
        <v>0</v>
      </c>
      <c r="X75" s="1">
        <f t="shared" si="23"/>
        <v>0</v>
      </c>
      <c r="Y75" s="1">
        <f t="shared" si="24"/>
        <v>97200</v>
      </c>
      <c r="Z75" s="1">
        <f t="shared" si="25"/>
        <v>1</v>
      </c>
    </row>
    <row r="76" spans="1:26" ht="18" customHeight="1" x14ac:dyDescent="0.3">
      <c r="A76" s="2"/>
      <c r="B76" s="65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66"/>
      <c r="E76" s="66"/>
      <c r="F76" s="60"/>
      <c r="G76" s="67"/>
      <c r="H76" s="60"/>
      <c r="I76" s="68">
        <f t="shared" ca="1" si="13"/>
        <v>0</v>
      </c>
      <c r="J76" s="68">
        <f t="shared" ca="1" si="14"/>
        <v>0</v>
      </c>
      <c r="K76" s="68">
        <f t="shared" ca="1" si="15"/>
        <v>0</v>
      </c>
      <c r="L76" s="68">
        <f t="shared" ca="1" si="16"/>
        <v>0</v>
      </c>
      <c r="M76" s="69">
        <f t="shared" si="17"/>
        <v>0</v>
      </c>
      <c r="N76" s="65" t="str">
        <f t="shared" si="18"/>
        <v/>
      </c>
      <c r="O76" s="70" t="str">
        <f>IF(OR($C76="",$D76="",$F76=""),"",IF($F76="Aylık",EOMONTH($D76,0),($D76+MOD(SISTEM!$F$8-WEEKDAY($D76,2),7))))</f>
        <v/>
      </c>
      <c r="P76" s="61"/>
      <c r="Q76" s="2"/>
      <c r="R76" s="2"/>
      <c r="S76" s="1" t="str">
        <f>IF($B76="","",$B76&amp;"|"&amp;COUNTIFS($B$7:$B76,$B76))</f>
        <v/>
      </c>
      <c r="T76" s="1" t="str">
        <f t="shared" si="19"/>
        <v/>
      </c>
      <c r="U76" s="1">
        <f t="shared" si="20"/>
        <v>0</v>
      </c>
      <c r="V76" s="1">
        <f t="shared" si="21"/>
        <v>2958465</v>
      </c>
      <c r="W76" s="1">
        <f t="shared" si="22"/>
        <v>0</v>
      </c>
      <c r="X76" s="1">
        <f t="shared" si="23"/>
        <v>0</v>
      </c>
      <c r="Y76" s="1">
        <f t="shared" si="24"/>
        <v>97200</v>
      </c>
      <c r="Z76" s="1">
        <f t="shared" si="25"/>
        <v>1</v>
      </c>
    </row>
    <row r="77" spans="1:26" ht="18" customHeight="1" x14ac:dyDescent="0.3">
      <c r="A77" s="2"/>
      <c r="B77" s="65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66"/>
      <c r="E77" s="66"/>
      <c r="F77" s="60"/>
      <c r="G77" s="67"/>
      <c r="H77" s="60"/>
      <c r="I77" s="68">
        <f t="shared" ca="1" si="13"/>
        <v>0</v>
      </c>
      <c r="J77" s="68">
        <f t="shared" ca="1" si="14"/>
        <v>0</v>
      </c>
      <c r="K77" s="68">
        <f t="shared" ca="1" si="15"/>
        <v>0</v>
      </c>
      <c r="L77" s="68">
        <f t="shared" ca="1" si="16"/>
        <v>0</v>
      </c>
      <c r="M77" s="69">
        <f t="shared" si="17"/>
        <v>0</v>
      </c>
      <c r="N77" s="65" t="str">
        <f t="shared" si="18"/>
        <v/>
      </c>
      <c r="O77" s="70" t="str">
        <f>IF(OR($C77="",$D77="",$F77=""),"",IF($F77="Aylık",EOMONTH($D77,0),($D77+MOD(SISTEM!$F$8-WEEKDAY($D77,2),7))))</f>
        <v/>
      </c>
      <c r="P77" s="61"/>
      <c r="Q77" s="2"/>
      <c r="R77" s="2"/>
      <c r="S77" s="1" t="str">
        <f>IF($B77="","",$B77&amp;"|"&amp;COUNTIFS($B$7:$B77,$B77))</f>
        <v/>
      </c>
      <c r="T77" s="1" t="str">
        <f t="shared" si="19"/>
        <v/>
      </c>
      <c r="U77" s="1">
        <f t="shared" si="20"/>
        <v>0</v>
      </c>
      <c r="V77" s="1">
        <f t="shared" si="21"/>
        <v>2958465</v>
      </c>
      <c r="W77" s="1">
        <f t="shared" si="22"/>
        <v>0</v>
      </c>
      <c r="X77" s="1">
        <f t="shared" si="23"/>
        <v>0</v>
      </c>
      <c r="Y77" s="1">
        <f t="shared" si="24"/>
        <v>97200</v>
      </c>
      <c r="Z77" s="1">
        <f t="shared" si="25"/>
        <v>1</v>
      </c>
    </row>
    <row r="78" spans="1:26" ht="18" customHeight="1" x14ac:dyDescent="0.3">
      <c r="A78" s="2"/>
      <c r="B78" s="65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66"/>
      <c r="E78" s="66"/>
      <c r="F78" s="60"/>
      <c r="G78" s="67"/>
      <c r="H78" s="60"/>
      <c r="I78" s="68">
        <f t="shared" ca="1" si="13"/>
        <v>0</v>
      </c>
      <c r="J78" s="68">
        <f t="shared" ca="1" si="14"/>
        <v>0</v>
      </c>
      <c r="K78" s="68">
        <f t="shared" ca="1" si="15"/>
        <v>0</v>
      </c>
      <c r="L78" s="68">
        <f t="shared" ca="1" si="16"/>
        <v>0</v>
      </c>
      <c r="M78" s="69">
        <f t="shared" si="17"/>
        <v>0</v>
      </c>
      <c r="N78" s="65" t="str">
        <f t="shared" si="18"/>
        <v/>
      </c>
      <c r="O78" s="70" t="str">
        <f>IF(OR($C78="",$D78="",$F78=""),"",IF($F78="Aylık",EOMONTH($D78,0),($D78+MOD(SISTEM!$F$8-WEEKDAY($D78,2),7))))</f>
        <v/>
      </c>
      <c r="P78" s="61"/>
      <c r="Q78" s="2"/>
      <c r="R78" s="2"/>
      <c r="S78" s="1" t="str">
        <f>IF($B78="","",$B78&amp;"|"&amp;COUNTIFS($B$7:$B78,$B78))</f>
        <v/>
      </c>
      <c r="T78" s="1" t="str">
        <f t="shared" si="19"/>
        <v/>
      </c>
      <c r="U78" s="1">
        <f t="shared" si="20"/>
        <v>0</v>
      </c>
      <c r="V78" s="1">
        <f t="shared" si="21"/>
        <v>2958465</v>
      </c>
      <c r="W78" s="1">
        <f t="shared" si="22"/>
        <v>0</v>
      </c>
      <c r="X78" s="1">
        <f t="shared" si="23"/>
        <v>0</v>
      </c>
      <c r="Y78" s="1">
        <f t="shared" si="24"/>
        <v>97200</v>
      </c>
      <c r="Z78" s="1">
        <f t="shared" si="25"/>
        <v>1</v>
      </c>
    </row>
    <row r="79" spans="1:26" ht="18" customHeight="1" x14ac:dyDescent="0.3">
      <c r="A79" s="2"/>
      <c r="B79" s="65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66"/>
      <c r="E79" s="66"/>
      <c r="F79" s="60"/>
      <c r="G79" s="67"/>
      <c r="H79" s="60"/>
      <c r="I79" s="68">
        <f t="shared" ca="1" si="13"/>
        <v>0</v>
      </c>
      <c r="J79" s="68">
        <f t="shared" ca="1" si="14"/>
        <v>0</v>
      </c>
      <c r="K79" s="68">
        <f t="shared" ca="1" si="15"/>
        <v>0</v>
      </c>
      <c r="L79" s="68">
        <f t="shared" ca="1" si="16"/>
        <v>0</v>
      </c>
      <c r="M79" s="69">
        <f t="shared" si="17"/>
        <v>0</v>
      </c>
      <c r="N79" s="65" t="str">
        <f t="shared" si="18"/>
        <v/>
      </c>
      <c r="O79" s="70" t="str">
        <f>IF(OR($C79="",$D79="",$F79=""),"",IF($F79="Aylık",EOMONTH($D79,0),($D79+MOD(SISTEM!$F$8-WEEKDAY($D79,2),7))))</f>
        <v/>
      </c>
      <c r="P79" s="61"/>
      <c r="Q79" s="2"/>
      <c r="R79" s="2"/>
      <c r="S79" s="1" t="str">
        <f>IF($B79="","",$B79&amp;"|"&amp;COUNTIFS($B$7:$B79,$B79))</f>
        <v/>
      </c>
      <c r="T79" s="1" t="str">
        <f t="shared" si="19"/>
        <v/>
      </c>
      <c r="U79" s="1">
        <f t="shared" si="20"/>
        <v>0</v>
      </c>
      <c r="V79" s="1">
        <f t="shared" si="21"/>
        <v>2958465</v>
      </c>
      <c r="W79" s="1">
        <f t="shared" si="22"/>
        <v>0</v>
      </c>
      <c r="X79" s="1">
        <f t="shared" si="23"/>
        <v>0</v>
      </c>
      <c r="Y79" s="1">
        <f t="shared" si="24"/>
        <v>97200</v>
      </c>
      <c r="Z79" s="1">
        <f t="shared" si="25"/>
        <v>1</v>
      </c>
    </row>
    <row r="80" spans="1:26" ht="18" customHeight="1" x14ac:dyDescent="0.3">
      <c r="A80" s="2"/>
      <c r="B80" s="65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66"/>
      <c r="E80" s="66"/>
      <c r="F80" s="60"/>
      <c r="G80" s="67"/>
      <c r="H80" s="60"/>
      <c r="I80" s="68">
        <f t="shared" ca="1" si="13"/>
        <v>0</v>
      </c>
      <c r="J80" s="68">
        <f t="shared" ca="1" si="14"/>
        <v>0</v>
      </c>
      <c r="K80" s="68">
        <f t="shared" ca="1" si="15"/>
        <v>0</v>
      </c>
      <c r="L80" s="68">
        <f t="shared" ca="1" si="16"/>
        <v>0</v>
      </c>
      <c r="M80" s="69">
        <f t="shared" si="17"/>
        <v>0</v>
      </c>
      <c r="N80" s="65" t="str">
        <f t="shared" si="18"/>
        <v/>
      </c>
      <c r="O80" s="70" t="str">
        <f>IF(OR($C80="",$D80="",$F80=""),"",IF($F80="Aylık",EOMONTH($D80,0),($D80+MOD(SISTEM!$F$8-WEEKDAY($D80,2),7))))</f>
        <v/>
      </c>
      <c r="P80" s="61"/>
      <c r="Q80" s="2"/>
      <c r="R80" s="2"/>
      <c r="S80" s="1" t="str">
        <f>IF($B80="","",$B80&amp;"|"&amp;COUNTIFS($B$7:$B80,$B80))</f>
        <v/>
      </c>
      <c r="T80" s="1" t="str">
        <f t="shared" si="19"/>
        <v/>
      </c>
      <c r="U80" s="1">
        <f t="shared" si="20"/>
        <v>0</v>
      </c>
      <c r="V80" s="1">
        <f t="shared" si="21"/>
        <v>2958465</v>
      </c>
      <c r="W80" s="1">
        <f t="shared" si="22"/>
        <v>0</v>
      </c>
      <c r="X80" s="1">
        <f t="shared" si="23"/>
        <v>0</v>
      </c>
      <c r="Y80" s="1">
        <f t="shared" si="24"/>
        <v>97200</v>
      </c>
      <c r="Z80" s="1">
        <f t="shared" si="25"/>
        <v>1</v>
      </c>
    </row>
    <row r="81" spans="1:26" ht="18" customHeight="1" x14ac:dyDescent="0.3">
      <c r="A81" s="2"/>
      <c r="B81" s="65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66"/>
      <c r="E81" s="66"/>
      <c r="F81" s="60"/>
      <c r="G81" s="67"/>
      <c r="H81" s="60"/>
      <c r="I81" s="68">
        <f t="shared" ca="1" si="13"/>
        <v>0</v>
      </c>
      <c r="J81" s="68">
        <f t="shared" ca="1" si="14"/>
        <v>0</v>
      </c>
      <c r="K81" s="68">
        <f t="shared" ca="1" si="15"/>
        <v>0</v>
      </c>
      <c r="L81" s="68">
        <f t="shared" ca="1" si="16"/>
        <v>0</v>
      </c>
      <c r="M81" s="69">
        <f t="shared" si="17"/>
        <v>0</v>
      </c>
      <c r="N81" s="65" t="str">
        <f t="shared" si="18"/>
        <v/>
      </c>
      <c r="O81" s="70" t="str">
        <f>IF(OR($C81="",$D81="",$F81=""),"",IF($F81="Aylık",EOMONTH($D81,0),($D81+MOD(SISTEM!$F$8-WEEKDAY($D81,2),7))))</f>
        <v/>
      </c>
      <c r="P81" s="61"/>
      <c r="Q81" s="2"/>
      <c r="R81" s="2"/>
      <c r="S81" s="1" t="str">
        <f>IF($B81="","",$B81&amp;"|"&amp;COUNTIFS($B$7:$B81,$B81))</f>
        <v/>
      </c>
      <c r="T81" s="1" t="str">
        <f t="shared" si="19"/>
        <v/>
      </c>
      <c r="U81" s="1">
        <f t="shared" si="20"/>
        <v>0</v>
      </c>
      <c r="V81" s="1">
        <f t="shared" si="21"/>
        <v>2958465</v>
      </c>
      <c r="W81" s="1">
        <f t="shared" si="22"/>
        <v>0</v>
      </c>
      <c r="X81" s="1">
        <f t="shared" si="23"/>
        <v>0</v>
      </c>
      <c r="Y81" s="1">
        <f t="shared" si="24"/>
        <v>97200</v>
      </c>
      <c r="Z81" s="1">
        <f t="shared" si="25"/>
        <v>1</v>
      </c>
    </row>
    <row r="82" spans="1:26" ht="18" customHeight="1" x14ac:dyDescent="0.3">
      <c r="A82" s="2"/>
      <c r="B82" s="65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66"/>
      <c r="E82" s="66"/>
      <c r="F82" s="60"/>
      <c r="G82" s="67"/>
      <c r="H82" s="60"/>
      <c r="I82" s="68">
        <f t="shared" ca="1" si="13"/>
        <v>0</v>
      </c>
      <c r="J82" s="68">
        <f t="shared" ca="1" si="14"/>
        <v>0</v>
      </c>
      <c r="K82" s="68">
        <f t="shared" ca="1" si="15"/>
        <v>0</v>
      </c>
      <c r="L82" s="68">
        <f t="shared" ca="1" si="16"/>
        <v>0</v>
      </c>
      <c r="M82" s="69">
        <f t="shared" si="17"/>
        <v>0</v>
      </c>
      <c r="N82" s="65" t="str">
        <f t="shared" si="18"/>
        <v/>
      </c>
      <c r="O82" s="70" t="str">
        <f>IF(OR($C82="",$D82="",$F82=""),"",IF($F82="Aylık",EOMONTH($D82,0),($D82+MOD(SISTEM!$F$8-WEEKDAY($D82,2),7))))</f>
        <v/>
      </c>
      <c r="P82" s="61"/>
      <c r="Q82" s="2"/>
      <c r="R82" s="2"/>
      <c r="S82" s="1" t="str">
        <f>IF($B82="","",$B82&amp;"|"&amp;COUNTIFS($B$7:$B82,$B82))</f>
        <v/>
      </c>
      <c r="T82" s="1" t="str">
        <f t="shared" si="19"/>
        <v/>
      </c>
      <c r="U82" s="1">
        <f t="shared" si="20"/>
        <v>0</v>
      </c>
      <c r="V82" s="1">
        <f t="shared" si="21"/>
        <v>2958465</v>
      </c>
      <c r="W82" s="1">
        <f t="shared" si="22"/>
        <v>0</v>
      </c>
      <c r="X82" s="1">
        <f t="shared" si="23"/>
        <v>0</v>
      </c>
      <c r="Y82" s="1">
        <f t="shared" si="24"/>
        <v>97200</v>
      </c>
      <c r="Z82" s="1">
        <f t="shared" si="25"/>
        <v>1</v>
      </c>
    </row>
    <row r="83" spans="1:26" ht="18" customHeight="1" x14ac:dyDescent="0.3">
      <c r="A83" s="2"/>
      <c r="B83" s="65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66"/>
      <c r="E83" s="66"/>
      <c r="F83" s="60"/>
      <c r="G83" s="67"/>
      <c r="H83" s="60"/>
      <c r="I83" s="68">
        <f t="shared" ca="1" si="13"/>
        <v>0</v>
      </c>
      <c r="J83" s="68">
        <f t="shared" ca="1" si="14"/>
        <v>0</v>
      </c>
      <c r="K83" s="68">
        <f t="shared" ca="1" si="15"/>
        <v>0</v>
      </c>
      <c r="L83" s="68">
        <f t="shared" ca="1" si="16"/>
        <v>0</v>
      </c>
      <c r="M83" s="69">
        <f t="shared" si="17"/>
        <v>0</v>
      </c>
      <c r="N83" s="65" t="str">
        <f t="shared" si="18"/>
        <v/>
      </c>
      <c r="O83" s="70" t="str">
        <f>IF(OR($C83="",$D83="",$F83=""),"",IF($F83="Aylık",EOMONTH($D83,0),($D83+MOD(SISTEM!$F$8-WEEKDAY($D83,2),7))))</f>
        <v/>
      </c>
      <c r="P83" s="61"/>
      <c r="Q83" s="2"/>
      <c r="R83" s="2"/>
      <c r="S83" s="1" t="str">
        <f>IF($B83="","",$B83&amp;"|"&amp;COUNTIFS($B$7:$B83,$B83))</f>
        <v/>
      </c>
      <c r="T83" s="1" t="str">
        <f t="shared" si="19"/>
        <v/>
      </c>
      <c r="U83" s="1">
        <f t="shared" si="20"/>
        <v>0</v>
      </c>
      <c r="V83" s="1">
        <f t="shared" si="21"/>
        <v>2958465</v>
      </c>
      <c r="W83" s="1">
        <f t="shared" si="22"/>
        <v>0</v>
      </c>
      <c r="X83" s="1">
        <f t="shared" si="23"/>
        <v>0</v>
      </c>
      <c r="Y83" s="1">
        <f t="shared" si="24"/>
        <v>97200</v>
      </c>
      <c r="Z83" s="1">
        <f t="shared" si="25"/>
        <v>1</v>
      </c>
    </row>
    <row r="84" spans="1:26" ht="18" customHeight="1" x14ac:dyDescent="0.3">
      <c r="A84" s="2"/>
      <c r="B84" s="65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66"/>
      <c r="E84" s="66"/>
      <c r="F84" s="60"/>
      <c r="G84" s="67"/>
      <c r="H84" s="60"/>
      <c r="I84" s="68">
        <f t="shared" ca="1" si="13"/>
        <v>0</v>
      </c>
      <c r="J84" s="68">
        <f t="shared" ca="1" si="14"/>
        <v>0</v>
      </c>
      <c r="K84" s="68">
        <f t="shared" ca="1" si="15"/>
        <v>0</v>
      </c>
      <c r="L84" s="68">
        <f t="shared" ca="1" si="16"/>
        <v>0</v>
      </c>
      <c r="M84" s="69">
        <f t="shared" si="17"/>
        <v>0</v>
      </c>
      <c r="N84" s="65" t="str">
        <f t="shared" si="18"/>
        <v/>
      </c>
      <c r="O84" s="70" t="str">
        <f>IF(OR($C84="",$D84="",$F84=""),"",IF($F84="Aylık",EOMONTH($D84,0),($D84+MOD(SISTEM!$F$8-WEEKDAY($D84,2),7))))</f>
        <v/>
      </c>
      <c r="P84" s="61"/>
      <c r="Q84" s="2"/>
      <c r="R84" s="2"/>
      <c r="S84" s="1" t="str">
        <f>IF($B84="","",$B84&amp;"|"&amp;COUNTIFS($B$7:$B84,$B84))</f>
        <v/>
      </c>
      <c r="T84" s="1" t="str">
        <f t="shared" si="19"/>
        <v/>
      </c>
      <c r="U84" s="1">
        <f t="shared" si="20"/>
        <v>0</v>
      </c>
      <c r="V84" s="1">
        <f t="shared" si="21"/>
        <v>2958465</v>
      </c>
      <c r="W84" s="1">
        <f t="shared" si="22"/>
        <v>0</v>
      </c>
      <c r="X84" s="1">
        <f t="shared" si="23"/>
        <v>0</v>
      </c>
      <c r="Y84" s="1">
        <f t="shared" si="24"/>
        <v>97200</v>
      </c>
      <c r="Z84" s="1">
        <f t="shared" si="25"/>
        <v>1</v>
      </c>
    </row>
    <row r="85" spans="1:26" ht="18" customHeight="1" x14ac:dyDescent="0.3">
      <c r="A85" s="2"/>
      <c r="B85" s="65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66"/>
      <c r="E85" s="66"/>
      <c r="F85" s="60"/>
      <c r="G85" s="67"/>
      <c r="H85" s="60"/>
      <c r="I85" s="68">
        <f t="shared" ca="1" si="13"/>
        <v>0</v>
      </c>
      <c r="J85" s="68">
        <f t="shared" ca="1" si="14"/>
        <v>0</v>
      </c>
      <c r="K85" s="68">
        <f t="shared" ca="1" si="15"/>
        <v>0</v>
      </c>
      <c r="L85" s="68">
        <f t="shared" ca="1" si="16"/>
        <v>0</v>
      </c>
      <c r="M85" s="69">
        <f t="shared" si="17"/>
        <v>0</v>
      </c>
      <c r="N85" s="65" t="str">
        <f t="shared" si="18"/>
        <v/>
      </c>
      <c r="O85" s="70" t="str">
        <f>IF(OR($C85="",$D85="",$F85=""),"",IF($F85="Aylık",EOMONTH($D85,0),($D85+MOD(SISTEM!$F$8-WEEKDAY($D85,2),7))))</f>
        <v/>
      </c>
      <c r="P85" s="61"/>
      <c r="Q85" s="2"/>
      <c r="R85" s="2"/>
      <c r="S85" s="1" t="str">
        <f>IF($B85="","",$B85&amp;"|"&amp;COUNTIFS($B$7:$B85,$B85))</f>
        <v/>
      </c>
      <c r="T85" s="1" t="str">
        <f t="shared" si="19"/>
        <v/>
      </c>
      <c r="U85" s="1">
        <f t="shared" si="20"/>
        <v>0</v>
      </c>
      <c r="V85" s="1">
        <f t="shared" si="21"/>
        <v>2958465</v>
      </c>
      <c r="W85" s="1">
        <f t="shared" si="22"/>
        <v>0</v>
      </c>
      <c r="X85" s="1">
        <f t="shared" si="23"/>
        <v>0</v>
      </c>
      <c r="Y85" s="1">
        <f t="shared" si="24"/>
        <v>97200</v>
      </c>
      <c r="Z85" s="1">
        <f t="shared" si="25"/>
        <v>1</v>
      </c>
    </row>
    <row r="86" spans="1:26" ht="18" customHeight="1" x14ac:dyDescent="0.3">
      <c r="A86" s="2"/>
      <c r="B86" s="65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66"/>
      <c r="E86" s="66"/>
      <c r="F86" s="60"/>
      <c r="G86" s="67"/>
      <c r="H86" s="60"/>
      <c r="I86" s="68">
        <f t="shared" ca="1" si="13"/>
        <v>0</v>
      </c>
      <c r="J86" s="68">
        <f t="shared" ca="1" si="14"/>
        <v>0</v>
      </c>
      <c r="K86" s="68">
        <f t="shared" ca="1" si="15"/>
        <v>0</v>
      </c>
      <c r="L86" s="68">
        <f t="shared" ca="1" si="16"/>
        <v>0</v>
      </c>
      <c r="M86" s="69">
        <f t="shared" si="17"/>
        <v>0</v>
      </c>
      <c r="N86" s="65" t="str">
        <f t="shared" si="18"/>
        <v/>
      </c>
      <c r="O86" s="70" t="str">
        <f>IF(OR($C86="",$D86="",$F86=""),"",IF($F86="Aylık",EOMONTH($D86,0),($D86+MOD(SISTEM!$F$8-WEEKDAY($D86,2),7))))</f>
        <v/>
      </c>
      <c r="P86" s="61"/>
      <c r="Q86" s="2"/>
      <c r="R86" s="2"/>
      <c r="S86" s="1" t="str">
        <f>IF($B86="","",$B86&amp;"|"&amp;COUNTIFS($B$7:$B86,$B86))</f>
        <v/>
      </c>
      <c r="T86" s="1" t="str">
        <f t="shared" si="19"/>
        <v/>
      </c>
      <c r="U86" s="1">
        <f t="shared" si="20"/>
        <v>0</v>
      </c>
      <c r="V86" s="1">
        <f t="shared" si="21"/>
        <v>2958465</v>
      </c>
      <c r="W86" s="1">
        <f t="shared" si="22"/>
        <v>0</v>
      </c>
      <c r="X86" s="1">
        <f t="shared" si="23"/>
        <v>0</v>
      </c>
      <c r="Y86" s="1">
        <f t="shared" si="24"/>
        <v>97200</v>
      </c>
      <c r="Z86" s="1">
        <f t="shared" si="25"/>
        <v>1</v>
      </c>
    </row>
    <row r="87" spans="1:26" ht="18" customHeight="1" x14ac:dyDescent="0.3">
      <c r="A87" s="2"/>
      <c r="B87" s="65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66"/>
      <c r="E87" s="66"/>
      <c r="F87" s="60"/>
      <c r="G87" s="67"/>
      <c r="H87" s="60"/>
      <c r="I87" s="68">
        <f t="shared" ca="1" si="13"/>
        <v>0</v>
      </c>
      <c r="J87" s="68">
        <f t="shared" ca="1" si="14"/>
        <v>0</v>
      </c>
      <c r="K87" s="68">
        <f t="shared" ca="1" si="15"/>
        <v>0</v>
      </c>
      <c r="L87" s="68">
        <f t="shared" ca="1" si="16"/>
        <v>0</v>
      </c>
      <c r="M87" s="69">
        <f t="shared" si="17"/>
        <v>0</v>
      </c>
      <c r="N87" s="65" t="str">
        <f t="shared" si="18"/>
        <v/>
      </c>
      <c r="O87" s="70" t="str">
        <f>IF(OR($C87="",$D87="",$F87=""),"",IF($F87="Aylık",EOMONTH($D87,0),($D87+MOD(SISTEM!$F$8-WEEKDAY($D87,2),7))))</f>
        <v/>
      </c>
      <c r="P87" s="61"/>
      <c r="Q87" s="2"/>
      <c r="R87" s="2"/>
      <c r="S87" s="1" t="str">
        <f>IF($B87="","",$B87&amp;"|"&amp;COUNTIFS($B$7:$B87,$B87))</f>
        <v/>
      </c>
      <c r="T87" s="1" t="str">
        <f t="shared" si="19"/>
        <v/>
      </c>
      <c r="U87" s="1">
        <f t="shared" si="20"/>
        <v>0</v>
      </c>
      <c r="V87" s="1">
        <f t="shared" si="21"/>
        <v>2958465</v>
      </c>
      <c r="W87" s="1">
        <f t="shared" si="22"/>
        <v>0</v>
      </c>
      <c r="X87" s="1">
        <f t="shared" si="23"/>
        <v>0</v>
      </c>
      <c r="Y87" s="1">
        <f t="shared" si="24"/>
        <v>97200</v>
      </c>
      <c r="Z87" s="1">
        <f t="shared" si="25"/>
        <v>1</v>
      </c>
    </row>
    <row r="88" spans="1:26" ht="18" customHeight="1" x14ac:dyDescent="0.3">
      <c r="A88" s="2"/>
      <c r="B88" s="65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66"/>
      <c r="E88" s="66"/>
      <c r="F88" s="60"/>
      <c r="G88" s="67"/>
      <c r="H88" s="60"/>
      <c r="I88" s="68">
        <f t="shared" ca="1" si="13"/>
        <v>0</v>
      </c>
      <c r="J88" s="68">
        <f t="shared" ca="1" si="14"/>
        <v>0</v>
      </c>
      <c r="K88" s="68">
        <f t="shared" ca="1" si="15"/>
        <v>0</v>
      </c>
      <c r="L88" s="68">
        <f t="shared" ca="1" si="16"/>
        <v>0</v>
      </c>
      <c r="M88" s="69">
        <f t="shared" si="17"/>
        <v>0</v>
      </c>
      <c r="N88" s="65" t="str">
        <f t="shared" si="18"/>
        <v/>
      </c>
      <c r="O88" s="70" t="str">
        <f>IF(OR($C88="",$D88="",$F88=""),"",IF($F88="Aylık",EOMONTH($D88,0),($D88+MOD(SISTEM!$F$8-WEEKDAY($D88,2),7))))</f>
        <v/>
      </c>
      <c r="P88" s="61"/>
      <c r="Q88" s="2"/>
      <c r="R88" s="2"/>
      <c r="S88" s="1" t="str">
        <f>IF($B88="","",$B88&amp;"|"&amp;COUNTIFS($B$7:$B88,$B88))</f>
        <v/>
      </c>
      <c r="T88" s="1" t="str">
        <f t="shared" si="19"/>
        <v/>
      </c>
      <c r="U88" s="1">
        <f t="shared" si="20"/>
        <v>0</v>
      </c>
      <c r="V88" s="1">
        <f t="shared" si="21"/>
        <v>2958465</v>
      </c>
      <c r="W88" s="1">
        <f t="shared" si="22"/>
        <v>0</v>
      </c>
      <c r="X88" s="1">
        <f t="shared" si="23"/>
        <v>0</v>
      </c>
      <c r="Y88" s="1">
        <f t="shared" si="24"/>
        <v>97200</v>
      </c>
      <c r="Z88" s="1">
        <f t="shared" si="25"/>
        <v>1</v>
      </c>
    </row>
    <row r="89" spans="1:26" ht="18" customHeight="1" x14ac:dyDescent="0.3">
      <c r="A89" s="2"/>
      <c r="B89" s="65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66"/>
      <c r="E89" s="66"/>
      <c r="F89" s="60"/>
      <c r="G89" s="67"/>
      <c r="H89" s="60"/>
      <c r="I89" s="68">
        <f t="shared" ca="1" si="13"/>
        <v>0</v>
      </c>
      <c r="J89" s="68">
        <f t="shared" ca="1" si="14"/>
        <v>0</v>
      </c>
      <c r="K89" s="68">
        <f t="shared" ca="1" si="15"/>
        <v>0</v>
      </c>
      <c r="L89" s="68">
        <f t="shared" ca="1" si="16"/>
        <v>0</v>
      </c>
      <c r="M89" s="69">
        <f t="shared" si="17"/>
        <v>0</v>
      </c>
      <c r="N89" s="65" t="str">
        <f t="shared" si="18"/>
        <v/>
      </c>
      <c r="O89" s="70" t="str">
        <f>IF(OR($C89="",$D89="",$F89=""),"",IF($F89="Aylık",EOMONTH($D89,0),($D89+MOD(SISTEM!$F$8-WEEKDAY($D89,2),7))))</f>
        <v/>
      </c>
      <c r="P89" s="61"/>
      <c r="Q89" s="2"/>
      <c r="R89" s="2"/>
      <c r="S89" s="1" t="str">
        <f>IF($B89="","",$B89&amp;"|"&amp;COUNTIFS($B$7:$B89,$B89))</f>
        <v/>
      </c>
      <c r="T89" s="1" t="str">
        <f t="shared" si="19"/>
        <v/>
      </c>
      <c r="U89" s="1">
        <f t="shared" si="20"/>
        <v>0</v>
      </c>
      <c r="V89" s="1">
        <f t="shared" si="21"/>
        <v>2958465</v>
      </c>
      <c r="W89" s="1">
        <f t="shared" si="22"/>
        <v>0</v>
      </c>
      <c r="X89" s="1">
        <f t="shared" si="23"/>
        <v>0</v>
      </c>
      <c r="Y89" s="1">
        <f t="shared" si="24"/>
        <v>97200</v>
      </c>
      <c r="Z89" s="1">
        <f t="shared" si="25"/>
        <v>1</v>
      </c>
    </row>
    <row r="90" spans="1:26" ht="18" customHeight="1" x14ac:dyDescent="0.3">
      <c r="A90" s="2"/>
      <c r="B90" s="65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66"/>
      <c r="E90" s="66"/>
      <c r="F90" s="60"/>
      <c r="G90" s="67"/>
      <c r="H90" s="60"/>
      <c r="I90" s="68">
        <f t="shared" ca="1" si="13"/>
        <v>0</v>
      </c>
      <c r="J90" s="68">
        <f t="shared" ca="1" si="14"/>
        <v>0</v>
      </c>
      <c r="K90" s="68">
        <f t="shared" ca="1" si="15"/>
        <v>0</v>
      </c>
      <c r="L90" s="68">
        <f t="shared" ca="1" si="16"/>
        <v>0</v>
      </c>
      <c r="M90" s="69">
        <f t="shared" si="17"/>
        <v>0</v>
      </c>
      <c r="N90" s="65" t="str">
        <f t="shared" si="18"/>
        <v/>
      </c>
      <c r="O90" s="70" t="str">
        <f>IF(OR($C90="",$D90="",$F90=""),"",IF($F90="Aylık",EOMONTH($D90,0),($D90+MOD(SISTEM!$F$8-WEEKDAY($D90,2),7))))</f>
        <v/>
      </c>
      <c r="P90" s="61"/>
      <c r="Q90" s="2"/>
      <c r="R90" s="2"/>
      <c r="S90" s="1" t="str">
        <f>IF($B90="","",$B90&amp;"|"&amp;COUNTIFS($B$7:$B90,$B90))</f>
        <v/>
      </c>
      <c r="T90" s="1" t="str">
        <f t="shared" si="19"/>
        <v/>
      </c>
      <c r="U90" s="1">
        <f t="shared" si="20"/>
        <v>0</v>
      </c>
      <c r="V90" s="1">
        <f t="shared" si="21"/>
        <v>2958465</v>
      </c>
      <c r="W90" s="1">
        <f t="shared" si="22"/>
        <v>0</v>
      </c>
      <c r="X90" s="1">
        <f t="shared" si="23"/>
        <v>0</v>
      </c>
      <c r="Y90" s="1">
        <f t="shared" si="24"/>
        <v>97200</v>
      </c>
      <c r="Z90" s="1">
        <f t="shared" si="25"/>
        <v>1</v>
      </c>
    </row>
    <row r="91" spans="1:26" ht="18" customHeight="1" x14ac:dyDescent="0.3">
      <c r="A91" s="2"/>
      <c r="B91" s="65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66"/>
      <c r="E91" s="66"/>
      <c r="F91" s="60"/>
      <c r="G91" s="67"/>
      <c r="H91" s="60"/>
      <c r="I91" s="68">
        <f t="shared" ca="1" si="13"/>
        <v>0</v>
      </c>
      <c r="J91" s="68">
        <f t="shared" ca="1" si="14"/>
        <v>0</v>
      </c>
      <c r="K91" s="68">
        <f t="shared" ca="1" si="15"/>
        <v>0</v>
      </c>
      <c r="L91" s="68">
        <f t="shared" ca="1" si="16"/>
        <v>0</v>
      </c>
      <c r="M91" s="69">
        <f t="shared" si="17"/>
        <v>0</v>
      </c>
      <c r="N91" s="65" t="str">
        <f t="shared" si="18"/>
        <v/>
      </c>
      <c r="O91" s="70" t="str">
        <f>IF(OR($C91="",$D91="",$F91=""),"",IF($F91="Aylık",EOMONTH($D91,0),($D91+MOD(SISTEM!$F$8-WEEKDAY($D91,2),7))))</f>
        <v/>
      </c>
      <c r="P91" s="61"/>
      <c r="Q91" s="2"/>
      <c r="R91" s="2"/>
      <c r="S91" s="1" t="str">
        <f>IF($B91="","",$B91&amp;"|"&amp;COUNTIFS($B$7:$B91,$B91))</f>
        <v/>
      </c>
      <c r="T91" s="1" t="str">
        <f t="shared" si="19"/>
        <v/>
      </c>
      <c r="U91" s="1">
        <f t="shared" si="20"/>
        <v>0</v>
      </c>
      <c r="V91" s="1">
        <f t="shared" si="21"/>
        <v>2958465</v>
      </c>
      <c r="W91" s="1">
        <f t="shared" si="22"/>
        <v>0</v>
      </c>
      <c r="X91" s="1">
        <f t="shared" si="23"/>
        <v>0</v>
      </c>
      <c r="Y91" s="1">
        <f t="shared" si="24"/>
        <v>97200</v>
      </c>
      <c r="Z91" s="1">
        <f t="shared" si="25"/>
        <v>1</v>
      </c>
    </row>
    <row r="92" spans="1:26" ht="18" customHeight="1" x14ac:dyDescent="0.3">
      <c r="A92" s="2"/>
      <c r="B92" s="65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66"/>
      <c r="E92" s="66"/>
      <c r="F92" s="60"/>
      <c r="G92" s="67"/>
      <c r="H92" s="60"/>
      <c r="I92" s="68">
        <f t="shared" ca="1" si="13"/>
        <v>0</v>
      </c>
      <c r="J92" s="68">
        <f t="shared" ca="1" si="14"/>
        <v>0</v>
      </c>
      <c r="K92" s="68">
        <f t="shared" ca="1" si="15"/>
        <v>0</v>
      </c>
      <c r="L92" s="68">
        <f t="shared" ca="1" si="16"/>
        <v>0</v>
      </c>
      <c r="M92" s="69">
        <f t="shared" si="17"/>
        <v>0</v>
      </c>
      <c r="N92" s="65" t="str">
        <f t="shared" si="18"/>
        <v/>
      </c>
      <c r="O92" s="70" t="str">
        <f>IF(OR($C92="",$D92="",$F92=""),"",IF($F92="Aylık",EOMONTH($D92,0),($D92+MOD(SISTEM!$F$8-WEEKDAY($D92,2),7))))</f>
        <v/>
      </c>
      <c r="P92" s="61"/>
      <c r="Q92" s="2"/>
      <c r="R92" s="2"/>
      <c r="S92" s="1" t="str">
        <f>IF($B92="","",$B92&amp;"|"&amp;COUNTIFS($B$7:$B92,$B92))</f>
        <v/>
      </c>
      <c r="T92" s="1" t="str">
        <f t="shared" si="19"/>
        <v/>
      </c>
      <c r="U92" s="1">
        <f t="shared" si="20"/>
        <v>0</v>
      </c>
      <c r="V92" s="1">
        <f t="shared" si="21"/>
        <v>2958465</v>
      </c>
      <c r="W92" s="1">
        <f t="shared" si="22"/>
        <v>0</v>
      </c>
      <c r="X92" s="1">
        <f t="shared" si="23"/>
        <v>0</v>
      </c>
      <c r="Y92" s="1">
        <f t="shared" si="24"/>
        <v>97200</v>
      </c>
      <c r="Z92" s="1">
        <f t="shared" si="25"/>
        <v>1</v>
      </c>
    </row>
    <row r="93" spans="1:26" ht="18" customHeight="1" x14ac:dyDescent="0.3">
      <c r="A93" s="2"/>
      <c r="B93" s="65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66"/>
      <c r="E93" s="66"/>
      <c r="F93" s="60"/>
      <c r="G93" s="67"/>
      <c r="H93" s="60"/>
      <c r="I93" s="68">
        <f t="shared" ca="1" si="13"/>
        <v>0</v>
      </c>
      <c r="J93" s="68">
        <f t="shared" ca="1" si="14"/>
        <v>0</v>
      </c>
      <c r="K93" s="68">
        <f t="shared" ca="1" si="15"/>
        <v>0</v>
      </c>
      <c r="L93" s="68">
        <f t="shared" ca="1" si="16"/>
        <v>0</v>
      </c>
      <c r="M93" s="69">
        <f t="shared" si="17"/>
        <v>0</v>
      </c>
      <c r="N93" s="65" t="str">
        <f t="shared" si="18"/>
        <v/>
      </c>
      <c r="O93" s="70" t="str">
        <f>IF(OR($C93="",$D93="",$F93=""),"",IF($F93="Aylık",EOMONTH($D93,0),($D93+MOD(SISTEM!$F$8-WEEKDAY($D93,2),7))))</f>
        <v/>
      </c>
      <c r="P93" s="61"/>
      <c r="Q93" s="2"/>
      <c r="R93" s="2"/>
      <c r="S93" s="1" t="str">
        <f>IF($B93="","",$B93&amp;"|"&amp;COUNTIFS($B$7:$B93,$B93))</f>
        <v/>
      </c>
      <c r="T93" s="1" t="str">
        <f t="shared" si="19"/>
        <v/>
      </c>
      <c r="U93" s="1">
        <f t="shared" si="20"/>
        <v>0</v>
      </c>
      <c r="V93" s="1">
        <f t="shared" si="21"/>
        <v>2958465</v>
      </c>
      <c r="W93" s="1">
        <f t="shared" si="22"/>
        <v>0</v>
      </c>
      <c r="X93" s="1">
        <f t="shared" si="23"/>
        <v>0</v>
      </c>
      <c r="Y93" s="1">
        <f t="shared" si="24"/>
        <v>97200</v>
      </c>
      <c r="Z93" s="1">
        <f t="shared" si="25"/>
        <v>1</v>
      </c>
    </row>
    <row r="94" spans="1:26" ht="18" customHeight="1" x14ac:dyDescent="0.3">
      <c r="A94" s="2"/>
      <c r="B94" s="65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66"/>
      <c r="E94" s="66"/>
      <c r="F94" s="60"/>
      <c r="G94" s="67"/>
      <c r="H94" s="60"/>
      <c r="I94" s="68">
        <f t="shared" ca="1" si="13"/>
        <v>0</v>
      </c>
      <c r="J94" s="68">
        <f t="shared" ca="1" si="14"/>
        <v>0</v>
      </c>
      <c r="K94" s="68">
        <f t="shared" ca="1" si="15"/>
        <v>0</v>
      </c>
      <c r="L94" s="68">
        <f t="shared" ca="1" si="16"/>
        <v>0</v>
      </c>
      <c r="M94" s="69">
        <f t="shared" si="17"/>
        <v>0</v>
      </c>
      <c r="N94" s="65" t="str">
        <f t="shared" si="18"/>
        <v/>
      </c>
      <c r="O94" s="70" t="str">
        <f>IF(OR($C94="",$D94="",$F94=""),"",IF($F94="Aylık",EOMONTH($D94,0),($D94+MOD(SISTEM!$F$8-WEEKDAY($D94,2),7))))</f>
        <v/>
      </c>
      <c r="P94" s="61"/>
      <c r="Q94" s="2"/>
      <c r="R94" s="2"/>
      <c r="S94" s="1" t="str">
        <f>IF($B94="","",$B94&amp;"|"&amp;COUNTIFS($B$7:$B94,$B94))</f>
        <v/>
      </c>
      <c r="T94" s="1" t="str">
        <f t="shared" si="19"/>
        <v/>
      </c>
      <c r="U94" s="1">
        <f t="shared" si="20"/>
        <v>0</v>
      </c>
      <c r="V94" s="1">
        <f t="shared" si="21"/>
        <v>2958465</v>
      </c>
      <c r="W94" s="1">
        <f t="shared" si="22"/>
        <v>0</v>
      </c>
      <c r="X94" s="1">
        <f t="shared" si="23"/>
        <v>0</v>
      </c>
      <c r="Y94" s="1">
        <f t="shared" si="24"/>
        <v>97200</v>
      </c>
      <c r="Z94" s="1">
        <f t="shared" si="25"/>
        <v>1</v>
      </c>
    </row>
    <row r="95" spans="1:26" ht="18" customHeight="1" x14ac:dyDescent="0.3">
      <c r="A95" s="2"/>
      <c r="B95" s="65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66"/>
      <c r="E95" s="66"/>
      <c r="F95" s="60"/>
      <c r="G95" s="67"/>
      <c r="H95" s="60"/>
      <c r="I95" s="68">
        <f t="shared" ca="1" si="13"/>
        <v>0</v>
      </c>
      <c r="J95" s="68">
        <f t="shared" ca="1" si="14"/>
        <v>0</v>
      </c>
      <c r="K95" s="68">
        <f t="shared" ca="1" si="15"/>
        <v>0</v>
      </c>
      <c r="L95" s="68">
        <f t="shared" ca="1" si="16"/>
        <v>0</v>
      </c>
      <c r="M95" s="69">
        <f t="shared" si="17"/>
        <v>0</v>
      </c>
      <c r="N95" s="65" t="str">
        <f t="shared" si="18"/>
        <v/>
      </c>
      <c r="O95" s="70" t="str">
        <f>IF(OR($C95="",$D95="",$F95=""),"",IF($F95="Aylık",EOMONTH($D95,0),($D95+MOD(SISTEM!$F$8-WEEKDAY($D95,2),7))))</f>
        <v/>
      </c>
      <c r="P95" s="61"/>
      <c r="Q95" s="2"/>
      <c r="R95" s="2"/>
      <c r="S95" s="1" t="str">
        <f>IF($B95="","",$B95&amp;"|"&amp;COUNTIFS($B$7:$B95,$B95))</f>
        <v/>
      </c>
      <c r="T95" s="1" t="str">
        <f t="shared" si="19"/>
        <v/>
      </c>
      <c r="U95" s="1">
        <f t="shared" si="20"/>
        <v>0</v>
      </c>
      <c r="V95" s="1">
        <f t="shared" si="21"/>
        <v>2958465</v>
      </c>
      <c r="W95" s="1">
        <f t="shared" si="22"/>
        <v>0</v>
      </c>
      <c r="X95" s="1">
        <f t="shared" si="23"/>
        <v>0</v>
      </c>
      <c r="Y95" s="1">
        <f t="shared" si="24"/>
        <v>97200</v>
      </c>
      <c r="Z95" s="1">
        <f t="shared" si="25"/>
        <v>1</v>
      </c>
    </row>
    <row r="96" spans="1:26" ht="18" customHeight="1" x14ac:dyDescent="0.3">
      <c r="A96" s="2"/>
      <c r="B96" s="65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66"/>
      <c r="E96" s="66"/>
      <c r="F96" s="60"/>
      <c r="G96" s="67"/>
      <c r="H96" s="60"/>
      <c r="I96" s="68">
        <f t="shared" ca="1" si="13"/>
        <v>0</v>
      </c>
      <c r="J96" s="68">
        <f t="shared" ca="1" si="14"/>
        <v>0</v>
      </c>
      <c r="K96" s="68">
        <f t="shared" ca="1" si="15"/>
        <v>0</v>
      </c>
      <c r="L96" s="68">
        <f t="shared" ca="1" si="16"/>
        <v>0</v>
      </c>
      <c r="M96" s="69">
        <f t="shared" si="17"/>
        <v>0</v>
      </c>
      <c r="N96" s="65" t="str">
        <f t="shared" si="18"/>
        <v/>
      </c>
      <c r="O96" s="70" t="str">
        <f>IF(OR($C96="",$D96="",$F96=""),"",IF($F96="Aylık",EOMONTH($D96,0),($D96+MOD(SISTEM!$F$8-WEEKDAY($D96,2),7))))</f>
        <v/>
      </c>
      <c r="P96" s="61"/>
      <c r="Q96" s="2"/>
      <c r="R96" s="2"/>
      <c r="S96" s="1" t="str">
        <f>IF($B96="","",$B96&amp;"|"&amp;COUNTIFS($B$7:$B96,$B96))</f>
        <v/>
      </c>
      <c r="T96" s="1" t="str">
        <f t="shared" si="19"/>
        <v/>
      </c>
      <c r="U96" s="1">
        <f t="shared" si="20"/>
        <v>0</v>
      </c>
      <c r="V96" s="1">
        <f t="shared" si="21"/>
        <v>2958465</v>
      </c>
      <c r="W96" s="1">
        <f t="shared" si="22"/>
        <v>0</v>
      </c>
      <c r="X96" s="1">
        <f t="shared" si="23"/>
        <v>0</v>
      </c>
      <c r="Y96" s="1">
        <f t="shared" si="24"/>
        <v>97200</v>
      </c>
      <c r="Z96" s="1">
        <f t="shared" si="25"/>
        <v>1</v>
      </c>
    </row>
    <row r="97" spans="1:26" ht="18" customHeight="1" x14ac:dyDescent="0.3">
      <c r="A97" s="2"/>
      <c r="B97" s="65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66"/>
      <c r="E97" s="66"/>
      <c r="F97" s="60"/>
      <c r="G97" s="67"/>
      <c r="H97" s="60"/>
      <c r="I97" s="68">
        <f t="shared" ca="1" si="13"/>
        <v>0</v>
      </c>
      <c r="J97" s="68">
        <f t="shared" ca="1" si="14"/>
        <v>0</v>
      </c>
      <c r="K97" s="68">
        <f t="shared" ca="1" si="15"/>
        <v>0</v>
      </c>
      <c r="L97" s="68">
        <f t="shared" ca="1" si="16"/>
        <v>0</v>
      </c>
      <c r="M97" s="69">
        <f t="shared" si="17"/>
        <v>0</v>
      </c>
      <c r="N97" s="65" t="str">
        <f t="shared" si="18"/>
        <v/>
      </c>
      <c r="O97" s="70" t="str">
        <f>IF(OR($C97="",$D97="",$F97=""),"",IF($F97="Aylık",EOMONTH($D97,0),($D97+MOD(SISTEM!$F$8-WEEKDAY($D97,2),7))))</f>
        <v/>
      </c>
      <c r="P97" s="61"/>
      <c r="Q97" s="2"/>
      <c r="R97" s="2"/>
      <c r="S97" s="1" t="str">
        <f>IF($B97="","",$B97&amp;"|"&amp;COUNTIFS($B$7:$B97,$B97))</f>
        <v/>
      </c>
      <c r="T97" s="1" t="str">
        <f t="shared" si="19"/>
        <v/>
      </c>
      <c r="U97" s="1">
        <f t="shared" si="20"/>
        <v>0</v>
      </c>
      <c r="V97" s="1">
        <f t="shared" si="21"/>
        <v>2958465</v>
      </c>
      <c r="W97" s="1">
        <f t="shared" si="22"/>
        <v>0</v>
      </c>
      <c r="X97" s="1">
        <f t="shared" si="23"/>
        <v>0</v>
      </c>
      <c r="Y97" s="1">
        <f t="shared" si="24"/>
        <v>97200</v>
      </c>
      <c r="Z97" s="1">
        <f t="shared" si="25"/>
        <v>1</v>
      </c>
    </row>
    <row r="98" spans="1:26" ht="18" customHeight="1" x14ac:dyDescent="0.3">
      <c r="A98" s="2"/>
      <c r="B98" s="65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66"/>
      <c r="E98" s="66"/>
      <c r="F98" s="60"/>
      <c r="G98" s="67"/>
      <c r="H98" s="60"/>
      <c r="I98" s="68">
        <f t="shared" ca="1" si="13"/>
        <v>0</v>
      </c>
      <c r="J98" s="68">
        <f t="shared" ca="1" si="14"/>
        <v>0</v>
      </c>
      <c r="K98" s="68">
        <f t="shared" ca="1" si="15"/>
        <v>0</v>
      </c>
      <c r="L98" s="68">
        <f t="shared" ca="1" si="16"/>
        <v>0</v>
      </c>
      <c r="M98" s="69">
        <f t="shared" si="17"/>
        <v>0</v>
      </c>
      <c r="N98" s="65" t="str">
        <f t="shared" si="18"/>
        <v/>
      </c>
      <c r="O98" s="70" t="str">
        <f>IF(OR($C98="",$D98="",$F98=""),"",IF($F98="Aylık",EOMONTH($D98,0),($D98+MOD(SISTEM!$F$8-WEEKDAY($D98,2),7))))</f>
        <v/>
      </c>
      <c r="P98" s="61"/>
      <c r="Q98" s="2"/>
      <c r="R98" s="2"/>
      <c r="S98" s="1" t="str">
        <f>IF($B98="","",$B98&amp;"|"&amp;COUNTIFS($B$7:$B98,$B98))</f>
        <v/>
      </c>
      <c r="T98" s="1" t="str">
        <f t="shared" si="19"/>
        <v/>
      </c>
      <c r="U98" s="1">
        <f t="shared" si="20"/>
        <v>0</v>
      </c>
      <c r="V98" s="1">
        <f t="shared" si="21"/>
        <v>2958465</v>
      </c>
      <c r="W98" s="1">
        <f t="shared" si="22"/>
        <v>0</v>
      </c>
      <c r="X98" s="1">
        <f t="shared" si="23"/>
        <v>0</v>
      </c>
      <c r="Y98" s="1">
        <f t="shared" si="24"/>
        <v>97200</v>
      </c>
      <c r="Z98" s="1">
        <f t="shared" si="25"/>
        <v>1</v>
      </c>
    </row>
    <row r="99" spans="1:26" ht="18" customHeight="1" x14ac:dyDescent="0.3">
      <c r="A99" s="2"/>
      <c r="B99" s="65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66"/>
      <c r="E99" s="66"/>
      <c r="F99" s="60"/>
      <c r="G99" s="67"/>
      <c r="H99" s="60"/>
      <c r="I99" s="68">
        <f t="shared" ca="1" si="13"/>
        <v>0</v>
      </c>
      <c r="J99" s="68">
        <f t="shared" ca="1" si="14"/>
        <v>0</v>
      </c>
      <c r="K99" s="68">
        <f t="shared" ca="1" si="15"/>
        <v>0</v>
      </c>
      <c r="L99" s="68">
        <f t="shared" ca="1" si="16"/>
        <v>0</v>
      </c>
      <c r="M99" s="69">
        <f t="shared" si="17"/>
        <v>0</v>
      </c>
      <c r="N99" s="65" t="str">
        <f t="shared" si="18"/>
        <v/>
      </c>
      <c r="O99" s="70" t="str">
        <f>IF(OR($C99="",$D99="",$F99=""),"",IF($F99="Aylık",EOMONTH($D99,0),($D99+MOD(SISTEM!$F$8-WEEKDAY($D99,2),7))))</f>
        <v/>
      </c>
      <c r="P99" s="61"/>
      <c r="Q99" s="2"/>
      <c r="R99" s="2"/>
      <c r="S99" s="1" t="str">
        <f>IF($B99="","",$B99&amp;"|"&amp;COUNTIFS($B$7:$B99,$B99))</f>
        <v/>
      </c>
      <c r="T99" s="1" t="str">
        <f t="shared" si="19"/>
        <v/>
      </c>
      <c r="U99" s="1">
        <f t="shared" si="20"/>
        <v>0</v>
      </c>
      <c r="V99" s="1">
        <f t="shared" si="21"/>
        <v>2958465</v>
      </c>
      <c r="W99" s="1">
        <f t="shared" si="22"/>
        <v>0</v>
      </c>
      <c r="X99" s="1">
        <f t="shared" si="23"/>
        <v>0</v>
      </c>
      <c r="Y99" s="1">
        <f t="shared" si="24"/>
        <v>97200</v>
      </c>
      <c r="Z99" s="1">
        <f t="shared" si="25"/>
        <v>1</v>
      </c>
    </row>
    <row r="100" spans="1:26" ht="18" customHeight="1" x14ac:dyDescent="0.3">
      <c r="A100" s="2"/>
      <c r="B100" s="65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66"/>
      <c r="E100" s="66"/>
      <c r="F100" s="60"/>
      <c r="G100" s="67"/>
      <c r="H100" s="60"/>
      <c r="I100" s="68">
        <f t="shared" ca="1" si="13"/>
        <v>0</v>
      </c>
      <c r="J100" s="68">
        <f t="shared" ca="1" si="14"/>
        <v>0</v>
      </c>
      <c r="K100" s="68">
        <f t="shared" ca="1" si="15"/>
        <v>0</v>
      </c>
      <c r="L100" s="68">
        <f t="shared" ca="1" si="16"/>
        <v>0</v>
      </c>
      <c r="M100" s="69">
        <f t="shared" si="17"/>
        <v>0</v>
      </c>
      <c r="N100" s="65" t="str">
        <f t="shared" si="18"/>
        <v/>
      </c>
      <c r="O100" s="70" t="str">
        <f>IF(OR($C100="",$D100="",$F100=""),"",IF($F100="Aylık",EOMONTH($D100,0),($D100+MOD(SISTEM!$F$8-WEEKDAY($D100,2),7))))</f>
        <v/>
      </c>
      <c r="P100" s="61"/>
      <c r="Q100" s="2"/>
      <c r="R100" s="2"/>
      <c r="S100" s="1" t="str">
        <f>IF($B100="","",$B100&amp;"|"&amp;COUNTIFS($B$7:$B100,$B100))</f>
        <v/>
      </c>
      <c r="T100" s="1" t="str">
        <f t="shared" si="19"/>
        <v/>
      </c>
      <c r="U100" s="1">
        <f t="shared" si="20"/>
        <v>0</v>
      </c>
      <c r="V100" s="1">
        <f t="shared" si="21"/>
        <v>2958465</v>
      </c>
      <c r="W100" s="1">
        <f t="shared" si="22"/>
        <v>0</v>
      </c>
      <c r="X100" s="1">
        <f t="shared" si="23"/>
        <v>0</v>
      </c>
      <c r="Y100" s="1">
        <f t="shared" si="24"/>
        <v>97200</v>
      </c>
      <c r="Z100" s="1">
        <f t="shared" si="25"/>
        <v>1</v>
      </c>
    </row>
    <row r="101" spans="1:26" ht="18" customHeight="1" x14ac:dyDescent="0.3">
      <c r="A101" s="2"/>
      <c r="B101" s="65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66"/>
      <c r="E101" s="66"/>
      <c r="F101" s="60"/>
      <c r="G101" s="67"/>
      <c r="H101" s="60"/>
      <c r="I101" s="68">
        <f t="shared" ca="1" si="13"/>
        <v>0</v>
      </c>
      <c r="J101" s="68">
        <f t="shared" ca="1" si="14"/>
        <v>0</v>
      </c>
      <c r="K101" s="68">
        <f t="shared" ca="1" si="15"/>
        <v>0</v>
      </c>
      <c r="L101" s="68">
        <f t="shared" ca="1" si="16"/>
        <v>0</v>
      </c>
      <c r="M101" s="69">
        <f t="shared" si="17"/>
        <v>0</v>
      </c>
      <c r="N101" s="65" t="str">
        <f t="shared" si="18"/>
        <v/>
      </c>
      <c r="O101" s="70" t="str">
        <f>IF(OR($C101="",$D101="",$F101=""),"",IF($F101="Aylık",EOMONTH($D101,0),($D101+MOD(SISTEM!$F$8-WEEKDAY($D101,2),7))))</f>
        <v/>
      </c>
      <c r="P101" s="61"/>
      <c r="Q101" s="2"/>
      <c r="R101" s="2"/>
      <c r="S101" s="1" t="str">
        <f>IF($B101="","",$B101&amp;"|"&amp;COUNTIFS($B$7:$B101,$B101))</f>
        <v/>
      </c>
      <c r="T101" s="1" t="str">
        <f t="shared" si="19"/>
        <v/>
      </c>
      <c r="U101" s="1">
        <f t="shared" si="20"/>
        <v>0</v>
      </c>
      <c r="V101" s="1">
        <f t="shared" si="21"/>
        <v>2958465</v>
      </c>
      <c r="W101" s="1">
        <f t="shared" si="22"/>
        <v>0</v>
      </c>
      <c r="X101" s="1">
        <f t="shared" si="23"/>
        <v>0</v>
      </c>
      <c r="Y101" s="1">
        <f t="shared" si="24"/>
        <v>97200</v>
      </c>
      <c r="Z101" s="1">
        <f t="shared" si="25"/>
        <v>1</v>
      </c>
    </row>
    <row r="102" spans="1:26" ht="18" customHeight="1" x14ac:dyDescent="0.3">
      <c r="A102" s="2"/>
      <c r="B102" s="65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66"/>
      <c r="E102" s="66"/>
      <c r="F102" s="60"/>
      <c r="G102" s="67"/>
      <c r="H102" s="60"/>
      <c r="I102" s="68">
        <f t="shared" ca="1" si="13"/>
        <v>0</v>
      </c>
      <c r="J102" s="68">
        <f t="shared" ca="1" si="14"/>
        <v>0</v>
      </c>
      <c r="K102" s="68">
        <f t="shared" ca="1" si="15"/>
        <v>0</v>
      </c>
      <c r="L102" s="68">
        <f t="shared" ca="1" si="16"/>
        <v>0</v>
      </c>
      <c r="M102" s="69">
        <f t="shared" si="17"/>
        <v>0</v>
      </c>
      <c r="N102" s="65" t="str">
        <f t="shared" si="18"/>
        <v/>
      </c>
      <c r="O102" s="70" t="str">
        <f>IF(OR($C102="",$D102="",$F102=""),"",IF($F102="Aylık",EOMONTH($D102,0),($D102+MOD(SISTEM!$F$8-WEEKDAY($D102,2),7))))</f>
        <v/>
      </c>
      <c r="P102" s="61"/>
      <c r="Q102" s="2"/>
      <c r="R102" s="2"/>
      <c r="S102" s="1" t="str">
        <f>IF($B102="","",$B102&amp;"|"&amp;COUNTIFS($B$7:$B102,$B102))</f>
        <v/>
      </c>
      <c r="T102" s="1" t="str">
        <f t="shared" si="19"/>
        <v/>
      </c>
      <c r="U102" s="1">
        <f t="shared" si="20"/>
        <v>0</v>
      </c>
      <c r="V102" s="1">
        <f t="shared" si="21"/>
        <v>2958465</v>
      </c>
      <c r="W102" s="1">
        <f t="shared" si="22"/>
        <v>0</v>
      </c>
      <c r="X102" s="1">
        <f t="shared" si="23"/>
        <v>0</v>
      </c>
      <c r="Y102" s="1">
        <f t="shared" si="24"/>
        <v>97200</v>
      </c>
      <c r="Z102" s="1">
        <f t="shared" si="25"/>
        <v>1</v>
      </c>
    </row>
    <row r="103" spans="1:26" ht="18" customHeight="1" x14ac:dyDescent="0.3">
      <c r="A103" s="2"/>
      <c r="B103" s="65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66"/>
      <c r="E103" s="66"/>
      <c r="F103" s="60"/>
      <c r="G103" s="67"/>
      <c r="H103" s="60"/>
      <c r="I103" s="68">
        <f t="shared" ca="1" si="13"/>
        <v>0</v>
      </c>
      <c r="J103" s="68">
        <f t="shared" ca="1" si="14"/>
        <v>0</v>
      </c>
      <c r="K103" s="68">
        <f t="shared" ca="1" si="15"/>
        <v>0</v>
      </c>
      <c r="L103" s="68">
        <f t="shared" ca="1" si="16"/>
        <v>0</v>
      </c>
      <c r="M103" s="69">
        <f t="shared" si="17"/>
        <v>0</v>
      </c>
      <c r="N103" s="65" t="str">
        <f t="shared" si="18"/>
        <v/>
      </c>
      <c r="O103" s="70" t="str">
        <f>IF(OR($C103="",$D103="",$F103=""),"",IF($F103="Aylık",EOMONTH($D103,0),($D103+MOD(SISTEM!$F$8-WEEKDAY($D103,2),7))))</f>
        <v/>
      </c>
      <c r="P103" s="61"/>
      <c r="Q103" s="2"/>
      <c r="R103" s="2"/>
      <c r="S103" s="1" t="str">
        <f>IF($B103="","",$B103&amp;"|"&amp;COUNTIFS($B$7:$B103,$B103))</f>
        <v/>
      </c>
      <c r="T103" s="1" t="str">
        <f t="shared" si="19"/>
        <v/>
      </c>
      <c r="U103" s="1">
        <f t="shared" si="20"/>
        <v>0</v>
      </c>
      <c r="V103" s="1">
        <f t="shared" si="21"/>
        <v>2958465</v>
      </c>
      <c r="W103" s="1">
        <f t="shared" si="22"/>
        <v>0</v>
      </c>
      <c r="X103" s="1">
        <f t="shared" si="23"/>
        <v>0</v>
      </c>
      <c r="Y103" s="1">
        <f t="shared" si="24"/>
        <v>97200</v>
      </c>
      <c r="Z103" s="1">
        <f t="shared" si="25"/>
        <v>1</v>
      </c>
    </row>
    <row r="104" spans="1:26" ht="18" customHeight="1" x14ac:dyDescent="0.3">
      <c r="A104" s="2"/>
      <c r="B104" s="65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66"/>
      <c r="E104" s="66"/>
      <c r="F104" s="60"/>
      <c r="G104" s="67"/>
      <c r="H104" s="60"/>
      <c r="I104" s="68">
        <f t="shared" ca="1" si="13"/>
        <v>0</v>
      </c>
      <c r="J104" s="68">
        <f t="shared" ca="1" si="14"/>
        <v>0</v>
      </c>
      <c r="K104" s="68">
        <f t="shared" ca="1" si="15"/>
        <v>0</v>
      </c>
      <c r="L104" s="68">
        <f t="shared" ca="1" si="16"/>
        <v>0</v>
      </c>
      <c r="M104" s="69">
        <f t="shared" si="17"/>
        <v>0</v>
      </c>
      <c r="N104" s="65" t="str">
        <f t="shared" si="18"/>
        <v/>
      </c>
      <c r="O104" s="70" t="str">
        <f>IF(OR($C104="",$D104="",$F104=""),"",IF($F104="Aylık",EOMONTH($D104,0),($D104+MOD(SISTEM!$F$8-WEEKDAY($D104,2),7))))</f>
        <v/>
      </c>
      <c r="P104" s="61"/>
      <c r="Q104" s="2"/>
      <c r="R104" s="2"/>
      <c r="S104" s="1" t="str">
        <f>IF($B104="","",$B104&amp;"|"&amp;COUNTIFS($B$7:$B104,$B104))</f>
        <v/>
      </c>
      <c r="T104" s="1" t="str">
        <f t="shared" si="19"/>
        <v/>
      </c>
      <c r="U104" s="1">
        <f t="shared" si="20"/>
        <v>0</v>
      </c>
      <c r="V104" s="1">
        <f t="shared" si="21"/>
        <v>2958465</v>
      </c>
      <c r="W104" s="1">
        <f t="shared" si="22"/>
        <v>0</v>
      </c>
      <c r="X104" s="1">
        <f t="shared" si="23"/>
        <v>0</v>
      </c>
      <c r="Y104" s="1">
        <f t="shared" si="24"/>
        <v>97200</v>
      </c>
      <c r="Z104" s="1">
        <f t="shared" si="25"/>
        <v>1</v>
      </c>
    </row>
    <row r="105" spans="1:26" ht="18" customHeight="1" x14ac:dyDescent="0.3">
      <c r="A105" s="2"/>
      <c r="B105" s="65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66"/>
      <c r="E105" s="66"/>
      <c r="F105" s="60"/>
      <c r="G105" s="67"/>
      <c r="H105" s="60"/>
      <c r="I105" s="68">
        <f t="shared" ca="1" si="13"/>
        <v>0</v>
      </c>
      <c r="J105" s="68">
        <f t="shared" ca="1" si="14"/>
        <v>0</v>
      </c>
      <c r="K105" s="68">
        <f t="shared" ca="1" si="15"/>
        <v>0</v>
      </c>
      <c r="L105" s="68">
        <f t="shared" ca="1" si="16"/>
        <v>0</v>
      </c>
      <c r="M105" s="69">
        <f t="shared" si="17"/>
        <v>0</v>
      </c>
      <c r="N105" s="65" t="str">
        <f t="shared" si="18"/>
        <v/>
      </c>
      <c r="O105" s="70" t="str">
        <f>IF(OR($C105="",$D105="",$F105=""),"",IF($F105="Aylık",EOMONTH($D105,0),($D105+MOD(SISTEM!$F$8-WEEKDAY($D105,2),7))))</f>
        <v/>
      </c>
      <c r="P105" s="61"/>
      <c r="Q105" s="2"/>
      <c r="R105" s="2"/>
      <c r="S105" s="1" t="str">
        <f>IF($B105="","",$B105&amp;"|"&amp;COUNTIFS($B$7:$B105,$B105))</f>
        <v/>
      </c>
      <c r="T105" s="1" t="str">
        <f t="shared" si="19"/>
        <v/>
      </c>
      <c r="U105" s="1">
        <f t="shared" si="20"/>
        <v>0</v>
      </c>
      <c r="V105" s="1">
        <f t="shared" si="21"/>
        <v>2958465</v>
      </c>
      <c r="W105" s="1">
        <f t="shared" si="22"/>
        <v>0</v>
      </c>
      <c r="X105" s="1">
        <f t="shared" si="23"/>
        <v>0</v>
      </c>
      <c r="Y105" s="1">
        <f t="shared" si="24"/>
        <v>97200</v>
      </c>
      <c r="Z105" s="1">
        <f t="shared" si="25"/>
        <v>1</v>
      </c>
    </row>
    <row r="106" spans="1:26" ht="18" customHeight="1" x14ac:dyDescent="0.3">
      <c r="A106" s="2"/>
      <c r="B106" s="65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66"/>
      <c r="E106" s="66"/>
      <c r="F106" s="60"/>
      <c r="G106" s="67"/>
      <c r="H106" s="60"/>
      <c r="I106" s="68">
        <f t="shared" ca="1" si="13"/>
        <v>0</v>
      </c>
      <c r="J106" s="68">
        <f t="shared" ca="1" si="14"/>
        <v>0</v>
      </c>
      <c r="K106" s="68">
        <f t="shared" ca="1" si="15"/>
        <v>0</v>
      </c>
      <c r="L106" s="68">
        <f t="shared" ca="1" si="16"/>
        <v>0</v>
      </c>
      <c r="M106" s="69">
        <f t="shared" si="17"/>
        <v>0</v>
      </c>
      <c r="N106" s="65" t="str">
        <f t="shared" si="18"/>
        <v/>
      </c>
      <c r="O106" s="70" t="str">
        <f>IF(OR($C106="",$D106="",$F106=""),"",IF($F106="Aylık",EOMONTH($D106,0),($D106+MOD(SISTEM!$F$8-WEEKDAY($D106,2),7))))</f>
        <v/>
      </c>
      <c r="P106" s="61"/>
      <c r="Q106" s="2"/>
      <c r="R106" s="2"/>
      <c r="S106" s="1" t="str">
        <f>IF($B106="","",$B106&amp;"|"&amp;COUNTIFS($B$7:$B106,$B106))</f>
        <v/>
      </c>
      <c r="T106" s="1" t="str">
        <f t="shared" si="19"/>
        <v/>
      </c>
      <c r="U106" s="1">
        <f t="shared" si="20"/>
        <v>0</v>
      </c>
      <c r="V106" s="1">
        <f t="shared" si="21"/>
        <v>2958465</v>
      </c>
      <c r="W106" s="1">
        <f t="shared" si="22"/>
        <v>0</v>
      </c>
      <c r="X106" s="1">
        <f t="shared" si="23"/>
        <v>0</v>
      </c>
      <c r="Y106" s="1">
        <f t="shared" si="24"/>
        <v>97200</v>
      </c>
      <c r="Z106" s="1">
        <f t="shared" si="25"/>
        <v>1</v>
      </c>
    </row>
    <row r="107" spans="1:26" ht="18" customHeight="1" x14ac:dyDescent="0.3">
      <c r="A107" s="2"/>
      <c r="B107" s="65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66"/>
      <c r="E107" s="66"/>
      <c r="F107" s="60"/>
      <c r="G107" s="67"/>
      <c r="H107" s="60"/>
      <c r="I107" s="68">
        <f t="shared" ca="1" si="13"/>
        <v>0</v>
      </c>
      <c r="J107" s="68">
        <f t="shared" ca="1" si="14"/>
        <v>0</v>
      </c>
      <c r="K107" s="68">
        <f t="shared" ca="1" si="15"/>
        <v>0</v>
      </c>
      <c r="L107" s="68">
        <f t="shared" ca="1" si="16"/>
        <v>0</v>
      </c>
      <c r="M107" s="69">
        <f t="shared" si="17"/>
        <v>0</v>
      </c>
      <c r="N107" s="65" t="str">
        <f t="shared" si="18"/>
        <v/>
      </c>
      <c r="O107" s="70" t="str">
        <f>IF(OR($C107="",$D107="",$F107=""),"",IF($F107="Aylık",EOMONTH($D107,0),($D107+MOD(SISTEM!$F$8-WEEKDAY($D107,2),7))))</f>
        <v/>
      </c>
      <c r="P107" s="61"/>
      <c r="Q107" s="2"/>
      <c r="R107" s="2"/>
      <c r="S107" s="1" t="str">
        <f>IF($B107="","",$B107&amp;"|"&amp;COUNTIFS($B$7:$B107,$B107))</f>
        <v/>
      </c>
      <c r="T107" s="1" t="str">
        <f t="shared" si="19"/>
        <v/>
      </c>
      <c r="U107" s="1">
        <f t="shared" si="20"/>
        <v>0</v>
      </c>
      <c r="V107" s="1">
        <f t="shared" si="21"/>
        <v>2958465</v>
      </c>
      <c r="W107" s="1">
        <f t="shared" si="22"/>
        <v>0</v>
      </c>
      <c r="X107" s="1">
        <f t="shared" si="23"/>
        <v>0</v>
      </c>
      <c r="Y107" s="1">
        <f t="shared" si="24"/>
        <v>97200</v>
      </c>
      <c r="Z107" s="1">
        <f t="shared" si="25"/>
        <v>1</v>
      </c>
    </row>
    <row r="108" spans="1:26" ht="18" customHeight="1" x14ac:dyDescent="0.3">
      <c r="A108" s="2"/>
      <c r="B108" s="65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66"/>
      <c r="E108" s="66"/>
      <c r="F108" s="60"/>
      <c r="G108" s="67"/>
      <c r="H108" s="60"/>
      <c r="I108" s="68">
        <f t="shared" ca="1" si="13"/>
        <v>0</v>
      </c>
      <c r="J108" s="68">
        <f t="shared" ca="1" si="14"/>
        <v>0</v>
      </c>
      <c r="K108" s="68">
        <f t="shared" ca="1" si="15"/>
        <v>0</v>
      </c>
      <c r="L108" s="68">
        <f t="shared" ca="1" si="16"/>
        <v>0</v>
      </c>
      <c r="M108" s="69">
        <f t="shared" si="17"/>
        <v>0</v>
      </c>
      <c r="N108" s="65" t="str">
        <f t="shared" si="18"/>
        <v/>
      </c>
      <c r="O108" s="70" t="str">
        <f>IF(OR($C108="",$D108="",$F108=""),"",IF($F108="Aylık",EOMONTH($D108,0),($D108+MOD(SISTEM!$F$8-WEEKDAY($D108,2),7))))</f>
        <v/>
      </c>
      <c r="P108" s="61"/>
      <c r="Q108" s="2"/>
      <c r="R108" s="2"/>
      <c r="S108" s="1" t="str">
        <f>IF($B108="","",$B108&amp;"|"&amp;COUNTIFS($B$7:$B108,$B108))</f>
        <v/>
      </c>
      <c r="T108" s="1" t="str">
        <f t="shared" si="19"/>
        <v/>
      </c>
      <c r="U108" s="1">
        <f t="shared" si="20"/>
        <v>0</v>
      </c>
      <c r="V108" s="1">
        <f t="shared" si="21"/>
        <v>2958465</v>
      </c>
      <c r="W108" s="1">
        <f t="shared" si="22"/>
        <v>0</v>
      </c>
      <c r="X108" s="1">
        <f t="shared" si="23"/>
        <v>0</v>
      </c>
      <c r="Y108" s="1">
        <f t="shared" si="24"/>
        <v>97200</v>
      </c>
      <c r="Z108" s="1">
        <f t="shared" si="25"/>
        <v>1</v>
      </c>
    </row>
    <row r="109" spans="1:26" ht="18" customHeight="1" x14ac:dyDescent="0.3">
      <c r="A109" s="2"/>
      <c r="B109" s="65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66"/>
      <c r="E109" s="66"/>
      <c r="F109" s="60"/>
      <c r="G109" s="67"/>
      <c r="H109" s="60"/>
      <c r="I109" s="68">
        <f t="shared" ca="1" si="13"/>
        <v>0</v>
      </c>
      <c r="J109" s="68">
        <f t="shared" ca="1" si="14"/>
        <v>0</v>
      </c>
      <c r="K109" s="68">
        <f t="shared" ca="1" si="15"/>
        <v>0</v>
      </c>
      <c r="L109" s="68">
        <f t="shared" ca="1" si="16"/>
        <v>0</v>
      </c>
      <c r="M109" s="69">
        <f t="shared" si="17"/>
        <v>0</v>
      </c>
      <c r="N109" s="65" t="str">
        <f t="shared" si="18"/>
        <v/>
      </c>
      <c r="O109" s="70" t="str">
        <f>IF(OR($C109="",$D109="",$F109=""),"",IF($F109="Aylık",EOMONTH($D109,0),($D109+MOD(SISTEM!$F$8-WEEKDAY($D109,2),7))))</f>
        <v/>
      </c>
      <c r="P109" s="61"/>
      <c r="Q109" s="2"/>
      <c r="R109" s="2"/>
      <c r="S109" s="1" t="str">
        <f>IF($B109="","",$B109&amp;"|"&amp;COUNTIFS($B$7:$B109,$B109))</f>
        <v/>
      </c>
      <c r="T109" s="1" t="str">
        <f t="shared" si="19"/>
        <v/>
      </c>
      <c r="U109" s="1">
        <f t="shared" si="20"/>
        <v>0</v>
      </c>
      <c r="V109" s="1">
        <f t="shared" si="21"/>
        <v>2958465</v>
      </c>
      <c r="W109" s="1">
        <f t="shared" si="22"/>
        <v>0</v>
      </c>
      <c r="X109" s="1">
        <f t="shared" si="23"/>
        <v>0</v>
      </c>
      <c r="Y109" s="1">
        <f t="shared" si="24"/>
        <v>97200</v>
      </c>
      <c r="Z109" s="1">
        <f t="shared" si="25"/>
        <v>1</v>
      </c>
    </row>
    <row r="110" spans="1:26" ht="18" customHeight="1" x14ac:dyDescent="0.3">
      <c r="A110" s="2"/>
      <c r="B110" s="65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66"/>
      <c r="E110" s="66"/>
      <c r="F110" s="60"/>
      <c r="G110" s="67"/>
      <c r="H110" s="60"/>
      <c r="I110" s="68">
        <f t="shared" ca="1" si="13"/>
        <v>0</v>
      </c>
      <c r="J110" s="68">
        <f t="shared" ca="1" si="14"/>
        <v>0</v>
      </c>
      <c r="K110" s="68">
        <f t="shared" ca="1" si="15"/>
        <v>0</v>
      </c>
      <c r="L110" s="68">
        <f t="shared" ca="1" si="16"/>
        <v>0</v>
      </c>
      <c r="M110" s="69">
        <f t="shared" si="17"/>
        <v>0</v>
      </c>
      <c r="N110" s="65" t="str">
        <f t="shared" si="18"/>
        <v/>
      </c>
      <c r="O110" s="70" t="str">
        <f>IF(OR($C110="",$D110="",$F110=""),"",IF($F110="Aylık",EOMONTH($D110,0),($D110+MOD(SISTEM!$F$8-WEEKDAY($D110,2),7))))</f>
        <v/>
      </c>
      <c r="P110" s="61"/>
      <c r="Q110" s="2"/>
      <c r="R110" s="2"/>
      <c r="S110" s="1" t="str">
        <f>IF($B110="","",$B110&amp;"|"&amp;COUNTIFS($B$7:$B110,$B110))</f>
        <v/>
      </c>
      <c r="T110" s="1" t="str">
        <f t="shared" si="19"/>
        <v/>
      </c>
      <c r="U110" s="1">
        <f t="shared" si="20"/>
        <v>0</v>
      </c>
      <c r="V110" s="1">
        <f t="shared" si="21"/>
        <v>2958465</v>
      </c>
      <c r="W110" s="1">
        <f t="shared" si="22"/>
        <v>0</v>
      </c>
      <c r="X110" s="1">
        <f t="shared" si="23"/>
        <v>0</v>
      </c>
      <c r="Y110" s="1">
        <f t="shared" si="24"/>
        <v>97200</v>
      </c>
      <c r="Z110" s="1">
        <f t="shared" si="25"/>
        <v>1</v>
      </c>
    </row>
    <row r="111" spans="1:26" ht="18" customHeight="1" x14ac:dyDescent="0.3">
      <c r="A111" s="2"/>
      <c r="B111" s="65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66"/>
      <c r="E111" s="66"/>
      <c r="F111" s="60"/>
      <c r="G111" s="67"/>
      <c r="H111" s="60"/>
      <c r="I111" s="68">
        <f t="shared" ca="1" si="13"/>
        <v>0</v>
      </c>
      <c r="J111" s="68">
        <f t="shared" ca="1" si="14"/>
        <v>0</v>
      </c>
      <c r="K111" s="68">
        <f t="shared" ca="1" si="15"/>
        <v>0</v>
      </c>
      <c r="L111" s="68">
        <f t="shared" ca="1" si="16"/>
        <v>0</v>
      </c>
      <c r="M111" s="69">
        <f t="shared" si="17"/>
        <v>0</v>
      </c>
      <c r="N111" s="65" t="str">
        <f t="shared" si="18"/>
        <v/>
      </c>
      <c r="O111" s="70" t="str">
        <f>IF(OR($C111="",$D111="",$F111=""),"",IF($F111="Aylık",EOMONTH($D111,0),($D111+MOD(SISTEM!$F$8-WEEKDAY($D111,2),7))))</f>
        <v/>
      </c>
      <c r="P111" s="61"/>
      <c r="Q111" s="2"/>
      <c r="R111" s="2"/>
      <c r="S111" s="1" t="str">
        <f>IF($B111="","",$B111&amp;"|"&amp;COUNTIFS($B$7:$B111,$B111))</f>
        <v/>
      </c>
      <c r="T111" s="1" t="str">
        <f t="shared" si="19"/>
        <v/>
      </c>
      <c r="U111" s="1">
        <f t="shared" si="20"/>
        <v>0</v>
      </c>
      <c r="V111" s="1">
        <f t="shared" si="21"/>
        <v>2958465</v>
      </c>
      <c r="W111" s="1">
        <f t="shared" si="22"/>
        <v>0</v>
      </c>
      <c r="X111" s="1">
        <f t="shared" si="23"/>
        <v>0</v>
      </c>
      <c r="Y111" s="1">
        <f t="shared" si="24"/>
        <v>97200</v>
      </c>
      <c r="Z111" s="1">
        <f t="shared" si="25"/>
        <v>1</v>
      </c>
    </row>
    <row r="112" spans="1:26" ht="18" customHeight="1" x14ac:dyDescent="0.3">
      <c r="A112" s="2"/>
      <c r="B112" s="65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66"/>
      <c r="E112" s="66"/>
      <c r="F112" s="60"/>
      <c r="G112" s="67"/>
      <c r="H112" s="60"/>
      <c r="I112" s="68">
        <f t="shared" ca="1" si="13"/>
        <v>0</v>
      </c>
      <c r="J112" s="68">
        <f t="shared" ca="1" si="14"/>
        <v>0</v>
      </c>
      <c r="K112" s="68">
        <f t="shared" ca="1" si="15"/>
        <v>0</v>
      </c>
      <c r="L112" s="68">
        <f t="shared" ca="1" si="16"/>
        <v>0</v>
      </c>
      <c r="M112" s="69">
        <f t="shared" si="17"/>
        <v>0</v>
      </c>
      <c r="N112" s="65" t="str">
        <f t="shared" si="18"/>
        <v/>
      </c>
      <c r="O112" s="70" t="str">
        <f>IF(OR($C112="",$D112="",$F112=""),"",IF($F112="Aylık",EOMONTH($D112,0),($D112+MOD(SISTEM!$F$8-WEEKDAY($D112,2),7))))</f>
        <v/>
      </c>
      <c r="P112" s="61"/>
      <c r="Q112" s="2"/>
      <c r="R112" s="2"/>
      <c r="S112" s="1" t="str">
        <f>IF($B112="","",$B112&amp;"|"&amp;COUNTIFS($B$7:$B112,$B112))</f>
        <v/>
      </c>
      <c r="T112" s="1" t="str">
        <f t="shared" si="19"/>
        <v/>
      </c>
      <c r="U112" s="1">
        <f t="shared" si="20"/>
        <v>0</v>
      </c>
      <c r="V112" s="1">
        <f t="shared" si="21"/>
        <v>2958465</v>
      </c>
      <c r="W112" s="1">
        <f t="shared" si="22"/>
        <v>0</v>
      </c>
      <c r="X112" s="1">
        <f t="shared" si="23"/>
        <v>0</v>
      </c>
      <c r="Y112" s="1">
        <f t="shared" si="24"/>
        <v>97200</v>
      </c>
      <c r="Z112" s="1">
        <f t="shared" si="25"/>
        <v>1</v>
      </c>
    </row>
    <row r="113" spans="1:26" ht="18" customHeight="1" x14ac:dyDescent="0.3">
      <c r="A113" s="2"/>
      <c r="B113" s="65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66"/>
      <c r="E113" s="66"/>
      <c r="F113" s="60"/>
      <c r="G113" s="67"/>
      <c r="H113" s="60"/>
      <c r="I113" s="68">
        <f t="shared" ca="1" si="13"/>
        <v>0</v>
      </c>
      <c r="J113" s="68">
        <f t="shared" ca="1" si="14"/>
        <v>0</v>
      </c>
      <c r="K113" s="68">
        <f t="shared" ca="1" si="15"/>
        <v>0</v>
      </c>
      <c r="L113" s="68">
        <f t="shared" ca="1" si="16"/>
        <v>0</v>
      </c>
      <c r="M113" s="69">
        <f t="shared" si="17"/>
        <v>0</v>
      </c>
      <c r="N113" s="65" t="str">
        <f t="shared" si="18"/>
        <v/>
      </c>
      <c r="O113" s="70" t="str">
        <f>IF(OR($C113="",$D113="",$F113=""),"",IF($F113="Aylık",EOMONTH($D113,0),($D113+MOD(SISTEM!$F$8-WEEKDAY($D113,2),7))))</f>
        <v/>
      </c>
      <c r="P113" s="61"/>
      <c r="Q113" s="2"/>
      <c r="R113" s="2"/>
      <c r="S113" s="1" t="str">
        <f>IF($B113="","",$B113&amp;"|"&amp;COUNTIFS($B$7:$B113,$B113))</f>
        <v/>
      </c>
      <c r="T113" s="1" t="str">
        <f t="shared" si="19"/>
        <v/>
      </c>
      <c r="U113" s="1">
        <f t="shared" si="20"/>
        <v>0</v>
      </c>
      <c r="V113" s="1">
        <f t="shared" si="21"/>
        <v>2958465</v>
      </c>
      <c r="W113" s="1">
        <f t="shared" si="22"/>
        <v>0</v>
      </c>
      <c r="X113" s="1">
        <f t="shared" si="23"/>
        <v>0</v>
      </c>
      <c r="Y113" s="1">
        <f t="shared" si="24"/>
        <v>97200</v>
      </c>
      <c r="Z113" s="1">
        <f t="shared" si="25"/>
        <v>1</v>
      </c>
    </row>
    <row r="114" spans="1:26" ht="18" customHeight="1" x14ac:dyDescent="0.3">
      <c r="A114" s="2"/>
      <c r="B114" s="65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66"/>
      <c r="E114" s="66"/>
      <c r="F114" s="60"/>
      <c r="G114" s="67"/>
      <c r="H114" s="60"/>
      <c r="I114" s="68">
        <f t="shared" ca="1" si="13"/>
        <v>0</v>
      </c>
      <c r="J114" s="68">
        <f t="shared" ca="1" si="14"/>
        <v>0</v>
      </c>
      <c r="K114" s="68">
        <f t="shared" ca="1" si="15"/>
        <v>0</v>
      </c>
      <c r="L114" s="68">
        <f t="shared" ca="1" si="16"/>
        <v>0</v>
      </c>
      <c r="M114" s="69">
        <f t="shared" si="17"/>
        <v>0</v>
      </c>
      <c r="N114" s="65" t="str">
        <f t="shared" si="18"/>
        <v/>
      </c>
      <c r="O114" s="70" t="str">
        <f>IF(OR($C114="",$D114="",$F114=""),"",IF($F114="Aylık",EOMONTH($D114,0),($D114+MOD(SISTEM!$F$8-WEEKDAY($D114,2),7))))</f>
        <v/>
      </c>
      <c r="P114" s="61"/>
      <c r="Q114" s="2"/>
      <c r="R114" s="2"/>
      <c r="S114" s="1" t="str">
        <f>IF($B114="","",$B114&amp;"|"&amp;COUNTIFS($B$7:$B114,$B114))</f>
        <v/>
      </c>
      <c r="T114" s="1" t="str">
        <f t="shared" si="19"/>
        <v/>
      </c>
      <c r="U114" s="1">
        <f t="shared" si="20"/>
        <v>0</v>
      </c>
      <c r="V114" s="1">
        <f t="shared" si="21"/>
        <v>2958465</v>
      </c>
      <c r="W114" s="1">
        <f t="shared" si="22"/>
        <v>0</v>
      </c>
      <c r="X114" s="1">
        <f t="shared" si="23"/>
        <v>0</v>
      </c>
      <c r="Y114" s="1">
        <f t="shared" si="24"/>
        <v>97200</v>
      </c>
      <c r="Z114" s="1">
        <f t="shared" si="25"/>
        <v>1</v>
      </c>
    </row>
    <row r="115" spans="1:26" ht="18" customHeight="1" x14ac:dyDescent="0.3">
      <c r="A115" s="2"/>
      <c r="B115" s="65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66"/>
      <c r="E115" s="66"/>
      <c r="F115" s="60"/>
      <c r="G115" s="67"/>
      <c r="H115" s="60"/>
      <c r="I115" s="68">
        <f t="shared" ca="1" si="13"/>
        <v>0</v>
      </c>
      <c r="J115" s="68">
        <f t="shared" ca="1" si="14"/>
        <v>0</v>
      </c>
      <c r="K115" s="68">
        <f t="shared" ca="1" si="15"/>
        <v>0</v>
      </c>
      <c r="L115" s="68">
        <f t="shared" ca="1" si="16"/>
        <v>0</v>
      </c>
      <c r="M115" s="69">
        <f t="shared" si="17"/>
        <v>0</v>
      </c>
      <c r="N115" s="65" t="str">
        <f t="shared" si="18"/>
        <v/>
      </c>
      <c r="O115" s="70" t="str">
        <f>IF(OR($C115="",$D115="",$F115=""),"",IF($F115="Aylık",EOMONTH($D115,0),($D115+MOD(SISTEM!$F$8-WEEKDAY($D115,2),7))))</f>
        <v/>
      </c>
      <c r="P115" s="61"/>
      <c r="Q115" s="2"/>
      <c r="R115" s="2"/>
      <c r="S115" s="1" t="str">
        <f>IF($B115="","",$B115&amp;"|"&amp;COUNTIFS($B$7:$B115,$B115))</f>
        <v/>
      </c>
      <c r="T115" s="1" t="str">
        <f t="shared" si="19"/>
        <v/>
      </c>
      <c r="U115" s="1">
        <f t="shared" si="20"/>
        <v>0</v>
      </c>
      <c r="V115" s="1">
        <f t="shared" si="21"/>
        <v>2958465</v>
      </c>
      <c r="W115" s="1">
        <f t="shared" si="22"/>
        <v>0</v>
      </c>
      <c r="X115" s="1">
        <f t="shared" si="23"/>
        <v>0</v>
      </c>
      <c r="Y115" s="1">
        <f t="shared" si="24"/>
        <v>97200</v>
      </c>
      <c r="Z115" s="1">
        <f t="shared" si="25"/>
        <v>1</v>
      </c>
    </row>
    <row r="116" spans="1:26" ht="18" customHeight="1" x14ac:dyDescent="0.3">
      <c r="A116" s="2"/>
      <c r="B116" s="65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66"/>
      <c r="E116" s="66"/>
      <c r="F116" s="60"/>
      <c r="G116" s="67"/>
      <c r="H116" s="60"/>
      <c r="I116" s="68">
        <f t="shared" ca="1" si="13"/>
        <v>0</v>
      </c>
      <c r="J116" s="68">
        <f t="shared" ca="1" si="14"/>
        <v>0</v>
      </c>
      <c r="K116" s="68">
        <f t="shared" ca="1" si="15"/>
        <v>0</v>
      </c>
      <c r="L116" s="68">
        <f t="shared" ca="1" si="16"/>
        <v>0</v>
      </c>
      <c r="M116" s="69">
        <f t="shared" si="17"/>
        <v>0</v>
      </c>
      <c r="N116" s="65" t="str">
        <f t="shared" si="18"/>
        <v/>
      </c>
      <c r="O116" s="70" t="str">
        <f>IF(OR($C116="",$D116="",$F116=""),"",IF($F116="Aylık",EOMONTH($D116,0),($D116+MOD(SISTEM!$F$8-WEEKDAY($D116,2),7))))</f>
        <v/>
      </c>
      <c r="P116" s="61"/>
      <c r="Q116" s="2"/>
      <c r="R116" s="2"/>
      <c r="S116" s="1" t="str">
        <f>IF($B116="","",$B116&amp;"|"&amp;COUNTIFS($B$7:$B116,$B116))</f>
        <v/>
      </c>
      <c r="T116" s="1" t="str">
        <f t="shared" si="19"/>
        <v/>
      </c>
      <c r="U116" s="1">
        <f t="shared" si="20"/>
        <v>0</v>
      </c>
      <c r="V116" s="1">
        <f t="shared" si="21"/>
        <v>2958465</v>
      </c>
      <c r="W116" s="1">
        <f t="shared" si="22"/>
        <v>0</v>
      </c>
      <c r="X116" s="1">
        <f t="shared" si="23"/>
        <v>0</v>
      </c>
      <c r="Y116" s="1">
        <f t="shared" si="24"/>
        <v>97200</v>
      </c>
      <c r="Z116" s="1">
        <f t="shared" si="25"/>
        <v>1</v>
      </c>
    </row>
    <row r="117" spans="1:26" ht="18" customHeight="1" x14ac:dyDescent="0.3">
      <c r="A117" s="2"/>
      <c r="B117" s="65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66"/>
      <c r="E117" s="66"/>
      <c r="F117" s="60"/>
      <c r="G117" s="67"/>
      <c r="H117" s="60"/>
      <c r="I117" s="68">
        <f t="shared" ca="1" si="13"/>
        <v>0</v>
      </c>
      <c r="J117" s="68">
        <f t="shared" ca="1" si="14"/>
        <v>0</v>
      </c>
      <c r="K117" s="68">
        <f t="shared" ca="1" si="15"/>
        <v>0</v>
      </c>
      <c r="L117" s="68">
        <f t="shared" ca="1" si="16"/>
        <v>0</v>
      </c>
      <c r="M117" s="69">
        <f t="shared" si="17"/>
        <v>0</v>
      </c>
      <c r="N117" s="65" t="str">
        <f t="shared" si="18"/>
        <v/>
      </c>
      <c r="O117" s="70" t="str">
        <f>IF(OR($C117="",$D117="",$F117=""),"",IF($F117="Aylık",EOMONTH($D117,0),($D117+MOD(SISTEM!$F$8-WEEKDAY($D117,2),7))))</f>
        <v/>
      </c>
      <c r="P117" s="61"/>
      <c r="Q117" s="2"/>
      <c r="R117" s="2"/>
      <c r="S117" s="1" t="str">
        <f>IF($B117="","",$B117&amp;"|"&amp;COUNTIFS($B$7:$B117,$B117))</f>
        <v/>
      </c>
      <c r="T117" s="1" t="str">
        <f t="shared" si="19"/>
        <v/>
      </c>
      <c r="U117" s="1">
        <f t="shared" si="20"/>
        <v>0</v>
      </c>
      <c r="V117" s="1">
        <f t="shared" si="21"/>
        <v>2958465</v>
      </c>
      <c r="W117" s="1">
        <f t="shared" si="22"/>
        <v>0</v>
      </c>
      <c r="X117" s="1">
        <f t="shared" si="23"/>
        <v>0</v>
      </c>
      <c r="Y117" s="1">
        <f t="shared" si="24"/>
        <v>97200</v>
      </c>
      <c r="Z117" s="1">
        <f t="shared" si="25"/>
        <v>1</v>
      </c>
    </row>
    <row r="118" spans="1:26" ht="18" customHeight="1" x14ac:dyDescent="0.3">
      <c r="A118" s="2"/>
      <c r="B118" s="65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66"/>
      <c r="E118" s="66"/>
      <c r="F118" s="60"/>
      <c r="G118" s="67"/>
      <c r="H118" s="60"/>
      <c r="I118" s="68">
        <f t="shared" ca="1" si="13"/>
        <v>0</v>
      </c>
      <c r="J118" s="68">
        <f t="shared" ca="1" si="14"/>
        <v>0</v>
      </c>
      <c r="K118" s="68">
        <f t="shared" ca="1" si="15"/>
        <v>0</v>
      </c>
      <c r="L118" s="68">
        <f t="shared" ca="1" si="16"/>
        <v>0</v>
      </c>
      <c r="M118" s="69">
        <f t="shared" si="17"/>
        <v>0</v>
      </c>
      <c r="N118" s="65" t="str">
        <f t="shared" si="18"/>
        <v/>
      </c>
      <c r="O118" s="70" t="str">
        <f>IF(OR($C118="",$D118="",$F118=""),"",IF($F118="Aylık",EOMONTH($D118,0),($D118+MOD(SISTEM!$F$8-WEEKDAY($D118,2),7))))</f>
        <v/>
      </c>
      <c r="P118" s="61"/>
      <c r="Q118" s="2"/>
      <c r="R118" s="2"/>
      <c r="S118" s="1" t="str">
        <f>IF($B118="","",$B118&amp;"|"&amp;COUNTIFS($B$7:$B118,$B118))</f>
        <v/>
      </c>
      <c r="T118" s="1" t="str">
        <f t="shared" si="19"/>
        <v/>
      </c>
      <c r="U118" s="1">
        <f t="shared" si="20"/>
        <v>0</v>
      </c>
      <c r="V118" s="1">
        <f t="shared" si="21"/>
        <v>2958465</v>
      </c>
      <c r="W118" s="1">
        <f t="shared" si="22"/>
        <v>0</v>
      </c>
      <c r="X118" s="1">
        <f t="shared" si="23"/>
        <v>0</v>
      </c>
      <c r="Y118" s="1">
        <f t="shared" si="24"/>
        <v>97200</v>
      </c>
      <c r="Z118" s="1">
        <f t="shared" si="25"/>
        <v>1</v>
      </c>
    </row>
    <row r="119" spans="1:26" ht="18" customHeight="1" x14ac:dyDescent="0.3">
      <c r="A119" s="2"/>
      <c r="B119" s="65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66"/>
      <c r="E119" s="66"/>
      <c r="F119" s="60"/>
      <c r="G119" s="67"/>
      <c r="H119" s="60"/>
      <c r="I119" s="68">
        <f t="shared" ca="1" si="13"/>
        <v>0</v>
      </c>
      <c r="J119" s="68">
        <f t="shared" ca="1" si="14"/>
        <v>0</v>
      </c>
      <c r="K119" s="68">
        <f t="shared" ca="1" si="15"/>
        <v>0</v>
      </c>
      <c r="L119" s="68">
        <f t="shared" ca="1" si="16"/>
        <v>0</v>
      </c>
      <c r="M119" s="69">
        <f t="shared" si="17"/>
        <v>0</v>
      </c>
      <c r="N119" s="65" t="str">
        <f t="shared" si="18"/>
        <v/>
      </c>
      <c r="O119" s="70" t="str">
        <f>IF(OR($C119="",$D119="",$F119=""),"",IF($F119="Aylık",EOMONTH($D119,0),($D119+MOD(SISTEM!$F$8-WEEKDAY($D119,2),7))))</f>
        <v/>
      </c>
      <c r="P119" s="61"/>
      <c r="Q119" s="2"/>
      <c r="R119" s="2"/>
      <c r="S119" s="1" t="str">
        <f>IF($B119="","",$B119&amp;"|"&amp;COUNTIFS($B$7:$B119,$B119))</f>
        <v/>
      </c>
      <c r="T119" s="1" t="str">
        <f t="shared" si="19"/>
        <v/>
      </c>
      <c r="U119" s="1">
        <f t="shared" si="20"/>
        <v>0</v>
      </c>
      <c r="V119" s="1">
        <f t="shared" si="21"/>
        <v>2958465</v>
      </c>
      <c r="W119" s="1">
        <f t="shared" si="22"/>
        <v>0</v>
      </c>
      <c r="X119" s="1">
        <f t="shared" si="23"/>
        <v>0</v>
      </c>
      <c r="Y119" s="1">
        <f t="shared" si="24"/>
        <v>97200</v>
      </c>
      <c r="Z119" s="1">
        <f t="shared" si="25"/>
        <v>1</v>
      </c>
    </row>
    <row r="120" spans="1:26" ht="18" customHeight="1" x14ac:dyDescent="0.3">
      <c r="A120" s="2"/>
      <c r="B120" s="65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66"/>
      <c r="E120" s="66"/>
      <c r="F120" s="60"/>
      <c r="G120" s="67"/>
      <c r="H120" s="60"/>
      <c r="I120" s="68">
        <f t="shared" ca="1" si="13"/>
        <v>0</v>
      </c>
      <c r="J120" s="68">
        <f t="shared" ca="1" si="14"/>
        <v>0</v>
      </c>
      <c r="K120" s="68">
        <f t="shared" ca="1" si="15"/>
        <v>0</v>
      </c>
      <c r="L120" s="68">
        <f t="shared" ca="1" si="16"/>
        <v>0</v>
      </c>
      <c r="M120" s="69">
        <f t="shared" si="17"/>
        <v>0</v>
      </c>
      <c r="N120" s="65" t="str">
        <f t="shared" si="18"/>
        <v/>
      </c>
      <c r="O120" s="70" t="str">
        <f>IF(OR($C120="",$D120="",$F120=""),"",IF($F120="Aylık",EOMONTH($D120,0),($D120+MOD(SISTEM!$F$8-WEEKDAY($D120,2),7))))</f>
        <v/>
      </c>
      <c r="P120" s="61"/>
      <c r="Q120" s="2"/>
      <c r="R120" s="2"/>
      <c r="S120" s="1" t="str">
        <f>IF($B120="","",$B120&amp;"|"&amp;COUNTIFS($B$7:$B120,$B120))</f>
        <v/>
      </c>
      <c r="T120" s="1" t="str">
        <f t="shared" si="19"/>
        <v/>
      </c>
      <c r="U120" s="1">
        <f t="shared" si="20"/>
        <v>0</v>
      </c>
      <c r="V120" s="1">
        <f t="shared" si="21"/>
        <v>2958465</v>
      </c>
      <c r="W120" s="1">
        <f t="shared" si="22"/>
        <v>0</v>
      </c>
      <c r="X120" s="1">
        <f t="shared" si="23"/>
        <v>0</v>
      </c>
      <c r="Y120" s="1">
        <f t="shared" si="24"/>
        <v>97200</v>
      </c>
      <c r="Z120" s="1">
        <f t="shared" si="25"/>
        <v>1</v>
      </c>
    </row>
    <row r="121" spans="1:26" ht="18" customHeight="1" x14ac:dyDescent="0.3">
      <c r="A121" s="2"/>
      <c r="B121" s="65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66"/>
      <c r="E121" s="66"/>
      <c r="F121" s="60"/>
      <c r="G121" s="67"/>
      <c r="H121" s="60"/>
      <c r="I121" s="68">
        <f t="shared" ca="1" si="13"/>
        <v>0</v>
      </c>
      <c r="J121" s="68">
        <f t="shared" ca="1" si="14"/>
        <v>0</v>
      </c>
      <c r="K121" s="68">
        <f t="shared" ca="1" si="15"/>
        <v>0</v>
      </c>
      <c r="L121" s="68">
        <f t="shared" ca="1" si="16"/>
        <v>0</v>
      </c>
      <c r="M121" s="69">
        <f t="shared" si="17"/>
        <v>0</v>
      </c>
      <c r="N121" s="65" t="str">
        <f t="shared" si="18"/>
        <v/>
      </c>
      <c r="O121" s="70" t="str">
        <f>IF(OR($C121="",$D121="",$F121=""),"",IF($F121="Aylık",EOMONTH($D121,0),($D121+MOD(SISTEM!$F$8-WEEKDAY($D121,2),7))))</f>
        <v/>
      </c>
      <c r="P121" s="61"/>
      <c r="Q121" s="2"/>
      <c r="R121" s="2"/>
      <c r="S121" s="1" t="str">
        <f>IF($B121="","",$B121&amp;"|"&amp;COUNTIFS($B$7:$B121,$B121))</f>
        <v/>
      </c>
      <c r="T121" s="1" t="str">
        <f t="shared" si="19"/>
        <v/>
      </c>
      <c r="U121" s="1">
        <f t="shared" si="20"/>
        <v>0</v>
      </c>
      <c r="V121" s="1">
        <f t="shared" si="21"/>
        <v>2958465</v>
      </c>
      <c r="W121" s="1">
        <f t="shared" si="22"/>
        <v>0</v>
      </c>
      <c r="X121" s="1">
        <f t="shared" si="23"/>
        <v>0</v>
      </c>
      <c r="Y121" s="1">
        <f t="shared" si="24"/>
        <v>97200</v>
      </c>
      <c r="Z121" s="1">
        <f t="shared" si="25"/>
        <v>1</v>
      </c>
    </row>
    <row r="122" spans="1:26" ht="18" customHeight="1" x14ac:dyDescent="0.3">
      <c r="A122" s="2"/>
      <c r="B122" s="65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66"/>
      <c r="E122" s="66"/>
      <c r="F122" s="60"/>
      <c r="G122" s="67"/>
      <c r="H122" s="60"/>
      <c r="I122" s="68">
        <f t="shared" ca="1" si="13"/>
        <v>0</v>
      </c>
      <c r="J122" s="68">
        <f t="shared" ca="1" si="14"/>
        <v>0</v>
      </c>
      <c r="K122" s="68">
        <f t="shared" ca="1" si="15"/>
        <v>0</v>
      </c>
      <c r="L122" s="68">
        <f t="shared" ca="1" si="16"/>
        <v>0</v>
      </c>
      <c r="M122" s="69">
        <f t="shared" si="17"/>
        <v>0</v>
      </c>
      <c r="N122" s="65" t="str">
        <f t="shared" si="18"/>
        <v/>
      </c>
      <c r="O122" s="70" t="str">
        <f>IF(OR($C122="",$D122="",$F122=""),"",IF($F122="Aylık",EOMONTH($D122,0),($D122+MOD(SISTEM!$F$8-WEEKDAY($D122,2),7))))</f>
        <v/>
      </c>
      <c r="P122" s="61"/>
      <c r="Q122" s="2"/>
      <c r="R122" s="2"/>
      <c r="S122" s="1" t="str">
        <f>IF($B122="","",$B122&amp;"|"&amp;COUNTIFS($B$7:$B122,$B122))</f>
        <v/>
      </c>
      <c r="T122" s="1" t="str">
        <f t="shared" si="19"/>
        <v/>
      </c>
      <c r="U122" s="1">
        <f t="shared" si="20"/>
        <v>0</v>
      </c>
      <c r="V122" s="1">
        <f t="shared" si="21"/>
        <v>2958465</v>
      </c>
      <c r="W122" s="1">
        <f t="shared" si="22"/>
        <v>0</v>
      </c>
      <c r="X122" s="1">
        <f t="shared" si="23"/>
        <v>0</v>
      </c>
      <c r="Y122" s="1">
        <f t="shared" si="24"/>
        <v>97200</v>
      </c>
      <c r="Z122" s="1">
        <f t="shared" si="25"/>
        <v>1</v>
      </c>
    </row>
    <row r="123" spans="1:26" ht="18" customHeight="1" x14ac:dyDescent="0.3">
      <c r="A123" s="2"/>
      <c r="B123" s="65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66"/>
      <c r="E123" s="66"/>
      <c r="F123" s="60"/>
      <c r="G123" s="67"/>
      <c r="H123" s="60"/>
      <c r="I123" s="68">
        <f t="shared" ca="1" si="13"/>
        <v>0</v>
      </c>
      <c r="J123" s="68">
        <f t="shared" ca="1" si="14"/>
        <v>0</v>
      </c>
      <c r="K123" s="68">
        <f t="shared" ca="1" si="15"/>
        <v>0</v>
      </c>
      <c r="L123" s="68">
        <f t="shared" ca="1" si="16"/>
        <v>0</v>
      </c>
      <c r="M123" s="69">
        <f t="shared" si="17"/>
        <v>0</v>
      </c>
      <c r="N123" s="65" t="str">
        <f t="shared" si="18"/>
        <v/>
      </c>
      <c r="O123" s="70" t="str">
        <f>IF(OR($C123="",$D123="",$F123=""),"",IF($F123="Aylık",EOMONTH($D123,0),($D123+MOD(SISTEM!$F$8-WEEKDAY($D123,2),7))))</f>
        <v/>
      </c>
      <c r="P123" s="61"/>
      <c r="Q123" s="2"/>
      <c r="R123" s="2"/>
      <c r="S123" s="1" t="str">
        <f>IF($B123="","",$B123&amp;"|"&amp;COUNTIFS($B$7:$B123,$B123))</f>
        <v/>
      </c>
      <c r="T123" s="1" t="str">
        <f t="shared" si="19"/>
        <v/>
      </c>
      <c r="U123" s="1">
        <f t="shared" si="20"/>
        <v>0</v>
      </c>
      <c r="V123" s="1">
        <f t="shared" si="21"/>
        <v>2958465</v>
      </c>
      <c r="W123" s="1">
        <f t="shared" si="22"/>
        <v>0</v>
      </c>
      <c r="X123" s="1">
        <f t="shared" si="23"/>
        <v>0</v>
      </c>
      <c r="Y123" s="1">
        <f t="shared" si="24"/>
        <v>97200</v>
      </c>
      <c r="Z123" s="1">
        <f t="shared" si="25"/>
        <v>1</v>
      </c>
    </row>
    <row r="124" spans="1:26" ht="18" customHeight="1" x14ac:dyDescent="0.3">
      <c r="A124" s="2"/>
      <c r="B124" s="65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66"/>
      <c r="E124" s="66"/>
      <c r="F124" s="60"/>
      <c r="G124" s="67"/>
      <c r="H124" s="60"/>
      <c r="I124" s="68">
        <f t="shared" ca="1" si="13"/>
        <v>0</v>
      </c>
      <c r="J124" s="68">
        <f t="shared" ca="1" si="14"/>
        <v>0</v>
      </c>
      <c r="K124" s="68">
        <f t="shared" ca="1" si="15"/>
        <v>0</v>
      </c>
      <c r="L124" s="68">
        <f t="shared" ca="1" si="16"/>
        <v>0</v>
      </c>
      <c r="M124" s="69">
        <f t="shared" si="17"/>
        <v>0</v>
      </c>
      <c r="N124" s="65" t="str">
        <f t="shared" si="18"/>
        <v/>
      </c>
      <c r="O124" s="70" t="str">
        <f>IF(OR($C124="",$D124="",$F124=""),"",IF($F124="Aylık",EOMONTH($D124,0),($D124+MOD(SISTEM!$F$8-WEEKDAY($D124,2),7))))</f>
        <v/>
      </c>
      <c r="P124" s="61"/>
      <c r="Q124" s="2"/>
      <c r="R124" s="2"/>
      <c r="S124" s="1" t="str">
        <f>IF($B124="","",$B124&amp;"|"&amp;COUNTIFS($B$7:$B124,$B124))</f>
        <v/>
      </c>
      <c r="T124" s="1" t="str">
        <f t="shared" si="19"/>
        <v/>
      </c>
      <c r="U124" s="1">
        <f t="shared" si="20"/>
        <v>0</v>
      </c>
      <c r="V124" s="1">
        <f t="shared" si="21"/>
        <v>2958465</v>
      </c>
      <c r="W124" s="1">
        <f t="shared" si="22"/>
        <v>0</v>
      </c>
      <c r="X124" s="1">
        <f t="shared" si="23"/>
        <v>0</v>
      </c>
      <c r="Y124" s="1">
        <f t="shared" si="24"/>
        <v>97200</v>
      </c>
      <c r="Z124" s="1">
        <f t="shared" si="25"/>
        <v>1</v>
      </c>
    </row>
    <row r="125" spans="1:26" ht="18" customHeight="1" x14ac:dyDescent="0.3">
      <c r="A125" s="2"/>
      <c r="B125" s="65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66"/>
      <c r="E125" s="66"/>
      <c r="F125" s="60"/>
      <c r="G125" s="67"/>
      <c r="H125" s="60"/>
      <c r="I125" s="68">
        <f t="shared" ca="1" si="13"/>
        <v>0</v>
      </c>
      <c r="J125" s="68">
        <f t="shared" ca="1" si="14"/>
        <v>0</v>
      </c>
      <c r="K125" s="68">
        <f t="shared" ca="1" si="15"/>
        <v>0</v>
      </c>
      <c r="L125" s="68">
        <f t="shared" ca="1" si="16"/>
        <v>0</v>
      </c>
      <c r="M125" s="69">
        <f t="shared" si="17"/>
        <v>0</v>
      </c>
      <c r="N125" s="65" t="str">
        <f t="shared" si="18"/>
        <v/>
      </c>
      <c r="O125" s="70" t="str">
        <f>IF(OR($C125="",$D125="",$F125=""),"",IF($F125="Aylık",EOMONTH($D125,0),($D125+MOD(SISTEM!$F$8-WEEKDAY($D125,2),7))))</f>
        <v/>
      </c>
      <c r="P125" s="61"/>
      <c r="Q125" s="2"/>
      <c r="R125" s="2"/>
      <c r="S125" s="1" t="str">
        <f>IF($B125="","",$B125&amp;"|"&amp;COUNTIFS($B$7:$B125,$B125))</f>
        <v/>
      </c>
      <c r="T125" s="1" t="str">
        <f t="shared" si="19"/>
        <v/>
      </c>
      <c r="U125" s="1">
        <f t="shared" si="20"/>
        <v>0</v>
      </c>
      <c r="V125" s="1">
        <f t="shared" si="21"/>
        <v>2958465</v>
      </c>
      <c r="W125" s="1">
        <f t="shared" si="22"/>
        <v>0</v>
      </c>
      <c r="X125" s="1">
        <f t="shared" si="23"/>
        <v>0</v>
      </c>
      <c r="Y125" s="1">
        <f t="shared" si="24"/>
        <v>97200</v>
      </c>
      <c r="Z125" s="1">
        <f t="shared" si="25"/>
        <v>1</v>
      </c>
    </row>
    <row r="126" spans="1:26" ht="18" customHeight="1" x14ac:dyDescent="0.3">
      <c r="A126" s="2"/>
      <c r="B126" s="65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66"/>
      <c r="E126" s="66"/>
      <c r="F126" s="60"/>
      <c r="G126" s="67"/>
      <c r="H126" s="60"/>
      <c r="I126" s="68">
        <f t="shared" ca="1" si="13"/>
        <v>0</v>
      </c>
      <c r="J126" s="68">
        <f t="shared" ca="1" si="14"/>
        <v>0</v>
      </c>
      <c r="K126" s="68">
        <f t="shared" ca="1" si="15"/>
        <v>0</v>
      </c>
      <c r="L126" s="68">
        <f t="shared" ca="1" si="16"/>
        <v>0</v>
      </c>
      <c r="M126" s="69">
        <f t="shared" si="17"/>
        <v>0</v>
      </c>
      <c r="N126" s="65" t="str">
        <f t="shared" si="18"/>
        <v/>
      </c>
      <c r="O126" s="70" t="str">
        <f>IF(OR($C126="",$D126="",$F126=""),"",IF($F126="Aylık",EOMONTH($D126,0),($D126+MOD(SISTEM!$F$8-WEEKDAY($D126,2),7))))</f>
        <v/>
      </c>
      <c r="P126" s="61"/>
      <c r="Q126" s="2"/>
      <c r="R126" s="2"/>
      <c r="S126" s="1" t="str">
        <f>IF($B126="","",$B126&amp;"|"&amp;COUNTIFS($B$7:$B126,$B126))</f>
        <v/>
      </c>
      <c r="T126" s="1" t="str">
        <f t="shared" si="19"/>
        <v/>
      </c>
      <c r="U126" s="1">
        <f t="shared" si="20"/>
        <v>0</v>
      </c>
      <c r="V126" s="1">
        <f t="shared" si="21"/>
        <v>2958465</v>
      </c>
      <c r="W126" s="1">
        <f t="shared" si="22"/>
        <v>0</v>
      </c>
      <c r="X126" s="1">
        <f t="shared" si="23"/>
        <v>0</v>
      </c>
      <c r="Y126" s="1">
        <f t="shared" si="24"/>
        <v>97200</v>
      </c>
      <c r="Z126" s="1">
        <f t="shared" si="25"/>
        <v>1</v>
      </c>
    </row>
    <row r="127" spans="1:26" ht="18" customHeight="1" x14ac:dyDescent="0.3">
      <c r="A127" s="2"/>
      <c r="B127" s="65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66"/>
      <c r="E127" s="66"/>
      <c r="F127" s="60"/>
      <c r="G127" s="67"/>
      <c r="H127" s="60"/>
      <c r="I127" s="68">
        <f t="shared" ca="1" si="13"/>
        <v>0</v>
      </c>
      <c r="J127" s="68">
        <f t="shared" ca="1" si="14"/>
        <v>0</v>
      </c>
      <c r="K127" s="68">
        <f t="shared" ca="1" si="15"/>
        <v>0</v>
      </c>
      <c r="L127" s="68">
        <f t="shared" ca="1" si="16"/>
        <v>0</v>
      </c>
      <c r="M127" s="69">
        <f t="shared" si="17"/>
        <v>0</v>
      </c>
      <c r="N127" s="65" t="str">
        <f t="shared" si="18"/>
        <v/>
      </c>
      <c r="O127" s="70" t="str">
        <f>IF(OR($C127="",$D127="",$F127=""),"",IF($F127="Aylık",EOMONTH($D127,0),($D127+MOD(SISTEM!$F$8-WEEKDAY($D127,2),7))))</f>
        <v/>
      </c>
      <c r="P127" s="61"/>
      <c r="Q127" s="2"/>
      <c r="R127" s="2"/>
      <c r="S127" s="1" t="str">
        <f>IF($B127="","",$B127&amp;"|"&amp;COUNTIFS($B$7:$B127,$B127))</f>
        <v/>
      </c>
      <c r="T127" s="1" t="str">
        <f t="shared" si="19"/>
        <v/>
      </c>
      <c r="U127" s="1">
        <f t="shared" si="20"/>
        <v>0</v>
      </c>
      <c r="V127" s="1">
        <f t="shared" si="21"/>
        <v>2958465</v>
      </c>
      <c r="W127" s="1">
        <f t="shared" si="22"/>
        <v>0</v>
      </c>
      <c r="X127" s="1">
        <f t="shared" si="23"/>
        <v>0</v>
      </c>
      <c r="Y127" s="1">
        <f t="shared" si="24"/>
        <v>97200</v>
      </c>
      <c r="Z127" s="1">
        <f t="shared" si="25"/>
        <v>1</v>
      </c>
    </row>
    <row r="128" spans="1:26" ht="18" customHeight="1" x14ac:dyDescent="0.3">
      <c r="A128" s="2"/>
      <c r="B128" s="65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66"/>
      <c r="E128" s="66"/>
      <c r="F128" s="60"/>
      <c r="G128" s="67"/>
      <c r="H128" s="60"/>
      <c r="I128" s="68">
        <f t="shared" ca="1" si="13"/>
        <v>0</v>
      </c>
      <c r="J128" s="68">
        <f t="shared" ca="1" si="14"/>
        <v>0</v>
      </c>
      <c r="K128" s="68">
        <f t="shared" ca="1" si="15"/>
        <v>0</v>
      </c>
      <c r="L128" s="68">
        <f t="shared" ca="1" si="16"/>
        <v>0</v>
      </c>
      <c r="M128" s="69">
        <f t="shared" si="17"/>
        <v>0</v>
      </c>
      <c r="N128" s="65" t="str">
        <f t="shared" si="18"/>
        <v/>
      </c>
      <c r="O128" s="70" t="str">
        <f>IF(OR($C128="",$D128="",$F128=""),"",IF($F128="Aylık",EOMONTH($D128,0),($D128+MOD(SISTEM!$F$8-WEEKDAY($D128,2),7))))</f>
        <v/>
      </c>
      <c r="P128" s="61"/>
      <c r="Q128" s="2"/>
      <c r="R128" s="2"/>
      <c r="S128" s="1" t="str">
        <f>IF($B128="","",$B128&amp;"|"&amp;COUNTIFS($B$7:$B128,$B128))</f>
        <v/>
      </c>
      <c r="T128" s="1" t="str">
        <f t="shared" si="19"/>
        <v/>
      </c>
      <c r="U128" s="1">
        <f t="shared" si="20"/>
        <v>0</v>
      </c>
      <c r="V128" s="1">
        <f t="shared" si="21"/>
        <v>2958465</v>
      </c>
      <c r="W128" s="1">
        <f t="shared" si="22"/>
        <v>0</v>
      </c>
      <c r="X128" s="1">
        <f t="shared" si="23"/>
        <v>0</v>
      </c>
      <c r="Y128" s="1">
        <f t="shared" si="24"/>
        <v>97200</v>
      </c>
      <c r="Z128" s="1">
        <f t="shared" si="25"/>
        <v>1</v>
      </c>
    </row>
    <row r="129" spans="1:26" ht="18" customHeight="1" x14ac:dyDescent="0.3">
      <c r="A129" s="2"/>
      <c r="B129" s="65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66"/>
      <c r="E129" s="66"/>
      <c r="F129" s="60"/>
      <c r="G129" s="67"/>
      <c r="H129" s="60"/>
      <c r="I129" s="68">
        <f t="shared" ca="1" si="13"/>
        <v>0</v>
      </c>
      <c r="J129" s="68">
        <f t="shared" ca="1" si="14"/>
        <v>0</v>
      </c>
      <c r="K129" s="68">
        <f t="shared" ca="1" si="15"/>
        <v>0</v>
      </c>
      <c r="L129" s="68">
        <f t="shared" ca="1" si="16"/>
        <v>0</v>
      </c>
      <c r="M129" s="69">
        <f t="shared" si="17"/>
        <v>0</v>
      </c>
      <c r="N129" s="65" t="str">
        <f t="shared" si="18"/>
        <v/>
      </c>
      <c r="O129" s="70" t="str">
        <f>IF(OR($C129="",$D129="",$F129=""),"",IF($F129="Aylık",EOMONTH($D129,0),($D129+MOD(SISTEM!$F$8-WEEKDAY($D129,2),7))))</f>
        <v/>
      </c>
      <c r="P129" s="61"/>
      <c r="Q129" s="2"/>
      <c r="R129" s="2"/>
      <c r="S129" s="1" t="str">
        <f>IF($B129="","",$B129&amp;"|"&amp;COUNTIFS($B$7:$B129,$B129))</f>
        <v/>
      </c>
      <c r="T129" s="1" t="str">
        <f t="shared" si="19"/>
        <v/>
      </c>
      <c r="U129" s="1">
        <f t="shared" si="20"/>
        <v>0</v>
      </c>
      <c r="V129" s="1">
        <f t="shared" si="21"/>
        <v>2958465</v>
      </c>
      <c r="W129" s="1">
        <f t="shared" si="22"/>
        <v>0</v>
      </c>
      <c r="X129" s="1">
        <f t="shared" si="23"/>
        <v>0</v>
      </c>
      <c r="Y129" s="1">
        <f t="shared" si="24"/>
        <v>97200</v>
      </c>
      <c r="Z129" s="1">
        <f t="shared" si="25"/>
        <v>1</v>
      </c>
    </row>
    <row r="130" spans="1:26" ht="18" customHeight="1" x14ac:dyDescent="0.3">
      <c r="A130" s="2"/>
      <c r="B130" s="65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66"/>
      <c r="E130" s="66"/>
      <c r="F130" s="60"/>
      <c r="G130" s="67"/>
      <c r="H130" s="60"/>
      <c r="I130" s="68">
        <f t="shared" ca="1" si="13"/>
        <v>0</v>
      </c>
      <c r="J130" s="68">
        <f t="shared" ca="1" si="14"/>
        <v>0</v>
      </c>
      <c r="K130" s="68">
        <f t="shared" ca="1" si="15"/>
        <v>0</v>
      </c>
      <c r="L130" s="68">
        <f t="shared" ca="1" si="16"/>
        <v>0</v>
      </c>
      <c r="M130" s="69">
        <f t="shared" si="17"/>
        <v>0</v>
      </c>
      <c r="N130" s="65" t="str">
        <f t="shared" si="18"/>
        <v/>
      </c>
      <c r="O130" s="70" t="str">
        <f>IF(OR($C130="",$D130="",$F130=""),"",IF($F130="Aylık",EOMONTH($D130,0),($D130+MOD(SISTEM!$F$8-WEEKDAY($D130,2),7))))</f>
        <v/>
      </c>
      <c r="P130" s="61"/>
      <c r="Q130" s="2"/>
      <c r="R130" s="2"/>
      <c r="S130" s="1" t="str">
        <f>IF($B130="","",$B130&amp;"|"&amp;COUNTIFS($B$7:$B130,$B130))</f>
        <v/>
      </c>
      <c r="T130" s="1" t="str">
        <f t="shared" si="19"/>
        <v/>
      </c>
      <c r="U130" s="1">
        <f t="shared" si="20"/>
        <v>0</v>
      </c>
      <c r="V130" s="1">
        <f t="shared" si="21"/>
        <v>2958465</v>
      </c>
      <c r="W130" s="1">
        <f t="shared" si="22"/>
        <v>0</v>
      </c>
      <c r="X130" s="1">
        <f t="shared" si="23"/>
        <v>0</v>
      </c>
      <c r="Y130" s="1">
        <f t="shared" si="24"/>
        <v>97200</v>
      </c>
      <c r="Z130" s="1">
        <f t="shared" si="25"/>
        <v>1</v>
      </c>
    </row>
    <row r="131" spans="1:26" ht="18" customHeight="1" x14ac:dyDescent="0.3">
      <c r="A131" s="2"/>
      <c r="B131" s="65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66"/>
      <c r="E131" s="66"/>
      <c r="F131" s="60"/>
      <c r="G131" s="67"/>
      <c r="H131" s="60"/>
      <c r="I131" s="68">
        <f t="shared" ca="1" si="13"/>
        <v>0</v>
      </c>
      <c r="J131" s="68">
        <f t="shared" ca="1" si="14"/>
        <v>0</v>
      </c>
      <c r="K131" s="68">
        <f t="shared" ca="1" si="15"/>
        <v>0</v>
      </c>
      <c r="L131" s="68">
        <f t="shared" ca="1" si="16"/>
        <v>0</v>
      </c>
      <c r="M131" s="69">
        <f t="shared" si="17"/>
        <v>0</v>
      </c>
      <c r="N131" s="65" t="str">
        <f t="shared" si="18"/>
        <v/>
      </c>
      <c r="O131" s="70" t="str">
        <f>IF(OR($C131="",$D131="",$F131=""),"",IF($F131="Aylık",EOMONTH($D131,0),($D131+MOD(SISTEM!$F$8-WEEKDAY($D131,2),7))))</f>
        <v/>
      </c>
      <c r="P131" s="61"/>
      <c r="Q131" s="2"/>
      <c r="R131" s="2"/>
      <c r="S131" s="1" t="str">
        <f>IF($B131="","",$B131&amp;"|"&amp;COUNTIFS($B$7:$B131,$B131))</f>
        <v/>
      </c>
      <c r="T131" s="1" t="str">
        <f t="shared" si="19"/>
        <v/>
      </c>
      <c r="U131" s="1">
        <f t="shared" si="20"/>
        <v>0</v>
      </c>
      <c r="V131" s="1">
        <f t="shared" si="21"/>
        <v>2958465</v>
      </c>
      <c r="W131" s="1">
        <f t="shared" si="22"/>
        <v>0</v>
      </c>
      <c r="X131" s="1">
        <f t="shared" si="23"/>
        <v>0</v>
      </c>
      <c r="Y131" s="1">
        <f t="shared" si="24"/>
        <v>97200</v>
      </c>
      <c r="Z131" s="1">
        <f t="shared" si="25"/>
        <v>1</v>
      </c>
    </row>
    <row r="132" spans="1:26" ht="18" customHeight="1" x14ac:dyDescent="0.3">
      <c r="A132" s="2"/>
      <c r="B132" s="65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66"/>
      <c r="E132" s="66"/>
      <c r="F132" s="60"/>
      <c r="G132" s="67"/>
      <c r="H132" s="60"/>
      <c r="I132" s="68">
        <f t="shared" ca="1" si="13"/>
        <v>0</v>
      </c>
      <c r="J132" s="68">
        <f t="shared" ca="1" si="14"/>
        <v>0</v>
      </c>
      <c r="K132" s="68">
        <f t="shared" ca="1" si="15"/>
        <v>0</v>
      </c>
      <c r="L132" s="68">
        <f t="shared" ca="1" si="16"/>
        <v>0</v>
      </c>
      <c r="M132" s="69">
        <f t="shared" si="17"/>
        <v>0</v>
      </c>
      <c r="N132" s="65" t="str">
        <f t="shared" si="18"/>
        <v/>
      </c>
      <c r="O132" s="70" t="str">
        <f>IF(OR($C132="",$D132="",$F132=""),"",IF($F132="Aylık",EOMONTH($D132,0),($D132+MOD(SISTEM!$F$8-WEEKDAY($D132,2),7))))</f>
        <v/>
      </c>
      <c r="P132" s="61"/>
      <c r="Q132" s="2"/>
      <c r="R132" s="2"/>
      <c r="S132" s="1" t="str">
        <f>IF($B132="","",$B132&amp;"|"&amp;COUNTIFS($B$7:$B132,$B132))</f>
        <v/>
      </c>
      <c r="T132" s="1" t="str">
        <f t="shared" si="19"/>
        <v/>
      </c>
      <c r="U132" s="1">
        <f t="shared" si="20"/>
        <v>0</v>
      </c>
      <c r="V132" s="1">
        <f t="shared" si="21"/>
        <v>2958465</v>
      </c>
      <c r="W132" s="1">
        <f t="shared" si="22"/>
        <v>0</v>
      </c>
      <c r="X132" s="1">
        <f t="shared" si="23"/>
        <v>0</v>
      </c>
      <c r="Y132" s="1">
        <f t="shared" si="24"/>
        <v>97200</v>
      </c>
      <c r="Z132" s="1">
        <f t="shared" si="25"/>
        <v>1</v>
      </c>
    </row>
    <row r="133" spans="1:26" ht="18" customHeight="1" x14ac:dyDescent="0.3">
      <c r="A133" s="2"/>
      <c r="B133" s="65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66"/>
      <c r="E133" s="66"/>
      <c r="F133" s="60"/>
      <c r="G133" s="67"/>
      <c r="H133" s="60"/>
      <c r="I133" s="68">
        <f t="shared" ca="1" si="13"/>
        <v>0</v>
      </c>
      <c r="J133" s="68">
        <f t="shared" ca="1" si="14"/>
        <v>0</v>
      </c>
      <c r="K133" s="68">
        <f t="shared" ca="1" si="15"/>
        <v>0</v>
      </c>
      <c r="L133" s="68">
        <f t="shared" ca="1" si="16"/>
        <v>0</v>
      </c>
      <c r="M133" s="69">
        <f t="shared" si="17"/>
        <v>0</v>
      </c>
      <c r="N133" s="65" t="str">
        <f t="shared" si="18"/>
        <v/>
      </c>
      <c r="O133" s="70" t="str">
        <f>IF(OR($C133="",$D133="",$F133=""),"",IF($F133="Aylık",EOMONTH($D133,0),($D133+MOD(SISTEM!$F$8-WEEKDAY($D133,2),7))))</f>
        <v/>
      </c>
      <c r="P133" s="61"/>
      <c r="Q133" s="2"/>
      <c r="R133" s="2"/>
      <c r="S133" s="1" t="str">
        <f>IF($B133="","",$B133&amp;"|"&amp;COUNTIFS($B$7:$B133,$B133))</f>
        <v/>
      </c>
      <c r="T133" s="1" t="str">
        <f t="shared" si="19"/>
        <v/>
      </c>
      <c r="U133" s="1">
        <f t="shared" si="20"/>
        <v>0</v>
      </c>
      <c r="V133" s="1">
        <f t="shared" si="21"/>
        <v>2958465</v>
      </c>
      <c r="W133" s="1">
        <f t="shared" si="22"/>
        <v>0</v>
      </c>
      <c r="X133" s="1">
        <f t="shared" si="23"/>
        <v>0</v>
      </c>
      <c r="Y133" s="1">
        <f t="shared" si="24"/>
        <v>97200</v>
      </c>
      <c r="Z133" s="1">
        <f t="shared" si="25"/>
        <v>1</v>
      </c>
    </row>
    <row r="134" spans="1:26" ht="18" customHeight="1" x14ac:dyDescent="0.3">
      <c r="A134" s="2"/>
      <c r="B134" s="65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66"/>
      <c r="E134" s="66"/>
      <c r="F134" s="60"/>
      <c r="G134" s="67"/>
      <c r="H134" s="60"/>
      <c r="I134" s="68">
        <f t="shared" ca="1" si="13"/>
        <v>0</v>
      </c>
      <c r="J134" s="68">
        <f t="shared" ca="1" si="14"/>
        <v>0</v>
      </c>
      <c r="K134" s="68">
        <f t="shared" ca="1" si="15"/>
        <v>0</v>
      </c>
      <c r="L134" s="68">
        <f t="shared" ca="1" si="16"/>
        <v>0</v>
      </c>
      <c r="M134" s="69">
        <f t="shared" si="17"/>
        <v>0</v>
      </c>
      <c r="N134" s="65" t="str">
        <f t="shared" si="18"/>
        <v/>
      </c>
      <c r="O134" s="70" t="str">
        <f>IF(OR($C134="",$D134="",$F134=""),"",IF($F134="Aylık",EOMONTH($D134,0),($D134+MOD(SISTEM!$F$8-WEEKDAY($D134,2),7))))</f>
        <v/>
      </c>
      <c r="P134" s="61"/>
      <c r="Q134" s="2"/>
      <c r="R134" s="2"/>
      <c r="S134" s="1" t="str">
        <f>IF($B134="","",$B134&amp;"|"&amp;COUNTIFS($B$7:$B134,$B134))</f>
        <v/>
      </c>
      <c r="T134" s="1" t="str">
        <f t="shared" si="19"/>
        <v/>
      </c>
      <c r="U134" s="1">
        <f t="shared" si="20"/>
        <v>0</v>
      </c>
      <c r="V134" s="1">
        <f t="shared" si="21"/>
        <v>2958465</v>
      </c>
      <c r="W134" s="1">
        <f t="shared" si="22"/>
        <v>0</v>
      </c>
      <c r="X134" s="1">
        <f t="shared" si="23"/>
        <v>0</v>
      </c>
      <c r="Y134" s="1">
        <f t="shared" si="24"/>
        <v>97200</v>
      </c>
      <c r="Z134" s="1">
        <f t="shared" si="25"/>
        <v>1</v>
      </c>
    </row>
    <row r="135" spans="1:26" ht="18" customHeight="1" x14ac:dyDescent="0.3">
      <c r="A135" s="2"/>
      <c r="B135" s="65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66"/>
      <c r="E135" s="66"/>
      <c r="F135" s="60"/>
      <c r="G135" s="67"/>
      <c r="H135" s="60"/>
      <c r="I135" s="68">
        <f t="shared" ref="I135:I198" ca="1" si="26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68">
        <f t="shared" ref="J135:J198" ca="1" si="27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68">
        <f t="shared" ref="K135:K198" ca="1" si="28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68">
        <f t="shared" ref="L135:L198" ca="1" si="29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69">
        <f t="shared" ref="M135:M198" si="30">IF($G135&gt;0,$I135/$G135,0)</f>
        <v>0</v>
      </c>
      <c r="N135" s="65" t="str">
        <f t="shared" ref="N135:N198" si="31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70" t="str">
        <f>IF(OR($C135="",$D135="",$F135=""),"",IF($F135="Aylık",EOMONTH($D135,0),($D135+MOD(SISTEM!$F$8-WEEKDAY($D135,2),7))))</f>
        <v/>
      </c>
      <c r="P135" s="61"/>
      <c r="Q135" s="2"/>
      <c r="R135" s="2"/>
      <c r="S135" s="1" t="str">
        <f>IF($B135="","",$B135&amp;"|"&amp;COUNTIFS($B$7:$B135,$B135))</f>
        <v/>
      </c>
      <c r="T135" s="1" t="str">
        <f t="shared" ref="T135:T198" si="32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 t="shared" ref="U135:U198" si="33">IF($O135="",0,$O135)</f>
        <v>0</v>
      </c>
      <c r="V135" s="1">
        <f t="shared" ref="V135:V198" si="34">IF($E135="",2958465,$E135)</f>
        <v>2958465</v>
      </c>
      <c r="W135" s="1">
        <f t="shared" ref="W135:W198" si="35">IF($F135="Haftalık",1,IF($F135="Aylık",2,0))</f>
        <v>0</v>
      </c>
      <c r="X135" s="1">
        <f t="shared" ref="X135:X198" si="36">IF($U135=0,0,(YEAR($U135)-1900)*12+MONTH($U135))</f>
        <v>0</v>
      </c>
      <c r="Y135" s="1">
        <f t="shared" ref="Y135:Y198" si="37">(YEAR($V135)-1900)*12+MONTH($V135)</f>
        <v>97200</v>
      </c>
      <c r="Z135" s="1">
        <f t="shared" ref="Z135:Z198" si="38">IF($V135=EOMONTH($V135,0),1,0)</f>
        <v>1</v>
      </c>
    </row>
    <row r="136" spans="1:26" ht="18" customHeight="1" x14ac:dyDescent="0.3">
      <c r="A136" s="2"/>
      <c r="B136" s="65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66"/>
      <c r="E136" s="66"/>
      <c r="F136" s="60"/>
      <c r="G136" s="67"/>
      <c r="H136" s="60"/>
      <c r="I136" s="68">
        <f t="shared" ca="1" si="26"/>
        <v>0</v>
      </c>
      <c r="J136" s="68">
        <f t="shared" ca="1" si="27"/>
        <v>0</v>
      </c>
      <c r="K136" s="68">
        <f t="shared" ca="1" si="28"/>
        <v>0</v>
      </c>
      <c r="L136" s="68">
        <f t="shared" ca="1" si="29"/>
        <v>0</v>
      </c>
      <c r="M136" s="69">
        <f t="shared" si="30"/>
        <v>0</v>
      </c>
      <c r="N136" s="65" t="str">
        <f t="shared" si="31"/>
        <v/>
      </c>
      <c r="O136" s="70" t="str">
        <f>IF(OR($C136="",$D136="",$F136=""),"",IF($F136="Aylık",EOMONTH($D136,0),($D136+MOD(SISTEM!$F$8-WEEKDAY($D136,2),7))))</f>
        <v/>
      </c>
      <c r="P136" s="61"/>
      <c r="Q136" s="2"/>
      <c r="R136" s="2"/>
      <c r="S136" s="1" t="str">
        <f>IF($B136="","",$B136&amp;"|"&amp;COUNTIFS($B$7:$B136,$B136))</f>
        <v/>
      </c>
      <c r="T136" s="1" t="str">
        <f t="shared" si="32"/>
        <v/>
      </c>
      <c r="U136" s="1">
        <f t="shared" si="33"/>
        <v>0</v>
      </c>
      <c r="V136" s="1">
        <f t="shared" si="34"/>
        <v>2958465</v>
      </c>
      <c r="W136" s="1">
        <f t="shared" si="35"/>
        <v>0</v>
      </c>
      <c r="X136" s="1">
        <f t="shared" si="36"/>
        <v>0</v>
      </c>
      <c r="Y136" s="1">
        <f t="shared" si="37"/>
        <v>97200</v>
      </c>
      <c r="Z136" s="1">
        <f t="shared" si="38"/>
        <v>1</v>
      </c>
    </row>
    <row r="137" spans="1:26" ht="18" customHeight="1" x14ac:dyDescent="0.3">
      <c r="A137" s="2"/>
      <c r="B137" s="65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66"/>
      <c r="E137" s="66"/>
      <c r="F137" s="60"/>
      <c r="G137" s="67"/>
      <c r="H137" s="60"/>
      <c r="I137" s="68">
        <f t="shared" ca="1" si="26"/>
        <v>0</v>
      </c>
      <c r="J137" s="68">
        <f t="shared" ca="1" si="27"/>
        <v>0</v>
      </c>
      <c r="K137" s="68">
        <f t="shared" ca="1" si="28"/>
        <v>0</v>
      </c>
      <c r="L137" s="68">
        <f t="shared" ca="1" si="29"/>
        <v>0</v>
      </c>
      <c r="M137" s="69">
        <f t="shared" si="30"/>
        <v>0</v>
      </c>
      <c r="N137" s="65" t="str">
        <f t="shared" si="31"/>
        <v/>
      </c>
      <c r="O137" s="70" t="str">
        <f>IF(OR($C137="",$D137="",$F137=""),"",IF($F137="Aylık",EOMONTH($D137,0),($D137+MOD(SISTEM!$F$8-WEEKDAY($D137,2),7))))</f>
        <v/>
      </c>
      <c r="P137" s="61"/>
      <c r="Q137" s="2"/>
      <c r="R137" s="2"/>
      <c r="S137" s="1" t="str">
        <f>IF($B137="","",$B137&amp;"|"&amp;COUNTIFS($B$7:$B137,$B137))</f>
        <v/>
      </c>
      <c r="T137" s="1" t="str">
        <f t="shared" si="32"/>
        <v/>
      </c>
      <c r="U137" s="1">
        <f t="shared" si="33"/>
        <v>0</v>
      </c>
      <c r="V137" s="1">
        <f t="shared" si="34"/>
        <v>2958465</v>
      </c>
      <c r="W137" s="1">
        <f t="shared" si="35"/>
        <v>0</v>
      </c>
      <c r="X137" s="1">
        <f t="shared" si="36"/>
        <v>0</v>
      </c>
      <c r="Y137" s="1">
        <f t="shared" si="37"/>
        <v>97200</v>
      </c>
      <c r="Z137" s="1">
        <f t="shared" si="38"/>
        <v>1</v>
      </c>
    </row>
    <row r="138" spans="1:26" ht="18" customHeight="1" x14ac:dyDescent="0.3">
      <c r="A138" s="2"/>
      <c r="B138" s="65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66"/>
      <c r="E138" s="66"/>
      <c r="F138" s="60"/>
      <c r="G138" s="67"/>
      <c r="H138" s="60"/>
      <c r="I138" s="68">
        <f t="shared" ca="1" si="26"/>
        <v>0</v>
      </c>
      <c r="J138" s="68">
        <f t="shared" ca="1" si="27"/>
        <v>0</v>
      </c>
      <c r="K138" s="68">
        <f t="shared" ca="1" si="28"/>
        <v>0</v>
      </c>
      <c r="L138" s="68">
        <f t="shared" ca="1" si="29"/>
        <v>0</v>
      </c>
      <c r="M138" s="69">
        <f t="shared" si="30"/>
        <v>0</v>
      </c>
      <c r="N138" s="65" t="str">
        <f t="shared" si="31"/>
        <v/>
      </c>
      <c r="O138" s="70" t="str">
        <f>IF(OR($C138="",$D138="",$F138=""),"",IF($F138="Aylık",EOMONTH($D138,0),($D138+MOD(SISTEM!$F$8-WEEKDAY($D138,2),7))))</f>
        <v/>
      </c>
      <c r="P138" s="61"/>
      <c r="Q138" s="2"/>
      <c r="R138" s="2"/>
      <c r="S138" s="1" t="str">
        <f>IF($B138="","",$B138&amp;"|"&amp;COUNTIFS($B$7:$B138,$B138))</f>
        <v/>
      </c>
      <c r="T138" s="1" t="str">
        <f t="shared" si="32"/>
        <v/>
      </c>
      <c r="U138" s="1">
        <f t="shared" si="33"/>
        <v>0</v>
      </c>
      <c r="V138" s="1">
        <f t="shared" si="34"/>
        <v>2958465</v>
      </c>
      <c r="W138" s="1">
        <f t="shared" si="35"/>
        <v>0</v>
      </c>
      <c r="X138" s="1">
        <f t="shared" si="36"/>
        <v>0</v>
      </c>
      <c r="Y138" s="1">
        <f t="shared" si="37"/>
        <v>97200</v>
      </c>
      <c r="Z138" s="1">
        <f t="shared" si="38"/>
        <v>1</v>
      </c>
    </row>
    <row r="139" spans="1:26" ht="18" customHeight="1" x14ac:dyDescent="0.3">
      <c r="A139" s="2"/>
      <c r="B139" s="65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66"/>
      <c r="E139" s="66"/>
      <c r="F139" s="60"/>
      <c r="G139" s="67"/>
      <c r="H139" s="60"/>
      <c r="I139" s="68">
        <f t="shared" ca="1" si="26"/>
        <v>0</v>
      </c>
      <c r="J139" s="68">
        <f t="shared" ca="1" si="27"/>
        <v>0</v>
      </c>
      <c r="K139" s="68">
        <f t="shared" ca="1" si="28"/>
        <v>0</v>
      </c>
      <c r="L139" s="68">
        <f t="shared" ca="1" si="29"/>
        <v>0</v>
      </c>
      <c r="M139" s="69">
        <f t="shared" si="30"/>
        <v>0</v>
      </c>
      <c r="N139" s="65" t="str">
        <f t="shared" si="31"/>
        <v/>
      </c>
      <c r="O139" s="70" t="str">
        <f>IF(OR($C139="",$D139="",$F139=""),"",IF($F139="Aylık",EOMONTH($D139,0),($D139+MOD(SISTEM!$F$8-WEEKDAY($D139,2),7))))</f>
        <v/>
      </c>
      <c r="P139" s="61"/>
      <c r="Q139" s="2"/>
      <c r="R139" s="2"/>
      <c r="S139" s="1" t="str">
        <f>IF($B139="","",$B139&amp;"|"&amp;COUNTIFS($B$7:$B139,$B139))</f>
        <v/>
      </c>
      <c r="T139" s="1" t="str">
        <f t="shared" si="32"/>
        <v/>
      </c>
      <c r="U139" s="1">
        <f t="shared" si="33"/>
        <v>0</v>
      </c>
      <c r="V139" s="1">
        <f t="shared" si="34"/>
        <v>2958465</v>
      </c>
      <c r="W139" s="1">
        <f t="shared" si="35"/>
        <v>0</v>
      </c>
      <c r="X139" s="1">
        <f t="shared" si="36"/>
        <v>0</v>
      </c>
      <c r="Y139" s="1">
        <f t="shared" si="37"/>
        <v>97200</v>
      </c>
      <c r="Z139" s="1">
        <f t="shared" si="38"/>
        <v>1</v>
      </c>
    </row>
    <row r="140" spans="1:26" ht="18" customHeight="1" x14ac:dyDescent="0.3">
      <c r="A140" s="2"/>
      <c r="B140" s="65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66"/>
      <c r="E140" s="66"/>
      <c r="F140" s="60"/>
      <c r="G140" s="67"/>
      <c r="H140" s="60"/>
      <c r="I140" s="68">
        <f t="shared" ca="1" si="26"/>
        <v>0</v>
      </c>
      <c r="J140" s="68">
        <f t="shared" ca="1" si="27"/>
        <v>0</v>
      </c>
      <c r="K140" s="68">
        <f t="shared" ca="1" si="28"/>
        <v>0</v>
      </c>
      <c r="L140" s="68">
        <f t="shared" ca="1" si="29"/>
        <v>0</v>
      </c>
      <c r="M140" s="69">
        <f t="shared" si="30"/>
        <v>0</v>
      </c>
      <c r="N140" s="65" t="str">
        <f t="shared" si="31"/>
        <v/>
      </c>
      <c r="O140" s="70" t="str">
        <f>IF(OR($C140="",$D140="",$F140=""),"",IF($F140="Aylık",EOMONTH($D140,0),($D140+MOD(SISTEM!$F$8-WEEKDAY($D140,2),7))))</f>
        <v/>
      </c>
      <c r="P140" s="61"/>
      <c r="Q140" s="2"/>
      <c r="R140" s="2"/>
      <c r="S140" s="1" t="str">
        <f>IF($B140="","",$B140&amp;"|"&amp;COUNTIFS($B$7:$B140,$B140))</f>
        <v/>
      </c>
      <c r="T140" s="1" t="str">
        <f t="shared" si="32"/>
        <v/>
      </c>
      <c r="U140" s="1">
        <f t="shared" si="33"/>
        <v>0</v>
      </c>
      <c r="V140" s="1">
        <f t="shared" si="34"/>
        <v>2958465</v>
      </c>
      <c r="W140" s="1">
        <f t="shared" si="35"/>
        <v>0</v>
      </c>
      <c r="X140" s="1">
        <f t="shared" si="36"/>
        <v>0</v>
      </c>
      <c r="Y140" s="1">
        <f t="shared" si="37"/>
        <v>97200</v>
      </c>
      <c r="Z140" s="1">
        <f t="shared" si="38"/>
        <v>1</v>
      </c>
    </row>
    <row r="141" spans="1:26" ht="18" customHeight="1" x14ac:dyDescent="0.3">
      <c r="A141" s="2"/>
      <c r="B141" s="65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66"/>
      <c r="E141" s="66"/>
      <c r="F141" s="60"/>
      <c r="G141" s="67"/>
      <c r="H141" s="60"/>
      <c r="I141" s="68">
        <f t="shared" ca="1" si="26"/>
        <v>0</v>
      </c>
      <c r="J141" s="68">
        <f t="shared" ca="1" si="27"/>
        <v>0</v>
      </c>
      <c r="K141" s="68">
        <f t="shared" ca="1" si="28"/>
        <v>0</v>
      </c>
      <c r="L141" s="68">
        <f t="shared" ca="1" si="29"/>
        <v>0</v>
      </c>
      <c r="M141" s="69">
        <f t="shared" si="30"/>
        <v>0</v>
      </c>
      <c r="N141" s="65" t="str">
        <f t="shared" si="31"/>
        <v/>
      </c>
      <c r="O141" s="70" t="str">
        <f>IF(OR($C141="",$D141="",$F141=""),"",IF($F141="Aylık",EOMONTH($D141,0),($D141+MOD(SISTEM!$F$8-WEEKDAY($D141,2),7))))</f>
        <v/>
      </c>
      <c r="P141" s="61"/>
      <c r="Q141" s="2"/>
      <c r="R141" s="2"/>
      <c r="S141" s="1" t="str">
        <f>IF($B141="","",$B141&amp;"|"&amp;COUNTIFS($B$7:$B141,$B141))</f>
        <v/>
      </c>
      <c r="T141" s="1" t="str">
        <f t="shared" si="32"/>
        <v/>
      </c>
      <c r="U141" s="1">
        <f t="shared" si="33"/>
        <v>0</v>
      </c>
      <c r="V141" s="1">
        <f t="shared" si="34"/>
        <v>2958465</v>
      </c>
      <c r="W141" s="1">
        <f t="shared" si="35"/>
        <v>0</v>
      </c>
      <c r="X141" s="1">
        <f t="shared" si="36"/>
        <v>0</v>
      </c>
      <c r="Y141" s="1">
        <f t="shared" si="37"/>
        <v>97200</v>
      </c>
      <c r="Z141" s="1">
        <f t="shared" si="38"/>
        <v>1</v>
      </c>
    </row>
    <row r="142" spans="1:26" ht="18" customHeight="1" x14ac:dyDescent="0.3">
      <c r="A142" s="2"/>
      <c r="B142" s="65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66"/>
      <c r="E142" s="66"/>
      <c r="F142" s="60"/>
      <c r="G142" s="67"/>
      <c r="H142" s="60"/>
      <c r="I142" s="68">
        <f t="shared" ca="1" si="26"/>
        <v>0</v>
      </c>
      <c r="J142" s="68">
        <f t="shared" ca="1" si="27"/>
        <v>0</v>
      </c>
      <c r="K142" s="68">
        <f t="shared" ca="1" si="28"/>
        <v>0</v>
      </c>
      <c r="L142" s="68">
        <f t="shared" ca="1" si="29"/>
        <v>0</v>
      </c>
      <c r="M142" s="69">
        <f t="shared" si="30"/>
        <v>0</v>
      </c>
      <c r="N142" s="65" t="str">
        <f t="shared" si="31"/>
        <v/>
      </c>
      <c r="O142" s="70" t="str">
        <f>IF(OR($C142="",$D142="",$F142=""),"",IF($F142="Aylık",EOMONTH($D142,0),($D142+MOD(SISTEM!$F$8-WEEKDAY($D142,2),7))))</f>
        <v/>
      </c>
      <c r="P142" s="61"/>
      <c r="Q142" s="2"/>
      <c r="R142" s="2"/>
      <c r="S142" s="1" t="str">
        <f>IF($B142="","",$B142&amp;"|"&amp;COUNTIFS($B$7:$B142,$B142))</f>
        <v/>
      </c>
      <c r="T142" s="1" t="str">
        <f t="shared" si="32"/>
        <v/>
      </c>
      <c r="U142" s="1">
        <f t="shared" si="33"/>
        <v>0</v>
      </c>
      <c r="V142" s="1">
        <f t="shared" si="34"/>
        <v>2958465</v>
      </c>
      <c r="W142" s="1">
        <f t="shared" si="35"/>
        <v>0</v>
      </c>
      <c r="X142" s="1">
        <f t="shared" si="36"/>
        <v>0</v>
      </c>
      <c r="Y142" s="1">
        <f t="shared" si="37"/>
        <v>97200</v>
      </c>
      <c r="Z142" s="1">
        <f t="shared" si="38"/>
        <v>1</v>
      </c>
    </row>
    <row r="143" spans="1:26" ht="18" customHeight="1" x14ac:dyDescent="0.3">
      <c r="A143" s="2"/>
      <c r="B143" s="65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66"/>
      <c r="E143" s="66"/>
      <c r="F143" s="60"/>
      <c r="G143" s="67"/>
      <c r="H143" s="60"/>
      <c r="I143" s="68">
        <f t="shared" ca="1" si="26"/>
        <v>0</v>
      </c>
      <c r="J143" s="68">
        <f t="shared" ca="1" si="27"/>
        <v>0</v>
      </c>
      <c r="K143" s="68">
        <f t="shared" ca="1" si="28"/>
        <v>0</v>
      </c>
      <c r="L143" s="68">
        <f t="shared" ca="1" si="29"/>
        <v>0</v>
      </c>
      <c r="M143" s="69">
        <f t="shared" si="30"/>
        <v>0</v>
      </c>
      <c r="N143" s="65" t="str">
        <f t="shared" si="31"/>
        <v/>
      </c>
      <c r="O143" s="70" t="str">
        <f>IF(OR($C143="",$D143="",$F143=""),"",IF($F143="Aylık",EOMONTH($D143,0),($D143+MOD(SISTEM!$F$8-WEEKDAY($D143,2),7))))</f>
        <v/>
      </c>
      <c r="P143" s="61"/>
      <c r="Q143" s="2"/>
      <c r="R143" s="2"/>
      <c r="S143" s="1" t="str">
        <f>IF($B143="","",$B143&amp;"|"&amp;COUNTIFS($B$7:$B143,$B143))</f>
        <v/>
      </c>
      <c r="T143" s="1" t="str">
        <f t="shared" si="32"/>
        <v/>
      </c>
      <c r="U143" s="1">
        <f t="shared" si="33"/>
        <v>0</v>
      </c>
      <c r="V143" s="1">
        <f t="shared" si="34"/>
        <v>2958465</v>
      </c>
      <c r="W143" s="1">
        <f t="shared" si="35"/>
        <v>0</v>
      </c>
      <c r="X143" s="1">
        <f t="shared" si="36"/>
        <v>0</v>
      </c>
      <c r="Y143" s="1">
        <f t="shared" si="37"/>
        <v>97200</v>
      </c>
      <c r="Z143" s="1">
        <f t="shared" si="38"/>
        <v>1</v>
      </c>
    </row>
    <row r="144" spans="1:26" ht="18" customHeight="1" x14ac:dyDescent="0.3">
      <c r="A144" s="2"/>
      <c r="B144" s="65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66"/>
      <c r="E144" s="66"/>
      <c r="F144" s="60"/>
      <c r="G144" s="67"/>
      <c r="H144" s="60"/>
      <c r="I144" s="68">
        <f t="shared" ca="1" si="26"/>
        <v>0</v>
      </c>
      <c r="J144" s="68">
        <f t="shared" ca="1" si="27"/>
        <v>0</v>
      </c>
      <c r="K144" s="68">
        <f t="shared" ca="1" si="28"/>
        <v>0</v>
      </c>
      <c r="L144" s="68">
        <f t="shared" ca="1" si="29"/>
        <v>0</v>
      </c>
      <c r="M144" s="69">
        <f t="shared" si="30"/>
        <v>0</v>
      </c>
      <c r="N144" s="65" t="str">
        <f t="shared" si="31"/>
        <v/>
      </c>
      <c r="O144" s="70" t="str">
        <f>IF(OR($C144="",$D144="",$F144=""),"",IF($F144="Aylık",EOMONTH($D144,0),($D144+MOD(SISTEM!$F$8-WEEKDAY($D144,2),7))))</f>
        <v/>
      </c>
      <c r="P144" s="61"/>
      <c r="Q144" s="2"/>
      <c r="R144" s="2"/>
      <c r="S144" s="1" t="str">
        <f>IF($B144="","",$B144&amp;"|"&amp;COUNTIFS($B$7:$B144,$B144))</f>
        <v/>
      </c>
      <c r="T144" s="1" t="str">
        <f t="shared" si="32"/>
        <v/>
      </c>
      <c r="U144" s="1">
        <f t="shared" si="33"/>
        <v>0</v>
      </c>
      <c r="V144" s="1">
        <f t="shared" si="34"/>
        <v>2958465</v>
      </c>
      <c r="W144" s="1">
        <f t="shared" si="35"/>
        <v>0</v>
      </c>
      <c r="X144" s="1">
        <f t="shared" si="36"/>
        <v>0</v>
      </c>
      <c r="Y144" s="1">
        <f t="shared" si="37"/>
        <v>97200</v>
      </c>
      <c r="Z144" s="1">
        <f t="shared" si="38"/>
        <v>1</v>
      </c>
    </row>
    <row r="145" spans="1:26" ht="18" customHeight="1" x14ac:dyDescent="0.3">
      <c r="A145" s="2"/>
      <c r="B145" s="65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66"/>
      <c r="E145" s="66"/>
      <c r="F145" s="60"/>
      <c r="G145" s="67"/>
      <c r="H145" s="60"/>
      <c r="I145" s="68">
        <f t="shared" ca="1" si="26"/>
        <v>0</v>
      </c>
      <c r="J145" s="68">
        <f t="shared" ca="1" si="27"/>
        <v>0</v>
      </c>
      <c r="K145" s="68">
        <f t="shared" ca="1" si="28"/>
        <v>0</v>
      </c>
      <c r="L145" s="68">
        <f t="shared" ca="1" si="29"/>
        <v>0</v>
      </c>
      <c r="M145" s="69">
        <f t="shared" si="30"/>
        <v>0</v>
      </c>
      <c r="N145" s="65" t="str">
        <f t="shared" si="31"/>
        <v/>
      </c>
      <c r="O145" s="70" t="str">
        <f>IF(OR($C145="",$D145="",$F145=""),"",IF($F145="Aylık",EOMONTH($D145,0),($D145+MOD(SISTEM!$F$8-WEEKDAY($D145,2),7))))</f>
        <v/>
      </c>
      <c r="P145" s="61"/>
      <c r="Q145" s="2"/>
      <c r="R145" s="2"/>
      <c r="S145" s="1" t="str">
        <f>IF($B145="","",$B145&amp;"|"&amp;COUNTIFS($B$7:$B145,$B145))</f>
        <v/>
      </c>
      <c r="T145" s="1" t="str">
        <f t="shared" si="32"/>
        <v/>
      </c>
      <c r="U145" s="1">
        <f t="shared" si="33"/>
        <v>0</v>
      </c>
      <c r="V145" s="1">
        <f t="shared" si="34"/>
        <v>2958465</v>
      </c>
      <c r="W145" s="1">
        <f t="shared" si="35"/>
        <v>0</v>
      </c>
      <c r="X145" s="1">
        <f t="shared" si="36"/>
        <v>0</v>
      </c>
      <c r="Y145" s="1">
        <f t="shared" si="37"/>
        <v>97200</v>
      </c>
      <c r="Z145" s="1">
        <f t="shared" si="38"/>
        <v>1</v>
      </c>
    </row>
    <row r="146" spans="1:26" ht="18" customHeight="1" x14ac:dyDescent="0.3">
      <c r="A146" s="2"/>
      <c r="B146" s="65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66"/>
      <c r="E146" s="66"/>
      <c r="F146" s="60"/>
      <c r="G146" s="67"/>
      <c r="H146" s="60"/>
      <c r="I146" s="68">
        <f t="shared" ca="1" si="26"/>
        <v>0</v>
      </c>
      <c r="J146" s="68">
        <f t="shared" ca="1" si="27"/>
        <v>0</v>
      </c>
      <c r="K146" s="68">
        <f t="shared" ca="1" si="28"/>
        <v>0</v>
      </c>
      <c r="L146" s="68">
        <f t="shared" ca="1" si="29"/>
        <v>0</v>
      </c>
      <c r="M146" s="69">
        <f t="shared" si="30"/>
        <v>0</v>
      </c>
      <c r="N146" s="65" t="str">
        <f t="shared" si="31"/>
        <v/>
      </c>
      <c r="O146" s="70" t="str">
        <f>IF(OR($C146="",$D146="",$F146=""),"",IF($F146="Aylık",EOMONTH($D146,0),($D146+MOD(SISTEM!$F$8-WEEKDAY($D146,2),7))))</f>
        <v/>
      </c>
      <c r="P146" s="61"/>
      <c r="Q146" s="2"/>
      <c r="R146" s="2"/>
      <c r="S146" s="1" t="str">
        <f>IF($B146="","",$B146&amp;"|"&amp;COUNTIFS($B$7:$B146,$B146))</f>
        <v/>
      </c>
      <c r="T146" s="1" t="str">
        <f t="shared" si="32"/>
        <v/>
      </c>
      <c r="U146" s="1">
        <f t="shared" si="33"/>
        <v>0</v>
      </c>
      <c r="V146" s="1">
        <f t="shared" si="34"/>
        <v>2958465</v>
      </c>
      <c r="W146" s="1">
        <f t="shared" si="35"/>
        <v>0</v>
      </c>
      <c r="X146" s="1">
        <f t="shared" si="36"/>
        <v>0</v>
      </c>
      <c r="Y146" s="1">
        <f t="shared" si="37"/>
        <v>97200</v>
      </c>
      <c r="Z146" s="1">
        <f t="shared" si="38"/>
        <v>1</v>
      </c>
    </row>
    <row r="147" spans="1:26" ht="18" customHeight="1" x14ac:dyDescent="0.3">
      <c r="A147" s="2"/>
      <c r="B147" s="65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66"/>
      <c r="E147" s="66"/>
      <c r="F147" s="60"/>
      <c r="G147" s="67"/>
      <c r="H147" s="60"/>
      <c r="I147" s="68">
        <f t="shared" ca="1" si="26"/>
        <v>0</v>
      </c>
      <c r="J147" s="68">
        <f t="shared" ca="1" si="27"/>
        <v>0</v>
      </c>
      <c r="K147" s="68">
        <f t="shared" ca="1" si="28"/>
        <v>0</v>
      </c>
      <c r="L147" s="68">
        <f t="shared" ca="1" si="29"/>
        <v>0</v>
      </c>
      <c r="M147" s="69">
        <f t="shared" si="30"/>
        <v>0</v>
      </c>
      <c r="N147" s="65" t="str">
        <f t="shared" si="31"/>
        <v/>
      </c>
      <c r="O147" s="70" t="str">
        <f>IF(OR($C147="",$D147="",$F147=""),"",IF($F147="Aylık",EOMONTH($D147,0),($D147+MOD(SISTEM!$F$8-WEEKDAY($D147,2),7))))</f>
        <v/>
      </c>
      <c r="P147" s="61"/>
      <c r="Q147" s="2"/>
      <c r="R147" s="2"/>
      <c r="S147" s="1" t="str">
        <f>IF($B147="","",$B147&amp;"|"&amp;COUNTIFS($B$7:$B147,$B147))</f>
        <v/>
      </c>
      <c r="T147" s="1" t="str">
        <f t="shared" si="32"/>
        <v/>
      </c>
      <c r="U147" s="1">
        <f t="shared" si="33"/>
        <v>0</v>
      </c>
      <c r="V147" s="1">
        <f t="shared" si="34"/>
        <v>2958465</v>
      </c>
      <c r="W147" s="1">
        <f t="shared" si="35"/>
        <v>0</v>
      </c>
      <c r="X147" s="1">
        <f t="shared" si="36"/>
        <v>0</v>
      </c>
      <c r="Y147" s="1">
        <f t="shared" si="37"/>
        <v>97200</v>
      </c>
      <c r="Z147" s="1">
        <f t="shared" si="38"/>
        <v>1</v>
      </c>
    </row>
    <row r="148" spans="1:26" ht="18" customHeight="1" x14ac:dyDescent="0.3">
      <c r="A148" s="2"/>
      <c r="B148" s="65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66"/>
      <c r="E148" s="66"/>
      <c r="F148" s="60"/>
      <c r="G148" s="67"/>
      <c r="H148" s="60"/>
      <c r="I148" s="68">
        <f t="shared" ca="1" si="26"/>
        <v>0</v>
      </c>
      <c r="J148" s="68">
        <f t="shared" ca="1" si="27"/>
        <v>0</v>
      </c>
      <c r="K148" s="68">
        <f t="shared" ca="1" si="28"/>
        <v>0</v>
      </c>
      <c r="L148" s="68">
        <f t="shared" ca="1" si="29"/>
        <v>0</v>
      </c>
      <c r="M148" s="69">
        <f t="shared" si="30"/>
        <v>0</v>
      </c>
      <c r="N148" s="65" t="str">
        <f t="shared" si="31"/>
        <v/>
      </c>
      <c r="O148" s="70" t="str">
        <f>IF(OR($C148="",$D148="",$F148=""),"",IF($F148="Aylık",EOMONTH($D148,0),($D148+MOD(SISTEM!$F$8-WEEKDAY($D148,2),7))))</f>
        <v/>
      </c>
      <c r="P148" s="61"/>
      <c r="Q148" s="2"/>
      <c r="R148" s="2"/>
      <c r="S148" s="1" t="str">
        <f>IF($B148="","",$B148&amp;"|"&amp;COUNTIFS($B$7:$B148,$B148))</f>
        <v/>
      </c>
      <c r="T148" s="1" t="str">
        <f t="shared" si="32"/>
        <v/>
      </c>
      <c r="U148" s="1">
        <f t="shared" si="33"/>
        <v>0</v>
      </c>
      <c r="V148" s="1">
        <f t="shared" si="34"/>
        <v>2958465</v>
      </c>
      <c r="W148" s="1">
        <f t="shared" si="35"/>
        <v>0</v>
      </c>
      <c r="X148" s="1">
        <f t="shared" si="36"/>
        <v>0</v>
      </c>
      <c r="Y148" s="1">
        <f t="shared" si="37"/>
        <v>97200</v>
      </c>
      <c r="Z148" s="1">
        <f t="shared" si="38"/>
        <v>1</v>
      </c>
    </row>
    <row r="149" spans="1:26" ht="18" customHeight="1" x14ac:dyDescent="0.3">
      <c r="A149" s="2"/>
      <c r="B149" s="65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66"/>
      <c r="E149" s="66"/>
      <c r="F149" s="60"/>
      <c r="G149" s="67"/>
      <c r="H149" s="60"/>
      <c r="I149" s="68">
        <f t="shared" ca="1" si="26"/>
        <v>0</v>
      </c>
      <c r="J149" s="68">
        <f t="shared" ca="1" si="27"/>
        <v>0</v>
      </c>
      <c r="K149" s="68">
        <f t="shared" ca="1" si="28"/>
        <v>0</v>
      </c>
      <c r="L149" s="68">
        <f t="shared" ca="1" si="29"/>
        <v>0</v>
      </c>
      <c r="M149" s="69">
        <f t="shared" si="30"/>
        <v>0</v>
      </c>
      <c r="N149" s="65" t="str">
        <f t="shared" si="31"/>
        <v/>
      </c>
      <c r="O149" s="70" t="str">
        <f>IF(OR($C149="",$D149="",$F149=""),"",IF($F149="Aylık",EOMONTH($D149,0),($D149+MOD(SISTEM!$F$8-WEEKDAY($D149,2),7))))</f>
        <v/>
      </c>
      <c r="P149" s="61"/>
      <c r="Q149" s="2"/>
      <c r="R149" s="2"/>
      <c r="S149" s="1" t="str">
        <f>IF($B149="","",$B149&amp;"|"&amp;COUNTIFS($B$7:$B149,$B149))</f>
        <v/>
      </c>
      <c r="T149" s="1" t="str">
        <f t="shared" si="32"/>
        <v/>
      </c>
      <c r="U149" s="1">
        <f t="shared" si="33"/>
        <v>0</v>
      </c>
      <c r="V149" s="1">
        <f t="shared" si="34"/>
        <v>2958465</v>
      </c>
      <c r="W149" s="1">
        <f t="shared" si="35"/>
        <v>0</v>
      </c>
      <c r="X149" s="1">
        <f t="shared" si="36"/>
        <v>0</v>
      </c>
      <c r="Y149" s="1">
        <f t="shared" si="37"/>
        <v>97200</v>
      </c>
      <c r="Z149" s="1">
        <f t="shared" si="38"/>
        <v>1</v>
      </c>
    </row>
    <row r="150" spans="1:26" ht="18" customHeight="1" x14ac:dyDescent="0.3">
      <c r="A150" s="2"/>
      <c r="B150" s="65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66"/>
      <c r="E150" s="66"/>
      <c r="F150" s="60"/>
      <c r="G150" s="67"/>
      <c r="H150" s="60"/>
      <c r="I150" s="68">
        <f t="shared" ca="1" si="26"/>
        <v>0</v>
      </c>
      <c r="J150" s="68">
        <f t="shared" ca="1" si="27"/>
        <v>0</v>
      </c>
      <c r="K150" s="68">
        <f t="shared" ca="1" si="28"/>
        <v>0</v>
      </c>
      <c r="L150" s="68">
        <f t="shared" ca="1" si="29"/>
        <v>0</v>
      </c>
      <c r="M150" s="69">
        <f t="shared" si="30"/>
        <v>0</v>
      </c>
      <c r="N150" s="65" t="str">
        <f t="shared" si="31"/>
        <v/>
      </c>
      <c r="O150" s="70" t="str">
        <f>IF(OR($C150="",$D150="",$F150=""),"",IF($F150="Aylık",EOMONTH($D150,0),($D150+MOD(SISTEM!$F$8-WEEKDAY($D150,2),7))))</f>
        <v/>
      </c>
      <c r="P150" s="61"/>
      <c r="Q150" s="2"/>
      <c r="R150" s="2"/>
      <c r="S150" s="1" t="str">
        <f>IF($B150="","",$B150&amp;"|"&amp;COUNTIFS($B$7:$B150,$B150))</f>
        <v/>
      </c>
      <c r="T150" s="1" t="str">
        <f t="shared" si="32"/>
        <v/>
      </c>
      <c r="U150" s="1">
        <f t="shared" si="33"/>
        <v>0</v>
      </c>
      <c r="V150" s="1">
        <f t="shared" si="34"/>
        <v>2958465</v>
      </c>
      <c r="W150" s="1">
        <f t="shared" si="35"/>
        <v>0</v>
      </c>
      <c r="X150" s="1">
        <f t="shared" si="36"/>
        <v>0</v>
      </c>
      <c r="Y150" s="1">
        <f t="shared" si="37"/>
        <v>97200</v>
      </c>
      <c r="Z150" s="1">
        <f t="shared" si="38"/>
        <v>1</v>
      </c>
    </row>
    <row r="151" spans="1:26" ht="18" customHeight="1" x14ac:dyDescent="0.3">
      <c r="A151" s="2"/>
      <c r="B151" s="65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66"/>
      <c r="E151" s="66"/>
      <c r="F151" s="60"/>
      <c r="G151" s="67"/>
      <c r="H151" s="60"/>
      <c r="I151" s="68">
        <f t="shared" ca="1" si="26"/>
        <v>0</v>
      </c>
      <c r="J151" s="68">
        <f t="shared" ca="1" si="27"/>
        <v>0</v>
      </c>
      <c r="K151" s="68">
        <f t="shared" ca="1" si="28"/>
        <v>0</v>
      </c>
      <c r="L151" s="68">
        <f t="shared" ca="1" si="29"/>
        <v>0</v>
      </c>
      <c r="M151" s="69">
        <f t="shared" si="30"/>
        <v>0</v>
      </c>
      <c r="N151" s="65" t="str">
        <f t="shared" si="31"/>
        <v/>
      </c>
      <c r="O151" s="70" t="str">
        <f>IF(OR($C151="",$D151="",$F151=""),"",IF($F151="Aylık",EOMONTH($D151,0),($D151+MOD(SISTEM!$F$8-WEEKDAY($D151,2),7))))</f>
        <v/>
      </c>
      <c r="P151" s="61"/>
      <c r="Q151" s="2"/>
      <c r="R151" s="2"/>
      <c r="S151" s="1" t="str">
        <f>IF($B151="","",$B151&amp;"|"&amp;COUNTIFS($B$7:$B151,$B151))</f>
        <v/>
      </c>
      <c r="T151" s="1" t="str">
        <f t="shared" si="32"/>
        <v/>
      </c>
      <c r="U151" s="1">
        <f t="shared" si="33"/>
        <v>0</v>
      </c>
      <c r="V151" s="1">
        <f t="shared" si="34"/>
        <v>2958465</v>
      </c>
      <c r="W151" s="1">
        <f t="shared" si="35"/>
        <v>0</v>
      </c>
      <c r="X151" s="1">
        <f t="shared" si="36"/>
        <v>0</v>
      </c>
      <c r="Y151" s="1">
        <f t="shared" si="37"/>
        <v>97200</v>
      </c>
      <c r="Z151" s="1">
        <f t="shared" si="38"/>
        <v>1</v>
      </c>
    </row>
    <row r="152" spans="1:26" ht="18" customHeight="1" x14ac:dyDescent="0.3">
      <c r="A152" s="2"/>
      <c r="B152" s="65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66"/>
      <c r="E152" s="66"/>
      <c r="F152" s="60"/>
      <c r="G152" s="67"/>
      <c r="H152" s="60"/>
      <c r="I152" s="68">
        <f t="shared" ca="1" si="26"/>
        <v>0</v>
      </c>
      <c r="J152" s="68">
        <f t="shared" ca="1" si="27"/>
        <v>0</v>
      </c>
      <c r="K152" s="68">
        <f t="shared" ca="1" si="28"/>
        <v>0</v>
      </c>
      <c r="L152" s="68">
        <f t="shared" ca="1" si="29"/>
        <v>0</v>
      </c>
      <c r="M152" s="69">
        <f t="shared" si="30"/>
        <v>0</v>
      </c>
      <c r="N152" s="65" t="str">
        <f t="shared" si="31"/>
        <v/>
      </c>
      <c r="O152" s="70" t="str">
        <f>IF(OR($C152="",$D152="",$F152=""),"",IF($F152="Aylık",EOMONTH($D152,0),($D152+MOD(SISTEM!$F$8-WEEKDAY($D152,2),7))))</f>
        <v/>
      </c>
      <c r="P152" s="61"/>
      <c r="Q152" s="2"/>
      <c r="R152" s="2"/>
      <c r="S152" s="1" t="str">
        <f>IF($B152="","",$B152&amp;"|"&amp;COUNTIFS($B$7:$B152,$B152))</f>
        <v/>
      </c>
      <c r="T152" s="1" t="str">
        <f t="shared" si="32"/>
        <v/>
      </c>
      <c r="U152" s="1">
        <f t="shared" si="33"/>
        <v>0</v>
      </c>
      <c r="V152" s="1">
        <f t="shared" si="34"/>
        <v>2958465</v>
      </c>
      <c r="W152" s="1">
        <f t="shared" si="35"/>
        <v>0</v>
      </c>
      <c r="X152" s="1">
        <f t="shared" si="36"/>
        <v>0</v>
      </c>
      <c r="Y152" s="1">
        <f t="shared" si="37"/>
        <v>97200</v>
      </c>
      <c r="Z152" s="1">
        <f t="shared" si="38"/>
        <v>1</v>
      </c>
    </row>
    <row r="153" spans="1:26" ht="18" customHeight="1" x14ac:dyDescent="0.3">
      <c r="A153" s="2"/>
      <c r="B153" s="65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66"/>
      <c r="E153" s="66"/>
      <c r="F153" s="60"/>
      <c r="G153" s="67"/>
      <c r="H153" s="60"/>
      <c r="I153" s="68">
        <f t="shared" ca="1" si="26"/>
        <v>0</v>
      </c>
      <c r="J153" s="68">
        <f t="shared" ca="1" si="27"/>
        <v>0</v>
      </c>
      <c r="K153" s="68">
        <f t="shared" ca="1" si="28"/>
        <v>0</v>
      </c>
      <c r="L153" s="68">
        <f t="shared" ca="1" si="29"/>
        <v>0</v>
      </c>
      <c r="M153" s="69">
        <f t="shared" si="30"/>
        <v>0</v>
      </c>
      <c r="N153" s="65" t="str">
        <f t="shared" si="31"/>
        <v/>
      </c>
      <c r="O153" s="70" t="str">
        <f>IF(OR($C153="",$D153="",$F153=""),"",IF($F153="Aylık",EOMONTH($D153,0),($D153+MOD(SISTEM!$F$8-WEEKDAY($D153,2),7))))</f>
        <v/>
      </c>
      <c r="P153" s="61"/>
      <c r="Q153" s="2"/>
      <c r="R153" s="2"/>
      <c r="S153" s="1" t="str">
        <f>IF($B153="","",$B153&amp;"|"&amp;COUNTIFS($B$7:$B153,$B153))</f>
        <v/>
      </c>
      <c r="T153" s="1" t="str">
        <f t="shared" si="32"/>
        <v/>
      </c>
      <c r="U153" s="1">
        <f t="shared" si="33"/>
        <v>0</v>
      </c>
      <c r="V153" s="1">
        <f t="shared" si="34"/>
        <v>2958465</v>
      </c>
      <c r="W153" s="1">
        <f t="shared" si="35"/>
        <v>0</v>
      </c>
      <c r="X153" s="1">
        <f t="shared" si="36"/>
        <v>0</v>
      </c>
      <c r="Y153" s="1">
        <f t="shared" si="37"/>
        <v>97200</v>
      </c>
      <c r="Z153" s="1">
        <f t="shared" si="38"/>
        <v>1</v>
      </c>
    </row>
    <row r="154" spans="1:26" ht="18" customHeight="1" x14ac:dyDescent="0.3">
      <c r="A154" s="2"/>
      <c r="B154" s="65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66"/>
      <c r="E154" s="66"/>
      <c r="F154" s="60"/>
      <c r="G154" s="67"/>
      <c r="H154" s="60"/>
      <c r="I154" s="68">
        <f t="shared" ca="1" si="26"/>
        <v>0</v>
      </c>
      <c r="J154" s="68">
        <f t="shared" ca="1" si="27"/>
        <v>0</v>
      </c>
      <c r="K154" s="68">
        <f t="shared" ca="1" si="28"/>
        <v>0</v>
      </c>
      <c r="L154" s="68">
        <f t="shared" ca="1" si="29"/>
        <v>0</v>
      </c>
      <c r="M154" s="69">
        <f t="shared" si="30"/>
        <v>0</v>
      </c>
      <c r="N154" s="65" t="str">
        <f t="shared" si="31"/>
        <v/>
      </c>
      <c r="O154" s="70" t="str">
        <f>IF(OR($C154="",$D154="",$F154=""),"",IF($F154="Aylık",EOMONTH($D154,0),($D154+MOD(SISTEM!$F$8-WEEKDAY($D154,2),7))))</f>
        <v/>
      </c>
      <c r="P154" s="61"/>
      <c r="Q154" s="2"/>
      <c r="R154" s="2"/>
      <c r="S154" s="1" t="str">
        <f>IF($B154="","",$B154&amp;"|"&amp;COUNTIFS($B$7:$B154,$B154))</f>
        <v/>
      </c>
      <c r="T154" s="1" t="str">
        <f t="shared" si="32"/>
        <v/>
      </c>
      <c r="U154" s="1">
        <f t="shared" si="33"/>
        <v>0</v>
      </c>
      <c r="V154" s="1">
        <f t="shared" si="34"/>
        <v>2958465</v>
      </c>
      <c r="W154" s="1">
        <f t="shared" si="35"/>
        <v>0</v>
      </c>
      <c r="X154" s="1">
        <f t="shared" si="36"/>
        <v>0</v>
      </c>
      <c r="Y154" s="1">
        <f t="shared" si="37"/>
        <v>97200</v>
      </c>
      <c r="Z154" s="1">
        <f t="shared" si="38"/>
        <v>1</v>
      </c>
    </row>
    <row r="155" spans="1:26" ht="18" customHeight="1" x14ac:dyDescent="0.3">
      <c r="A155" s="2"/>
      <c r="B155" s="65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66"/>
      <c r="E155" s="66"/>
      <c r="F155" s="60"/>
      <c r="G155" s="67"/>
      <c r="H155" s="60"/>
      <c r="I155" s="68">
        <f t="shared" ca="1" si="26"/>
        <v>0</v>
      </c>
      <c r="J155" s="68">
        <f t="shared" ca="1" si="27"/>
        <v>0</v>
      </c>
      <c r="K155" s="68">
        <f t="shared" ca="1" si="28"/>
        <v>0</v>
      </c>
      <c r="L155" s="68">
        <f t="shared" ca="1" si="29"/>
        <v>0</v>
      </c>
      <c r="M155" s="69">
        <f t="shared" si="30"/>
        <v>0</v>
      </c>
      <c r="N155" s="65" t="str">
        <f t="shared" si="31"/>
        <v/>
      </c>
      <c r="O155" s="70" t="str">
        <f>IF(OR($C155="",$D155="",$F155=""),"",IF($F155="Aylık",EOMONTH($D155,0),($D155+MOD(SISTEM!$F$8-WEEKDAY($D155,2),7))))</f>
        <v/>
      </c>
      <c r="P155" s="61"/>
      <c r="Q155" s="2"/>
      <c r="R155" s="2"/>
      <c r="S155" s="1" t="str">
        <f>IF($B155="","",$B155&amp;"|"&amp;COUNTIFS($B$7:$B155,$B155))</f>
        <v/>
      </c>
      <c r="T155" s="1" t="str">
        <f t="shared" si="32"/>
        <v/>
      </c>
      <c r="U155" s="1">
        <f t="shared" si="33"/>
        <v>0</v>
      </c>
      <c r="V155" s="1">
        <f t="shared" si="34"/>
        <v>2958465</v>
      </c>
      <c r="W155" s="1">
        <f t="shared" si="35"/>
        <v>0</v>
      </c>
      <c r="X155" s="1">
        <f t="shared" si="36"/>
        <v>0</v>
      </c>
      <c r="Y155" s="1">
        <f t="shared" si="37"/>
        <v>97200</v>
      </c>
      <c r="Z155" s="1">
        <f t="shared" si="38"/>
        <v>1</v>
      </c>
    </row>
    <row r="156" spans="1:26" ht="18" customHeight="1" x14ac:dyDescent="0.3">
      <c r="A156" s="2"/>
      <c r="B156" s="65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66"/>
      <c r="E156" s="66"/>
      <c r="F156" s="60"/>
      <c r="G156" s="67"/>
      <c r="H156" s="60"/>
      <c r="I156" s="68">
        <f t="shared" ca="1" si="26"/>
        <v>0</v>
      </c>
      <c r="J156" s="68">
        <f t="shared" ca="1" si="27"/>
        <v>0</v>
      </c>
      <c r="K156" s="68">
        <f t="shared" ca="1" si="28"/>
        <v>0</v>
      </c>
      <c r="L156" s="68">
        <f t="shared" ca="1" si="29"/>
        <v>0</v>
      </c>
      <c r="M156" s="69">
        <f t="shared" si="30"/>
        <v>0</v>
      </c>
      <c r="N156" s="65" t="str">
        <f t="shared" si="31"/>
        <v/>
      </c>
      <c r="O156" s="70" t="str">
        <f>IF(OR($C156="",$D156="",$F156=""),"",IF($F156="Aylık",EOMONTH($D156,0),($D156+MOD(SISTEM!$F$8-WEEKDAY($D156,2),7))))</f>
        <v/>
      </c>
      <c r="P156" s="61"/>
      <c r="Q156" s="2"/>
      <c r="R156" s="2"/>
      <c r="S156" s="1" t="str">
        <f>IF($B156="","",$B156&amp;"|"&amp;COUNTIFS($B$7:$B156,$B156))</f>
        <v/>
      </c>
      <c r="T156" s="1" t="str">
        <f t="shared" si="32"/>
        <v/>
      </c>
      <c r="U156" s="1">
        <f t="shared" si="33"/>
        <v>0</v>
      </c>
      <c r="V156" s="1">
        <f t="shared" si="34"/>
        <v>2958465</v>
      </c>
      <c r="W156" s="1">
        <f t="shared" si="35"/>
        <v>0</v>
      </c>
      <c r="X156" s="1">
        <f t="shared" si="36"/>
        <v>0</v>
      </c>
      <c r="Y156" s="1">
        <f t="shared" si="37"/>
        <v>97200</v>
      </c>
      <c r="Z156" s="1">
        <f t="shared" si="38"/>
        <v>1</v>
      </c>
    </row>
    <row r="157" spans="1:26" ht="18" customHeight="1" x14ac:dyDescent="0.3">
      <c r="A157" s="2"/>
      <c r="B157" s="65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66"/>
      <c r="E157" s="66"/>
      <c r="F157" s="60"/>
      <c r="G157" s="67"/>
      <c r="H157" s="60"/>
      <c r="I157" s="68">
        <f t="shared" ca="1" si="26"/>
        <v>0</v>
      </c>
      <c r="J157" s="68">
        <f t="shared" ca="1" si="27"/>
        <v>0</v>
      </c>
      <c r="K157" s="68">
        <f t="shared" ca="1" si="28"/>
        <v>0</v>
      </c>
      <c r="L157" s="68">
        <f t="shared" ca="1" si="29"/>
        <v>0</v>
      </c>
      <c r="M157" s="69">
        <f t="shared" si="30"/>
        <v>0</v>
      </c>
      <c r="N157" s="65" t="str">
        <f t="shared" si="31"/>
        <v/>
      </c>
      <c r="O157" s="70" t="str">
        <f>IF(OR($C157="",$D157="",$F157=""),"",IF($F157="Aylık",EOMONTH($D157,0),($D157+MOD(SISTEM!$F$8-WEEKDAY($D157,2),7))))</f>
        <v/>
      </c>
      <c r="P157" s="61"/>
      <c r="Q157" s="2"/>
      <c r="R157" s="2"/>
      <c r="S157" s="1" t="str">
        <f>IF($B157="","",$B157&amp;"|"&amp;COUNTIFS($B$7:$B157,$B157))</f>
        <v/>
      </c>
      <c r="T157" s="1" t="str">
        <f t="shared" si="32"/>
        <v/>
      </c>
      <c r="U157" s="1">
        <f t="shared" si="33"/>
        <v>0</v>
      </c>
      <c r="V157" s="1">
        <f t="shared" si="34"/>
        <v>2958465</v>
      </c>
      <c r="W157" s="1">
        <f t="shared" si="35"/>
        <v>0</v>
      </c>
      <c r="X157" s="1">
        <f t="shared" si="36"/>
        <v>0</v>
      </c>
      <c r="Y157" s="1">
        <f t="shared" si="37"/>
        <v>97200</v>
      </c>
      <c r="Z157" s="1">
        <f t="shared" si="38"/>
        <v>1</v>
      </c>
    </row>
    <row r="158" spans="1:26" ht="18" customHeight="1" x14ac:dyDescent="0.3">
      <c r="A158" s="2"/>
      <c r="B158" s="65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66"/>
      <c r="E158" s="66"/>
      <c r="F158" s="60"/>
      <c r="G158" s="67"/>
      <c r="H158" s="60"/>
      <c r="I158" s="68">
        <f t="shared" ca="1" si="26"/>
        <v>0</v>
      </c>
      <c r="J158" s="68">
        <f t="shared" ca="1" si="27"/>
        <v>0</v>
      </c>
      <c r="K158" s="68">
        <f t="shared" ca="1" si="28"/>
        <v>0</v>
      </c>
      <c r="L158" s="68">
        <f t="shared" ca="1" si="29"/>
        <v>0</v>
      </c>
      <c r="M158" s="69">
        <f t="shared" si="30"/>
        <v>0</v>
      </c>
      <c r="N158" s="65" t="str">
        <f t="shared" si="31"/>
        <v/>
      </c>
      <c r="O158" s="70" t="str">
        <f>IF(OR($C158="",$D158="",$F158=""),"",IF($F158="Aylık",EOMONTH($D158,0),($D158+MOD(SISTEM!$F$8-WEEKDAY($D158,2),7))))</f>
        <v/>
      </c>
      <c r="P158" s="61"/>
      <c r="Q158" s="2"/>
      <c r="R158" s="2"/>
      <c r="S158" s="1" t="str">
        <f>IF($B158="","",$B158&amp;"|"&amp;COUNTIFS($B$7:$B158,$B158))</f>
        <v/>
      </c>
      <c r="T158" s="1" t="str">
        <f t="shared" si="32"/>
        <v/>
      </c>
      <c r="U158" s="1">
        <f t="shared" si="33"/>
        <v>0</v>
      </c>
      <c r="V158" s="1">
        <f t="shared" si="34"/>
        <v>2958465</v>
      </c>
      <c r="W158" s="1">
        <f t="shared" si="35"/>
        <v>0</v>
      </c>
      <c r="X158" s="1">
        <f t="shared" si="36"/>
        <v>0</v>
      </c>
      <c r="Y158" s="1">
        <f t="shared" si="37"/>
        <v>97200</v>
      </c>
      <c r="Z158" s="1">
        <f t="shared" si="38"/>
        <v>1</v>
      </c>
    </row>
    <row r="159" spans="1:26" ht="18" customHeight="1" x14ac:dyDescent="0.3">
      <c r="A159" s="2"/>
      <c r="B159" s="65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66"/>
      <c r="E159" s="66"/>
      <c r="F159" s="60"/>
      <c r="G159" s="67"/>
      <c r="H159" s="60"/>
      <c r="I159" s="68">
        <f t="shared" ca="1" si="26"/>
        <v>0</v>
      </c>
      <c r="J159" s="68">
        <f t="shared" ca="1" si="27"/>
        <v>0</v>
      </c>
      <c r="K159" s="68">
        <f t="shared" ca="1" si="28"/>
        <v>0</v>
      </c>
      <c r="L159" s="68">
        <f t="shared" ca="1" si="29"/>
        <v>0</v>
      </c>
      <c r="M159" s="69">
        <f t="shared" si="30"/>
        <v>0</v>
      </c>
      <c r="N159" s="65" t="str">
        <f t="shared" si="31"/>
        <v/>
      </c>
      <c r="O159" s="70" t="str">
        <f>IF(OR($C159="",$D159="",$F159=""),"",IF($F159="Aylık",EOMONTH($D159,0),($D159+MOD(SISTEM!$F$8-WEEKDAY($D159,2),7))))</f>
        <v/>
      </c>
      <c r="P159" s="61"/>
      <c r="Q159" s="2"/>
      <c r="R159" s="2"/>
      <c r="S159" s="1" t="str">
        <f>IF($B159="","",$B159&amp;"|"&amp;COUNTIFS($B$7:$B159,$B159))</f>
        <v/>
      </c>
      <c r="T159" s="1" t="str">
        <f t="shared" si="32"/>
        <v/>
      </c>
      <c r="U159" s="1">
        <f t="shared" si="33"/>
        <v>0</v>
      </c>
      <c r="V159" s="1">
        <f t="shared" si="34"/>
        <v>2958465</v>
      </c>
      <c r="W159" s="1">
        <f t="shared" si="35"/>
        <v>0</v>
      </c>
      <c r="X159" s="1">
        <f t="shared" si="36"/>
        <v>0</v>
      </c>
      <c r="Y159" s="1">
        <f t="shared" si="37"/>
        <v>97200</v>
      </c>
      <c r="Z159" s="1">
        <f t="shared" si="38"/>
        <v>1</v>
      </c>
    </row>
    <row r="160" spans="1:26" ht="18" customHeight="1" x14ac:dyDescent="0.3">
      <c r="A160" s="2"/>
      <c r="B160" s="65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66"/>
      <c r="E160" s="66"/>
      <c r="F160" s="60"/>
      <c r="G160" s="67"/>
      <c r="H160" s="60"/>
      <c r="I160" s="68">
        <f t="shared" ca="1" si="26"/>
        <v>0</v>
      </c>
      <c r="J160" s="68">
        <f t="shared" ca="1" si="27"/>
        <v>0</v>
      </c>
      <c r="K160" s="68">
        <f t="shared" ca="1" si="28"/>
        <v>0</v>
      </c>
      <c r="L160" s="68">
        <f t="shared" ca="1" si="29"/>
        <v>0</v>
      </c>
      <c r="M160" s="69">
        <f t="shared" si="30"/>
        <v>0</v>
      </c>
      <c r="N160" s="65" t="str">
        <f t="shared" si="31"/>
        <v/>
      </c>
      <c r="O160" s="70" t="str">
        <f>IF(OR($C160="",$D160="",$F160=""),"",IF($F160="Aylık",EOMONTH($D160,0),($D160+MOD(SISTEM!$F$8-WEEKDAY($D160,2),7))))</f>
        <v/>
      </c>
      <c r="P160" s="61"/>
      <c r="Q160" s="2"/>
      <c r="R160" s="2"/>
      <c r="S160" s="1" t="str">
        <f>IF($B160="","",$B160&amp;"|"&amp;COUNTIFS($B$7:$B160,$B160))</f>
        <v/>
      </c>
      <c r="T160" s="1" t="str">
        <f t="shared" si="32"/>
        <v/>
      </c>
      <c r="U160" s="1">
        <f t="shared" si="33"/>
        <v>0</v>
      </c>
      <c r="V160" s="1">
        <f t="shared" si="34"/>
        <v>2958465</v>
      </c>
      <c r="W160" s="1">
        <f t="shared" si="35"/>
        <v>0</v>
      </c>
      <c r="X160" s="1">
        <f t="shared" si="36"/>
        <v>0</v>
      </c>
      <c r="Y160" s="1">
        <f t="shared" si="37"/>
        <v>97200</v>
      </c>
      <c r="Z160" s="1">
        <f t="shared" si="38"/>
        <v>1</v>
      </c>
    </row>
    <row r="161" spans="1:26" ht="18" customHeight="1" x14ac:dyDescent="0.3">
      <c r="A161" s="2"/>
      <c r="B161" s="65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66"/>
      <c r="E161" s="66"/>
      <c r="F161" s="60"/>
      <c r="G161" s="67"/>
      <c r="H161" s="60"/>
      <c r="I161" s="68">
        <f t="shared" ca="1" si="26"/>
        <v>0</v>
      </c>
      <c r="J161" s="68">
        <f t="shared" ca="1" si="27"/>
        <v>0</v>
      </c>
      <c r="K161" s="68">
        <f t="shared" ca="1" si="28"/>
        <v>0</v>
      </c>
      <c r="L161" s="68">
        <f t="shared" ca="1" si="29"/>
        <v>0</v>
      </c>
      <c r="M161" s="69">
        <f t="shared" si="30"/>
        <v>0</v>
      </c>
      <c r="N161" s="65" t="str">
        <f t="shared" si="31"/>
        <v/>
      </c>
      <c r="O161" s="70" t="str">
        <f>IF(OR($C161="",$D161="",$F161=""),"",IF($F161="Aylık",EOMONTH($D161,0),($D161+MOD(SISTEM!$F$8-WEEKDAY($D161,2),7))))</f>
        <v/>
      </c>
      <c r="P161" s="61"/>
      <c r="Q161" s="2"/>
      <c r="R161" s="2"/>
      <c r="S161" s="1" t="str">
        <f>IF($B161="","",$B161&amp;"|"&amp;COUNTIFS($B$7:$B161,$B161))</f>
        <v/>
      </c>
      <c r="T161" s="1" t="str">
        <f t="shared" si="32"/>
        <v/>
      </c>
      <c r="U161" s="1">
        <f t="shared" si="33"/>
        <v>0</v>
      </c>
      <c r="V161" s="1">
        <f t="shared" si="34"/>
        <v>2958465</v>
      </c>
      <c r="W161" s="1">
        <f t="shared" si="35"/>
        <v>0</v>
      </c>
      <c r="X161" s="1">
        <f t="shared" si="36"/>
        <v>0</v>
      </c>
      <c r="Y161" s="1">
        <f t="shared" si="37"/>
        <v>97200</v>
      </c>
      <c r="Z161" s="1">
        <f t="shared" si="38"/>
        <v>1</v>
      </c>
    </row>
    <row r="162" spans="1:26" ht="18" customHeight="1" x14ac:dyDescent="0.3">
      <c r="A162" s="2"/>
      <c r="B162" s="65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66"/>
      <c r="E162" s="66"/>
      <c r="F162" s="60"/>
      <c r="G162" s="67"/>
      <c r="H162" s="60"/>
      <c r="I162" s="68">
        <f t="shared" ca="1" si="26"/>
        <v>0</v>
      </c>
      <c r="J162" s="68">
        <f t="shared" ca="1" si="27"/>
        <v>0</v>
      </c>
      <c r="K162" s="68">
        <f t="shared" ca="1" si="28"/>
        <v>0</v>
      </c>
      <c r="L162" s="68">
        <f t="shared" ca="1" si="29"/>
        <v>0</v>
      </c>
      <c r="M162" s="69">
        <f t="shared" si="30"/>
        <v>0</v>
      </c>
      <c r="N162" s="65" t="str">
        <f t="shared" si="31"/>
        <v/>
      </c>
      <c r="O162" s="70" t="str">
        <f>IF(OR($C162="",$D162="",$F162=""),"",IF($F162="Aylık",EOMONTH($D162,0),($D162+MOD(SISTEM!$F$8-WEEKDAY($D162,2),7))))</f>
        <v/>
      </c>
      <c r="P162" s="61"/>
      <c r="Q162" s="2"/>
      <c r="R162" s="2"/>
      <c r="S162" s="1" t="str">
        <f>IF($B162="","",$B162&amp;"|"&amp;COUNTIFS($B$7:$B162,$B162))</f>
        <v/>
      </c>
      <c r="T162" s="1" t="str">
        <f t="shared" si="32"/>
        <v/>
      </c>
      <c r="U162" s="1">
        <f t="shared" si="33"/>
        <v>0</v>
      </c>
      <c r="V162" s="1">
        <f t="shared" si="34"/>
        <v>2958465</v>
      </c>
      <c r="W162" s="1">
        <f t="shared" si="35"/>
        <v>0</v>
      </c>
      <c r="X162" s="1">
        <f t="shared" si="36"/>
        <v>0</v>
      </c>
      <c r="Y162" s="1">
        <f t="shared" si="37"/>
        <v>97200</v>
      </c>
      <c r="Z162" s="1">
        <f t="shared" si="38"/>
        <v>1</v>
      </c>
    </row>
    <row r="163" spans="1:26" ht="18" customHeight="1" x14ac:dyDescent="0.3">
      <c r="A163" s="2"/>
      <c r="B163" s="65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66"/>
      <c r="E163" s="66"/>
      <c r="F163" s="60"/>
      <c r="G163" s="67"/>
      <c r="H163" s="60"/>
      <c r="I163" s="68">
        <f t="shared" ca="1" si="26"/>
        <v>0</v>
      </c>
      <c r="J163" s="68">
        <f t="shared" ca="1" si="27"/>
        <v>0</v>
      </c>
      <c r="K163" s="68">
        <f t="shared" ca="1" si="28"/>
        <v>0</v>
      </c>
      <c r="L163" s="68">
        <f t="shared" ca="1" si="29"/>
        <v>0</v>
      </c>
      <c r="M163" s="69">
        <f t="shared" si="30"/>
        <v>0</v>
      </c>
      <c r="N163" s="65" t="str">
        <f t="shared" si="31"/>
        <v/>
      </c>
      <c r="O163" s="70" t="str">
        <f>IF(OR($C163="",$D163="",$F163=""),"",IF($F163="Aylık",EOMONTH($D163,0),($D163+MOD(SISTEM!$F$8-WEEKDAY($D163,2),7))))</f>
        <v/>
      </c>
      <c r="P163" s="61"/>
      <c r="Q163" s="2"/>
      <c r="R163" s="2"/>
      <c r="S163" s="1" t="str">
        <f>IF($B163="","",$B163&amp;"|"&amp;COUNTIFS($B$7:$B163,$B163))</f>
        <v/>
      </c>
      <c r="T163" s="1" t="str">
        <f t="shared" si="32"/>
        <v/>
      </c>
      <c r="U163" s="1">
        <f t="shared" si="33"/>
        <v>0</v>
      </c>
      <c r="V163" s="1">
        <f t="shared" si="34"/>
        <v>2958465</v>
      </c>
      <c r="W163" s="1">
        <f t="shared" si="35"/>
        <v>0</v>
      </c>
      <c r="X163" s="1">
        <f t="shared" si="36"/>
        <v>0</v>
      </c>
      <c r="Y163" s="1">
        <f t="shared" si="37"/>
        <v>97200</v>
      </c>
      <c r="Z163" s="1">
        <f t="shared" si="38"/>
        <v>1</v>
      </c>
    </row>
    <row r="164" spans="1:26" ht="18" customHeight="1" x14ac:dyDescent="0.3">
      <c r="A164" s="2"/>
      <c r="B164" s="65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66"/>
      <c r="E164" s="66"/>
      <c r="F164" s="60"/>
      <c r="G164" s="67"/>
      <c r="H164" s="60"/>
      <c r="I164" s="68">
        <f t="shared" ca="1" si="26"/>
        <v>0</v>
      </c>
      <c r="J164" s="68">
        <f t="shared" ca="1" si="27"/>
        <v>0</v>
      </c>
      <c r="K164" s="68">
        <f t="shared" ca="1" si="28"/>
        <v>0</v>
      </c>
      <c r="L164" s="68">
        <f t="shared" ca="1" si="29"/>
        <v>0</v>
      </c>
      <c r="M164" s="69">
        <f t="shared" si="30"/>
        <v>0</v>
      </c>
      <c r="N164" s="65" t="str">
        <f t="shared" si="31"/>
        <v/>
      </c>
      <c r="O164" s="70" t="str">
        <f>IF(OR($C164="",$D164="",$F164=""),"",IF($F164="Aylık",EOMONTH($D164,0),($D164+MOD(SISTEM!$F$8-WEEKDAY($D164,2),7))))</f>
        <v/>
      </c>
      <c r="P164" s="61"/>
      <c r="Q164" s="2"/>
      <c r="R164" s="2"/>
      <c r="S164" s="1" t="str">
        <f>IF($B164="","",$B164&amp;"|"&amp;COUNTIFS($B$7:$B164,$B164))</f>
        <v/>
      </c>
      <c r="T164" s="1" t="str">
        <f t="shared" si="32"/>
        <v/>
      </c>
      <c r="U164" s="1">
        <f t="shared" si="33"/>
        <v>0</v>
      </c>
      <c r="V164" s="1">
        <f t="shared" si="34"/>
        <v>2958465</v>
      </c>
      <c r="W164" s="1">
        <f t="shared" si="35"/>
        <v>0</v>
      </c>
      <c r="X164" s="1">
        <f t="shared" si="36"/>
        <v>0</v>
      </c>
      <c r="Y164" s="1">
        <f t="shared" si="37"/>
        <v>97200</v>
      </c>
      <c r="Z164" s="1">
        <f t="shared" si="38"/>
        <v>1</v>
      </c>
    </row>
    <row r="165" spans="1:26" ht="18" customHeight="1" x14ac:dyDescent="0.3">
      <c r="A165" s="2"/>
      <c r="B165" s="65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66"/>
      <c r="E165" s="66"/>
      <c r="F165" s="60"/>
      <c r="G165" s="67"/>
      <c r="H165" s="60"/>
      <c r="I165" s="68">
        <f t="shared" ca="1" si="26"/>
        <v>0</v>
      </c>
      <c r="J165" s="68">
        <f t="shared" ca="1" si="27"/>
        <v>0</v>
      </c>
      <c r="K165" s="68">
        <f t="shared" ca="1" si="28"/>
        <v>0</v>
      </c>
      <c r="L165" s="68">
        <f t="shared" ca="1" si="29"/>
        <v>0</v>
      </c>
      <c r="M165" s="69">
        <f t="shared" si="30"/>
        <v>0</v>
      </c>
      <c r="N165" s="65" t="str">
        <f t="shared" si="31"/>
        <v/>
      </c>
      <c r="O165" s="70" t="str">
        <f>IF(OR($C165="",$D165="",$F165=""),"",IF($F165="Aylık",EOMONTH($D165,0),($D165+MOD(SISTEM!$F$8-WEEKDAY($D165,2),7))))</f>
        <v/>
      </c>
      <c r="P165" s="61"/>
      <c r="Q165" s="2"/>
      <c r="R165" s="2"/>
      <c r="S165" s="1" t="str">
        <f>IF($B165="","",$B165&amp;"|"&amp;COUNTIFS($B$7:$B165,$B165))</f>
        <v/>
      </c>
      <c r="T165" s="1" t="str">
        <f t="shared" si="32"/>
        <v/>
      </c>
      <c r="U165" s="1">
        <f t="shared" si="33"/>
        <v>0</v>
      </c>
      <c r="V165" s="1">
        <f t="shared" si="34"/>
        <v>2958465</v>
      </c>
      <c r="W165" s="1">
        <f t="shared" si="35"/>
        <v>0</v>
      </c>
      <c r="X165" s="1">
        <f t="shared" si="36"/>
        <v>0</v>
      </c>
      <c r="Y165" s="1">
        <f t="shared" si="37"/>
        <v>97200</v>
      </c>
      <c r="Z165" s="1">
        <f t="shared" si="38"/>
        <v>1</v>
      </c>
    </row>
    <row r="166" spans="1:26" ht="18" customHeight="1" x14ac:dyDescent="0.3">
      <c r="A166" s="2"/>
      <c r="B166" s="65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66"/>
      <c r="E166" s="66"/>
      <c r="F166" s="60"/>
      <c r="G166" s="67"/>
      <c r="H166" s="60"/>
      <c r="I166" s="68">
        <f t="shared" ca="1" si="26"/>
        <v>0</v>
      </c>
      <c r="J166" s="68">
        <f t="shared" ca="1" si="27"/>
        <v>0</v>
      </c>
      <c r="K166" s="68">
        <f t="shared" ca="1" si="28"/>
        <v>0</v>
      </c>
      <c r="L166" s="68">
        <f t="shared" ca="1" si="29"/>
        <v>0</v>
      </c>
      <c r="M166" s="69">
        <f t="shared" si="30"/>
        <v>0</v>
      </c>
      <c r="N166" s="65" t="str">
        <f t="shared" si="31"/>
        <v/>
      </c>
      <c r="O166" s="70" t="str">
        <f>IF(OR($C166="",$D166="",$F166=""),"",IF($F166="Aylık",EOMONTH($D166,0),($D166+MOD(SISTEM!$F$8-WEEKDAY($D166,2),7))))</f>
        <v/>
      </c>
      <c r="P166" s="61"/>
      <c r="Q166" s="2"/>
      <c r="R166" s="2"/>
      <c r="S166" s="1" t="str">
        <f>IF($B166="","",$B166&amp;"|"&amp;COUNTIFS($B$7:$B166,$B166))</f>
        <v/>
      </c>
      <c r="T166" s="1" t="str">
        <f t="shared" si="32"/>
        <v/>
      </c>
      <c r="U166" s="1">
        <f t="shared" si="33"/>
        <v>0</v>
      </c>
      <c r="V166" s="1">
        <f t="shared" si="34"/>
        <v>2958465</v>
      </c>
      <c r="W166" s="1">
        <f t="shared" si="35"/>
        <v>0</v>
      </c>
      <c r="X166" s="1">
        <f t="shared" si="36"/>
        <v>0</v>
      </c>
      <c r="Y166" s="1">
        <f t="shared" si="37"/>
        <v>97200</v>
      </c>
      <c r="Z166" s="1">
        <f t="shared" si="38"/>
        <v>1</v>
      </c>
    </row>
    <row r="167" spans="1:26" ht="18" customHeight="1" x14ac:dyDescent="0.3">
      <c r="A167" s="2"/>
      <c r="B167" s="65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66"/>
      <c r="E167" s="66"/>
      <c r="F167" s="60"/>
      <c r="G167" s="67"/>
      <c r="H167" s="60"/>
      <c r="I167" s="68">
        <f t="shared" ca="1" si="26"/>
        <v>0</v>
      </c>
      <c r="J167" s="68">
        <f t="shared" ca="1" si="27"/>
        <v>0</v>
      </c>
      <c r="K167" s="68">
        <f t="shared" ca="1" si="28"/>
        <v>0</v>
      </c>
      <c r="L167" s="68">
        <f t="shared" ca="1" si="29"/>
        <v>0</v>
      </c>
      <c r="M167" s="69">
        <f t="shared" si="30"/>
        <v>0</v>
      </c>
      <c r="N167" s="65" t="str">
        <f t="shared" si="31"/>
        <v/>
      </c>
      <c r="O167" s="70" t="str">
        <f>IF(OR($C167="",$D167="",$F167=""),"",IF($F167="Aylık",EOMONTH($D167,0),($D167+MOD(SISTEM!$F$8-WEEKDAY($D167,2),7))))</f>
        <v/>
      </c>
      <c r="P167" s="61"/>
      <c r="Q167" s="2"/>
      <c r="R167" s="2"/>
      <c r="S167" s="1" t="str">
        <f>IF($B167="","",$B167&amp;"|"&amp;COUNTIFS($B$7:$B167,$B167))</f>
        <v/>
      </c>
      <c r="T167" s="1" t="str">
        <f t="shared" si="32"/>
        <v/>
      </c>
      <c r="U167" s="1">
        <f t="shared" si="33"/>
        <v>0</v>
      </c>
      <c r="V167" s="1">
        <f t="shared" si="34"/>
        <v>2958465</v>
      </c>
      <c r="W167" s="1">
        <f t="shared" si="35"/>
        <v>0</v>
      </c>
      <c r="X167" s="1">
        <f t="shared" si="36"/>
        <v>0</v>
      </c>
      <c r="Y167" s="1">
        <f t="shared" si="37"/>
        <v>97200</v>
      </c>
      <c r="Z167" s="1">
        <f t="shared" si="38"/>
        <v>1</v>
      </c>
    </row>
    <row r="168" spans="1:26" ht="18" customHeight="1" x14ac:dyDescent="0.3">
      <c r="A168" s="2"/>
      <c r="B168" s="65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66"/>
      <c r="E168" s="66"/>
      <c r="F168" s="60"/>
      <c r="G168" s="67"/>
      <c r="H168" s="60"/>
      <c r="I168" s="68">
        <f t="shared" ca="1" si="26"/>
        <v>0</v>
      </c>
      <c r="J168" s="68">
        <f t="shared" ca="1" si="27"/>
        <v>0</v>
      </c>
      <c r="K168" s="68">
        <f t="shared" ca="1" si="28"/>
        <v>0</v>
      </c>
      <c r="L168" s="68">
        <f t="shared" ca="1" si="29"/>
        <v>0</v>
      </c>
      <c r="M168" s="69">
        <f t="shared" si="30"/>
        <v>0</v>
      </c>
      <c r="N168" s="65" t="str">
        <f t="shared" si="31"/>
        <v/>
      </c>
      <c r="O168" s="70" t="str">
        <f>IF(OR($C168="",$D168="",$F168=""),"",IF($F168="Aylık",EOMONTH($D168,0),($D168+MOD(SISTEM!$F$8-WEEKDAY($D168,2),7))))</f>
        <v/>
      </c>
      <c r="P168" s="61"/>
      <c r="Q168" s="2"/>
      <c r="R168" s="2"/>
      <c r="S168" s="1" t="str">
        <f>IF($B168="","",$B168&amp;"|"&amp;COUNTIFS($B$7:$B168,$B168))</f>
        <v/>
      </c>
      <c r="T168" s="1" t="str">
        <f t="shared" si="32"/>
        <v/>
      </c>
      <c r="U168" s="1">
        <f t="shared" si="33"/>
        <v>0</v>
      </c>
      <c r="V168" s="1">
        <f t="shared" si="34"/>
        <v>2958465</v>
      </c>
      <c r="W168" s="1">
        <f t="shared" si="35"/>
        <v>0</v>
      </c>
      <c r="X168" s="1">
        <f t="shared" si="36"/>
        <v>0</v>
      </c>
      <c r="Y168" s="1">
        <f t="shared" si="37"/>
        <v>97200</v>
      </c>
      <c r="Z168" s="1">
        <f t="shared" si="38"/>
        <v>1</v>
      </c>
    </row>
    <row r="169" spans="1:26" ht="18" customHeight="1" x14ac:dyDescent="0.3">
      <c r="A169" s="2"/>
      <c r="B169" s="65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66"/>
      <c r="E169" s="66"/>
      <c r="F169" s="60"/>
      <c r="G169" s="67"/>
      <c r="H169" s="60"/>
      <c r="I169" s="68">
        <f t="shared" ca="1" si="26"/>
        <v>0</v>
      </c>
      <c r="J169" s="68">
        <f t="shared" ca="1" si="27"/>
        <v>0</v>
      </c>
      <c r="K169" s="68">
        <f t="shared" ca="1" si="28"/>
        <v>0</v>
      </c>
      <c r="L169" s="68">
        <f t="shared" ca="1" si="29"/>
        <v>0</v>
      </c>
      <c r="M169" s="69">
        <f t="shared" si="30"/>
        <v>0</v>
      </c>
      <c r="N169" s="65" t="str">
        <f t="shared" si="31"/>
        <v/>
      </c>
      <c r="O169" s="70" t="str">
        <f>IF(OR($C169="",$D169="",$F169=""),"",IF($F169="Aylık",EOMONTH($D169,0),($D169+MOD(SISTEM!$F$8-WEEKDAY($D169,2),7))))</f>
        <v/>
      </c>
      <c r="P169" s="61"/>
      <c r="Q169" s="2"/>
      <c r="R169" s="2"/>
      <c r="S169" s="1" t="str">
        <f>IF($B169="","",$B169&amp;"|"&amp;COUNTIFS($B$7:$B169,$B169))</f>
        <v/>
      </c>
      <c r="T169" s="1" t="str">
        <f t="shared" si="32"/>
        <v/>
      </c>
      <c r="U169" s="1">
        <f t="shared" si="33"/>
        <v>0</v>
      </c>
      <c r="V169" s="1">
        <f t="shared" si="34"/>
        <v>2958465</v>
      </c>
      <c r="W169" s="1">
        <f t="shared" si="35"/>
        <v>0</v>
      </c>
      <c r="X169" s="1">
        <f t="shared" si="36"/>
        <v>0</v>
      </c>
      <c r="Y169" s="1">
        <f t="shared" si="37"/>
        <v>97200</v>
      </c>
      <c r="Z169" s="1">
        <f t="shared" si="38"/>
        <v>1</v>
      </c>
    </row>
    <row r="170" spans="1:26" ht="18" customHeight="1" x14ac:dyDescent="0.3">
      <c r="A170" s="2"/>
      <c r="B170" s="65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66"/>
      <c r="E170" s="66"/>
      <c r="F170" s="60"/>
      <c r="G170" s="67"/>
      <c r="H170" s="60"/>
      <c r="I170" s="68">
        <f t="shared" ca="1" si="26"/>
        <v>0</v>
      </c>
      <c r="J170" s="68">
        <f t="shared" ca="1" si="27"/>
        <v>0</v>
      </c>
      <c r="K170" s="68">
        <f t="shared" ca="1" si="28"/>
        <v>0</v>
      </c>
      <c r="L170" s="68">
        <f t="shared" ca="1" si="29"/>
        <v>0</v>
      </c>
      <c r="M170" s="69">
        <f t="shared" si="30"/>
        <v>0</v>
      </c>
      <c r="N170" s="65" t="str">
        <f t="shared" si="31"/>
        <v/>
      </c>
      <c r="O170" s="70" t="str">
        <f>IF(OR($C170="",$D170="",$F170=""),"",IF($F170="Aylık",EOMONTH($D170,0),($D170+MOD(SISTEM!$F$8-WEEKDAY($D170,2),7))))</f>
        <v/>
      </c>
      <c r="P170" s="61"/>
      <c r="Q170" s="2"/>
      <c r="R170" s="2"/>
      <c r="S170" s="1" t="str">
        <f>IF($B170="","",$B170&amp;"|"&amp;COUNTIFS($B$7:$B170,$B170))</f>
        <v/>
      </c>
      <c r="T170" s="1" t="str">
        <f t="shared" si="32"/>
        <v/>
      </c>
      <c r="U170" s="1">
        <f t="shared" si="33"/>
        <v>0</v>
      </c>
      <c r="V170" s="1">
        <f t="shared" si="34"/>
        <v>2958465</v>
      </c>
      <c r="W170" s="1">
        <f t="shared" si="35"/>
        <v>0</v>
      </c>
      <c r="X170" s="1">
        <f t="shared" si="36"/>
        <v>0</v>
      </c>
      <c r="Y170" s="1">
        <f t="shared" si="37"/>
        <v>97200</v>
      </c>
      <c r="Z170" s="1">
        <f t="shared" si="38"/>
        <v>1</v>
      </c>
    </row>
    <row r="171" spans="1:26" ht="18" customHeight="1" x14ac:dyDescent="0.3">
      <c r="A171" s="2"/>
      <c r="B171" s="65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66"/>
      <c r="E171" s="66"/>
      <c r="F171" s="60"/>
      <c r="G171" s="67"/>
      <c r="H171" s="60"/>
      <c r="I171" s="68">
        <f t="shared" ca="1" si="26"/>
        <v>0</v>
      </c>
      <c r="J171" s="68">
        <f t="shared" ca="1" si="27"/>
        <v>0</v>
      </c>
      <c r="K171" s="68">
        <f t="shared" ca="1" si="28"/>
        <v>0</v>
      </c>
      <c r="L171" s="68">
        <f t="shared" ca="1" si="29"/>
        <v>0</v>
      </c>
      <c r="M171" s="69">
        <f t="shared" si="30"/>
        <v>0</v>
      </c>
      <c r="N171" s="65" t="str">
        <f t="shared" si="31"/>
        <v/>
      </c>
      <c r="O171" s="70" t="str">
        <f>IF(OR($C171="",$D171="",$F171=""),"",IF($F171="Aylık",EOMONTH($D171,0),($D171+MOD(SISTEM!$F$8-WEEKDAY($D171,2),7))))</f>
        <v/>
      </c>
      <c r="P171" s="61"/>
      <c r="Q171" s="2"/>
      <c r="R171" s="2"/>
      <c r="S171" s="1" t="str">
        <f>IF($B171="","",$B171&amp;"|"&amp;COUNTIFS($B$7:$B171,$B171))</f>
        <v/>
      </c>
      <c r="T171" s="1" t="str">
        <f t="shared" si="32"/>
        <v/>
      </c>
      <c r="U171" s="1">
        <f t="shared" si="33"/>
        <v>0</v>
      </c>
      <c r="V171" s="1">
        <f t="shared" si="34"/>
        <v>2958465</v>
      </c>
      <c r="W171" s="1">
        <f t="shared" si="35"/>
        <v>0</v>
      </c>
      <c r="X171" s="1">
        <f t="shared" si="36"/>
        <v>0</v>
      </c>
      <c r="Y171" s="1">
        <f t="shared" si="37"/>
        <v>97200</v>
      </c>
      <c r="Z171" s="1">
        <f t="shared" si="38"/>
        <v>1</v>
      </c>
    </row>
    <row r="172" spans="1:26" ht="18" customHeight="1" x14ac:dyDescent="0.3">
      <c r="A172" s="2"/>
      <c r="B172" s="65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66"/>
      <c r="E172" s="66"/>
      <c r="F172" s="60"/>
      <c r="G172" s="67"/>
      <c r="H172" s="60"/>
      <c r="I172" s="68">
        <f t="shared" ca="1" si="26"/>
        <v>0</v>
      </c>
      <c r="J172" s="68">
        <f t="shared" ca="1" si="27"/>
        <v>0</v>
      </c>
      <c r="K172" s="68">
        <f t="shared" ca="1" si="28"/>
        <v>0</v>
      </c>
      <c r="L172" s="68">
        <f t="shared" ca="1" si="29"/>
        <v>0</v>
      </c>
      <c r="M172" s="69">
        <f t="shared" si="30"/>
        <v>0</v>
      </c>
      <c r="N172" s="65" t="str">
        <f t="shared" si="31"/>
        <v/>
      </c>
      <c r="O172" s="70" t="str">
        <f>IF(OR($C172="",$D172="",$F172=""),"",IF($F172="Aylık",EOMONTH($D172,0),($D172+MOD(SISTEM!$F$8-WEEKDAY($D172,2),7))))</f>
        <v/>
      </c>
      <c r="P172" s="61"/>
      <c r="Q172" s="2"/>
      <c r="R172" s="2"/>
      <c r="S172" s="1" t="str">
        <f>IF($B172="","",$B172&amp;"|"&amp;COUNTIFS($B$7:$B172,$B172))</f>
        <v/>
      </c>
      <c r="T172" s="1" t="str">
        <f t="shared" si="32"/>
        <v/>
      </c>
      <c r="U172" s="1">
        <f t="shared" si="33"/>
        <v>0</v>
      </c>
      <c r="V172" s="1">
        <f t="shared" si="34"/>
        <v>2958465</v>
      </c>
      <c r="W172" s="1">
        <f t="shared" si="35"/>
        <v>0</v>
      </c>
      <c r="X172" s="1">
        <f t="shared" si="36"/>
        <v>0</v>
      </c>
      <c r="Y172" s="1">
        <f t="shared" si="37"/>
        <v>97200</v>
      </c>
      <c r="Z172" s="1">
        <f t="shared" si="38"/>
        <v>1</v>
      </c>
    </row>
    <row r="173" spans="1:26" ht="18" customHeight="1" x14ac:dyDescent="0.3">
      <c r="A173" s="2"/>
      <c r="B173" s="65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66"/>
      <c r="E173" s="66"/>
      <c r="F173" s="60"/>
      <c r="G173" s="67"/>
      <c r="H173" s="60"/>
      <c r="I173" s="68">
        <f t="shared" ca="1" si="26"/>
        <v>0</v>
      </c>
      <c r="J173" s="68">
        <f t="shared" ca="1" si="27"/>
        <v>0</v>
      </c>
      <c r="K173" s="68">
        <f t="shared" ca="1" si="28"/>
        <v>0</v>
      </c>
      <c r="L173" s="68">
        <f t="shared" ca="1" si="29"/>
        <v>0</v>
      </c>
      <c r="M173" s="69">
        <f t="shared" si="30"/>
        <v>0</v>
      </c>
      <c r="N173" s="65" t="str">
        <f t="shared" si="31"/>
        <v/>
      </c>
      <c r="O173" s="70" t="str">
        <f>IF(OR($C173="",$D173="",$F173=""),"",IF($F173="Aylık",EOMONTH($D173,0),($D173+MOD(SISTEM!$F$8-WEEKDAY($D173,2),7))))</f>
        <v/>
      </c>
      <c r="P173" s="61"/>
      <c r="Q173" s="2"/>
      <c r="R173" s="2"/>
      <c r="S173" s="1" t="str">
        <f>IF($B173="","",$B173&amp;"|"&amp;COUNTIFS($B$7:$B173,$B173))</f>
        <v/>
      </c>
      <c r="T173" s="1" t="str">
        <f t="shared" si="32"/>
        <v/>
      </c>
      <c r="U173" s="1">
        <f t="shared" si="33"/>
        <v>0</v>
      </c>
      <c r="V173" s="1">
        <f t="shared" si="34"/>
        <v>2958465</v>
      </c>
      <c r="W173" s="1">
        <f t="shared" si="35"/>
        <v>0</v>
      </c>
      <c r="X173" s="1">
        <f t="shared" si="36"/>
        <v>0</v>
      </c>
      <c r="Y173" s="1">
        <f t="shared" si="37"/>
        <v>97200</v>
      </c>
      <c r="Z173" s="1">
        <f t="shared" si="38"/>
        <v>1</v>
      </c>
    </row>
    <row r="174" spans="1:26" ht="18" customHeight="1" x14ac:dyDescent="0.3">
      <c r="A174" s="2"/>
      <c r="B174" s="65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66"/>
      <c r="E174" s="66"/>
      <c r="F174" s="60"/>
      <c r="G174" s="67"/>
      <c r="H174" s="60"/>
      <c r="I174" s="68">
        <f t="shared" ca="1" si="26"/>
        <v>0</v>
      </c>
      <c r="J174" s="68">
        <f t="shared" ca="1" si="27"/>
        <v>0</v>
      </c>
      <c r="K174" s="68">
        <f t="shared" ca="1" si="28"/>
        <v>0</v>
      </c>
      <c r="L174" s="68">
        <f t="shared" ca="1" si="29"/>
        <v>0</v>
      </c>
      <c r="M174" s="69">
        <f t="shared" si="30"/>
        <v>0</v>
      </c>
      <c r="N174" s="65" t="str">
        <f t="shared" si="31"/>
        <v/>
      </c>
      <c r="O174" s="70" t="str">
        <f>IF(OR($C174="",$D174="",$F174=""),"",IF($F174="Aylık",EOMONTH($D174,0),($D174+MOD(SISTEM!$F$8-WEEKDAY($D174,2),7))))</f>
        <v/>
      </c>
      <c r="P174" s="61"/>
      <c r="Q174" s="2"/>
      <c r="R174" s="2"/>
      <c r="S174" s="1" t="str">
        <f>IF($B174="","",$B174&amp;"|"&amp;COUNTIFS($B$7:$B174,$B174))</f>
        <v/>
      </c>
      <c r="T174" s="1" t="str">
        <f t="shared" si="32"/>
        <v/>
      </c>
      <c r="U174" s="1">
        <f t="shared" si="33"/>
        <v>0</v>
      </c>
      <c r="V174" s="1">
        <f t="shared" si="34"/>
        <v>2958465</v>
      </c>
      <c r="W174" s="1">
        <f t="shared" si="35"/>
        <v>0</v>
      </c>
      <c r="X174" s="1">
        <f t="shared" si="36"/>
        <v>0</v>
      </c>
      <c r="Y174" s="1">
        <f t="shared" si="37"/>
        <v>97200</v>
      </c>
      <c r="Z174" s="1">
        <f t="shared" si="38"/>
        <v>1</v>
      </c>
    </row>
    <row r="175" spans="1:26" ht="18" customHeight="1" x14ac:dyDescent="0.3">
      <c r="A175" s="2"/>
      <c r="B175" s="65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66"/>
      <c r="E175" s="66"/>
      <c r="F175" s="60"/>
      <c r="G175" s="67"/>
      <c r="H175" s="60"/>
      <c r="I175" s="68">
        <f t="shared" ca="1" si="26"/>
        <v>0</v>
      </c>
      <c r="J175" s="68">
        <f t="shared" ca="1" si="27"/>
        <v>0</v>
      </c>
      <c r="K175" s="68">
        <f t="shared" ca="1" si="28"/>
        <v>0</v>
      </c>
      <c r="L175" s="68">
        <f t="shared" ca="1" si="29"/>
        <v>0</v>
      </c>
      <c r="M175" s="69">
        <f t="shared" si="30"/>
        <v>0</v>
      </c>
      <c r="N175" s="65" t="str">
        <f t="shared" si="31"/>
        <v/>
      </c>
      <c r="O175" s="70" t="str">
        <f>IF(OR($C175="",$D175="",$F175=""),"",IF($F175="Aylık",EOMONTH($D175,0),($D175+MOD(SISTEM!$F$8-WEEKDAY($D175,2),7))))</f>
        <v/>
      </c>
      <c r="P175" s="61"/>
      <c r="Q175" s="2"/>
      <c r="R175" s="2"/>
      <c r="S175" s="1" t="str">
        <f>IF($B175="","",$B175&amp;"|"&amp;COUNTIFS($B$7:$B175,$B175))</f>
        <v/>
      </c>
      <c r="T175" s="1" t="str">
        <f t="shared" si="32"/>
        <v/>
      </c>
      <c r="U175" s="1">
        <f t="shared" si="33"/>
        <v>0</v>
      </c>
      <c r="V175" s="1">
        <f t="shared" si="34"/>
        <v>2958465</v>
      </c>
      <c r="W175" s="1">
        <f t="shared" si="35"/>
        <v>0</v>
      </c>
      <c r="X175" s="1">
        <f t="shared" si="36"/>
        <v>0</v>
      </c>
      <c r="Y175" s="1">
        <f t="shared" si="37"/>
        <v>97200</v>
      </c>
      <c r="Z175" s="1">
        <f t="shared" si="38"/>
        <v>1</v>
      </c>
    </row>
    <row r="176" spans="1:26" ht="18" customHeight="1" x14ac:dyDescent="0.3">
      <c r="A176" s="2"/>
      <c r="B176" s="65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66"/>
      <c r="E176" s="66"/>
      <c r="F176" s="60"/>
      <c r="G176" s="67"/>
      <c r="H176" s="60"/>
      <c r="I176" s="68">
        <f t="shared" ca="1" si="26"/>
        <v>0</v>
      </c>
      <c r="J176" s="68">
        <f t="shared" ca="1" si="27"/>
        <v>0</v>
      </c>
      <c r="K176" s="68">
        <f t="shared" ca="1" si="28"/>
        <v>0</v>
      </c>
      <c r="L176" s="68">
        <f t="shared" ca="1" si="29"/>
        <v>0</v>
      </c>
      <c r="M176" s="69">
        <f t="shared" si="30"/>
        <v>0</v>
      </c>
      <c r="N176" s="65" t="str">
        <f t="shared" si="31"/>
        <v/>
      </c>
      <c r="O176" s="70" t="str">
        <f>IF(OR($C176="",$D176="",$F176=""),"",IF($F176="Aylık",EOMONTH($D176,0),($D176+MOD(SISTEM!$F$8-WEEKDAY($D176,2),7))))</f>
        <v/>
      </c>
      <c r="P176" s="61"/>
      <c r="Q176" s="2"/>
      <c r="R176" s="2"/>
      <c r="S176" s="1" t="str">
        <f>IF($B176="","",$B176&amp;"|"&amp;COUNTIFS($B$7:$B176,$B176))</f>
        <v/>
      </c>
      <c r="T176" s="1" t="str">
        <f t="shared" si="32"/>
        <v/>
      </c>
      <c r="U176" s="1">
        <f t="shared" si="33"/>
        <v>0</v>
      </c>
      <c r="V176" s="1">
        <f t="shared" si="34"/>
        <v>2958465</v>
      </c>
      <c r="W176" s="1">
        <f t="shared" si="35"/>
        <v>0</v>
      </c>
      <c r="X176" s="1">
        <f t="shared" si="36"/>
        <v>0</v>
      </c>
      <c r="Y176" s="1">
        <f t="shared" si="37"/>
        <v>97200</v>
      </c>
      <c r="Z176" s="1">
        <f t="shared" si="38"/>
        <v>1</v>
      </c>
    </row>
    <row r="177" spans="1:26" ht="18" customHeight="1" x14ac:dyDescent="0.3">
      <c r="A177" s="2"/>
      <c r="B177" s="65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66"/>
      <c r="E177" s="66"/>
      <c r="F177" s="60"/>
      <c r="G177" s="67"/>
      <c r="H177" s="60"/>
      <c r="I177" s="68">
        <f t="shared" ca="1" si="26"/>
        <v>0</v>
      </c>
      <c r="J177" s="68">
        <f t="shared" ca="1" si="27"/>
        <v>0</v>
      </c>
      <c r="K177" s="68">
        <f t="shared" ca="1" si="28"/>
        <v>0</v>
      </c>
      <c r="L177" s="68">
        <f t="shared" ca="1" si="29"/>
        <v>0</v>
      </c>
      <c r="M177" s="69">
        <f t="shared" si="30"/>
        <v>0</v>
      </c>
      <c r="N177" s="65" t="str">
        <f t="shared" si="31"/>
        <v/>
      </c>
      <c r="O177" s="70" t="str">
        <f>IF(OR($C177="",$D177="",$F177=""),"",IF($F177="Aylık",EOMONTH($D177,0),($D177+MOD(SISTEM!$F$8-WEEKDAY($D177,2),7))))</f>
        <v/>
      </c>
      <c r="P177" s="61"/>
      <c r="Q177" s="2"/>
      <c r="R177" s="2"/>
      <c r="S177" s="1" t="str">
        <f>IF($B177="","",$B177&amp;"|"&amp;COUNTIFS($B$7:$B177,$B177))</f>
        <v/>
      </c>
      <c r="T177" s="1" t="str">
        <f t="shared" si="32"/>
        <v/>
      </c>
      <c r="U177" s="1">
        <f t="shared" si="33"/>
        <v>0</v>
      </c>
      <c r="V177" s="1">
        <f t="shared" si="34"/>
        <v>2958465</v>
      </c>
      <c r="W177" s="1">
        <f t="shared" si="35"/>
        <v>0</v>
      </c>
      <c r="X177" s="1">
        <f t="shared" si="36"/>
        <v>0</v>
      </c>
      <c r="Y177" s="1">
        <f t="shared" si="37"/>
        <v>97200</v>
      </c>
      <c r="Z177" s="1">
        <f t="shared" si="38"/>
        <v>1</v>
      </c>
    </row>
    <row r="178" spans="1:26" ht="18" customHeight="1" x14ac:dyDescent="0.3">
      <c r="A178" s="2"/>
      <c r="B178" s="65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66"/>
      <c r="E178" s="66"/>
      <c r="F178" s="60"/>
      <c r="G178" s="67"/>
      <c r="H178" s="60"/>
      <c r="I178" s="68">
        <f t="shared" ca="1" si="26"/>
        <v>0</v>
      </c>
      <c r="J178" s="68">
        <f t="shared" ca="1" si="27"/>
        <v>0</v>
      </c>
      <c r="K178" s="68">
        <f t="shared" ca="1" si="28"/>
        <v>0</v>
      </c>
      <c r="L178" s="68">
        <f t="shared" ca="1" si="29"/>
        <v>0</v>
      </c>
      <c r="M178" s="69">
        <f t="shared" si="30"/>
        <v>0</v>
      </c>
      <c r="N178" s="65" t="str">
        <f t="shared" si="31"/>
        <v/>
      </c>
      <c r="O178" s="70" t="str">
        <f>IF(OR($C178="",$D178="",$F178=""),"",IF($F178="Aylık",EOMONTH($D178,0),($D178+MOD(SISTEM!$F$8-WEEKDAY($D178,2),7))))</f>
        <v/>
      </c>
      <c r="P178" s="61"/>
      <c r="Q178" s="2"/>
      <c r="R178" s="2"/>
      <c r="S178" s="1" t="str">
        <f>IF($B178="","",$B178&amp;"|"&amp;COUNTIFS($B$7:$B178,$B178))</f>
        <v/>
      </c>
      <c r="T178" s="1" t="str">
        <f t="shared" si="32"/>
        <v/>
      </c>
      <c r="U178" s="1">
        <f t="shared" si="33"/>
        <v>0</v>
      </c>
      <c r="V178" s="1">
        <f t="shared" si="34"/>
        <v>2958465</v>
      </c>
      <c r="W178" s="1">
        <f t="shared" si="35"/>
        <v>0</v>
      </c>
      <c r="X178" s="1">
        <f t="shared" si="36"/>
        <v>0</v>
      </c>
      <c r="Y178" s="1">
        <f t="shared" si="37"/>
        <v>97200</v>
      </c>
      <c r="Z178" s="1">
        <f t="shared" si="38"/>
        <v>1</v>
      </c>
    </row>
    <row r="179" spans="1:26" ht="18" customHeight="1" x14ac:dyDescent="0.3">
      <c r="A179" s="2"/>
      <c r="B179" s="65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66"/>
      <c r="E179" s="66"/>
      <c r="F179" s="60"/>
      <c r="G179" s="67"/>
      <c r="H179" s="60"/>
      <c r="I179" s="68">
        <f t="shared" ca="1" si="26"/>
        <v>0</v>
      </c>
      <c r="J179" s="68">
        <f t="shared" ca="1" si="27"/>
        <v>0</v>
      </c>
      <c r="K179" s="68">
        <f t="shared" ca="1" si="28"/>
        <v>0</v>
      </c>
      <c r="L179" s="68">
        <f t="shared" ca="1" si="29"/>
        <v>0</v>
      </c>
      <c r="M179" s="69">
        <f t="shared" si="30"/>
        <v>0</v>
      </c>
      <c r="N179" s="65" t="str">
        <f t="shared" si="31"/>
        <v/>
      </c>
      <c r="O179" s="70" t="str">
        <f>IF(OR($C179="",$D179="",$F179=""),"",IF($F179="Aylık",EOMONTH($D179,0),($D179+MOD(SISTEM!$F$8-WEEKDAY($D179,2),7))))</f>
        <v/>
      </c>
      <c r="P179" s="61"/>
      <c r="Q179" s="2"/>
      <c r="R179" s="2"/>
      <c r="S179" s="1" t="str">
        <f>IF($B179="","",$B179&amp;"|"&amp;COUNTIFS($B$7:$B179,$B179))</f>
        <v/>
      </c>
      <c r="T179" s="1" t="str">
        <f t="shared" si="32"/>
        <v/>
      </c>
      <c r="U179" s="1">
        <f t="shared" si="33"/>
        <v>0</v>
      </c>
      <c r="V179" s="1">
        <f t="shared" si="34"/>
        <v>2958465</v>
      </c>
      <c r="W179" s="1">
        <f t="shared" si="35"/>
        <v>0</v>
      </c>
      <c r="X179" s="1">
        <f t="shared" si="36"/>
        <v>0</v>
      </c>
      <c r="Y179" s="1">
        <f t="shared" si="37"/>
        <v>97200</v>
      </c>
      <c r="Z179" s="1">
        <f t="shared" si="38"/>
        <v>1</v>
      </c>
    </row>
    <row r="180" spans="1:26" ht="18" customHeight="1" x14ac:dyDescent="0.3">
      <c r="A180" s="2"/>
      <c r="B180" s="65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66"/>
      <c r="E180" s="66"/>
      <c r="F180" s="60"/>
      <c r="G180" s="67"/>
      <c r="H180" s="60"/>
      <c r="I180" s="68">
        <f t="shared" ca="1" si="26"/>
        <v>0</v>
      </c>
      <c r="J180" s="68">
        <f t="shared" ca="1" si="27"/>
        <v>0</v>
      </c>
      <c r="K180" s="68">
        <f t="shared" ca="1" si="28"/>
        <v>0</v>
      </c>
      <c r="L180" s="68">
        <f t="shared" ca="1" si="29"/>
        <v>0</v>
      </c>
      <c r="M180" s="69">
        <f t="shared" si="30"/>
        <v>0</v>
      </c>
      <c r="N180" s="65" t="str">
        <f t="shared" si="31"/>
        <v/>
      </c>
      <c r="O180" s="70" t="str">
        <f>IF(OR($C180="",$D180="",$F180=""),"",IF($F180="Aylık",EOMONTH($D180,0),($D180+MOD(SISTEM!$F$8-WEEKDAY($D180,2),7))))</f>
        <v/>
      </c>
      <c r="P180" s="61"/>
      <c r="Q180" s="2"/>
      <c r="R180" s="2"/>
      <c r="S180" s="1" t="str">
        <f>IF($B180="","",$B180&amp;"|"&amp;COUNTIFS($B$7:$B180,$B180))</f>
        <v/>
      </c>
      <c r="T180" s="1" t="str">
        <f t="shared" si="32"/>
        <v/>
      </c>
      <c r="U180" s="1">
        <f t="shared" si="33"/>
        <v>0</v>
      </c>
      <c r="V180" s="1">
        <f t="shared" si="34"/>
        <v>2958465</v>
      </c>
      <c r="W180" s="1">
        <f t="shared" si="35"/>
        <v>0</v>
      </c>
      <c r="X180" s="1">
        <f t="shared" si="36"/>
        <v>0</v>
      </c>
      <c r="Y180" s="1">
        <f t="shared" si="37"/>
        <v>97200</v>
      </c>
      <c r="Z180" s="1">
        <f t="shared" si="38"/>
        <v>1</v>
      </c>
    </row>
    <row r="181" spans="1:26" ht="18" customHeight="1" x14ac:dyDescent="0.3">
      <c r="A181" s="2"/>
      <c r="B181" s="65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66"/>
      <c r="E181" s="66"/>
      <c r="F181" s="60"/>
      <c r="G181" s="67"/>
      <c r="H181" s="60"/>
      <c r="I181" s="68">
        <f t="shared" ca="1" si="26"/>
        <v>0</v>
      </c>
      <c r="J181" s="68">
        <f t="shared" ca="1" si="27"/>
        <v>0</v>
      </c>
      <c r="K181" s="68">
        <f t="shared" ca="1" si="28"/>
        <v>0</v>
      </c>
      <c r="L181" s="68">
        <f t="shared" ca="1" si="29"/>
        <v>0</v>
      </c>
      <c r="M181" s="69">
        <f t="shared" si="30"/>
        <v>0</v>
      </c>
      <c r="N181" s="65" t="str">
        <f t="shared" si="31"/>
        <v/>
      </c>
      <c r="O181" s="70" t="str">
        <f>IF(OR($C181="",$D181="",$F181=""),"",IF($F181="Aylık",EOMONTH($D181,0),($D181+MOD(SISTEM!$F$8-WEEKDAY($D181,2),7))))</f>
        <v/>
      </c>
      <c r="P181" s="61"/>
      <c r="Q181" s="2"/>
      <c r="R181" s="2"/>
      <c r="S181" s="1" t="str">
        <f>IF($B181="","",$B181&amp;"|"&amp;COUNTIFS($B$7:$B181,$B181))</f>
        <v/>
      </c>
      <c r="T181" s="1" t="str">
        <f t="shared" si="32"/>
        <v/>
      </c>
      <c r="U181" s="1">
        <f t="shared" si="33"/>
        <v>0</v>
      </c>
      <c r="V181" s="1">
        <f t="shared" si="34"/>
        <v>2958465</v>
      </c>
      <c r="W181" s="1">
        <f t="shared" si="35"/>
        <v>0</v>
      </c>
      <c r="X181" s="1">
        <f t="shared" si="36"/>
        <v>0</v>
      </c>
      <c r="Y181" s="1">
        <f t="shared" si="37"/>
        <v>97200</v>
      </c>
      <c r="Z181" s="1">
        <f t="shared" si="38"/>
        <v>1</v>
      </c>
    </row>
    <row r="182" spans="1:26" ht="18" customHeight="1" x14ac:dyDescent="0.3">
      <c r="A182" s="2"/>
      <c r="B182" s="65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66"/>
      <c r="E182" s="66"/>
      <c r="F182" s="60"/>
      <c r="G182" s="67"/>
      <c r="H182" s="60"/>
      <c r="I182" s="68">
        <f t="shared" ca="1" si="26"/>
        <v>0</v>
      </c>
      <c r="J182" s="68">
        <f t="shared" ca="1" si="27"/>
        <v>0</v>
      </c>
      <c r="K182" s="68">
        <f t="shared" ca="1" si="28"/>
        <v>0</v>
      </c>
      <c r="L182" s="68">
        <f t="shared" ca="1" si="29"/>
        <v>0</v>
      </c>
      <c r="M182" s="69">
        <f t="shared" si="30"/>
        <v>0</v>
      </c>
      <c r="N182" s="65" t="str">
        <f t="shared" si="31"/>
        <v/>
      </c>
      <c r="O182" s="70" t="str">
        <f>IF(OR($C182="",$D182="",$F182=""),"",IF($F182="Aylık",EOMONTH($D182,0),($D182+MOD(SISTEM!$F$8-WEEKDAY($D182,2),7))))</f>
        <v/>
      </c>
      <c r="P182" s="61"/>
      <c r="Q182" s="2"/>
      <c r="R182" s="2"/>
      <c r="S182" s="1" t="str">
        <f>IF($B182="","",$B182&amp;"|"&amp;COUNTIFS($B$7:$B182,$B182))</f>
        <v/>
      </c>
      <c r="T182" s="1" t="str">
        <f t="shared" si="32"/>
        <v/>
      </c>
      <c r="U182" s="1">
        <f t="shared" si="33"/>
        <v>0</v>
      </c>
      <c r="V182" s="1">
        <f t="shared" si="34"/>
        <v>2958465</v>
      </c>
      <c r="W182" s="1">
        <f t="shared" si="35"/>
        <v>0</v>
      </c>
      <c r="X182" s="1">
        <f t="shared" si="36"/>
        <v>0</v>
      </c>
      <c r="Y182" s="1">
        <f t="shared" si="37"/>
        <v>97200</v>
      </c>
      <c r="Z182" s="1">
        <f t="shared" si="38"/>
        <v>1</v>
      </c>
    </row>
    <row r="183" spans="1:26" ht="18" customHeight="1" x14ac:dyDescent="0.3">
      <c r="A183" s="2"/>
      <c r="B183" s="65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66"/>
      <c r="E183" s="66"/>
      <c r="F183" s="60"/>
      <c r="G183" s="67"/>
      <c r="H183" s="60"/>
      <c r="I183" s="68">
        <f t="shared" ca="1" si="26"/>
        <v>0</v>
      </c>
      <c r="J183" s="68">
        <f t="shared" ca="1" si="27"/>
        <v>0</v>
      </c>
      <c r="K183" s="68">
        <f t="shared" ca="1" si="28"/>
        <v>0</v>
      </c>
      <c r="L183" s="68">
        <f t="shared" ca="1" si="29"/>
        <v>0</v>
      </c>
      <c r="M183" s="69">
        <f t="shared" si="30"/>
        <v>0</v>
      </c>
      <c r="N183" s="65" t="str">
        <f t="shared" si="31"/>
        <v/>
      </c>
      <c r="O183" s="70" t="str">
        <f>IF(OR($C183="",$D183="",$F183=""),"",IF($F183="Aylık",EOMONTH($D183,0),($D183+MOD(SISTEM!$F$8-WEEKDAY($D183,2),7))))</f>
        <v/>
      </c>
      <c r="P183" s="61"/>
      <c r="Q183" s="2"/>
      <c r="R183" s="2"/>
      <c r="S183" s="1" t="str">
        <f>IF($B183="","",$B183&amp;"|"&amp;COUNTIFS($B$7:$B183,$B183))</f>
        <v/>
      </c>
      <c r="T183" s="1" t="str">
        <f t="shared" si="32"/>
        <v/>
      </c>
      <c r="U183" s="1">
        <f t="shared" si="33"/>
        <v>0</v>
      </c>
      <c r="V183" s="1">
        <f t="shared" si="34"/>
        <v>2958465</v>
      </c>
      <c r="W183" s="1">
        <f t="shared" si="35"/>
        <v>0</v>
      </c>
      <c r="X183" s="1">
        <f t="shared" si="36"/>
        <v>0</v>
      </c>
      <c r="Y183" s="1">
        <f t="shared" si="37"/>
        <v>97200</v>
      </c>
      <c r="Z183" s="1">
        <f t="shared" si="38"/>
        <v>1</v>
      </c>
    </row>
    <row r="184" spans="1:26" ht="18" customHeight="1" x14ac:dyDescent="0.3">
      <c r="A184" s="2"/>
      <c r="B184" s="65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66"/>
      <c r="E184" s="66"/>
      <c r="F184" s="60"/>
      <c r="G184" s="67"/>
      <c r="H184" s="60"/>
      <c r="I184" s="68">
        <f t="shared" ca="1" si="26"/>
        <v>0</v>
      </c>
      <c r="J184" s="68">
        <f t="shared" ca="1" si="27"/>
        <v>0</v>
      </c>
      <c r="K184" s="68">
        <f t="shared" ca="1" si="28"/>
        <v>0</v>
      </c>
      <c r="L184" s="68">
        <f t="shared" ca="1" si="29"/>
        <v>0</v>
      </c>
      <c r="M184" s="69">
        <f t="shared" si="30"/>
        <v>0</v>
      </c>
      <c r="N184" s="65" t="str">
        <f t="shared" si="31"/>
        <v/>
      </c>
      <c r="O184" s="70" t="str">
        <f>IF(OR($C184="",$D184="",$F184=""),"",IF($F184="Aylık",EOMONTH($D184,0),($D184+MOD(SISTEM!$F$8-WEEKDAY($D184,2),7))))</f>
        <v/>
      </c>
      <c r="P184" s="61"/>
      <c r="Q184" s="2"/>
      <c r="R184" s="2"/>
      <c r="S184" s="1" t="str">
        <f>IF($B184="","",$B184&amp;"|"&amp;COUNTIFS($B$7:$B184,$B184))</f>
        <v/>
      </c>
      <c r="T184" s="1" t="str">
        <f t="shared" si="32"/>
        <v/>
      </c>
      <c r="U184" s="1">
        <f t="shared" si="33"/>
        <v>0</v>
      </c>
      <c r="V184" s="1">
        <f t="shared" si="34"/>
        <v>2958465</v>
      </c>
      <c r="W184" s="1">
        <f t="shared" si="35"/>
        <v>0</v>
      </c>
      <c r="X184" s="1">
        <f t="shared" si="36"/>
        <v>0</v>
      </c>
      <c r="Y184" s="1">
        <f t="shared" si="37"/>
        <v>97200</v>
      </c>
      <c r="Z184" s="1">
        <f t="shared" si="38"/>
        <v>1</v>
      </c>
    </row>
    <row r="185" spans="1:26" ht="18" customHeight="1" x14ac:dyDescent="0.3">
      <c r="A185" s="2"/>
      <c r="B185" s="65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66"/>
      <c r="E185" s="66"/>
      <c r="F185" s="60"/>
      <c r="G185" s="67"/>
      <c r="H185" s="60"/>
      <c r="I185" s="68">
        <f t="shared" ca="1" si="26"/>
        <v>0</v>
      </c>
      <c r="J185" s="68">
        <f t="shared" ca="1" si="27"/>
        <v>0</v>
      </c>
      <c r="K185" s="68">
        <f t="shared" ca="1" si="28"/>
        <v>0</v>
      </c>
      <c r="L185" s="68">
        <f t="shared" ca="1" si="29"/>
        <v>0</v>
      </c>
      <c r="M185" s="69">
        <f t="shared" si="30"/>
        <v>0</v>
      </c>
      <c r="N185" s="65" t="str">
        <f t="shared" si="31"/>
        <v/>
      </c>
      <c r="O185" s="70" t="str">
        <f>IF(OR($C185="",$D185="",$F185=""),"",IF($F185="Aylık",EOMONTH($D185,0),($D185+MOD(SISTEM!$F$8-WEEKDAY($D185,2),7))))</f>
        <v/>
      </c>
      <c r="P185" s="61"/>
      <c r="Q185" s="2"/>
      <c r="R185" s="2"/>
      <c r="S185" s="1" t="str">
        <f>IF($B185="","",$B185&amp;"|"&amp;COUNTIFS($B$7:$B185,$B185))</f>
        <v/>
      </c>
      <c r="T185" s="1" t="str">
        <f t="shared" si="32"/>
        <v/>
      </c>
      <c r="U185" s="1">
        <f t="shared" si="33"/>
        <v>0</v>
      </c>
      <c r="V185" s="1">
        <f t="shared" si="34"/>
        <v>2958465</v>
      </c>
      <c r="W185" s="1">
        <f t="shared" si="35"/>
        <v>0</v>
      </c>
      <c r="X185" s="1">
        <f t="shared" si="36"/>
        <v>0</v>
      </c>
      <c r="Y185" s="1">
        <f t="shared" si="37"/>
        <v>97200</v>
      </c>
      <c r="Z185" s="1">
        <f t="shared" si="38"/>
        <v>1</v>
      </c>
    </row>
    <row r="186" spans="1:26" ht="18" customHeight="1" x14ac:dyDescent="0.3">
      <c r="A186" s="2"/>
      <c r="B186" s="65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66"/>
      <c r="E186" s="66"/>
      <c r="F186" s="60"/>
      <c r="G186" s="67"/>
      <c r="H186" s="60"/>
      <c r="I186" s="68">
        <f t="shared" ca="1" si="26"/>
        <v>0</v>
      </c>
      <c r="J186" s="68">
        <f t="shared" ca="1" si="27"/>
        <v>0</v>
      </c>
      <c r="K186" s="68">
        <f t="shared" ca="1" si="28"/>
        <v>0</v>
      </c>
      <c r="L186" s="68">
        <f t="shared" ca="1" si="29"/>
        <v>0</v>
      </c>
      <c r="M186" s="69">
        <f t="shared" si="30"/>
        <v>0</v>
      </c>
      <c r="N186" s="65" t="str">
        <f t="shared" si="31"/>
        <v/>
      </c>
      <c r="O186" s="70" t="str">
        <f>IF(OR($C186="",$D186="",$F186=""),"",IF($F186="Aylık",EOMONTH($D186,0),($D186+MOD(SISTEM!$F$8-WEEKDAY($D186,2),7))))</f>
        <v/>
      </c>
      <c r="P186" s="61"/>
      <c r="Q186" s="2"/>
      <c r="R186" s="2"/>
      <c r="S186" s="1" t="str">
        <f>IF($B186="","",$B186&amp;"|"&amp;COUNTIFS($B$7:$B186,$B186))</f>
        <v/>
      </c>
      <c r="T186" s="1" t="str">
        <f t="shared" si="32"/>
        <v/>
      </c>
      <c r="U186" s="1">
        <f t="shared" si="33"/>
        <v>0</v>
      </c>
      <c r="V186" s="1">
        <f t="shared" si="34"/>
        <v>2958465</v>
      </c>
      <c r="W186" s="1">
        <f t="shared" si="35"/>
        <v>0</v>
      </c>
      <c r="X186" s="1">
        <f t="shared" si="36"/>
        <v>0</v>
      </c>
      <c r="Y186" s="1">
        <f t="shared" si="37"/>
        <v>97200</v>
      </c>
      <c r="Z186" s="1">
        <f t="shared" si="38"/>
        <v>1</v>
      </c>
    </row>
    <row r="187" spans="1:26" ht="18" customHeight="1" x14ac:dyDescent="0.3">
      <c r="A187" s="2"/>
      <c r="B187" s="65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66"/>
      <c r="E187" s="66"/>
      <c r="F187" s="60"/>
      <c r="G187" s="67"/>
      <c r="H187" s="60"/>
      <c r="I187" s="68">
        <f t="shared" ca="1" si="26"/>
        <v>0</v>
      </c>
      <c r="J187" s="68">
        <f t="shared" ca="1" si="27"/>
        <v>0</v>
      </c>
      <c r="K187" s="68">
        <f t="shared" ca="1" si="28"/>
        <v>0</v>
      </c>
      <c r="L187" s="68">
        <f t="shared" ca="1" si="29"/>
        <v>0</v>
      </c>
      <c r="M187" s="69">
        <f t="shared" si="30"/>
        <v>0</v>
      </c>
      <c r="N187" s="65" t="str">
        <f t="shared" si="31"/>
        <v/>
      </c>
      <c r="O187" s="70" t="str">
        <f>IF(OR($C187="",$D187="",$F187=""),"",IF($F187="Aylık",EOMONTH($D187,0),($D187+MOD(SISTEM!$F$8-WEEKDAY($D187,2),7))))</f>
        <v/>
      </c>
      <c r="P187" s="61"/>
      <c r="Q187" s="2"/>
      <c r="R187" s="2"/>
      <c r="S187" s="1" t="str">
        <f>IF($B187="","",$B187&amp;"|"&amp;COUNTIFS($B$7:$B187,$B187))</f>
        <v/>
      </c>
      <c r="T187" s="1" t="str">
        <f t="shared" si="32"/>
        <v/>
      </c>
      <c r="U187" s="1">
        <f t="shared" si="33"/>
        <v>0</v>
      </c>
      <c r="V187" s="1">
        <f t="shared" si="34"/>
        <v>2958465</v>
      </c>
      <c r="W187" s="1">
        <f t="shared" si="35"/>
        <v>0</v>
      </c>
      <c r="X187" s="1">
        <f t="shared" si="36"/>
        <v>0</v>
      </c>
      <c r="Y187" s="1">
        <f t="shared" si="37"/>
        <v>97200</v>
      </c>
      <c r="Z187" s="1">
        <f t="shared" si="38"/>
        <v>1</v>
      </c>
    </row>
    <row r="188" spans="1:26" ht="18" customHeight="1" x14ac:dyDescent="0.3">
      <c r="A188" s="2"/>
      <c r="B188" s="65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66"/>
      <c r="E188" s="66"/>
      <c r="F188" s="60"/>
      <c r="G188" s="67"/>
      <c r="H188" s="60"/>
      <c r="I188" s="68">
        <f t="shared" ca="1" si="26"/>
        <v>0</v>
      </c>
      <c r="J188" s="68">
        <f t="shared" ca="1" si="27"/>
        <v>0</v>
      </c>
      <c r="K188" s="68">
        <f t="shared" ca="1" si="28"/>
        <v>0</v>
      </c>
      <c r="L188" s="68">
        <f t="shared" ca="1" si="29"/>
        <v>0</v>
      </c>
      <c r="M188" s="69">
        <f t="shared" si="30"/>
        <v>0</v>
      </c>
      <c r="N188" s="65" t="str">
        <f t="shared" si="31"/>
        <v/>
      </c>
      <c r="O188" s="70" t="str">
        <f>IF(OR($C188="",$D188="",$F188=""),"",IF($F188="Aylık",EOMONTH($D188,0),($D188+MOD(SISTEM!$F$8-WEEKDAY($D188,2),7))))</f>
        <v/>
      </c>
      <c r="P188" s="61"/>
      <c r="Q188" s="2"/>
      <c r="R188" s="2"/>
      <c r="S188" s="1" t="str">
        <f>IF($B188="","",$B188&amp;"|"&amp;COUNTIFS($B$7:$B188,$B188))</f>
        <v/>
      </c>
      <c r="T188" s="1" t="str">
        <f t="shared" si="32"/>
        <v/>
      </c>
      <c r="U188" s="1">
        <f t="shared" si="33"/>
        <v>0</v>
      </c>
      <c r="V188" s="1">
        <f t="shared" si="34"/>
        <v>2958465</v>
      </c>
      <c r="W188" s="1">
        <f t="shared" si="35"/>
        <v>0</v>
      </c>
      <c r="X188" s="1">
        <f t="shared" si="36"/>
        <v>0</v>
      </c>
      <c r="Y188" s="1">
        <f t="shared" si="37"/>
        <v>97200</v>
      </c>
      <c r="Z188" s="1">
        <f t="shared" si="38"/>
        <v>1</v>
      </c>
    </row>
    <row r="189" spans="1:26" ht="18" customHeight="1" x14ac:dyDescent="0.3">
      <c r="A189" s="2"/>
      <c r="B189" s="65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66"/>
      <c r="E189" s="66"/>
      <c r="F189" s="60"/>
      <c r="G189" s="67"/>
      <c r="H189" s="60"/>
      <c r="I189" s="68">
        <f t="shared" ca="1" si="26"/>
        <v>0</v>
      </c>
      <c r="J189" s="68">
        <f t="shared" ca="1" si="27"/>
        <v>0</v>
      </c>
      <c r="K189" s="68">
        <f t="shared" ca="1" si="28"/>
        <v>0</v>
      </c>
      <c r="L189" s="68">
        <f t="shared" ca="1" si="29"/>
        <v>0</v>
      </c>
      <c r="M189" s="69">
        <f t="shared" si="30"/>
        <v>0</v>
      </c>
      <c r="N189" s="65" t="str">
        <f t="shared" si="31"/>
        <v/>
      </c>
      <c r="O189" s="70" t="str">
        <f>IF(OR($C189="",$D189="",$F189=""),"",IF($F189="Aylık",EOMONTH($D189,0),($D189+MOD(SISTEM!$F$8-WEEKDAY($D189,2),7))))</f>
        <v/>
      </c>
      <c r="P189" s="61"/>
      <c r="Q189" s="2"/>
      <c r="R189" s="2"/>
      <c r="S189" s="1" t="str">
        <f>IF($B189="","",$B189&amp;"|"&amp;COUNTIFS($B$7:$B189,$B189))</f>
        <v/>
      </c>
      <c r="T189" s="1" t="str">
        <f t="shared" si="32"/>
        <v/>
      </c>
      <c r="U189" s="1">
        <f t="shared" si="33"/>
        <v>0</v>
      </c>
      <c r="V189" s="1">
        <f t="shared" si="34"/>
        <v>2958465</v>
      </c>
      <c r="W189" s="1">
        <f t="shared" si="35"/>
        <v>0</v>
      </c>
      <c r="X189" s="1">
        <f t="shared" si="36"/>
        <v>0</v>
      </c>
      <c r="Y189" s="1">
        <f t="shared" si="37"/>
        <v>97200</v>
      </c>
      <c r="Z189" s="1">
        <f t="shared" si="38"/>
        <v>1</v>
      </c>
    </row>
    <row r="190" spans="1:26" ht="18" customHeight="1" x14ac:dyDescent="0.3">
      <c r="A190" s="2"/>
      <c r="B190" s="65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66"/>
      <c r="E190" s="66"/>
      <c r="F190" s="60"/>
      <c r="G190" s="67"/>
      <c r="H190" s="60"/>
      <c r="I190" s="68">
        <f t="shared" ca="1" si="26"/>
        <v>0</v>
      </c>
      <c r="J190" s="68">
        <f t="shared" ca="1" si="27"/>
        <v>0</v>
      </c>
      <c r="K190" s="68">
        <f t="shared" ca="1" si="28"/>
        <v>0</v>
      </c>
      <c r="L190" s="68">
        <f t="shared" ca="1" si="29"/>
        <v>0</v>
      </c>
      <c r="M190" s="69">
        <f t="shared" si="30"/>
        <v>0</v>
      </c>
      <c r="N190" s="65" t="str">
        <f t="shared" si="31"/>
        <v/>
      </c>
      <c r="O190" s="70" t="str">
        <f>IF(OR($C190="",$D190="",$F190=""),"",IF($F190="Aylık",EOMONTH($D190,0),($D190+MOD(SISTEM!$F$8-WEEKDAY($D190,2),7))))</f>
        <v/>
      </c>
      <c r="P190" s="61"/>
      <c r="Q190" s="2"/>
      <c r="R190" s="2"/>
      <c r="S190" s="1" t="str">
        <f>IF($B190="","",$B190&amp;"|"&amp;COUNTIFS($B$7:$B190,$B190))</f>
        <v/>
      </c>
      <c r="T190" s="1" t="str">
        <f t="shared" si="32"/>
        <v/>
      </c>
      <c r="U190" s="1">
        <f t="shared" si="33"/>
        <v>0</v>
      </c>
      <c r="V190" s="1">
        <f t="shared" si="34"/>
        <v>2958465</v>
      </c>
      <c r="W190" s="1">
        <f t="shared" si="35"/>
        <v>0</v>
      </c>
      <c r="X190" s="1">
        <f t="shared" si="36"/>
        <v>0</v>
      </c>
      <c r="Y190" s="1">
        <f t="shared" si="37"/>
        <v>97200</v>
      </c>
      <c r="Z190" s="1">
        <f t="shared" si="38"/>
        <v>1</v>
      </c>
    </row>
    <row r="191" spans="1:26" ht="18" customHeight="1" x14ac:dyDescent="0.3">
      <c r="A191" s="2"/>
      <c r="B191" s="65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66"/>
      <c r="E191" s="66"/>
      <c r="F191" s="60"/>
      <c r="G191" s="67"/>
      <c r="H191" s="60"/>
      <c r="I191" s="68">
        <f t="shared" ca="1" si="26"/>
        <v>0</v>
      </c>
      <c r="J191" s="68">
        <f t="shared" ca="1" si="27"/>
        <v>0</v>
      </c>
      <c r="K191" s="68">
        <f t="shared" ca="1" si="28"/>
        <v>0</v>
      </c>
      <c r="L191" s="68">
        <f t="shared" ca="1" si="29"/>
        <v>0</v>
      </c>
      <c r="M191" s="69">
        <f t="shared" si="30"/>
        <v>0</v>
      </c>
      <c r="N191" s="65" t="str">
        <f t="shared" si="31"/>
        <v/>
      </c>
      <c r="O191" s="70" t="str">
        <f>IF(OR($C191="",$D191="",$F191=""),"",IF($F191="Aylık",EOMONTH($D191,0),($D191+MOD(SISTEM!$F$8-WEEKDAY($D191,2),7))))</f>
        <v/>
      </c>
      <c r="P191" s="61"/>
      <c r="Q191" s="2"/>
      <c r="R191" s="2"/>
      <c r="S191" s="1" t="str">
        <f>IF($B191="","",$B191&amp;"|"&amp;COUNTIFS($B$7:$B191,$B191))</f>
        <v/>
      </c>
      <c r="T191" s="1" t="str">
        <f t="shared" si="32"/>
        <v/>
      </c>
      <c r="U191" s="1">
        <f t="shared" si="33"/>
        <v>0</v>
      </c>
      <c r="V191" s="1">
        <f t="shared" si="34"/>
        <v>2958465</v>
      </c>
      <c r="W191" s="1">
        <f t="shared" si="35"/>
        <v>0</v>
      </c>
      <c r="X191" s="1">
        <f t="shared" si="36"/>
        <v>0</v>
      </c>
      <c r="Y191" s="1">
        <f t="shared" si="37"/>
        <v>97200</v>
      </c>
      <c r="Z191" s="1">
        <f t="shared" si="38"/>
        <v>1</v>
      </c>
    </row>
    <row r="192" spans="1:26" ht="18" customHeight="1" x14ac:dyDescent="0.3">
      <c r="A192" s="2"/>
      <c r="B192" s="65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66"/>
      <c r="E192" s="66"/>
      <c r="F192" s="60"/>
      <c r="G192" s="67"/>
      <c r="H192" s="60"/>
      <c r="I192" s="68">
        <f t="shared" ca="1" si="26"/>
        <v>0</v>
      </c>
      <c r="J192" s="68">
        <f t="shared" ca="1" si="27"/>
        <v>0</v>
      </c>
      <c r="K192" s="68">
        <f t="shared" ca="1" si="28"/>
        <v>0</v>
      </c>
      <c r="L192" s="68">
        <f t="shared" ca="1" si="29"/>
        <v>0</v>
      </c>
      <c r="M192" s="69">
        <f t="shared" si="30"/>
        <v>0</v>
      </c>
      <c r="N192" s="65" t="str">
        <f t="shared" si="31"/>
        <v/>
      </c>
      <c r="O192" s="70" t="str">
        <f>IF(OR($C192="",$D192="",$F192=""),"",IF($F192="Aylık",EOMONTH($D192,0),($D192+MOD(SISTEM!$F$8-WEEKDAY($D192,2),7))))</f>
        <v/>
      </c>
      <c r="P192" s="61"/>
      <c r="Q192" s="2"/>
      <c r="R192" s="2"/>
      <c r="S192" s="1" t="str">
        <f>IF($B192="","",$B192&amp;"|"&amp;COUNTIFS($B$7:$B192,$B192))</f>
        <v/>
      </c>
      <c r="T192" s="1" t="str">
        <f t="shared" si="32"/>
        <v/>
      </c>
      <c r="U192" s="1">
        <f t="shared" si="33"/>
        <v>0</v>
      </c>
      <c r="V192" s="1">
        <f t="shared" si="34"/>
        <v>2958465</v>
      </c>
      <c r="W192" s="1">
        <f t="shared" si="35"/>
        <v>0</v>
      </c>
      <c r="X192" s="1">
        <f t="shared" si="36"/>
        <v>0</v>
      </c>
      <c r="Y192" s="1">
        <f t="shared" si="37"/>
        <v>97200</v>
      </c>
      <c r="Z192" s="1">
        <f t="shared" si="38"/>
        <v>1</v>
      </c>
    </row>
    <row r="193" spans="1:26" ht="18" customHeight="1" x14ac:dyDescent="0.3">
      <c r="A193" s="2"/>
      <c r="B193" s="65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66"/>
      <c r="E193" s="66"/>
      <c r="F193" s="60"/>
      <c r="G193" s="67"/>
      <c r="H193" s="60"/>
      <c r="I193" s="68">
        <f t="shared" ca="1" si="26"/>
        <v>0</v>
      </c>
      <c r="J193" s="68">
        <f t="shared" ca="1" si="27"/>
        <v>0</v>
      </c>
      <c r="K193" s="68">
        <f t="shared" ca="1" si="28"/>
        <v>0</v>
      </c>
      <c r="L193" s="68">
        <f t="shared" ca="1" si="29"/>
        <v>0</v>
      </c>
      <c r="M193" s="69">
        <f t="shared" si="30"/>
        <v>0</v>
      </c>
      <c r="N193" s="65" t="str">
        <f t="shared" si="31"/>
        <v/>
      </c>
      <c r="O193" s="70" t="str">
        <f>IF(OR($C193="",$D193="",$F193=""),"",IF($F193="Aylık",EOMONTH($D193,0),($D193+MOD(SISTEM!$F$8-WEEKDAY($D193,2),7))))</f>
        <v/>
      </c>
      <c r="P193" s="61"/>
      <c r="Q193" s="2"/>
      <c r="R193" s="2"/>
      <c r="S193" s="1" t="str">
        <f>IF($B193="","",$B193&amp;"|"&amp;COUNTIFS($B$7:$B193,$B193))</f>
        <v/>
      </c>
      <c r="T193" s="1" t="str">
        <f t="shared" si="32"/>
        <v/>
      </c>
      <c r="U193" s="1">
        <f t="shared" si="33"/>
        <v>0</v>
      </c>
      <c r="V193" s="1">
        <f t="shared" si="34"/>
        <v>2958465</v>
      </c>
      <c r="W193" s="1">
        <f t="shared" si="35"/>
        <v>0</v>
      </c>
      <c r="X193" s="1">
        <f t="shared" si="36"/>
        <v>0</v>
      </c>
      <c r="Y193" s="1">
        <f t="shared" si="37"/>
        <v>97200</v>
      </c>
      <c r="Z193" s="1">
        <f t="shared" si="38"/>
        <v>1</v>
      </c>
    </row>
    <row r="194" spans="1:26" ht="18" customHeight="1" x14ac:dyDescent="0.3">
      <c r="A194" s="2"/>
      <c r="B194" s="65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66"/>
      <c r="E194" s="66"/>
      <c r="F194" s="60"/>
      <c r="G194" s="67"/>
      <c r="H194" s="60"/>
      <c r="I194" s="68">
        <f t="shared" ca="1" si="26"/>
        <v>0</v>
      </c>
      <c r="J194" s="68">
        <f t="shared" ca="1" si="27"/>
        <v>0</v>
      </c>
      <c r="K194" s="68">
        <f t="shared" ca="1" si="28"/>
        <v>0</v>
      </c>
      <c r="L194" s="68">
        <f t="shared" ca="1" si="29"/>
        <v>0</v>
      </c>
      <c r="M194" s="69">
        <f t="shared" si="30"/>
        <v>0</v>
      </c>
      <c r="N194" s="65" t="str">
        <f t="shared" si="31"/>
        <v/>
      </c>
      <c r="O194" s="70" t="str">
        <f>IF(OR($C194="",$D194="",$F194=""),"",IF($F194="Aylık",EOMONTH($D194,0),($D194+MOD(SISTEM!$F$8-WEEKDAY($D194,2),7))))</f>
        <v/>
      </c>
      <c r="P194" s="61"/>
      <c r="Q194" s="2"/>
      <c r="R194" s="2"/>
      <c r="S194" s="1" t="str">
        <f>IF($B194="","",$B194&amp;"|"&amp;COUNTIFS($B$7:$B194,$B194))</f>
        <v/>
      </c>
      <c r="T194" s="1" t="str">
        <f t="shared" si="32"/>
        <v/>
      </c>
      <c r="U194" s="1">
        <f t="shared" si="33"/>
        <v>0</v>
      </c>
      <c r="V194" s="1">
        <f t="shared" si="34"/>
        <v>2958465</v>
      </c>
      <c r="W194" s="1">
        <f t="shared" si="35"/>
        <v>0</v>
      </c>
      <c r="X194" s="1">
        <f t="shared" si="36"/>
        <v>0</v>
      </c>
      <c r="Y194" s="1">
        <f t="shared" si="37"/>
        <v>97200</v>
      </c>
      <c r="Z194" s="1">
        <f t="shared" si="38"/>
        <v>1</v>
      </c>
    </row>
    <row r="195" spans="1:26" ht="18" customHeight="1" x14ac:dyDescent="0.3">
      <c r="A195" s="2"/>
      <c r="B195" s="65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66"/>
      <c r="E195" s="66"/>
      <c r="F195" s="60"/>
      <c r="G195" s="67"/>
      <c r="H195" s="60"/>
      <c r="I195" s="68">
        <f t="shared" ca="1" si="26"/>
        <v>0</v>
      </c>
      <c r="J195" s="68">
        <f t="shared" ca="1" si="27"/>
        <v>0</v>
      </c>
      <c r="K195" s="68">
        <f t="shared" ca="1" si="28"/>
        <v>0</v>
      </c>
      <c r="L195" s="68">
        <f t="shared" ca="1" si="29"/>
        <v>0</v>
      </c>
      <c r="M195" s="69">
        <f t="shared" si="30"/>
        <v>0</v>
      </c>
      <c r="N195" s="65" t="str">
        <f t="shared" si="31"/>
        <v/>
      </c>
      <c r="O195" s="70" t="str">
        <f>IF(OR($C195="",$D195="",$F195=""),"",IF($F195="Aylık",EOMONTH($D195,0),($D195+MOD(SISTEM!$F$8-WEEKDAY($D195,2),7))))</f>
        <v/>
      </c>
      <c r="P195" s="61"/>
      <c r="Q195" s="2"/>
      <c r="R195" s="2"/>
      <c r="S195" s="1" t="str">
        <f>IF($B195="","",$B195&amp;"|"&amp;COUNTIFS($B$7:$B195,$B195))</f>
        <v/>
      </c>
      <c r="T195" s="1" t="str">
        <f t="shared" si="32"/>
        <v/>
      </c>
      <c r="U195" s="1">
        <f t="shared" si="33"/>
        <v>0</v>
      </c>
      <c r="V195" s="1">
        <f t="shared" si="34"/>
        <v>2958465</v>
      </c>
      <c r="W195" s="1">
        <f t="shared" si="35"/>
        <v>0</v>
      </c>
      <c r="X195" s="1">
        <f t="shared" si="36"/>
        <v>0</v>
      </c>
      <c r="Y195" s="1">
        <f t="shared" si="37"/>
        <v>97200</v>
      </c>
      <c r="Z195" s="1">
        <f t="shared" si="38"/>
        <v>1</v>
      </c>
    </row>
    <row r="196" spans="1:26" ht="18" customHeight="1" x14ac:dyDescent="0.3">
      <c r="A196" s="2"/>
      <c r="B196" s="65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66"/>
      <c r="E196" s="66"/>
      <c r="F196" s="60"/>
      <c r="G196" s="67"/>
      <c r="H196" s="60"/>
      <c r="I196" s="68">
        <f t="shared" ca="1" si="26"/>
        <v>0</v>
      </c>
      <c r="J196" s="68">
        <f t="shared" ca="1" si="27"/>
        <v>0</v>
      </c>
      <c r="K196" s="68">
        <f t="shared" ca="1" si="28"/>
        <v>0</v>
      </c>
      <c r="L196" s="68">
        <f t="shared" ca="1" si="29"/>
        <v>0</v>
      </c>
      <c r="M196" s="69">
        <f t="shared" si="30"/>
        <v>0</v>
      </c>
      <c r="N196" s="65" t="str">
        <f t="shared" si="31"/>
        <v/>
      </c>
      <c r="O196" s="70" t="str">
        <f>IF(OR($C196="",$D196="",$F196=""),"",IF($F196="Aylık",EOMONTH($D196,0),($D196+MOD(SISTEM!$F$8-WEEKDAY($D196,2),7))))</f>
        <v/>
      </c>
      <c r="P196" s="61"/>
      <c r="Q196" s="2"/>
      <c r="R196" s="2"/>
      <c r="S196" s="1" t="str">
        <f>IF($B196="","",$B196&amp;"|"&amp;COUNTIFS($B$7:$B196,$B196))</f>
        <v/>
      </c>
      <c r="T196" s="1" t="str">
        <f t="shared" si="32"/>
        <v/>
      </c>
      <c r="U196" s="1">
        <f t="shared" si="33"/>
        <v>0</v>
      </c>
      <c r="V196" s="1">
        <f t="shared" si="34"/>
        <v>2958465</v>
      </c>
      <c r="W196" s="1">
        <f t="shared" si="35"/>
        <v>0</v>
      </c>
      <c r="X196" s="1">
        <f t="shared" si="36"/>
        <v>0</v>
      </c>
      <c r="Y196" s="1">
        <f t="shared" si="37"/>
        <v>97200</v>
      </c>
      <c r="Z196" s="1">
        <f t="shared" si="38"/>
        <v>1</v>
      </c>
    </row>
    <row r="197" spans="1:26" ht="18" customHeight="1" x14ac:dyDescent="0.3">
      <c r="A197" s="2"/>
      <c r="B197" s="65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66"/>
      <c r="E197" s="66"/>
      <c r="F197" s="60"/>
      <c r="G197" s="67"/>
      <c r="H197" s="60"/>
      <c r="I197" s="68">
        <f t="shared" ca="1" si="26"/>
        <v>0</v>
      </c>
      <c r="J197" s="68">
        <f t="shared" ca="1" si="27"/>
        <v>0</v>
      </c>
      <c r="K197" s="68">
        <f t="shared" ca="1" si="28"/>
        <v>0</v>
      </c>
      <c r="L197" s="68">
        <f t="shared" ca="1" si="29"/>
        <v>0</v>
      </c>
      <c r="M197" s="69">
        <f t="shared" si="30"/>
        <v>0</v>
      </c>
      <c r="N197" s="65" t="str">
        <f t="shared" si="31"/>
        <v/>
      </c>
      <c r="O197" s="70" t="str">
        <f>IF(OR($C197="",$D197="",$F197=""),"",IF($F197="Aylık",EOMONTH($D197,0),($D197+MOD(SISTEM!$F$8-WEEKDAY($D197,2),7))))</f>
        <v/>
      </c>
      <c r="P197" s="61"/>
      <c r="Q197" s="2"/>
      <c r="R197" s="2"/>
      <c r="S197" s="1" t="str">
        <f>IF($B197="","",$B197&amp;"|"&amp;COUNTIFS($B$7:$B197,$B197))</f>
        <v/>
      </c>
      <c r="T197" s="1" t="str">
        <f t="shared" si="32"/>
        <v/>
      </c>
      <c r="U197" s="1">
        <f t="shared" si="33"/>
        <v>0</v>
      </c>
      <c r="V197" s="1">
        <f t="shared" si="34"/>
        <v>2958465</v>
      </c>
      <c r="W197" s="1">
        <f t="shared" si="35"/>
        <v>0</v>
      </c>
      <c r="X197" s="1">
        <f t="shared" si="36"/>
        <v>0</v>
      </c>
      <c r="Y197" s="1">
        <f t="shared" si="37"/>
        <v>97200</v>
      </c>
      <c r="Z197" s="1">
        <f t="shared" si="38"/>
        <v>1</v>
      </c>
    </row>
    <row r="198" spans="1:26" ht="18" customHeight="1" x14ac:dyDescent="0.3">
      <c r="A198" s="2"/>
      <c r="B198" s="65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66"/>
      <c r="E198" s="66"/>
      <c r="F198" s="60"/>
      <c r="G198" s="67"/>
      <c r="H198" s="60"/>
      <c r="I198" s="68">
        <f t="shared" ca="1" si="26"/>
        <v>0</v>
      </c>
      <c r="J198" s="68">
        <f t="shared" ca="1" si="27"/>
        <v>0</v>
      </c>
      <c r="K198" s="68">
        <f t="shared" ca="1" si="28"/>
        <v>0</v>
      </c>
      <c r="L198" s="68">
        <f t="shared" ca="1" si="29"/>
        <v>0</v>
      </c>
      <c r="M198" s="69">
        <f t="shared" si="30"/>
        <v>0</v>
      </c>
      <c r="N198" s="65" t="str">
        <f t="shared" si="31"/>
        <v/>
      </c>
      <c r="O198" s="70" t="str">
        <f>IF(OR($C198="",$D198="",$F198=""),"",IF($F198="Aylık",EOMONTH($D198,0),($D198+MOD(SISTEM!$F$8-WEEKDAY($D198,2),7))))</f>
        <v/>
      </c>
      <c r="P198" s="61"/>
      <c r="Q198" s="2"/>
      <c r="R198" s="2"/>
      <c r="S198" s="1" t="str">
        <f>IF($B198="","",$B198&amp;"|"&amp;COUNTIFS($B$7:$B198,$B198))</f>
        <v/>
      </c>
      <c r="T198" s="1" t="str">
        <f t="shared" si="32"/>
        <v/>
      </c>
      <c r="U198" s="1">
        <f t="shared" si="33"/>
        <v>0</v>
      </c>
      <c r="V198" s="1">
        <f t="shared" si="34"/>
        <v>2958465</v>
      </c>
      <c r="W198" s="1">
        <f t="shared" si="35"/>
        <v>0</v>
      </c>
      <c r="X198" s="1">
        <f t="shared" si="36"/>
        <v>0</v>
      </c>
      <c r="Y198" s="1">
        <f t="shared" si="37"/>
        <v>97200</v>
      </c>
      <c r="Z198" s="1">
        <f t="shared" si="38"/>
        <v>1</v>
      </c>
    </row>
    <row r="199" spans="1:26" ht="18" customHeight="1" x14ac:dyDescent="0.3">
      <c r="A199" s="2"/>
      <c r="B199" s="65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66"/>
      <c r="E199" s="66"/>
      <c r="F199" s="60"/>
      <c r="G199" s="67"/>
      <c r="H199" s="60"/>
      <c r="I199" s="68">
        <f t="shared" ref="I199:I262" ca="1" si="39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68">
        <f t="shared" ref="J199:J262" ca="1" si="40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68">
        <f t="shared" ref="K199:K262" ca="1" si="41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68">
        <f t="shared" ref="L199:L262" ca="1" si="42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69">
        <f t="shared" ref="M199:M262" si="43">IF($G199&gt;0,$I199/$G199,0)</f>
        <v>0</v>
      </c>
      <c r="N199" s="65" t="str">
        <f t="shared" ref="N199:N262" si="44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70" t="str">
        <f>IF(OR($C199="",$D199="",$F199=""),"",IF($F199="Aylık",EOMONTH($D199,0),($D199+MOD(SISTEM!$F$8-WEEKDAY($D199,2),7))))</f>
        <v/>
      </c>
      <c r="P199" s="61"/>
      <c r="Q199" s="2"/>
      <c r="R199" s="2"/>
      <c r="S199" s="1" t="str">
        <f>IF($B199="","",$B199&amp;"|"&amp;COUNTIFS($B$7:$B199,$B199))</f>
        <v/>
      </c>
      <c r="T199" s="1" t="str">
        <f t="shared" ref="T199:T262" si="45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 t="shared" ref="U199:U262" si="46">IF($O199="",0,$O199)</f>
        <v>0</v>
      </c>
      <c r="V199" s="1">
        <f t="shared" ref="V199:V262" si="47">IF($E199="",2958465,$E199)</f>
        <v>2958465</v>
      </c>
      <c r="W199" s="1">
        <f t="shared" ref="W199:W262" si="48">IF($F199="Haftalık",1,IF($F199="Aylık",2,0))</f>
        <v>0</v>
      </c>
      <c r="X199" s="1">
        <f t="shared" ref="X199:X262" si="49">IF($U199=0,0,(YEAR($U199)-1900)*12+MONTH($U199))</f>
        <v>0</v>
      </c>
      <c r="Y199" s="1">
        <f t="shared" ref="Y199:Y262" si="50">(YEAR($V199)-1900)*12+MONTH($V199)</f>
        <v>97200</v>
      </c>
      <c r="Z199" s="1">
        <f t="shared" ref="Z199:Z262" si="51">IF($V199=EOMONTH($V199,0),1,0)</f>
        <v>1</v>
      </c>
    </row>
    <row r="200" spans="1:26" ht="18" customHeight="1" x14ac:dyDescent="0.3">
      <c r="A200" s="2"/>
      <c r="B200" s="65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66"/>
      <c r="E200" s="66"/>
      <c r="F200" s="60"/>
      <c r="G200" s="67"/>
      <c r="H200" s="60"/>
      <c r="I200" s="68">
        <f t="shared" ca="1" si="39"/>
        <v>0</v>
      </c>
      <c r="J200" s="68">
        <f t="shared" ca="1" si="40"/>
        <v>0</v>
      </c>
      <c r="K200" s="68">
        <f t="shared" ca="1" si="41"/>
        <v>0</v>
      </c>
      <c r="L200" s="68">
        <f t="shared" ca="1" si="42"/>
        <v>0</v>
      </c>
      <c r="M200" s="69">
        <f t="shared" si="43"/>
        <v>0</v>
      </c>
      <c r="N200" s="65" t="str">
        <f t="shared" si="44"/>
        <v/>
      </c>
      <c r="O200" s="70" t="str">
        <f>IF(OR($C200="",$D200="",$F200=""),"",IF($F200="Aylık",EOMONTH($D200,0),($D200+MOD(SISTEM!$F$8-WEEKDAY($D200,2),7))))</f>
        <v/>
      </c>
      <c r="P200" s="61"/>
      <c r="Q200" s="2"/>
      <c r="R200" s="2"/>
      <c r="S200" s="1" t="str">
        <f>IF($B200="","",$B200&amp;"|"&amp;COUNTIFS($B$7:$B200,$B200))</f>
        <v/>
      </c>
      <c r="T200" s="1" t="str">
        <f t="shared" si="45"/>
        <v/>
      </c>
      <c r="U200" s="1">
        <f t="shared" si="46"/>
        <v>0</v>
      </c>
      <c r="V200" s="1">
        <f t="shared" si="47"/>
        <v>2958465</v>
      </c>
      <c r="W200" s="1">
        <f t="shared" si="48"/>
        <v>0</v>
      </c>
      <c r="X200" s="1">
        <f t="shared" si="49"/>
        <v>0</v>
      </c>
      <c r="Y200" s="1">
        <f t="shared" si="50"/>
        <v>97200</v>
      </c>
      <c r="Z200" s="1">
        <f t="shared" si="51"/>
        <v>1</v>
      </c>
    </row>
    <row r="201" spans="1:26" ht="18" customHeight="1" x14ac:dyDescent="0.3">
      <c r="A201" s="2"/>
      <c r="B201" s="65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66"/>
      <c r="E201" s="66"/>
      <c r="F201" s="60"/>
      <c r="G201" s="67"/>
      <c r="H201" s="60"/>
      <c r="I201" s="68">
        <f t="shared" ca="1" si="39"/>
        <v>0</v>
      </c>
      <c r="J201" s="68">
        <f t="shared" ca="1" si="40"/>
        <v>0</v>
      </c>
      <c r="K201" s="68">
        <f t="shared" ca="1" si="41"/>
        <v>0</v>
      </c>
      <c r="L201" s="68">
        <f t="shared" ca="1" si="42"/>
        <v>0</v>
      </c>
      <c r="M201" s="69">
        <f t="shared" si="43"/>
        <v>0</v>
      </c>
      <c r="N201" s="65" t="str">
        <f t="shared" si="44"/>
        <v/>
      </c>
      <c r="O201" s="70" t="str">
        <f>IF(OR($C201="",$D201="",$F201=""),"",IF($F201="Aylık",EOMONTH($D201,0),($D201+MOD(SISTEM!$F$8-WEEKDAY($D201,2),7))))</f>
        <v/>
      </c>
      <c r="P201" s="61"/>
      <c r="Q201" s="2"/>
      <c r="R201" s="2"/>
      <c r="S201" s="1" t="str">
        <f>IF($B201="","",$B201&amp;"|"&amp;COUNTIFS($B$7:$B201,$B201))</f>
        <v/>
      </c>
      <c r="T201" s="1" t="str">
        <f t="shared" si="45"/>
        <v/>
      </c>
      <c r="U201" s="1">
        <f t="shared" si="46"/>
        <v>0</v>
      </c>
      <c r="V201" s="1">
        <f t="shared" si="47"/>
        <v>2958465</v>
      </c>
      <c r="W201" s="1">
        <f t="shared" si="48"/>
        <v>0</v>
      </c>
      <c r="X201" s="1">
        <f t="shared" si="49"/>
        <v>0</v>
      </c>
      <c r="Y201" s="1">
        <f t="shared" si="50"/>
        <v>97200</v>
      </c>
      <c r="Z201" s="1">
        <f t="shared" si="51"/>
        <v>1</v>
      </c>
    </row>
    <row r="202" spans="1:26" ht="18" customHeight="1" x14ac:dyDescent="0.3">
      <c r="A202" s="2"/>
      <c r="B202" s="65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66"/>
      <c r="E202" s="66"/>
      <c r="F202" s="60"/>
      <c r="G202" s="67"/>
      <c r="H202" s="60"/>
      <c r="I202" s="68">
        <f t="shared" ca="1" si="39"/>
        <v>0</v>
      </c>
      <c r="J202" s="68">
        <f t="shared" ca="1" si="40"/>
        <v>0</v>
      </c>
      <c r="K202" s="68">
        <f t="shared" ca="1" si="41"/>
        <v>0</v>
      </c>
      <c r="L202" s="68">
        <f t="shared" ca="1" si="42"/>
        <v>0</v>
      </c>
      <c r="M202" s="69">
        <f t="shared" si="43"/>
        <v>0</v>
      </c>
      <c r="N202" s="65" t="str">
        <f t="shared" si="44"/>
        <v/>
      </c>
      <c r="O202" s="70" t="str">
        <f>IF(OR($C202="",$D202="",$F202=""),"",IF($F202="Aylık",EOMONTH($D202,0),($D202+MOD(SISTEM!$F$8-WEEKDAY($D202,2),7))))</f>
        <v/>
      </c>
      <c r="P202" s="61"/>
      <c r="Q202" s="2"/>
      <c r="R202" s="2"/>
      <c r="S202" s="1" t="str">
        <f>IF($B202="","",$B202&amp;"|"&amp;COUNTIFS($B$7:$B202,$B202))</f>
        <v/>
      </c>
      <c r="T202" s="1" t="str">
        <f t="shared" si="45"/>
        <v/>
      </c>
      <c r="U202" s="1">
        <f t="shared" si="46"/>
        <v>0</v>
      </c>
      <c r="V202" s="1">
        <f t="shared" si="47"/>
        <v>2958465</v>
      </c>
      <c r="W202" s="1">
        <f t="shared" si="48"/>
        <v>0</v>
      </c>
      <c r="X202" s="1">
        <f t="shared" si="49"/>
        <v>0</v>
      </c>
      <c r="Y202" s="1">
        <f t="shared" si="50"/>
        <v>97200</v>
      </c>
      <c r="Z202" s="1">
        <f t="shared" si="51"/>
        <v>1</v>
      </c>
    </row>
    <row r="203" spans="1:26" ht="18" customHeight="1" x14ac:dyDescent="0.3">
      <c r="A203" s="2"/>
      <c r="B203" s="65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66"/>
      <c r="E203" s="66"/>
      <c r="F203" s="60"/>
      <c r="G203" s="67"/>
      <c r="H203" s="60"/>
      <c r="I203" s="68">
        <f t="shared" ca="1" si="39"/>
        <v>0</v>
      </c>
      <c r="J203" s="68">
        <f t="shared" ca="1" si="40"/>
        <v>0</v>
      </c>
      <c r="K203" s="68">
        <f t="shared" ca="1" si="41"/>
        <v>0</v>
      </c>
      <c r="L203" s="68">
        <f t="shared" ca="1" si="42"/>
        <v>0</v>
      </c>
      <c r="M203" s="69">
        <f t="shared" si="43"/>
        <v>0</v>
      </c>
      <c r="N203" s="65" t="str">
        <f t="shared" si="44"/>
        <v/>
      </c>
      <c r="O203" s="70" t="str">
        <f>IF(OR($C203="",$D203="",$F203=""),"",IF($F203="Aylık",EOMONTH($D203,0),($D203+MOD(SISTEM!$F$8-WEEKDAY($D203,2),7))))</f>
        <v/>
      </c>
      <c r="P203" s="61"/>
      <c r="Q203" s="2"/>
      <c r="R203" s="2"/>
      <c r="S203" s="1" t="str">
        <f>IF($B203="","",$B203&amp;"|"&amp;COUNTIFS($B$7:$B203,$B203))</f>
        <v/>
      </c>
      <c r="T203" s="1" t="str">
        <f t="shared" si="45"/>
        <v/>
      </c>
      <c r="U203" s="1">
        <f t="shared" si="46"/>
        <v>0</v>
      </c>
      <c r="V203" s="1">
        <f t="shared" si="47"/>
        <v>2958465</v>
      </c>
      <c r="W203" s="1">
        <f t="shared" si="48"/>
        <v>0</v>
      </c>
      <c r="X203" s="1">
        <f t="shared" si="49"/>
        <v>0</v>
      </c>
      <c r="Y203" s="1">
        <f t="shared" si="50"/>
        <v>97200</v>
      </c>
      <c r="Z203" s="1">
        <f t="shared" si="51"/>
        <v>1</v>
      </c>
    </row>
    <row r="204" spans="1:26" ht="18" customHeight="1" x14ac:dyDescent="0.3">
      <c r="A204" s="2"/>
      <c r="B204" s="65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66"/>
      <c r="E204" s="66"/>
      <c r="F204" s="60"/>
      <c r="G204" s="67"/>
      <c r="H204" s="60"/>
      <c r="I204" s="68">
        <f t="shared" ca="1" si="39"/>
        <v>0</v>
      </c>
      <c r="J204" s="68">
        <f t="shared" ca="1" si="40"/>
        <v>0</v>
      </c>
      <c r="K204" s="68">
        <f t="shared" ca="1" si="41"/>
        <v>0</v>
      </c>
      <c r="L204" s="68">
        <f t="shared" ca="1" si="42"/>
        <v>0</v>
      </c>
      <c r="M204" s="69">
        <f t="shared" si="43"/>
        <v>0</v>
      </c>
      <c r="N204" s="65" t="str">
        <f t="shared" si="44"/>
        <v/>
      </c>
      <c r="O204" s="70" t="str">
        <f>IF(OR($C204="",$D204="",$F204=""),"",IF($F204="Aylık",EOMONTH($D204,0),($D204+MOD(SISTEM!$F$8-WEEKDAY($D204,2),7))))</f>
        <v/>
      </c>
      <c r="P204" s="61"/>
      <c r="Q204" s="2"/>
      <c r="R204" s="2"/>
      <c r="S204" s="1" t="str">
        <f>IF($B204="","",$B204&amp;"|"&amp;COUNTIFS($B$7:$B204,$B204))</f>
        <v/>
      </c>
      <c r="T204" s="1" t="str">
        <f t="shared" si="45"/>
        <v/>
      </c>
      <c r="U204" s="1">
        <f t="shared" si="46"/>
        <v>0</v>
      </c>
      <c r="V204" s="1">
        <f t="shared" si="47"/>
        <v>2958465</v>
      </c>
      <c r="W204" s="1">
        <f t="shared" si="48"/>
        <v>0</v>
      </c>
      <c r="X204" s="1">
        <f t="shared" si="49"/>
        <v>0</v>
      </c>
      <c r="Y204" s="1">
        <f t="shared" si="50"/>
        <v>97200</v>
      </c>
      <c r="Z204" s="1">
        <f t="shared" si="51"/>
        <v>1</v>
      </c>
    </row>
    <row r="205" spans="1:26" ht="18" customHeight="1" x14ac:dyDescent="0.3">
      <c r="A205" s="2"/>
      <c r="B205" s="65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66"/>
      <c r="E205" s="66"/>
      <c r="F205" s="60"/>
      <c r="G205" s="67"/>
      <c r="H205" s="60"/>
      <c r="I205" s="68">
        <f t="shared" ca="1" si="39"/>
        <v>0</v>
      </c>
      <c r="J205" s="68">
        <f t="shared" ca="1" si="40"/>
        <v>0</v>
      </c>
      <c r="K205" s="68">
        <f t="shared" ca="1" si="41"/>
        <v>0</v>
      </c>
      <c r="L205" s="68">
        <f t="shared" ca="1" si="42"/>
        <v>0</v>
      </c>
      <c r="M205" s="69">
        <f t="shared" si="43"/>
        <v>0</v>
      </c>
      <c r="N205" s="65" t="str">
        <f t="shared" si="44"/>
        <v/>
      </c>
      <c r="O205" s="70" t="str">
        <f>IF(OR($C205="",$D205="",$F205=""),"",IF($F205="Aylık",EOMONTH($D205,0),($D205+MOD(SISTEM!$F$8-WEEKDAY($D205,2),7))))</f>
        <v/>
      </c>
      <c r="P205" s="61"/>
      <c r="Q205" s="2"/>
      <c r="R205" s="2"/>
      <c r="S205" s="1" t="str">
        <f>IF($B205="","",$B205&amp;"|"&amp;COUNTIFS($B$7:$B205,$B205))</f>
        <v/>
      </c>
      <c r="T205" s="1" t="str">
        <f t="shared" si="45"/>
        <v/>
      </c>
      <c r="U205" s="1">
        <f t="shared" si="46"/>
        <v>0</v>
      </c>
      <c r="V205" s="1">
        <f t="shared" si="47"/>
        <v>2958465</v>
      </c>
      <c r="W205" s="1">
        <f t="shared" si="48"/>
        <v>0</v>
      </c>
      <c r="X205" s="1">
        <f t="shared" si="49"/>
        <v>0</v>
      </c>
      <c r="Y205" s="1">
        <f t="shared" si="50"/>
        <v>97200</v>
      </c>
      <c r="Z205" s="1">
        <f t="shared" si="51"/>
        <v>1</v>
      </c>
    </row>
    <row r="206" spans="1:26" ht="18" customHeight="1" x14ac:dyDescent="0.3">
      <c r="A206" s="2"/>
      <c r="B206" s="65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66"/>
      <c r="E206" s="66"/>
      <c r="F206" s="60"/>
      <c r="G206" s="67"/>
      <c r="H206" s="60"/>
      <c r="I206" s="68">
        <f t="shared" ca="1" si="39"/>
        <v>0</v>
      </c>
      <c r="J206" s="68">
        <f t="shared" ca="1" si="40"/>
        <v>0</v>
      </c>
      <c r="K206" s="68">
        <f t="shared" ca="1" si="41"/>
        <v>0</v>
      </c>
      <c r="L206" s="68">
        <f t="shared" ca="1" si="42"/>
        <v>0</v>
      </c>
      <c r="M206" s="69">
        <f t="shared" si="43"/>
        <v>0</v>
      </c>
      <c r="N206" s="65" t="str">
        <f t="shared" si="44"/>
        <v/>
      </c>
      <c r="O206" s="70" t="str">
        <f>IF(OR($C206="",$D206="",$F206=""),"",IF($F206="Aylık",EOMONTH($D206,0),($D206+MOD(SISTEM!$F$8-WEEKDAY($D206,2),7))))</f>
        <v/>
      </c>
      <c r="P206" s="61"/>
      <c r="Q206" s="2"/>
      <c r="R206" s="2"/>
      <c r="S206" s="1" t="str">
        <f>IF($B206="","",$B206&amp;"|"&amp;COUNTIFS($B$7:$B206,$B206))</f>
        <v/>
      </c>
      <c r="T206" s="1" t="str">
        <f t="shared" si="45"/>
        <v/>
      </c>
      <c r="U206" s="1">
        <f t="shared" si="46"/>
        <v>0</v>
      </c>
      <c r="V206" s="1">
        <f t="shared" si="47"/>
        <v>2958465</v>
      </c>
      <c r="W206" s="1">
        <f t="shared" si="48"/>
        <v>0</v>
      </c>
      <c r="X206" s="1">
        <f t="shared" si="49"/>
        <v>0</v>
      </c>
      <c r="Y206" s="1">
        <f t="shared" si="50"/>
        <v>97200</v>
      </c>
      <c r="Z206" s="1">
        <f t="shared" si="51"/>
        <v>1</v>
      </c>
    </row>
    <row r="207" spans="1:26" ht="18" customHeight="1" x14ac:dyDescent="0.3">
      <c r="A207" s="2"/>
      <c r="B207" s="65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66"/>
      <c r="E207" s="66"/>
      <c r="F207" s="60"/>
      <c r="G207" s="67"/>
      <c r="H207" s="60"/>
      <c r="I207" s="68">
        <f t="shared" ca="1" si="39"/>
        <v>0</v>
      </c>
      <c r="J207" s="68">
        <f t="shared" ca="1" si="40"/>
        <v>0</v>
      </c>
      <c r="K207" s="68">
        <f t="shared" ca="1" si="41"/>
        <v>0</v>
      </c>
      <c r="L207" s="68">
        <f t="shared" ca="1" si="42"/>
        <v>0</v>
      </c>
      <c r="M207" s="69">
        <f t="shared" si="43"/>
        <v>0</v>
      </c>
      <c r="N207" s="65" t="str">
        <f t="shared" si="44"/>
        <v/>
      </c>
      <c r="O207" s="70" t="str">
        <f>IF(OR($C207="",$D207="",$F207=""),"",IF($F207="Aylık",EOMONTH($D207,0),($D207+MOD(SISTEM!$F$8-WEEKDAY($D207,2),7))))</f>
        <v/>
      </c>
      <c r="P207" s="61"/>
      <c r="Q207" s="2"/>
      <c r="R207" s="2"/>
      <c r="S207" s="1" t="str">
        <f>IF($B207="","",$B207&amp;"|"&amp;COUNTIFS($B$7:$B207,$B207))</f>
        <v/>
      </c>
      <c r="T207" s="1" t="str">
        <f t="shared" si="45"/>
        <v/>
      </c>
      <c r="U207" s="1">
        <f t="shared" si="46"/>
        <v>0</v>
      </c>
      <c r="V207" s="1">
        <f t="shared" si="47"/>
        <v>2958465</v>
      </c>
      <c r="W207" s="1">
        <f t="shared" si="48"/>
        <v>0</v>
      </c>
      <c r="X207" s="1">
        <f t="shared" si="49"/>
        <v>0</v>
      </c>
      <c r="Y207" s="1">
        <f t="shared" si="50"/>
        <v>97200</v>
      </c>
      <c r="Z207" s="1">
        <f t="shared" si="51"/>
        <v>1</v>
      </c>
    </row>
    <row r="208" spans="1:26" ht="18" customHeight="1" x14ac:dyDescent="0.3">
      <c r="A208" s="2"/>
      <c r="B208" s="65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66"/>
      <c r="E208" s="66"/>
      <c r="F208" s="60"/>
      <c r="G208" s="67"/>
      <c r="H208" s="60"/>
      <c r="I208" s="68">
        <f t="shared" ca="1" si="39"/>
        <v>0</v>
      </c>
      <c r="J208" s="68">
        <f t="shared" ca="1" si="40"/>
        <v>0</v>
      </c>
      <c r="K208" s="68">
        <f t="shared" ca="1" si="41"/>
        <v>0</v>
      </c>
      <c r="L208" s="68">
        <f t="shared" ca="1" si="42"/>
        <v>0</v>
      </c>
      <c r="M208" s="69">
        <f t="shared" si="43"/>
        <v>0</v>
      </c>
      <c r="N208" s="65" t="str">
        <f t="shared" si="44"/>
        <v/>
      </c>
      <c r="O208" s="70" t="str">
        <f>IF(OR($C208="",$D208="",$F208=""),"",IF($F208="Aylık",EOMONTH($D208,0),($D208+MOD(SISTEM!$F$8-WEEKDAY($D208,2),7))))</f>
        <v/>
      </c>
      <c r="P208" s="61"/>
      <c r="Q208" s="2"/>
      <c r="R208" s="2"/>
      <c r="S208" s="1" t="str">
        <f>IF($B208="","",$B208&amp;"|"&amp;COUNTIFS($B$7:$B208,$B208))</f>
        <v/>
      </c>
      <c r="T208" s="1" t="str">
        <f t="shared" si="45"/>
        <v/>
      </c>
      <c r="U208" s="1">
        <f t="shared" si="46"/>
        <v>0</v>
      </c>
      <c r="V208" s="1">
        <f t="shared" si="47"/>
        <v>2958465</v>
      </c>
      <c r="W208" s="1">
        <f t="shared" si="48"/>
        <v>0</v>
      </c>
      <c r="X208" s="1">
        <f t="shared" si="49"/>
        <v>0</v>
      </c>
      <c r="Y208" s="1">
        <f t="shared" si="50"/>
        <v>97200</v>
      </c>
      <c r="Z208" s="1">
        <f t="shared" si="51"/>
        <v>1</v>
      </c>
    </row>
    <row r="209" spans="1:26" ht="18" customHeight="1" x14ac:dyDescent="0.3">
      <c r="A209" s="2"/>
      <c r="B209" s="65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66"/>
      <c r="E209" s="66"/>
      <c r="F209" s="60"/>
      <c r="G209" s="67"/>
      <c r="H209" s="60"/>
      <c r="I209" s="68">
        <f t="shared" ca="1" si="39"/>
        <v>0</v>
      </c>
      <c r="J209" s="68">
        <f t="shared" ca="1" si="40"/>
        <v>0</v>
      </c>
      <c r="K209" s="68">
        <f t="shared" ca="1" si="41"/>
        <v>0</v>
      </c>
      <c r="L209" s="68">
        <f t="shared" ca="1" si="42"/>
        <v>0</v>
      </c>
      <c r="M209" s="69">
        <f t="shared" si="43"/>
        <v>0</v>
      </c>
      <c r="N209" s="65" t="str">
        <f t="shared" si="44"/>
        <v/>
      </c>
      <c r="O209" s="70" t="str">
        <f>IF(OR($C209="",$D209="",$F209=""),"",IF($F209="Aylık",EOMONTH($D209,0),($D209+MOD(SISTEM!$F$8-WEEKDAY($D209,2),7))))</f>
        <v/>
      </c>
      <c r="P209" s="61"/>
      <c r="Q209" s="2"/>
      <c r="R209" s="2"/>
      <c r="S209" s="1" t="str">
        <f>IF($B209="","",$B209&amp;"|"&amp;COUNTIFS($B$7:$B209,$B209))</f>
        <v/>
      </c>
      <c r="T209" s="1" t="str">
        <f t="shared" si="45"/>
        <v/>
      </c>
      <c r="U209" s="1">
        <f t="shared" si="46"/>
        <v>0</v>
      </c>
      <c r="V209" s="1">
        <f t="shared" si="47"/>
        <v>2958465</v>
      </c>
      <c r="W209" s="1">
        <f t="shared" si="48"/>
        <v>0</v>
      </c>
      <c r="X209" s="1">
        <f t="shared" si="49"/>
        <v>0</v>
      </c>
      <c r="Y209" s="1">
        <f t="shared" si="50"/>
        <v>97200</v>
      </c>
      <c r="Z209" s="1">
        <f t="shared" si="51"/>
        <v>1</v>
      </c>
    </row>
    <row r="210" spans="1:26" ht="18" customHeight="1" x14ac:dyDescent="0.3">
      <c r="A210" s="2"/>
      <c r="B210" s="65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66"/>
      <c r="E210" s="66"/>
      <c r="F210" s="60"/>
      <c r="G210" s="67"/>
      <c r="H210" s="60"/>
      <c r="I210" s="68">
        <f t="shared" ca="1" si="39"/>
        <v>0</v>
      </c>
      <c r="J210" s="68">
        <f t="shared" ca="1" si="40"/>
        <v>0</v>
      </c>
      <c r="K210" s="68">
        <f t="shared" ca="1" si="41"/>
        <v>0</v>
      </c>
      <c r="L210" s="68">
        <f t="shared" ca="1" si="42"/>
        <v>0</v>
      </c>
      <c r="M210" s="69">
        <f t="shared" si="43"/>
        <v>0</v>
      </c>
      <c r="N210" s="65" t="str">
        <f t="shared" si="44"/>
        <v/>
      </c>
      <c r="O210" s="70" t="str">
        <f>IF(OR($C210="",$D210="",$F210=""),"",IF($F210="Aylık",EOMONTH($D210,0),($D210+MOD(SISTEM!$F$8-WEEKDAY($D210,2),7))))</f>
        <v/>
      </c>
      <c r="P210" s="61"/>
      <c r="Q210" s="2"/>
      <c r="R210" s="2"/>
      <c r="S210" s="1" t="str">
        <f>IF($B210="","",$B210&amp;"|"&amp;COUNTIFS($B$7:$B210,$B210))</f>
        <v/>
      </c>
      <c r="T210" s="1" t="str">
        <f t="shared" si="45"/>
        <v/>
      </c>
      <c r="U210" s="1">
        <f t="shared" si="46"/>
        <v>0</v>
      </c>
      <c r="V210" s="1">
        <f t="shared" si="47"/>
        <v>2958465</v>
      </c>
      <c r="W210" s="1">
        <f t="shared" si="48"/>
        <v>0</v>
      </c>
      <c r="X210" s="1">
        <f t="shared" si="49"/>
        <v>0</v>
      </c>
      <c r="Y210" s="1">
        <f t="shared" si="50"/>
        <v>97200</v>
      </c>
      <c r="Z210" s="1">
        <f t="shared" si="51"/>
        <v>1</v>
      </c>
    </row>
    <row r="211" spans="1:26" ht="18" customHeight="1" x14ac:dyDescent="0.3">
      <c r="A211" s="2"/>
      <c r="B211" s="65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66"/>
      <c r="E211" s="66"/>
      <c r="F211" s="60"/>
      <c r="G211" s="67"/>
      <c r="H211" s="60"/>
      <c r="I211" s="68">
        <f t="shared" ca="1" si="39"/>
        <v>0</v>
      </c>
      <c r="J211" s="68">
        <f t="shared" ca="1" si="40"/>
        <v>0</v>
      </c>
      <c r="K211" s="68">
        <f t="shared" ca="1" si="41"/>
        <v>0</v>
      </c>
      <c r="L211" s="68">
        <f t="shared" ca="1" si="42"/>
        <v>0</v>
      </c>
      <c r="M211" s="69">
        <f t="shared" si="43"/>
        <v>0</v>
      </c>
      <c r="N211" s="65" t="str">
        <f t="shared" si="44"/>
        <v/>
      </c>
      <c r="O211" s="70" t="str">
        <f>IF(OR($C211="",$D211="",$F211=""),"",IF($F211="Aylık",EOMONTH($D211,0),($D211+MOD(SISTEM!$F$8-WEEKDAY($D211,2),7))))</f>
        <v/>
      </c>
      <c r="P211" s="61"/>
      <c r="Q211" s="2"/>
      <c r="R211" s="2"/>
      <c r="S211" s="1" t="str">
        <f>IF($B211="","",$B211&amp;"|"&amp;COUNTIFS($B$7:$B211,$B211))</f>
        <v/>
      </c>
      <c r="T211" s="1" t="str">
        <f t="shared" si="45"/>
        <v/>
      </c>
      <c r="U211" s="1">
        <f t="shared" si="46"/>
        <v>0</v>
      </c>
      <c r="V211" s="1">
        <f t="shared" si="47"/>
        <v>2958465</v>
      </c>
      <c r="W211" s="1">
        <f t="shared" si="48"/>
        <v>0</v>
      </c>
      <c r="X211" s="1">
        <f t="shared" si="49"/>
        <v>0</v>
      </c>
      <c r="Y211" s="1">
        <f t="shared" si="50"/>
        <v>97200</v>
      </c>
      <c r="Z211" s="1">
        <f t="shared" si="51"/>
        <v>1</v>
      </c>
    </row>
    <row r="212" spans="1:26" ht="18" customHeight="1" x14ac:dyDescent="0.3">
      <c r="A212" s="2"/>
      <c r="B212" s="65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66"/>
      <c r="E212" s="66"/>
      <c r="F212" s="60"/>
      <c r="G212" s="67"/>
      <c r="H212" s="60"/>
      <c r="I212" s="68">
        <f t="shared" ca="1" si="39"/>
        <v>0</v>
      </c>
      <c r="J212" s="68">
        <f t="shared" ca="1" si="40"/>
        <v>0</v>
      </c>
      <c r="K212" s="68">
        <f t="shared" ca="1" si="41"/>
        <v>0</v>
      </c>
      <c r="L212" s="68">
        <f t="shared" ca="1" si="42"/>
        <v>0</v>
      </c>
      <c r="M212" s="69">
        <f t="shared" si="43"/>
        <v>0</v>
      </c>
      <c r="N212" s="65" t="str">
        <f t="shared" si="44"/>
        <v/>
      </c>
      <c r="O212" s="70" t="str">
        <f>IF(OR($C212="",$D212="",$F212=""),"",IF($F212="Aylık",EOMONTH($D212,0),($D212+MOD(SISTEM!$F$8-WEEKDAY($D212,2),7))))</f>
        <v/>
      </c>
      <c r="P212" s="61"/>
      <c r="Q212" s="2"/>
      <c r="R212" s="2"/>
      <c r="S212" s="1" t="str">
        <f>IF($B212="","",$B212&amp;"|"&amp;COUNTIFS($B$7:$B212,$B212))</f>
        <v/>
      </c>
      <c r="T212" s="1" t="str">
        <f t="shared" si="45"/>
        <v/>
      </c>
      <c r="U212" s="1">
        <f t="shared" si="46"/>
        <v>0</v>
      </c>
      <c r="V212" s="1">
        <f t="shared" si="47"/>
        <v>2958465</v>
      </c>
      <c r="W212" s="1">
        <f t="shared" si="48"/>
        <v>0</v>
      </c>
      <c r="X212" s="1">
        <f t="shared" si="49"/>
        <v>0</v>
      </c>
      <c r="Y212" s="1">
        <f t="shared" si="50"/>
        <v>97200</v>
      </c>
      <c r="Z212" s="1">
        <f t="shared" si="51"/>
        <v>1</v>
      </c>
    </row>
    <row r="213" spans="1:26" ht="18" customHeight="1" x14ac:dyDescent="0.3">
      <c r="A213" s="2"/>
      <c r="B213" s="65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66"/>
      <c r="E213" s="66"/>
      <c r="F213" s="60"/>
      <c r="G213" s="67"/>
      <c r="H213" s="60"/>
      <c r="I213" s="68">
        <f t="shared" ca="1" si="39"/>
        <v>0</v>
      </c>
      <c r="J213" s="68">
        <f t="shared" ca="1" si="40"/>
        <v>0</v>
      </c>
      <c r="K213" s="68">
        <f t="shared" ca="1" si="41"/>
        <v>0</v>
      </c>
      <c r="L213" s="68">
        <f t="shared" ca="1" si="42"/>
        <v>0</v>
      </c>
      <c r="M213" s="69">
        <f t="shared" si="43"/>
        <v>0</v>
      </c>
      <c r="N213" s="65" t="str">
        <f t="shared" si="44"/>
        <v/>
      </c>
      <c r="O213" s="70" t="str">
        <f>IF(OR($C213="",$D213="",$F213=""),"",IF($F213="Aylık",EOMONTH($D213,0),($D213+MOD(SISTEM!$F$8-WEEKDAY($D213,2),7))))</f>
        <v/>
      </c>
      <c r="P213" s="61"/>
      <c r="Q213" s="2"/>
      <c r="R213" s="2"/>
      <c r="S213" s="1" t="str">
        <f>IF($B213="","",$B213&amp;"|"&amp;COUNTIFS($B$7:$B213,$B213))</f>
        <v/>
      </c>
      <c r="T213" s="1" t="str">
        <f t="shared" si="45"/>
        <v/>
      </c>
      <c r="U213" s="1">
        <f t="shared" si="46"/>
        <v>0</v>
      </c>
      <c r="V213" s="1">
        <f t="shared" si="47"/>
        <v>2958465</v>
      </c>
      <c r="W213" s="1">
        <f t="shared" si="48"/>
        <v>0</v>
      </c>
      <c r="X213" s="1">
        <f t="shared" si="49"/>
        <v>0</v>
      </c>
      <c r="Y213" s="1">
        <f t="shared" si="50"/>
        <v>97200</v>
      </c>
      <c r="Z213" s="1">
        <f t="shared" si="51"/>
        <v>1</v>
      </c>
    </row>
    <row r="214" spans="1:26" ht="18" customHeight="1" x14ac:dyDescent="0.3">
      <c r="A214" s="2"/>
      <c r="B214" s="65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66"/>
      <c r="E214" s="66"/>
      <c r="F214" s="60"/>
      <c r="G214" s="67"/>
      <c r="H214" s="60"/>
      <c r="I214" s="68">
        <f t="shared" ca="1" si="39"/>
        <v>0</v>
      </c>
      <c r="J214" s="68">
        <f t="shared" ca="1" si="40"/>
        <v>0</v>
      </c>
      <c r="K214" s="68">
        <f t="shared" ca="1" si="41"/>
        <v>0</v>
      </c>
      <c r="L214" s="68">
        <f t="shared" ca="1" si="42"/>
        <v>0</v>
      </c>
      <c r="M214" s="69">
        <f t="shared" si="43"/>
        <v>0</v>
      </c>
      <c r="N214" s="65" t="str">
        <f t="shared" si="44"/>
        <v/>
      </c>
      <c r="O214" s="70" t="str">
        <f>IF(OR($C214="",$D214="",$F214=""),"",IF($F214="Aylık",EOMONTH($D214,0),($D214+MOD(SISTEM!$F$8-WEEKDAY($D214,2),7))))</f>
        <v/>
      </c>
      <c r="P214" s="61"/>
      <c r="Q214" s="2"/>
      <c r="R214" s="2"/>
      <c r="S214" s="1" t="str">
        <f>IF($B214="","",$B214&amp;"|"&amp;COUNTIFS($B$7:$B214,$B214))</f>
        <v/>
      </c>
      <c r="T214" s="1" t="str">
        <f t="shared" si="45"/>
        <v/>
      </c>
      <c r="U214" s="1">
        <f t="shared" si="46"/>
        <v>0</v>
      </c>
      <c r="V214" s="1">
        <f t="shared" si="47"/>
        <v>2958465</v>
      </c>
      <c r="W214" s="1">
        <f t="shared" si="48"/>
        <v>0</v>
      </c>
      <c r="X214" s="1">
        <f t="shared" si="49"/>
        <v>0</v>
      </c>
      <c r="Y214" s="1">
        <f t="shared" si="50"/>
        <v>97200</v>
      </c>
      <c r="Z214" s="1">
        <f t="shared" si="51"/>
        <v>1</v>
      </c>
    </row>
    <row r="215" spans="1:26" ht="18" customHeight="1" x14ac:dyDescent="0.3">
      <c r="A215" s="2"/>
      <c r="B215" s="65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66"/>
      <c r="E215" s="66"/>
      <c r="F215" s="60"/>
      <c r="G215" s="67"/>
      <c r="H215" s="60"/>
      <c r="I215" s="68">
        <f t="shared" ca="1" si="39"/>
        <v>0</v>
      </c>
      <c r="J215" s="68">
        <f t="shared" ca="1" si="40"/>
        <v>0</v>
      </c>
      <c r="K215" s="68">
        <f t="shared" ca="1" si="41"/>
        <v>0</v>
      </c>
      <c r="L215" s="68">
        <f t="shared" ca="1" si="42"/>
        <v>0</v>
      </c>
      <c r="M215" s="69">
        <f t="shared" si="43"/>
        <v>0</v>
      </c>
      <c r="N215" s="65" t="str">
        <f t="shared" si="44"/>
        <v/>
      </c>
      <c r="O215" s="70" t="str">
        <f>IF(OR($C215="",$D215="",$F215=""),"",IF($F215="Aylık",EOMONTH($D215,0),($D215+MOD(SISTEM!$F$8-WEEKDAY($D215,2),7))))</f>
        <v/>
      </c>
      <c r="P215" s="61"/>
      <c r="Q215" s="2"/>
      <c r="R215" s="2"/>
      <c r="S215" s="1" t="str">
        <f>IF($B215="","",$B215&amp;"|"&amp;COUNTIFS($B$7:$B215,$B215))</f>
        <v/>
      </c>
      <c r="T215" s="1" t="str">
        <f t="shared" si="45"/>
        <v/>
      </c>
      <c r="U215" s="1">
        <f t="shared" si="46"/>
        <v>0</v>
      </c>
      <c r="V215" s="1">
        <f t="shared" si="47"/>
        <v>2958465</v>
      </c>
      <c r="W215" s="1">
        <f t="shared" si="48"/>
        <v>0</v>
      </c>
      <c r="X215" s="1">
        <f t="shared" si="49"/>
        <v>0</v>
      </c>
      <c r="Y215" s="1">
        <f t="shared" si="50"/>
        <v>97200</v>
      </c>
      <c r="Z215" s="1">
        <f t="shared" si="51"/>
        <v>1</v>
      </c>
    </row>
    <row r="216" spans="1:26" ht="18" customHeight="1" x14ac:dyDescent="0.3">
      <c r="A216" s="2"/>
      <c r="B216" s="65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66"/>
      <c r="E216" s="66"/>
      <c r="F216" s="60"/>
      <c r="G216" s="67"/>
      <c r="H216" s="60"/>
      <c r="I216" s="68">
        <f t="shared" ca="1" si="39"/>
        <v>0</v>
      </c>
      <c r="J216" s="68">
        <f t="shared" ca="1" si="40"/>
        <v>0</v>
      </c>
      <c r="K216" s="68">
        <f t="shared" ca="1" si="41"/>
        <v>0</v>
      </c>
      <c r="L216" s="68">
        <f t="shared" ca="1" si="42"/>
        <v>0</v>
      </c>
      <c r="M216" s="69">
        <f t="shared" si="43"/>
        <v>0</v>
      </c>
      <c r="N216" s="65" t="str">
        <f t="shared" si="44"/>
        <v/>
      </c>
      <c r="O216" s="70" t="str">
        <f>IF(OR($C216="",$D216="",$F216=""),"",IF($F216="Aylık",EOMONTH($D216,0),($D216+MOD(SISTEM!$F$8-WEEKDAY($D216,2),7))))</f>
        <v/>
      </c>
      <c r="P216" s="61"/>
      <c r="Q216" s="2"/>
      <c r="R216" s="2"/>
      <c r="S216" s="1" t="str">
        <f>IF($B216="","",$B216&amp;"|"&amp;COUNTIFS($B$7:$B216,$B216))</f>
        <v/>
      </c>
      <c r="T216" s="1" t="str">
        <f t="shared" si="45"/>
        <v/>
      </c>
      <c r="U216" s="1">
        <f t="shared" si="46"/>
        <v>0</v>
      </c>
      <c r="V216" s="1">
        <f t="shared" si="47"/>
        <v>2958465</v>
      </c>
      <c r="W216" s="1">
        <f t="shared" si="48"/>
        <v>0</v>
      </c>
      <c r="X216" s="1">
        <f t="shared" si="49"/>
        <v>0</v>
      </c>
      <c r="Y216" s="1">
        <f t="shared" si="50"/>
        <v>97200</v>
      </c>
      <c r="Z216" s="1">
        <f t="shared" si="51"/>
        <v>1</v>
      </c>
    </row>
    <row r="217" spans="1:26" ht="18" customHeight="1" x14ac:dyDescent="0.3">
      <c r="A217" s="2"/>
      <c r="B217" s="65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66"/>
      <c r="E217" s="66"/>
      <c r="F217" s="60"/>
      <c r="G217" s="67"/>
      <c r="H217" s="60"/>
      <c r="I217" s="68">
        <f t="shared" ca="1" si="39"/>
        <v>0</v>
      </c>
      <c r="J217" s="68">
        <f t="shared" ca="1" si="40"/>
        <v>0</v>
      </c>
      <c r="K217" s="68">
        <f t="shared" ca="1" si="41"/>
        <v>0</v>
      </c>
      <c r="L217" s="68">
        <f t="shared" ca="1" si="42"/>
        <v>0</v>
      </c>
      <c r="M217" s="69">
        <f t="shared" si="43"/>
        <v>0</v>
      </c>
      <c r="N217" s="65" t="str">
        <f t="shared" si="44"/>
        <v/>
      </c>
      <c r="O217" s="70" t="str">
        <f>IF(OR($C217="",$D217="",$F217=""),"",IF($F217="Aylık",EOMONTH($D217,0),($D217+MOD(SISTEM!$F$8-WEEKDAY($D217,2),7))))</f>
        <v/>
      </c>
      <c r="P217" s="61"/>
      <c r="Q217" s="2"/>
      <c r="R217" s="2"/>
      <c r="S217" s="1" t="str">
        <f>IF($B217="","",$B217&amp;"|"&amp;COUNTIFS($B$7:$B217,$B217))</f>
        <v/>
      </c>
      <c r="T217" s="1" t="str">
        <f t="shared" si="45"/>
        <v/>
      </c>
      <c r="U217" s="1">
        <f t="shared" si="46"/>
        <v>0</v>
      </c>
      <c r="V217" s="1">
        <f t="shared" si="47"/>
        <v>2958465</v>
      </c>
      <c r="W217" s="1">
        <f t="shared" si="48"/>
        <v>0</v>
      </c>
      <c r="X217" s="1">
        <f t="shared" si="49"/>
        <v>0</v>
      </c>
      <c r="Y217" s="1">
        <f t="shared" si="50"/>
        <v>97200</v>
      </c>
      <c r="Z217" s="1">
        <f t="shared" si="51"/>
        <v>1</v>
      </c>
    </row>
    <row r="218" spans="1:26" ht="18" customHeight="1" x14ac:dyDescent="0.3">
      <c r="A218" s="2"/>
      <c r="B218" s="65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66"/>
      <c r="E218" s="66"/>
      <c r="F218" s="60"/>
      <c r="G218" s="67"/>
      <c r="H218" s="60"/>
      <c r="I218" s="68">
        <f t="shared" ca="1" si="39"/>
        <v>0</v>
      </c>
      <c r="J218" s="68">
        <f t="shared" ca="1" si="40"/>
        <v>0</v>
      </c>
      <c r="K218" s="68">
        <f t="shared" ca="1" si="41"/>
        <v>0</v>
      </c>
      <c r="L218" s="68">
        <f t="shared" ca="1" si="42"/>
        <v>0</v>
      </c>
      <c r="M218" s="69">
        <f t="shared" si="43"/>
        <v>0</v>
      </c>
      <c r="N218" s="65" t="str">
        <f t="shared" si="44"/>
        <v/>
      </c>
      <c r="O218" s="70" t="str">
        <f>IF(OR($C218="",$D218="",$F218=""),"",IF($F218="Aylık",EOMONTH($D218,0),($D218+MOD(SISTEM!$F$8-WEEKDAY($D218,2),7))))</f>
        <v/>
      </c>
      <c r="P218" s="61"/>
      <c r="Q218" s="2"/>
      <c r="R218" s="2"/>
      <c r="S218" s="1" t="str">
        <f>IF($B218="","",$B218&amp;"|"&amp;COUNTIFS($B$7:$B218,$B218))</f>
        <v/>
      </c>
      <c r="T218" s="1" t="str">
        <f t="shared" si="45"/>
        <v/>
      </c>
      <c r="U218" s="1">
        <f t="shared" si="46"/>
        <v>0</v>
      </c>
      <c r="V218" s="1">
        <f t="shared" si="47"/>
        <v>2958465</v>
      </c>
      <c r="W218" s="1">
        <f t="shared" si="48"/>
        <v>0</v>
      </c>
      <c r="X218" s="1">
        <f t="shared" si="49"/>
        <v>0</v>
      </c>
      <c r="Y218" s="1">
        <f t="shared" si="50"/>
        <v>97200</v>
      </c>
      <c r="Z218" s="1">
        <f t="shared" si="51"/>
        <v>1</v>
      </c>
    </row>
    <row r="219" spans="1:26" ht="18" customHeight="1" x14ac:dyDescent="0.3">
      <c r="A219" s="2"/>
      <c r="B219" s="65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66"/>
      <c r="E219" s="66"/>
      <c r="F219" s="60"/>
      <c r="G219" s="67"/>
      <c r="H219" s="60"/>
      <c r="I219" s="68">
        <f t="shared" ca="1" si="39"/>
        <v>0</v>
      </c>
      <c r="J219" s="68">
        <f t="shared" ca="1" si="40"/>
        <v>0</v>
      </c>
      <c r="K219" s="68">
        <f t="shared" ca="1" si="41"/>
        <v>0</v>
      </c>
      <c r="L219" s="68">
        <f t="shared" ca="1" si="42"/>
        <v>0</v>
      </c>
      <c r="M219" s="69">
        <f t="shared" si="43"/>
        <v>0</v>
      </c>
      <c r="N219" s="65" t="str">
        <f t="shared" si="44"/>
        <v/>
      </c>
      <c r="O219" s="70" t="str">
        <f>IF(OR($C219="",$D219="",$F219=""),"",IF($F219="Aylık",EOMONTH($D219,0),($D219+MOD(SISTEM!$F$8-WEEKDAY($D219,2),7))))</f>
        <v/>
      </c>
      <c r="P219" s="61"/>
      <c r="Q219" s="2"/>
      <c r="R219" s="2"/>
      <c r="S219" s="1" t="str">
        <f>IF($B219="","",$B219&amp;"|"&amp;COUNTIFS($B$7:$B219,$B219))</f>
        <v/>
      </c>
      <c r="T219" s="1" t="str">
        <f t="shared" si="45"/>
        <v/>
      </c>
      <c r="U219" s="1">
        <f t="shared" si="46"/>
        <v>0</v>
      </c>
      <c r="V219" s="1">
        <f t="shared" si="47"/>
        <v>2958465</v>
      </c>
      <c r="W219" s="1">
        <f t="shared" si="48"/>
        <v>0</v>
      </c>
      <c r="X219" s="1">
        <f t="shared" si="49"/>
        <v>0</v>
      </c>
      <c r="Y219" s="1">
        <f t="shared" si="50"/>
        <v>97200</v>
      </c>
      <c r="Z219" s="1">
        <f t="shared" si="51"/>
        <v>1</v>
      </c>
    </row>
    <row r="220" spans="1:26" ht="18" customHeight="1" x14ac:dyDescent="0.3">
      <c r="A220" s="2"/>
      <c r="B220" s="65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66"/>
      <c r="E220" s="66"/>
      <c r="F220" s="60"/>
      <c r="G220" s="67"/>
      <c r="H220" s="60"/>
      <c r="I220" s="68">
        <f t="shared" ca="1" si="39"/>
        <v>0</v>
      </c>
      <c r="J220" s="68">
        <f t="shared" ca="1" si="40"/>
        <v>0</v>
      </c>
      <c r="K220" s="68">
        <f t="shared" ca="1" si="41"/>
        <v>0</v>
      </c>
      <c r="L220" s="68">
        <f t="shared" ca="1" si="42"/>
        <v>0</v>
      </c>
      <c r="M220" s="69">
        <f t="shared" si="43"/>
        <v>0</v>
      </c>
      <c r="N220" s="65" t="str">
        <f t="shared" si="44"/>
        <v/>
      </c>
      <c r="O220" s="70" t="str">
        <f>IF(OR($C220="",$D220="",$F220=""),"",IF($F220="Aylık",EOMONTH($D220,0),($D220+MOD(SISTEM!$F$8-WEEKDAY($D220,2),7))))</f>
        <v/>
      </c>
      <c r="P220" s="61"/>
      <c r="Q220" s="2"/>
      <c r="R220" s="2"/>
      <c r="S220" s="1" t="str">
        <f>IF($B220="","",$B220&amp;"|"&amp;COUNTIFS($B$7:$B220,$B220))</f>
        <v/>
      </c>
      <c r="T220" s="1" t="str">
        <f t="shared" si="45"/>
        <v/>
      </c>
      <c r="U220" s="1">
        <f t="shared" si="46"/>
        <v>0</v>
      </c>
      <c r="V220" s="1">
        <f t="shared" si="47"/>
        <v>2958465</v>
      </c>
      <c r="W220" s="1">
        <f t="shared" si="48"/>
        <v>0</v>
      </c>
      <c r="X220" s="1">
        <f t="shared" si="49"/>
        <v>0</v>
      </c>
      <c r="Y220" s="1">
        <f t="shared" si="50"/>
        <v>97200</v>
      </c>
      <c r="Z220" s="1">
        <f t="shared" si="51"/>
        <v>1</v>
      </c>
    </row>
    <row r="221" spans="1:26" ht="18" customHeight="1" x14ac:dyDescent="0.3">
      <c r="A221" s="2"/>
      <c r="B221" s="65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66"/>
      <c r="E221" s="66"/>
      <c r="F221" s="60"/>
      <c r="G221" s="67"/>
      <c r="H221" s="60"/>
      <c r="I221" s="68">
        <f t="shared" ca="1" si="39"/>
        <v>0</v>
      </c>
      <c r="J221" s="68">
        <f t="shared" ca="1" si="40"/>
        <v>0</v>
      </c>
      <c r="K221" s="68">
        <f t="shared" ca="1" si="41"/>
        <v>0</v>
      </c>
      <c r="L221" s="68">
        <f t="shared" ca="1" si="42"/>
        <v>0</v>
      </c>
      <c r="M221" s="69">
        <f t="shared" si="43"/>
        <v>0</v>
      </c>
      <c r="N221" s="65" t="str">
        <f t="shared" si="44"/>
        <v/>
      </c>
      <c r="O221" s="70" t="str">
        <f>IF(OR($C221="",$D221="",$F221=""),"",IF($F221="Aylık",EOMONTH($D221,0),($D221+MOD(SISTEM!$F$8-WEEKDAY($D221,2),7))))</f>
        <v/>
      </c>
      <c r="P221" s="61"/>
      <c r="Q221" s="2"/>
      <c r="R221" s="2"/>
      <c r="S221" s="1" t="str">
        <f>IF($B221="","",$B221&amp;"|"&amp;COUNTIFS($B$7:$B221,$B221))</f>
        <v/>
      </c>
      <c r="T221" s="1" t="str">
        <f t="shared" si="45"/>
        <v/>
      </c>
      <c r="U221" s="1">
        <f t="shared" si="46"/>
        <v>0</v>
      </c>
      <c r="V221" s="1">
        <f t="shared" si="47"/>
        <v>2958465</v>
      </c>
      <c r="W221" s="1">
        <f t="shared" si="48"/>
        <v>0</v>
      </c>
      <c r="X221" s="1">
        <f t="shared" si="49"/>
        <v>0</v>
      </c>
      <c r="Y221" s="1">
        <f t="shared" si="50"/>
        <v>97200</v>
      </c>
      <c r="Z221" s="1">
        <f t="shared" si="51"/>
        <v>1</v>
      </c>
    </row>
    <row r="222" spans="1:26" ht="18" customHeight="1" x14ac:dyDescent="0.3">
      <c r="A222" s="2"/>
      <c r="B222" s="65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66"/>
      <c r="E222" s="66"/>
      <c r="F222" s="60"/>
      <c r="G222" s="67"/>
      <c r="H222" s="60"/>
      <c r="I222" s="68">
        <f t="shared" ca="1" si="39"/>
        <v>0</v>
      </c>
      <c r="J222" s="68">
        <f t="shared" ca="1" si="40"/>
        <v>0</v>
      </c>
      <c r="K222" s="68">
        <f t="shared" ca="1" si="41"/>
        <v>0</v>
      </c>
      <c r="L222" s="68">
        <f t="shared" ca="1" si="42"/>
        <v>0</v>
      </c>
      <c r="M222" s="69">
        <f t="shared" si="43"/>
        <v>0</v>
      </c>
      <c r="N222" s="65" t="str">
        <f t="shared" si="44"/>
        <v/>
      </c>
      <c r="O222" s="70" t="str">
        <f>IF(OR($C222="",$D222="",$F222=""),"",IF($F222="Aylık",EOMONTH($D222,0),($D222+MOD(SISTEM!$F$8-WEEKDAY($D222,2),7))))</f>
        <v/>
      </c>
      <c r="P222" s="61"/>
      <c r="Q222" s="2"/>
      <c r="R222" s="2"/>
      <c r="S222" s="1" t="str">
        <f>IF($B222="","",$B222&amp;"|"&amp;COUNTIFS($B$7:$B222,$B222))</f>
        <v/>
      </c>
      <c r="T222" s="1" t="str">
        <f t="shared" si="45"/>
        <v/>
      </c>
      <c r="U222" s="1">
        <f t="shared" si="46"/>
        <v>0</v>
      </c>
      <c r="V222" s="1">
        <f t="shared" si="47"/>
        <v>2958465</v>
      </c>
      <c r="W222" s="1">
        <f t="shared" si="48"/>
        <v>0</v>
      </c>
      <c r="X222" s="1">
        <f t="shared" si="49"/>
        <v>0</v>
      </c>
      <c r="Y222" s="1">
        <f t="shared" si="50"/>
        <v>97200</v>
      </c>
      <c r="Z222" s="1">
        <f t="shared" si="51"/>
        <v>1</v>
      </c>
    </row>
    <row r="223" spans="1:26" ht="18" customHeight="1" x14ac:dyDescent="0.3">
      <c r="A223" s="2"/>
      <c r="B223" s="65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66"/>
      <c r="E223" s="66"/>
      <c r="F223" s="60"/>
      <c r="G223" s="67"/>
      <c r="H223" s="60"/>
      <c r="I223" s="68">
        <f t="shared" ca="1" si="39"/>
        <v>0</v>
      </c>
      <c r="J223" s="68">
        <f t="shared" ca="1" si="40"/>
        <v>0</v>
      </c>
      <c r="K223" s="68">
        <f t="shared" ca="1" si="41"/>
        <v>0</v>
      </c>
      <c r="L223" s="68">
        <f t="shared" ca="1" si="42"/>
        <v>0</v>
      </c>
      <c r="M223" s="69">
        <f t="shared" si="43"/>
        <v>0</v>
      </c>
      <c r="N223" s="65" t="str">
        <f t="shared" si="44"/>
        <v/>
      </c>
      <c r="O223" s="70" t="str">
        <f>IF(OR($C223="",$D223="",$F223=""),"",IF($F223="Aylık",EOMONTH($D223,0),($D223+MOD(SISTEM!$F$8-WEEKDAY($D223,2),7))))</f>
        <v/>
      </c>
      <c r="P223" s="61"/>
      <c r="Q223" s="2"/>
      <c r="R223" s="2"/>
      <c r="S223" s="1" t="str">
        <f>IF($B223="","",$B223&amp;"|"&amp;COUNTIFS($B$7:$B223,$B223))</f>
        <v/>
      </c>
      <c r="T223" s="1" t="str">
        <f t="shared" si="45"/>
        <v/>
      </c>
      <c r="U223" s="1">
        <f t="shared" si="46"/>
        <v>0</v>
      </c>
      <c r="V223" s="1">
        <f t="shared" si="47"/>
        <v>2958465</v>
      </c>
      <c r="W223" s="1">
        <f t="shared" si="48"/>
        <v>0</v>
      </c>
      <c r="X223" s="1">
        <f t="shared" si="49"/>
        <v>0</v>
      </c>
      <c r="Y223" s="1">
        <f t="shared" si="50"/>
        <v>97200</v>
      </c>
      <c r="Z223" s="1">
        <f t="shared" si="51"/>
        <v>1</v>
      </c>
    </row>
    <row r="224" spans="1:26" ht="18" customHeight="1" x14ac:dyDescent="0.3">
      <c r="A224" s="2"/>
      <c r="B224" s="65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66"/>
      <c r="E224" s="66"/>
      <c r="F224" s="60"/>
      <c r="G224" s="67"/>
      <c r="H224" s="60"/>
      <c r="I224" s="68">
        <f t="shared" ca="1" si="39"/>
        <v>0</v>
      </c>
      <c r="J224" s="68">
        <f t="shared" ca="1" si="40"/>
        <v>0</v>
      </c>
      <c r="K224" s="68">
        <f t="shared" ca="1" si="41"/>
        <v>0</v>
      </c>
      <c r="L224" s="68">
        <f t="shared" ca="1" si="42"/>
        <v>0</v>
      </c>
      <c r="M224" s="69">
        <f t="shared" si="43"/>
        <v>0</v>
      </c>
      <c r="N224" s="65" t="str">
        <f t="shared" si="44"/>
        <v/>
      </c>
      <c r="O224" s="70" t="str">
        <f>IF(OR($C224="",$D224="",$F224=""),"",IF($F224="Aylık",EOMONTH($D224,0),($D224+MOD(SISTEM!$F$8-WEEKDAY($D224,2),7))))</f>
        <v/>
      </c>
      <c r="P224" s="61"/>
      <c r="Q224" s="2"/>
      <c r="R224" s="2"/>
      <c r="S224" s="1" t="str">
        <f>IF($B224="","",$B224&amp;"|"&amp;COUNTIFS($B$7:$B224,$B224))</f>
        <v/>
      </c>
      <c r="T224" s="1" t="str">
        <f t="shared" si="45"/>
        <v/>
      </c>
      <c r="U224" s="1">
        <f t="shared" si="46"/>
        <v>0</v>
      </c>
      <c r="V224" s="1">
        <f t="shared" si="47"/>
        <v>2958465</v>
      </c>
      <c r="W224" s="1">
        <f t="shared" si="48"/>
        <v>0</v>
      </c>
      <c r="X224" s="1">
        <f t="shared" si="49"/>
        <v>0</v>
      </c>
      <c r="Y224" s="1">
        <f t="shared" si="50"/>
        <v>97200</v>
      </c>
      <c r="Z224" s="1">
        <f t="shared" si="51"/>
        <v>1</v>
      </c>
    </row>
    <row r="225" spans="1:26" ht="18" customHeight="1" x14ac:dyDescent="0.3">
      <c r="A225" s="2"/>
      <c r="B225" s="65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66"/>
      <c r="E225" s="66"/>
      <c r="F225" s="60"/>
      <c r="G225" s="67"/>
      <c r="H225" s="60"/>
      <c r="I225" s="68">
        <f t="shared" ca="1" si="39"/>
        <v>0</v>
      </c>
      <c r="J225" s="68">
        <f t="shared" ca="1" si="40"/>
        <v>0</v>
      </c>
      <c r="K225" s="68">
        <f t="shared" ca="1" si="41"/>
        <v>0</v>
      </c>
      <c r="L225" s="68">
        <f t="shared" ca="1" si="42"/>
        <v>0</v>
      </c>
      <c r="M225" s="69">
        <f t="shared" si="43"/>
        <v>0</v>
      </c>
      <c r="N225" s="65" t="str">
        <f t="shared" si="44"/>
        <v/>
      </c>
      <c r="O225" s="70" t="str">
        <f>IF(OR($C225="",$D225="",$F225=""),"",IF($F225="Aylık",EOMONTH($D225,0),($D225+MOD(SISTEM!$F$8-WEEKDAY($D225,2),7))))</f>
        <v/>
      </c>
      <c r="P225" s="61"/>
      <c r="Q225" s="2"/>
      <c r="R225" s="2"/>
      <c r="S225" s="1" t="str">
        <f>IF($B225="","",$B225&amp;"|"&amp;COUNTIFS($B$7:$B225,$B225))</f>
        <v/>
      </c>
      <c r="T225" s="1" t="str">
        <f t="shared" si="45"/>
        <v/>
      </c>
      <c r="U225" s="1">
        <f t="shared" si="46"/>
        <v>0</v>
      </c>
      <c r="V225" s="1">
        <f t="shared" si="47"/>
        <v>2958465</v>
      </c>
      <c r="W225" s="1">
        <f t="shared" si="48"/>
        <v>0</v>
      </c>
      <c r="X225" s="1">
        <f t="shared" si="49"/>
        <v>0</v>
      </c>
      <c r="Y225" s="1">
        <f t="shared" si="50"/>
        <v>97200</v>
      </c>
      <c r="Z225" s="1">
        <f t="shared" si="51"/>
        <v>1</v>
      </c>
    </row>
    <row r="226" spans="1:26" ht="18" customHeight="1" x14ac:dyDescent="0.3">
      <c r="A226" s="2"/>
      <c r="B226" s="65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66"/>
      <c r="E226" s="66"/>
      <c r="F226" s="60"/>
      <c r="G226" s="67"/>
      <c r="H226" s="60"/>
      <c r="I226" s="68">
        <f t="shared" ca="1" si="39"/>
        <v>0</v>
      </c>
      <c r="J226" s="68">
        <f t="shared" ca="1" si="40"/>
        <v>0</v>
      </c>
      <c r="K226" s="68">
        <f t="shared" ca="1" si="41"/>
        <v>0</v>
      </c>
      <c r="L226" s="68">
        <f t="shared" ca="1" si="42"/>
        <v>0</v>
      </c>
      <c r="M226" s="69">
        <f t="shared" si="43"/>
        <v>0</v>
      </c>
      <c r="N226" s="65" t="str">
        <f t="shared" si="44"/>
        <v/>
      </c>
      <c r="O226" s="70" t="str">
        <f>IF(OR($C226="",$D226="",$F226=""),"",IF($F226="Aylık",EOMONTH($D226,0),($D226+MOD(SISTEM!$F$8-WEEKDAY($D226,2),7))))</f>
        <v/>
      </c>
      <c r="P226" s="61"/>
      <c r="Q226" s="2"/>
      <c r="R226" s="2"/>
      <c r="S226" s="1" t="str">
        <f>IF($B226="","",$B226&amp;"|"&amp;COUNTIFS($B$7:$B226,$B226))</f>
        <v/>
      </c>
      <c r="T226" s="1" t="str">
        <f t="shared" si="45"/>
        <v/>
      </c>
      <c r="U226" s="1">
        <f t="shared" si="46"/>
        <v>0</v>
      </c>
      <c r="V226" s="1">
        <f t="shared" si="47"/>
        <v>2958465</v>
      </c>
      <c r="W226" s="1">
        <f t="shared" si="48"/>
        <v>0</v>
      </c>
      <c r="X226" s="1">
        <f t="shared" si="49"/>
        <v>0</v>
      </c>
      <c r="Y226" s="1">
        <f t="shared" si="50"/>
        <v>97200</v>
      </c>
      <c r="Z226" s="1">
        <f t="shared" si="51"/>
        <v>1</v>
      </c>
    </row>
    <row r="227" spans="1:26" ht="18" customHeight="1" x14ac:dyDescent="0.3">
      <c r="A227" s="2"/>
      <c r="B227" s="65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66"/>
      <c r="E227" s="66"/>
      <c r="F227" s="60"/>
      <c r="G227" s="67"/>
      <c r="H227" s="60"/>
      <c r="I227" s="68">
        <f t="shared" ca="1" si="39"/>
        <v>0</v>
      </c>
      <c r="J227" s="68">
        <f t="shared" ca="1" si="40"/>
        <v>0</v>
      </c>
      <c r="K227" s="68">
        <f t="shared" ca="1" si="41"/>
        <v>0</v>
      </c>
      <c r="L227" s="68">
        <f t="shared" ca="1" si="42"/>
        <v>0</v>
      </c>
      <c r="M227" s="69">
        <f t="shared" si="43"/>
        <v>0</v>
      </c>
      <c r="N227" s="65" t="str">
        <f t="shared" si="44"/>
        <v/>
      </c>
      <c r="O227" s="70" t="str">
        <f>IF(OR($C227="",$D227="",$F227=""),"",IF($F227="Aylık",EOMONTH($D227,0),($D227+MOD(SISTEM!$F$8-WEEKDAY($D227,2),7))))</f>
        <v/>
      </c>
      <c r="P227" s="61"/>
      <c r="Q227" s="2"/>
      <c r="R227" s="2"/>
      <c r="S227" s="1" t="str">
        <f>IF($B227="","",$B227&amp;"|"&amp;COUNTIFS($B$7:$B227,$B227))</f>
        <v/>
      </c>
      <c r="T227" s="1" t="str">
        <f t="shared" si="45"/>
        <v/>
      </c>
      <c r="U227" s="1">
        <f t="shared" si="46"/>
        <v>0</v>
      </c>
      <c r="V227" s="1">
        <f t="shared" si="47"/>
        <v>2958465</v>
      </c>
      <c r="W227" s="1">
        <f t="shared" si="48"/>
        <v>0</v>
      </c>
      <c r="X227" s="1">
        <f t="shared" si="49"/>
        <v>0</v>
      </c>
      <c r="Y227" s="1">
        <f t="shared" si="50"/>
        <v>97200</v>
      </c>
      <c r="Z227" s="1">
        <f t="shared" si="51"/>
        <v>1</v>
      </c>
    </row>
    <row r="228" spans="1:26" ht="18" customHeight="1" x14ac:dyDescent="0.3">
      <c r="A228" s="2"/>
      <c r="B228" s="65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66"/>
      <c r="E228" s="66"/>
      <c r="F228" s="60"/>
      <c r="G228" s="67"/>
      <c r="H228" s="60"/>
      <c r="I228" s="68">
        <f t="shared" ca="1" si="39"/>
        <v>0</v>
      </c>
      <c r="J228" s="68">
        <f t="shared" ca="1" si="40"/>
        <v>0</v>
      </c>
      <c r="K228" s="68">
        <f t="shared" ca="1" si="41"/>
        <v>0</v>
      </c>
      <c r="L228" s="68">
        <f t="shared" ca="1" si="42"/>
        <v>0</v>
      </c>
      <c r="M228" s="69">
        <f t="shared" si="43"/>
        <v>0</v>
      </c>
      <c r="N228" s="65" t="str">
        <f t="shared" si="44"/>
        <v/>
      </c>
      <c r="O228" s="70" t="str">
        <f>IF(OR($C228="",$D228="",$F228=""),"",IF($F228="Aylık",EOMONTH($D228,0),($D228+MOD(SISTEM!$F$8-WEEKDAY($D228,2),7))))</f>
        <v/>
      </c>
      <c r="P228" s="61"/>
      <c r="Q228" s="2"/>
      <c r="R228" s="2"/>
      <c r="S228" s="1" t="str">
        <f>IF($B228="","",$B228&amp;"|"&amp;COUNTIFS($B$7:$B228,$B228))</f>
        <v/>
      </c>
      <c r="T228" s="1" t="str">
        <f t="shared" si="45"/>
        <v/>
      </c>
      <c r="U228" s="1">
        <f t="shared" si="46"/>
        <v>0</v>
      </c>
      <c r="V228" s="1">
        <f t="shared" si="47"/>
        <v>2958465</v>
      </c>
      <c r="W228" s="1">
        <f t="shared" si="48"/>
        <v>0</v>
      </c>
      <c r="X228" s="1">
        <f t="shared" si="49"/>
        <v>0</v>
      </c>
      <c r="Y228" s="1">
        <f t="shared" si="50"/>
        <v>97200</v>
      </c>
      <c r="Z228" s="1">
        <f t="shared" si="51"/>
        <v>1</v>
      </c>
    </row>
    <row r="229" spans="1:26" ht="18" customHeight="1" x14ac:dyDescent="0.3">
      <c r="A229" s="2"/>
      <c r="B229" s="65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66"/>
      <c r="E229" s="66"/>
      <c r="F229" s="60"/>
      <c r="G229" s="67"/>
      <c r="H229" s="60"/>
      <c r="I229" s="68">
        <f t="shared" ca="1" si="39"/>
        <v>0</v>
      </c>
      <c r="J229" s="68">
        <f t="shared" ca="1" si="40"/>
        <v>0</v>
      </c>
      <c r="K229" s="68">
        <f t="shared" ca="1" si="41"/>
        <v>0</v>
      </c>
      <c r="L229" s="68">
        <f t="shared" ca="1" si="42"/>
        <v>0</v>
      </c>
      <c r="M229" s="69">
        <f t="shared" si="43"/>
        <v>0</v>
      </c>
      <c r="N229" s="65" t="str">
        <f t="shared" si="44"/>
        <v/>
      </c>
      <c r="O229" s="70" t="str">
        <f>IF(OR($C229="",$D229="",$F229=""),"",IF($F229="Aylık",EOMONTH($D229,0),($D229+MOD(SISTEM!$F$8-WEEKDAY($D229,2),7))))</f>
        <v/>
      </c>
      <c r="P229" s="61"/>
      <c r="Q229" s="2"/>
      <c r="R229" s="2"/>
      <c r="S229" s="1" t="str">
        <f>IF($B229="","",$B229&amp;"|"&amp;COUNTIFS($B$7:$B229,$B229))</f>
        <v/>
      </c>
      <c r="T229" s="1" t="str">
        <f t="shared" si="45"/>
        <v/>
      </c>
      <c r="U229" s="1">
        <f t="shared" si="46"/>
        <v>0</v>
      </c>
      <c r="V229" s="1">
        <f t="shared" si="47"/>
        <v>2958465</v>
      </c>
      <c r="W229" s="1">
        <f t="shared" si="48"/>
        <v>0</v>
      </c>
      <c r="X229" s="1">
        <f t="shared" si="49"/>
        <v>0</v>
      </c>
      <c r="Y229" s="1">
        <f t="shared" si="50"/>
        <v>97200</v>
      </c>
      <c r="Z229" s="1">
        <f t="shared" si="51"/>
        <v>1</v>
      </c>
    </row>
    <row r="230" spans="1:26" ht="18" customHeight="1" x14ac:dyDescent="0.3">
      <c r="A230" s="2"/>
      <c r="B230" s="65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66"/>
      <c r="E230" s="66"/>
      <c r="F230" s="60"/>
      <c r="G230" s="67"/>
      <c r="H230" s="60"/>
      <c r="I230" s="68">
        <f t="shared" ca="1" si="39"/>
        <v>0</v>
      </c>
      <c r="J230" s="68">
        <f t="shared" ca="1" si="40"/>
        <v>0</v>
      </c>
      <c r="K230" s="68">
        <f t="shared" ca="1" si="41"/>
        <v>0</v>
      </c>
      <c r="L230" s="68">
        <f t="shared" ca="1" si="42"/>
        <v>0</v>
      </c>
      <c r="M230" s="69">
        <f t="shared" si="43"/>
        <v>0</v>
      </c>
      <c r="N230" s="65" t="str">
        <f t="shared" si="44"/>
        <v/>
      </c>
      <c r="O230" s="70" t="str">
        <f>IF(OR($C230="",$D230="",$F230=""),"",IF($F230="Aylık",EOMONTH($D230,0),($D230+MOD(SISTEM!$F$8-WEEKDAY($D230,2),7))))</f>
        <v/>
      </c>
      <c r="P230" s="61"/>
      <c r="Q230" s="2"/>
      <c r="R230" s="2"/>
      <c r="S230" s="1" t="str">
        <f>IF($B230="","",$B230&amp;"|"&amp;COUNTIFS($B$7:$B230,$B230))</f>
        <v/>
      </c>
      <c r="T230" s="1" t="str">
        <f t="shared" si="45"/>
        <v/>
      </c>
      <c r="U230" s="1">
        <f t="shared" si="46"/>
        <v>0</v>
      </c>
      <c r="V230" s="1">
        <f t="shared" si="47"/>
        <v>2958465</v>
      </c>
      <c r="W230" s="1">
        <f t="shared" si="48"/>
        <v>0</v>
      </c>
      <c r="X230" s="1">
        <f t="shared" si="49"/>
        <v>0</v>
      </c>
      <c r="Y230" s="1">
        <f t="shared" si="50"/>
        <v>97200</v>
      </c>
      <c r="Z230" s="1">
        <f t="shared" si="51"/>
        <v>1</v>
      </c>
    </row>
    <row r="231" spans="1:26" ht="18" customHeight="1" x14ac:dyDescent="0.3">
      <c r="A231" s="2"/>
      <c r="B231" s="65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66"/>
      <c r="E231" s="66"/>
      <c r="F231" s="60"/>
      <c r="G231" s="67"/>
      <c r="H231" s="60"/>
      <c r="I231" s="68">
        <f t="shared" ca="1" si="39"/>
        <v>0</v>
      </c>
      <c r="J231" s="68">
        <f t="shared" ca="1" si="40"/>
        <v>0</v>
      </c>
      <c r="K231" s="68">
        <f t="shared" ca="1" si="41"/>
        <v>0</v>
      </c>
      <c r="L231" s="68">
        <f t="shared" ca="1" si="42"/>
        <v>0</v>
      </c>
      <c r="M231" s="69">
        <f t="shared" si="43"/>
        <v>0</v>
      </c>
      <c r="N231" s="65" t="str">
        <f t="shared" si="44"/>
        <v/>
      </c>
      <c r="O231" s="70" t="str">
        <f>IF(OR($C231="",$D231="",$F231=""),"",IF($F231="Aylık",EOMONTH($D231,0),($D231+MOD(SISTEM!$F$8-WEEKDAY($D231,2),7))))</f>
        <v/>
      </c>
      <c r="P231" s="61"/>
      <c r="Q231" s="2"/>
      <c r="R231" s="2"/>
      <c r="S231" s="1" t="str">
        <f>IF($B231="","",$B231&amp;"|"&amp;COUNTIFS($B$7:$B231,$B231))</f>
        <v/>
      </c>
      <c r="T231" s="1" t="str">
        <f t="shared" si="45"/>
        <v/>
      </c>
      <c r="U231" s="1">
        <f t="shared" si="46"/>
        <v>0</v>
      </c>
      <c r="V231" s="1">
        <f t="shared" si="47"/>
        <v>2958465</v>
      </c>
      <c r="W231" s="1">
        <f t="shared" si="48"/>
        <v>0</v>
      </c>
      <c r="X231" s="1">
        <f t="shared" si="49"/>
        <v>0</v>
      </c>
      <c r="Y231" s="1">
        <f t="shared" si="50"/>
        <v>97200</v>
      </c>
      <c r="Z231" s="1">
        <f t="shared" si="51"/>
        <v>1</v>
      </c>
    </row>
    <row r="232" spans="1:26" ht="18" customHeight="1" x14ac:dyDescent="0.3">
      <c r="A232" s="2"/>
      <c r="B232" s="65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66"/>
      <c r="E232" s="66"/>
      <c r="F232" s="60"/>
      <c r="G232" s="67"/>
      <c r="H232" s="60"/>
      <c r="I232" s="68">
        <f t="shared" ca="1" si="39"/>
        <v>0</v>
      </c>
      <c r="J232" s="68">
        <f t="shared" ca="1" si="40"/>
        <v>0</v>
      </c>
      <c r="K232" s="68">
        <f t="shared" ca="1" si="41"/>
        <v>0</v>
      </c>
      <c r="L232" s="68">
        <f t="shared" ca="1" si="42"/>
        <v>0</v>
      </c>
      <c r="M232" s="69">
        <f t="shared" si="43"/>
        <v>0</v>
      </c>
      <c r="N232" s="65" t="str">
        <f t="shared" si="44"/>
        <v/>
      </c>
      <c r="O232" s="70" t="str">
        <f>IF(OR($C232="",$D232="",$F232=""),"",IF($F232="Aylık",EOMONTH($D232,0),($D232+MOD(SISTEM!$F$8-WEEKDAY($D232,2),7))))</f>
        <v/>
      </c>
      <c r="P232" s="61"/>
      <c r="Q232" s="2"/>
      <c r="R232" s="2"/>
      <c r="S232" s="1" t="str">
        <f>IF($B232="","",$B232&amp;"|"&amp;COUNTIFS($B$7:$B232,$B232))</f>
        <v/>
      </c>
      <c r="T232" s="1" t="str">
        <f t="shared" si="45"/>
        <v/>
      </c>
      <c r="U232" s="1">
        <f t="shared" si="46"/>
        <v>0</v>
      </c>
      <c r="V232" s="1">
        <f t="shared" si="47"/>
        <v>2958465</v>
      </c>
      <c r="W232" s="1">
        <f t="shared" si="48"/>
        <v>0</v>
      </c>
      <c r="X232" s="1">
        <f t="shared" si="49"/>
        <v>0</v>
      </c>
      <c r="Y232" s="1">
        <f t="shared" si="50"/>
        <v>97200</v>
      </c>
      <c r="Z232" s="1">
        <f t="shared" si="51"/>
        <v>1</v>
      </c>
    </row>
    <row r="233" spans="1:26" ht="18" customHeight="1" x14ac:dyDescent="0.3">
      <c r="A233" s="2"/>
      <c r="B233" s="65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66"/>
      <c r="E233" s="66"/>
      <c r="F233" s="60"/>
      <c r="G233" s="67"/>
      <c r="H233" s="60"/>
      <c r="I233" s="68">
        <f t="shared" ca="1" si="39"/>
        <v>0</v>
      </c>
      <c r="J233" s="68">
        <f t="shared" ca="1" si="40"/>
        <v>0</v>
      </c>
      <c r="K233" s="68">
        <f t="shared" ca="1" si="41"/>
        <v>0</v>
      </c>
      <c r="L233" s="68">
        <f t="shared" ca="1" si="42"/>
        <v>0</v>
      </c>
      <c r="M233" s="69">
        <f t="shared" si="43"/>
        <v>0</v>
      </c>
      <c r="N233" s="65" t="str">
        <f t="shared" si="44"/>
        <v/>
      </c>
      <c r="O233" s="70" t="str">
        <f>IF(OR($C233="",$D233="",$F233=""),"",IF($F233="Aylık",EOMONTH($D233,0),($D233+MOD(SISTEM!$F$8-WEEKDAY($D233,2),7))))</f>
        <v/>
      </c>
      <c r="P233" s="61"/>
      <c r="Q233" s="2"/>
      <c r="R233" s="2"/>
      <c r="S233" s="1" t="str">
        <f>IF($B233="","",$B233&amp;"|"&amp;COUNTIFS($B$7:$B233,$B233))</f>
        <v/>
      </c>
      <c r="T233" s="1" t="str">
        <f t="shared" si="45"/>
        <v/>
      </c>
      <c r="U233" s="1">
        <f t="shared" si="46"/>
        <v>0</v>
      </c>
      <c r="V233" s="1">
        <f t="shared" si="47"/>
        <v>2958465</v>
      </c>
      <c r="W233" s="1">
        <f t="shared" si="48"/>
        <v>0</v>
      </c>
      <c r="X233" s="1">
        <f t="shared" si="49"/>
        <v>0</v>
      </c>
      <c r="Y233" s="1">
        <f t="shared" si="50"/>
        <v>97200</v>
      </c>
      <c r="Z233" s="1">
        <f t="shared" si="51"/>
        <v>1</v>
      </c>
    </row>
    <row r="234" spans="1:26" ht="18" customHeight="1" x14ac:dyDescent="0.3">
      <c r="A234" s="2"/>
      <c r="B234" s="65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66"/>
      <c r="E234" s="66"/>
      <c r="F234" s="60"/>
      <c r="G234" s="67"/>
      <c r="H234" s="60"/>
      <c r="I234" s="68">
        <f t="shared" ca="1" si="39"/>
        <v>0</v>
      </c>
      <c r="J234" s="68">
        <f t="shared" ca="1" si="40"/>
        <v>0</v>
      </c>
      <c r="K234" s="68">
        <f t="shared" ca="1" si="41"/>
        <v>0</v>
      </c>
      <c r="L234" s="68">
        <f t="shared" ca="1" si="42"/>
        <v>0</v>
      </c>
      <c r="M234" s="69">
        <f t="shared" si="43"/>
        <v>0</v>
      </c>
      <c r="N234" s="65" t="str">
        <f t="shared" si="44"/>
        <v/>
      </c>
      <c r="O234" s="70" t="str">
        <f>IF(OR($C234="",$D234="",$F234=""),"",IF($F234="Aylık",EOMONTH($D234,0),($D234+MOD(SISTEM!$F$8-WEEKDAY($D234,2),7))))</f>
        <v/>
      </c>
      <c r="P234" s="61"/>
      <c r="Q234" s="2"/>
      <c r="R234" s="2"/>
      <c r="S234" s="1" t="str">
        <f>IF($B234="","",$B234&amp;"|"&amp;COUNTIFS($B$7:$B234,$B234))</f>
        <v/>
      </c>
      <c r="T234" s="1" t="str">
        <f t="shared" si="45"/>
        <v/>
      </c>
      <c r="U234" s="1">
        <f t="shared" si="46"/>
        <v>0</v>
      </c>
      <c r="V234" s="1">
        <f t="shared" si="47"/>
        <v>2958465</v>
      </c>
      <c r="W234" s="1">
        <f t="shared" si="48"/>
        <v>0</v>
      </c>
      <c r="X234" s="1">
        <f t="shared" si="49"/>
        <v>0</v>
      </c>
      <c r="Y234" s="1">
        <f t="shared" si="50"/>
        <v>97200</v>
      </c>
      <c r="Z234" s="1">
        <f t="shared" si="51"/>
        <v>1</v>
      </c>
    </row>
    <row r="235" spans="1:26" ht="18" customHeight="1" x14ac:dyDescent="0.3">
      <c r="A235" s="2"/>
      <c r="B235" s="65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66"/>
      <c r="E235" s="66"/>
      <c r="F235" s="60"/>
      <c r="G235" s="67"/>
      <c r="H235" s="60"/>
      <c r="I235" s="68">
        <f t="shared" ca="1" si="39"/>
        <v>0</v>
      </c>
      <c r="J235" s="68">
        <f t="shared" ca="1" si="40"/>
        <v>0</v>
      </c>
      <c r="K235" s="68">
        <f t="shared" ca="1" si="41"/>
        <v>0</v>
      </c>
      <c r="L235" s="68">
        <f t="shared" ca="1" si="42"/>
        <v>0</v>
      </c>
      <c r="M235" s="69">
        <f t="shared" si="43"/>
        <v>0</v>
      </c>
      <c r="N235" s="65" t="str">
        <f t="shared" si="44"/>
        <v/>
      </c>
      <c r="O235" s="70" t="str">
        <f>IF(OR($C235="",$D235="",$F235=""),"",IF($F235="Aylık",EOMONTH($D235,0),($D235+MOD(SISTEM!$F$8-WEEKDAY($D235,2),7))))</f>
        <v/>
      </c>
      <c r="P235" s="61"/>
      <c r="Q235" s="2"/>
      <c r="R235" s="2"/>
      <c r="S235" s="1" t="str">
        <f>IF($B235="","",$B235&amp;"|"&amp;COUNTIFS($B$7:$B235,$B235))</f>
        <v/>
      </c>
      <c r="T235" s="1" t="str">
        <f t="shared" si="45"/>
        <v/>
      </c>
      <c r="U235" s="1">
        <f t="shared" si="46"/>
        <v>0</v>
      </c>
      <c r="V235" s="1">
        <f t="shared" si="47"/>
        <v>2958465</v>
      </c>
      <c r="W235" s="1">
        <f t="shared" si="48"/>
        <v>0</v>
      </c>
      <c r="X235" s="1">
        <f t="shared" si="49"/>
        <v>0</v>
      </c>
      <c r="Y235" s="1">
        <f t="shared" si="50"/>
        <v>97200</v>
      </c>
      <c r="Z235" s="1">
        <f t="shared" si="51"/>
        <v>1</v>
      </c>
    </row>
    <row r="236" spans="1:26" ht="18" customHeight="1" x14ac:dyDescent="0.3">
      <c r="A236" s="2"/>
      <c r="B236" s="65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66"/>
      <c r="E236" s="66"/>
      <c r="F236" s="60"/>
      <c r="G236" s="67"/>
      <c r="H236" s="60"/>
      <c r="I236" s="68">
        <f t="shared" ca="1" si="39"/>
        <v>0</v>
      </c>
      <c r="J236" s="68">
        <f t="shared" ca="1" si="40"/>
        <v>0</v>
      </c>
      <c r="K236" s="68">
        <f t="shared" ca="1" si="41"/>
        <v>0</v>
      </c>
      <c r="L236" s="68">
        <f t="shared" ca="1" si="42"/>
        <v>0</v>
      </c>
      <c r="M236" s="69">
        <f t="shared" si="43"/>
        <v>0</v>
      </c>
      <c r="N236" s="65" t="str">
        <f t="shared" si="44"/>
        <v/>
      </c>
      <c r="O236" s="70" t="str">
        <f>IF(OR($C236="",$D236="",$F236=""),"",IF($F236="Aylık",EOMONTH($D236,0),($D236+MOD(SISTEM!$F$8-WEEKDAY($D236,2),7))))</f>
        <v/>
      </c>
      <c r="P236" s="61"/>
      <c r="Q236" s="2"/>
      <c r="R236" s="2"/>
      <c r="S236" s="1" t="str">
        <f>IF($B236="","",$B236&amp;"|"&amp;COUNTIFS($B$7:$B236,$B236))</f>
        <v/>
      </c>
      <c r="T236" s="1" t="str">
        <f t="shared" si="45"/>
        <v/>
      </c>
      <c r="U236" s="1">
        <f t="shared" si="46"/>
        <v>0</v>
      </c>
      <c r="V236" s="1">
        <f t="shared" si="47"/>
        <v>2958465</v>
      </c>
      <c r="W236" s="1">
        <f t="shared" si="48"/>
        <v>0</v>
      </c>
      <c r="X236" s="1">
        <f t="shared" si="49"/>
        <v>0</v>
      </c>
      <c r="Y236" s="1">
        <f t="shared" si="50"/>
        <v>97200</v>
      </c>
      <c r="Z236" s="1">
        <f t="shared" si="51"/>
        <v>1</v>
      </c>
    </row>
    <row r="237" spans="1:26" ht="18" customHeight="1" x14ac:dyDescent="0.3">
      <c r="A237" s="2"/>
      <c r="B237" s="65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66"/>
      <c r="E237" s="66"/>
      <c r="F237" s="60"/>
      <c r="G237" s="67"/>
      <c r="H237" s="60"/>
      <c r="I237" s="68">
        <f t="shared" ca="1" si="39"/>
        <v>0</v>
      </c>
      <c r="J237" s="68">
        <f t="shared" ca="1" si="40"/>
        <v>0</v>
      </c>
      <c r="K237" s="68">
        <f t="shared" ca="1" si="41"/>
        <v>0</v>
      </c>
      <c r="L237" s="68">
        <f t="shared" ca="1" si="42"/>
        <v>0</v>
      </c>
      <c r="M237" s="69">
        <f t="shared" si="43"/>
        <v>0</v>
      </c>
      <c r="N237" s="65" t="str">
        <f t="shared" si="44"/>
        <v/>
      </c>
      <c r="O237" s="70" t="str">
        <f>IF(OR($C237="",$D237="",$F237=""),"",IF($F237="Aylık",EOMONTH($D237,0),($D237+MOD(SISTEM!$F$8-WEEKDAY($D237,2),7))))</f>
        <v/>
      </c>
      <c r="P237" s="61"/>
      <c r="Q237" s="2"/>
      <c r="R237" s="2"/>
      <c r="S237" s="1" t="str">
        <f>IF($B237="","",$B237&amp;"|"&amp;COUNTIFS($B$7:$B237,$B237))</f>
        <v/>
      </c>
      <c r="T237" s="1" t="str">
        <f t="shared" si="45"/>
        <v/>
      </c>
      <c r="U237" s="1">
        <f t="shared" si="46"/>
        <v>0</v>
      </c>
      <c r="V237" s="1">
        <f t="shared" si="47"/>
        <v>2958465</v>
      </c>
      <c r="W237" s="1">
        <f t="shared" si="48"/>
        <v>0</v>
      </c>
      <c r="X237" s="1">
        <f t="shared" si="49"/>
        <v>0</v>
      </c>
      <c r="Y237" s="1">
        <f t="shared" si="50"/>
        <v>97200</v>
      </c>
      <c r="Z237" s="1">
        <f t="shared" si="51"/>
        <v>1</v>
      </c>
    </row>
    <row r="238" spans="1:26" ht="18" customHeight="1" x14ac:dyDescent="0.3">
      <c r="A238" s="2"/>
      <c r="B238" s="65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66"/>
      <c r="E238" s="66"/>
      <c r="F238" s="60"/>
      <c r="G238" s="67"/>
      <c r="H238" s="60"/>
      <c r="I238" s="68">
        <f t="shared" ca="1" si="39"/>
        <v>0</v>
      </c>
      <c r="J238" s="68">
        <f t="shared" ca="1" si="40"/>
        <v>0</v>
      </c>
      <c r="K238" s="68">
        <f t="shared" ca="1" si="41"/>
        <v>0</v>
      </c>
      <c r="L238" s="68">
        <f t="shared" ca="1" si="42"/>
        <v>0</v>
      </c>
      <c r="M238" s="69">
        <f t="shared" si="43"/>
        <v>0</v>
      </c>
      <c r="N238" s="65" t="str">
        <f t="shared" si="44"/>
        <v/>
      </c>
      <c r="O238" s="70" t="str">
        <f>IF(OR($C238="",$D238="",$F238=""),"",IF($F238="Aylık",EOMONTH($D238,0),($D238+MOD(SISTEM!$F$8-WEEKDAY($D238,2),7))))</f>
        <v/>
      </c>
      <c r="P238" s="61"/>
      <c r="Q238" s="2"/>
      <c r="R238" s="2"/>
      <c r="S238" s="1" t="str">
        <f>IF($B238="","",$B238&amp;"|"&amp;COUNTIFS($B$7:$B238,$B238))</f>
        <v/>
      </c>
      <c r="T238" s="1" t="str">
        <f t="shared" si="45"/>
        <v/>
      </c>
      <c r="U238" s="1">
        <f t="shared" si="46"/>
        <v>0</v>
      </c>
      <c r="V238" s="1">
        <f t="shared" si="47"/>
        <v>2958465</v>
      </c>
      <c r="W238" s="1">
        <f t="shared" si="48"/>
        <v>0</v>
      </c>
      <c r="X238" s="1">
        <f t="shared" si="49"/>
        <v>0</v>
      </c>
      <c r="Y238" s="1">
        <f t="shared" si="50"/>
        <v>97200</v>
      </c>
      <c r="Z238" s="1">
        <f t="shared" si="51"/>
        <v>1</v>
      </c>
    </row>
    <row r="239" spans="1:26" ht="18" customHeight="1" x14ac:dyDescent="0.3">
      <c r="A239" s="2"/>
      <c r="B239" s="65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66"/>
      <c r="E239" s="66"/>
      <c r="F239" s="60"/>
      <c r="G239" s="67"/>
      <c r="H239" s="60"/>
      <c r="I239" s="68">
        <f t="shared" ca="1" si="39"/>
        <v>0</v>
      </c>
      <c r="J239" s="68">
        <f t="shared" ca="1" si="40"/>
        <v>0</v>
      </c>
      <c r="K239" s="68">
        <f t="shared" ca="1" si="41"/>
        <v>0</v>
      </c>
      <c r="L239" s="68">
        <f t="shared" ca="1" si="42"/>
        <v>0</v>
      </c>
      <c r="M239" s="69">
        <f t="shared" si="43"/>
        <v>0</v>
      </c>
      <c r="N239" s="65" t="str">
        <f t="shared" si="44"/>
        <v/>
      </c>
      <c r="O239" s="70" t="str">
        <f>IF(OR($C239="",$D239="",$F239=""),"",IF($F239="Aylık",EOMONTH($D239,0),($D239+MOD(SISTEM!$F$8-WEEKDAY($D239,2),7))))</f>
        <v/>
      </c>
      <c r="P239" s="61"/>
      <c r="Q239" s="2"/>
      <c r="R239" s="2"/>
      <c r="S239" s="1" t="str">
        <f>IF($B239="","",$B239&amp;"|"&amp;COUNTIFS($B$7:$B239,$B239))</f>
        <v/>
      </c>
      <c r="T239" s="1" t="str">
        <f t="shared" si="45"/>
        <v/>
      </c>
      <c r="U239" s="1">
        <f t="shared" si="46"/>
        <v>0</v>
      </c>
      <c r="V239" s="1">
        <f t="shared" si="47"/>
        <v>2958465</v>
      </c>
      <c r="W239" s="1">
        <f t="shared" si="48"/>
        <v>0</v>
      </c>
      <c r="X239" s="1">
        <f t="shared" si="49"/>
        <v>0</v>
      </c>
      <c r="Y239" s="1">
        <f t="shared" si="50"/>
        <v>97200</v>
      </c>
      <c r="Z239" s="1">
        <f t="shared" si="51"/>
        <v>1</v>
      </c>
    </row>
    <row r="240" spans="1:26" ht="18" customHeight="1" x14ac:dyDescent="0.3">
      <c r="A240" s="2"/>
      <c r="B240" s="65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66"/>
      <c r="E240" s="66"/>
      <c r="F240" s="60"/>
      <c r="G240" s="67"/>
      <c r="H240" s="60"/>
      <c r="I240" s="68">
        <f t="shared" ca="1" si="39"/>
        <v>0</v>
      </c>
      <c r="J240" s="68">
        <f t="shared" ca="1" si="40"/>
        <v>0</v>
      </c>
      <c r="K240" s="68">
        <f t="shared" ca="1" si="41"/>
        <v>0</v>
      </c>
      <c r="L240" s="68">
        <f t="shared" ca="1" si="42"/>
        <v>0</v>
      </c>
      <c r="M240" s="69">
        <f t="shared" si="43"/>
        <v>0</v>
      </c>
      <c r="N240" s="65" t="str">
        <f t="shared" si="44"/>
        <v/>
      </c>
      <c r="O240" s="70" t="str">
        <f>IF(OR($C240="",$D240="",$F240=""),"",IF($F240="Aylık",EOMONTH($D240,0),($D240+MOD(SISTEM!$F$8-WEEKDAY($D240,2),7))))</f>
        <v/>
      </c>
      <c r="P240" s="61"/>
      <c r="Q240" s="2"/>
      <c r="R240" s="2"/>
      <c r="S240" s="1" t="str">
        <f>IF($B240="","",$B240&amp;"|"&amp;COUNTIFS($B$7:$B240,$B240))</f>
        <v/>
      </c>
      <c r="T240" s="1" t="str">
        <f t="shared" si="45"/>
        <v/>
      </c>
      <c r="U240" s="1">
        <f t="shared" si="46"/>
        <v>0</v>
      </c>
      <c r="V240" s="1">
        <f t="shared" si="47"/>
        <v>2958465</v>
      </c>
      <c r="W240" s="1">
        <f t="shared" si="48"/>
        <v>0</v>
      </c>
      <c r="X240" s="1">
        <f t="shared" si="49"/>
        <v>0</v>
      </c>
      <c r="Y240" s="1">
        <f t="shared" si="50"/>
        <v>97200</v>
      </c>
      <c r="Z240" s="1">
        <f t="shared" si="51"/>
        <v>1</v>
      </c>
    </row>
    <row r="241" spans="1:26" ht="18" customHeight="1" x14ac:dyDescent="0.3">
      <c r="A241" s="2"/>
      <c r="B241" s="65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66"/>
      <c r="E241" s="66"/>
      <c r="F241" s="60"/>
      <c r="G241" s="67"/>
      <c r="H241" s="60"/>
      <c r="I241" s="68">
        <f t="shared" ca="1" si="39"/>
        <v>0</v>
      </c>
      <c r="J241" s="68">
        <f t="shared" ca="1" si="40"/>
        <v>0</v>
      </c>
      <c r="K241" s="68">
        <f t="shared" ca="1" si="41"/>
        <v>0</v>
      </c>
      <c r="L241" s="68">
        <f t="shared" ca="1" si="42"/>
        <v>0</v>
      </c>
      <c r="M241" s="69">
        <f t="shared" si="43"/>
        <v>0</v>
      </c>
      <c r="N241" s="65" t="str">
        <f t="shared" si="44"/>
        <v/>
      </c>
      <c r="O241" s="70" t="str">
        <f>IF(OR($C241="",$D241="",$F241=""),"",IF($F241="Aylık",EOMONTH($D241,0),($D241+MOD(SISTEM!$F$8-WEEKDAY($D241,2),7))))</f>
        <v/>
      </c>
      <c r="P241" s="61"/>
      <c r="Q241" s="2"/>
      <c r="R241" s="2"/>
      <c r="S241" s="1" t="str">
        <f>IF($B241="","",$B241&amp;"|"&amp;COUNTIFS($B$7:$B241,$B241))</f>
        <v/>
      </c>
      <c r="T241" s="1" t="str">
        <f t="shared" si="45"/>
        <v/>
      </c>
      <c r="U241" s="1">
        <f t="shared" si="46"/>
        <v>0</v>
      </c>
      <c r="V241" s="1">
        <f t="shared" si="47"/>
        <v>2958465</v>
      </c>
      <c r="W241" s="1">
        <f t="shared" si="48"/>
        <v>0</v>
      </c>
      <c r="X241" s="1">
        <f t="shared" si="49"/>
        <v>0</v>
      </c>
      <c r="Y241" s="1">
        <f t="shared" si="50"/>
        <v>97200</v>
      </c>
      <c r="Z241" s="1">
        <f t="shared" si="51"/>
        <v>1</v>
      </c>
    </row>
    <row r="242" spans="1:26" ht="18" customHeight="1" x14ac:dyDescent="0.3">
      <c r="A242" s="2"/>
      <c r="B242" s="65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66"/>
      <c r="E242" s="66"/>
      <c r="F242" s="60"/>
      <c r="G242" s="67"/>
      <c r="H242" s="60"/>
      <c r="I242" s="68">
        <f t="shared" ca="1" si="39"/>
        <v>0</v>
      </c>
      <c r="J242" s="68">
        <f t="shared" ca="1" si="40"/>
        <v>0</v>
      </c>
      <c r="K242" s="68">
        <f t="shared" ca="1" si="41"/>
        <v>0</v>
      </c>
      <c r="L242" s="68">
        <f t="shared" ca="1" si="42"/>
        <v>0</v>
      </c>
      <c r="M242" s="69">
        <f t="shared" si="43"/>
        <v>0</v>
      </c>
      <c r="N242" s="65" t="str">
        <f t="shared" si="44"/>
        <v/>
      </c>
      <c r="O242" s="70" t="str">
        <f>IF(OR($C242="",$D242="",$F242=""),"",IF($F242="Aylık",EOMONTH($D242,0),($D242+MOD(SISTEM!$F$8-WEEKDAY($D242,2),7))))</f>
        <v/>
      </c>
      <c r="P242" s="61"/>
      <c r="Q242" s="2"/>
      <c r="R242" s="2"/>
      <c r="S242" s="1" t="str">
        <f>IF($B242="","",$B242&amp;"|"&amp;COUNTIFS($B$7:$B242,$B242))</f>
        <v/>
      </c>
      <c r="T242" s="1" t="str">
        <f t="shared" si="45"/>
        <v/>
      </c>
      <c r="U242" s="1">
        <f t="shared" si="46"/>
        <v>0</v>
      </c>
      <c r="V242" s="1">
        <f t="shared" si="47"/>
        <v>2958465</v>
      </c>
      <c r="W242" s="1">
        <f t="shared" si="48"/>
        <v>0</v>
      </c>
      <c r="X242" s="1">
        <f t="shared" si="49"/>
        <v>0</v>
      </c>
      <c r="Y242" s="1">
        <f t="shared" si="50"/>
        <v>97200</v>
      </c>
      <c r="Z242" s="1">
        <f t="shared" si="51"/>
        <v>1</v>
      </c>
    </row>
    <row r="243" spans="1:26" ht="18" customHeight="1" x14ac:dyDescent="0.3">
      <c r="A243" s="2"/>
      <c r="B243" s="65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66"/>
      <c r="E243" s="66"/>
      <c r="F243" s="60"/>
      <c r="G243" s="67"/>
      <c r="H243" s="60"/>
      <c r="I243" s="68">
        <f t="shared" ca="1" si="39"/>
        <v>0</v>
      </c>
      <c r="J243" s="68">
        <f t="shared" ca="1" si="40"/>
        <v>0</v>
      </c>
      <c r="K243" s="68">
        <f t="shared" ca="1" si="41"/>
        <v>0</v>
      </c>
      <c r="L243" s="68">
        <f t="shared" ca="1" si="42"/>
        <v>0</v>
      </c>
      <c r="M243" s="69">
        <f t="shared" si="43"/>
        <v>0</v>
      </c>
      <c r="N243" s="65" t="str">
        <f t="shared" si="44"/>
        <v/>
      </c>
      <c r="O243" s="70" t="str">
        <f>IF(OR($C243="",$D243="",$F243=""),"",IF($F243="Aylık",EOMONTH($D243,0),($D243+MOD(SISTEM!$F$8-WEEKDAY($D243,2),7))))</f>
        <v/>
      </c>
      <c r="P243" s="61"/>
      <c r="Q243" s="2"/>
      <c r="R243" s="2"/>
      <c r="S243" s="1" t="str">
        <f>IF($B243="","",$B243&amp;"|"&amp;COUNTIFS($B$7:$B243,$B243))</f>
        <v/>
      </c>
      <c r="T243" s="1" t="str">
        <f t="shared" si="45"/>
        <v/>
      </c>
      <c r="U243" s="1">
        <f t="shared" si="46"/>
        <v>0</v>
      </c>
      <c r="V243" s="1">
        <f t="shared" si="47"/>
        <v>2958465</v>
      </c>
      <c r="W243" s="1">
        <f t="shared" si="48"/>
        <v>0</v>
      </c>
      <c r="X243" s="1">
        <f t="shared" si="49"/>
        <v>0</v>
      </c>
      <c r="Y243" s="1">
        <f t="shared" si="50"/>
        <v>97200</v>
      </c>
      <c r="Z243" s="1">
        <f t="shared" si="51"/>
        <v>1</v>
      </c>
    </row>
    <row r="244" spans="1:26" ht="18" customHeight="1" x14ac:dyDescent="0.3">
      <c r="A244" s="2"/>
      <c r="B244" s="65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66"/>
      <c r="E244" s="66"/>
      <c r="F244" s="60"/>
      <c r="G244" s="67"/>
      <c r="H244" s="60"/>
      <c r="I244" s="68">
        <f t="shared" ca="1" si="39"/>
        <v>0</v>
      </c>
      <c r="J244" s="68">
        <f t="shared" ca="1" si="40"/>
        <v>0</v>
      </c>
      <c r="K244" s="68">
        <f t="shared" ca="1" si="41"/>
        <v>0</v>
      </c>
      <c r="L244" s="68">
        <f t="shared" ca="1" si="42"/>
        <v>0</v>
      </c>
      <c r="M244" s="69">
        <f t="shared" si="43"/>
        <v>0</v>
      </c>
      <c r="N244" s="65" t="str">
        <f t="shared" si="44"/>
        <v/>
      </c>
      <c r="O244" s="70" t="str">
        <f>IF(OR($C244="",$D244="",$F244=""),"",IF($F244="Aylık",EOMONTH($D244,0),($D244+MOD(SISTEM!$F$8-WEEKDAY($D244,2),7))))</f>
        <v/>
      </c>
      <c r="P244" s="61"/>
      <c r="Q244" s="2"/>
      <c r="R244" s="2"/>
      <c r="S244" s="1" t="str">
        <f>IF($B244="","",$B244&amp;"|"&amp;COUNTIFS($B$7:$B244,$B244))</f>
        <v/>
      </c>
      <c r="T244" s="1" t="str">
        <f t="shared" si="45"/>
        <v/>
      </c>
      <c r="U244" s="1">
        <f t="shared" si="46"/>
        <v>0</v>
      </c>
      <c r="V244" s="1">
        <f t="shared" si="47"/>
        <v>2958465</v>
      </c>
      <c r="W244" s="1">
        <f t="shared" si="48"/>
        <v>0</v>
      </c>
      <c r="X244" s="1">
        <f t="shared" si="49"/>
        <v>0</v>
      </c>
      <c r="Y244" s="1">
        <f t="shared" si="50"/>
        <v>97200</v>
      </c>
      <c r="Z244" s="1">
        <f t="shared" si="51"/>
        <v>1</v>
      </c>
    </row>
    <row r="245" spans="1:26" ht="18" customHeight="1" x14ac:dyDescent="0.3">
      <c r="A245" s="2"/>
      <c r="B245" s="65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66"/>
      <c r="E245" s="66"/>
      <c r="F245" s="60"/>
      <c r="G245" s="67"/>
      <c r="H245" s="60"/>
      <c r="I245" s="68">
        <f t="shared" ca="1" si="39"/>
        <v>0</v>
      </c>
      <c r="J245" s="68">
        <f t="shared" ca="1" si="40"/>
        <v>0</v>
      </c>
      <c r="K245" s="68">
        <f t="shared" ca="1" si="41"/>
        <v>0</v>
      </c>
      <c r="L245" s="68">
        <f t="shared" ca="1" si="42"/>
        <v>0</v>
      </c>
      <c r="M245" s="69">
        <f t="shared" si="43"/>
        <v>0</v>
      </c>
      <c r="N245" s="65" t="str">
        <f t="shared" si="44"/>
        <v/>
      </c>
      <c r="O245" s="70" t="str">
        <f>IF(OR($C245="",$D245="",$F245=""),"",IF($F245="Aylık",EOMONTH($D245,0),($D245+MOD(SISTEM!$F$8-WEEKDAY($D245,2),7))))</f>
        <v/>
      </c>
      <c r="P245" s="61"/>
      <c r="Q245" s="2"/>
      <c r="R245" s="2"/>
      <c r="S245" s="1" t="str">
        <f>IF($B245="","",$B245&amp;"|"&amp;COUNTIFS($B$7:$B245,$B245))</f>
        <v/>
      </c>
      <c r="T245" s="1" t="str">
        <f t="shared" si="45"/>
        <v/>
      </c>
      <c r="U245" s="1">
        <f t="shared" si="46"/>
        <v>0</v>
      </c>
      <c r="V245" s="1">
        <f t="shared" si="47"/>
        <v>2958465</v>
      </c>
      <c r="W245" s="1">
        <f t="shared" si="48"/>
        <v>0</v>
      </c>
      <c r="X245" s="1">
        <f t="shared" si="49"/>
        <v>0</v>
      </c>
      <c r="Y245" s="1">
        <f t="shared" si="50"/>
        <v>97200</v>
      </c>
      <c r="Z245" s="1">
        <f t="shared" si="51"/>
        <v>1</v>
      </c>
    </row>
    <row r="246" spans="1:26" ht="18" customHeight="1" x14ac:dyDescent="0.3">
      <c r="A246" s="2"/>
      <c r="B246" s="65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66"/>
      <c r="E246" s="66"/>
      <c r="F246" s="60"/>
      <c r="G246" s="67"/>
      <c r="H246" s="60"/>
      <c r="I246" s="68">
        <f t="shared" ca="1" si="39"/>
        <v>0</v>
      </c>
      <c r="J246" s="68">
        <f t="shared" ca="1" si="40"/>
        <v>0</v>
      </c>
      <c r="K246" s="68">
        <f t="shared" ca="1" si="41"/>
        <v>0</v>
      </c>
      <c r="L246" s="68">
        <f t="shared" ca="1" si="42"/>
        <v>0</v>
      </c>
      <c r="M246" s="69">
        <f t="shared" si="43"/>
        <v>0</v>
      </c>
      <c r="N246" s="65" t="str">
        <f t="shared" si="44"/>
        <v/>
      </c>
      <c r="O246" s="70" t="str">
        <f>IF(OR($C246="",$D246="",$F246=""),"",IF($F246="Aylık",EOMONTH($D246,0),($D246+MOD(SISTEM!$F$8-WEEKDAY($D246,2),7))))</f>
        <v/>
      </c>
      <c r="P246" s="61"/>
      <c r="Q246" s="2"/>
      <c r="R246" s="2"/>
      <c r="S246" s="1" t="str">
        <f>IF($B246="","",$B246&amp;"|"&amp;COUNTIFS($B$7:$B246,$B246))</f>
        <v/>
      </c>
      <c r="T246" s="1" t="str">
        <f t="shared" si="45"/>
        <v/>
      </c>
      <c r="U246" s="1">
        <f t="shared" si="46"/>
        <v>0</v>
      </c>
      <c r="V246" s="1">
        <f t="shared" si="47"/>
        <v>2958465</v>
      </c>
      <c r="W246" s="1">
        <f t="shared" si="48"/>
        <v>0</v>
      </c>
      <c r="X246" s="1">
        <f t="shared" si="49"/>
        <v>0</v>
      </c>
      <c r="Y246" s="1">
        <f t="shared" si="50"/>
        <v>97200</v>
      </c>
      <c r="Z246" s="1">
        <f t="shared" si="51"/>
        <v>1</v>
      </c>
    </row>
    <row r="247" spans="1:26" ht="18" customHeight="1" x14ac:dyDescent="0.3">
      <c r="A247" s="2"/>
      <c r="B247" s="65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66"/>
      <c r="E247" s="66"/>
      <c r="F247" s="60"/>
      <c r="G247" s="67"/>
      <c r="H247" s="60"/>
      <c r="I247" s="68">
        <f t="shared" ca="1" si="39"/>
        <v>0</v>
      </c>
      <c r="J247" s="68">
        <f t="shared" ca="1" si="40"/>
        <v>0</v>
      </c>
      <c r="K247" s="68">
        <f t="shared" ca="1" si="41"/>
        <v>0</v>
      </c>
      <c r="L247" s="68">
        <f t="shared" ca="1" si="42"/>
        <v>0</v>
      </c>
      <c r="M247" s="69">
        <f t="shared" si="43"/>
        <v>0</v>
      </c>
      <c r="N247" s="65" t="str">
        <f t="shared" si="44"/>
        <v/>
      </c>
      <c r="O247" s="70" t="str">
        <f>IF(OR($C247="",$D247="",$F247=""),"",IF($F247="Aylık",EOMONTH($D247,0),($D247+MOD(SISTEM!$F$8-WEEKDAY($D247,2),7))))</f>
        <v/>
      </c>
      <c r="P247" s="61"/>
      <c r="Q247" s="2"/>
      <c r="R247" s="2"/>
      <c r="S247" s="1" t="str">
        <f>IF($B247="","",$B247&amp;"|"&amp;COUNTIFS($B$7:$B247,$B247))</f>
        <v/>
      </c>
      <c r="T247" s="1" t="str">
        <f t="shared" si="45"/>
        <v/>
      </c>
      <c r="U247" s="1">
        <f t="shared" si="46"/>
        <v>0</v>
      </c>
      <c r="V247" s="1">
        <f t="shared" si="47"/>
        <v>2958465</v>
      </c>
      <c r="W247" s="1">
        <f t="shared" si="48"/>
        <v>0</v>
      </c>
      <c r="X247" s="1">
        <f t="shared" si="49"/>
        <v>0</v>
      </c>
      <c r="Y247" s="1">
        <f t="shared" si="50"/>
        <v>97200</v>
      </c>
      <c r="Z247" s="1">
        <f t="shared" si="51"/>
        <v>1</v>
      </c>
    </row>
    <row r="248" spans="1:26" ht="18" customHeight="1" x14ac:dyDescent="0.3">
      <c r="A248" s="2"/>
      <c r="B248" s="65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66"/>
      <c r="E248" s="66"/>
      <c r="F248" s="60"/>
      <c r="G248" s="67"/>
      <c r="H248" s="60"/>
      <c r="I248" s="68">
        <f t="shared" ca="1" si="39"/>
        <v>0</v>
      </c>
      <c r="J248" s="68">
        <f t="shared" ca="1" si="40"/>
        <v>0</v>
      </c>
      <c r="K248" s="68">
        <f t="shared" ca="1" si="41"/>
        <v>0</v>
      </c>
      <c r="L248" s="68">
        <f t="shared" ca="1" si="42"/>
        <v>0</v>
      </c>
      <c r="M248" s="69">
        <f t="shared" si="43"/>
        <v>0</v>
      </c>
      <c r="N248" s="65" t="str">
        <f t="shared" si="44"/>
        <v/>
      </c>
      <c r="O248" s="70" t="str">
        <f>IF(OR($C248="",$D248="",$F248=""),"",IF($F248="Aylık",EOMONTH($D248,0),($D248+MOD(SISTEM!$F$8-WEEKDAY($D248,2),7))))</f>
        <v/>
      </c>
      <c r="P248" s="61"/>
      <c r="Q248" s="2"/>
      <c r="R248" s="2"/>
      <c r="S248" s="1" t="str">
        <f>IF($B248="","",$B248&amp;"|"&amp;COUNTIFS($B$7:$B248,$B248))</f>
        <v/>
      </c>
      <c r="T248" s="1" t="str">
        <f t="shared" si="45"/>
        <v/>
      </c>
      <c r="U248" s="1">
        <f t="shared" si="46"/>
        <v>0</v>
      </c>
      <c r="V248" s="1">
        <f t="shared" si="47"/>
        <v>2958465</v>
      </c>
      <c r="W248" s="1">
        <f t="shared" si="48"/>
        <v>0</v>
      </c>
      <c r="X248" s="1">
        <f t="shared" si="49"/>
        <v>0</v>
      </c>
      <c r="Y248" s="1">
        <f t="shared" si="50"/>
        <v>97200</v>
      </c>
      <c r="Z248" s="1">
        <f t="shared" si="51"/>
        <v>1</v>
      </c>
    </row>
    <row r="249" spans="1:26" ht="18" customHeight="1" x14ac:dyDescent="0.3">
      <c r="A249" s="2"/>
      <c r="B249" s="65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66"/>
      <c r="E249" s="66"/>
      <c r="F249" s="60"/>
      <c r="G249" s="67"/>
      <c r="H249" s="60"/>
      <c r="I249" s="68">
        <f t="shared" ca="1" si="39"/>
        <v>0</v>
      </c>
      <c r="J249" s="68">
        <f t="shared" ca="1" si="40"/>
        <v>0</v>
      </c>
      <c r="K249" s="68">
        <f t="shared" ca="1" si="41"/>
        <v>0</v>
      </c>
      <c r="L249" s="68">
        <f t="shared" ca="1" si="42"/>
        <v>0</v>
      </c>
      <c r="M249" s="69">
        <f t="shared" si="43"/>
        <v>0</v>
      </c>
      <c r="N249" s="65" t="str">
        <f t="shared" si="44"/>
        <v/>
      </c>
      <c r="O249" s="70" t="str">
        <f>IF(OR($C249="",$D249="",$F249=""),"",IF($F249="Aylık",EOMONTH($D249,0),($D249+MOD(SISTEM!$F$8-WEEKDAY($D249,2),7))))</f>
        <v/>
      </c>
      <c r="P249" s="61"/>
      <c r="Q249" s="2"/>
      <c r="R249" s="2"/>
      <c r="S249" s="1" t="str">
        <f>IF($B249="","",$B249&amp;"|"&amp;COUNTIFS($B$7:$B249,$B249))</f>
        <v/>
      </c>
      <c r="T249" s="1" t="str">
        <f t="shared" si="45"/>
        <v/>
      </c>
      <c r="U249" s="1">
        <f t="shared" si="46"/>
        <v>0</v>
      </c>
      <c r="V249" s="1">
        <f t="shared" si="47"/>
        <v>2958465</v>
      </c>
      <c r="W249" s="1">
        <f t="shared" si="48"/>
        <v>0</v>
      </c>
      <c r="X249" s="1">
        <f t="shared" si="49"/>
        <v>0</v>
      </c>
      <c r="Y249" s="1">
        <f t="shared" si="50"/>
        <v>97200</v>
      </c>
      <c r="Z249" s="1">
        <f t="shared" si="51"/>
        <v>1</v>
      </c>
    </row>
    <row r="250" spans="1:26" ht="18" customHeight="1" x14ac:dyDescent="0.3">
      <c r="A250" s="2"/>
      <c r="B250" s="65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66"/>
      <c r="E250" s="66"/>
      <c r="F250" s="60"/>
      <c r="G250" s="67"/>
      <c r="H250" s="60"/>
      <c r="I250" s="68">
        <f t="shared" ca="1" si="39"/>
        <v>0</v>
      </c>
      <c r="J250" s="68">
        <f t="shared" ca="1" si="40"/>
        <v>0</v>
      </c>
      <c r="K250" s="68">
        <f t="shared" ca="1" si="41"/>
        <v>0</v>
      </c>
      <c r="L250" s="68">
        <f t="shared" ca="1" si="42"/>
        <v>0</v>
      </c>
      <c r="M250" s="69">
        <f t="shared" si="43"/>
        <v>0</v>
      </c>
      <c r="N250" s="65" t="str">
        <f t="shared" si="44"/>
        <v/>
      </c>
      <c r="O250" s="70" t="str">
        <f>IF(OR($C250="",$D250="",$F250=""),"",IF($F250="Aylık",EOMONTH($D250,0),($D250+MOD(SISTEM!$F$8-WEEKDAY($D250,2),7))))</f>
        <v/>
      </c>
      <c r="P250" s="61"/>
      <c r="Q250" s="2"/>
      <c r="R250" s="2"/>
      <c r="S250" s="1" t="str">
        <f>IF($B250="","",$B250&amp;"|"&amp;COUNTIFS($B$7:$B250,$B250))</f>
        <v/>
      </c>
      <c r="T250" s="1" t="str">
        <f t="shared" si="45"/>
        <v/>
      </c>
      <c r="U250" s="1">
        <f t="shared" si="46"/>
        <v>0</v>
      </c>
      <c r="V250" s="1">
        <f t="shared" si="47"/>
        <v>2958465</v>
      </c>
      <c r="W250" s="1">
        <f t="shared" si="48"/>
        <v>0</v>
      </c>
      <c r="X250" s="1">
        <f t="shared" si="49"/>
        <v>0</v>
      </c>
      <c r="Y250" s="1">
        <f t="shared" si="50"/>
        <v>97200</v>
      </c>
      <c r="Z250" s="1">
        <f t="shared" si="51"/>
        <v>1</v>
      </c>
    </row>
    <row r="251" spans="1:26" ht="18" customHeight="1" x14ac:dyDescent="0.3">
      <c r="A251" s="2"/>
      <c r="B251" s="65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66"/>
      <c r="E251" s="66"/>
      <c r="F251" s="60"/>
      <c r="G251" s="67"/>
      <c r="H251" s="60"/>
      <c r="I251" s="68">
        <f t="shared" ca="1" si="39"/>
        <v>0</v>
      </c>
      <c r="J251" s="68">
        <f t="shared" ca="1" si="40"/>
        <v>0</v>
      </c>
      <c r="K251" s="68">
        <f t="shared" ca="1" si="41"/>
        <v>0</v>
      </c>
      <c r="L251" s="68">
        <f t="shared" ca="1" si="42"/>
        <v>0</v>
      </c>
      <c r="M251" s="69">
        <f t="shared" si="43"/>
        <v>0</v>
      </c>
      <c r="N251" s="65" t="str">
        <f t="shared" si="44"/>
        <v/>
      </c>
      <c r="O251" s="70" t="str">
        <f>IF(OR($C251="",$D251="",$F251=""),"",IF($F251="Aylık",EOMONTH($D251,0),($D251+MOD(SISTEM!$F$8-WEEKDAY($D251,2),7))))</f>
        <v/>
      </c>
      <c r="P251" s="61"/>
      <c r="Q251" s="2"/>
      <c r="R251" s="2"/>
      <c r="S251" s="1" t="str">
        <f>IF($B251="","",$B251&amp;"|"&amp;COUNTIFS($B$7:$B251,$B251))</f>
        <v/>
      </c>
      <c r="T251" s="1" t="str">
        <f t="shared" si="45"/>
        <v/>
      </c>
      <c r="U251" s="1">
        <f t="shared" si="46"/>
        <v>0</v>
      </c>
      <c r="V251" s="1">
        <f t="shared" si="47"/>
        <v>2958465</v>
      </c>
      <c r="W251" s="1">
        <f t="shared" si="48"/>
        <v>0</v>
      </c>
      <c r="X251" s="1">
        <f t="shared" si="49"/>
        <v>0</v>
      </c>
      <c r="Y251" s="1">
        <f t="shared" si="50"/>
        <v>97200</v>
      </c>
      <c r="Z251" s="1">
        <f t="shared" si="51"/>
        <v>1</v>
      </c>
    </row>
    <row r="252" spans="1:26" ht="18" customHeight="1" x14ac:dyDescent="0.3">
      <c r="A252" s="2"/>
      <c r="B252" s="65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66"/>
      <c r="E252" s="66"/>
      <c r="F252" s="60"/>
      <c r="G252" s="67"/>
      <c r="H252" s="60"/>
      <c r="I252" s="68">
        <f t="shared" ca="1" si="39"/>
        <v>0</v>
      </c>
      <c r="J252" s="68">
        <f t="shared" ca="1" si="40"/>
        <v>0</v>
      </c>
      <c r="K252" s="68">
        <f t="shared" ca="1" si="41"/>
        <v>0</v>
      </c>
      <c r="L252" s="68">
        <f t="shared" ca="1" si="42"/>
        <v>0</v>
      </c>
      <c r="M252" s="69">
        <f t="shared" si="43"/>
        <v>0</v>
      </c>
      <c r="N252" s="65" t="str">
        <f t="shared" si="44"/>
        <v/>
      </c>
      <c r="O252" s="70" t="str">
        <f>IF(OR($C252="",$D252="",$F252=""),"",IF($F252="Aylık",EOMONTH($D252,0),($D252+MOD(SISTEM!$F$8-WEEKDAY($D252,2),7))))</f>
        <v/>
      </c>
      <c r="P252" s="61"/>
      <c r="Q252" s="2"/>
      <c r="R252" s="2"/>
      <c r="S252" s="1" t="str">
        <f>IF($B252="","",$B252&amp;"|"&amp;COUNTIFS($B$7:$B252,$B252))</f>
        <v/>
      </c>
      <c r="T252" s="1" t="str">
        <f t="shared" si="45"/>
        <v/>
      </c>
      <c r="U252" s="1">
        <f t="shared" si="46"/>
        <v>0</v>
      </c>
      <c r="V252" s="1">
        <f t="shared" si="47"/>
        <v>2958465</v>
      </c>
      <c r="W252" s="1">
        <f t="shared" si="48"/>
        <v>0</v>
      </c>
      <c r="X252" s="1">
        <f t="shared" si="49"/>
        <v>0</v>
      </c>
      <c r="Y252" s="1">
        <f t="shared" si="50"/>
        <v>97200</v>
      </c>
      <c r="Z252" s="1">
        <f t="shared" si="51"/>
        <v>1</v>
      </c>
    </row>
    <row r="253" spans="1:26" ht="18" customHeight="1" x14ac:dyDescent="0.3">
      <c r="A253" s="2"/>
      <c r="B253" s="65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66"/>
      <c r="E253" s="66"/>
      <c r="F253" s="60"/>
      <c r="G253" s="67"/>
      <c r="H253" s="60"/>
      <c r="I253" s="68">
        <f t="shared" ca="1" si="39"/>
        <v>0</v>
      </c>
      <c r="J253" s="68">
        <f t="shared" ca="1" si="40"/>
        <v>0</v>
      </c>
      <c r="K253" s="68">
        <f t="shared" ca="1" si="41"/>
        <v>0</v>
      </c>
      <c r="L253" s="68">
        <f t="shared" ca="1" si="42"/>
        <v>0</v>
      </c>
      <c r="M253" s="69">
        <f t="shared" si="43"/>
        <v>0</v>
      </c>
      <c r="N253" s="65" t="str">
        <f t="shared" si="44"/>
        <v/>
      </c>
      <c r="O253" s="70" t="str">
        <f>IF(OR($C253="",$D253="",$F253=""),"",IF($F253="Aylık",EOMONTH($D253,0),($D253+MOD(SISTEM!$F$8-WEEKDAY($D253,2),7))))</f>
        <v/>
      </c>
      <c r="P253" s="61"/>
      <c r="Q253" s="2"/>
      <c r="R253" s="2"/>
      <c r="S253" s="1" t="str">
        <f>IF($B253="","",$B253&amp;"|"&amp;COUNTIFS($B$7:$B253,$B253))</f>
        <v/>
      </c>
      <c r="T253" s="1" t="str">
        <f t="shared" si="45"/>
        <v/>
      </c>
      <c r="U253" s="1">
        <f t="shared" si="46"/>
        <v>0</v>
      </c>
      <c r="V253" s="1">
        <f t="shared" si="47"/>
        <v>2958465</v>
      </c>
      <c r="W253" s="1">
        <f t="shared" si="48"/>
        <v>0</v>
      </c>
      <c r="X253" s="1">
        <f t="shared" si="49"/>
        <v>0</v>
      </c>
      <c r="Y253" s="1">
        <f t="shared" si="50"/>
        <v>97200</v>
      </c>
      <c r="Z253" s="1">
        <f t="shared" si="51"/>
        <v>1</v>
      </c>
    </row>
    <row r="254" spans="1:26" ht="18" customHeight="1" x14ac:dyDescent="0.3">
      <c r="A254" s="2"/>
      <c r="B254" s="65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66"/>
      <c r="E254" s="66"/>
      <c r="F254" s="60"/>
      <c r="G254" s="67"/>
      <c r="H254" s="60"/>
      <c r="I254" s="68">
        <f t="shared" ca="1" si="39"/>
        <v>0</v>
      </c>
      <c r="J254" s="68">
        <f t="shared" ca="1" si="40"/>
        <v>0</v>
      </c>
      <c r="K254" s="68">
        <f t="shared" ca="1" si="41"/>
        <v>0</v>
      </c>
      <c r="L254" s="68">
        <f t="shared" ca="1" si="42"/>
        <v>0</v>
      </c>
      <c r="M254" s="69">
        <f t="shared" si="43"/>
        <v>0</v>
      </c>
      <c r="N254" s="65" t="str">
        <f t="shared" si="44"/>
        <v/>
      </c>
      <c r="O254" s="70" t="str">
        <f>IF(OR($C254="",$D254="",$F254=""),"",IF($F254="Aylık",EOMONTH($D254,0),($D254+MOD(SISTEM!$F$8-WEEKDAY($D254,2),7))))</f>
        <v/>
      </c>
      <c r="P254" s="61"/>
      <c r="Q254" s="2"/>
      <c r="R254" s="2"/>
      <c r="S254" s="1" t="str">
        <f>IF($B254="","",$B254&amp;"|"&amp;COUNTIFS($B$7:$B254,$B254))</f>
        <v/>
      </c>
      <c r="T254" s="1" t="str">
        <f t="shared" si="45"/>
        <v/>
      </c>
      <c r="U254" s="1">
        <f t="shared" si="46"/>
        <v>0</v>
      </c>
      <c r="V254" s="1">
        <f t="shared" si="47"/>
        <v>2958465</v>
      </c>
      <c r="W254" s="1">
        <f t="shared" si="48"/>
        <v>0</v>
      </c>
      <c r="X254" s="1">
        <f t="shared" si="49"/>
        <v>0</v>
      </c>
      <c r="Y254" s="1">
        <f t="shared" si="50"/>
        <v>97200</v>
      </c>
      <c r="Z254" s="1">
        <f t="shared" si="51"/>
        <v>1</v>
      </c>
    </row>
    <row r="255" spans="1:26" ht="18" customHeight="1" x14ac:dyDescent="0.3">
      <c r="A255" s="2"/>
      <c r="B255" s="65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66"/>
      <c r="E255" s="66"/>
      <c r="F255" s="60"/>
      <c r="G255" s="67"/>
      <c r="H255" s="60"/>
      <c r="I255" s="68">
        <f t="shared" ca="1" si="39"/>
        <v>0</v>
      </c>
      <c r="J255" s="68">
        <f t="shared" ca="1" si="40"/>
        <v>0</v>
      </c>
      <c r="K255" s="68">
        <f t="shared" ca="1" si="41"/>
        <v>0</v>
      </c>
      <c r="L255" s="68">
        <f t="shared" ca="1" si="42"/>
        <v>0</v>
      </c>
      <c r="M255" s="69">
        <f t="shared" si="43"/>
        <v>0</v>
      </c>
      <c r="N255" s="65" t="str">
        <f t="shared" si="44"/>
        <v/>
      </c>
      <c r="O255" s="70" t="str">
        <f>IF(OR($C255="",$D255="",$F255=""),"",IF($F255="Aylık",EOMONTH($D255,0),($D255+MOD(SISTEM!$F$8-WEEKDAY($D255,2),7))))</f>
        <v/>
      </c>
      <c r="P255" s="61"/>
      <c r="Q255" s="2"/>
      <c r="R255" s="2"/>
      <c r="S255" s="1" t="str">
        <f>IF($B255="","",$B255&amp;"|"&amp;COUNTIFS($B$7:$B255,$B255))</f>
        <v/>
      </c>
      <c r="T255" s="1" t="str">
        <f t="shared" si="45"/>
        <v/>
      </c>
      <c r="U255" s="1">
        <f t="shared" si="46"/>
        <v>0</v>
      </c>
      <c r="V255" s="1">
        <f t="shared" si="47"/>
        <v>2958465</v>
      </c>
      <c r="W255" s="1">
        <f t="shared" si="48"/>
        <v>0</v>
      </c>
      <c r="X255" s="1">
        <f t="shared" si="49"/>
        <v>0</v>
      </c>
      <c r="Y255" s="1">
        <f t="shared" si="50"/>
        <v>97200</v>
      </c>
      <c r="Z255" s="1">
        <f t="shared" si="51"/>
        <v>1</v>
      </c>
    </row>
    <row r="256" spans="1:26" ht="18" customHeight="1" x14ac:dyDescent="0.3">
      <c r="A256" s="2"/>
      <c r="B256" s="65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66"/>
      <c r="E256" s="66"/>
      <c r="F256" s="60"/>
      <c r="G256" s="67"/>
      <c r="H256" s="60"/>
      <c r="I256" s="68">
        <f t="shared" ca="1" si="39"/>
        <v>0</v>
      </c>
      <c r="J256" s="68">
        <f t="shared" ca="1" si="40"/>
        <v>0</v>
      </c>
      <c r="K256" s="68">
        <f t="shared" ca="1" si="41"/>
        <v>0</v>
      </c>
      <c r="L256" s="68">
        <f t="shared" ca="1" si="42"/>
        <v>0</v>
      </c>
      <c r="M256" s="69">
        <f t="shared" si="43"/>
        <v>0</v>
      </c>
      <c r="N256" s="65" t="str">
        <f t="shared" si="44"/>
        <v/>
      </c>
      <c r="O256" s="70" t="str">
        <f>IF(OR($C256="",$D256="",$F256=""),"",IF($F256="Aylık",EOMONTH($D256,0),($D256+MOD(SISTEM!$F$8-WEEKDAY($D256,2),7))))</f>
        <v/>
      </c>
      <c r="P256" s="61"/>
      <c r="Q256" s="2"/>
      <c r="R256" s="2"/>
      <c r="S256" s="1" t="str">
        <f>IF($B256="","",$B256&amp;"|"&amp;COUNTIFS($B$7:$B256,$B256))</f>
        <v/>
      </c>
      <c r="T256" s="1" t="str">
        <f t="shared" si="45"/>
        <v/>
      </c>
      <c r="U256" s="1">
        <f t="shared" si="46"/>
        <v>0</v>
      </c>
      <c r="V256" s="1">
        <f t="shared" si="47"/>
        <v>2958465</v>
      </c>
      <c r="W256" s="1">
        <f t="shared" si="48"/>
        <v>0</v>
      </c>
      <c r="X256" s="1">
        <f t="shared" si="49"/>
        <v>0</v>
      </c>
      <c r="Y256" s="1">
        <f t="shared" si="50"/>
        <v>97200</v>
      </c>
      <c r="Z256" s="1">
        <f t="shared" si="51"/>
        <v>1</v>
      </c>
    </row>
    <row r="257" spans="1:26" ht="18" customHeight="1" x14ac:dyDescent="0.3">
      <c r="A257" s="2"/>
      <c r="B257" s="65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66"/>
      <c r="E257" s="66"/>
      <c r="F257" s="60"/>
      <c r="G257" s="67"/>
      <c r="H257" s="60"/>
      <c r="I257" s="68">
        <f t="shared" ca="1" si="39"/>
        <v>0</v>
      </c>
      <c r="J257" s="68">
        <f t="shared" ca="1" si="40"/>
        <v>0</v>
      </c>
      <c r="K257" s="68">
        <f t="shared" ca="1" si="41"/>
        <v>0</v>
      </c>
      <c r="L257" s="68">
        <f t="shared" ca="1" si="42"/>
        <v>0</v>
      </c>
      <c r="M257" s="69">
        <f t="shared" si="43"/>
        <v>0</v>
      </c>
      <c r="N257" s="65" t="str">
        <f t="shared" si="44"/>
        <v/>
      </c>
      <c r="O257" s="70" t="str">
        <f>IF(OR($C257="",$D257="",$F257=""),"",IF($F257="Aylık",EOMONTH($D257,0),($D257+MOD(SISTEM!$F$8-WEEKDAY($D257,2),7))))</f>
        <v/>
      </c>
      <c r="P257" s="61"/>
      <c r="Q257" s="2"/>
      <c r="R257" s="2"/>
      <c r="S257" s="1" t="str">
        <f>IF($B257="","",$B257&amp;"|"&amp;COUNTIFS($B$7:$B257,$B257))</f>
        <v/>
      </c>
      <c r="T257" s="1" t="str">
        <f t="shared" si="45"/>
        <v/>
      </c>
      <c r="U257" s="1">
        <f t="shared" si="46"/>
        <v>0</v>
      </c>
      <c r="V257" s="1">
        <f t="shared" si="47"/>
        <v>2958465</v>
      </c>
      <c r="W257" s="1">
        <f t="shared" si="48"/>
        <v>0</v>
      </c>
      <c r="X257" s="1">
        <f t="shared" si="49"/>
        <v>0</v>
      </c>
      <c r="Y257" s="1">
        <f t="shared" si="50"/>
        <v>97200</v>
      </c>
      <c r="Z257" s="1">
        <f t="shared" si="51"/>
        <v>1</v>
      </c>
    </row>
    <row r="258" spans="1:26" ht="18" customHeight="1" x14ac:dyDescent="0.3">
      <c r="A258" s="2"/>
      <c r="B258" s="65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66"/>
      <c r="E258" s="66"/>
      <c r="F258" s="60"/>
      <c r="G258" s="67"/>
      <c r="H258" s="60"/>
      <c r="I258" s="68">
        <f t="shared" ca="1" si="39"/>
        <v>0</v>
      </c>
      <c r="J258" s="68">
        <f t="shared" ca="1" si="40"/>
        <v>0</v>
      </c>
      <c r="K258" s="68">
        <f t="shared" ca="1" si="41"/>
        <v>0</v>
      </c>
      <c r="L258" s="68">
        <f t="shared" ca="1" si="42"/>
        <v>0</v>
      </c>
      <c r="M258" s="69">
        <f t="shared" si="43"/>
        <v>0</v>
      </c>
      <c r="N258" s="65" t="str">
        <f t="shared" si="44"/>
        <v/>
      </c>
      <c r="O258" s="70" t="str">
        <f>IF(OR($C258="",$D258="",$F258=""),"",IF($F258="Aylık",EOMONTH($D258,0),($D258+MOD(SISTEM!$F$8-WEEKDAY($D258,2),7))))</f>
        <v/>
      </c>
      <c r="P258" s="61"/>
      <c r="Q258" s="2"/>
      <c r="R258" s="2"/>
      <c r="S258" s="1" t="str">
        <f>IF($B258="","",$B258&amp;"|"&amp;COUNTIFS($B$7:$B258,$B258))</f>
        <v/>
      </c>
      <c r="T258" s="1" t="str">
        <f t="shared" si="45"/>
        <v/>
      </c>
      <c r="U258" s="1">
        <f t="shared" si="46"/>
        <v>0</v>
      </c>
      <c r="V258" s="1">
        <f t="shared" si="47"/>
        <v>2958465</v>
      </c>
      <c r="W258" s="1">
        <f t="shared" si="48"/>
        <v>0</v>
      </c>
      <c r="X258" s="1">
        <f t="shared" si="49"/>
        <v>0</v>
      </c>
      <c r="Y258" s="1">
        <f t="shared" si="50"/>
        <v>97200</v>
      </c>
      <c r="Z258" s="1">
        <f t="shared" si="51"/>
        <v>1</v>
      </c>
    </row>
    <row r="259" spans="1:26" ht="18" customHeight="1" x14ac:dyDescent="0.3">
      <c r="A259" s="2"/>
      <c r="B259" s="65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66"/>
      <c r="E259" s="66"/>
      <c r="F259" s="60"/>
      <c r="G259" s="67"/>
      <c r="H259" s="60"/>
      <c r="I259" s="68">
        <f t="shared" ca="1" si="39"/>
        <v>0</v>
      </c>
      <c r="J259" s="68">
        <f t="shared" ca="1" si="40"/>
        <v>0</v>
      </c>
      <c r="K259" s="68">
        <f t="shared" ca="1" si="41"/>
        <v>0</v>
      </c>
      <c r="L259" s="68">
        <f t="shared" ca="1" si="42"/>
        <v>0</v>
      </c>
      <c r="M259" s="69">
        <f t="shared" si="43"/>
        <v>0</v>
      </c>
      <c r="N259" s="65" t="str">
        <f t="shared" si="44"/>
        <v/>
      </c>
      <c r="O259" s="70" t="str">
        <f>IF(OR($C259="",$D259="",$F259=""),"",IF($F259="Aylık",EOMONTH($D259,0),($D259+MOD(SISTEM!$F$8-WEEKDAY($D259,2),7))))</f>
        <v/>
      </c>
      <c r="P259" s="61"/>
      <c r="Q259" s="2"/>
      <c r="R259" s="2"/>
      <c r="S259" s="1" t="str">
        <f>IF($B259="","",$B259&amp;"|"&amp;COUNTIFS($B$7:$B259,$B259))</f>
        <v/>
      </c>
      <c r="T259" s="1" t="str">
        <f t="shared" si="45"/>
        <v/>
      </c>
      <c r="U259" s="1">
        <f t="shared" si="46"/>
        <v>0</v>
      </c>
      <c r="V259" s="1">
        <f t="shared" si="47"/>
        <v>2958465</v>
      </c>
      <c r="W259" s="1">
        <f t="shared" si="48"/>
        <v>0</v>
      </c>
      <c r="X259" s="1">
        <f t="shared" si="49"/>
        <v>0</v>
      </c>
      <c r="Y259" s="1">
        <f t="shared" si="50"/>
        <v>97200</v>
      </c>
      <c r="Z259" s="1">
        <f t="shared" si="51"/>
        <v>1</v>
      </c>
    </row>
    <row r="260" spans="1:26" ht="18" customHeight="1" x14ac:dyDescent="0.3">
      <c r="A260" s="2"/>
      <c r="B260" s="65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66"/>
      <c r="E260" s="66"/>
      <c r="F260" s="60"/>
      <c r="G260" s="67"/>
      <c r="H260" s="60"/>
      <c r="I260" s="68">
        <f t="shared" ca="1" si="39"/>
        <v>0</v>
      </c>
      <c r="J260" s="68">
        <f t="shared" ca="1" si="40"/>
        <v>0</v>
      </c>
      <c r="K260" s="68">
        <f t="shared" ca="1" si="41"/>
        <v>0</v>
      </c>
      <c r="L260" s="68">
        <f t="shared" ca="1" si="42"/>
        <v>0</v>
      </c>
      <c r="M260" s="69">
        <f t="shared" si="43"/>
        <v>0</v>
      </c>
      <c r="N260" s="65" t="str">
        <f t="shared" si="44"/>
        <v/>
      </c>
      <c r="O260" s="70" t="str">
        <f>IF(OR($C260="",$D260="",$F260=""),"",IF($F260="Aylık",EOMONTH($D260,0),($D260+MOD(SISTEM!$F$8-WEEKDAY($D260,2),7))))</f>
        <v/>
      </c>
      <c r="P260" s="61"/>
      <c r="Q260" s="2"/>
      <c r="R260" s="2"/>
      <c r="S260" s="1" t="str">
        <f>IF($B260="","",$B260&amp;"|"&amp;COUNTIFS($B$7:$B260,$B260))</f>
        <v/>
      </c>
      <c r="T260" s="1" t="str">
        <f t="shared" si="45"/>
        <v/>
      </c>
      <c r="U260" s="1">
        <f t="shared" si="46"/>
        <v>0</v>
      </c>
      <c r="V260" s="1">
        <f t="shared" si="47"/>
        <v>2958465</v>
      </c>
      <c r="W260" s="1">
        <f t="shared" si="48"/>
        <v>0</v>
      </c>
      <c r="X260" s="1">
        <f t="shared" si="49"/>
        <v>0</v>
      </c>
      <c r="Y260" s="1">
        <f t="shared" si="50"/>
        <v>97200</v>
      </c>
      <c r="Z260" s="1">
        <f t="shared" si="51"/>
        <v>1</v>
      </c>
    </row>
    <row r="261" spans="1:26" ht="18" customHeight="1" x14ac:dyDescent="0.3">
      <c r="A261" s="2"/>
      <c r="B261" s="65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66"/>
      <c r="E261" s="66"/>
      <c r="F261" s="60"/>
      <c r="G261" s="67"/>
      <c r="H261" s="60"/>
      <c r="I261" s="68">
        <f t="shared" ca="1" si="39"/>
        <v>0</v>
      </c>
      <c r="J261" s="68">
        <f t="shared" ca="1" si="40"/>
        <v>0</v>
      </c>
      <c r="K261" s="68">
        <f t="shared" ca="1" si="41"/>
        <v>0</v>
      </c>
      <c r="L261" s="68">
        <f t="shared" ca="1" si="42"/>
        <v>0</v>
      </c>
      <c r="M261" s="69">
        <f t="shared" si="43"/>
        <v>0</v>
      </c>
      <c r="N261" s="65" t="str">
        <f t="shared" si="44"/>
        <v/>
      </c>
      <c r="O261" s="70" t="str">
        <f>IF(OR($C261="",$D261="",$F261=""),"",IF($F261="Aylık",EOMONTH($D261,0),($D261+MOD(SISTEM!$F$8-WEEKDAY($D261,2),7))))</f>
        <v/>
      </c>
      <c r="P261" s="61"/>
      <c r="Q261" s="2"/>
      <c r="R261" s="2"/>
      <c r="S261" s="1" t="str">
        <f>IF($B261="","",$B261&amp;"|"&amp;COUNTIFS($B$7:$B261,$B261))</f>
        <v/>
      </c>
      <c r="T261" s="1" t="str">
        <f t="shared" si="45"/>
        <v/>
      </c>
      <c r="U261" s="1">
        <f t="shared" si="46"/>
        <v>0</v>
      </c>
      <c r="V261" s="1">
        <f t="shared" si="47"/>
        <v>2958465</v>
      </c>
      <c r="W261" s="1">
        <f t="shared" si="48"/>
        <v>0</v>
      </c>
      <c r="X261" s="1">
        <f t="shared" si="49"/>
        <v>0</v>
      </c>
      <c r="Y261" s="1">
        <f t="shared" si="50"/>
        <v>97200</v>
      </c>
      <c r="Z261" s="1">
        <f t="shared" si="51"/>
        <v>1</v>
      </c>
    </row>
    <row r="262" spans="1:26" ht="18" customHeight="1" x14ac:dyDescent="0.3">
      <c r="A262" s="2"/>
      <c r="B262" s="65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66"/>
      <c r="E262" s="66"/>
      <c r="F262" s="60"/>
      <c r="G262" s="67"/>
      <c r="H262" s="60"/>
      <c r="I262" s="68">
        <f t="shared" ca="1" si="39"/>
        <v>0</v>
      </c>
      <c r="J262" s="68">
        <f t="shared" ca="1" si="40"/>
        <v>0</v>
      </c>
      <c r="K262" s="68">
        <f t="shared" ca="1" si="41"/>
        <v>0</v>
      </c>
      <c r="L262" s="68">
        <f t="shared" ca="1" si="42"/>
        <v>0</v>
      </c>
      <c r="M262" s="69">
        <f t="shared" si="43"/>
        <v>0</v>
      </c>
      <c r="N262" s="65" t="str">
        <f t="shared" si="44"/>
        <v/>
      </c>
      <c r="O262" s="70" t="str">
        <f>IF(OR($C262="",$D262="",$F262=""),"",IF($F262="Aylık",EOMONTH($D262,0),($D262+MOD(SISTEM!$F$8-WEEKDAY($D262,2),7))))</f>
        <v/>
      </c>
      <c r="P262" s="61"/>
      <c r="Q262" s="2"/>
      <c r="R262" s="2"/>
      <c r="S262" s="1" t="str">
        <f>IF($B262="","",$B262&amp;"|"&amp;COUNTIFS($B$7:$B262,$B262))</f>
        <v/>
      </c>
      <c r="T262" s="1" t="str">
        <f t="shared" si="45"/>
        <v/>
      </c>
      <c r="U262" s="1">
        <f t="shared" si="46"/>
        <v>0</v>
      </c>
      <c r="V262" s="1">
        <f t="shared" si="47"/>
        <v>2958465</v>
      </c>
      <c r="W262" s="1">
        <f t="shared" si="48"/>
        <v>0</v>
      </c>
      <c r="X262" s="1">
        <f t="shared" si="49"/>
        <v>0</v>
      </c>
      <c r="Y262" s="1">
        <f t="shared" si="50"/>
        <v>97200</v>
      </c>
      <c r="Z262" s="1">
        <f t="shared" si="51"/>
        <v>1</v>
      </c>
    </row>
    <row r="263" spans="1:26" ht="18" customHeight="1" x14ac:dyDescent="0.3">
      <c r="A263" s="2"/>
      <c r="B263" s="65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66"/>
      <c r="E263" s="66"/>
      <c r="F263" s="60"/>
      <c r="G263" s="67"/>
      <c r="H263" s="60"/>
      <c r="I263" s="68">
        <f t="shared" ref="I263:I326" ca="1" si="52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68">
        <f t="shared" ref="J263:J326" ca="1" si="53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68">
        <f t="shared" ref="K263:K326" ca="1" si="54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68">
        <f t="shared" ref="L263:L326" ca="1" si="55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69">
        <f t="shared" ref="M263:M326" si="56">IF($G263&gt;0,$I263/$G263,0)</f>
        <v>0</v>
      </c>
      <c r="N263" s="65" t="str">
        <f t="shared" ref="N263:N326" si="57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70" t="str">
        <f>IF(OR($C263="",$D263="",$F263=""),"",IF($F263="Aylık",EOMONTH($D263,0),($D263+MOD(SISTEM!$F$8-WEEKDAY($D263,2),7))))</f>
        <v/>
      </c>
      <c r="P263" s="61"/>
      <c r="Q263" s="2"/>
      <c r="R263" s="2"/>
      <c r="S263" s="1" t="str">
        <f>IF($B263="","",$B263&amp;"|"&amp;COUNTIFS($B$7:$B263,$B263))</f>
        <v/>
      </c>
      <c r="T263" s="1" t="str">
        <f t="shared" ref="T263:T326" si="58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 t="shared" ref="U263:U326" si="59">IF($O263="",0,$O263)</f>
        <v>0</v>
      </c>
      <c r="V263" s="1">
        <f t="shared" ref="V263:V326" si="60">IF($E263="",2958465,$E263)</f>
        <v>2958465</v>
      </c>
      <c r="W263" s="1">
        <f t="shared" ref="W263:W326" si="61">IF($F263="Haftalık",1,IF($F263="Aylık",2,0))</f>
        <v>0</v>
      </c>
      <c r="X263" s="1">
        <f t="shared" ref="X263:X326" si="62">IF($U263=0,0,(YEAR($U263)-1900)*12+MONTH($U263))</f>
        <v>0</v>
      </c>
      <c r="Y263" s="1">
        <f t="shared" ref="Y263:Y326" si="63">(YEAR($V263)-1900)*12+MONTH($V263)</f>
        <v>97200</v>
      </c>
      <c r="Z263" s="1">
        <f t="shared" ref="Z263:Z326" si="64">IF($V263=EOMONTH($V263,0),1,0)</f>
        <v>1</v>
      </c>
    </row>
    <row r="264" spans="1:26" ht="18" customHeight="1" x14ac:dyDescent="0.3">
      <c r="A264" s="2"/>
      <c r="B264" s="65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66"/>
      <c r="E264" s="66"/>
      <c r="F264" s="60"/>
      <c r="G264" s="67"/>
      <c r="H264" s="60"/>
      <c r="I264" s="68">
        <f t="shared" ca="1" si="52"/>
        <v>0</v>
      </c>
      <c r="J264" s="68">
        <f t="shared" ca="1" si="53"/>
        <v>0</v>
      </c>
      <c r="K264" s="68">
        <f t="shared" ca="1" si="54"/>
        <v>0</v>
      </c>
      <c r="L264" s="68">
        <f t="shared" ca="1" si="55"/>
        <v>0</v>
      </c>
      <c r="M264" s="69">
        <f t="shared" si="56"/>
        <v>0</v>
      </c>
      <c r="N264" s="65" t="str">
        <f t="shared" si="57"/>
        <v/>
      </c>
      <c r="O264" s="70" t="str">
        <f>IF(OR($C264="",$D264="",$F264=""),"",IF($F264="Aylık",EOMONTH($D264,0),($D264+MOD(SISTEM!$F$8-WEEKDAY($D264,2),7))))</f>
        <v/>
      </c>
      <c r="P264" s="61"/>
      <c r="Q264" s="2"/>
      <c r="R264" s="2"/>
      <c r="S264" s="1" t="str">
        <f>IF($B264="","",$B264&amp;"|"&amp;COUNTIFS($B$7:$B264,$B264))</f>
        <v/>
      </c>
      <c r="T264" s="1" t="str">
        <f t="shared" si="58"/>
        <v/>
      </c>
      <c r="U264" s="1">
        <f t="shared" si="59"/>
        <v>0</v>
      </c>
      <c r="V264" s="1">
        <f t="shared" si="60"/>
        <v>2958465</v>
      </c>
      <c r="W264" s="1">
        <f t="shared" si="61"/>
        <v>0</v>
      </c>
      <c r="X264" s="1">
        <f t="shared" si="62"/>
        <v>0</v>
      </c>
      <c r="Y264" s="1">
        <f t="shared" si="63"/>
        <v>97200</v>
      </c>
      <c r="Z264" s="1">
        <f t="shared" si="64"/>
        <v>1</v>
      </c>
    </row>
    <row r="265" spans="1:26" ht="18" customHeight="1" x14ac:dyDescent="0.3">
      <c r="A265" s="2"/>
      <c r="B265" s="65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66"/>
      <c r="E265" s="66"/>
      <c r="F265" s="60"/>
      <c r="G265" s="67"/>
      <c r="H265" s="60"/>
      <c r="I265" s="68">
        <f t="shared" ca="1" si="52"/>
        <v>0</v>
      </c>
      <c r="J265" s="68">
        <f t="shared" ca="1" si="53"/>
        <v>0</v>
      </c>
      <c r="K265" s="68">
        <f t="shared" ca="1" si="54"/>
        <v>0</v>
      </c>
      <c r="L265" s="68">
        <f t="shared" ca="1" si="55"/>
        <v>0</v>
      </c>
      <c r="M265" s="69">
        <f t="shared" si="56"/>
        <v>0</v>
      </c>
      <c r="N265" s="65" t="str">
        <f t="shared" si="57"/>
        <v/>
      </c>
      <c r="O265" s="70" t="str">
        <f>IF(OR($C265="",$D265="",$F265=""),"",IF($F265="Aylık",EOMONTH($D265,0),($D265+MOD(SISTEM!$F$8-WEEKDAY($D265,2),7))))</f>
        <v/>
      </c>
      <c r="P265" s="61"/>
      <c r="Q265" s="2"/>
      <c r="R265" s="2"/>
      <c r="S265" s="1" t="str">
        <f>IF($B265="","",$B265&amp;"|"&amp;COUNTIFS($B$7:$B265,$B265))</f>
        <v/>
      </c>
      <c r="T265" s="1" t="str">
        <f t="shared" si="58"/>
        <v/>
      </c>
      <c r="U265" s="1">
        <f t="shared" si="59"/>
        <v>0</v>
      </c>
      <c r="V265" s="1">
        <f t="shared" si="60"/>
        <v>2958465</v>
      </c>
      <c r="W265" s="1">
        <f t="shared" si="61"/>
        <v>0</v>
      </c>
      <c r="X265" s="1">
        <f t="shared" si="62"/>
        <v>0</v>
      </c>
      <c r="Y265" s="1">
        <f t="shared" si="63"/>
        <v>97200</v>
      </c>
      <c r="Z265" s="1">
        <f t="shared" si="64"/>
        <v>1</v>
      </c>
    </row>
    <row r="266" spans="1:26" ht="18" customHeight="1" x14ac:dyDescent="0.3">
      <c r="A266" s="2"/>
      <c r="B266" s="65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66"/>
      <c r="E266" s="66"/>
      <c r="F266" s="60"/>
      <c r="G266" s="67"/>
      <c r="H266" s="60"/>
      <c r="I266" s="68">
        <f t="shared" ca="1" si="52"/>
        <v>0</v>
      </c>
      <c r="J266" s="68">
        <f t="shared" ca="1" si="53"/>
        <v>0</v>
      </c>
      <c r="K266" s="68">
        <f t="shared" ca="1" si="54"/>
        <v>0</v>
      </c>
      <c r="L266" s="68">
        <f t="shared" ca="1" si="55"/>
        <v>0</v>
      </c>
      <c r="M266" s="69">
        <f t="shared" si="56"/>
        <v>0</v>
      </c>
      <c r="N266" s="65" t="str">
        <f t="shared" si="57"/>
        <v/>
      </c>
      <c r="O266" s="70" t="str">
        <f>IF(OR($C266="",$D266="",$F266=""),"",IF($F266="Aylık",EOMONTH($D266,0),($D266+MOD(SISTEM!$F$8-WEEKDAY($D266,2),7))))</f>
        <v/>
      </c>
      <c r="P266" s="61"/>
      <c r="Q266" s="2"/>
      <c r="R266" s="2"/>
      <c r="S266" s="1" t="str">
        <f>IF($B266="","",$B266&amp;"|"&amp;COUNTIFS($B$7:$B266,$B266))</f>
        <v/>
      </c>
      <c r="T266" s="1" t="str">
        <f t="shared" si="58"/>
        <v/>
      </c>
      <c r="U266" s="1">
        <f t="shared" si="59"/>
        <v>0</v>
      </c>
      <c r="V266" s="1">
        <f t="shared" si="60"/>
        <v>2958465</v>
      </c>
      <c r="W266" s="1">
        <f t="shared" si="61"/>
        <v>0</v>
      </c>
      <c r="X266" s="1">
        <f t="shared" si="62"/>
        <v>0</v>
      </c>
      <c r="Y266" s="1">
        <f t="shared" si="63"/>
        <v>97200</v>
      </c>
      <c r="Z266" s="1">
        <f t="shared" si="64"/>
        <v>1</v>
      </c>
    </row>
    <row r="267" spans="1:26" ht="18" customHeight="1" x14ac:dyDescent="0.3">
      <c r="A267" s="2"/>
      <c r="B267" s="65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66"/>
      <c r="E267" s="66"/>
      <c r="F267" s="60"/>
      <c r="G267" s="67"/>
      <c r="H267" s="60"/>
      <c r="I267" s="68">
        <f t="shared" ca="1" si="52"/>
        <v>0</v>
      </c>
      <c r="J267" s="68">
        <f t="shared" ca="1" si="53"/>
        <v>0</v>
      </c>
      <c r="K267" s="68">
        <f t="shared" ca="1" si="54"/>
        <v>0</v>
      </c>
      <c r="L267" s="68">
        <f t="shared" ca="1" si="55"/>
        <v>0</v>
      </c>
      <c r="M267" s="69">
        <f t="shared" si="56"/>
        <v>0</v>
      </c>
      <c r="N267" s="65" t="str">
        <f t="shared" si="57"/>
        <v/>
      </c>
      <c r="O267" s="70" t="str">
        <f>IF(OR($C267="",$D267="",$F267=""),"",IF($F267="Aylık",EOMONTH($D267,0),($D267+MOD(SISTEM!$F$8-WEEKDAY($D267,2),7))))</f>
        <v/>
      </c>
      <c r="P267" s="61"/>
      <c r="Q267" s="2"/>
      <c r="R267" s="2"/>
      <c r="S267" s="1" t="str">
        <f>IF($B267="","",$B267&amp;"|"&amp;COUNTIFS($B$7:$B267,$B267))</f>
        <v/>
      </c>
      <c r="T267" s="1" t="str">
        <f t="shared" si="58"/>
        <v/>
      </c>
      <c r="U267" s="1">
        <f t="shared" si="59"/>
        <v>0</v>
      </c>
      <c r="V267" s="1">
        <f t="shared" si="60"/>
        <v>2958465</v>
      </c>
      <c r="W267" s="1">
        <f t="shared" si="61"/>
        <v>0</v>
      </c>
      <c r="X267" s="1">
        <f t="shared" si="62"/>
        <v>0</v>
      </c>
      <c r="Y267" s="1">
        <f t="shared" si="63"/>
        <v>97200</v>
      </c>
      <c r="Z267" s="1">
        <f t="shared" si="64"/>
        <v>1</v>
      </c>
    </row>
    <row r="268" spans="1:26" ht="18" customHeight="1" x14ac:dyDescent="0.3">
      <c r="A268" s="2"/>
      <c r="B268" s="65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66"/>
      <c r="E268" s="66"/>
      <c r="F268" s="60"/>
      <c r="G268" s="67"/>
      <c r="H268" s="60"/>
      <c r="I268" s="68">
        <f t="shared" ca="1" si="52"/>
        <v>0</v>
      </c>
      <c r="J268" s="68">
        <f t="shared" ca="1" si="53"/>
        <v>0</v>
      </c>
      <c r="K268" s="68">
        <f t="shared" ca="1" si="54"/>
        <v>0</v>
      </c>
      <c r="L268" s="68">
        <f t="shared" ca="1" si="55"/>
        <v>0</v>
      </c>
      <c r="M268" s="69">
        <f t="shared" si="56"/>
        <v>0</v>
      </c>
      <c r="N268" s="65" t="str">
        <f t="shared" si="57"/>
        <v/>
      </c>
      <c r="O268" s="70" t="str">
        <f>IF(OR($C268="",$D268="",$F268=""),"",IF($F268="Aylık",EOMONTH($D268,0),($D268+MOD(SISTEM!$F$8-WEEKDAY($D268,2),7))))</f>
        <v/>
      </c>
      <c r="P268" s="61"/>
      <c r="Q268" s="2"/>
      <c r="R268" s="2"/>
      <c r="S268" s="1" t="str">
        <f>IF($B268="","",$B268&amp;"|"&amp;COUNTIFS($B$7:$B268,$B268))</f>
        <v/>
      </c>
      <c r="T268" s="1" t="str">
        <f t="shared" si="58"/>
        <v/>
      </c>
      <c r="U268" s="1">
        <f t="shared" si="59"/>
        <v>0</v>
      </c>
      <c r="V268" s="1">
        <f t="shared" si="60"/>
        <v>2958465</v>
      </c>
      <c r="W268" s="1">
        <f t="shared" si="61"/>
        <v>0</v>
      </c>
      <c r="X268" s="1">
        <f t="shared" si="62"/>
        <v>0</v>
      </c>
      <c r="Y268" s="1">
        <f t="shared" si="63"/>
        <v>97200</v>
      </c>
      <c r="Z268" s="1">
        <f t="shared" si="64"/>
        <v>1</v>
      </c>
    </row>
    <row r="269" spans="1:26" ht="18" customHeight="1" x14ac:dyDescent="0.3">
      <c r="A269" s="2"/>
      <c r="B269" s="65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66"/>
      <c r="E269" s="66"/>
      <c r="F269" s="60"/>
      <c r="G269" s="67"/>
      <c r="H269" s="60"/>
      <c r="I269" s="68">
        <f t="shared" ca="1" si="52"/>
        <v>0</v>
      </c>
      <c r="J269" s="68">
        <f t="shared" ca="1" si="53"/>
        <v>0</v>
      </c>
      <c r="K269" s="68">
        <f t="shared" ca="1" si="54"/>
        <v>0</v>
      </c>
      <c r="L269" s="68">
        <f t="shared" ca="1" si="55"/>
        <v>0</v>
      </c>
      <c r="M269" s="69">
        <f t="shared" si="56"/>
        <v>0</v>
      </c>
      <c r="N269" s="65" t="str">
        <f t="shared" si="57"/>
        <v/>
      </c>
      <c r="O269" s="70" t="str">
        <f>IF(OR($C269="",$D269="",$F269=""),"",IF($F269="Aylık",EOMONTH($D269,0),($D269+MOD(SISTEM!$F$8-WEEKDAY($D269,2),7))))</f>
        <v/>
      </c>
      <c r="P269" s="61"/>
      <c r="Q269" s="2"/>
      <c r="R269" s="2"/>
      <c r="S269" s="1" t="str">
        <f>IF($B269="","",$B269&amp;"|"&amp;COUNTIFS($B$7:$B269,$B269))</f>
        <v/>
      </c>
      <c r="T269" s="1" t="str">
        <f t="shared" si="58"/>
        <v/>
      </c>
      <c r="U269" s="1">
        <f t="shared" si="59"/>
        <v>0</v>
      </c>
      <c r="V269" s="1">
        <f t="shared" si="60"/>
        <v>2958465</v>
      </c>
      <c r="W269" s="1">
        <f t="shared" si="61"/>
        <v>0</v>
      </c>
      <c r="X269" s="1">
        <f t="shared" si="62"/>
        <v>0</v>
      </c>
      <c r="Y269" s="1">
        <f t="shared" si="63"/>
        <v>97200</v>
      </c>
      <c r="Z269" s="1">
        <f t="shared" si="64"/>
        <v>1</v>
      </c>
    </row>
    <row r="270" spans="1:26" ht="18" customHeight="1" x14ac:dyDescent="0.3">
      <c r="A270" s="2"/>
      <c r="B270" s="65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66"/>
      <c r="E270" s="66"/>
      <c r="F270" s="60"/>
      <c r="G270" s="67"/>
      <c r="H270" s="60"/>
      <c r="I270" s="68">
        <f t="shared" ca="1" si="52"/>
        <v>0</v>
      </c>
      <c r="J270" s="68">
        <f t="shared" ca="1" si="53"/>
        <v>0</v>
      </c>
      <c r="K270" s="68">
        <f t="shared" ca="1" si="54"/>
        <v>0</v>
      </c>
      <c r="L270" s="68">
        <f t="shared" ca="1" si="55"/>
        <v>0</v>
      </c>
      <c r="M270" s="69">
        <f t="shared" si="56"/>
        <v>0</v>
      </c>
      <c r="N270" s="65" t="str">
        <f t="shared" si="57"/>
        <v/>
      </c>
      <c r="O270" s="70" t="str">
        <f>IF(OR($C270="",$D270="",$F270=""),"",IF($F270="Aylık",EOMONTH($D270,0),($D270+MOD(SISTEM!$F$8-WEEKDAY($D270,2),7))))</f>
        <v/>
      </c>
      <c r="P270" s="61"/>
      <c r="Q270" s="2"/>
      <c r="R270" s="2"/>
      <c r="S270" s="1" t="str">
        <f>IF($B270="","",$B270&amp;"|"&amp;COUNTIFS($B$7:$B270,$B270))</f>
        <v/>
      </c>
      <c r="T270" s="1" t="str">
        <f t="shared" si="58"/>
        <v/>
      </c>
      <c r="U270" s="1">
        <f t="shared" si="59"/>
        <v>0</v>
      </c>
      <c r="V270" s="1">
        <f t="shared" si="60"/>
        <v>2958465</v>
      </c>
      <c r="W270" s="1">
        <f t="shared" si="61"/>
        <v>0</v>
      </c>
      <c r="X270" s="1">
        <f t="shared" si="62"/>
        <v>0</v>
      </c>
      <c r="Y270" s="1">
        <f t="shared" si="63"/>
        <v>97200</v>
      </c>
      <c r="Z270" s="1">
        <f t="shared" si="64"/>
        <v>1</v>
      </c>
    </row>
    <row r="271" spans="1:26" ht="18" customHeight="1" x14ac:dyDescent="0.3">
      <c r="A271" s="2"/>
      <c r="B271" s="65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66"/>
      <c r="E271" s="66"/>
      <c r="F271" s="60"/>
      <c r="G271" s="67"/>
      <c r="H271" s="60"/>
      <c r="I271" s="68">
        <f t="shared" ca="1" si="52"/>
        <v>0</v>
      </c>
      <c r="J271" s="68">
        <f t="shared" ca="1" si="53"/>
        <v>0</v>
      </c>
      <c r="K271" s="68">
        <f t="shared" ca="1" si="54"/>
        <v>0</v>
      </c>
      <c r="L271" s="68">
        <f t="shared" ca="1" si="55"/>
        <v>0</v>
      </c>
      <c r="M271" s="69">
        <f t="shared" si="56"/>
        <v>0</v>
      </c>
      <c r="N271" s="65" t="str">
        <f t="shared" si="57"/>
        <v/>
      </c>
      <c r="O271" s="70" t="str">
        <f>IF(OR($C271="",$D271="",$F271=""),"",IF($F271="Aylık",EOMONTH($D271,0),($D271+MOD(SISTEM!$F$8-WEEKDAY($D271,2),7))))</f>
        <v/>
      </c>
      <c r="P271" s="61"/>
      <c r="Q271" s="2"/>
      <c r="R271" s="2"/>
      <c r="S271" s="1" t="str">
        <f>IF($B271="","",$B271&amp;"|"&amp;COUNTIFS($B$7:$B271,$B271))</f>
        <v/>
      </c>
      <c r="T271" s="1" t="str">
        <f t="shared" si="58"/>
        <v/>
      </c>
      <c r="U271" s="1">
        <f t="shared" si="59"/>
        <v>0</v>
      </c>
      <c r="V271" s="1">
        <f t="shared" si="60"/>
        <v>2958465</v>
      </c>
      <c r="W271" s="1">
        <f t="shared" si="61"/>
        <v>0</v>
      </c>
      <c r="X271" s="1">
        <f t="shared" si="62"/>
        <v>0</v>
      </c>
      <c r="Y271" s="1">
        <f t="shared" si="63"/>
        <v>97200</v>
      </c>
      <c r="Z271" s="1">
        <f t="shared" si="64"/>
        <v>1</v>
      </c>
    </row>
    <row r="272" spans="1:26" ht="18" customHeight="1" x14ac:dyDescent="0.3">
      <c r="A272" s="2"/>
      <c r="B272" s="65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66"/>
      <c r="E272" s="66"/>
      <c r="F272" s="60"/>
      <c r="G272" s="67"/>
      <c r="H272" s="60"/>
      <c r="I272" s="68">
        <f t="shared" ca="1" si="52"/>
        <v>0</v>
      </c>
      <c r="J272" s="68">
        <f t="shared" ca="1" si="53"/>
        <v>0</v>
      </c>
      <c r="K272" s="68">
        <f t="shared" ca="1" si="54"/>
        <v>0</v>
      </c>
      <c r="L272" s="68">
        <f t="shared" ca="1" si="55"/>
        <v>0</v>
      </c>
      <c r="M272" s="69">
        <f t="shared" si="56"/>
        <v>0</v>
      </c>
      <c r="N272" s="65" t="str">
        <f t="shared" si="57"/>
        <v/>
      </c>
      <c r="O272" s="70" t="str">
        <f>IF(OR($C272="",$D272="",$F272=""),"",IF($F272="Aylık",EOMONTH($D272,0),($D272+MOD(SISTEM!$F$8-WEEKDAY($D272,2),7))))</f>
        <v/>
      </c>
      <c r="P272" s="61"/>
      <c r="Q272" s="2"/>
      <c r="R272" s="2"/>
      <c r="S272" s="1" t="str">
        <f>IF($B272="","",$B272&amp;"|"&amp;COUNTIFS($B$7:$B272,$B272))</f>
        <v/>
      </c>
      <c r="T272" s="1" t="str">
        <f t="shared" si="58"/>
        <v/>
      </c>
      <c r="U272" s="1">
        <f t="shared" si="59"/>
        <v>0</v>
      </c>
      <c r="V272" s="1">
        <f t="shared" si="60"/>
        <v>2958465</v>
      </c>
      <c r="W272" s="1">
        <f t="shared" si="61"/>
        <v>0</v>
      </c>
      <c r="X272" s="1">
        <f t="shared" si="62"/>
        <v>0</v>
      </c>
      <c r="Y272" s="1">
        <f t="shared" si="63"/>
        <v>97200</v>
      </c>
      <c r="Z272" s="1">
        <f t="shared" si="64"/>
        <v>1</v>
      </c>
    </row>
    <row r="273" spans="1:26" ht="18" customHeight="1" x14ac:dyDescent="0.3">
      <c r="A273" s="2"/>
      <c r="B273" s="65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66"/>
      <c r="E273" s="66"/>
      <c r="F273" s="60"/>
      <c r="G273" s="67"/>
      <c r="H273" s="60"/>
      <c r="I273" s="68">
        <f t="shared" ca="1" si="52"/>
        <v>0</v>
      </c>
      <c r="J273" s="68">
        <f t="shared" ca="1" si="53"/>
        <v>0</v>
      </c>
      <c r="K273" s="68">
        <f t="shared" ca="1" si="54"/>
        <v>0</v>
      </c>
      <c r="L273" s="68">
        <f t="shared" ca="1" si="55"/>
        <v>0</v>
      </c>
      <c r="M273" s="69">
        <f t="shared" si="56"/>
        <v>0</v>
      </c>
      <c r="N273" s="65" t="str">
        <f t="shared" si="57"/>
        <v/>
      </c>
      <c r="O273" s="70" t="str">
        <f>IF(OR($C273="",$D273="",$F273=""),"",IF($F273="Aylık",EOMONTH($D273,0),($D273+MOD(SISTEM!$F$8-WEEKDAY($D273,2),7))))</f>
        <v/>
      </c>
      <c r="P273" s="61"/>
      <c r="Q273" s="2"/>
      <c r="R273" s="2"/>
      <c r="S273" s="1" t="str">
        <f>IF($B273="","",$B273&amp;"|"&amp;COUNTIFS($B$7:$B273,$B273))</f>
        <v/>
      </c>
      <c r="T273" s="1" t="str">
        <f t="shared" si="58"/>
        <v/>
      </c>
      <c r="U273" s="1">
        <f t="shared" si="59"/>
        <v>0</v>
      </c>
      <c r="V273" s="1">
        <f t="shared" si="60"/>
        <v>2958465</v>
      </c>
      <c r="W273" s="1">
        <f t="shared" si="61"/>
        <v>0</v>
      </c>
      <c r="X273" s="1">
        <f t="shared" si="62"/>
        <v>0</v>
      </c>
      <c r="Y273" s="1">
        <f t="shared" si="63"/>
        <v>97200</v>
      </c>
      <c r="Z273" s="1">
        <f t="shared" si="64"/>
        <v>1</v>
      </c>
    </row>
    <row r="274" spans="1:26" ht="18" customHeight="1" x14ac:dyDescent="0.3">
      <c r="A274" s="2"/>
      <c r="B274" s="65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66"/>
      <c r="E274" s="66"/>
      <c r="F274" s="60"/>
      <c r="G274" s="67"/>
      <c r="H274" s="60"/>
      <c r="I274" s="68">
        <f t="shared" ca="1" si="52"/>
        <v>0</v>
      </c>
      <c r="J274" s="68">
        <f t="shared" ca="1" si="53"/>
        <v>0</v>
      </c>
      <c r="K274" s="68">
        <f t="shared" ca="1" si="54"/>
        <v>0</v>
      </c>
      <c r="L274" s="68">
        <f t="shared" ca="1" si="55"/>
        <v>0</v>
      </c>
      <c r="M274" s="69">
        <f t="shared" si="56"/>
        <v>0</v>
      </c>
      <c r="N274" s="65" t="str">
        <f t="shared" si="57"/>
        <v/>
      </c>
      <c r="O274" s="70" t="str">
        <f>IF(OR($C274="",$D274="",$F274=""),"",IF($F274="Aylık",EOMONTH($D274,0),($D274+MOD(SISTEM!$F$8-WEEKDAY($D274,2),7))))</f>
        <v/>
      </c>
      <c r="P274" s="61"/>
      <c r="Q274" s="2"/>
      <c r="R274" s="2"/>
      <c r="S274" s="1" t="str">
        <f>IF($B274="","",$B274&amp;"|"&amp;COUNTIFS($B$7:$B274,$B274))</f>
        <v/>
      </c>
      <c r="T274" s="1" t="str">
        <f t="shared" si="58"/>
        <v/>
      </c>
      <c r="U274" s="1">
        <f t="shared" si="59"/>
        <v>0</v>
      </c>
      <c r="V274" s="1">
        <f t="shared" si="60"/>
        <v>2958465</v>
      </c>
      <c r="W274" s="1">
        <f t="shared" si="61"/>
        <v>0</v>
      </c>
      <c r="X274" s="1">
        <f t="shared" si="62"/>
        <v>0</v>
      </c>
      <c r="Y274" s="1">
        <f t="shared" si="63"/>
        <v>97200</v>
      </c>
      <c r="Z274" s="1">
        <f t="shared" si="64"/>
        <v>1</v>
      </c>
    </row>
    <row r="275" spans="1:26" ht="18" customHeight="1" x14ac:dyDescent="0.3">
      <c r="A275" s="2"/>
      <c r="B275" s="65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66"/>
      <c r="E275" s="66"/>
      <c r="F275" s="60"/>
      <c r="G275" s="67"/>
      <c r="H275" s="60"/>
      <c r="I275" s="68">
        <f t="shared" ca="1" si="52"/>
        <v>0</v>
      </c>
      <c r="J275" s="68">
        <f t="shared" ca="1" si="53"/>
        <v>0</v>
      </c>
      <c r="K275" s="68">
        <f t="shared" ca="1" si="54"/>
        <v>0</v>
      </c>
      <c r="L275" s="68">
        <f t="shared" ca="1" si="55"/>
        <v>0</v>
      </c>
      <c r="M275" s="69">
        <f t="shared" si="56"/>
        <v>0</v>
      </c>
      <c r="N275" s="65" t="str">
        <f t="shared" si="57"/>
        <v/>
      </c>
      <c r="O275" s="70" t="str">
        <f>IF(OR($C275="",$D275="",$F275=""),"",IF($F275="Aylık",EOMONTH($D275,0),($D275+MOD(SISTEM!$F$8-WEEKDAY($D275,2),7))))</f>
        <v/>
      </c>
      <c r="P275" s="61"/>
      <c r="Q275" s="2"/>
      <c r="R275" s="2"/>
      <c r="S275" s="1" t="str">
        <f>IF($B275="","",$B275&amp;"|"&amp;COUNTIFS($B$7:$B275,$B275))</f>
        <v/>
      </c>
      <c r="T275" s="1" t="str">
        <f t="shared" si="58"/>
        <v/>
      </c>
      <c r="U275" s="1">
        <f t="shared" si="59"/>
        <v>0</v>
      </c>
      <c r="V275" s="1">
        <f t="shared" si="60"/>
        <v>2958465</v>
      </c>
      <c r="W275" s="1">
        <f t="shared" si="61"/>
        <v>0</v>
      </c>
      <c r="X275" s="1">
        <f t="shared" si="62"/>
        <v>0</v>
      </c>
      <c r="Y275" s="1">
        <f t="shared" si="63"/>
        <v>97200</v>
      </c>
      <c r="Z275" s="1">
        <f t="shared" si="64"/>
        <v>1</v>
      </c>
    </row>
    <row r="276" spans="1:26" ht="18" customHeight="1" x14ac:dyDescent="0.3">
      <c r="A276" s="2"/>
      <c r="B276" s="65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66"/>
      <c r="E276" s="66"/>
      <c r="F276" s="60"/>
      <c r="G276" s="67"/>
      <c r="H276" s="60"/>
      <c r="I276" s="68">
        <f t="shared" ca="1" si="52"/>
        <v>0</v>
      </c>
      <c r="J276" s="68">
        <f t="shared" ca="1" si="53"/>
        <v>0</v>
      </c>
      <c r="K276" s="68">
        <f t="shared" ca="1" si="54"/>
        <v>0</v>
      </c>
      <c r="L276" s="68">
        <f t="shared" ca="1" si="55"/>
        <v>0</v>
      </c>
      <c r="M276" s="69">
        <f t="shared" si="56"/>
        <v>0</v>
      </c>
      <c r="N276" s="65" t="str">
        <f t="shared" si="57"/>
        <v/>
      </c>
      <c r="O276" s="70" t="str">
        <f>IF(OR($C276="",$D276="",$F276=""),"",IF($F276="Aylık",EOMONTH($D276,0),($D276+MOD(SISTEM!$F$8-WEEKDAY($D276,2),7))))</f>
        <v/>
      </c>
      <c r="P276" s="61"/>
      <c r="Q276" s="2"/>
      <c r="R276" s="2"/>
      <c r="S276" s="1" t="str">
        <f>IF($B276="","",$B276&amp;"|"&amp;COUNTIFS($B$7:$B276,$B276))</f>
        <v/>
      </c>
      <c r="T276" s="1" t="str">
        <f t="shared" si="58"/>
        <v/>
      </c>
      <c r="U276" s="1">
        <f t="shared" si="59"/>
        <v>0</v>
      </c>
      <c r="V276" s="1">
        <f t="shared" si="60"/>
        <v>2958465</v>
      </c>
      <c r="W276" s="1">
        <f t="shared" si="61"/>
        <v>0</v>
      </c>
      <c r="X276" s="1">
        <f t="shared" si="62"/>
        <v>0</v>
      </c>
      <c r="Y276" s="1">
        <f t="shared" si="63"/>
        <v>97200</v>
      </c>
      <c r="Z276" s="1">
        <f t="shared" si="64"/>
        <v>1</v>
      </c>
    </row>
    <row r="277" spans="1:26" ht="18" customHeight="1" x14ac:dyDescent="0.3">
      <c r="A277" s="2"/>
      <c r="B277" s="65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66"/>
      <c r="E277" s="66"/>
      <c r="F277" s="60"/>
      <c r="G277" s="67"/>
      <c r="H277" s="60"/>
      <c r="I277" s="68">
        <f t="shared" ca="1" si="52"/>
        <v>0</v>
      </c>
      <c r="J277" s="68">
        <f t="shared" ca="1" si="53"/>
        <v>0</v>
      </c>
      <c r="K277" s="68">
        <f t="shared" ca="1" si="54"/>
        <v>0</v>
      </c>
      <c r="L277" s="68">
        <f t="shared" ca="1" si="55"/>
        <v>0</v>
      </c>
      <c r="M277" s="69">
        <f t="shared" si="56"/>
        <v>0</v>
      </c>
      <c r="N277" s="65" t="str">
        <f t="shared" si="57"/>
        <v/>
      </c>
      <c r="O277" s="70" t="str">
        <f>IF(OR($C277="",$D277="",$F277=""),"",IF($F277="Aylık",EOMONTH($D277,0),($D277+MOD(SISTEM!$F$8-WEEKDAY($D277,2),7))))</f>
        <v/>
      </c>
      <c r="P277" s="61"/>
      <c r="Q277" s="2"/>
      <c r="R277" s="2"/>
      <c r="S277" s="1" t="str">
        <f>IF($B277="","",$B277&amp;"|"&amp;COUNTIFS($B$7:$B277,$B277))</f>
        <v/>
      </c>
      <c r="T277" s="1" t="str">
        <f t="shared" si="58"/>
        <v/>
      </c>
      <c r="U277" s="1">
        <f t="shared" si="59"/>
        <v>0</v>
      </c>
      <c r="V277" s="1">
        <f t="shared" si="60"/>
        <v>2958465</v>
      </c>
      <c r="W277" s="1">
        <f t="shared" si="61"/>
        <v>0</v>
      </c>
      <c r="X277" s="1">
        <f t="shared" si="62"/>
        <v>0</v>
      </c>
      <c r="Y277" s="1">
        <f t="shared" si="63"/>
        <v>97200</v>
      </c>
      <c r="Z277" s="1">
        <f t="shared" si="64"/>
        <v>1</v>
      </c>
    </row>
    <row r="278" spans="1:26" ht="18" customHeight="1" x14ac:dyDescent="0.3">
      <c r="A278" s="2"/>
      <c r="B278" s="65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66"/>
      <c r="E278" s="66"/>
      <c r="F278" s="60"/>
      <c r="G278" s="67"/>
      <c r="H278" s="60"/>
      <c r="I278" s="68">
        <f t="shared" ca="1" si="52"/>
        <v>0</v>
      </c>
      <c r="J278" s="68">
        <f t="shared" ca="1" si="53"/>
        <v>0</v>
      </c>
      <c r="K278" s="68">
        <f t="shared" ca="1" si="54"/>
        <v>0</v>
      </c>
      <c r="L278" s="68">
        <f t="shared" ca="1" si="55"/>
        <v>0</v>
      </c>
      <c r="M278" s="69">
        <f t="shared" si="56"/>
        <v>0</v>
      </c>
      <c r="N278" s="65" t="str">
        <f t="shared" si="57"/>
        <v/>
      </c>
      <c r="O278" s="70" t="str">
        <f>IF(OR($C278="",$D278="",$F278=""),"",IF($F278="Aylık",EOMONTH($D278,0),($D278+MOD(SISTEM!$F$8-WEEKDAY($D278,2),7))))</f>
        <v/>
      </c>
      <c r="P278" s="61"/>
      <c r="Q278" s="2"/>
      <c r="R278" s="2"/>
      <c r="S278" s="1" t="str">
        <f>IF($B278="","",$B278&amp;"|"&amp;COUNTIFS($B$7:$B278,$B278))</f>
        <v/>
      </c>
      <c r="T278" s="1" t="str">
        <f t="shared" si="58"/>
        <v/>
      </c>
      <c r="U278" s="1">
        <f t="shared" si="59"/>
        <v>0</v>
      </c>
      <c r="V278" s="1">
        <f t="shared" si="60"/>
        <v>2958465</v>
      </c>
      <c r="W278" s="1">
        <f t="shared" si="61"/>
        <v>0</v>
      </c>
      <c r="X278" s="1">
        <f t="shared" si="62"/>
        <v>0</v>
      </c>
      <c r="Y278" s="1">
        <f t="shared" si="63"/>
        <v>97200</v>
      </c>
      <c r="Z278" s="1">
        <f t="shared" si="64"/>
        <v>1</v>
      </c>
    </row>
    <row r="279" spans="1:26" ht="18" customHeight="1" x14ac:dyDescent="0.3">
      <c r="A279" s="2"/>
      <c r="B279" s="65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66"/>
      <c r="E279" s="66"/>
      <c r="F279" s="60"/>
      <c r="G279" s="67"/>
      <c r="H279" s="60"/>
      <c r="I279" s="68">
        <f t="shared" ca="1" si="52"/>
        <v>0</v>
      </c>
      <c r="J279" s="68">
        <f t="shared" ca="1" si="53"/>
        <v>0</v>
      </c>
      <c r="K279" s="68">
        <f t="shared" ca="1" si="54"/>
        <v>0</v>
      </c>
      <c r="L279" s="68">
        <f t="shared" ca="1" si="55"/>
        <v>0</v>
      </c>
      <c r="M279" s="69">
        <f t="shared" si="56"/>
        <v>0</v>
      </c>
      <c r="N279" s="65" t="str">
        <f t="shared" si="57"/>
        <v/>
      </c>
      <c r="O279" s="70" t="str">
        <f>IF(OR($C279="",$D279="",$F279=""),"",IF($F279="Aylık",EOMONTH($D279,0),($D279+MOD(SISTEM!$F$8-WEEKDAY($D279,2),7))))</f>
        <v/>
      </c>
      <c r="P279" s="61"/>
      <c r="Q279" s="2"/>
      <c r="R279" s="2"/>
      <c r="S279" s="1" t="str">
        <f>IF($B279="","",$B279&amp;"|"&amp;COUNTIFS($B$7:$B279,$B279))</f>
        <v/>
      </c>
      <c r="T279" s="1" t="str">
        <f t="shared" si="58"/>
        <v/>
      </c>
      <c r="U279" s="1">
        <f t="shared" si="59"/>
        <v>0</v>
      </c>
      <c r="V279" s="1">
        <f t="shared" si="60"/>
        <v>2958465</v>
      </c>
      <c r="W279" s="1">
        <f t="shared" si="61"/>
        <v>0</v>
      </c>
      <c r="X279" s="1">
        <f t="shared" si="62"/>
        <v>0</v>
      </c>
      <c r="Y279" s="1">
        <f t="shared" si="63"/>
        <v>97200</v>
      </c>
      <c r="Z279" s="1">
        <f t="shared" si="64"/>
        <v>1</v>
      </c>
    </row>
    <row r="280" spans="1:26" ht="18" customHeight="1" x14ac:dyDescent="0.3">
      <c r="A280" s="2"/>
      <c r="B280" s="65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66"/>
      <c r="E280" s="66"/>
      <c r="F280" s="60"/>
      <c r="G280" s="67"/>
      <c r="H280" s="60"/>
      <c r="I280" s="68">
        <f t="shared" ca="1" si="52"/>
        <v>0</v>
      </c>
      <c r="J280" s="68">
        <f t="shared" ca="1" si="53"/>
        <v>0</v>
      </c>
      <c r="K280" s="68">
        <f t="shared" ca="1" si="54"/>
        <v>0</v>
      </c>
      <c r="L280" s="68">
        <f t="shared" ca="1" si="55"/>
        <v>0</v>
      </c>
      <c r="M280" s="69">
        <f t="shared" si="56"/>
        <v>0</v>
      </c>
      <c r="N280" s="65" t="str">
        <f t="shared" si="57"/>
        <v/>
      </c>
      <c r="O280" s="70" t="str">
        <f>IF(OR($C280="",$D280="",$F280=""),"",IF($F280="Aylık",EOMONTH($D280,0),($D280+MOD(SISTEM!$F$8-WEEKDAY($D280,2),7))))</f>
        <v/>
      </c>
      <c r="P280" s="61"/>
      <c r="Q280" s="2"/>
      <c r="R280" s="2"/>
      <c r="S280" s="1" t="str">
        <f>IF($B280="","",$B280&amp;"|"&amp;COUNTIFS($B$7:$B280,$B280))</f>
        <v/>
      </c>
      <c r="T280" s="1" t="str">
        <f t="shared" si="58"/>
        <v/>
      </c>
      <c r="U280" s="1">
        <f t="shared" si="59"/>
        <v>0</v>
      </c>
      <c r="V280" s="1">
        <f t="shared" si="60"/>
        <v>2958465</v>
      </c>
      <c r="W280" s="1">
        <f t="shared" si="61"/>
        <v>0</v>
      </c>
      <c r="X280" s="1">
        <f t="shared" si="62"/>
        <v>0</v>
      </c>
      <c r="Y280" s="1">
        <f t="shared" si="63"/>
        <v>97200</v>
      </c>
      <c r="Z280" s="1">
        <f t="shared" si="64"/>
        <v>1</v>
      </c>
    </row>
    <row r="281" spans="1:26" ht="18" customHeight="1" x14ac:dyDescent="0.3">
      <c r="A281" s="2"/>
      <c r="B281" s="65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66"/>
      <c r="E281" s="66"/>
      <c r="F281" s="60"/>
      <c r="G281" s="67"/>
      <c r="H281" s="60"/>
      <c r="I281" s="68">
        <f t="shared" ca="1" si="52"/>
        <v>0</v>
      </c>
      <c r="J281" s="68">
        <f t="shared" ca="1" si="53"/>
        <v>0</v>
      </c>
      <c r="K281" s="68">
        <f t="shared" ca="1" si="54"/>
        <v>0</v>
      </c>
      <c r="L281" s="68">
        <f t="shared" ca="1" si="55"/>
        <v>0</v>
      </c>
      <c r="M281" s="69">
        <f t="shared" si="56"/>
        <v>0</v>
      </c>
      <c r="N281" s="65" t="str">
        <f t="shared" si="57"/>
        <v/>
      </c>
      <c r="O281" s="70" t="str">
        <f>IF(OR($C281="",$D281="",$F281=""),"",IF($F281="Aylık",EOMONTH($D281,0),($D281+MOD(SISTEM!$F$8-WEEKDAY($D281,2),7))))</f>
        <v/>
      </c>
      <c r="P281" s="61"/>
      <c r="Q281" s="2"/>
      <c r="R281" s="2"/>
      <c r="S281" s="1" t="str">
        <f>IF($B281="","",$B281&amp;"|"&amp;COUNTIFS($B$7:$B281,$B281))</f>
        <v/>
      </c>
      <c r="T281" s="1" t="str">
        <f t="shared" si="58"/>
        <v/>
      </c>
      <c r="U281" s="1">
        <f t="shared" si="59"/>
        <v>0</v>
      </c>
      <c r="V281" s="1">
        <f t="shared" si="60"/>
        <v>2958465</v>
      </c>
      <c r="W281" s="1">
        <f t="shared" si="61"/>
        <v>0</v>
      </c>
      <c r="X281" s="1">
        <f t="shared" si="62"/>
        <v>0</v>
      </c>
      <c r="Y281" s="1">
        <f t="shared" si="63"/>
        <v>97200</v>
      </c>
      <c r="Z281" s="1">
        <f t="shared" si="64"/>
        <v>1</v>
      </c>
    </row>
    <row r="282" spans="1:26" ht="18" customHeight="1" x14ac:dyDescent="0.3">
      <c r="A282" s="2"/>
      <c r="B282" s="65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66"/>
      <c r="E282" s="66"/>
      <c r="F282" s="60"/>
      <c r="G282" s="67"/>
      <c r="H282" s="60"/>
      <c r="I282" s="68">
        <f t="shared" ca="1" si="52"/>
        <v>0</v>
      </c>
      <c r="J282" s="68">
        <f t="shared" ca="1" si="53"/>
        <v>0</v>
      </c>
      <c r="K282" s="68">
        <f t="shared" ca="1" si="54"/>
        <v>0</v>
      </c>
      <c r="L282" s="68">
        <f t="shared" ca="1" si="55"/>
        <v>0</v>
      </c>
      <c r="M282" s="69">
        <f t="shared" si="56"/>
        <v>0</v>
      </c>
      <c r="N282" s="65" t="str">
        <f t="shared" si="57"/>
        <v/>
      </c>
      <c r="O282" s="70" t="str">
        <f>IF(OR($C282="",$D282="",$F282=""),"",IF($F282="Aylık",EOMONTH($D282,0),($D282+MOD(SISTEM!$F$8-WEEKDAY($D282,2),7))))</f>
        <v/>
      </c>
      <c r="P282" s="61"/>
      <c r="Q282" s="2"/>
      <c r="R282" s="2"/>
      <c r="S282" s="1" t="str">
        <f>IF($B282="","",$B282&amp;"|"&amp;COUNTIFS($B$7:$B282,$B282))</f>
        <v/>
      </c>
      <c r="T282" s="1" t="str">
        <f t="shared" si="58"/>
        <v/>
      </c>
      <c r="U282" s="1">
        <f t="shared" si="59"/>
        <v>0</v>
      </c>
      <c r="V282" s="1">
        <f t="shared" si="60"/>
        <v>2958465</v>
      </c>
      <c r="W282" s="1">
        <f t="shared" si="61"/>
        <v>0</v>
      </c>
      <c r="X282" s="1">
        <f t="shared" si="62"/>
        <v>0</v>
      </c>
      <c r="Y282" s="1">
        <f t="shared" si="63"/>
        <v>97200</v>
      </c>
      <c r="Z282" s="1">
        <f t="shared" si="64"/>
        <v>1</v>
      </c>
    </row>
    <row r="283" spans="1:26" ht="18" customHeight="1" x14ac:dyDescent="0.3">
      <c r="A283" s="2"/>
      <c r="B283" s="65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66"/>
      <c r="E283" s="66"/>
      <c r="F283" s="60"/>
      <c r="G283" s="67"/>
      <c r="H283" s="60"/>
      <c r="I283" s="68">
        <f t="shared" ca="1" si="52"/>
        <v>0</v>
      </c>
      <c r="J283" s="68">
        <f t="shared" ca="1" si="53"/>
        <v>0</v>
      </c>
      <c r="K283" s="68">
        <f t="shared" ca="1" si="54"/>
        <v>0</v>
      </c>
      <c r="L283" s="68">
        <f t="shared" ca="1" si="55"/>
        <v>0</v>
      </c>
      <c r="M283" s="69">
        <f t="shared" si="56"/>
        <v>0</v>
      </c>
      <c r="N283" s="65" t="str">
        <f t="shared" si="57"/>
        <v/>
      </c>
      <c r="O283" s="70" t="str">
        <f>IF(OR($C283="",$D283="",$F283=""),"",IF($F283="Aylık",EOMONTH($D283,0),($D283+MOD(SISTEM!$F$8-WEEKDAY($D283,2),7))))</f>
        <v/>
      </c>
      <c r="P283" s="61"/>
      <c r="Q283" s="2"/>
      <c r="R283" s="2"/>
      <c r="S283" s="1" t="str">
        <f>IF($B283="","",$B283&amp;"|"&amp;COUNTIFS($B$7:$B283,$B283))</f>
        <v/>
      </c>
      <c r="T283" s="1" t="str">
        <f t="shared" si="58"/>
        <v/>
      </c>
      <c r="U283" s="1">
        <f t="shared" si="59"/>
        <v>0</v>
      </c>
      <c r="V283" s="1">
        <f t="shared" si="60"/>
        <v>2958465</v>
      </c>
      <c r="W283" s="1">
        <f t="shared" si="61"/>
        <v>0</v>
      </c>
      <c r="X283" s="1">
        <f t="shared" si="62"/>
        <v>0</v>
      </c>
      <c r="Y283" s="1">
        <f t="shared" si="63"/>
        <v>97200</v>
      </c>
      <c r="Z283" s="1">
        <f t="shared" si="64"/>
        <v>1</v>
      </c>
    </row>
    <row r="284" spans="1:26" ht="18" customHeight="1" x14ac:dyDescent="0.3">
      <c r="A284" s="2"/>
      <c r="B284" s="65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66"/>
      <c r="E284" s="66"/>
      <c r="F284" s="60"/>
      <c r="G284" s="67"/>
      <c r="H284" s="60"/>
      <c r="I284" s="68">
        <f t="shared" ca="1" si="52"/>
        <v>0</v>
      </c>
      <c r="J284" s="68">
        <f t="shared" ca="1" si="53"/>
        <v>0</v>
      </c>
      <c r="K284" s="68">
        <f t="shared" ca="1" si="54"/>
        <v>0</v>
      </c>
      <c r="L284" s="68">
        <f t="shared" ca="1" si="55"/>
        <v>0</v>
      </c>
      <c r="M284" s="69">
        <f t="shared" si="56"/>
        <v>0</v>
      </c>
      <c r="N284" s="65" t="str">
        <f t="shared" si="57"/>
        <v/>
      </c>
      <c r="O284" s="70" t="str">
        <f>IF(OR($C284="",$D284="",$F284=""),"",IF($F284="Aylık",EOMONTH($D284,0),($D284+MOD(SISTEM!$F$8-WEEKDAY($D284,2),7))))</f>
        <v/>
      </c>
      <c r="P284" s="61"/>
      <c r="Q284" s="2"/>
      <c r="R284" s="2"/>
      <c r="S284" s="1" t="str">
        <f>IF($B284="","",$B284&amp;"|"&amp;COUNTIFS($B$7:$B284,$B284))</f>
        <v/>
      </c>
      <c r="T284" s="1" t="str">
        <f t="shared" si="58"/>
        <v/>
      </c>
      <c r="U284" s="1">
        <f t="shared" si="59"/>
        <v>0</v>
      </c>
      <c r="V284" s="1">
        <f t="shared" si="60"/>
        <v>2958465</v>
      </c>
      <c r="W284" s="1">
        <f t="shared" si="61"/>
        <v>0</v>
      </c>
      <c r="X284" s="1">
        <f t="shared" si="62"/>
        <v>0</v>
      </c>
      <c r="Y284" s="1">
        <f t="shared" si="63"/>
        <v>97200</v>
      </c>
      <c r="Z284" s="1">
        <f t="shared" si="64"/>
        <v>1</v>
      </c>
    </row>
    <row r="285" spans="1:26" ht="18" customHeight="1" x14ac:dyDescent="0.3">
      <c r="A285" s="2"/>
      <c r="B285" s="65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66"/>
      <c r="E285" s="66"/>
      <c r="F285" s="60"/>
      <c r="G285" s="67"/>
      <c r="H285" s="60"/>
      <c r="I285" s="68">
        <f t="shared" ca="1" si="52"/>
        <v>0</v>
      </c>
      <c r="J285" s="68">
        <f t="shared" ca="1" si="53"/>
        <v>0</v>
      </c>
      <c r="K285" s="68">
        <f t="shared" ca="1" si="54"/>
        <v>0</v>
      </c>
      <c r="L285" s="68">
        <f t="shared" ca="1" si="55"/>
        <v>0</v>
      </c>
      <c r="M285" s="69">
        <f t="shared" si="56"/>
        <v>0</v>
      </c>
      <c r="N285" s="65" t="str">
        <f t="shared" si="57"/>
        <v/>
      </c>
      <c r="O285" s="70" t="str">
        <f>IF(OR($C285="",$D285="",$F285=""),"",IF($F285="Aylık",EOMONTH($D285,0),($D285+MOD(SISTEM!$F$8-WEEKDAY($D285,2),7))))</f>
        <v/>
      </c>
      <c r="P285" s="61"/>
      <c r="Q285" s="2"/>
      <c r="R285" s="2"/>
      <c r="S285" s="1" t="str">
        <f>IF($B285="","",$B285&amp;"|"&amp;COUNTIFS($B$7:$B285,$B285))</f>
        <v/>
      </c>
      <c r="T285" s="1" t="str">
        <f t="shared" si="58"/>
        <v/>
      </c>
      <c r="U285" s="1">
        <f t="shared" si="59"/>
        <v>0</v>
      </c>
      <c r="V285" s="1">
        <f t="shared" si="60"/>
        <v>2958465</v>
      </c>
      <c r="W285" s="1">
        <f t="shared" si="61"/>
        <v>0</v>
      </c>
      <c r="X285" s="1">
        <f t="shared" si="62"/>
        <v>0</v>
      </c>
      <c r="Y285" s="1">
        <f t="shared" si="63"/>
        <v>97200</v>
      </c>
      <c r="Z285" s="1">
        <f t="shared" si="64"/>
        <v>1</v>
      </c>
    </row>
    <row r="286" spans="1:26" ht="18" customHeight="1" x14ac:dyDescent="0.3">
      <c r="A286" s="2"/>
      <c r="B286" s="65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66"/>
      <c r="E286" s="66"/>
      <c r="F286" s="60"/>
      <c r="G286" s="67"/>
      <c r="H286" s="60"/>
      <c r="I286" s="68">
        <f t="shared" ca="1" si="52"/>
        <v>0</v>
      </c>
      <c r="J286" s="68">
        <f t="shared" ca="1" si="53"/>
        <v>0</v>
      </c>
      <c r="K286" s="68">
        <f t="shared" ca="1" si="54"/>
        <v>0</v>
      </c>
      <c r="L286" s="68">
        <f t="shared" ca="1" si="55"/>
        <v>0</v>
      </c>
      <c r="M286" s="69">
        <f t="shared" si="56"/>
        <v>0</v>
      </c>
      <c r="N286" s="65" t="str">
        <f t="shared" si="57"/>
        <v/>
      </c>
      <c r="O286" s="70" t="str">
        <f>IF(OR($C286="",$D286="",$F286=""),"",IF($F286="Aylık",EOMONTH($D286,0),($D286+MOD(SISTEM!$F$8-WEEKDAY($D286,2),7))))</f>
        <v/>
      </c>
      <c r="P286" s="61"/>
      <c r="Q286" s="2"/>
      <c r="R286" s="2"/>
      <c r="S286" s="1" t="str">
        <f>IF($B286="","",$B286&amp;"|"&amp;COUNTIFS($B$7:$B286,$B286))</f>
        <v/>
      </c>
      <c r="T286" s="1" t="str">
        <f t="shared" si="58"/>
        <v/>
      </c>
      <c r="U286" s="1">
        <f t="shared" si="59"/>
        <v>0</v>
      </c>
      <c r="V286" s="1">
        <f t="shared" si="60"/>
        <v>2958465</v>
      </c>
      <c r="W286" s="1">
        <f t="shared" si="61"/>
        <v>0</v>
      </c>
      <c r="X286" s="1">
        <f t="shared" si="62"/>
        <v>0</v>
      </c>
      <c r="Y286" s="1">
        <f t="shared" si="63"/>
        <v>97200</v>
      </c>
      <c r="Z286" s="1">
        <f t="shared" si="64"/>
        <v>1</v>
      </c>
    </row>
    <row r="287" spans="1:26" ht="18" customHeight="1" x14ac:dyDescent="0.3">
      <c r="A287" s="2"/>
      <c r="B287" s="65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66"/>
      <c r="E287" s="66"/>
      <c r="F287" s="60"/>
      <c r="G287" s="67"/>
      <c r="H287" s="60"/>
      <c r="I287" s="68">
        <f t="shared" ca="1" si="52"/>
        <v>0</v>
      </c>
      <c r="J287" s="68">
        <f t="shared" ca="1" si="53"/>
        <v>0</v>
      </c>
      <c r="K287" s="68">
        <f t="shared" ca="1" si="54"/>
        <v>0</v>
      </c>
      <c r="L287" s="68">
        <f t="shared" ca="1" si="55"/>
        <v>0</v>
      </c>
      <c r="M287" s="69">
        <f t="shared" si="56"/>
        <v>0</v>
      </c>
      <c r="N287" s="65" t="str">
        <f t="shared" si="57"/>
        <v/>
      </c>
      <c r="O287" s="70" t="str">
        <f>IF(OR($C287="",$D287="",$F287=""),"",IF($F287="Aylık",EOMONTH($D287,0),($D287+MOD(SISTEM!$F$8-WEEKDAY($D287,2),7))))</f>
        <v/>
      </c>
      <c r="P287" s="61"/>
      <c r="Q287" s="2"/>
      <c r="R287" s="2"/>
      <c r="S287" s="1" t="str">
        <f>IF($B287="","",$B287&amp;"|"&amp;COUNTIFS($B$7:$B287,$B287))</f>
        <v/>
      </c>
      <c r="T287" s="1" t="str">
        <f t="shared" si="58"/>
        <v/>
      </c>
      <c r="U287" s="1">
        <f t="shared" si="59"/>
        <v>0</v>
      </c>
      <c r="V287" s="1">
        <f t="shared" si="60"/>
        <v>2958465</v>
      </c>
      <c r="W287" s="1">
        <f t="shared" si="61"/>
        <v>0</v>
      </c>
      <c r="X287" s="1">
        <f t="shared" si="62"/>
        <v>0</v>
      </c>
      <c r="Y287" s="1">
        <f t="shared" si="63"/>
        <v>97200</v>
      </c>
      <c r="Z287" s="1">
        <f t="shared" si="64"/>
        <v>1</v>
      </c>
    </row>
    <row r="288" spans="1:26" ht="18" customHeight="1" x14ac:dyDescent="0.3">
      <c r="A288" s="2"/>
      <c r="B288" s="65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66"/>
      <c r="E288" s="66"/>
      <c r="F288" s="60"/>
      <c r="G288" s="67"/>
      <c r="H288" s="60"/>
      <c r="I288" s="68">
        <f t="shared" ca="1" si="52"/>
        <v>0</v>
      </c>
      <c r="J288" s="68">
        <f t="shared" ca="1" si="53"/>
        <v>0</v>
      </c>
      <c r="K288" s="68">
        <f t="shared" ca="1" si="54"/>
        <v>0</v>
      </c>
      <c r="L288" s="68">
        <f t="shared" ca="1" si="55"/>
        <v>0</v>
      </c>
      <c r="M288" s="69">
        <f t="shared" si="56"/>
        <v>0</v>
      </c>
      <c r="N288" s="65" t="str">
        <f t="shared" si="57"/>
        <v/>
      </c>
      <c r="O288" s="70" t="str">
        <f>IF(OR($C288="",$D288="",$F288=""),"",IF($F288="Aylık",EOMONTH($D288,0),($D288+MOD(SISTEM!$F$8-WEEKDAY($D288,2),7))))</f>
        <v/>
      </c>
      <c r="P288" s="61"/>
      <c r="Q288" s="2"/>
      <c r="R288" s="2"/>
      <c r="S288" s="1" t="str">
        <f>IF($B288="","",$B288&amp;"|"&amp;COUNTIFS($B$7:$B288,$B288))</f>
        <v/>
      </c>
      <c r="T288" s="1" t="str">
        <f t="shared" si="58"/>
        <v/>
      </c>
      <c r="U288" s="1">
        <f t="shared" si="59"/>
        <v>0</v>
      </c>
      <c r="V288" s="1">
        <f t="shared" si="60"/>
        <v>2958465</v>
      </c>
      <c r="W288" s="1">
        <f t="shared" si="61"/>
        <v>0</v>
      </c>
      <c r="X288" s="1">
        <f t="shared" si="62"/>
        <v>0</v>
      </c>
      <c r="Y288" s="1">
        <f t="shared" si="63"/>
        <v>97200</v>
      </c>
      <c r="Z288" s="1">
        <f t="shared" si="64"/>
        <v>1</v>
      </c>
    </row>
    <row r="289" spans="1:26" ht="18" customHeight="1" x14ac:dyDescent="0.3">
      <c r="A289" s="2"/>
      <c r="B289" s="65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66"/>
      <c r="E289" s="66"/>
      <c r="F289" s="60"/>
      <c r="G289" s="67"/>
      <c r="H289" s="60"/>
      <c r="I289" s="68">
        <f t="shared" ca="1" si="52"/>
        <v>0</v>
      </c>
      <c r="J289" s="68">
        <f t="shared" ca="1" si="53"/>
        <v>0</v>
      </c>
      <c r="K289" s="68">
        <f t="shared" ca="1" si="54"/>
        <v>0</v>
      </c>
      <c r="L289" s="68">
        <f t="shared" ca="1" si="55"/>
        <v>0</v>
      </c>
      <c r="M289" s="69">
        <f t="shared" si="56"/>
        <v>0</v>
      </c>
      <c r="N289" s="65" t="str">
        <f t="shared" si="57"/>
        <v/>
      </c>
      <c r="O289" s="70" t="str">
        <f>IF(OR($C289="",$D289="",$F289=""),"",IF($F289="Aylık",EOMONTH($D289,0),($D289+MOD(SISTEM!$F$8-WEEKDAY($D289,2),7))))</f>
        <v/>
      </c>
      <c r="P289" s="61"/>
      <c r="Q289" s="2"/>
      <c r="R289" s="2"/>
      <c r="S289" s="1" t="str">
        <f>IF($B289="","",$B289&amp;"|"&amp;COUNTIFS($B$7:$B289,$B289))</f>
        <v/>
      </c>
      <c r="T289" s="1" t="str">
        <f t="shared" si="58"/>
        <v/>
      </c>
      <c r="U289" s="1">
        <f t="shared" si="59"/>
        <v>0</v>
      </c>
      <c r="V289" s="1">
        <f t="shared" si="60"/>
        <v>2958465</v>
      </c>
      <c r="W289" s="1">
        <f t="shared" si="61"/>
        <v>0</v>
      </c>
      <c r="X289" s="1">
        <f t="shared" si="62"/>
        <v>0</v>
      </c>
      <c r="Y289" s="1">
        <f t="shared" si="63"/>
        <v>97200</v>
      </c>
      <c r="Z289" s="1">
        <f t="shared" si="64"/>
        <v>1</v>
      </c>
    </row>
    <row r="290" spans="1:26" ht="18" customHeight="1" x14ac:dyDescent="0.3">
      <c r="A290" s="2"/>
      <c r="B290" s="65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66"/>
      <c r="E290" s="66"/>
      <c r="F290" s="60"/>
      <c r="G290" s="67"/>
      <c r="H290" s="60"/>
      <c r="I290" s="68">
        <f t="shared" ca="1" si="52"/>
        <v>0</v>
      </c>
      <c r="J290" s="68">
        <f t="shared" ca="1" si="53"/>
        <v>0</v>
      </c>
      <c r="K290" s="68">
        <f t="shared" ca="1" si="54"/>
        <v>0</v>
      </c>
      <c r="L290" s="68">
        <f t="shared" ca="1" si="55"/>
        <v>0</v>
      </c>
      <c r="M290" s="69">
        <f t="shared" si="56"/>
        <v>0</v>
      </c>
      <c r="N290" s="65" t="str">
        <f t="shared" si="57"/>
        <v/>
      </c>
      <c r="O290" s="70" t="str">
        <f>IF(OR($C290="",$D290="",$F290=""),"",IF($F290="Aylık",EOMONTH($D290,0),($D290+MOD(SISTEM!$F$8-WEEKDAY($D290,2),7))))</f>
        <v/>
      </c>
      <c r="P290" s="61"/>
      <c r="Q290" s="2"/>
      <c r="R290" s="2"/>
      <c r="S290" s="1" t="str">
        <f>IF($B290="","",$B290&amp;"|"&amp;COUNTIFS($B$7:$B290,$B290))</f>
        <v/>
      </c>
      <c r="T290" s="1" t="str">
        <f t="shared" si="58"/>
        <v/>
      </c>
      <c r="U290" s="1">
        <f t="shared" si="59"/>
        <v>0</v>
      </c>
      <c r="V290" s="1">
        <f t="shared" si="60"/>
        <v>2958465</v>
      </c>
      <c r="W290" s="1">
        <f t="shared" si="61"/>
        <v>0</v>
      </c>
      <c r="X290" s="1">
        <f t="shared" si="62"/>
        <v>0</v>
      </c>
      <c r="Y290" s="1">
        <f t="shared" si="63"/>
        <v>97200</v>
      </c>
      <c r="Z290" s="1">
        <f t="shared" si="64"/>
        <v>1</v>
      </c>
    </row>
    <row r="291" spans="1:26" ht="18" customHeight="1" x14ac:dyDescent="0.3">
      <c r="A291" s="2"/>
      <c r="B291" s="65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66"/>
      <c r="E291" s="66"/>
      <c r="F291" s="60"/>
      <c r="G291" s="67"/>
      <c r="H291" s="60"/>
      <c r="I291" s="68">
        <f t="shared" ca="1" si="52"/>
        <v>0</v>
      </c>
      <c r="J291" s="68">
        <f t="shared" ca="1" si="53"/>
        <v>0</v>
      </c>
      <c r="K291" s="68">
        <f t="shared" ca="1" si="54"/>
        <v>0</v>
      </c>
      <c r="L291" s="68">
        <f t="shared" ca="1" si="55"/>
        <v>0</v>
      </c>
      <c r="M291" s="69">
        <f t="shared" si="56"/>
        <v>0</v>
      </c>
      <c r="N291" s="65" t="str">
        <f t="shared" si="57"/>
        <v/>
      </c>
      <c r="O291" s="70" t="str">
        <f>IF(OR($C291="",$D291="",$F291=""),"",IF($F291="Aylık",EOMONTH($D291,0),($D291+MOD(SISTEM!$F$8-WEEKDAY($D291,2),7))))</f>
        <v/>
      </c>
      <c r="P291" s="61"/>
      <c r="Q291" s="2"/>
      <c r="R291" s="2"/>
      <c r="S291" s="1" t="str">
        <f>IF($B291="","",$B291&amp;"|"&amp;COUNTIFS($B$7:$B291,$B291))</f>
        <v/>
      </c>
      <c r="T291" s="1" t="str">
        <f t="shared" si="58"/>
        <v/>
      </c>
      <c r="U291" s="1">
        <f t="shared" si="59"/>
        <v>0</v>
      </c>
      <c r="V291" s="1">
        <f t="shared" si="60"/>
        <v>2958465</v>
      </c>
      <c r="W291" s="1">
        <f t="shared" si="61"/>
        <v>0</v>
      </c>
      <c r="X291" s="1">
        <f t="shared" si="62"/>
        <v>0</v>
      </c>
      <c r="Y291" s="1">
        <f t="shared" si="63"/>
        <v>97200</v>
      </c>
      <c r="Z291" s="1">
        <f t="shared" si="64"/>
        <v>1</v>
      </c>
    </row>
    <row r="292" spans="1:26" ht="18" customHeight="1" x14ac:dyDescent="0.3">
      <c r="A292" s="2"/>
      <c r="B292" s="65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66"/>
      <c r="E292" s="66"/>
      <c r="F292" s="60"/>
      <c r="G292" s="67"/>
      <c r="H292" s="60"/>
      <c r="I292" s="68">
        <f t="shared" ca="1" si="52"/>
        <v>0</v>
      </c>
      <c r="J292" s="68">
        <f t="shared" ca="1" si="53"/>
        <v>0</v>
      </c>
      <c r="K292" s="68">
        <f t="shared" ca="1" si="54"/>
        <v>0</v>
      </c>
      <c r="L292" s="68">
        <f t="shared" ca="1" si="55"/>
        <v>0</v>
      </c>
      <c r="M292" s="69">
        <f t="shared" si="56"/>
        <v>0</v>
      </c>
      <c r="N292" s="65" t="str">
        <f t="shared" si="57"/>
        <v/>
      </c>
      <c r="O292" s="70" t="str">
        <f>IF(OR($C292="",$D292="",$F292=""),"",IF($F292="Aylık",EOMONTH($D292,0),($D292+MOD(SISTEM!$F$8-WEEKDAY($D292,2),7))))</f>
        <v/>
      </c>
      <c r="P292" s="61"/>
      <c r="Q292" s="2"/>
      <c r="R292" s="2"/>
      <c r="S292" s="1" t="str">
        <f>IF($B292="","",$B292&amp;"|"&amp;COUNTIFS($B$7:$B292,$B292))</f>
        <v/>
      </c>
      <c r="T292" s="1" t="str">
        <f t="shared" si="58"/>
        <v/>
      </c>
      <c r="U292" s="1">
        <f t="shared" si="59"/>
        <v>0</v>
      </c>
      <c r="V292" s="1">
        <f t="shared" si="60"/>
        <v>2958465</v>
      </c>
      <c r="W292" s="1">
        <f t="shared" si="61"/>
        <v>0</v>
      </c>
      <c r="X292" s="1">
        <f t="shared" si="62"/>
        <v>0</v>
      </c>
      <c r="Y292" s="1">
        <f t="shared" si="63"/>
        <v>97200</v>
      </c>
      <c r="Z292" s="1">
        <f t="shared" si="64"/>
        <v>1</v>
      </c>
    </row>
    <row r="293" spans="1:26" ht="18" customHeight="1" x14ac:dyDescent="0.3">
      <c r="A293" s="2"/>
      <c r="B293" s="65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66"/>
      <c r="E293" s="66"/>
      <c r="F293" s="60"/>
      <c r="G293" s="67"/>
      <c r="H293" s="60"/>
      <c r="I293" s="68">
        <f t="shared" ca="1" si="52"/>
        <v>0</v>
      </c>
      <c r="J293" s="68">
        <f t="shared" ca="1" si="53"/>
        <v>0</v>
      </c>
      <c r="K293" s="68">
        <f t="shared" ca="1" si="54"/>
        <v>0</v>
      </c>
      <c r="L293" s="68">
        <f t="shared" ca="1" si="55"/>
        <v>0</v>
      </c>
      <c r="M293" s="69">
        <f t="shared" si="56"/>
        <v>0</v>
      </c>
      <c r="N293" s="65" t="str">
        <f t="shared" si="57"/>
        <v/>
      </c>
      <c r="O293" s="70" t="str">
        <f>IF(OR($C293="",$D293="",$F293=""),"",IF($F293="Aylık",EOMONTH($D293,0),($D293+MOD(SISTEM!$F$8-WEEKDAY($D293,2),7))))</f>
        <v/>
      </c>
      <c r="P293" s="61"/>
      <c r="Q293" s="2"/>
      <c r="R293" s="2"/>
      <c r="S293" s="1" t="str">
        <f>IF($B293="","",$B293&amp;"|"&amp;COUNTIFS($B$7:$B293,$B293))</f>
        <v/>
      </c>
      <c r="T293" s="1" t="str">
        <f t="shared" si="58"/>
        <v/>
      </c>
      <c r="U293" s="1">
        <f t="shared" si="59"/>
        <v>0</v>
      </c>
      <c r="V293" s="1">
        <f t="shared" si="60"/>
        <v>2958465</v>
      </c>
      <c r="W293" s="1">
        <f t="shared" si="61"/>
        <v>0</v>
      </c>
      <c r="X293" s="1">
        <f t="shared" si="62"/>
        <v>0</v>
      </c>
      <c r="Y293" s="1">
        <f t="shared" si="63"/>
        <v>97200</v>
      </c>
      <c r="Z293" s="1">
        <f t="shared" si="64"/>
        <v>1</v>
      </c>
    </row>
    <row r="294" spans="1:26" ht="18" customHeight="1" x14ac:dyDescent="0.3">
      <c r="A294" s="2"/>
      <c r="B294" s="65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66"/>
      <c r="E294" s="66"/>
      <c r="F294" s="60"/>
      <c r="G294" s="67"/>
      <c r="H294" s="60"/>
      <c r="I294" s="68">
        <f t="shared" ca="1" si="52"/>
        <v>0</v>
      </c>
      <c r="J294" s="68">
        <f t="shared" ca="1" si="53"/>
        <v>0</v>
      </c>
      <c r="K294" s="68">
        <f t="shared" ca="1" si="54"/>
        <v>0</v>
      </c>
      <c r="L294" s="68">
        <f t="shared" ca="1" si="55"/>
        <v>0</v>
      </c>
      <c r="M294" s="69">
        <f t="shared" si="56"/>
        <v>0</v>
      </c>
      <c r="N294" s="65" t="str">
        <f t="shared" si="57"/>
        <v/>
      </c>
      <c r="O294" s="70" t="str">
        <f>IF(OR($C294="",$D294="",$F294=""),"",IF($F294="Aylık",EOMONTH($D294,0),($D294+MOD(SISTEM!$F$8-WEEKDAY($D294,2),7))))</f>
        <v/>
      </c>
      <c r="P294" s="61"/>
      <c r="Q294" s="2"/>
      <c r="R294" s="2"/>
      <c r="S294" s="1" t="str">
        <f>IF($B294="","",$B294&amp;"|"&amp;COUNTIFS($B$7:$B294,$B294))</f>
        <v/>
      </c>
      <c r="T294" s="1" t="str">
        <f t="shared" si="58"/>
        <v/>
      </c>
      <c r="U294" s="1">
        <f t="shared" si="59"/>
        <v>0</v>
      </c>
      <c r="V294" s="1">
        <f t="shared" si="60"/>
        <v>2958465</v>
      </c>
      <c r="W294" s="1">
        <f t="shared" si="61"/>
        <v>0</v>
      </c>
      <c r="X294" s="1">
        <f t="shared" si="62"/>
        <v>0</v>
      </c>
      <c r="Y294" s="1">
        <f t="shared" si="63"/>
        <v>97200</v>
      </c>
      <c r="Z294" s="1">
        <f t="shared" si="64"/>
        <v>1</v>
      </c>
    </row>
    <row r="295" spans="1:26" ht="18" customHeight="1" x14ac:dyDescent="0.3">
      <c r="A295" s="2"/>
      <c r="B295" s="65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66"/>
      <c r="E295" s="66"/>
      <c r="F295" s="60"/>
      <c r="G295" s="67"/>
      <c r="H295" s="60"/>
      <c r="I295" s="68">
        <f t="shared" ca="1" si="52"/>
        <v>0</v>
      </c>
      <c r="J295" s="68">
        <f t="shared" ca="1" si="53"/>
        <v>0</v>
      </c>
      <c r="K295" s="68">
        <f t="shared" ca="1" si="54"/>
        <v>0</v>
      </c>
      <c r="L295" s="68">
        <f t="shared" ca="1" si="55"/>
        <v>0</v>
      </c>
      <c r="M295" s="69">
        <f t="shared" si="56"/>
        <v>0</v>
      </c>
      <c r="N295" s="65" t="str">
        <f t="shared" si="57"/>
        <v/>
      </c>
      <c r="O295" s="70" t="str">
        <f>IF(OR($C295="",$D295="",$F295=""),"",IF($F295="Aylık",EOMONTH($D295,0),($D295+MOD(SISTEM!$F$8-WEEKDAY($D295,2),7))))</f>
        <v/>
      </c>
      <c r="P295" s="61"/>
      <c r="Q295" s="2"/>
      <c r="R295" s="2"/>
      <c r="S295" s="1" t="str">
        <f>IF($B295="","",$B295&amp;"|"&amp;COUNTIFS($B$7:$B295,$B295))</f>
        <v/>
      </c>
      <c r="T295" s="1" t="str">
        <f t="shared" si="58"/>
        <v/>
      </c>
      <c r="U295" s="1">
        <f t="shared" si="59"/>
        <v>0</v>
      </c>
      <c r="V295" s="1">
        <f t="shared" si="60"/>
        <v>2958465</v>
      </c>
      <c r="W295" s="1">
        <f t="shared" si="61"/>
        <v>0</v>
      </c>
      <c r="X295" s="1">
        <f t="shared" si="62"/>
        <v>0</v>
      </c>
      <c r="Y295" s="1">
        <f t="shared" si="63"/>
        <v>97200</v>
      </c>
      <c r="Z295" s="1">
        <f t="shared" si="64"/>
        <v>1</v>
      </c>
    </row>
    <row r="296" spans="1:26" ht="18" customHeight="1" x14ac:dyDescent="0.3">
      <c r="A296" s="2"/>
      <c r="B296" s="65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66"/>
      <c r="E296" s="66"/>
      <c r="F296" s="60"/>
      <c r="G296" s="67"/>
      <c r="H296" s="60"/>
      <c r="I296" s="68">
        <f t="shared" ca="1" si="52"/>
        <v>0</v>
      </c>
      <c r="J296" s="68">
        <f t="shared" ca="1" si="53"/>
        <v>0</v>
      </c>
      <c r="K296" s="68">
        <f t="shared" ca="1" si="54"/>
        <v>0</v>
      </c>
      <c r="L296" s="68">
        <f t="shared" ca="1" si="55"/>
        <v>0</v>
      </c>
      <c r="M296" s="69">
        <f t="shared" si="56"/>
        <v>0</v>
      </c>
      <c r="N296" s="65" t="str">
        <f t="shared" si="57"/>
        <v/>
      </c>
      <c r="O296" s="70" t="str">
        <f>IF(OR($C296="",$D296="",$F296=""),"",IF($F296="Aylık",EOMONTH($D296,0),($D296+MOD(SISTEM!$F$8-WEEKDAY($D296,2),7))))</f>
        <v/>
      </c>
      <c r="P296" s="61"/>
      <c r="Q296" s="2"/>
      <c r="R296" s="2"/>
      <c r="S296" s="1" t="str">
        <f>IF($B296="","",$B296&amp;"|"&amp;COUNTIFS($B$7:$B296,$B296))</f>
        <v/>
      </c>
      <c r="T296" s="1" t="str">
        <f t="shared" si="58"/>
        <v/>
      </c>
      <c r="U296" s="1">
        <f t="shared" si="59"/>
        <v>0</v>
      </c>
      <c r="V296" s="1">
        <f t="shared" si="60"/>
        <v>2958465</v>
      </c>
      <c r="W296" s="1">
        <f t="shared" si="61"/>
        <v>0</v>
      </c>
      <c r="X296" s="1">
        <f t="shared" si="62"/>
        <v>0</v>
      </c>
      <c r="Y296" s="1">
        <f t="shared" si="63"/>
        <v>97200</v>
      </c>
      <c r="Z296" s="1">
        <f t="shared" si="64"/>
        <v>1</v>
      </c>
    </row>
    <row r="297" spans="1:26" ht="18" customHeight="1" x14ac:dyDescent="0.3">
      <c r="A297" s="2"/>
      <c r="B297" s="65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66"/>
      <c r="E297" s="66"/>
      <c r="F297" s="60"/>
      <c r="G297" s="67"/>
      <c r="H297" s="60"/>
      <c r="I297" s="68">
        <f t="shared" ca="1" si="52"/>
        <v>0</v>
      </c>
      <c r="J297" s="68">
        <f t="shared" ca="1" si="53"/>
        <v>0</v>
      </c>
      <c r="K297" s="68">
        <f t="shared" ca="1" si="54"/>
        <v>0</v>
      </c>
      <c r="L297" s="68">
        <f t="shared" ca="1" si="55"/>
        <v>0</v>
      </c>
      <c r="M297" s="69">
        <f t="shared" si="56"/>
        <v>0</v>
      </c>
      <c r="N297" s="65" t="str">
        <f t="shared" si="57"/>
        <v/>
      </c>
      <c r="O297" s="70" t="str">
        <f>IF(OR($C297="",$D297="",$F297=""),"",IF($F297="Aylık",EOMONTH($D297,0),($D297+MOD(SISTEM!$F$8-WEEKDAY($D297,2),7))))</f>
        <v/>
      </c>
      <c r="P297" s="61"/>
      <c r="Q297" s="2"/>
      <c r="R297" s="2"/>
      <c r="S297" s="1" t="str">
        <f>IF($B297="","",$B297&amp;"|"&amp;COUNTIFS($B$7:$B297,$B297))</f>
        <v/>
      </c>
      <c r="T297" s="1" t="str">
        <f t="shared" si="58"/>
        <v/>
      </c>
      <c r="U297" s="1">
        <f t="shared" si="59"/>
        <v>0</v>
      </c>
      <c r="V297" s="1">
        <f t="shared" si="60"/>
        <v>2958465</v>
      </c>
      <c r="W297" s="1">
        <f t="shared" si="61"/>
        <v>0</v>
      </c>
      <c r="X297" s="1">
        <f t="shared" si="62"/>
        <v>0</v>
      </c>
      <c r="Y297" s="1">
        <f t="shared" si="63"/>
        <v>97200</v>
      </c>
      <c r="Z297" s="1">
        <f t="shared" si="64"/>
        <v>1</v>
      </c>
    </row>
    <row r="298" spans="1:26" ht="18" customHeight="1" x14ac:dyDescent="0.3">
      <c r="A298" s="2"/>
      <c r="B298" s="65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66"/>
      <c r="E298" s="66"/>
      <c r="F298" s="60"/>
      <c r="G298" s="67"/>
      <c r="H298" s="60"/>
      <c r="I298" s="68">
        <f t="shared" ca="1" si="52"/>
        <v>0</v>
      </c>
      <c r="J298" s="68">
        <f t="shared" ca="1" si="53"/>
        <v>0</v>
      </c>
      <c r="K298" s="68">
        <f t="shared" ca="1" si="54"/>
        <v>0</v>
      </c>
      <c r="L298" s="68">
        <f t="shared" ca="1" si="55"/>
        <v>0</v>
      </c>
      <c r="M298" s="69">
        <f t="shared" si="56"/>
        <v>0</v>
      </c>
      <c r="N298" s="65" t="str">
        <f t="shared" si="57"/>
        <v/>
      </c>
      <c r="O298" s="70" t="str">
        <f>IF(OR($C298="",$D298="",$F298=""),"",IF($F298="Aylık",EOMONTH($D298,0),($D298+MOD(SISTEM!$F$8-WEEKDAY($D298,2),7))))</f>
        <v/>
      </c>
      <c r="P298" s="61"/>
      <c r="Q298" s="2"/>
      <c r="R298" s="2"/>
      <c r="S298" s="1" t="str">
        <f>IF($B298="","",$B298&amp;"|"&amp;COUNTIFS($B$7:$B298,$B298))</f>
        <v/>
      </c>
      <c r="T298" s="1" t="str">
        <f t="shared" si="58"/>
        <v/>
      </c>
      <c r="U298" s="1">
        <f t="shared" si="59"/>
        <v>0</v>
      </c>
      <c r="V298" s="1">
        <f t="shared" si="60"/>
        <v>2958465</v>
      </c>
      <c r="W298" s="1">
        <f t="shared" si="61"/>
        <v>0</v>
      </c>
      <c r="X298" s="1">
        <f t="shared" si="62"/>
        <v>0</v>
      </c>
      <c r="Y298" s="1">
        <f t="shared" si="63"/>
        <v>97200</v>
      </c>
      <c r="Z298" s="1">
        <f t="shared" si="64"/>
        <v>1</v>
      </c>
    </row>
    <row r="299" spans="1:26" ht="18" customHeight="1" x14ac:dyDescent="0.3">
      <c r="A299" s="2"/>
      <c r="B299" s="65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66"/>
      <c r="E299" s="66"/>
      <c r="F299" s="60"/>
      <c r="G299" s="67"/>
      <c r="H299" s="60"/>
      <c r="I299" s="68">
        <f t="shared" ca="1" si="52"/>
        <v>0</v>
      </c>
      <c r="J299" s="68">
        <f t="shared" ca="1" si="53"/>
        <v>0</v>
      </c>
      <c r="K299" s="68">
        <f t="shared" ca="1" si="54"/>
        <v>0</v>
      </c>
      <c r="L299" s="68">
        <f t="shared" ca="1" si="55"/>
        <v>0</v>
      </c>
      <c r="M299" s="69">
        <f t="shared" si="56"/>
        <v>0</v>
      </c>
      <c r="N299" s="65" t="str">
        <f t="shared" si="57"/>
        <v/>
      </c>
      <c r="O299" s="70" t="str">
        <f>IF(OR($C299="",$D299="",$F299=""),"",IF($F299="Aylık",EOMONTH($D299,0),($D299+MOD(SISTEM!$F$8-WEEKDAY($D299,2),7))))</f>
        <v/>
      </c>
      <c r="P299" s="61"/>
      <c r="Q299" s="2"/>
      <c r="R299" s="2"/>
      <c r="S299" s="1" t="str">
        <f>IF($B299="","",$B299&amp;"|"&amp;COUNTIFS($B$7:$B299,$B299))</f>
        <v/>
      </c>
      <c r="T299" s="1" t="str">
        <f t="shared" si="58"/>
        <v/>
      </c>
      <c r="U299" s="1">
        <f t="shared" si="59"/>
        <v>0</v>
      </c>
      <c r="V299" s="1">
        <f t="shared" si="60"/>
        <v>2958465</v>
      </c>
      <c r="W299" s="1">
        <f t="shared" si="61"/>
        <v>0</v>
      </c>
      <c r="X299" s="1">
        <f t="shared" si="62"/>
        <v>0</v>
      </c>
      <c r="Y299" s="1">
        <f t="shared" si="63"/>
        <v>97200</v>
      </c>
      <c r="Z299" s="1">
        <f t="shared" si="64"/>
        <v>1</v>
      </c>
    </row>
    <row r="300" spans="1:26" ht="18" customHeight="1" x14ac:dyDescent="0.3">
      <c r="A300" s="2"/>
      <c r="B300" s="65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66"/>
      <c r="E300" s="66"/>
      <c r="F300" s="60"/>
      <c r="G300" s="67"/>
      <c r="H300" s="60"/>
      <c r="I300" s="68">
        <f t="shared" ca="1" si="52"/>
        <v>0</v>
      </c>
      <c r="J300" s="68">
        <f t="shared" ca="1" si="53"/>
        <v>0</v>
      </c>
      <c r="K300" s="68">
        <f t="shared" ca="1" si="54"/>
        <v>0</v>
      </c>
      <c r="L300" s="68">
        <f t="shared" ca="1" si="55"/>
        <v>0</v>
      </c>
      <c r="M300" s="69">
        <f t="shared" si="56"/>
        <v>0</v>
      </c>
      <c r="N300" s="65" t="str">
        <f t="shared" si="57"/>
        <v/>
      </c>
      <c r="O300" s="70" t="str">
        <f>IF(OR($C300="",$D300="",$F300=""),"",IF($F300="Aylık",EOMONTH($D300,0),($D300+MOD(SISTEM!$F$8-WEEKDAY($D300,2),7))))</f>
        <v/>
      </c>
      <c r="P300" s="61"/>
      <c r="Q300" s="2"/>
      <c r="R300" s="2"/>
      <c r="S300" s="1" t="str">
        <f>IF($B300="","",$B300&amp;"|"&amp;COUNTIFS($B$7:$B300,$B300))</f>
        <v/>
      </c>
      <c r="T300" s="1" t="str">
        <f t="shared" si="58"/>
        <v/>
      </c>
      <c r="U300" s="1">
        <f t="shared" si="59"/>
        <v>0</v>
      </c>
      <c r="V300" s="1">
        <f t="shared" si="60"/>
        <v>2958465</v>
      </c>
      <c r="W300" s="1">
        <f t="shared" si="61"/>
        <v>0</v>
      </c>
      <c r="X300" s="1">
        <f t="shared" si="62"/>
        <v>0</v>
      </c>
      <c r="Y300" s="1">
        <f t="shared" si="63"/>
        <v>97200</v>
      </c>
      <c r="Z300" s="1">
        <f t="shared" si="64"/>
        <v>1</v>
      </c>
    </row>
    <row r="301" spans="1:26" ht="18" customHeight="1" x14ac:dyDescent="0.3">
      <c r="A301" s="2"/>
      <c r="B301" s="65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66"/>
      <c r="E301" s="66"/>
      <c r="F301" s="60"/>
      <c r="G301" s="67"/>
      <c r="H301" s="60"/>
      <c r="I301" s="68">
        <f t="shared" ca="1" si="52"/>
        <v>0</v>
      </c>
      <c r="J301" s="68">
        <f t="shared" ca="1" si="53"/>
        <v>0</v>
      </c>
      <c r="K301" s="68">
        <f t="shared" ca="1" si="54"/>
        <v>0</v>
      </c>
      <c r="L301" s="68">
        <f t="shared" ca="1" si="55"/>
        <v>0</v>
      </c>
      <c r="M301" s="69">
        <f t="shared" si="56"/>
        <v>0</v>
      </c>
      <c r="N301" s="65" t="str">
        <f t="shared" si="57"/>
        <v/>
      </c>
      <c r="O301" s="70" t="str">
        <f>IF(OR($C301="",$D301="",$F301=""),"",IF($F301="Aylık",EOMONTH($D301,0),($D301+MOD(SISTEM!$F$8-WEEKDAY($D301,2),7))))</f>
        <v/>
      </c>
      <c r="P301" s="61"/>
      <c r="Q301" s="2"/>
      <c r="R301" s="2"/>
      <c r="S301" s="1" t="str">
        <f>IF($B301="","",$B301&amp;"|"&amp;COUNTIFS($B$7:$B301,$B301))</f>
        <v/>
      </c>
      <c r="T301" s="1" t="str">
        <f t="shared" si="58"/>
        <v/>
      </c>
      <c r="U301" s="1">
        <f t="shared" si="59"/>
        <v>0</v>
      </c>
      <c r="V301" s="1">
        <f t="shared" si="60"/>
        <v>2958465</v>
      </c>
      <c r="W301" s="1">
        <f t="shared" si="61"/>
        <v>0</v>
      </c>
      <c r="X301" s="1">
        <f t="shared" si="62"/>
        <v>0</v>
      </c>
      <c r="Y301" s="1">
        <f t="shared" si="63"/>
        <v>97200</v>
      </c>
      <c r="Z301" s="1">
        <f t="shared" si="64"/>
        <v>1</v>
      </c>
    </row>
    <row r="302" spans="1:26" ht="18" customHeight="1" x14ac:dyDescent="0.3">
      <c r="A302" s="2"/>
      <c r="B302" s="65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66"/>
      <c r="E302" s="66"/>
      <c r="F302" s="60"/>
      <c r="G302" s="67"/>
      <c r="H302" s="60"/>
      <c r="I302" s="68">
        <f t="shared" ca="1" si="52"/>
        <v>0</v>
      </c>
      <c r="J302" s="68">
        <f t="shared" ca="1" si="53"/>
        <v>0</v>
      </c>
      <c r="K302" s="68">
        <f t="shared" ca="1" si="54"/>
        <v>0</v>
      </c>
      <c r="L302" s="68">
        <f t="shared" ca="1" si="55"/>
        <v>0</v>
      </c>
      <c r="M302" s="69">
        <f t="shared" si="56"/>
        <v>0</v>
      </c>
      <c r="N302" s="65" t="str">
        <f t="shared" si="57"/>
        <v/>
      </c>
      <c r="O302" s="70" t="str">
        <f>IF(OR($C302="",$D302="",$F302=""),"",IF($F302="Aylık",EOMONTH($D302,0),($D302+MOD(SISTEM!$F$8-WEEKDAY($D302,2),7))))</f>
        <v/>
      </c>
      <c r="P302" s="61"/>
      <c r="Q302" s="2"/>
      <c r="R302" s="2"/>
      <c r="S302" s="1" t="str">
        <f>IF($B302="","",$B302&amp;"|"&amp;COUNTIFS($B$7:$B302,$B302))</f>
        <v/>
      </c>
      <c r="T302" s="1" t="str">
        <f t="shared" si="58"/>
        <v/>
      </c>
      <c r="U302" s="1">
        <f t="shared" si="59"/>
        <v>0</v>
      </c>
      <c r="V302" s="1">
        <f t="shared" si="60"/>
        <v>2958465</v>
      </c>
      <c r="W302" s="1">
        <f t="shared" si="61"/>
        <v>0</v>
      </c>
      <c r="X302" s="1">
        <f t="shared" si="62"/>
        <v>0</v>
      </c>
      <c r="Y302" s="1">
        <f t="shared" si="63"/>
        <v>97200</v>
      </c>
      <c r="Z302" s="1">
        <f t="shared" si="64"/>
        <v>1</v>
      </c>
    </row>
    <row r="303" spans="1:26" ht="18" customHeight="1" x14ac:dyDescent="0.3">
      <c r="A303" s="2"/>
      <c r="B303" s="65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66"/>
      <c r="E303" s="66"/>
      <c r="F303" s="60"/>
      <c r="G303" s="67"/>
      <c r="H303" s="60"/>
      <c r="I303" s="68">
        <f t="shared" ca="1" si="52"/>
        <v>0</v>
      </c>
      <c r="J303" s="68">
        <f t="shared" ca="1" si="53"/>
        <v>0</v>
      </c>
      <c r="K303" s="68">
        <f t="shared" ca="1" si="54"/>
        <v>0</v>
      </c>
      <c r="L303" s="68">
        <f t="shared" ca="1" si="55"/>
        <v>0</v>
      </c>
      <c r="M303" s="69">
        <f t="shared" si="56"/>
        <v>0</v>
      </c>
      <c r="N303" s="65" t="str">
        <f t="shared" si="57"/>
        <v/>
      </c>
      <c r="O303" s="70" t="str">
        <f>IF(OR($C303="",$D303="",$F303=""),"",IF($F303="Aylık",EOMONTH($D303,0),($D303+MOD(SISTEM!$F$8-WEEKDAY($D303,2),7))))</f>
        <v/>
      </c>
      <c r="P303" s="61"/>
      <c r="Q303" s="2"/>
      <c r="R303" s="2"/>
      <c r="S303" s="1" t="str">
        <f>IF($B303="","",$B303&amp;"|"&amp;COUNTIFS($B$7:$B303,$B303))</f>
        <v/>
      </c>
      <c r="T303" s="1" t="str">
        <f t="shared" si="58"/>
        <v/>
      </c>
      <c r="U303" s="1">
        <f t="shared" si="59"/>
        <v>0</v>
      </c>
      <c r="V303" s="1">
        <f t="shared" si="60"/>
        <v>2958465</v>
      </c>
      <c r="W303" s="1">
        <f t="shared" si="61"/>
        <v>0</v>
      </c>
      <c r="X303" s="1">
        <f t="shared" si="62"/>
        <v>0</v>
      </c>
      <c r="Y303" s="1">
        <f t="shared" si="63"/>
        <v>97200</v>
      </c>
      <c r="Z303" s="1">
        <f t="shared" si="64"/>
        <v>1</v>
      </c>
    </row>
    <row r="304" spans="1:26" ht="18" customHeight="1" x14ac:dyDescent="0.3">
      <c r="A304" s="2"/>
      <c r="B304" s="65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66"/>
      <c r="E304" s="66"/>
      <c r="F304" s="60"/>
      <c r="G304" s="67"/>
      <c r="H304" s="60"/>
      <c r="I304" s="68">
        <f t="shared" ca="1" si="52"/>
        <v>0</v>
      </c>
      <c r="J304" s="68">
        <f t="shared" ca="1" si="53"/>
        <v>0</v>
      </c>
      <c r="K304" s="68">
        <f t="shared" ca="1" si="54"/>
        <v>0</v>
      </c>
      <c r="L304" s="68">
        <f t="shared" ca="1" si="55"/>
        <v>0</v>
      </c>
      <c r="M304" s="69">
        <f t="shared" si="56"/>
        <v>0</v>
      </c>
      <c r="N304" s="65" t="str">
        <f t="shared" si="57"/>
        <v/>
      </c>
      <c r="O304" s="70" t="str">
        <f>IF(OR($C304="",$D304="",$F304=""),"",IF($F304="Aylık",EOMONTH($D304,0),($D304+MOD(SISTEM!$F$8-WEEKDAY($D304,2),7))))</f>
        <v/>
      </c>
      <c r="P304" s="61"/>
      <c r="Q304" s="2"/>
      <c r="R304" s="2"/>
      <c r="S304" s="1" t="str">
        <f>IF($B304="","",$B304&amp;"|"&amp;COUNTIFS($B$7:$B304,$B304))</f>
        <v/>
      </c>
      <c r="T304" s="1" t="str">
        <f t="shared" si="58"/>
        <v/>
      </c>
      <c r="U304" s="1">
        <f t="shared" si="59"/>
        <v>0</v>
      </c>
      <c r="V304" s="1">
        <f t="shared" si="60"/>
        <v>2958465</v>
      </c>
      <c r="W304" s="1">
        <f t="shared" si="61"/>
        <v>0</v>
      </c>
      <c r="X304" s="1">
        <f t="shared" si="62"/>
        <v>0</v>
      </c>
      <c r="Y304" s="1">
        <f t="shared" si="63"/>
        <v>97200</v>
      </c>
      <c r="Z304" s="1">
        <f t="shared" si="64"/>
        <v>1</v>
      </c>
    </row>
    <row r="305" spans="1:26" ht="18" customHeight="1" x14ac:dyDescent="0.3">
      <c r="A305" s="2"/>
      <c r="B305" s="65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66"/>
      <c r="E305" s="66"/>
      <c r="F305" s="60"/>
      <c r="G305" s="67"/>
      <c r="H305" s="60"/>
      <c r="I305" s="68">
        <f t="shared" ca="1" si="52"/>
        <v>0</v>
      </c>
      <c r="J305" s="68">
        <f t="shared" ca="1" si="53"/>
        <v>0</v>
      </c>
      <c r="K305" s="68">
        <f t="shared" ca="1" si="54"/>
        <v>0</v>
      </c>
      <c r="L305" s="68">
        <f t="shared" ca="1" si="55"/>
        <v>0</v>
      </c>
      <c r="M305" s="69">
        <f t="shared" si="56"/>
        <v>0</v>
      </c>
      <c r="N305" s="65" t="str">
        <f t="shared" si="57"/>
        <v/>
      </c>
      <c r="O305" s="70" t="str">
        <f>IF(OR($C305="",$D305="",$F305=""),"",IF($F305="Aylık",EOMONTH($D305,0),($D305+MOD(SISTEM!$F$8-WEEKDAY($D305,2),7))))</f>
        <v/>
      </c>
      <c r="P305" s="61"/>
      <c r="Q305" s="2"/>
      <c r="R305" s="2"/>
      <c r="S305" s="1" t="str">
        <f>IF($B305="","",$B305&amp;"|"&amp;COUNTIFS($B$7:$B305,$B305))</f>
        <v/>
      </c>
      <c r="T305" s="1" t="str">
        <f t="shared" si="58"/>
        <v/>
      </c>
      <c r="U305" s="1">
        <f t="shared" si="59"/>
        <v>0</v>
      </c>
      <c r="V305" s="1">
        <f t="shared" si="60"/>
        <v>2958465</v>
      </c>
      <c r="W305" s="1">
        <f t="shared" si="61"/>
        <v>0</v>
      </c>
      <c r="X305" s="1">
        <f t="shared" si="62"/>
        <v>0</v>
      </c>
      <c r="Y305" s="1">
        <f t="shared" si="63"/>
        <v>97200</v>
      </c>
      <c r="Z305" s="1">
        <f t="shared" si="64"/>
        <v>1</v>
      </c>
    </row>
    <row r="306" spans="1:26" ht="18" customHeight="1" x14ac:dyDescent="0.3">
      <c r="A306" s="2"/>
      <c r="B306" s="65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66"/>
      <c r="E306" s="66"/>
      <c r="F306" s="60"/>
      <c r="G306" s="67"/>
      <c r="H306" s="60"/>
      <c r="I306" s="68">
        <f t="shared" ca="1" si="52"/>
        <v>0</v>
      </c>
      <c r="J306" s="68">
        <f t="shared" ca="1" si="53"/>
        <v>0</v>
      </c>
      <c r="K306" s="68">
        <f t="shared" ca="1" si="54"/>
        <v>0</v>
      </c>
      <c r="L306" s="68">
        <f t="shared" ca="1" si="55"/>
        <v>0</v>
      </c>
      <c r="M306" s="69">
        <f t="shared" si="56"/>
        <v>0</v>
      </c>
      <c r="N306" s="65" t="str">
        <f t="shared" si="57"/>
        <v/>
      </c>
      <c r="O306" s="70" t="str">
        <f>IF(OR($C306="",$D306="",$F306=""),"",IF($F306="Aylık",EOMONTH($D306,0),($D306+MOD(SISTEM!$F$8-WEEKDAY($D306,2),7))))</f>
        <v/>
      </c>
      <c r="P306" s="61"/>
      <c r="Q306" s="2"/>
      <c r="R306" s="2"/>
      <c r="S306" s="1" t="str">
        <f>IF($B306="","",$B306&amp;"|"&amp;COUNTIFS($B$7:$B306,$B306))</f>
        <v/>
      </c>
      <c r="T306" s="1" t="str">
        <f t="shared" si="58"/>
        <v/>
      </c>
      <c r="U306" s="1">
        <f t="shared" si="59"/>
        <v>0</v>
      </c>
      <c r="V306" s="1">
        <f t="shared" si="60"/>
        <v>2958465</v>
      </c>
      <c r="W306" s="1">
        <f t="shared" si="61"/>
        <v>0</v>
      </c>
      <c r="X306" s="1">
        <f t="shared" si="62"/>
        <v>0</v>
      </c>
      <c r="Y306" s="1">
        <f t="shared" si="63"/>
        <v>97200</v>
      </c>
      <c r="Z306" s="1">
        <f t="shared" si="64"/>
        <v>1</v>
      </c>
    </row>
    <row r="307" spans="1:26" ht="18" customHeight="1" x14ac:dyDescent="0.3">
      <c r="A307" s="2"/>
      <c r="B307" s="65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66"/>
      <c r="E307" s="66"/>
      <c r="F307" s="60"/>
      <c r="G307" s="67"/>
      <c r="H307" s="60"/>
      <c r="I307" s="68">
        <f t="shared" ca="1" si="52"/>
        <v>0</v>
      </c>
      <c r="J307" s="68">
        <f t="shared" ca="1" si="53"/>
        <v>0</v>
      </c>
      <c r="K307" s="68">
        <f t="shared" ca="1" si="54"/>
        <v>0</v>
      </c>
      <c r="L307" s="68">
        <f t="shared" ca="1" si="55"/>
        <v>0</v>
      </c>
      <c r="M307" s="69">
        <f t="shared" si="56"/>
        <v>0</v>
      </c>
      <c r="N307" s="65" t="str">
        <f t="shared" si="57"/>
        <v/>
      </c>
      <c r="O307" s="70" t="str">
        <f>IF(OR($C307="",$D307="",$F307=""),"",IF($F307="Aylık",EOMONTH($D307,0),($D307+MOD(SISTEM!$F$8-WEEKDAY($D307,2),7))))</f>
        <v/>
      </c>
      <c r="P307" s="61"/>
      <c r="Q307" s="2"/>
      <c r="R307" s="2"/>
      <c r="S307" s="1" t="str">
        <f>IF($B307="","",$B307&amp;"|"&amp;COUNTIFS($B$7:$B307,$B307))</f>
        <v/>
      </c>
      <c r="T307" s="1" t="str">
        <f t="shared" si="58"/>
        <v/>
      </c>
      <c r="U307" s="1">
        <f t="shared" si="59"/>
        <v>0</v>
      </c>
      <c r="V307" s="1">
        <f t="shared" si="60"/>
        <v>2958465</v>
      </c>
      <c r="W307" s="1">
        <f t="shared" si="61"/>
        <v>0</v>
      </c>
      <c r="X307" s="1">
        <f t="shared" si="62"/>
        <v>0</v>
      </c>
      <c r="Y307" s="1">
        <f t="shared" si="63"/>
        <v>97200</v>
      </c>
      <c r="Z307" s="1">
        <f t="shared" si="64"/>
        <v>1</v>
      </c>
    </row>
    <row r="308" spans="1:26" ht="18" customHeight="1" x14ac:dyDescent="0.3">
      <c r="A308" s="2"/>
      <c r="B308" s="65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66"/>
      <c r="E308" s="66"/>
      <c r="F308" s="60"/>
      <c r="G308" s="67"/>
      <c r="H308" s="60"/>
      <c r="I308" s="68">
        <f t="shared" ca="1" si="52"/>
        <v>0</v>
      </c>
      <c r="J308" s="68">
        <f t="shared" ca="1" si="53"/>
        <v>0</v>
      </c>
      <c r="K308" s="68">
        <f t="shared" ca="1" si="54"/>
        <v>0</v>
      </c>
      <c r="L308" s="68">
        <f t="shared" ca="1" si="55"/>
        <v>0</v>
      </c>
      <c r="M308" s="69">
        <f t="shared" si="56"/>
        <v>0</v>
      </c>
      <c r="N308" s="65" t="str">
        <f t="shared" si="57"/>
        <v/>
      </c>
      <c r="O308" s="70" t="str">
        <f>IF(OR($C308="",$D308="",$F308=""),"",IF($F308="Aylık",EOMONTH($D308,0),($D308+MOD(SISTEM!$F$8-WEEKDAY($D308,2),7))))</f>
        <v/>
      </c>
      <c r="P308" s="61"/>
      <c r="Q308" s="2"/>
      <c r="R308" s="2"/>
      <c r="S308" s="1" t="str">
        <f>IF($B308="","",$B308&amp;"|"&amp;COUNTIFS($B$7:$B308,$B308))</f>
        <v/>
      </c>
      <c r="T308" s="1" t="str">
        <f t="shared" si="58"/>
        <v/>
      </c>
      <c r="U308" s="1">
        <f t="shared" si="59"/>
        <v>0</v>
      </c>
      <c r="V308" s="1">
        <f t="shared" si="60"/>
        <v>2958465</v>
      </c>
      <c r="W308" s="1">
        <f t="shared" si="61"/>
        <v>0</v>
      </c>
      <c r="X308" s="1">
        <f t="shared" si="62"/>
        <v>0</v>
      </c>
      <c r="Y308" s="1">
        <f t="shared" si="63"/>
        <v>97200</v>
      </c>
      <c r="Z308" s="1">
        <f t="shared" si="64"/>
        <v>1</v>
      </c>
    </row>
    <row r="309" spans="1:26" ht="18" customHeight="1" x14ac:dyDescent="0.3">
      <c r="A309" s="2"/>
      <c r="B309" s="65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66"/>
      <c r="E309" s="66"/>
      <c r="F309" s="60"/>
      <c r="G309" s="67"/>
      <c r="H309" s="60"/>
      <c r="I309" s="68">
        <f t="shared" ca="1" si="52"/>
        <v>0</v>
      </c>
      <c r="J309" s="68">
        <f t="shared" ca="1" si="53"/>
        <v>0</v>
      </c>
      <c r="K309" s="68">
        <f t="shared" ca="1" si="54"/>
        <v>0</v>
      </c>
      <c r="L309" s="68">
        <f t="shared" ca="1" si="55"/>
        <v>0</v>
      </c>
      <c r="M309" s="69">
        <f t="shared" si="56"/>
        <v>0</v>
      </c>
      <c r="N309" s="65" t="str">
        <f t="shared" si="57"/>
        <v/>
      </c>
      <c r="O309" s="70" t="str">
        <f>IF(OR($C309="",$D309="",$F309=""),"",IF($F309="Aylık",EOMONTH($D309,0),($D309+MOD(SISTEM!$F$8-WEEKDAY($D309,2),7))))</f>
        <v/>
      </c>
      <c r="P309" s="61"/>
      <c r="Q309" s="2"/>
      <c r="R309" s="2"/>
      <c r="S309" s="1" t="str">
        <f>IF($B309="","",$B309&amp;"|"&amp;COUNTIFS($B$7:$B309,$B309))</f>
        <v/>
      </c>
      <c r="T309" s="1" t="str">
        <f t="shared" si="58"/>
        <v/>
      </c>
      <c r="U309" s="1">
        <f t="shared" si="59"/>
        <v>0</v>
      </c>
      <c r="V309" s="1">
        <f t="shared" si="60"/>
        <v>2958465</v>
      </c>
      <c r="W309" s="1">
        <f t="shared" si="61"/>
        <v>0</v>
      </c>
      <c r="X309" s="1">
        <f t="shared" si="62"/>
        <v>0</v>
      </c>
      <c r="Y309" s="1">
        <f t="shared" si="63"/>
        <v>97200</v>
      </c>
      <c r="Z309" s="1">
        <f t="shared" si="64"/>
        <v>1</v>
      </c>
    </row>
    <row r="310" spans="1:26" ht="18" customHeight="1" x14ac:dyDescent="0.3">
      <c r="A310" s="2"/>
      <c r="B310" s="65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66"/>
      <c r="E310" s="66"/>
      <c r="F310" s="60"/>
      <c r="G310" s="67"/>
      <c r="H310" s="60"/>
      <c r="I310" s="68">
        <f t="shared" ca="1" si="52"/>
        <v>0</v>
      </c>
      <c r="J310" s="68">
        <f t="shared" ca="1" si="53"/>
        <v>0</v>
      </c>
      <c r="K310" s="68">
        <f t="shared" ca="1" si="54"/>
        <v>0</v>
      </c>
      <c r="L310" s="68">
        <f t="shared" ca="1" si="55"/>
        <v>0</v>
      </c>
      <c r="M310" s="69">
        <f t="shared" si="56"/>
        <v>0</v>
      </c>
      <c r="N310" s="65" t="str">
        <f t="shared" si="57"/>
        <v/>
      </c>
      <c r="O310" s="70" t="str">
        <f>IF(OR($C310="",$D310="",$F310=""),"",IF($F310="Aylık",EOMONTH($D310,0),($D310+MOD(SISTEM!$F$8-WEEKDAY($D310,2),7))))</f>
        <v/>
      </c>
      <c r="P310" s="61"/>
      <c r="Q310" s="2"/>
      <c r="R310" s="2"/>
      <c r="S310" s="1" t="str">
        <f>IF($B310="","",$B310&amp;"|"&amp;COUNTIFS($B$7:$B310,$B310))</f>
        <v/>
      </c>
      <c r="T310" s="1" t="str">
        <f t="shared" si="58"/>
        <v/>
      </c>
      <c r="U310" s="1">
        <f t="shared" si="59"/>
        <v>0</v>
      </c>
      <c r="V310" s="1">
        <f t="shared" si="60"/>
        <v>2958465</v>
      </c>
      <c r="W310" s="1">
        <f t="shared" si="61"/>
        <v>0</v>
      </c>
      <c r="X310" s="1">
        <f t="shared" si="62"/>
        <v>0</v>
      </c>
      <c r="Y310" s="1">
        <f t="shared" si="63"/>
        <v>97200</v>
      </c>
      <c r="Z310" s="1">
        <f t="shared" si="64"/>
        <v>1</v>
      </c>
    </row>
    <row r="311" spans="1:26" ht="18" customHeight="1" x14ac:dyDescent="0.3">
      <c r="A311" s="2"/>
      <c r="B311" s="65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66"/>
      <c r="E311" s="66"/>
      <c r="F311" s="60"/>
      <c r="G311" s="67"/>
      <c r="H311" s="60"/>
      <c r="I311" s="68">
        <f t="shared" ca="1" si="52"/>
        <v>0</v>
      </c>
      <c r="J311" s="68">
        <f t="shared" ca="1" si="53"/>
        <v>0</v>
      </c>
      <c r="K311" s="68">
        <f t="shared" ca="1" si="54"/>
        <v>0</v>
      </c>
      <c r="L311" s="68">
        <f t="shared" ca="1" si="55"/>
        <v>0</v>
      </c>
      <c r="M311" s="69">
        <f t="shared" si="56"/>
        <v>0</v>
      </c>
      <c r="N311" s="65" t="str">
        <f t="shared" si="57"/>
        <v/>
      </c>
      <c r="O311" s="70" t="str">
        <f>IF(OR($C311="",$D311="",$F311=""),"",IF($F311="Aylık",EOMONTH($D311,0),($D311+MOD(SISTEM!$F$8-WEEKDAY($D311,2),7))))</f>
        <v/>
      </c>
      <c r="P311" s="61"/>
      <c r="Q311" s="2"/>
      <c r="R311" s="2"/>
      <c r="S311" s="1" t="str">
        <f>IF($B311="","",$B311&amp;"|"&amp;COUNTIFS($B$7:$B311,$B311))</f>
        <v/>
      </c>
      <c r="T311" s="1" t="str">
        <f t="shared" si="58"/>
        <v/>
      </c>
      <c r="U311" s="1">
        <f t="shared" si="59"/>
        <v>0</v>
      </c>
      <c r="V311" s="1">
        <f t="shared" si="60"/>
        <v>2958465</v>
      </c>
      <c r="W311" s="1">
        <f t="shared" si="61"/>
        <v>0</v>
      </c>
      <c r="X311" s="1">
        <f t="shared" si="62"/>
        <v>0</v>
      </c>
      <c r="Y311" s="1">
        <f t="shared" si="63"/>
        <v>97200</v>
      </c>
      <c r="Z311" s="1">
        <f t="shared" si="64"/>
        <v>1</v>
      </c>
    </row>
    <row r="312" spans="1:26" ht="18" customHeight="1" x14ac:dyDescent="0.3">
      <c r="A312" s="2"/>
      <c r="B312" s="65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66"/>
      <c r="E312" s="66"/>
      <c r="F312" s="60"/>
      <c r="G312" s="67"/>
      <c r="H312" s="60"/>
      <c r="I312" s="68">
        <f t="shared" ca="1" si="52"/>
        <v>0</v>
      </c>
      <c r="J312" s="68">
        <f t="shared" ca="1" si="53"/>
        <v>0</v>
      </c>
      <c r="K312" s="68">
        <f t="shared" ca="1" si="54"/>
        <v>0</v>
      </c>
      <c r="L312" s="68">
        <f t="shared" ca="1" si="55"/>
        <v>0</v>
      </c>
      <c r="M312" s="69">
        <f t="shared" si="56"/>
        <v>0</v>
      </c>
      <c r="N312" s="65" t="str">
        <f t="shared" si="57"/>
        <v/>
      </c>
      <c r="O312" s="70" t="str">
        <f>IF(OR($C312="",$D312="",$F312=""),"",IF($F312="Aylık",EOMONTH($D312,0),($D312+MOD(SISTEM!$F$8-WEEKDAY($D312,2),7))))</f>
        <v/>
      </c>
      <c r="P312" s="61"/>
      <c r="Q312" s="2"/>
      <c r="R312" s="2"/>
      <c r="S312" s="1" t="str">
        <f>IF($B312="","",$B312&amp;"|"&amp;COUNTIFS($B$7:$B312,$B312))</f>
        <v/>
      </c>
      <c r="T312" s="1" t="str">
        <f t="shared" si="58"/>
        <v/>
      </c>
      <c r="U312" s="1">
        <f t="shared" si="59"/>
        <v>0</v>
      </c>
      <c r="V312" s="1">
        <f t="shared" si="60"/>
        <v>2958465</v>
      </c>
      <c r="W312" s="1">
        <f t="shared" si="61"/>
        <v>0</v>
      </c>
      <c r="X312" s="1">
        <f t="shared" si="62"/>
        <v>0</v>
      </c>
      <c r="Y312" s="1">
        <f t="shared" si="63"/>
        <v>97200</v>
      </c>
      <c r="Z312" s="1">
        <f t="shared" si="64"/>
        <v>1</v>
      </c>
    </row>
    <row r="313" spans="1:26" ht="18" customHeight="1" x14ac:dyDescent="0.3">
      <c r="A313" s="2"/>
      <c r="B313" s="65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66"/>
      <c r="E313" s="66"/>
      <c r="F313" s="60"/>
      <c r="G313" s="67"/>
      <c r="H313" s="60"/>
      <c r="I313" s="68">
        <f t="shared" ca="1" si="52"/>
        <v>0</v>
      </c>
      <c r="J313" s="68">
        <f t="shared" ca="1" si="53"/>
        <v>0</v>
      </c>
      <c r="K313" s="68">
        <f t="shared" ca="1" si="54"/>
        <v>0</v>
      </c>
      <c r="L313" s="68">
        <f t="shared" ca="1" si="55"/>
        <v>0</v>
      </c>
      <c r="M313" s="69">
        <f t="shared" si="56"/>
        <v>0</v>
      </c>
      <c r="N313" s="65" t="str">
        <f t="shared" si="57"/>
        <v/>
      </c>
      <c r="O313" s="70" t="str">
        <f>IF(OR($C313="",$D313="",$F313=""),"",IF($F313="Aylık",EOMONTH($D313,0),($D313+MOD(SISTEM!$F$8-WEEKDAY($D313,2),7))))</f>
        <v/>
      </c>
      <c r="P313" s="61"/>
      <c r="Q313" s="2"/>
      <c r="R313" s="2"/>
      <c r="S313" s="1" t="str">
        <f>IF($B313="","",$B313&amp;"|"&amp;COUNTIFS($B$7:$B313,$B313))</f>
        <v/>
      </c>
      <c r="T313" s="1" t="str">
        <f t="shared" si="58"/>
        <v/>
      </c>
      <c r="U313" s="1">
        <f t="shared" si="59"/>
        <v>0</v>
      </c>
      <c r="V313" s="1">
        <f t="shared" si="60"/>
        <v>2958465</v>
      </c>
      <c r="W313" s="1">
        <f t="shared" si="61"/>
        <v>0</v>
      </c>
      <c r="X313" s="1">
        <f t="shared" si="62"/>
        <v>0</v>
      </c>
      <c r="Y313" s="1">
        <f t="shared" si="63"/>
        <v>97200</v>
      </c>
      <c r="Z313" s="1">
        <f t="shared" si="64"/>
        <v>1</v>
      </c>
    </row>
    <row r="314" spans="1:26" ht="18" customHeight="1" x14ac:dyDescent="0.3">
      <c r="A314" s="2"/>
      <c r="B314" s="65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66"/>
      <c r="E314" s="66"/>
      <c r="F314" s="60"/>
      <c r="G314" s="67"/>
      <c r="H314" s="60"/>
      <c r="I314" s="68">
        <f t="shared" ca="1" si="52"/>
        <v>0</v>
      </c>
      <c r="J314" s="68">
        <f t="shared" ca="1" si="53"/>
        <v>0</v>
      </c>
      <c r="K314" s="68">
        <f t="shared" ca="1" si="54"/>
        <v>0</v>
      </c>
      <c r="L314" s="68">
        <f t="shared" ca="1" si="55"/>
        <v>0</v>
      </c>
      <c r="M314" s="69">
        <f t="shared" si="56"/>
        <v>0</v>
      </c>
      <c r="N314" s="65" t="str">
        <f t="shared" si="57"/>
        <v/>
      </c>
      <c r="O314" s="70" t="str">
        <f>IF(OR($C314="",$D314="",$F314=""),"",IF($F314="Aylık",EOMONTH($D314,0),($D314+MOD(SISTEM!$F$8-WEEKDAY($D314,2),7))))</f>
        <v/>
      </c>
      <c r="P314" s="61"/>
      <c r="Q314" s="2"/>
      <c r="R314" s="2"/>
      <c r="S314" s="1" t="str">
        <f>IF($B314="","",$B314&amp;"|"&amp;COUNTIFS($B$7:$B314,$B314))</f>
        <v/>
      </c>
      <c r="T314" s="1" t="str">
        <f t="shared" si="58"/>
        <v/>
      </c>
      <c r="U314" s="1">
        <f t="shared" si="59"/>
        <v>0</v>
      </c>
      <c r="V314" s="1">
        <f t="shared" si="60"/>
        <v>2958465</v>
      </c>
      <c r="W314" s="1">
        <f t="shared" si="61"/>
        <v>0</v>
      </c>
      <c r="X314" s="1">
        <f t="shared" si="62"/>
        <v>0</v>
      </c>
      <c r="Y314" s="1">
        <f t="shared" si="63"/>
        <v>97200</v>
      </c>
      <c r="Z314" s="1">
        <f t="shared" si="64"/>
        <v>1</v>
      </c>
    </row>
    <row r="315" spans="1:26" ht="18" customHeight="1" x14ac:dyDescent="0.3">
      <c r="A315" s="2"/>
      <c r="B315" s="65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66"/>
      <c r="E315" s="66"/>
      <c r="F315" s="60"/>
      <c r="G315" s="67"/>
      <c r="H315" s="60"/>
      <c r="I315" s="68">
        <f t="shared" ca="1" si="52"/>
        <v>0</v>
      </c>
      <c r="J315" s="68">
        <f t="shared" ca="1" si="53"/>
        <v>0</v>
      </c>
      <c r="K315" s="68">
        <f t="shared" ca="1" si="54"/>
        <v>0</v>
      </c>
      <c r="L315" s="68">
        <f t="shared" ca="1" si="55"/>
        <v>0</v>
      </c>
      <c r="M315" s="69">
        <f t="shared" si="56"/>
        <v>0</v>
      </c>
      <c r="N315" s="65" t="str">
        <f t="shared" si="57"/>
        <v/>
      </c>
      <c r="O315" s="70" t="str">
        <f>IF(OR($C315="",$D315="",$F315=""),"",IF($F315="Aylık",EOMONTH($D315,0),($D315+MOD(SISTEM!$F$8-WEEKDAY($D315,2),7))))</f>
        <v/>
      </c>
      <c r="P315" s="61"/>
      <c r="Q315" s="2"/>
      <c r="R315" s="2"/>
      <c r="S315" s="1" t="str">
        <f>IF($B315="","",$B315&amp;"|"&amp;COUNTIFS($B$7:$B315,$B315))</f>
        <v/>
      </c>
      <c r="T315" s="1" t="str">
        <f t="shared" si="58"/>
        <v/>
      </c>
      <c r="U315" s="1">
        <f t="shared" si="59"/>
        <v>0</v>
      </c>
      <c r="V315" s="1">
        <f t="shared" si="60"/>
        <v>2958465</v>
      </c>
      <c r="W315" s="1">
        <f t="shared" si="61"/>
        <v>0</v>
      </c>
      <c r="X315" s="1">
        <f t="shared" si="62"/>
        <v>0</v>
      </c>
      <c r="Y315" s="1">
        <f t="shared" si="63"/>
        <v>97200</v>
      </c>
      <c r="Z315" s="1">
        <f t="shared" si="64"/>
        <v>1</v>
      </c>
    </row>
    <row r="316" spans="1:26" ht="18" customHeight="1" x14ac:dyDescent="0.3">
      <c r="A316" s="2"/>
      <c r="B316" s="65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66"/>
      <c r="E316" s="66"/>
      <c r="F316" s="60"/>
      <c r="G316" s="67"/>
      <c r="H316" s="60"/>
      <c r="I316" s="68">
        <f t="shared" ca="1" si="52"/>
        <v>0</v>
      </c>
      <c r="J316" s="68">
        <f t="shared" ca="1" si="53"/>
        <v>0</v>
      </c>
      <c r="K316" s="68">
        <f t="shared" ca="1" si="54"/>
        <v>0</v>
      </c>
      <c r="L316" s="68">
        <f t="shared" ca="1" si="55"/>
        <v>0</v>
      </c>
      <c r="M316" s="69">
        <f t="shared" si="56"/>
        <v>0</v>
      </c>
      <c r="N316" s="65" t="str">
        <f t="shared" si="57"/>
        <v/>
      </c>
      <c r="O316" s="70" t="str">
        <f>IF(OR($C316="",$D316="",$F316=""),"",IF($F316="Aylık",EOMONTH($D316,0),($D316+MOD(SISTEM!$F$8-WEEKDAY($D316,2),7))))</f>
        <v/>
      </c>
      <c r="P316" s="61"/>
      <c r="Q316" s="2"/>
      <c r="R316" s="2"/>
      <c r="S316" s="1" t="str">
        <f>IF($B316="","",$B316&amp;"|"&amp;COUNTIFS($B$7:$B316,$B316))</f>
        <v/>
      </c>
      <c r="T316" s="1" t="str">
        <f t="shared" si="58"/>
        <v/>
      </c>
      <c r="U316" s="1">
        <f t="shared" si="59"/>
        <v>0</v>
      </c>
      <c r="V316" s="1">
        <f t="shared" si="60"/>
        <v>2958465</v>
      </c>
      <c r="W316" s="1">
        <f t="shared" si="61"/>
        <v>0</v>
      </c>
      <c r="X316" s="1">
        <f t="shared" si="62"/>
        <v>0</v>
      </c>
      <c r="Y316" s="1">
        <f t="shared" si="63"/>
        <v>97200</v>
      </c>
      <c r="Z316" s="1">
        <f t="shared" si="64"/>
        <v>1</v>
      </c>
    </row>
    <row r="317" spans="1:26" ht="18" customHeight="1" x14ac:dyDescent="0.3">
      <c r="A317" s="2"/>
      <c r="B317" s="65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66"/>
      <c r="E317" s="66"/>
      <c r="F317" s="60"/>
      <c r="G317" s="67"/>
      <c r="H317" s="60"/>
      <c r="I317" s="68">
        <f t="shared" ca="1" si="52"/>
        <v>0</v>
      </c>
      <c r="J317" s="68">
        <f t="shared" ca="1" si="53"/>
        <v>0</v>
      </c>
      <c r="K317" s="68">
        <f t="shared" ca="1" si="54"/>
        <v>0</v>
      </c>
      <c r="L317" s="68">
        <f t="shared" ca="1" si="55"/>
        <v>0</v>
      </c>
      <c r="M317" s="69">
        <f t="shared" si="56"/>
        <v>0</v>
      </c>
      <c r="N317" s="65" t="str">
        <f t="shared" si="57"/>
        <v/>
      </c>
      <c r="O317" s="70" t="str">
        <f>IF(OR($C317="",$D317="",$F317=""),"",IF($F317="Aylık",EOMONTH($D317,0),($D317+MOD(SISTEM!$F$8-WEEKDAY($D317,2),7))))</f>
        <v/>
      </c>
      <c r="P317" s="61"/>
      <c r="Q317" s="2"/>
      <c r="R317" s="2"/>
      <c r="S317" s="1" t="str">
        <f>IF($B317="","",$B317&amp;"|"&amp;COUNTIFS($B$7:$B317,$B317))</f>
        <v/>
      </c>
      <c r="T317" s="1" t="str">
        <f t="shared" si="58"/>
        <v/>
      </c>
      <c r="U317" s="1">
        <f t="shared" si="59"/>
        <v>0</v>
      </c>
      <c r="V317" s="1">
        <f t="shared" si="60"/>
        <v>2958465</v>
      </c>
      <c r="W317" s="1">
        <f t="shared" si="61"/>
        <v>0</v>
      </c>
      <c r="X317" s="1">
        <f t="shared" si="62"/>
        <v>0</v>
      </c>
      <c r="Y317" s="1">
        <f t="shared" si="63"/>
        <v>97200</v>
      </c>
      <c r="Z317" s="1">
        <f t="shared" si="64"/>
        <v>1</v>
      </c>
    </row>
    <row r="318" spans="1:26" ht="18" customHeight="1" x14ac:dyDescent="0.3">
      <c r="A318" s="2"/>
      <c r="B318" s="65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66"/>
      <c r="E318" s="66"/>
      <c r="F318" s="60"/>
      <c r="G318" s="67"/>
      <c r="H318" s="60"/>
      <c r="I318" s="68">
        <f t="shared" ca="1" si="52"/>
        <v>0</v>
      </c>
      <c r="J318" s="68">
        <f t="shared" ca="1" si="53"/>
        <v>0</v>
      </c>
      <c r="K318" s="68">
        <f t="shared" ca="1" si="54"/>
        <v>0</v>
      </c>
      <c r="L318" s="68">
        <f t="shared" ca="1" si="55"/>
        <v>0</v>
      </c>
      <c r="M318" s="69">
        <f t="shared" si="56"/>
        <v>0</v>
      </c>
      <c r="N318" s="65" t="str">
        <f t="shared" si="57"/>
        <v/>
      </c>
      <c r="O318" s="70" t="str">
        <f>IF(OR($C318="",$D318="",$F318=""),"",IF($F318="Aylık",EOMONTH($D318,0),($D318+MOD(SISTEM!$F$8-WEEKDAY($D318,2),7))))</f>
        <v/>
      </c>
      <c r="P318" s="61"/>
      <c r="Q318" s="2"/>
      <c r="R318" s="2"/>
      <c r="S318" s="1" t="str">
        <f>IF($B318="","",$B318&amp;"|"&amp;COUNTIFS($B$7:$B318,$B318))</f>
        <v/>
      </c>
      <c r="T318" s="1" t="str">
        <f t="shared" si="58"/>
        <v/>
      </c>
      <c r="U318" s="1">
        <f t="shared" si="59"/>
        <v>0</v>
      </c>
      <c r="V318" s="1">
        <f t="shared" si="60"/>
        <v>2958465</v>
      </c>
      <c r="W318" s="1">
        <f t="shared" si="61"/>
        <v>0</v>
      </c>
      <c r="X318" s="1">
        <f t="shared" si="62"/>
        <v>0</v>
      </c>
      <c r="Y318" s="1">
        <f t="shared" si="63"/>
        <v>97200</v>
      </c>
      <c r="Z318" s="1">
        <f t="shared" si="64"/>
        <v>1</v>
      </c>
    </row>
    <row r="319" spans="1:26" ht="18" customHeight="1" x14ac:dyDescent="0.3">
      <c r="A319" s="2"/>
      <c r="B319" s="65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66"/>
      <c r="E319" s="66"/>
      <c r="F319" s="60"/>
      <c r="G319" s="67"/>
      <c r="H319" s="60"/>
      <c r="I319" s="68">
        <f t="shared" ca="1" si="52"/>
        <v>0</v>
      </c>
      <c r="J319" s="68">
        <f t="shared" ca="1" si="53"/>
        <v>0</v>
      </c>
      <c r="K319" s="68">
        <f t="shared" ca="1" si="54"/>
        <v>0</v>
      </c>
      <c r="L319" s="68">
        <f t="shared" ca="1" si="55"/>
        <v>0</v>
      </c>
      <c r="M319" s="69">
        <f t="shared" si="56"/>
        <v>0</v>
      </c>
      <c r="N319" s="65" t="str">
        <f t="shared" si="57"/>
        <v/>
      </c>
      <c r="O319" s="70" t="str">
        <f>IF(OR($C319="",$D319="",$F319=""),"",IF($F319="Aylık",EOMONTH($D319,0),($D319+MOD(SISTEM!$F$8-WEEKDAY($D319,2),7))))</f>
        <v/>
      </c>
      <c r="P319" s="61"/>
      <c r="Q319" s="2"/>
      <c r="R319" s="2"/>
      <c r="S319" s="1" t="str">
        <f>IF($B319="","",$B319&amp;"|"&amp;COUNTIFS($B$7:$B319,$B319))</f>
        <v/>
      </c>
      <c r="T319" s="1" t="str">
        <f t="shared" si="58"/>
        <v/>
      </c>
      <c r="U319" s="1">
        <f t="shared" si="59"/>
        <v>0</v>
      </c>
      <c r="V319" s="1">
        <f t="shared" si="60"/>
        <v>2958465</v>
      </c>
      <c r="W319" s="1">
        <f t="shared" si="61"/>
        <v>0</v>
      </c>
      <c r="X319" s="1">
        <f t="shared" si="62"/>
        <v>0</v>
      </c>
      <c r="Y319" s="1">
        <f t="shared" si="63"/>
        <v>97200</v>
      </c>
      <c r="Z319" s="1">
        <f t="shared" si="64"/>
        <v>1</v>
      </c>
    </row>
    <row r="320" spans="1:26" ht="18" customHeight="1" x14ac:dyDescent="0.3">
      <c r="A320" s="2"/>
      <c r="B320" s="65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66"/>
      <c r="E320" s="66"/>
      <c r="F320" s="60"/>
      <c r="G320" s="67"/>
      <c r="H320" s="60"/>
      <c r="I320" s="68">
        <f t="shared" ca="1" si="52"/>
        <v>0</v>
      </c>
      <c r="J320" s="68">
        <f t="shared" ca="1" si="53"/>
        <v>0</v>
      </c>
      <c r="K320" s="68">
        <f t="shared" ca="1" si="54"/>
        <v>0</v>
      </c>
      <c r="L320" s="68">
        <f t="shared" ca="1" si="55"/>
        <v>0</v>
      </c>
      <c r="M320" s="69">
        <f t="shared" si="56"/>
        <v>0</v>
      </c>
      <c r="N320" s="65" t="str">
        <f t="shared" si="57"/>
        <v/>
      </c>
      <c r="O320" s="70" t="str">
        <f>IF(OR($C320="",$D320="",$F320=""),"",IF($F320="Aylık",EOMONTH($D320,0),($D320+MOD(SISTEM!$F$8-WEEKDAY($D320,2),7))))</f>
        <v/>
      </c>
      <c r="P320" s="61"/>
      <c r="Q320" s="2"/>
      <c r="R320" s="2"/>
      <c r="S320" s="1" t="str">
        <f>IF($B320="","",$B320&amp;"|"&amp;COUNTIFS($B$7:$B320,$B320))</f>
        <v/>
      </c>
      <c r="T320" s="1" t="str">
        <f t="shared" si="58"/>
        <v/>
      </c>
      <c r="U320" s="1">
        <f t="shared" si="59"/>
        <v>0</v>
      </c>
      <c r="V320" s="1">
        <f t="shared" si="60"/>
        <v>2958465</v>
      </c>
      <c r="W320" s="1">
        <f t="shared" si="61"/>
        <v>0</v>
      </c>
      <c r="X320" s="1">
        <f t="shared" si="62"/>
        <v>0</v>
      </c>
      <c r="Y320" s="1">
        <f t="shared" si="63"/>
        <v>97200</v>
      </c>
      <c r="Z320" s="1">
        <f t="shared" si="64"/>
        <v>1</v>
      </c>
    </row>
    <row r="321" spans="1:26" ht="18" customHeight="1" x14ac:dyDescent="0.3">
      <c r="A321" s="2"/>
      <c r="B321" s="65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66"/>
      <c r="E321" s="66"/>
      <c r="F321" s="60"/>
      <c r="G321" s="67"/>
      <c r="H321" s="60"/>
      <c r="I321" s="68">
        <f t="shared" ca="1" si="52"/>
        <v>0</v>
      </c>
      <c r="J321" s="68">
        <f t="shared" ca="1" si="53"/>
        <v>0</v>
      </c>
      <c r="K321" s="68">
        <f t="shared" ca="1" si="54"/>
        <v>0</v>
      </c>
      <c r="L321" s="68">
        <f t="shared" ca="1" si="55"/>
        <v>0</v>
      </c>
      <c r="M321" s="69">
        <f t="shared" si="56"/>
        <v>0</v>
      </c>
      <c r="N321" s="65" t="str">
        <f t="shared" si="57"/>
        <v/>
      </c>
      <c r="O321" s="70" t="str">
        <f>IF(OR($C321="",$D321="",$F321=""),"",IF($F321="Aylık",EOMONTH($D321,0),($D321+MOD(SISTEM!$F$8-WEEKDAY($D321,2),7))))</f>
        <v/>
      </c>
      <c r="P321" s="61"/>
      <c r="Q321" s="2"/>
      <c r="R321" s="2"/>
      <c r="S321" s="1" t="str">
        <f>IF($B321="","",$B321&amp;"|"&amp;COUNTIFS($B$7:$B321,$B321))</f>
        <v/>
      </c>
      <c r="T321" s="1" t="str">
        <f t="shared" si="58"/>
        <v/>
      </c>
      <c r="U321" s="1">
        <f t="shared" si="59"/>
        <v>0</v>
      </c>
      <c r="V321" s="1">
        <f t="shared" si="60"/>
        <v>2958465</v>
      </c>
      <c r="W321" s="1">
        <f t="shared" si="61"/>
        <v>0</v>
      </c>
      <c r="X321" s="1">
        <f t="shared" si="62"/>
        <v>0</v>
      </c>
      <c r="Y321" s="1">
        <f t="shared" si="63"/>
        <v>97200</v>
      </c>
      <c r="Z321" s="1">
        <f t="shared" si="64"/>
        <v>1</v>
      </c>
    </row>
    <row r="322" spans="1:26" ht="18" customHeight="1" x14ac:dyDescent="0.3">
      <c r="A322" s="2"/>
      <c r="B322" s="65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66"/>
      <c r="E322" s="66"/>
      <c r="F322" s="60"/>
      <c r="G322" s="67"/>
      <c r="H322" s="60"/>
      <c r="I322" s="68">
        <f t="shared" ca="1" si="52"/>
        <v>0</v>
      </c>
      <c r="J322" s="68">
        <f t="shared" ca="1" si="53"/>
        <v>0</v>
      </c>
      <c r="K322" s="68">
        <f t="shared" ca="1" si="54"/>
        <v>0</v>
      </c>
      <c r="L322" s="68">
        <f t="shared" ca="1" si="55"/>
        <v>0</v>
      </c>
      <c r="M322" s="69">
        <f t="shared" si="56"/>
        <v>0</v>
      </c>
      <c r="N322" s="65" t="str">
        <f t="shared" si="57"/>
        <v/>
      </c>
      <c r="O322" s="70" t="str">
        <f>IF(OR($C322="",$D322="",$F322=""),"",IF($F322="Aylık",EOMONTH($D322,0),($D322+MOD(SISTEM!$F$8-WEEKDAY($D322,2),7))))</f>
        <v/>
      </c>
      <c r="P322" s="61"/>
      <c r="Q322" s="2"/>
      <c r="R322" s="2"/>
      <c r="S322" s="1" t="str">
        <f>IF($B322="","",$B322&amp;"|"&amp;COUNTIFS($B$7:$B322,$B322))</f>
        <v/>
      </c>
      <c r="T322" s="1" t="str">
        <f t="shared" si="58"/>
        <v/>
      </c>
      <c r="U322" s="1">
        <f t="shared" si="59"/>
        <v>0</v>
      </c>
      <c r="V322" s="1">
        <f t="shared" si="60"/>
        <v>2958465</v>
      </c>
      <c r="W322" s="1">
        <f t="shared" si="61"/>
        <v>0</v>
      </c>
      <c r="X322" s="1">
        <f t="shared" si="62"/>
        <v>0</v>
      </c>
      <c r="Y322" s="1">
        <f t="shared" si="63"/>
        <v>97200</v>
      </c>
      <c r="Z322" s="1">
        <f t="shared" si="64"/>
        <v>1</v>
      </c>
    </row>
    <row r="323" spans="1:26" ht="18" customHeight="1" x14ac:dyDescent="0.3">
      <c r="A323" s="2"/>
      <c r="B323" s="65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66"/>
      <c r="E323" s="66"/>
      <c r="F323" s="60"/>
      <c r="G323" s="67"/>
      <c r="H323" s="60"/>
      <c r="I323" s="68">
        <f t="shared" ca="1" si="52"/>
        <v>0</v>
      </c>
      <c r="J323" s="68">
        <f t="shared" ca="1" si="53"/>
        <v>0</v>
      </c>
      <c r="K323" s="68">
        <f t="shared" ca="1" si="54"/>
        <v>0</v>
      </c>
      <c r="L323" s="68">
        <f t="shared" ca="1" si="55"/>
        <v>0</v>
      </c>
      <c r="M323" s="69">
        <f t="shared" si="56"/>
        <v>0</v>
      </c>
      <c r="N323" s="65" t="str">
        <f t="shared" si="57"/>
        <v/>
      </c>
      <c r="O323" s="70" t="str">
        <f>IF(OR($C323="",$D323="",$F323=""),"",IF($F323="Aylık",EOMONTH($D323,0),($D323+MOD(SISTEM!$F$8-WEEKDAY($D323,2),7))))</f>
        <v/>
      </c>
      <c r="P323" s="61"/>
      <c r="Q323" s="2"/>
      <c r="R323" s="2"/>
      <c r="S323" s="1" t="str">
        <f>IF($B323="","",$B323&amp;"|"&amp;COUNTIFS($B$7:$B323,$B323))</f>
        <v/>
      </c>
      <c r="T323" s="1" t="str">
        <f t="shared" si="58"/>
        <v/>
      </c>
      <c r="U323" s="1">
        <f t="shared" si="59"/>
        <v>0</v>
      </c>
      <c r="V323" s="1">
        <f t="shared" si="60"/>
        <v>2958465</v>
      </c>
      <c r="W323" s="1">
        <f t="shared" si="61"/>
        <v>0</v>
      </c>
      <c r="X323" s="1">
        <f t="shared" si="62"/>
        <v>0</v>
      </c>
      <c r="Y323" s="1">
        <f t="shared" si="63"/>
        <v>97200</v>
      </c>
      <c r="Z323" s="1">
        <f t="shared" si="64"/>
        <v>1</v>
      </c>
    </row>
    <row r="324" spans="1:26" ht="18" customHeight="1" x14ac:dyDescent="0.3">
      <c r="A324" s="2"/>
      <c r="B324" s="65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66"/>
      <c r="E324" s="66"/>
      <c r="F324" s="60"/>
      <c r="G324" s="67"/>
      <c r="H324" s="60"/>
      <c r="I324" s="68">
        <f t="shared" ca="1" si="52"/>
        <v>0</v>
      </c>
      <c r="J324" s="68">
        <f t="shared" ca="1" si="53"/>
        <v>0</v>
      </c>
      <c r="K324" s="68">
        <f t="shared" ca="1" si="54"/>
        <v>0</v>
      </c>
      <c r="L324" s="68">
        <f t="shared" ca="1" si="55"/>
        <v>0</v>
      </c>
      <c r="M324" s="69">
        <f t="shared" si="56"/>
        <v>0</v>
      </c>
      <c r="N324" s="65" t="str">
        <f t="shared" si="57"/>
        <v/>
      </c>
      <c r="O324" s="70" t="str">
        <f>IF(OR($C324="",$D324="",$F324=""),"",IF($F324="Aylık",EOMONTH($D324,0),($D324+MOD(SISTEM!$F$8-WEEKDAY($D324,2),7))))</f>
        <v/>
      </c>
      <c r="P324" s="61"/>
      <c r="Q324" s="2"/>
      <c r="R324" s="2"/>
      <c r="S324" s="1" t="str">
        <f>IF($B324="","",$B324&amp;"|"&amp;COUNTIFS($B$7:$B324,$B324))</f>
        <v/>
      </c>
      <c r="T324" s="1" t="str">
        <f t="shared" si="58"/>
        <v/>
      </c>
      <c r="U324" s="1">
        <f t="shared" si="59"/>
        <v>0</v>
      </c>
      <c r="V324" s="1">
        <f t="shared" si="60"/>
        <v>2958465</v>
      </c>
      <c r="W324" s="1">
        <f t="shared" si="61"/>
        <v>0</v>
      </c>
      <c r="X324" s="1">
        <f t="shared" si="62"/>
        <v>0</v>
      </c>
      <c r="Y324" s="1">
        <f t="shared" si="63"/>
        <v>97200</v>
      </c>
      <c r="Z324" s="1">
        <f t="shared" si="64"/>
        <v>1</v>
      </c>
    </row>
    <row r="325" spans="1:26" ht="18" customHeight="1" x14ac:dyDescent="0.3">
      <c r="A325" s="2"/>
      <c r="B325" s="65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66"/>
      <c r="E325" s="66"/>
      <c r="F325" s="60"/>
      <c r="G325" s="67"/>
      <c r="H325" s="60"/>
      <c r="I325" s="68">
        <f t="shared" ca="1" si="52"/>
        <v>0</v>
      </c>
      <c r="J325" s="68">
        <f t="shared" ca="1" si="53"/>
        <v>0</v>
      </c>
      <c r="K325" s="68">
        <f t="shared" ca="1" si="54"/>
        <v>0</v>
      </c>
      <c r="L325" s="68">
        <f t="shared" ca="1" si="55"/>
        <v>0</v>
      </c>
      <c r="M325" s="69">
        <f t="shared" si="56"/>
        <v>0</v>
      </c>
      <c r="N325" s="65" t="str">
        <f t="shared" si="57"/>
        <v/>
      </c>
      <c r="O325" s="70" t="str">
        <f>IF(OR($C325="",$D325="",$F325=""),"",IF($F325="Aylık",EOMONTH($D325,0),($D325+MOD(SISTEM!$F$8-WEEKDAY($D325,2),7))))</f>
        <v/>
      </c>
      <c r="P325" s="61"/>
      <c r="Q325" s="2"/>
      <c r="R325" s="2"/>
      <c r="S325" s="1" t="str">
        <f>IF($B325="","",$B325&amp;"|"&amp;COUNTIFS($B$7:$B325,$B325))</f>
        <v/>
      </c>
      <c r="T325" s="1" t="str">
        <f t="shared" si="58"/>
        <v/>
      </c>
      <c r="U325" s="1">
        <f t="shared" si="59"/>
        <v>0</v>
      </c>
      <c r="V325" s="1">
        <f t="shared" si="60"/>
        <v>2958465</v>
      </c>
      <c r="W325" s="1">
        <f t="shared" si="61"/>
        <v>0</v>
      </c>
      <c r="X325" s="1">
        <f t="shared" si="62"/>
        <v>0</v>
      </c>
      <c r="Y325" s="1">
        <f t="shared" si="63"/>
        <v>97200</v>
      </c>
      <c r="Z325" s="1">
        <f t="shared" si="64"/>
        <v>1</v>
      </c>
    </row>
    <row r="326" spans="1:26" ht="18" customHeight="1" x14ac:dyDescent="0.3">
      <c r="A326" s="2"/>
      <c r="B326" s="65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66"/>
      <c r="E326" s="66"/>
      <c r="F326" s="60"/>
      <c r="G326" s="67"/>
      <c r="H326" s="60"/>
      <c r="I326" s="68">
        <f t="shared" ca="1" si="52"/>
        <v>0</v>
      </c>
      <c r="J326" s="68">
        <f t="shared" ca="1" si="53"/>
        <v>0</v>
      </c>
      <c r="K326" s="68">
        <f t="shared" ca="1" si="54"/>
        <v>0</v>
      </c>
      <c r="L326" s="68">
        <f t="shared" ca="1" si="55"/>
        <v>0</v>
      </c>
      <c r="M326" s="69">
        <f t="shared" si="56"/>
        <v>0</v>
      </c>
      <c r="N326" s="65" t="str">
        <f t="shared" si="57"/>
        <v/>
      </c>
      <c r="O326" s="70" t="str">
        <f>IF(OR($C326="",$D326="",$F326=""),"",IF($F326="Aylık",EOMONTH($D326,0),($D326+MOD(SISTEM!$F$8-WEEKDAY($D326,2),7))))</f>
        <v/>
      </c>
      <c r="P326" s="61"/>
      <c r="Q326" s="2"/>
      <c r="R326" s="2"/>
      <c r="S326" s="1" t="str">
        <f>IF($B326="","",$B326&amp;"|"&amp;COUNTIFS($B$7:$B326,$B326))</f>
        <v/>
      </c>
      <c r="T326" s="1" t="str">
        <f t="shared" si="58"/>
        <v/>
      </c>
      <c r="U326" s="1">
        <f t="shared" si="59"/>
        <v>0</v>
      </c>
      <c r="V326" s="1">
        <f t="shared" si="60"/>
        <v>2958465</v>
      </c>
      <c r="W326" s="1">
        <f t="shared" si="61"/>
        <v>0</v>
      </c>
      <c r="X326" s="1">
        <f t="shared" si="62"/>
        <v>0</v>
      </c>
      <c r="Y326" s="1">
        <f t="shared" si="63"/>
        <v>97200</v>
      </c>
      <c r="Z326" s="1">
        <f t="shared" si="64"/>
        <v>1</v>
      </c>
    </row>
    <row r="327" spans="1:26" ht="18" customHeight="1" x14ac:dyDescent="0.3">
      <c r="A327" s="2"/>
      <c r="B327" s="65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66"/>
      <c r="E327" s="66"/>
      <c r="F327" s="60"/>
      <c r="G327" s="67"/>
      <c r="H327" s="60"/>
      <c r="I327" s="68">
        <f t="shared" ref="I327:I390" ca="1" si="65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68">
        <f t="shared" ref="J327:J390" ca="1" si="66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68">
        <f t="shared" ref="K327:K390" ca="1" si="67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68">
        <f t="shared" ref="L327:L390" ca="1" si="68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69">
        <f t="shared" ref="M327:M390" si="69">IF($G327&gt;0,$I327/$G327,0)</f>
        <v>0</v>
      </c>
      <c r="N327" s="65" t="str">
        <f t="shared" ref="N327:N390" si="70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70" t="str">
        <f>IF(OR($C327="",$D327="",$F327=""),"",IF($F327="Aylık",EOMONTH($D327,0),($D327+MOD(SISTEM!$F$8-WEEKDAY($D327,2),7))))</f>
        <v/>
      </c>
      <c r="P327" s="61"/>
      <c r="Q327" s="2"/>
      <c r="R327" s="2"/>
      <c r="S327" s="1" t="str">
        <f>IF($B327="","",$B327&amp;"|"&amp;COUNTIFS($B$7:$B327,$B327))</f>
        <v/>
      </c>
      <c r="T327" s="1" t="str">
        <f t="shared" ref="T327:T390" si="71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 t="shared" ref="U327:U390" si="72">IF($O327="",0,$O327)</f>
        <v>0</v>
      </c>
      <c r="V327" s="1">
        <f t="shared" ref="V327:V390" si="73">IF($E327="",2958465,$E327)</f>
        <v>2958465</v>
      </c>
      <c r="W327" s="1">
        <f t="shared" ref="W327:W390" si="74">IF($F327="Haftalık",1,IF($F327="Aylık",2,0))</f>
        <v>0</v>
      </c>
      <c r="X327" s="1">
        <f t="shared" ref="X327:X390" si="75">IF($U327=0,0,(YEAR($U327)-1900)*12+MONTH($U327))</f>
        <v>0</v>
      </c>
      <c r="Y327" s="1">
        <f t="shared" ref="Y327:Y390" si="76">(YEAR($V327)-1900)*12+MONTH($V327)</f>
        <v>97200</v>
      </c>
      <c r="Z327" s="1">
        <f t="shared" ref="Z327:Z390" si="77">IF($V327=EOMONTH($V327,0),1,0)</f>
        <v>1</v>
      </c>
    </row>
    <row r="328" spans="1:26" ht="18" customHeight="1" x14ac:dyDescent="0.3">
      <c r="A328" s="2"/>
      <c r="B328" s="65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66"/>
      <c r="E328" s="66"/>
      <c r="F328" s="60"/>
      <c r="G328" s="67"/>
      <c r="H328" s="60"/>
      <c r="I328" s="68">
        <f t="shared" ca="1" si="65"/>
        <v>0</v>
      </c>
      <c r="J328" s="68">
        <f t="shared" ca="1" si="66"/>
        <v>0</v>
      </c>
      <c r="K328" s="68">
        <f t="shared" ca="1" si="67"/>
        <v>0</v>
      </c>
      <c r="L328" s="68">
        <f t="shared" ca="1" si="68"/>
        <v>0</v>
      </c>
      <c r="M328" s="69">
        <f t="shared" si="69"/>
        <v>0</v>
      </c>
      <c r="N328" s="65" t="str">
        <f t="shared" si="70"/>
        <v/>
      </c>
      <c r="O328" s="70" t="str">
        <f>IF(OR($C328="",$D328="",$F328=""),"",IF($F328="Aylık",EOMONTH($D328,0),($D328+MOD(SISTEM!$F$8-WEEKDAY($D328,2),7))))</f>
        <v/>
      </c>
      <c r="P328" s="61"/>
      <c r="Q328" s="2"/>
      <c r="R328" s="2"/>
      <c r="S328" s="1" t="str">
        <f>IF($B328="","",$B328&amp;"|"&amp;COUNTIFS($B$7:$B328,$B328))</f>
        <v/>
      </c>
      <c r="T328" s="1" t="str">
        <f t="shared" si="71"/>
        <v/>
      </c>
      <c r="U328" s="1">
        <f t="shared" si="72"/>
        <v>0</v>
      </c>
      <c r="V328" s="1">
        <f t="shared" si="73"/>
        <v>2958465</v>
      </c>
      <c r="W328" s="1">
        <f t="shared" si="74"/>
        <v>0</v>
      </c>
      <c r="X328" s="1">
        <f t="shared" si="75"/>
        <v>0</v>
      </c>
      <c r="Y328" s="1">
        <f t="shared" si="76"/>
        <v>97200</v>
      </c>
      <c r="Z328" s="1">
        <f t="shared" si="77"/>
        <v>1</v>
      </c>
    </row>
    <row r="329" spans="1:26" ht="18" customHeight="1" x14ac:dyDescent="0.3">
      <c r="A329" s="2"/>
      <c r="B329" s="65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66"/>
      <c r="E329" s="66"/>
      <c r="F329" s="60"/>
      <c r="G329" s="67"/>
      <c r="H329" s="60"/>
      <c r="I329" s="68">
        <f t="shared" ca="1" si="65"/>
        <v>0</v>
      </c>
      <c r="J329" s="68">
        <f t="shared" ca="1" si="66"/>
        <v>0</v>
      </c>
      <c r="K329" s="68">
        <f t="shared" ca="1" si="67"/>
        <v>0</v>
      </c>
      <c r="L329" s="68">
        <f t="shared" ca="1" si="68"/>
        <v>0</v>
      </c>
      <c r="M329" s="69">
        <f t="shared" si="69"/>
        <v>0</v>
      </c>
      <c r="N329" s="65" t="str">
        <f t="shared" si="70"/>
        <v/>
      </c>
      <c r="O329" s="70" t="str">
        <f>IF(OR($C329="",$D329="",$F329=""),"",IF($F329="Aylık",EOMONTH($D329,0),($D329+MOD(SISTEM!$F$8-WEEKDAY($D329,2),7))))</f>
        <v/>
      </c>
      <c r="P329" s="61"/>
      <c r="Q329" s="2"/>
      <c r="R329" s="2"/>
      <c r="S329" s="1" t="str">
        <f>IF($B329="","",$B329&amp;"|"&amp;COUNTIFS($B$7:$B329,$B329))</f>
        <v/>
      </c>
      <c r="T329" s="1" t="str">
        <f t="shared" si="71"/>
        <v/>
      </c>
      <c r="U329" s="1">
        <f t="shared" si="72"/>
        <v>0</v>
      </c>
      <c r="V329" s="1">
        <f t="shared" si="73"/>
        <v>2958465</v>
      </c>
      <c r="W329" s="1">
        <f t="shared" si="74"/>
        <v>0</v>
      </c>
      <c r="X329" s="1">
        <f t="shared" si="75"/>
        <v>0</v>
      </c>
      <c r="Y329" s="1">
        <f t="shared" si="76"/>
        <v>97200</v>
      </c>
      <c r="Z329" s="1">
        <f t="shared" si="77"/>
        <v>1</v>
      </c>
    </row>
    <row r="330" spans="1:26" ht="18" customHeight="1" x14ac:dyDescent="0.3">
      <c r="A330" s="2"/>
      <c r="B330" s="65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66"/>
      <c r="E330" s="66"/>
      <c r="F330" s="60"/>
      <c r="G330" s="67"/>
      <c r="H330" s="60"/>
      <c r="I330" s="68">
        <f t="shared" ca="1" si="65"/>
        <v>0</v>
      </c>
      <c r="J330" s="68">
        <f t="shared" ca="1" si="66"/>
        <v>0</v>
      </c>
      <c r="K330" s="68">
        <f t="shared" ca="1" si="67"/>
        <v>0</v>
      </c>
      <c r="L330" s="68">
        <f t="shared" ca="1" si="68"/>
        <v>0</v>
      </c>
      <c r="M330" s="69">
        <f t="shared" si="69"/>
        <v>0</v>
      </c>
      <c r="N330" s="65" t="str">
        <f t="shared" si="70"/>
        <v/>
      </c>
      <c r="O330" s="70" t="str">
        <f>IF(OR($C330="",$D330="",$F330=""),"",IF($F330="Aylık",EOMONTH($D330,0),($D330+MOD(SISTEM!$F$8-WEEKDAY($D330,2),7))))</f>
        <v/>
      </c>
      <c r="P330" s="61"/>
      <c r="Q330" s="2"/>
      <c r="R330" s="2"/>
      <c r="S330" s="1" t="str">
        <f>IF($B330="","",$B330&amp;"|"&amp;COUNTIFS($B$7:$B330,$B330))</f>
        <v/>
      </c>
      <c r="T330" s="1" t="str">
        <f t="shared" si="71"/>
        <v/>
      </c>
      <c r="U330" s="1">
        <f t="shared" si="72"/>
        <v>0</v>
      </c>
      <c r="V330" s="1">
        <f t="shared" si="73"/>
        <v>2958465</v>
      </c>
      <c r="W330" s="1">
        <f t="shared" si="74"/>
        <v>0</v>
      </c>
      <c r="X330" s="1">
        <f t="shared" si="75"/>
        <v>0</v>
      </c>
      <c r="Y330" s="1">
        <f t="shared" si="76"/>
        <v>97200</v>
      </c>
      <c r="Z330" s="1">
        <f t="shared" si="77"/>
        <v>1</v>
      </c>
    </row>
    <row r="331" spans="1:26" ht="18" customHeight="1" x14ac:dyDescent="0.3">
      <c r="A331" s="2"/>
      <c r="B331" s="65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66"/>
      <c r="E331" s="66"/>
      <c r="F331" s="60"/>
      <c r="G331" s="67"/>
      <c r="H331" s="60"/>
      <c r="I331" s="68">
        <f t="shared" ca="1" si="65"/>
        <v>0</v>
      </c>
      <c r="J331" s="68">
        <f t="shared" ca="1" si="66"/>
        <v>0</v>
      </c>
      <c r="K331" s="68">
        <f t="shared" ca="1" si="67"/>
        <v>0</v>
      </c>
      <c r="L331" s="68">
        <f t="shared" ca="1" si="68"/>
        <v>0</v>
      </c>
      <c r="M331" s="69">
        <f t="shared" si="69"/>
        <v>0</v>
      </c>
      <c r="N331" s="65" t="str">
        <f t="shared" si="70"/>
        <v/>
      </c>
      <c r="O331" s="70" t="str">
        <f>IF(OR($C331="",$D331="",$F331=""),"",IF($F331="Aylık",EOMONTH($D331,0),($D331+MOD(SISTEM!$F$8-WEEKDAY($D331,2),7))))</f>
        <v/>
      </c>
      <c r="P331" s="61"/>
      <c r="Q331" s="2"/>
      <c r="R331" s="2"/>
      <c r="S331" s="1" t="str">
        <f>IF($B331="","",$B331&amp;"|"&amp;COUNTIFS($B$7:$B331,$B331))</f>
        <v/>
      </c>
      <c r="T331" s="1" t="str">
        <f t="shared" si="71"/>
        <v/>
      </c>
      <c r="U331" s="1">
        <f t="shared" si="72"/>
        <v>0</v>
      </c>
      <c r="V331" s="1">
        <f t="shared" si="73"/>
        <v>2958465</v>
      </c>
      <c r="W331" s="1">
        <f t="shared" si="74"/>
        <v>0</v>
      </c>
      <c r="X331" s="1">
        <f t="shared" si="75"/>
        <v>0</v>
      </c>
      <c r="Y331" s="1">
        <f t="shared" si="76"/>
        <v>97200</v>
      </c>
      <c r="Z331" s="1">
        <f t="shared" si="77"/>
        <v>1</v>
      </c>
    </row>
    <row r="332" spans="1:26" ht="18" customHeight="1" x14ac:dyDescent="0.3">
      <c r="A332" s="2"/>
      <c r="B332" s="65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66"/>
      <c r="E332" s="66"/>
      <c r="F332" s="60"/>
      <c r="G332" s="67"/>
      <c r="H332" s="60"/>
      <c r="I332" s="68">
        <f t="shared" ca="1" si="65"/>
        <v>0</v>
      </c>
      <c r="J332" s="68">
        <f t="shared" ca="1" si="66"/>
        <v>0</v>
      </c>
      <c r="K332" s="68">
        <f t="shared" ca="1" si="67"/>
        <v>0</v>
      </c>
      <c r="L332" s="68">
        <f t="shared" ca="1" si="68"/>
        <v>0</v>
      </c>
      <c r="M332" s="69">
        <f t="shared" si="69"/>
        <v>0</v>
      </c>
      <c r="N332" s="65" t="str">
        <f t="shared" si="70"/>
        <v/>
      </c>
      <c r="O332" s="70" t="str">
        <f>IF(OR($C332="",$D332="",$F332=""),"",IF($F332="Aylık",EOMONTH($D332,0),($D332+MOD(SISTEM!$F$8-WEEKDAY($D332,2),7))))</f>
        <v/>
      </c>
      <c r="P332" s="61"/>
      <c r="Q332" s="2"/>
      <c r="R332" s="2"/>
      <c r="S332" s="1" t="str">
        <f>IF($B332="","",$B332&amp;"|"&amp;COUNTIFS($B$7:$B332,$B332))</f>
        <v/>
      </c>
      <c r="T332" s="1" t="str">
        <f t="shared" si="71"/>
        <v/>
      </c>
      <c r="U332" s="1">
        <f t="shared" si="72"/>
        <v>0</v>
      </c>
      <c r="V332" s="1">
        <f t="shared" si="73"/>
        <v>2958465</v>
      </c>
      <c r="W332" s="1">
        <f t="shared" si="74"/>
        <v>0</v>
      </c>
      <c r="X332" s="1">
        <f t="shared" si="75"/>
        <v>0</v>
      </c>
      <c r="Y332" s="1">
        <f t="shared" si="76"/>
        <v>97200</v>
      </c>
      <c r="Z332" s="1">
        <f t="shared" si="77"/>
        <v>1</v>
      </c>
    </row>
    <row r="333" spans="1:26" ht="18" customHeight="1" x14ac:dyDescent="0.3">
      <c r="A333" s="2"/>
      <c r="B333" s="65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66"/>
      <c r="E333" s="66"/>
      <c r="F333" s="60"/>
      <c r="G333" s="67"/>
      <c r="H333" s="60"/>
      <c r="I333" s="68">
        <f t="shared" ca="1" si="65"/>
        <v>0</v>
      </c>
      <c r="J333" s="68">
        <f t="shared" ca="1" si="66"/>
        <v>0</v>
      </c>
      <c r="K333" s="68">
        <f t="shared" ca="1" si="67"/>
        <v>0</v>
      </c>
      <c r="L333" s="68">
        <f t="shared" ca="1" si="68"/>
        <v>0</v>
      </c>
      <c r="M333" s="69">
        <f t="shared" si="69"/>
        <v>0</v>
      </c>
      <c r="N333" s="65" t="str">
        <f t="shared" si="70"/>
        <v/>
      </c>
      <c r="O333" s="70" t="str">
        <f>IF(OR($C333="",$D333="",$F333=""),"",IF($F333="Aylık",EOMONTH($D333,0),($D333+MOD(SISTEM!$F$8-WEEKDAY($D333,2),7))))</f>
        <v/>
      </c>
      <c r="P333" s="61"/>
      <c r="Q333" s="2"/>
      <c r="R333" s="2"/>
      <c r="S333" s="1" t="str">
        <f>IF($B333="","",$B333&amp;"|"&amp;COUNTIFS($B$7:$B333,$B333))</f>
        <v/>
      </c>
      <c r="T333" s="1" t="str">
        <f t="shared" si="71"/>
        <v/>
      </c>
      <c r="U333" s="1">
        <f t="shared" si="72"/>
        <v>0</v>
      </c>
      <c r="V333" s="1">
        <f t="shared" si="73"/>
        <v>2958465</v>
      </c>
      <c r="W333" s="1">
        <f t="shared" si="74"/>
        <v>0</v>
      </c>
      <c r="X333" s="1">
        <f t="shared" si="75"/>
        <v>0</v>
      </c>
      <c r="Y333" s="1">
        <f t="shared" si="76"/>
        <v>97200</v>
      </c>
      <c r="Z333" s="1">
        <f t="shared" si="77"/>
        <v>1</v>
      </c>
    </row>
    <row r="334" spans="1:26" ht="18" customHeight="1" x14ac:dyDescent="0.3">
      <c r="A334" s="2"/>
      <c r="B334" s="65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66"/>
      <c r="E334" s="66"/>
      <c r="F334" s="60"/>
      <c r="G334" s="67"/>
      <c r="H334" s="60"/>
      <c r="I334" s="68">
        <f t="shared" ca="1" si="65"/>
        <v>0</v>
      </c>
      <c r="J334" s="68">
        <f t="shared" ca="1" si="66"/>
        <v>0</v>
      </c>
      <c r="K334" s="68">
        <f t="shared" ca="1" si="67"/>
        <v>0</v>
      </c>
      <c r="L334" s="68">
        <f t="shared" ca="1" si="68"/>
        <v>0</v>
      </c>
      <c r="M334" s="69">
        <f t="shared" si="69"/>
        <v>0</v>
      </c>
      <c r="N334" s="65" t="str">
        <f t="shared" si="70"/>
        <v/>
      </c>
      <c r="O334" s="70" t="str">
        <f>IF(OR($C334="",$D334="",$F334=""),"",IF($F334="Aylık",EOMONTH($D334,0),($D334+MOD(SISTEM!$F$8-WEEKDAY($D334,2),7))))</f>
        <v/>
      </c>
      <c r="P334" s="61"/>
      <c r="Q334" s="2"/>
      <c r="R334" s="2"/>
      <c r="S334" s="1" t="str">
        <f>IF($B334="","",$B334&amp;"|"&amp;COUNTIFS($B$7:$B334,$B334))</f>
        <v/>
      </c>
      <c r="T334" s="1" t="str">
        <f t="shared" si="71"/>
        <v/>
      </c>
      <c r="U334" s="1">
        <f t="shared" si="72"/>
        <v>0</v>
      </c>
      <c r="V334" s="1">
        <f t="shared" si="73"/>
        <v>2958465</v>
      </c>
      <c r="W334" s="1">
        <f t="shared" si="74"/>
        <v>0</v>
      </c>
      <c r="X334" s="1">
        <f t="shared" si="75"/>
        <v>0</v>
      </c>
      <c r="Y334" s="1">
        <f t="shared" si="76"/>
        <v>97200</v>
      </c>
      <c r="Z334" s="1">
        <f t="shared" si="77"/>
        <v>1</v>
      </c>
    </row>
    <row r="335" spans="1:26" ht="18" customHeight="1" x14ac:dyDescent="0.3">
      <c r="A335" s="2"/>
      <c r="B335" s="65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66"/>
      <c r="E335" s="66"/>
      <c r="F335" s="60"/>
      <c r="G335" s="67"/>
      <c r="H335" s="60"/>
      <c r="I335" s="68">
        <f t="shared" ca="1" si="65"/>
        <v>0</v>
      </c>
      <c r="J335" s="68">
        <f t="shared" ca="1" si="66"/>
        <v>0</v>
      </c>
      <c r="K335" s="68">
        <f t="shared" ca="1" si="67"/>
        <v>0</v>
      </c>
      <c r="L335" s="68">
        <f t="shared" ca="1" si="68"/>
        <v>0</v>
      </c>
      <c r="M335" s="69">
        <f t="shared" si="69"/>
        <v>0</v>
      </c>
      <c r="N335" s="65" t="str">
        <f t="shared" si="70"/>
        <v/>
      </c>
      <c r="O335" s="70" t="str">
        <f>IF(OR($C335="",$D335="",$F335=""),"",IF($F335="Aylık",EOMONTH($D335,0),($D335+MOD(SISTEM!$F$8-WEEKDAY($D335,2),7))))</f>
        <v/>
      </c>
      <c r="P335" s="61"/>
      <c r="Q335" s="2"/>
      <c r="R335" s="2"/>
      <c r="S335" s="1" t="str">
        <f>IF($B335="","",$B335&amp;"|"&amp;COUNTIFS($B$7:$B335,$B335))</f>
        <v/>
      </c>
      <c r="T335" s="1" t="str">
        <f t="shared" si="71"/>
        <v/>
      </c>
      <c r="U335" s="1">
        <f t="shared" si="72"/>
        <v>0</v>
      </c>
      <c r="V335" s="1">
        <f t="shared" si="73"/>
        <v>2958465</v>
      </c>
      <c r="W335" s="1">
        <f t="shared" si="74"/>
        <v>0</v>
      </c>
      <c r="X335" s="1">
        <f t="shared" si="75"/>
        <v>0</v>
      </c>
      <c r="Y335" s="1">
        <f t="shared" si="76"/>
        <v>97200</v>
      </c>
      <c r="Z335" s="1">
        <f t="shared" si="77"/>
        <v>1</v>
      </c>
    </row>
    <row r="336" spans="1:26" ht="18" customHeight="1" x14ac:dyDescent="0.3">
      <c r="A336" s="2"/>
      <c r="B336" s="65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66"/>
      <c r="E336" s="66"/>
      <c r="F336" s="60"/>
      <c r="G336" s="67"/>
      <c r="H336" s="60"/>
      <c r="I336" s="68">
        <f t="shared" ca="1" si="65"/>
        <v>0</v>
      </c>
      <c r="J336" s="68">
        <f t="shared" ca="1" si="66"/>
        <v>0</v>
      </c>
      <c r="K336" s="68">
        <f t="shared" ca="1" si="67"/>
        <v>0</v>
      </c>
      <c r="L336" s="68">
        <f t="shared" ca="1" si="68"/>
        <v>0</v>
      </c>
      <c r="M336" s="69">
        <f t="shared" si="69"/>
        <v>0</v>
      </c>
      <c r="N336" s="65" t="str">
        <f t="shared" si="70"/>
        <v/>
      </c>
      <c r="O336" s="70" t="str">
        <f>IF(OR($C336="",$D336="",$F336=""),"",IF($F336="Aylık",EOMONTH($D336,0),($D336+MOD(SISTEM!$F$8-WEEKDAY($D336,2),7))))</f>
        <v/>
      </c>
      <c r="P336" s="61"/>
      <c r="Q336" s="2"/>
      <c r="R336" s="2"/>
      <c r="S336" s="1" t="str">
        <f>IF($B336="","",$B336&amp;"|"&amp;COUNTIFS($B$7:$B336,$B336))</f>
        <v/>
      </c>
      <c r="T336" s="1" t="str">
        <f t="shared" si="71"/>
        <v/>
      </c>
      <c r="U336" s="1">
        <f t="shared" si="72"/>
        <v>0</v>
      </c>
      <c r="V336" s="1">
        <f t="shared" si="73"/>
        <v>2958465</v>
      </c>
      <c r="W336" s="1">
        <f t="shared" si="74"/>
        <v>0</v>
      </c>
      <c r="X336" s="1">
        <f t="shared" si="75"/>
        <v>0</v>
      </c>
      <c r="Y336" s="1">
        <f t="shared" si="76"/>
        <v>97200</v>
      </c>
      <c r="Z336" s="1">
        <f t="shared" si="77"/>
        <v>1</v>
      </c>
    </row>
    <row r="337" spans="1:26" ht="18" customHeight="1" x14ac:dyDescent="0.3">
      <c r="A337" s="2"/>
      <c r="B337" s="65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66"/>
      <c r="E337" s="66"/>
      <c r="F337" s="60"/>
      <c r="G337" s="67"/>
      <c r="H337" s="60"/>
      <c r="I337" s="68">
        <f t="shared" ca="1" si="65"/>
        <v>0</v>
      </c>
      <c r="J337" s="68">
        <f t="shared" ca="1" si="66"/>
        <v>0</v>
      </c>
      <c r="K337" s="68">
        <f t="shared" ca="1" si="67"/>
        <v>0</v>
      </c>
      <c r="L337" s="68">
        <f t="shared" ca="1" si="68"/>
        <v>0</v>
      </c>
      <c r="M337" s="69">
        <f t="shared" si="69"/>
        <v>0</v>
      </c>
      <c r="N337" s="65" t="str">
        <f t="shared" si="70"/>
        <v/>
      </c>
      <c r="O337" s="70" t="str">
        <f>IF(OR($C337="",$D337="",$F337=""),"",IF($F337="Aylık",EOMONTH($D337,0),($D337+MOD(SISTEM!$F$8-WEEKDAY($D337,2),7))))</f>
        <v/>
      </c>
      <c r="P337" s="61"/>
      <c r="Q337" s="2"/>
      <c r="R337" s="2"/>
      <c r="S337" s="1" t="str">
        <f>IF($B337="","",$B337&amp;"|"&amp;COUNTIFS($B$7:$B337,$B337))</f>
        <v/>
      </c>
      <c r="T337" s="1" t="str">
        <f t="shared" si="71"/>
        <v/>
      </c>
      <c r="U337" s="1">
        <f t="shared" si="72"/>
        <v>0</v>
      </c>
      <c r="V337" s="1">
        <f t="shared" si="73"/>
        <v>2958465</v>
      </c>
      <c r="W337" s="1">
        <f t="shared" si="74"/>
        <v>0</v>
      </c>
      <c r="X337" s="1">
        <f t="shared" si="75"/>
        <v>0</v>
      </c>
      <c r="Y337" s="1">
        <f t="shared" si="76"/>
        <v>97200</v>
      </c>
      <c r="Z337" s="1">
        <f t="shared" si="77"/>
        <v>1</v>
      </c>
    </row>
    <row r="338" spans="1:26" ht="18" customHeight="1" x14ac:dyDescent="0.3">
      <c r="A338" s="2"/>
      <c r="B338" s="65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66"/>
      <c r="E338" s="66"/>
      <c r="F338" s="60"/>
      <c r="G338" s="67"/>
      <c r="H338" s="60"/>
      <c r="I338" s="68">
        <f t="shared" ca="1" si="65"/>
        <v>0</v>
      </c>
      <c r="J338" s="68">
        <f t="shared" ca="1" si="66"/>
        <v>0</v>
      </c>
      <c r="K338" s="68">
        <f t="shared" ca="1" si="67"/>
        <v>0</v>
      </c>
      <c r="L338" s="68">
        <f t="shared" ca="1" si="68"/>
        <v>0</v>
      </c>
      <c r="M338" s="69">
        <f t="shared" si="69"/>
        <v>0</v>
      </c>
      <c r="N338" s="65" t="str">
        <f t="shared" si="70"/>
        <v/>
      </c>
      <c r="O338" s="70" t="str">
        <f>IF(OR($C338="",$D338="",$F338=""),"",IF($F338="Aylık",EOMONTH($D338,0),($D338+MOD(SISTEM!$F$8-WEEKDAY($D338,2),7))))</f>
        <v/>
      </c>
      <c r="P338" s="61"/>
      <c r="Q338" s="2"/>
      <c r="R338" s="2"/>
      <c r="S338" s="1" t="str">
        <f>IF($B338="","",$B338&amp;"|"&amp;COUNTIFS($B$7:$B338,$B338))</f>
        <v/>
      </c>
      <c r="T338" s="1" t="str">
        <f t="shared" si="71"/>
        <v/>
      </c>
      <c r="U338" s="1">
        <f t="shared" si="72"/>
        <v>0</v>
      </c>
      <c r="V338" s="1">
        <f t="shared" si="73"/>
        <v>2958465</v>
      </c>
      <c r="W338" s="1">
        <f t="shared" si="74"/>
        <v>0</v>
      </c>
      <c r="X338" s="1">
        <f t="shared" si="75"/>
        <v>0</v>
      </c>
      <c r="Y338" s="1">
        <f t="shared" si="76"/>
        <v>97200</v>
      </c>
      <c r="Z338" s="1">
        <f t="shared" si="77"/>
        <v>1</v>
      </c>
    </row>
    <row r="339" spans="1:26" ht="18" customHeight="1" x14ac:dyDescent="0.3">
      <c r="A339" s="2"/>
      <c r="B339" s="65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66"/>
      <c r="E339" s="66"/>
      <c r="F339" s="60"/>
      <c r="G339" s="67"/>
      <c r="H339" s="60"/>
      <c r="I339" s="68">
        <f t="shared" ca="1" si="65"/>
        <v>0</v>
      </c>
      <c r="J339" s="68">
        <f t="shared" ca="1" si="66"/>
        <v>0</v>
      </c>
      <c r="K339" s="68">
        <f t="shared" ca="1" si="67"/>
        <v>0</v>
      </c>
      <c r="L339" s="68">
        <f t="shared" ca="1" si="68"/>
        <v>0</v>
      </c>
      <c r="M339" s="69">
        <f t="shared" si="69"/>
        <v>0</v>
      </c>
      <c r="N339" s="65" t="str">
        <f t="shared" si="70"/>
        <v/>
      </c>
      <c r="O339" s="70" t="str">
        <f>IF(OR($C339="",$D339="",$F339=""),"",IF($F339="Aylık",EOMONTH($D339,0),($D339+MOD(SISTEM!$F$8-WEEKDAY($D339,2),7))))</f>
        <v/>
      </c>
      <c r="P339" s="61"/>
      <c r="Q339" s="2"/>
      <c r="R339" s="2"/>
      <c r="S339" s="1" t="str">
        <f>IF($B339="","",$B339&amp;"|"&amp;COUNTIFS($B$7:$B339,$B339))</f>
        <v/>
      </c>
      <c r="T339" s="1" t="str">
        <f t="shared" si="71"/>
        <v/>
      </c>
      <c r="U339" s="1">
        <f t="shared" si="72"/>
        <v>0</v>
      </c>
      <c r="V339" s="1">
        <f t="shared" si="73"/>
        <v>2958465</v>
      </c>
      <c r="W339" s="1">
        <f t="shared" si="74"/>
        <v>0</v>
      </c>
      <c r="X339" s="1">
        <f t="shared" si="75"/>
        <v>0</v>
      </c>
      <c r="Y339" s="1">
        <f t="shared" si="76"/>
        <v>97200</v>
      </c>
      <c r="Z339" s="1">
        <f t="shared" si="77"/>
        <v>1</v>
      </c>
    </row>
    <row r="340" spans="1:26" ht="18" customHeight="1" x14ac:dyDescent="0.3">
      <c r="A340" s="2"/>
      <c r="B340" s="65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66"/>
      <c r="E340" s="66"/>
      <c r="F340" s="60"/>
      <c r="G340" s="67"/>
      <c r="H340" s="60"/>
      <c r="I340" s="68">
        <f t="shared" ca="1" si="65"/>
        <v>0</v>
      </c>
      <c r="J340" s="68">
        <f t="shared" ca="1" si="66"/>
        <v>0</v>
      </c>
      <c r="K340" s="68">
        <f t="shared" ca="1" si="67"/>
        <v>0</v>
      </c>
      <c r="L340" s="68">
        <f t="shared" ca="1" si="68"/>
        <v>0</v>
      </c>
      <c r="M340" s="69">
        <f t="shared" si="69"/>
        <v>0</v>
      </c>
      <c r="N340" s="65" t="str">
        <f t="shared" si="70"/>
        <v/>
      </c>
      <c r="O340" s="70" t="str">
        <f>IF(OR($C340="",$D340="",$F340=""),"",IF($F340="Aylık",EOMONTH($D340,0),($D340+MOD(SISTEM!$F$8-WEEKDAY($D340,2),7))))</f>
        <v/>
      </c>
      <c r="P340" s="61"/>
      <c r="Q340" s="2"/>
      <c r="R340" s="2"/>
      <c r="S340" s="1" t="str">
        <f>IF($B340="","",$B340&amp;"|"&amp;COUNTIFS($B$7:$B340,$B340))</f>
        <v/>
      </c>
      <c r="T340" s="1" t="str">
        <f t="shared" si="71"/>
        <v/>
      </c>
      <c r="U340" s="1">
        <f t="shared" si="72"/>
        <v>0</v>
      </c>
      <c r="V340" s="1">
        <f t="shared" si="73"/>
        <v>2958465</v>
      </c>
      <c r="W340" s="1">
        <f t="shared" si="74"/>
        <v>0</v>
      </c>
      <c r="X340" s="1">
        <f t="shared" si="75"/>
        <v>0</v>
      </c>
      <c r="Y340" s="1">
        <f t="shared" si="76"/>
        <v>97200</v>
      </c>
      <c r="Z340" s="1">
        <f t="shared" si="77"/>
        <v>1</v>
      </c>
    </row>
    <row r="341" spans="1:26" ht="18" customHeight="1" x14ac:dyDescent="0.3">
      <c r="A341" s="2"/>
      <c r="B341" s="65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66"/>
      <c r="E341" s="66"/>
      <c r="F341" s="60"/>
      <c r="G341" s="67"/>
      <c r="H341" s="60"/>
      <c r="I341" s="68">
        <f t="shared" ca="1" si="65"/>
        <v>0</v>
      </c>
      <c r="J341" s="68">
        <f t="shared" ca="1" si="66"/>
        <v>0</v>
      </c>
      <c r="K341" s="68">
        <f t="shared" ca="1" si="67"/>
        <v>0</v>
      </c>
      <c r="L341" s="68">
        <f t="shared" ca="1" si="68"/>
        <v>0</v>
      </c>
      <c r="M341" s="69">
        <f t="shared" si="69"/>
        <v>0</v>
      </c>
      <c r="N341" s="65" t="str">
        <f t="shared" si="70"/>
        <v/>
      </c>
      <c r="O341" s="70" t="str">
        <f>IF(OR($C341="",$D341="",$F341=""),"",IF($F341="Aylık",EOMONTH($D341,0),($D341+MOD(SISTEM!$F$8-WEEKDAY($D341,2),7))))</f>
        <v/>
      </c>
      <c r="P341" s="61"/>
      <c r="Q341" s="2"/>
      <c r="R341" s="2"/>
      <c r="S341" s="1" t="str">
        <f>IF($B341="","",$B341&amp;"|"&amp;COUNTIFS($B$7:$B341,$B341))</f>
        <v/>
      </c>
      <c r="T341" s="1" t="str">
        <f t="shared" si="71"/>
        <v/>
      </c>
      <c r="U341" s="1">
        <f t="shared" si="72"/>
        <v>0</v>
      </c>
      <c r="V341" s="1">
        <f t="shared" si="73"/>
        <v>2958465</v>
      </c>
      <c r="W341" s="1">
        <f t="shared" si="74"/>
        <v>0</v>
      </c>
      <c r="X341" s="1">
        <f t="shared" si="75"/>
        <v>0</v>
      </c>
      <c r="Y341" s="1">
        <f t="shared" si="76"/>
        <v>97200</v>
      </c>
      <c r="Z341" s="1">
        <f t="shared" si="77"/>
        <v>1</v>
      </c>
    </row>
    <row r="342" spans="1:26" ht="18" customHeight="1" x14ac:dyDescent="0.3">
      <c r="A342" s="2"/>
      <c r="B342" s="65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66"/>
      <c r="E342" s="66"/>
      <c r="F342" s="60"/>
      <c r="G342" s="67"/>
      <c r="H342" s="60"/>
      <c r="I342" s="68">
        <f t="shared" ca="1" si="65"/>
        <v>0</v>
      </c>
      <c r="J342" s="68">
        <f t="shared" ca="1" si="66"/>
        <v>0</v>
      </c>
      <c r="K342" s="68">
        <f t="shared" ca="1" si="67"/>
        <v>0</v>
      </c>
      <c r="L342" s="68">
        <f t="shared" ca="1" si="68"/>
        <v>0</v>
      </c>
      <c r="M342" s="69">
        <f t="shared" si="69"/>
        <v>0</v>
      </c>
      <c r="N342" s="65" t="str">
        <f t="shared" si="70"/>
        <v/>
      </c>
      <c r="O342" s="70" t="str">
        <f>IF(OR($C342="",$D342="",$F342=""),"",IF($F342="Aylık",EOMONTH($D342,0),($D342+MOD(SISTEM!$F$8-WEEKDAY($D342,2),7))))</f>
        <v/>
      </c>
      <c r="P342" s="61"/>
      <c r="Q342" s="2"/>
      <c r="R342" s="2"/>
      <c r="S342" s="1" t="str">
        <f>IF($B342="","",$B342&amp;"|"&amp;COUNTIFS($B$7:$B342,$B342))</f>
        <v/>
      </c>
      <c r="T342" s="1" t="str">
        <f t="shared" si="71"/>
        <v/>
      </c>
      <c r="U342" s="1">
        <f t="shared" si="72"/>
        <v>0</v>
      </c>
      <c r="V342" s="1">
        <f t="shared" si="73"/>
        <v>2958465</v>
      </c>
      <c r="W342" s="1">
        <f t="shared" si="74"/>
        <v>0</v>
      </c>
      <c r="X342" s="1">
        <f t="shared" si="75"/>
        <v>0</v>
      </c>
      <c r="Y342" s="1">
        <f t="shared" si="76"/>
        <v>97200</v>
      </c>
      <c r="Z342" s="1">
        <f t="shared" si="77"/>
        <v>1</v>
      </c>
    </row>
    <row r="343" spans="1:26" ht="18" customHeight="1" x14ac:dyDescent="0.3">
      <c r="A343" s="2"/>
      <c r="B343" s="65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66"/>
      <c r="E343" s="66"/>
      <c r="F343" s="60"/>
      <c r="G343" s="67"/>
      <c r="H343" s="60"/>
      <c r="I343" s="68">
        <f t="shared" ca="1" si="65"/>
        <v>0</v>
      </c>
      <c r="J343" s="68">
        <f t="shared" ca="1" si="66"/>
        <v>0</v>
      </c>
      <c r="K343" s="68">
        <f t="shared" ca="1" si="67"/>
        <v>0</v>
      </c>
      <c r="L343" s="68">
        <f t="shared" ca="1" si="68"/>
        <v>0</v>
      </c>
      <c r="M343" s="69">
        <f t="shared" si="69"/>
        <v>0</v>
      </c>
      <c r="N343" s="65" t="str">
        <f t="shared" si="70"/>
        <v/>
      </c>
      <c r="O343" s="70" t="str">
        <f>IF(OR($C343="",$D343="",$F343=""),"",IF($F343="Aylık",EOMONTH($D343,0),($D343+MOD(SISTEM!$F$8-WEEKDAY($D343,2),7))))</f>
        <v/>
      </c>
      <c r="P343" s="61"/>
      <c r="Q343" s="2"/>
      <c r="R343" s="2"/>
      <c r="S343" s="1" t="str">
        <f>IF($B343="","",$B343&amp;"|"&amp;COUNTIFS($B$7:$B343,$B343))</f>
        <v/>
      </c>
      <c r="T343" s="1" t="str">
        <f t="shared" si="71"/>
        <v/>
      </c>
      <c r="U343" s="1">
        <f t="shared" si="72"/>
        <v>0</v>
      </c>
      <c r="V343" s="1">
        <f t="shared" si="73"/>
        <v>2958465</v>
      </c>
      <c r="W343" s="1">
        <f t="shared" si="74"/>
        <v>0</v>
      </c>
      <c r="X343" s="1">
        <f t="shared" si="75"/>
        <v>0</v>
      </c>
      <c r="Y343" s="1">
        <f t="shared" si="76"/>
        <v>97200</v>
      </c>
      <c r="Z343" s="1">
        <f t="shared" si="77"/>
        <v>1</v>
      </c>
    </row>
    <row r="344" spans="1:26" ht="18" customHeight="1" x14ac:dyDescent="0.3">
      <c r="A344" s="2"/>
      <c r="B344" s="65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66"/>
      <c r="E344" s="66"/>
      <c r="F344" s="60"/>
      <c r="G344" s="67"/>
      <c r="H344" s="60"/>
      <c r="I344" s="68">
        <f t="shared" ca="1" si="65"/>
        <v>0</v>
      </c>
      <c r="J344" s="68">
        <f t="shared" ca="1" si="66"/>
        <v>0</v>
      </c>
      <c r="K344" s="68">
        <f t="shared" ca="1" si="67"/>
        <v>0</v>
      </c>
      <c r="L344" s="68">
        <f t="shared" ca="1" si="68"/>
        <v>0</v>
      </c>
      <c r="M344" s="69">
        <f t="shared" si="69"/>
        <v>0</v>
      </c>
      <c r="N344" s="65" t="str">
        <f t="shared" si="70"/>
        <v/>
      </c>
      <c r="O344" s="70" t="str">
        <f>IF(OR($C344="",$D344="",$F344=""),"",IF($F344="Aylık",EOMONTH($D344,0),($D344+MOD(SISTEM!$F$8-WEEKDAY($D344,2),7))))</f>
        <v/>
      </c>
      <c r="P344" s="61"/>
      <c r="Q344" s="2"/>
      <c r="R344" s="2"/>
      <c r="S344" s="1" t="str">
        <f>IF($B344="","",$B344&amp;"|"&amp;COUNTIFS($B$7:$B344,$B344))</f>
        <v/>
      </c>
      <c r="T344" s="1" t="str">
        <f t="shared" si="71"/>
        <v/>
      </c>
      <c r="U344" s="1">
        <f t="shared" si="72"/>
        <v>0</v>
      </c>
      <c r="V344" s="1">
        <f t="shared" si="73"/>
        <v>2958465</v>
      </c>
      <c r="W344" s="1">
        <f t="shared" si="74"/>
        <v>0</v>
      </c>
      <c r="X344" s="1">
        <f t="shared" si="75"/>
        <v>0</v>
      </c>
      <c r="Y344" s="1">
        <f t="shared" si="76"/>
        <v>97200</v>
      </c>
      <c r="Z344" s="1">
        <f t="shared" si="77"/>
        <v>1</v>
      </c>
    </row>
    <row r="345" spans="1:26" ht="18" customHeight="1" x14ac:dyDescent="0.3">
      <c r="A345" s="2"/>
      <c r="B345" s="65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66"/>
      <c r="E345" s="66"/>
      <c r="F345" s="60"/>
      <c r="G345" s="67"/>
      <c r="H345" s="60"/>
      <c r="I345" s="68">
        <f t="shared" ca="1" si="65"/>
        <v>0</v>
      </c>
      <c r="J345" s="68">
        <f t="shared" ca="1" si="66"/>
        <v>0</v>
      </c>
      <c r="K345" s="68">
        <f t="shared" ca="1" si="67"/>
        <v>0</v>
      </c>
      <c r="L345" s="68">
        <f t="shared" ca="1" si="68"/>
        <v>0</v>
      </c>
      <c r="M345" s="69">
        <f t="shared" si="69"/>
        <v>0</v>
      </c>
      <c r="N345" s="65" t="str">
        <f t="shared" si="70"/>
        <v/>
      </c>
      <c r="O345" s="70" t="str">
        <f>IF(OR($C345="",$D345="",$F345=""),"",IF($F345="Aylık",EOMONTH($D345,0),($D345+MOD(SISTEM!$F$8-WEEKDAY($D345,2),7))))</f>
        <v/>
      </c>
      <c r="P345" s="61"/>
      <c r="Q345" s="2"/>
      <c r="R345" s="2"/>
      <c r="S345" s="1" t="str">
        <f>IF($B345="","",$B345&amp;"|"&amp;COUNTIFS($B$7:$B345,$B345))</f>
        <v/>
      </c>
      <c r="T345" s="1" t="str">
        <f t="shared" si="71"/>
        <v/>
      </c>
      <c r="U345" s="1">
        <f t="shared" si="72"/>
        <v>0</v>
      </c>
      <c r="V345" s="1">
        <f t="shared" si="73"/>
        <v>2958465</v>
      </c>
      <c r="W345" s="1">
        <f t="shared" si="74"/>
        <v>0</v>
      </c>
      <c r="X345" s="1">
        <f t="shared" si="75"/>
        <v>0</v>
      </c>
      <c r="Y345" s="1">
        <f t="shared" si="76"/>
        <v>97200</v>
      </c>
      <c r="Z345" s="1">
        <f t="shared" si="77"/>
        <v>1</v>
      </c>
    </row>
    <row r="346" spans="1:26" ht="18" customHeight="1" x14ac:dyDescent="0.3">
      <c r="A346" s="2"/>
      <c r="B346" s="65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66"/>
      <c r="E346" s="66"/>
      <c r="F346" s="60"/>
      <c r="G346" s="67"/>
      <c r="H346" s="60"/>
      <c r="I346" s="68">
        <f t="shared" ca="1" si="65"/>
        <v>0</v>
      </c>
      <c r="J346" s="68">
        <f t="shared" ca="1" si="66"/>
        <v>0</v>
      </c>
      <c r="K346" s="68">
        <f t="shared" ca="1" si="67"/>
        <v>0</v>
      </c>
      <c r="L346" s="68">
        <f t="shared" ca="1" si="68"/>
        <v>0</v>
      </c>
      <c r="M346" s="69">
        <f t="shared" si="69"/>
        <v>0</v>
      </c>
      <c r="N346" s="65" t="str">
        <f t="shared" si="70"/>
        <v/>
      </c>
      <c r="O346" s="70" t="str">
        <f>IF(OR($C346="",$D346="",$F346=""),"",IF($F346="Aylık",EOMONTH($D346,0),($D346+MOD(SISTEM!$F$8-WEEKDAY($D346,2),7))))</f>
        <v/>
      </c>
      <c r="P346" s="61"/>
      <c r="Q346" s="2"/>
      <c r="R346" s="2"/>
      <c r="S346" s="1" t="str">
        <f>IF($B346="","",$B346&amp;"|"&amp;COUNTIFS($B$7:$B346,$B346))</f>
        <v/>
      </c>
      <c r="T346" s="1" t="str">
        <f t="shared" si="71"/>
        <v/>
      </c>
      <c r="U346" s="1">
        <f t="shared" si="72"/>
        <v>0</v>
      </c>
      <c r="V346" s="1">
        <f t="shared" si="73"/>
        <v>2958465</v>
      </c>
      <c r="W346" s="1">
        <f t="shared" si="74"/>
        <v>0</v>
      </c>
      <c r="X346" s="1">
        <f t="shared" si="75"/>
        <v>0</v>
      </c>
      <c r="Y346" s="1">
        <f t="shared" si="76"/>
        <v>97200</v>
      </c>
      <c r="Z346" s="1">
        <f t="shared" si="77"/>
        <v>1</v>
      </c>
    </row>
    <row r="347" spans="1:26" ht="18" customHeight="1" x14ac:dyDescent="0.3">
      <c r="A347" s="2"/>
      <c r="B347" s="65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66"/>
      <c r="E347" s="66"/>
      <c r="F347" s="60"/>
      <c r="G347" s="67"/>
      <c r="H347" s="60"/>
      <c r="I347" s="68">
        <f t="shared" ca="1" si="65"/>
        <v>0</v>
      </c>
      <c r="J347" s="68">
        <f t="shared" ca="1" si="66"/>
        <v>0</v>
      </c>
      <c r="K347" s="68">
        <f t="shared" ca="1" si="67"/>
        <v>0</v>
      </c>
      <c r="L347" s="68">
        <f t="shared" ca="1" si="68"/>
        <v>0</v>
      </c>
      <c r="M347" s="69">
        <f t="shared" si="69"/>
        <v>0</v>
      </c>
      <c r="N347" s="65" t="str">
        <f t="shared" si="70"/>
        <v/>
      </c>
      <c r="O347" s="70" t="str">
        <f>IF(OR($C347="",$D347="",$F347=""),"",IF($F347="Aylık",EOMONTH($D347,0),($D347+MOD(SISTEM!$F$8-WEEKDAY($D347,2),7))))</f>
        <v/>
      </c>
      <c r="P347" s="61"/>
      <c r="Q347" s="2"/>
      <c r="R347" s="2"/>
      <c r="S347" s="1" t="str">
        <f>IF($B347="","",$B347&amp;"|"&amp;COUNTIFS($B$7:$B347,$B347))</f>
        <v/>
      </c>
      <c r="T347" s="1" t="str">
        <f t="shared" si="71"/>
        <v/>
      </c>
      <c r="U347" s="1">
        <f t="shared" si="72"/>
        <v>0</v>
      </c>
      <c r="V347" s="1">
        <f t="shared" si="73"/>
        <v>2958465</v>
      </c>
      <c r="W347" s="1">
        <f t="shared" si="74"/>
        <v>0</v>
      </c>
      <c r="X347" s="1">
        <f t="shared" si="75"/>
        <v>0</v>
      </c>
      <c r="Y347" s="1">
        <f t="shared" si="76"/>
        <v>97200</v>
      </c>
      <c r="Z347" s="1">
        <f t="shared" si="77"/>
        <v>1</v>
      </c>
    </row>
    <row r="348" spans="1:26" ht="18" customHeight="1" x14ac:dyDescent="0.3">
      <c r="A348" s="2"/>
      <c r="B348" s="65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66"/>
      <c r="E348" s="66"/>
      <c r="F348" s="60"/>
      <c r="G348" s="67"/>
      <c r="H348" s="60"/>
      <c r="I348" s="68">
        <f t="shared" ca="1" si="65"/>
        <v>0</v>
      </c>
      <c r="J348" s="68">
        <f t="shared" ca="1" si="66"/>
        <v>0</v>
      </c>
      <c r="K348" s="68">
        <f t="shared" ca="1" si="67"/>
        <v>0</v>
      </c>
      <c r="L348" s="68">
        <f t="shared" ca="1" si="68"/>
        <v>0</v>
      </c>
      <c r="M348" s="69">
        <f t="shared" si="69"/>
        <v>0</v>
      </c>
      <c r="N348" s="65" t="str">
        <f t="shared" si="70"/>
        <v/>
      </c>
      <c r="O348" s="70" t="str">
        <f>IF(OR($C348="",$D348="",$F348=""),"",IF($F348="Aylık",EOMONTH($D348,0),($D348+MOD(SISTEM!$F$8-WEEKDAY($D348,2),7))))</f>
        <v/>
      </c>
      <c r="P348" s="61"/>
      <c r="Q348" s="2"/>
      <c r="R348" s="2"/>
      <c r="S348" s="1" t="str">
        <f>IF($B348="","",$B348&amp;"|"&amp;COUNTIFS($B$7:$B348,$B348))</f>
        <v/>
      </c>
      <c r="T348" s="1" t="str">
        <f t="shared" si="71"/>
        <v/>
      </c>
      <c r="U348" s="1">
        <f t="shared" si="72"/>
        <v>0</v>
      </c>
      <c r="V348" s="1">
        <f t="shared" si="73"/>
        <v>2958465</v>
      </c>
      <c r="W348" s="1">
        <f t="shared" si="74"/>
        <v>0</v>
      </c>
      <c r="X348" s="1">
        <f t="shared" si="75"/>
        <v>0</v>
      </c>
      <c r="Y348" s="1">
        <f t="shared" si="76"/>
        <v>97200</v>
      </c>
      <c r="Z348" s="1">
        <f t="shared" si="77"/>
        <v>1</v>
      </c>
    </row>
    <row r="349" spans="1:26" ht="18" customHeight="1" x14ac:dyDescent="0.3">
      <c r="A349" s="2"/>
      <c r="B349" s="65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66"/>
      <c r="E349" s="66"/>
      <c r="F349" s="60"/>
      <c r="G349" s="67"/>
      <c r="H349" s="60"/>
      <c r="I349" s="68">
        <f t="shared" ca="1" si="65"/>
        <v>0</v>
      </c>
      <c r="J349" s="68">
        <f t="shared" ca="1" si="66"/>
        <v>0</v>
      </c>
      <c r="K349" s="68">
        <f t="shared" ca="1" si="67"/>
        <v>0</v>
      </c>
      <c r="L349" s="68">
        <f t="shared" ca="1" si="68"/>
        <v>0</v>
      </c>
      <c r="M349" s="69">
        <f t="shared" si="69"/>
        <v>0</v>
      </c>
      <c r="N349" s="65" t="str">
        <f t="shared" si="70"/>
        <v/>
      </c>
      <c r="O349" s="70" t="str">
        <f>IF(OR($C349="",$D349="",$F349=""),"",IF($F349="Aylık",EOMONTH($D349,0),($D349+MOD(SISTEM!$F$8-WEEKDAY($D349,2),7))))</f>
        <v/>
      </c>
      <c r="P349" s="61"/>
      <c r="Q349" s="2"/>
      <c r="R349" s="2"/>
      <c r="S349" s="1" t="str">
        <f>IF($B349="","",$B349&amp;"|"&amp;COUNTIFS($B$7:$B349,$B349))</f>
        <v/>
      </c>
      <c r="T349" s="1" t="str">
        <f t="shared" si="71"/>
        <v/>
      </c>
      <c r="U349" s="1">
        <f t="shared" si="72"/>
        <v>0</v>
      </c>
      <c r="V349" s="1">
        <f t="shared" si="73"/>
        <v>2958465</v>
      </c>
      <c r="W349" s="1">
        <f t="shared" si="74"/>
        <v>0</v>
      </c>
      <c r="X349" s="1">
        <f t="shared" si="75"/>
        <v>0</v>
      </c>
      <c r="Y349" s="1">
        <f t="shared" si="76"/>
        <v>97200</v>
      </c>
      <c r="Z349" s="1">
        <f t="shared" si="77"/>
        <v>1</v>
      </c>
    </row>
    <row r="350" spans="1:26" ht="18" customHeight="1" x14ac:dyDescent="0.3">
      <c r="A350" s="2"/>
      <c r="B350" s="65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66"/>
      <c r="E350" s="66"/>
      <c r="F350" s="60"/>
      <c r="G350" s="67"/>
      <c r="H350" s="60"/>
      <c r="I350" s="68">
        <f t="shared" ca="1" si="65"/>
        <v>0</v>
      </c>
      <c r="J350" s="68">
        <f t="shared" ca="1" si="66"/>
        <v>0</v>
      </c>
      <c r="K350" s="68">
        <f t="shared" ca="1" si="67"/>
        <v>0</v>
      </c>
      <c r="L350" s="68">
        <f t="shared" ca="1" si="68"/>
        <v>0</v>
      </c>
      <c r="M350" s="69">
        <f t="shared" si="69"/>
        <v>0</v>
      </c>
      <c r="N350" s="65" t="str">
        <f t="shared" si="70"/>
        <v/>
      </c>
      <c r="O350" s="70" t="str">
        <f>IF(OR($C350="",$D350="",$F350=""),"",IF($F350="Aylık",EOMONTH($D350,0),($D350+MOD(SISTEM!$F$8-WEEKDAY($D350,2),7))))</f>
        <v/>
      </c>
      <c r="P350" s="61"/>
      <c r="Q350" s="2"/>
      <c r="R350" s="2"/>
      <c r="S350" s="1" t="str">
        <f>IF($B350="","",$B350&amp;"|"&amp;COUNTIFS($B$7:$B350,$B350))</f>
        <v/>
      </c>
      <c r="T350" s="1" t="str">
        <f t="shared" si="71"/>
        <v/>
      </c>
      <c r="U350" s="1">
        <f t="shared" si="72"/>
        <v>0</v>
      </c>
      <c r="V350" s="1">
        <f t="shared" si="73"/>
        <v>2958465</v>
      </c>
      <c r="W350" s="1">
        <f t="shared" si="74"/>
        <v>0</v>
      </c>
      <c r="X350" s="1">
        <f t="shared" si="75"/>
        <v>0</v>
      </c>
      <c r="Y350" s="1">
        <f t="shared" si="76"/>
        <v>97200</v>
      </c>
      <c r="Z350" s="1">
        <f t="shared" si="77"/>
        <v>1</v>
      </c>
    </row>
    <row r="351" spans="1:26" ht="18" customHeight="1" x14ac:dyDescent="0.3">
      <c r="A351" s="2"/>
      <c r="B351" s="65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66"/>
      <c r="E351" s="66"/>
      <c r="F351" s="60"/>
      <c r="G351" s="67"/>
      <c r="H351" s="60"/>
      <c r="I351" s="68">
        <f t="shared" ca="1" si="65"/>
        <v>0</v>
      </c>
      <c r="J351" s="68">
        <f t="shared" ca="1" si="66"/>
        <v>0</v>
      </c>
      <c r="K351" s="68">
        <f t="shared" ca="1" si="67"/>
        <v>0</v>
      </c>
      <c r="L351" s="68">
        <f t="shared" ca="1" si="68"/>
        <v>0</v>
      </c>
      <c r="M351" s="69">
        <f t="shared" si="69"/>
        <v>0</v>
      </c>
      <c r="N351" s="65" t="str">
        <f t="shared" si="70"/>
        <v/>
      </c>
      <c r="O351" s="70" t="str">
        <f>IF(OR($C351="",$D351="",$F351=""),"",IF($F351="Aylık",EOMONTH($D351,0),($D351+MOD(SISTEM!$F$8-WEEKDAY($D351,2),7))))</f>
        <v/>
      </c>
      <c r="P351" s="61"/>
      <c r="Q351" s="2"/>
      <c r="R351" s="2"/>
      <c r="S351" s="1" t="str">
        <f>IF($B351="","",$B351&amp;"|"&amp;COUNTIFS($B$7:$B351,$B351))</f>
        <v/>
      </c>
      <c r="T351" s="1" t="str">
        <f t="shared" si="71"/>
        <v/>
      </c>
      <c r="U351" s="1">
        <f t="shared" si="72"/>
        <v>0</v>
      </c>
      <c r="V351" s="1">
        <f t="shared" si="73"/>
        <v>2958465</v>
      </c>
      <c r="W351" s="1">
        <f t="shared" si="74"/>
        <v>0</v>
      </c>
      <c r="X351" s="1">
        <f t="shared" si="75"/>
        <v>0</v>
      </c>
      <c r="Y351" s="1">
        <f t="shared" si="76"/>
        <v>97200</v>
      </c>
      <c r="Z351" s="1">
        <f t="shared" si="77"/>
        <v>1</v>
      </c>
    </row>
    <row r="352" spans="1:26" ht="18" customHeight="1" x14ac:dyDescent="0.3">
      <c r="A352" s="2"/>
      <c r="B352" s="65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66"/>
      <c r="E352" s="66"/>
      <c r="F352" s="60"/>
      <c r="G352" s="67"/>
      <c r="H352" s="60"/>
      <c r="I352" s="68">
        <f t="shared" ca="1" si="65"/>
        <v>0</v>
      </c>
      <c r="J352" s="68">
        <f t="shared" ca="1" si="66"/>
        <v>0</v>
      </c>
      <c r="K352" s="68">
        <f t="shared" ca="1" si="67"/>
        <v>0</v>
      </c>
      <c r="L352" s="68">
        <f t="shared" ca="1" si="68"/>
        <v>0</v>
      </c>
      <c r="M352" s="69">
        <f t="shared" si="69"/>
        <v>0</v>
      </c>
      <c r="N352" s="65" t="str">
        <f t="shared" si="70"/>
        <v/>
      </c>
      <c r="O352" s="70" t="str">
        <f>IF(OR($C352="",$D352="",$F352=""),"",IF($F352="Aylık",EOMONTH($D352,0),($D352+MOD(SISTEM!$F$8-WEEKDAY($D352,2),7))))</f>
        <v/>
      </c>
      <c r="P352" s="61"/>
      <c r="Q352" s="2"/>
      <c r="R352" s="2"/>
      <c r="S352" s="1" t="str">
        <f>IF($B352="","",$B352&amp;"|"&amp;COUNTIFS($B$7:$B352,$B352))</f>
        <v/>
      </c>
      <c r="T352" s="1" t="str">
        <f t="shared" si="71"/>
        <v/>
      </c>
      <c r="U352" s="1">
        <f t="shared" si="72"/>
        <v>0</v>
      </c>
      <c r="V352" s="1">
        <f t="shared" si="73"/>
        <v>2958465</v>
      </c>
      <c r="W352" s="1">
        <f t="shared" si="74"/>
        <v>0</v>
      </c>
      <c r="X352" s="1">
        <f t="shared" si="75"/>
        <v>0</v>
      </c>
      <c r="Y352" s="1">
        <f t="shared" si="76"/>
        <v>97200</v>
      </c>
      <c r="Z352" s="1">
        <f t="shared" si="77"/>
        <v>1</v>
      </c>
    </row>
    <row r="353" spans="1:26" ht="18" customHeight="1" x14ac:dyDescent="0.3">
      <c r="A353" s="2"/>
      <c r="B353" s="65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66"/>
      <c r="E353" s="66"/>
      <c r="F353" s="60"/>
      <c r="G353" s="67"/>
      <c r="H353" s="60"/>
      <c r="I353" s="68">
        <f t="shared" ca="1" si="65"/>
        <v>0</v>
      </c>
      <c r="J353" s="68">
        <f t="shared" ca="1" si="66"/>
        <v>0</v>
      </c>
      <c r="K353" s="68">
        <f t="shared" ca="1" si="67"/>
        <v>0</v>
      </c>
      <c r="L353" s="68">
        <f t="shared" ca="1" si="68"/>
        <v>0</v>
      </c>
      <c r="M353" s="69">
        <f t="shared" si="69"/>
        <v>0</v>
      </c>
      <c r="N353" s="65" t="str">
        <f t="shared" si="70"/>
        <v/>
      </c>
      <c r="O353" s="70" t="str">
        <f>IF(OR($C353="",$D353="",$F353=""),"",IF($F353="Aylık",EOMONTH($D353,0),($D353+MOD(SISTEM!$F$8-WEEKDAY($D353,2),7))))</f>
        <v/>
      </c>
      <c r="P353" s="61"/>
      <c r="Q353" s="2"/>
      <c r="R353" s="2"/>
      <c r="S353" s="1" t="str">
        <f>IF($B353="","",$B353&amp;"|"&amp;COUNTIFS($B$7:$B353,$B353))</f>
        <v/>
      </c>
      <c r="T353" s="1" t="str">
        <f t="shared" si="71"/>
        <v/>
      </c>
      <c r="U353" s="1">
        <f t="shared" si="72"/>
        <v>0</v>
      </c>
      <c r="V353" s="1">
        <f t="shared" si="73"/>
        <v>2958465</v>
      </c>
      <c r="W353" s="1">
        <f t="shared" si="74"/>
        <v>0</v>
      </c>
      <c r="X353" s="1">
        <f t="shared" si="75"/>
        <v>0</v>
      </c>
      <c r="Y353" s="1">
        <f t="shared" si="76"/>
        <v>97200</v>
      </c>
      <c r="Z353" s="1">
        <f t="shared" si="77"/>
        <v>1</v>
      </c>
    </row>
    <row r="354" spans="1:26" ht="18" customHeight="1" x14ac:dyDescent="0.3">
      <c r="A354" s="2"/>
      <c r="B354" s="65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66"/>
      <c r="E354" s="66"/>
      <c r="F354" s="60"/>
      <c r="G354" s="67"/>
      <c r="H354" s="60"/>
      <c r="I354" s="68">
        <f t="shared" ca="1" si="65"/>
        <v>0</v>
      </c>
      <c r="J354" s="68">
        <f t="shared" ca="1" si="66"/>
        <v>0</v>
      </c>
      <c r="K354" s="68">
        <f t="shared" ca="1" si="67"/>
        <v>0</v>
      </c>
      <c r="L354" s="68">
        <f t="shared" ca="1" si="68"/>
        <v>0</v>
      </c>
      <c r="M354" s="69">
        <f t="shared" si="69"/>
        <v>0</v>
      </c>
      <c r="N354" s="65" t="str">
        <f t="shared" si="70"/>
        <v/>
      </c>
      <c r="O354" s="70" t="str">
        <f>IF(OR($C354="",$D354="",$F354=""),"",IF($F354="Aylık",EOMONTH($D354,0),($D354+MOD(SISTEM!$F$8-WEEKDAY($D354,2),7))))</f>
        <v/>
      </c>
      <c r="P354" s="61"/>
      <c r="Q354" s="2"/>
      <c r="R354" s="2"/>
      <c r="S354" s="1" t="str">
        <f>IF($B354="","",$B354&amp;"|"&amp;COUNTIFS($B$7:$B354,$B354))</f>
        <v/>
      </c>
      <c r="T354" s="1" t="str">
        <f t="shared" si="71"/>
        <v/>
      </c>
      <c r="U354" s="1">
        <f t="shared" si="72"/>
        <v>0</v>
      </c>
      <c r="V354" s="1">
        <f t="shared" si="73"/>
        <v>2958465</v>
      </c>
      <c r="W354" s="1">
        <f t="shared" si="74"/>
        <v>0</v>
      </c>
      <c r="X354" s="1">
        <f t="shared" si="75"/>
        <v>0</v>
      </c>
      <c r="Y354" s="1">
        <f t="shared" si="76"/>
        <v>97200</v>
      </c>
      <c r="Z354" s="1">
        <f t="shared" si="77"/>
        <v>1</v>
      </c>
    </row>
    <row r="355" spans="1:26" ht="18" customHeight="1" x14ac:dyDescent="0.3">
      <c r="A355" s="2"/>
      <c r="B355" s="65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66"/>
      <c r="E355" s="66"/>
      <c r="F355" s="60"/>
      <c r="G355" s="67"/>
      <c r="H355" s="60"/>
      <c r="I355" s="68">
        <f t="shared" ca="1" si="65"/>
        <v>0</v>
      </c>
      <c r="J355" s="68">
        <f t="shared" ca="1" si="66"/>
        <v>0</v>
      </c>
      <c r="K355" s="68">
        <f t="shared" ca="1" si="67"/>
        <v>0</v>
      </c>
      <c r="L355" s="68">
        <f t="shared" ca="1" si="68"/>
        <v>0</v>
      </c>
      <c r="M355" s="69">
        <f t="shared" si="69"/>
        <v>0</v>
      </c>
      <c r="N355" s="65" t="str">
        <f t="shared" si="70"/>
        <v/>
      </c>
      <c r="O355" s="70" t="str">
        <f>IF(OR($C355="",$D355="",$F355=""),"",IF($F355="Aylık",EOMONTH($D355,0),($D355+MOD(SISTEM!$F$8-WEEKDAY($D355,2),7))))</f>
        <v/>
      </c>
      <c r="P355" s="61"/>
      <c r="Q355" s="2"/>
      <c r="R355" s="2"/>
      <c r="S355" s="1" t="str">
        <f>IF($B355="","",$B355&amp;"|"&amp;COUNTIFS($B$7:$B355,$B355))</f>
        <v/>
      </c>
      <c r="T355" s="1" t="str">
        <f t="shared" si="71"/>
        <v/>
      </c>
      <c r="U355" s="1">
        <f t="shared" si="72"/>
        <v>0</v>
      </c>
      <c r="V355" s="1">
        <f t="shared" si="73"/>
        <v>2958465</v>
      </c>
      <c r="W355" s="1">
        <f t="shared" si="74"/>
        <v>0</v>
      </c>
      <c r="X355" s="1">
        <f t="shared" si="75"/>
        <v>0</v>
      </c>
      <c r="Y355" s="1">
        <f t="shared" si="76"/>
        <v>97200</v>
      </c>
      <c r="Z355" s="1">
        <f t="shared" si="77"/>
        <v>1</v>
      </c>
    </row>
    <row r="356" spans="1:26" ht="18" customHeight="1" x14ac:dyDescent="0.3">
      <c r="A356" s="2"/>
      <c r="B356" s="65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66"/>
      <c r="E356" s="66"/>
      <c r="F356" s="60"/>
      <c r="G356" s="67"/>
      <c r="H356" s="60"/>
      <c r="I356" s="68">
        <f t="shared" ca="1" si="65"/>
        <v>0</v>
      </c>
      <c r="J356" s="68">
        <f t="shared" ca="1" si="66"/>
        <v>0</v>
      </c>
      <c r="K356" s="68">
        <f t="shared" ca="1" si="67"/>
        <v>0</v>
      </c>
      <c r="L356" s="68">
        <f t="shared" ca="1" si="68"/>
        <v>0</v>
      </c>
      <c r="M356" s="69">
        <f t="shared" si="69"/>
        <v>0</v>
      </c>
      <c r="N356" s="65" t="str">
        <f t="shared" si="70"/>
        <v/>
      </c>
      <c r="O356" s="70" t="str">
        <f>IF(OR($C356="",$D356="",$F356=""),"",IF($F356="Aylık",EOMONTH($D356,0),($D356+MOD(SISTEM!$F$8-WEEKDAY($D356,2),7))))</f>
        <v/>
      </c>
      <c r="P356" s="61"/>
      <c r="Q356" s="2"/>
      <c r="R356" s="2"/>
      <c r="S356" s="1" t="str">
        <f>IF($B356="","",$B356&amp;"|"&amp;COUNTIFS($B$7:$B356,$B356))</f>
        <v/>
      </c>
      <c r="T356" s="1" t="str">
        <f t="shared" si="71"/>
        <v/>
      </c>
      <c r="U356" s="1">
        <f t="shared" si="72"/>
        <v>0</v>
      </c>
      <c r="V356" s="1">
        <f t="shared" si="73"/>
        <v>2958465</v>
      </c>
      <c r="W356" s="1">
        <f t="shared" si="74"/>
        <v>0</v>
      </c>
      <c r="X356" s="1">
        <f t="shared" si="75"/>
        <v>0</v>
      </c>
      <c r="Y356" s="1">
        <f t="shared" si="76"/>
        <v>97200</v>
      </c>
      <c r="Z356" s="1">
        <f t="shared" si="77"/>
        <v>1</v>
      </c>
    </row>
    <row r="357" spans="1:26" ht="18" customHeight="1" x14ac:dyDescent="0.3">
      <c r="A357" s="2"/>
      <c r="B357" s="65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66"/>
      <c r="E357" s="66"/>
      <c r="F357" s="60"/>
      <c r="G357" s="67"/>
      <c r="H357" s="60"/>
      <c r="I357" s="68">
        <f t="shared" ca="1" si="65"/>
        <v>0</v>
      </c>
      <c r="J357" s="68">
        <f t="shared" ca="1" si="66"/>
        <v>0</v>
      </c>
      <c r="K357" s="68">
        <f t="shared" ca="1" si="67"/>
        <v>0</v>
      </c>
      <c r="L357" s="68">
        <f t="shared" ca="1" si="68"/>
        <v>0</v>
      </c>
      <c r="M357" s="69">
        <f t="shared" si="69"/>
        <v>0</v>
      </c>
      <c r="N357" s="65" t="str">
        <f t="shared" si="70"/>
        <v/>
      </c>
      <c r="O357" s="70" t="str">
        <f>IF(OR($C357="",$D357="",$F357=""),"",IF($F357="Aylık",EOMONTH($D357,0),($D357+MOD(SISTEM!$F$8-WEEKDAY($D357,2),7))))</f>
        <v/>
      </c>
      <c r="P357" s="61"/>
      <c r="Q357" s="2"/>
      <c r="R357" s="2"/>
      <c r="S357" s="1" t="str">
        <f>IF($B357="","",$B357&amp;"|"&amp;COUNTIFS($B$7:$B357,$B357))</f>
        <v/>
      </c>
      <c r="T357" s="1" t="str">
        <f t="shared" si="71"/>
        <v/>
      </c>
      <c r="U357" s="1">
        <f t="shared" si="72"/>
        <v>0</v>
      </c>
      <c r="V357" s="1">
        <f t="shared" si="73"/>
        <v>2958465</v>
      </c>
      <c r="W357" s="1">
        <f t="shared" si="74"/>
        <v>0</v>
      </c>
      <c r="X357" s="1">
        <f t="shared" si="75"/>
        <v>0</v>
      </c>
      <c r="Y357" s="1">
        <f t="shared" si="76"/>
        <v>97200</v>
      </c>
      <c r="Z357" s="1">
        <f t="shared" si="77"/>
        <v>1</v>
      </c>
    </row>
    <row r="358" spans="1:26" ht="18" customHeight="1" x14ac:dyDescent="0.3">
      <c r="A358" s="2"/>
      <c r="B358" s="65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66"/>
      <c r="E358" s="66"/>
      <c r="F358" s="60"/>
      <c r="G358" s="67"/>
      <c r="H358" s="60"/>
      <c r="I358" s="68">
        <f t="shared" ca="1" si="65"/>
        <v>0</v>
      </c>
      <c r="J358" s="68">
        <f t="shared" ca="1" si="66"/>
        <v>0</v>
      </c>
      <c r="K358" s="68">
        <f t="shared" ca="1" si="67"/>
        <v>0</v>
      </c>
      <c r="L358" s="68">
        <f t="shared" ca="1" si="68"/>
        <v>0</v>
      </c>
      <c r="M358" s="69">
        <f t="shared" si="69"/>
        <v>0</v>
      </c>
      <c r="N358" s="65" t="str">
        <f t="shared" si="70"/>
        <v/>
      </c>
      <c r="O358" s="70" t="str">
        <f>IF(OR($C358="",$D358="",$F358=""),"",IF($F358="Aylık",EOMONTH($D358,0),($D358+MOD(SISTEM!$F$8-WEEKDAY($D358,2),7))))</f>
        <v/>
      </c>
      <c r="P358" s="61"/>
      <c r="Q358" s="2"/>
      <c r="R358" s="2"/>
      <c r="S358" s="1" t="str">
        <f>IF($B358="","",$B358&amp;"|"&amp;COUNTIFS($B$7:$B358,$B358))</f>
        <v/>
      </c>
      <c r="T358" s="1" t="str">
        <f t="shared" si="71"/>
        <v/>
      </c>
      <c r="U358" s="1">
        <f t="shared" si="72"/>
        <v>0</v>
      </c>
      <c r="V358" s="1">
        <f t="shared" si="73"/>
        <v>2958465</v>
      </c>
      <c r="W358" s="1">
        <f t="shared" si="74"/>
        <v>0</v>
      </c>
      <c r="X358" s="1">
        <f t="shared" si="75"/>
        <v>0</v>
      </c>
      <c r="Y358" s="1">
        <f t="shared" si="76"/>
        <v>97200</v>
      </c>
      <c r="Z358" s="1">
        <f t="shared" si="77"/>
        <v>1</v>
      </c>
    </row>
    <row r="359" spans="1:26" ht="18" customHeight="1" x14ac:dyDescent="0.3">
      <c r="A359" s="2"/>
      <c r="B359" s="65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66"/>
      <c r="E359" s="66"/>
      <c r="F359" s="60"/>
      <c r="G359" s="67"/>
      <c r="H359" s="60"/>
      <c r="I359" s="68">
        <f t="shared" ca="1" si="65"/>
        <v>0</v>
      </c>
      <c r="J359" s="68">
        <f t="shared" ca="1" si="66"/>
        <v>0</v>
      </c>
      <c r="K359" s="68">
        <f t="shared" ca="1" si="67"/>
        <v>0</v>
      </c>
      <c r="L359" s="68">
        <f t="shared" ca="1" si="68"/>
        <v>0</v>
      </c>
      <c r="M359" s="69">
        <f t="shared" si="69"/>
        <v>0</v>
      </c>
      <c r="N359" s="65" t="str">
        <f t="shared" si="70"/>
        <v/>
      </c>
      <c r="O359" s="70" t="str">
        <f>IF(OR($C359="",$D359="",$F359=""),"",IF($F359="Aylık",EOMONTH($D359,0),($D359+MOD(SISTEM!$F$8-WEEKDAY($D359,2),7))))</f>
        <v/>
      </c>
      <c r="P359" s="61"/>
      <c r="Q359" s="2"/>
      <c r="R359" s="2"/>
      <c r="S359" s="1" t="str">
        <f>IF($B359="","",$B359&amp;"|"&amp;COUNTIFS($B$7:$B359,$B359))</f>
        <v/>
      </c>
      <c r="T359" s="1" t="str">
        <f t="shared" si="71"/>
        <v/>
      </c>
      <c r="U359" s="1">
        <f t="shared" si="72"/>
        <v>0</v>
      </c>
      <c r="V359" s="1">
        <f t="shared" si="73"/>
        <v>2958465</v>
      </c>
      <c r="W359" s="1">
        <f t="shared" si="74"/>
        <v>0</v>
      </c>
      <c r="X359" s="1">
        <f t="shared" si="75"/>
        <v>0</v>
      </c>
      <c r="Y359" s="1">
        <f t="shared" si="76"/>
        <v>97200</v>
      </c>
      <c r="Z359" s="1">
        <f t="shared" si="77"/>
        <v>1</v>
      </c>
    </row>
    <row r="360" spans="1:26" ht="18" customHeight="1" x14ac:dyDescent="0.3">
      <c r="A360" s="2"/>
      <c r="B360" s="65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66"/>
      <c r="E360" s="66"/>
      <c r="F360" s="60"/>
      <c r="G360" s="67"/>
      <c r="H360" s="60"/>
      <c r="I360" s="68">
        <f t="shared" ca="1" si="65"/>
        <v>0</v>
      </c>
      <c r="J360" s="68">
        <f t="shared" ca="1" si="66"/>
        <v>0</v>
      </c>
      <c r="K360" s="68">
        <f t="shared" ca="1" si="67"/>
        <v>0</v>
      </c>
      <c r="L360" s="68">
        <f t="shared" ca="1" si="68"/>
        <v>0</v>
      </c>
      <c r="M360" s="69">
        <f t="shared" si="69"/>
        <v>0</v>
      </c>
      <c r="N360" s="65" t="str">
        <f t="shared" si="70"/>
        <v/>
      </c>
      <c r="O360" s="70" t="str">
        <f>IF(OR($C360="",$D360="",$F360=""),"",IF($F360="Aylık",EOMONTH($D360,0),($D360+MOD(SISTEM!$F$8-WEEKDAY($D360,2),7))))</f>
        <v/>
      </c>
      <c r="P360" s="61"/>
      <c r="Q360" s="2"/>
      <c r="R360" s="2"/>
      <c r="S360" s="1" t="str">
        <f>IF($B360="","",$B360&amp;"|"&amp;COUNTIFS($B$7:$B360,$B360))</f>
        <v/>
      </c>
      <c r="T360" s="1" t="str">
        <f t="shared" si="71"/>
        <v/>
      </c>
      <c r="U360" s="1">
        <f t="shared" si="72"/>
        <v>0</v>
      </c>
      <c r="V360" s="1">
        <f t="shared" si="73"/>
        <v>2958465</v>
      </c>
      <c r="W360" s="1">
        <f t="shared" si="74"/>
        <v>0</v>
      </c>
      <c r="X360" s="1">
        <f t="shared" si="75"/>
        <v>0</v>
      </c>
      <c r="Y360" s="1">
        <f t="shared" si="76"/>
        <v>97200</v>
      </c>
      <c r="Z360" s="1">
        <f t="shared" si="77"/>
        <v>1</v>
      </c>
    </row>
    <row r="361" spans="1:26" ht="18" customHeight="1" x14ac:dyDescent="0.3">
      <c r="A361" s="2"/>
      <c r="B361" s="65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66"/>
      <c r="E361" s="66"/>
      <c r="F361" s="60"/>
      <c r="G361" s="67"/>
      <c r="H361" s="60"/>
      <c r="I361" s="68">
        <f t="shared" ca="1" si="65"/>
        <v>0</v>
      </c>
      <c r="J361" s="68">
        <f t="shared" ca="1" si="66"/>
        <v>0</v>
      </c>
      <c r="K361" s="68">
        <f t="shared" ca="1" si="67"/>
        <v>0</v>
      </c>
      <c r="L361" s="68">
        <f t="shared" ca="1" si="68"/>
        <v>0</v>
      </c>
      <c r="M361" s="69">
        <f t="shared" si="69"/>
        <v>0</v>
      </c>
      <c r="N361" s="65" t="str">
        <f t="shared" si="70"/>
        <v/>
      </c>
      <c r="O361" s="70" t="str">
        <f>IF(OR($C361="",$D361="",$F361=""),"",IF($F361="Aylık",EOMONTH($D361,0),($D361+MOD(SISTEM!$F$8-WEEKDAY($D361,2),7))))</f>
        <v/>
      </c>
      <c r="P361" s="61"/>
      <c r="Q361" s="2"/>
      <c r="R361" s="2"/>
      <c r="S361" s="1" t="str">
        <f>IF($B361="","",$B361&amp;"|"&amp;COUNTIFS($B$7:$B361,$B361))</f>
        <v/>
      </c>
      <c r="T361" s="1" t="str">
        <f t="shared" si="71"/>
        <v/>
      </c>
      <c r="U361" s="1">
        <f t="shared" si="72"/>
        <v>0</v>
      </c>
      <c r="V361" s="1">
        <f t="shared" si="73"/>
        <v>2958465</v>
      </c>
      <c r="W361" s="1">
        <f t="shared" si="74"/>
        <v>0</v>
      </c>
      <c r="X361" s="1">
        <f t="shared" si="75"/>
        <v>0</v>
      </c>
      <c r="Y361" s="1">
        <f t="shared" si="76"/>
        <v>97200</v>
      </c>
      <c r="Z361" s="1">
        <f t="shared" si="77"/>
        <v>1</v>
      </c>
    </row>
    <row r="362" spans="1:26" ht="18" customHeight="1" x14ac:dyDescent="0.3">
      <c r="A362" s="2"/>
      <c r="B362" s="65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66"/>
      <c r="E362" s="66"/>
      <c r="F362" s="60"/>
      <c r="G362" s="67"/>
      <c r="H362" s="60"/>
      <c r="I362" s="68">
        <f t="shared" ca="1" si="65"/>
        <v>0</v>
      </c>
      <c r="J362" s="68">
        <f t="shared" ca="1" si="66"/>
        <v>0</v>
      </c>
      <c r="K362" s="68">
        <f t="shared" ca="1" si="67"/>
        <v>0</v>
      </c>
      <c r="L362" s="68">
        <f t="shared" ca="1" si="68"/>
        <v>0</v>
      </c>
      <c r="M362" s="69">
        <f t="shared" si="69"/>
        <v>0</v>
      </c>
      <c r="N362" s="65" t="str">
        <f t="shared" si="70"/>
        <v/>
      </c>
      <c r="O362" s="70" t="str">
        <f>IF(OR($C362="",$D362="",$F362=""),"",IF($F362="Aylık",EOMONTH($D362,0),($D362+MOD(SISTEM!$F$8-WEEKDAY($D362,2),7))))</f>
        <v/>
      </c>
      <c r="P362" s="61"/>
      <c r="Q362" s="2"/>
      <c r="R362" s="2"/>
      <c r="S362" s="1" t="str">
        <f>IF($B362="","",$B362&amp;"|"&amp;COUNTIFS($B$7:$B362,$B362))</f>
        <v/>
      </c>
      <c r="T362" s="1" t="str">
        <f t="shared" si="71"/>
        <v/>
      </c>
      <c r="U362" s="1">
        <f t="shared" si="72"/>
        <v>0</v>
      </c>
      <c r="V362" s="1">
        <f t="shared" si="73"/>
        <v>2958465</v>
      </c>
      <c r="W362" s="1">
        <f t="shared" si="74"/>
        <v>0</v>
      </c>
      <c r="X362" s="1">
        <f t="shared" si="75"/>
        <v>0</v>
      </c>
      <c r="Y362" s="1">
        <f t="shared" si="76"/>
        <v>97200</v>
      </c>
      <c r="Z362" s="1">
        <f t="shared" si="77"/>
        <v>1</v>
      </c>
    </row>
    <row r="363" spans="1:26" ht="18" customHeight="1" x14ac:dyDescent="0.3">
      <c r="A363" s="2"/>
      <c r="B363" s="65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66"/>
      <c r="E363" s="66"/>
      <c r="F363" s="60"/>
      <c r="G363" s="67"/>
      <c r="H363" s="60"/>
      <c r="I363" s="68">
        <f t="shared" ca="1" si="65"/>
        <v>0</v>
      </c>
      <c r="J363" s="68">
        <f t="shared" ca="1" si="66"/>
        <v>0</v>
      </c>
      <c r="K363" s="68">
        <f t="shared" ca="1" si="67"/>
        <v>0</v>
      </c>
      <c r="L363" s="68">
        <f t="shared" ca="1" si="68"/>
        <v>0</v>
      </c>
      <c r="M363" s="69">
        <f t="shared" si="69"/>
        <v>0</v>
      </c>
      <c r="N363" s="65" t="str">
        <f t="shared" si="70"/>
        <v/>
      </c>
      <c r="O363" s="70" t="str">
        <f>IF(OR($C363="",$D363="",$F363=""),"",IF($F363="Aylık",EOMONTH($D363,0),($D363+MOD(SISTEM!$F$8-WEEKDAY($D363,2),7))))</f>
        <v/>
      </c>
      <c r="P363" s="61"/>
      <c r="Q363" s="2"/>
      <c r="R363" s="2"/>
      <c r="S363" s="1" t="str">
        <f>IF($B363="","",$B363&amp;"|"&amp;COUNTIFS($B$7:$B363,$B363))</f>
        <v/>
      </c>
      <c r="T363" s="1" t="str">
        <f t="shared" si="71"/>
        <v/>
      </c>
      <c r="U363" s="1">
        <f t="shared" si="72"/>
        <v>0</v>
      </c>
      <c r="V363" s="1">
        <f t="shared" si="73"/>
        <v>2958465</v>
      </c>
      <c r="W363" s="1">
        <f t="shared" si="74"/>
        <v>0</v>
      </c>
      <c r="X363" s="1">
        <f t="shared" si="75"/>
        <v>0</v>
      </c>
      <c r="Y363" s="1">
        <f t="shared" si="76"/>
        <v>97200</v>
      </c>
      <c r="Z363" s="1">
        <f t="shared" si="77"/>
        <v>1</v>
      </c>
    </row>
    <row r="364" spans="1:26" ht="18" customHeight="1" x14ac:dyDescent="0.3">
      <c r="A364" s="2"/>
      <c r="B364" s="65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66"/>
      <c r="E364" s="66"/>
      <c r="F364" s="60"/>
      <c r="G364" s="67"/>
      <c r="H364" s="60"/>
      <c r="I364" s="68">
        <f t="shared" ca="1" si="65"/>
        <v>0</v>
      </c>
      <c r="J364" s="68">
        <f t="shared" ca="1" si="66"/>
        <v>0</v>
      </c>
      <c r="K364" s="68">
        <f t="shared" ca="1" si="67"/>
        <v>0</v>
      </c>
      <c r="L364" s="68">
        <f t="shared" ca="1" si="68"/>
        <v>0</v>
      </c>
      <c r="M364" s="69">
        <f t="shared" si="69"/>
        <v>0</v>
      </c>
      <c r="N364" s="65" t="str">
        <f t="shared" si="70"/>
        <v/>
      </c>
      <c r="O364" s="70" t="str">
        <f>IF(OR($C364="",$D364="",$F364=""),"",IF($F364="Aylık",EOMONTH($D364,0),($D364+MOD(SISTEM!$F$8-WEEKDAY($D364,2),7))))</f>
        <v/>
      </c>
      <c r="P364" s="61"/>
      <c r="Q364" s="2"/>
      <c r="R364" s="2"/>
      <c r="S364" s="1" t="str">
        <f>IF($B364="","",$B364&amp;"|"&amp;COUNTIFS($B$7:$B364,$B364))</f>
        <v/>
      </c>
      <c r="T364" s="1" t="str">
        <f t="shared" si="71"/>
        <v/>
      </c>
      <c r="U364" s="1">
        <f t="shared" si="72"/>
        <v>0</v>
      </c>
      <c r="V364" s="1">
        <f t="shared" si="73"/>
        <v>2958465</v>
      </c>
      <c r="W364" s="1">
        <f t="shared" si="74"/>
        <v>0</v>
      </c>
      <c r="X364" s="1">
        <f t="shared" si="75"/>
        <v>0</v>
      </c>
      <c r="Y364" s="1">
        <f t="shared" si="76"/>
        <v>97200</v>
      </c>
      <c r="Z364" s="1">
        <f t="shared" si="77"/>
        <v>1</v>
      </c>
    </row>
    <row r="365" spans="1:26" ht="18" customHeight="1" x14ac:dyDescent="0.3">
      <c r="A365" s="2"/>
      <c r="B365" s="65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66"/>
      <c r="E365" s="66"/>
      <c r="F365" s="60"/>
      <c r="G365" s="67"/>
      <c r="H365" s="60"/>
      <c r="I365" s="68">
        <f t="shared" ca="1" si="65"/>
        <v>0</v>
      </c>
      <c r="J365" s="68">
        <f t="shared" ca="1" si="66"/>
        <v>0</v>
      </c>
      <c r="K365" s="68">
        <f t="shared" ca="1" si="67"/>
        <v>0</v>
      </c>
      <c r="L365" s="68">
        <f t="shared" ca="1" si="68"/>
        <v>0</v>
      </c>
      <c r="M365" s="69">
        <f t="shared" si="69"/>
        <v>0</v>
      </c>
      <c r="N365" s="65" t="str">
        <f t="shared" si="70"/>
        <v/>
      </c>
      <c r="O365" s="70" t="str">
        <f>IF(OR($C365="",$D365="",$F365=""),"",IF($F365="Aylık",EOMONTH($D365,0),($D365+MOD(SISTEM!$F$8-WEEKDAY($D365,2),7))))</f>
        <v/>
      </c>
      <c r="P365" s="61"/>
      <c r="Q365" s="2"/>
      <c r="R365" s="2"/>
      <c r="S365" s="1" t="str">
        <f>IF($B365="","",$B365&amp;"|"&amp;COUNTIFS($B$7:$B365,$B365))</f>
        <v/>
      </c>
      <c r="T365" s="1" t="str">
        <f t="shared" si="71"/>
        <v/>
      </c>
      <c r="U365" s="1">
        <f t="shared" si="72"/>
        <v>0</v>
      </c>
      <c r="V365" s="1">
        <f t="shared" si="73"/>
        <v>2958465</v>
      </c>
      <c r="W365" s="1">
        <f t="shared" si="74"/>
        <v>0</v>
      </c>
      <c r="X365" s="1">
        <f t="shared" si="75"/>
        <v>0</v>
      </c>
      <c r="Y365" s="1">
        <f t="shared" si="76"/>
        <v>97200</v>
      </c>
      <c r="Z365" s="1">
        <f t="shared" si="77"/>
        <v>1</v>
      </c>
    </row>
    <row r="366" spans="1:26" ht="18" customHeight="1" x14ac:dyDescent="0.3">
      <c r="A366" s="2"/>
      <c r="B366" s="65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66"/>
      <c r="E366" s="66"/>
      <c r="F366" s="60"/>
      <c r="G366" s="67"/>
      <c r="H366" s="60"/>
      <c r="I366" s="68">
        <f t="shared" ca="1" si="65"/>
        <v>0</v>
      </c>
      <c r="J366" s="68">
        <f t="shared" ca="1" si="66"/>
        <v>0</v>
      </c>
      <c r="K366" s="68">
        <f t="shared" ca="1" si="67"/>
        <v>0</v>
      </c>
      <c r="L366" s="68">
        <f t="shared" ca="1" si="68"/>
        <v>0</v>
      </c>
      <c r="M366" s="69">
        <f t="shared" si="69"/>
        <v>0</v>
      </c>
      <c r="N366" s="65" t="str">
        <f t="shared" si="70"/>
        <v/>
      </c>
      <c r="O366" s="70" t="str">
        <f>IF(OR($C366="",$D366="",$F366=""),"",IF($F366="Aylık",EOMONTH($D366,0),($D366+MOD(SISTEM!$F$8-WEEKDAY($D366,2),7))))</f>
        <v/>
      </c>
      <c r="P366" s="61"/>
      <c r="Q366" s="2"/>
      <c r="R366" s="2"/>
      <c r="S366" s="1" t="str">
        <f>IF($B366="","",$B366&amp;"|"&amp;COUNTIFS($B$7:$B366,$B366))</f>
        <v/>
      </c>
      <c r="T366" s="1" t="str">
        <f t="shared" si="71"/>
        <v/>
      </c>
      <c r="U366" s="1">
        <f t="shared" si="72"/>
        <v>0</v>
      </c>
      <c r="V366" s="1">
        <f t="shared" si="73"/>
        <v>2958465</v>
      </c>
      <c r="W366" s="1">
        <f t="shared" si="74"/>
        <v>0</v>
      </c>
      <c r="X366" s="1">
        <f t="shared" si="75"/>
        <v>0</v>
      </c>
      <c r="Y366" s="1">
        <f t="shared" si="76"/>
        <v>97200</v>
      </c>
      <c r="Z366" s="1">
        <f t="shared" si="77"/>
        <v>1</v>
      </c>
    </row>
    <row r="367" spans="1:26" ht="18" customHeight="1" x14ac:dyDescent="0.3">
      <c r="A367" s="2"/>
      <c r="B367" s="65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66"/>
      <c r="E367" s="66"/>
      <c r="F367" s="60"/>
      <c r="G367" s="67"/>
      <c r="H367" s="60"/>
      <c r="I367" s="68">
        <f t="shared" ca="1" si="65"/>
        <v>0</v>
      </c>
      <c r="J367" s="68">
        <f t="shared" ca="1" si="66"/>
        <v>0</v>
      </c>
      <c r="K367" s="68">
        <f t="shared" ca="1" si="67"/>
        <v>0</v>
      </c>
      <c r="L367" s="68">
        <f t="shared" ca="1" si="68"/>
        <v>0</v>
      </c>
      <c r="M367" s="69">
        <f t="shared" si="69"/>
        <v>0</v>
      </c>
      <c r="N367" s="65" t="str">
        <f t="shared" si="70"/>
        <v/>
      </c>
      <c r="O367" s="70" t="str">
        <f>IF(OR($C367="",$D367="",$F367=""),"",IF($F367="Aylık",EOMONTH($D367,0),($D367+MOD(SISTEM!$F$8-WEEKDAY($D367,2),7))))</f>
        <v/>
      </c>
      <c r="P367" s="61"/>
      <c r="Q367" s="2"/>
      <c r="R367" s="2"/>
      <c r="S367" s="1" t="str">
        <f>IF($B367="","",$B367&amp;"|"&amp;COUNTIFS($B$7:$B367,$B367))</f>
        <v/>
      </c>
      <c r="T367" s="1" t="str">
        <f t="shared" si="71"/>
        <v/>
      </c>
      <c r="U367" s="1">
        <f t="shared" si="72"/>
        <v>0</v>
      </c>
      <c r="V367" s="1">
        <f t="shared" si="73"/>
        <v>2958465</v>
      </c>
      <c r="W367" s="1">
        <f t="shared" si="74"/>
        <v>0</v>
      </c>
      <c r="X367" s="1">
        <f t="shared" si="75"/>
        <v>0</v>
      </c>
      <c r="Y367" s="1">
        <f t="shared" si="76"/>
        <v>97200</v>
      </c>
      <c r="Z367" s="1">
        <f t="shared" si="77"/>
        <v>1</v>
      </c>
    </row>
    <row r="368" spans="1:26" ht="18" customHeight="1" x14ac:dyDescent="0.3">
      <c r="A368" s="2"/>
      <c r="B368" s="65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66"/>
      <c r="E368" s="66"/>
      <c r="F368" s="60"/>
      <c r="G368" s="67"/>
      <c r="H368" s="60"/>
      <c r="I368" s="68">
        <f t="shared" ca="1" si="65"/>
        <v>0</v>
      </c>
      <c r="J368" s="68">
        <f t="shared" ca="1" si="66"/>
        <v>0</v>
      </c>
      <c r="K368" s="68">
        <f t="shared" ca="1" si="67"/>
        <v>0</v>
      </c>
      <c r="L368" s="68">
        <f t="shared" ca="1" si="68"/>
        <v>0</v>
      </c>
      <c r="M368" s="69">
        <f t="shared" si="69"/>
        <v>0</v>
      </c>
      <c r="N368" s="65" t="str">
        <f t="shared" si="70"/>
        <v/>
      </c>
      <c r="O368" s="70" t="str">
        <f>IF(OR($C368="",$D368="",$F368=""),"",IF($F368="Aylık",EOMONTH($D368,0),($D368+MOD(SISTEM!$F$8-WEEKDAY($D368,2),7))))</f>
        <v/>
      </c>
      <c r="P368" s="61"/>
      <c r="Q368" s="2"/>
      <c r="R368" s="2"/>
      <c r="S368" s="1" t="str">
        <f>IF($B368="","",$B368&amp;"|"&amp;COUNTIFS($B$7:$B368,$B368))</f>
        <v/>
      </c>
      <c r="T368" s="1" t="str">
        <f t="shared" si="71"/>
        <v/>
      </c>
      <c r="U368" s="1">
        <f t="shared" si="72"/>
        <v>0</v>
      </c>
      <c r="V368" s="1">
        <f t="shared" si="73"/>
        <v>2958465</v>
      </c>
      <c r="W368" s="1">
        <f t="shared" si="74"/>
        <v>0</v>
      </c>
      <c r="X368" s="1">
        <f t="shared" si="75"/>
        <v>0</v>
      </c>
      <c r="Y368" s="1">
        <f t="shared" si="76"/>
        <v>97200</v>
      </c>
      <c r="Z368" s="1">
        <f t="shared" si="77"/>
        <v>1</v>
      </c>
    </row>
    <row r="369" spans="1:26" ht="18" customHeight="1" x14ac:dyDescent="0.3">
      <c r="A369" s="2"/>
      <c r="B369" s="65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66"/>
      <c r="E369" s="66"/>
      <c r="F369" s="60"/>
      <c r="G369" s="67"/>
      <c r="H369" s="60"/>
      <c r="I369" s="68">
        <f t="shared" ca="1" si="65"/>
        <v>0</v>
      </c>
      <c r="J369" s="68">
        <f t="shared" ca="1" si="66"/>
        <v>0</v>
      </c>
      <c r="K369" s="68">
        <f t="shared" ca="1" si="67"/>
        <v>0</v>
      </c>
      <c r="L369" s="68">
        <f t="shared" ca="1" si="68"/>
        <v>0</v>
      </c>
      <c r="M369" s="69">
        <f t="shared" si="69"/>
        <v>0</v>
      </c>
      <c r="N369" s="65" t="str">
        <f t="shared" si="70"/>
        <v/>
      </c>
      <c r="O369" s="70" t="str">
        <f>IF(OR($C369="",$D369="",$F369=""),"",IF($F369="Aylık",EOMONTH($D369,0),($D369+MOD(SISTEM!$F$8-WEEKDAY($D369,2),7))))</f>
        <v/>
      </c>
      <c r="P369" s="61"/>
      <c r="Q369" s="2"/>
      <c r="R369" s="2"/>
      <c r="S369" s="1" t="str">
        <f>IF($B369="","",$B369&amp;"|"&amp;COUNTIFS($B$7:$B369,$B369))</f>
        <v/>
      </c>
      <c r="T369" s="1" t="str">
        <f t="shared" si="71"/>
        <v/>
      </c>
      <c r="U369" s="1">
        <f t="shared" si="72"/>
        <v>0</v>
      </c>
      <c r="V369" s="1">
        <f t="shared" si="73"/>
        <v>2958465</v>
      </c>
      <c r="W369" s="1">
        <f t="shared" si="74"/>
        <v>0</v>
      </c>
      <c r="X369" s="1">
        <f t="shared" si="75"/>
        <v>0</v>
      </c>
      <c r="Y369" s="1">
        <f t="shared" si="76"/>
        <v>97200</v>
      </c>
      <c r="Z369" s="1">
        <f t="shared" si="77"/>
        <v>1</v>
      </c>
    </row>
    <row r="370" spans="1:26" ht="18" customHeight="1" x14ac:dyDescent="0.3">
      <c r="A370" s="2"/>
      <c r="B370" s="65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66"/>
      <c r="E370" s="66"/>
      <c r="F370" s="60"/>
      <c r="G370" s="67"/>
      <c r="H370" s="60"/>
      <c r="I370" s="68">
        <f t="shared" ca="1" si="65"/>
        <v>0</v>
      </c>
      <c r="J370" s="68">
        <f t="shared" ca="1" si="66"/>
        <v>0</v>
      </c>
      <c r="K370" s="68">
        <f t="shared" ca="1" si="67"/>
        <v>0</v>
      </c>
      <c r="L370" s="68">
        <f t="shared" ca="1" si="68"/>
        <v>0</v>
      </c>
      <c r="M370" s="69">
        <f t="shared" si="69"/>
        <v>0</v>
      </c>
      <c r="N370" s="65" t="str">
        <f t="shared" si="70"/>
        <v/>
      </c>
      <c r="O370" s="70" t="str">
        <f>IF(OR($C370="",$D370="",$F370=""),"",IF($F370="Aylık",EOMONTH($D370,0),($D370+MOD(SISTEM!$F$8-WEEKDAY($D370,2),7))))</f>
        <v/>
      </c>
      <c r="P370" s="61"/>
      <c r="Q370" s="2"/>
      <c r="R370" s="2"/>
      <c r="S370" s="1" t="str">
        <f>IF($B370="","",$B370&amp;"|"&amp;COUNTIFS($B$7:$B370,$B370))</f>
        <v/>
      </c>
      <c r="T370" s="1" t="str">
        <f t="shared" si="71"/>
        <v/>
      </c>
      <c r="U370" s="1">
        <f t="shared" si="72"/>
        <v>0</v>
      </c>
      <c r="V370" s="1">
        <f t="shared" si="73"/>
        <v>2958465</v>
      </c>
      <c r="W370" s="1">
        <f t="shared" si="74"/>
        <v>0</v>
      </c>
      <c r="X370" s="1">
        <f t="shared" si="75"/>
        <v>0</v>
      </c>
      <c r="Y370" s="1">
        <f t="shared" si="76"/>
        <v>97200</v>
      </c>
      <c r="Z370" s="1">
        <f t="shared" si="77"/>
        <v>1</v>
      </c>
    </row>
    <row r="371" spans="1:26" ht="18" customHeight="1" x14ac:dyDescent="0.3">
      <c r="A371" s="2"/>
      <c r="B371" s="65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66"/>
      <c r="E371" s="66"/>
      <c r="F371" s="60"/>
      <c r="G371" s="67"/>
      <c r="H371" s="60"/>
      <c r="I371" s="68">
        <f t="shared" ca="1" si="65"/>
        <v>0</v>
      </c>
      <c r="J371" s="68">
        <f t="shared" ca="1" si="66"/>
        <v>0</v>
      </c>
      <c r="K371" s="68">
        <f t="shared" ca="1" si="67"/>
        <v>0</v>
      </c>
      <c r="L371" s="68">
        <f t="shared" ca="1" si="68"/>
        <v>0</v>
      </c>
      <c r="M371" s="69">
        <f t="shared" si="69"/>
        <v>0</v>
      </c>
      <c r="N371" s="65" t="str">
        <f t="shared" si="70"/>
        <v/>
      </c>
      <c r="O371" s="70" t="str">
        <f>IF(OR($C371="",$D371="",$F371=""),"",IF($F371="Aylık",EOMONTH($D371,0),($D371+MOD(SISTEM!$F$8-WEEKDAY($D371,2),7))))</f>
        <v/>
      </c>
      <c r="P371" s="61"/>
      <c r="Q371" s="2"/>
      <c r="R371" s="2"/>
      <c r="S371" s="1" t="str">
        <f>IF($B371="","",$B371&amp;"|"&amp;COUNTIFS($B$7:$B371,$B371))</f>
        <v/>
      </c>
      <c r="T371" s="1" t="str">
        <f t="shared" si="71"/>
        <v/>
      </c>
      <c r="U371" s="1">
        <f t="shared" si="72"/>
        <v>0</v>
      </c>
      <c r="V371" s="1">
        <f t="shared" si="73"/>
        <v>2958465</v>
      </c>
      <c r="W371" s="1">
        <f t="shared" si="74"/>
        <v>0</v>
      </c>
      <c r="X371" s="1">
        <f t="shared" si="75"/>
        <v>0</v>
      </c>
      <c r="Y371" s="1">
        <f t="shared" si="76"/>
        <v>97200</v>
      </c>
      <c r="Z371" s="1">
        <f t="shared" si="77"/>
        <v>1</v>
      </c>
    </row>
    <row r="372" spans="1:26" ht="18" customHeight="1" x14ac:dyDescent="0.3">
      <c r="A372" s="2"/>
      <c r="B372" s="65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66"/>
      <c r="E372" s="66"/>
      <c r="F372" s="60"/>
      <c r="G372" s="67"/>
      <c r="H372" s="60"/>
      <c r="I372" s="68">
        <f t="shared" ca="1" si="65"/>
        <v>0</v>
      </c>
      <c r="J372" s="68">
        <f t="shared" ca="1" si="66"/>
        <v>0</v>
      </c>
      <c r="K372" s="68">
        <f t="shared" ca="1" si="67"/>
        <v>0</v>
      </c>
      <c r="L372" s="68">
        <f t="shared" ca="1" si="68"/>
        <v>0</v>
      </c>
      <c r="M372" s="69">
        <f t="shared" si="69"/>
        <v>0</v>
      </c>
      <c r="N372" s="65" t="str">
        <f t="shared" si="70"/>
        <v/>
      </c>
      <c r="O372" s="70" t="str">
        <f>IF(OR($C372="",$D372="",$F372=""),"",IF($F372="Aylık",EOMONTH($D372,0),($D372+MOD(SISTEM!$F$8-WEEKDAY($D372,2),7))))</f>
        <v/>
      </c>
      <c r="P372" s="61"/>
      <c r="Q372" s="2"/>
      <c r="R372" s="2"/>
      <c r="S372" s="1" t="str">
        <f>IF($B372="","",$B372&amp;"|"&amp;COUNTIFS($B$7:$B372,$B372))</f>
        <v/>
      </c>
      <c r="T372" s="1" t="str">
        <f t="shared" si="71"/>
        <v/>
      </c>
      <c r="U372" s="1">
        <f t="shared" si="72"/>
        <v>0</v>
      </c>
      <c r="V372" s="1">
        <f t="shared" si="73"/>
        <v>2958465</v>
      </c>
      <c r="W372" s="1">
        <f t="shared" si="74"/>
        <v>0</v>
      </c>
      <c r="X372" s="1">
        <f t="shared" si="75"/>
        <v>0</v>
      </c>
      <c r="Y372" s="1">
        <f t="shared" si="76"/>
        <v>97200</v>
      </c>
      <c r="Z372" s="1">
        <f t="shared" si="77"/>
        <v>1</v>
      </c>
    </row>
    <row r="373" spans="1:26" ht="18" customHeight="1" x14ac:dyDescent="0.3">
      <c r="A373" s="2"/>
      <c r="B373" s="65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66"/>
      <c r="E373" s="66"/>
      <c r="F373" s="60"/>
      <c r="G373" s="67"/>
      <c r="H373" s="60"/>
      <c r="I373" s="68">
        <f t="shared" ca="1" si="65"/>
        <v>0</v>
      </c>
      <c r="J373" s="68">
        <f t="shared" ca="1" si="66"/>
        <v>0</v>
      </c>
      <c r="K373" s="68">
        <f t="shared" ca="1" si="67"/>
        <v>0</v>
      </c>
      <c r="L373" s="68">
        <f t="shared" ca="1" si="68"/>
        <v>0</v>
      </c>
      <c r="M373" s="69">
        <f t="shared" si="69"/>
        <v>0</v>
      </c>
      <c r="N373" s="65" t="str">
        <f t="shared" si="70"/>
        <v/>
      </c>
      <c r="O373" s="70" t="str">
        <f>IF(OR($C373="",$D373="",$F373=""),"",IF($F373="Aylık",EOMONTH($D373,0),($D373+MOD(SISTEM!$F$8-WEEKDAY($D373,2),7))))</f>
        <v/>
      </c>
      <c r="P373" s="61"/>
      <c r="Q373" s="2"/>
      <c r="R373" s="2"/>
      <c r="S373" s="1" t="str">
        <f>IF($B373="","",$B373&amp;"|"&amp;COUNTIFS($B$7:$B373,$B373))</f>
        <v/>
      </c>
      <c r="T373" s="1" t="str">
        <f t="shared" si="71"/>
        <v/>
      </c>
      <c r="U373" s="1">
        <f t="shared" si="72"/>
        <v>0</v>
      </c>
      <c r="V373" s="1">
        <f t="shared" si="73"/>
        <v>2958465</v>
      </c>
      <c r="W373" s="1">
        <f t="shared" si="74"/>
        <v>0</v>
      </c>
      <c r="X373" s="1">
        <f t="shared" si="75"/>
        <v>0</v>
      </c>
      <c r="Y373" s="1">
        <f t="shared" si="76"/>
        <v>97200</v>
      </c>
      <c r="Z373" s="1">
        <f t="shared" si="77"/>
        <v>1</v>
      </c>
    </row>
    <row r="374" spans="1:26" ht="18" customHeight="1" x14ac:dyDescent="0.3">
      <c r="A374" s="2"/>
      <c r="B374" s="65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66"/>
      <c r="E374" s="66"/>
      <c r="F374" s="60"/>
      <c r="G374" s="67"/>
      <c r="H374" s="60"/>
      <c r="I374" s="68">
        <f t="shared" ca="1" si="65"/>
        <v>0</v>
      </c>
      <c r="J374" s="68">
        <f t="shared" ca="1" si="66"/>
        <v>0</v>
      </c>
      <c r="K374" s="68">
        <f t="shared" ca="1" si="67"/>
        <v>0</v>
      </c>
      <c r="L374" s="68">
        <f t="shared" ca="1" si="68"/>
        <v>0</v>
      </c>
      <c r="M374" s="69">
        <f t="shared" si="69"/>
        <v>0</v>
      </c>
      <c r="N374" s="65" t="str">
        <f t="shared" si="70"/>
        <v/>
      </c>
      <c r="O374" s="70" t="str">
        <f>IF(OR($C374="",$D374="",$F374=""),"",IF($F374="Aylık",EOMONTH($D374,0),($D374+MOD(SISTEM!$F$8-WEEKDAY($D374,2),7))))</f>
        <v/>
      </c>
      <c r="P374" s="61"/>
      <c r="Q374" s="2"/>
      <c r="R374" s="2"/>
      <c r="S374" s="1" t="str">
        <f>IF($B374="","",$B374&amp;"|"&amp;COUNTIFS($B$7:$B374,$B374))</f>
        <v/>
      </c>
      <c r="T374" s="1" t="str">
        <f t="shared" si="71"/>
        <v/>
      </c>
      <c r="U374" s="1">
        <f t="shared" si="72"/>
        <v>0</v>
      </c>
      <c r="V374" s="1">
        <f t="shared" si="73"/>
        <v>2958465</v>
      </c>
      <c r="W374" s="1">
        <f t="shared" si="74"/>
        <v>0</v>
      </c>
      <c r="X374" s="1">
        <f t="shared" si="75"/>
        <v>0</v>
      </c>
      <c r="Y374" s="1">
        <f t="shared" si="76"/>
        <v>97200</v>
      </c>
      <c r="Z374" s="1">
        <f t="shared" si="77"/>
        <v>1</v>
      </c>
    </row>
    <row r="375" spans="1:26" ht="18" customHeight="1" x14ac:dyDescent="0.3">
      <c r="A375" s="2"/>
      <c r="B375" s="65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66"/>
      <c r="E375" s="66"/>
      <c r="F375" s="60"/>
      <c r="G375" s="67"/>
      <c r="H375" s="60"/>
      <c r="I375" s="68">
        <f t="shared" ca="1" si="65"/>
        <v>0</v>
      </c>
      <c r="J375" s="68">
        <f t="shared" ca="1" si="66"/>
        <v>0</v>
      </c>
      <c r="K375" s="68">
        <f t="shared" ca="1" si="67"/>
        <v>0</v>
      </c>
      <c r="L375" s="68">
        <f t="shared" ca="1" si="68"/>
        <v>0</v>
      </c>
      <c r="M375" s="69">
        <f t="shared" si="69"/>
        <v>0</v>
      </c>
      <c r="N375" s="65" t="str">
        <f t="shared" si="70"/>
        <v/>
      </c>
      <c r="O375" s="70" t="str">
        <f>IF(OR($C375="",$D375="",$F375=""),"",IF($F375="Aylık",EOMONTH($D375,0),($D375+MOD(SISTEM!$F$8-WEEKDAY($D375,2),7))))</f>
        <v/>
      </c>
      <c r="P375" s="61"/>
      <c r="Q375" s="2"/>
      <c r="R375" s="2"/>
      <c r="S375" s="1" t="str">
        <f>IF($B375="","",$B375&amp;"|"&amp;COUNTIFS($B$7:$B375,$B375))</f>
        <v/>
      </c>
      <c r="T375" s="1" t="str">
        <f t="shared" si="71"/>
        <v/>
      </c>
      <c r="U375" s="1">
        <f t="shared" si="72"/>
        <v>0</v>
      </c>
      <c r="V375" s="1">
        <f t="shared" si="73"/>
        <v>2958465</v>
      </c>
      <c r="W375" s="1">
        <f t="shared" si="74"/>
        <v>0</v>
      </c>
      <c r="X375" s="1">
        <f t="shared" si="75"/>
        <v>0</v>
      </c>
      <c r="Y375" s="1">
        <f t="shared" si="76"/>
        <v>97200</v>
      </c>
      <c r="Z375" s="1">
        <f t="shared" si="77"/>
        <v>1</v>
      </c>
    </row>
    <row r="376" spans="1:26" ht="18" customHeight="1" x14ac:dyDescent="0.3">
      <c r="A376" s="2"/>
      <c r="B376" s="65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66"/>
      <c r="E376" s="66"/>
      <c r="F376" s="60"/>
      <c r="G376" s="67"/>
      <c r="H376" s="60"/>
      <c r="I376" s="68">
        <f t="shared" ca="1" si="65"/>
        <v>0</v>
      </c>
      <c r="J376" s="68">
        <f t="shared" ca="1" si="66"/>
        <v>0</v>
      </c>
      <c r="K376" s="68">
        <f t="shared" ca="1" si="67"/>
        <v>0</v>
      </c>
      <c r="L376" s="68">
        <f t="shared" ca="1" si="68"/>
        <v>0</v>
      </c>
      <c r="M376" s="69">
        <f t="shared" si="69"/>
        <v>0</v>
      </c>
      <c r="N376" s="65" t="str">
        <f t="shared" si="70"/>
        <v/>
      </c>
      <c r="O376" s="70" t="str">
        <f>IF(OR($C376="",$D376="",$F376=""),"",IF($F376="Aylık",EOMONTH($D376,0),($D376+MOD(SISTEM!$F$8-WEEKDAY($D376,2),7))))</f>
        <v/>
      </c>
      <c r="P376" s="61"/>
      <c r="Q376" s="2"/>
      <c r="R376" s="2"/>
      <c r="S376" s="1" t="str">
        <f>IF($B376="","",$B376&amp;"|"&amp;COUNTIFS($B$7:$B376,$B376))</f>
        <v/>
      </c>
      <c r="T376" s="1" t="str">
        <f t="shared" si="71"/>
        <v/>
      </c>
      <c r="U376" s="1">
        <f t="shared" si="72"/>
        <v>0</v>
      </c>
      <c r="V376" s="1">
        <f t="shared" si="73"/>
        <v>2958465</v>
      </c>
      <c r="W376" s="1">
        <f t="shared" si="74"/>
        <v>0</v>
      </c>
      <c r="X376" s="1">
        <f t="shared" si="75"/>
        <v>0</v>
      </c>
      <c r="Y376" s="1">
        <f t="shared" si="76"/>
        <v>97200</v>
      </c>
      <c r="Z376" s="1">
        <f t="shared" si="77"/>
        <v>1</v>
      </c>
    </row>
    <row r="377" spans="1:26" ht="18" customHeight="1" x14ac:dyDescent="0.3">
      <c r="A377" s="2"/>
      <c r="B377" s="65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66"/>
      <c r="E377" s="66"/>
      <c r="F377" s="60"/>
      <c r="G377" s="67"/>
      <c r="H377" s="60"/>
      <c r="I377" s="68">
        <f t="shared" ca="1" si="65"/>
        <v>0</v>
      </c>
      <c r="J377" s="68">
        <f t="shared" ca="1" si="66"/>
        <v>0</v>
      </c>
      <c r="K377" s="68">
        <f t="shared" ca="1" si="67"/>
        <v>0</v>
      </c>
      <c r="L377" s="68">
        <f t="shared" ca="1" si="68"/>
        <v>0</v>
      </c>
      <c r="M377" s="69">
        <f t="shared" si="69"/>
        <v>0</v>
      </c>
      <c r="N377" s="65" t="str">
        <f t="shared" si="70"/>
        <v/>
      </c>
      <c r="O377" s="70" t="str">
        <f>IF(OR($C377="",$D377="",$F377=""),"",IF($F377="Aylık",EOMONTH($D377,0),($D377+MOD(SISTEM!$F$8-WEEKDAY($D377,2),7))))</f>
        <v/>
      </c>
      <c r="P377" s="61"/>
      <c r="Q377" s="2"/>
      <c r="R377" s="2"/>
      <c r="S377" s="1" t="str">
        <f>IF($B377="","",$B377&amp;"|"&amp;COUNTIFS($B$7:$B377,$B377))</f>
        <v/>
      </c>
      <c r="T377" s="1" t="str">
        <f t="shared" si="71"/>
        <v/>
      </c>
      <c r="U377" s="1">
        <f t="shared" si="72"/>
        <v>0</v>
      </c>
      <c r="V377" s="1">
        <f t="shared" si="73"/>
        <v>2958465</v>
      </c>
      <c r="W377" s="1">
        <f t="shared" si="74"/>
        <v>0</v>
      </c>
      <c r="X377" s="1">
        <f t="shared" si="75"/>
        <v>0</v>
      </c>
      <c r="Y377" s="1">
        <f t="shared" si="76"/>
        <v>97200</v>
      </c>
      <c r="Z377" s="1">
        <f t="shared" si="77"/>
        <v>1</v>
      </c>
    </row>
    <row r="378" spans="1:26" ht="18" customHeight="1" x14ac:dyDescent="0.3">
      <c r="A378" s="2"/>
      <c r="B378" s="65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66"/>
      <c r="E378" s="66"/>
      <c r="F378" s="60"/>
      <c r="G378" s="67"/>
      <c r="H378" s="60"/>
      <c r="I378" s="68">
        <f t="shared" ca="1" si="65"/>
        <v>0</v>
      </c>
      <c r="J378" s="68">
        <f t="shared" ca="1" si="66"/>
        <v>0</v>
      </c>
      <c r="K378" s="68">
        <f t="shared" ca="1" si="67"/>
        <v>0</v>
      </c>
      <c r="L378" s="68">
        <f t="shared" ca="1" si="68"/>
        <v>0</v>
      </c>
      <c r="M378" s="69">
        <f t="shared" si="69"/>
        <v>0</v>
      </c>
      <c r="N378" s="65" t="str">
        <f t="shared" si="70"/>
        <v/>
      </c>
      <c r="O378" s="70" t="str">
        <f>IF(OR($C378="",$D378="",$F378=""),"",IF($F378="Aylık",EOMONTH($D378,0),($D378+MOD(SISTEM!$F$8-WEEKDAY($D378,2),7))))</f>
        <v/>
      </c>
      <c r="P378" s="61"/>
      <c r="Q378" s="2"/>
      <c r="R378" s="2"/>
      <c r="S378" s="1" t="str">
        <f>IF($B378="","",$B378&amp;"|"&amp;COUNTIFS($B$7:$B378,$B378))</f>
        <v/>
      </c>
      <c r="T378" s="1" t="str">
        <f t="shared" si="71"/>
        <v/>
      </c>
      <c r="U378" s="1">
        <f t="shared" si="72"/>
        <v>0</v>
      </c>
      <c r="V378" s="1">
        <f t="shared" si="73"/>
        <v>2958465</v>
      </c>
      <c r="W378" s="1">
        <f t="shared" si="74"/>
        <v>0</v>
      </c>
      <c r="X378" s="1">
        <f t="shared" si="75"/>
        <v>0</v>
      </c>
      <c r="Y378" s="1">
        <f t="shared" si="76"/>
        <v>97200</v>
      </c>
      <c r="Z378" s="1">
        <f t="shared" si="77"/>
        <v>1</v>
      </c>
    </row>
    <row r="379" spans="1:26" ht="18" customHeight="1" x14ac:dyDescent="0.3">
      <c r="A379" s="2"/>
      <c r="B379" s="65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66"/>
      <c r="E379" s="66"/>
      <c r="F379" s="60"/>
      <c r="G379" s="67"/>
      <c r="H379" s="60"/>
      <c r="I379" s="68">
        <f t="shared" ca="1" si="65"/>
        <v>0</v>
      </c>
      <c r="J379" s="68">
        <f t="shared" ca="1" si="66"/>
        <v>0</v>
      </c>
      <c r="K379" s="68">
        <f t="shared" ca="1" si="67"/>
        <v>0</v>
      </c>
      <c r="L379" s="68">
        <f t="shared" ca="1" si="68"/>
        <v>0</v>
      </c>
      <c r="M379" s="69">
        <f t="shared" si="69"/>
        <v>0</v>
      </c>
      <c r="N379" s="65" t="str">
        <f t="shared" si="70"/>
        <v/>
      </c>
      <c r="O379" s="70" t="str">
        <f>IF(OR($C379="",$D379="",$F379=""),"",IF($F379="Aylık",EOMONTH($D379,0),($D379+MOD(SISTEM!$F$8-WEEKDAY($D379,2),7))))</f>
        <v/>
      </c>
      <c r="P379" s="61"/>
      <c r="Q379" s="2"/>
      <c r="R379" s="2"/>
      <c r="S379" s="1" t="str">
        <f>IF($B379="","",$B379&amp;"|"&amp;COUNTIFS($B$7:$B379,$B379))</f>
        <v/>
      </c>
      <c r="T379" s="1" t="str">
        <f t="shared" si="71"/>
        <v/>
      </c>
      <c r="U379" s="1">
        <f t="shared" si="72"/>
        <v>0</v>
      </c>
      <c r="V379" s="1">
        <f t="shared" si="73"/>
        <v>2958465</v>
      </c>
      <c r="W379" s="1">
        <f t="shared" si="74"/>
        <v>0</v>
      </c>
      <c r="X379" s="1">
        <f t="shared" si="75"/>
        <v>0</v>
      </c>
      <c r="Y379" s="1">
        <f t="shared" si="76"/>
        <v>97200</v>
      </c>
      <c r="Z379" s="1">
        <f t="shared" si="77"/>
        <v>1</v>
      </c>
    </row>
    <row r="380" spans="1:26" ht="18" customHeight="1" x14ac:dyDescent="0.3">
      <c r="A380" s="2"/>
      <c r="B380" s="65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66"/>
      <c r="E380" s="66"/>
      <c r="F380" s="60"/>
      <c r="G380" s="67"/>
      <c r="H380" s="60"/>
      <c r="I380" s="68">
        <f t="shared" ca="1" si="65"/>
        <v>0</v>
      </c>
      <c r="J380" s="68">
        <f t="shared" ca="1" si="66"/>
        <v>0</v>
      </c>
      <c r="K380" s="68">
        <f t="shared" ca="1" si="67"/>
        <v>0</v>
      </c>
      <c r="L380" s="68">
        <f t="shared" ca="1" si="68"/>
        <v>0</v>
      </c>
      <c r="M380" s="69">
        <f t="shared" si="69"/>
        <v>0</v>
      </c>
      <c r="N380" s="65" t="str">
        <f t="shared" si="70"/>
        <v/>
      </c>
      <c r="O380" s="70" t="str">
        <f>IF(OR($C380="",$D380="",$F380=""),"",IF($F380="Aylık",EOMONTH($D380,0),($D380+MOD(SISTEM!$F$8-WEEKDAY($D380,2),7))))</f>
        <v/>
      </c>
      <c r="P380" s="61"/>
      <c r="Q380" s="2"/>
      <c r="R380" s="2"/>
      <c r="S380" s="1" t="str">
        <f>IF($B380="","",$B380&amp;"|"&amp;COUNTIFS($B$7:$B380,$B380))</f>
        <v/>
      </c>
      <c r="T380" s="1" t="str">
        <f t="shared" si="71"/>
        <v/>
      </c>
      <c r="U380" s="1">
        <f t="shared" si="72"/>
        <v>0</v>
      </c>
      <c r="V380" s="1">
        <f t="shared" si="73"/>
        <v>2958465</v>
      </c>
      <c r="W380" s="1">
        <f t="shared" si="74"/>
        <v>0</v>
      </c>
      <c r="X380" s="1">
        <f t="shared" si="75"/>
        <v>0</v>
      </c>
      <c r="Y380" s="1">
        <f t="shared" si="76"/>
        <v>97200</v>
      </c>
      <c r="Z380" s="1">
        <f t="shared" si="77"/>
        <v>1</v>
      </c>
    </row>
    <row r="381" spans="1:26" ht="18" customHeight="1" x14ac:dyDescent="0.3">
      <c r="A381" s="2"/>
      <c r="B381" s="65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66"/>
      <c r="E381" s="66"/>
      <c r="F381" s="60"/>
      <c r="G381" s="67"/>
      <c r="H381" s="60"/>
      <c r="I381" s="68">
        <f t="shared" ca="1" si="65"/>
        <v>0</v>
      </c>
      <c r="J381" s="68">
        <f t="shared" ca="1" si="66"/>
        <v>0</v>
      </c>
      <c r="K381" s="68">
        <f t="shared" ca="1" si="67"/>
        <v>0</v>
      </c>
      <c r="L381" s="68">
        <f t="shared" ca="1" si="68"/>
        <v>0</v>
      </c>
      <c r="M381" s="69">
        <f t="shared" si="69"/>
        <v>0</v>
      </c>
      <c r="N381" s="65" t="str">
        <f t="shared" si="70"/>
        <v/>
      </c>
      <c r="O381" s="70" t="str">
        <f>IF(OR($C381="",$D381="",$F381=""),"",IF($F381="Aylık",EOMONTH($D381,0),($D381+MOD(SISTEM!$F$8-WEEKDAY($D381,2),7))))</f>
        <v/>
      </c>
      <c r="P381" s="61"/>
      <c r="Q381" s="2"/>
      <c r="R381" s="2"/>
      <c r="S381" s="1" t="str">
        <f>IF($B381="","",$B381&amp;"|"&amp;COUNTIFS($B$7:$B381,$B381))</f>
        <v/>
      </c>
      <c r="T381" s="1" t="str">
        <f t="shared" si="71"/>
        <v/>
      </c>
      <c r="U381" s="1">
        <f t="shared" si="72"/>
        <v>0</v>
      </c>
      <c r="V381" s="1">
        <f t="shared" si="73"/>
        <v>2958465</v>
      </c>
      <c r="W381" s="1">
        <f t="shared" si="74"/>
        <v>0</v>
      </c>
      <c r="X381" s="1">
        <f t="shared" si="75"/>
        <v>0</v>
      </c>
      <c r="Y381" s="1">
        <f t="shared" si="76"/>
        <v>97200</v>
      </c>
      <c r="Z381" s="1">
        <f t="shared" si="77"/>
        <v>1</v>
      </c>
    </row>
    <row r="382" spans="1:26" ht="18" customHeight="1" x14ac:dyDescent="0.3">
      <c r="A382" s="2"/>
      <c r="B382" s="65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66"/>
      <c r="E382" s="66"/>
      <c r="F382" s="60"/>
      <c r="G382" s="67"/>
      <c r="H382" s="60"/>
      <c r="I382" s="68">
        <f t="shared" ca="1" si="65"/>
        <v>0</v>
      </c>
      <c r="J382" s="68">
        <f t="shared" ca="1" si="66"/>
        <v>0</v>
      </c>
      <c r="K382" s="68">
        <f t="shared" ca="1" si="67"/>
        <v>0</v>
      </c>
      <c r="L382" s="68">
        <f t="shared" ca="1" si="68"/>
        <v>0</v>
      </c>
      <c r="M382" s="69">
        <f t="shared" si="69"/>
        <v>0</v>
      </c>
      <c r="N382" s="65" t="str">
        <f t="shared" si="70"/>
        <v/>
      </c>
      <c r="O382" s="70" t="str">
        <f>IF(OR($C382="",$D382="",$F382=""),"",IF($F382="Aylık",EOMONTH($D382,0),($D382+MOD(SISTEM!$F$8-WEEKDAY($D382,2),7))))</f>
        <v/>
      </c>
      <c r="P382" s="61"/>
      <c r="Q382" s="2"/>
      <c r="R382" s="2"/>
      <c r="S382" s="1" t="str">
        <f>IF($B382="","",$B382&amp;"|"&amp;COUNTIFS($B$7:$B382,$B382))</f>
        <v/>
      </c>
      <c r="T382" s="1" t="str">
        <f t="shared" si="71"/>
        <v/>
      </c>
      <c r="U382" s="1">
        <f t="shared" si="72"/>
        <v>0</v>
      </c>
      <c r="V382" s="1">
        <f t="shared" si="73"/>
        <v>2958465</v>
      </c>
      <c r="W382" s="1">
        <f t="shared" si="74"/>
        <v>0</v>
      </c>
      <c r="X382" s="1">
        <f t="shared" si="75"/>
        <v>0</v>
      </c>
      <c r="Y382" s="1">
        <f t="shared" si="76"/>
        <v>97200</v>
      </c>
      <c r="Z382" s="1">
        <f t="shared" si="77"/>
        <v>1</v>
      </c>
    </row>
    <row r="383" spans="1:26" ht="18" customHeight="1" x14ac:dyDescent="0.3">
      <c r="A383" s="2"/>
      <c r="B383" s="65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66"/>
      <c r="E383" s="66"/>
      <c r="F383" s="60"/>
      <c r="G383" s="67"/>
      <c r="H383" s="60"/>
      <c r="I383" s="68">
        <f t="shared" ca="1" si="65"/>
        <v>0</v>
      </c>
      <c r="J383" s="68">
        <f t="shared" ca="1" si="66"/>
        <v>0</v>
      </c>
      <c r="K383" s="68">
        <f t="shared" ca="1" si="67"/>
        <v>0</v>
      </c>
      <c r="L383" s="68">
        <f t="shared" ca="1" si="68"/>
        <v>0</v>
      </c>
      <c r="M383" s="69">
        <f t="shared" si="69"/>
        <v>0</v>
      </c>
      <c r="N383" s="65" t="str">
        <f t="shared" si="70"/>
        <v/>
      </c>
      <c r="O383" s="70" t="str">
        <f>IF(OR($C383="",$D383="",$F383=""),"",IF($F383="Aylık",EOMONTH($D383,0),($D383+MOD(SISTEM!$F$8-WEEKDAY($D383,2),7))))</f>
        <v/>
      </c>
      <c r="P383" s="61"/>
      <c r="Q383" s="2"/>
      <c r="R383" s="2"/>
      <c r="S383" s="1" t="str">
        <f>IF($B383="","",$B383&amp;"|"&amp;COUNTIFS($B$7:$B383,$B383))</f>
        <v/>
      </c>
      <c r="T383" s="1" t="str">
        <f t="shared" si="71"/>
        <v/>
      </c>
      <c r="U383" s="1">
        <f t="shared" si="72"/>
        <v>0</v>
      </c>
      <c r="V383" s="1">
        <f t="shared" si="73"/>
        <v>2958465</v>
      </c>
      <c r="W383" s="1">
        <f t="shared" si="74"/>
        <v>0</v>
      </c>
      <c r="X383" s="1">
        <f t="shared" si="75"/>
        <v>0</v>
      </c>
      <c r="Y383" s="1">
        <f t="shared" si="76"/>
        <v>97200</v>
      </c>
      <c r="Z383" s="1">
        <f t="shared" si="77"/>
        <v>1</v>
      </c>
    </row>
    <row r="384" spans="1:26" ht="18" customHeight="1" x14ac:dyDescent="0.3">
      <c r="A384" s="2"/>
      <c r="B384" s="65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66"/>
      <c r="E384" s="66"/>
      <c r="F384" s="60"/>
      <c r="G384" s="67"/>
      <c r="H384" s="60"/>
      <c r="I384" s="68">
        <f t="shared" ca="1" si="65"/>
        <v>0</v>
      </c>
      <c r="J384" s="68">
        <f t="shared" ca="1" si="66"/>
        <v>0</v>
      </c>
      <c r="K384" s="68">
        <f t="shared" ca="1" si="67"/>
        <v>0</v>
      </c>
      <c r="L384" s="68">
        <f t="shared" ca="1" si="68"/>
        <v>0</v>
      </c>
      <c r="M384" s="69">
        <f t="shared" si="69"/>
        <v>0</v>
      </c>
      <c r="N384" s="65" t="str">
        <f t="shared" si="70"/>
        <v/>
      </c>
      <c r="O384" s="70" t="str">
        <f>IF(OR($C384="",$D384="",$F384=""),"",IF($F384="Aylık",EOMONTH($D384,0),($D384+MOD(SISTEM!$F$8-WEEKDAY($D384,2),7))))</f>
        <v/>
      </c>
      <c r="P384" s="61"/>
      <c r="Q384" s="2"/>
      <c r="R384" s="2"/>
      <c r="S384" s="1" t="str">
        <f>IF($B384="","",$B384&amp;"|"&amp;COUNTIFS($B$7:$B384,$B384))</f>
        <v/>
      </c>
      <c r="T384" s="1" t="str">
        <f t="shared" si="71"/>
        <v/>
      </c>
      <c r="U384" s="1">
        <f t="shared" si="72"/>
        <v>0</v>
      </c>
      <c r="V384" s="1">
        <f t="shared" si="73"/>
        <v>2958465</v>
      </c>
      <c r="W384" s="1">
        <f t="shared" si="74"/>
        <v>0</v>
      </c>
      <c r="X384" s="1">
        <f t="shared" si="75"/>
        <v>0</v>
      </c>
      <c r="Y384" s="1">
        <f t="shared" si="76"/>
        <v>97200</v>
      </c>
      <c r="Z384" s="1">
        <f t="shared" si="77"/>
        <v>1</v>
      </c>
    </row>
    <row r="385" spans="1:26" ht="18" customHeight="1" x14ac:dyDescent="0.3">
      <c r="A385" s="2"/>
      <c r="B385" s="65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66"/>
      <c r="E385" s="66"/>
      <c r="F385" s="60"/>
      <c r="G385" s="67"/>
      <c r="H385" s="60"/>
      <c r="I385" s="68">
        <f t="shared" ca="1" si="65"/>
        <v>0</v>
      </c>
      <c r="J385" s="68">
        <f t="shared" ca="1" si="66"/>
        <v>0</v>
      </c>
      <c r="K385" s="68">
        <f t="shared" ca="1" si="67"/>
        <v>0</v>
      </c>
      <c r="L385" s="68">
        <f t="shared" ca="1" si="68"/>
        <v>0</v>
      </c>
      <c r="M385" s="69">
        <f t="shared" si="69"/>
        <v>0</v>
      </c>
      <c r="N385" s="65" t="str">
        <f t="shared" si="70"/>
        <v/>
      </c>
      <c r="O385" s="70" t="str">
        <f>IF(OR($C385="",$D385="",$F385=""),"",IF($F385="Aylık",EOMONTH($D385,0),($D385+MOD(SISTEM!$F$8-WEEKDAY($D385,2),7))))</f>
        <v/>
      </c>
      <c r="P385" s="61"/>
      <c r="Q385" s="2"/>
      <c r="R385" s="2"/>
      <c r="S385" s="1" t="str">
        <f>IF($B385="","",$B385&amp;"|"&amp;COUNTIFS($B$7:$B385,$B385))</f>
        <v/>
      </c>
      <c r="T385" s="1" t="str">
        <f t="shared" si="71"/>
        <v/>
      </c>
      <c r="U385" s="1">
        <f t="shared" si="72"/>
        <v>0</v>
      </c>
      <c r="V385" s="1">
        <f t="shared" si="73"/>
        <v>2958465</v>
      </c>
      <c r="W385" s="1">
        <f t="shared" si="74"/>
        <v>0</v>
      </c>
      <c r="X385" s="1">
        <f t="shared" si="75"/>
        <v>0</v>
      </c>
      <c r="Y385" s="1">
        <f t="shared" si="76"/>
        <v>97200</v>
      </c>
      <c r="Z385" s="1">
        <f t="shared" si="77"/>
        <v>1</v>
      </c>
    </row>
    <row r="386" spans="1:26" ht="18" customHeight="1" x14ac:dyDescent="0.3">
      <c r="A386" s="2"/>
      <c r="B386" s="65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66"/>
      <c r="E386" s="66"/>
      <c r="F386" s="60"/>
      <c r="G386" s="67"/>
      <c r="H386" s="60"/>
      <c r="I386" s="68">
        <f t="shared" ca="1" si="65"/>
        <v>0</v>
      </c>
      <c r="J386" s="68">
        <f t="shared" ca="1" si="66"/>
        <v>0</v>
      </c>
      <c r="K386" s="68">
        <f t="shared" ca="1" si="67"/>
        <v>0</v>
      </c>
      <c r="L386" s="68">
        <f t="shared" ca="1" si="68"/>
        <v>0</v>
      </c>
      <c r="M386" s="69">
        <f t="shared" si="69"/>
        <v>0</v>
      </c>
      <c r="N386" s="65" t="str">
        <f t="shared" si="70"/>
        <v/>
      </c>
      <c r="O386" s="70" t="str">
        <f>IF(OR($C386="",$D386="",$F386=""),"",IF($F386="Aylık",EOMONTH($D386,0),($D386+MOD(SISTEM!$F$8-WEEKDAY($D386,2),7))))</f>
        <v/>
      </c>
      <c r="P386" s="61"/>
      <c r="Q386" s="2"/>
      <c r="R386" s="2"/>
      <c r="S386" s="1" t="str">
        <f>IF($B386="","",$B386&amp;"|"&amp;COUNTIFS($B$7:$B386,$B386))</f>
        <v/>
      </c>
      <c r="T386" s="1" t="str">
        <f t="shared" si="71"/>
        <v/>
      </c>
      <c r="U386" s="1">
        <f t="shared" si="72"/>
        <v>0</v>
      </c>
      <c r="V386" s="1">
        <f t="shared" si="73"/>
        <v>2958465</v>
      </c>
      <c r="W386" s="1">
        <f t="shared" si="74"/>
        <v>0</v>
      </c>
      <c r="X386" s="1">
        <f t="shared" si="75"/>
        <v>0</v>
      </c>
      <c r="Y386" s="1">
        <f t="shared" si="76"/>
        <v>97200</v>
      </c>
      <c r="Z386" s="1">
        <f t="shared" si="77"/>
        <v>1</v>
      </c>
    </row>
    <row r="387" spans="1:26" ht="18" customHeight="1" x14ac:dyDescent="0.3">
      <c r="A387" s="2"/>
      <c r="B387" s="65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66"/>
      <c r="E387" s="66"/>
      <c r="F387" s="60"/>
      <c r="G387" s="67"/>
      <c r="H387" s="60"/>
      <c r="I387" s="68">
        <f t="shared" ca="1" si="65"/>
        <v>0</v>
      </c>
      <c r="J387" s="68">
        <f t="shared" ca="1" si="66"/>
        <v>0</v>
      </c>
      <c r="K387" s="68">
        <f t="shared" ca="1" si="67"/>
        <v>0</v>
      </c>
      <c r="L387" s="68">
        <f t="shared" ca="1" si="68"/>
        <v>0</v>
      </c>
      <c r="M387" s="69">
        <f t="shared" si="69"/>
        <v>0</v>
      </c>
      <c r="N387" s="65" t="str">
        <f t="shared" si="70"/>
        <v/>
      </c>
      <c r="O387" s="70" t="str">
        <f>IF(OR($C387="",$D387="",$F387=""),"",IF($F387="Aylık",EOMONTH($D387,0),($D387+MOD(SISTEM!$F$8-WEEKDAY($D387,2),7))))</f>
        <v/>
      </c>
      <c r="P387" s="61"/>
      <c r="Q387" s="2"/>
      <c r="R387" s="2"/>
      <c r="S387" s="1" t="str">
        <f>IF($B387="","",$B387&amp;"|"&amp;COUNTIFS($B$7:$B387,$B387))</f>
        <v/>
      </c>
      <c r="T387" s="1" t="str">
        <f t="shared" si="71"/>
        <v/>
      </c>
      <c r="U387" s="1">
        <f t="shared" si="72"/>
        <v>0</v>
      </c>
      <c r="V387" s="1">
        <f t="shared" si="73"/>
        <v>2958465</v>
      </c>
      <c r="W387" s="1">
        <f t="shared" si="74"/>
        <v>0</v>
      </c>
      <c r="X387" s="1">
        <f t="shared" si="75"/>
        <v>0</v>
      </c>
      <c r="Y387" s="1">
        <f t="shared" si="76"/>
        <v>97200</v>
      </c>
      <c r="Z387" s="1">
        <f t="shared" si="77"/>
        <v>1</v>
      </c>
    </row>
    <row r="388" spans="1:26" ht="18" customHeight="1" x14ac:dyDescent="0.3">
      <c r="A388" s="2"/>
      <c r="B388" s="65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66"/>
      <c r="E388" s="66"/>
      <c r="F388" s="60"/>
      <c r="G388" s="67"/>
      <c r="H388" s="60"/>
      <c r="I388" s="68">
        <f t="shared" ca="1" si="65"/>
        <v>0</v>
      </c>
      <c r="J388" s="68">
        <f t="shared" ca="1" si="66"/>
        <v>0</v>
      </c>
      <c r="K388" s="68">
        <f t="shared" ca="1" si="67"/>
        <v>0</v>
      </c>
      <c r="L388" s="68">
        <f t="shared" ca="1" si="68"/>
        <v>0</v>
      </c>
      <c r="M388" s="69">
        <f t="shared" si="69"/>
        <v>0</v>
      </c>
      <c r="N388" s="65" t="str">
        <f t="shared" si="70"/>
        <v/>
      </c>
      <c r="O388" s="70" t="str">
        <f>IF(OR($C388="",$D388="",$F388=""),"",IF($F388="Aylık",EOMONTH($D388,0),($D388+MOD(SISTEM!$F$8-WEEKDAY($D388,2),7))))</f>
        <v/>
      </c>
      <c r="P388" s="61"/>
      <c r="Q388" s="2"/>
      <c r="R388" s="2"/>
      <c r="S388" s="1" t="str">
        <f>IF($B388="","",$B388&amp;"|"&amp;COUNTIFS($B$7:$B388,$B388))</f>
        <v/>
      </c>
      <c r="T388" s="1" t="str">
        <f t="shared" si="71"/>
        <v/>
      </c>
      <c r="U388" s="1">
        <f t="shared" si="72"/>
        <v>0</v>
      </c>
      <c r="V388" s="1">
        <f t="shared" si="73"/>
        <v>2958465</v>
      </c>
      <c r="W388" s="1">
        <f t="shared" si="74"/>
        <v>0</v>
      </c>
      <c r="X388" s="1">
        <f t="shared" si="75"/>
        <v>0</v>
      </c>
      <c r="Y388" s="1">
        <f t="shared" si="76"/>
        <v>97200</v>
      </c>
      <c r="Z388" s="1">
        <f t="shared" si="77"/>
        <v>1</v>
      </c>
    </row>
    <row r="389" spans="1:26" ht="18" customHeight="1" x14ac:dyDescent="0.3">
      <c r="A389" s="2"/>
      <c r="B389" s="65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66"/>
      <c r="E389" s="66"/>
      <c r="F389" s="60"/>
      <c r="G389" s="67"/>
      <c r="H389" s="60"/>
      <c r="I389" s="68">
        <f t="shared" ca="1" si="65"/>
        <v>0</v>
      </c>
      <c r="J389" s="68">
        <f t="shared" ca="1" si="66"/>
        <v>0</v>
      </c>
      <c r="K389" s="68">
        <f t="shared" ca="1" si="67"/>
        <v>0</v>
      </c>
      <c r="L389" s="68">
        <f t="shared" ca="1" si="68"/>
        <v>0</v>
      </c>
      <c r="M389" s="69">
        <f t="shared" si="69"/>
        <v>0</v>
      </c>
      <c r="N389" s="65" t="str">
        <f t="shared" si="70"/>
        <v/>
      </c>
      <c r="O389" s="70" t="str">
        <f>IF(OR($C389="",$D389="",$F389=""),"",IF($F389="Aylık",EOMONTH($D389,0),($D389+MOD(SISTEM!$F$8-WEEKDAY($D389,2),7))))</f>
        <v/>
      </c>
      <c r="P389" s="61"/>
      <c r="Q389" s="2"/>
      <c r="R389" s="2"/>
      <c r="S389" s="1" t="str">
        <f>IF($B389="","",$B389&amp;"|"&amp;COUNTIFS($B$7:$B389,$B389))</f>
        <v/>
      </c>
      <c r="T389" s="1" t="str">
        <f t="shared" si="71"/>
        <v/>
      </c>
      <c r="U389" s="1">
        <f t="shared" si="72"/>
        <v>0</v>
      </c>
      <c r="V389" s="1">
        <f t="shared" si="73"/>
        <v>2958465</v>
      </c>
      <c r="W389" s="1">
        <f t="shared" si="74"/>
        <v>0</v>
      </c>
      <c r="X389" s="1">
        <f t="shared" si="75"/>
        <v>0</v>
      </c>
      <c r="Y389" s="1">
        <f t="shared" si="76"/>
        <v>97200</v>
      </c>
      <c r="Z389" s="1">
        <f t="shared" si="77"/>
        <v>1</v>
      </c>
    </row>
    <row r="390" spans="1:26" ht="18" customHeight="1" x14ac:dyDescent="0.3">
      <c r="A390" s="2"/>
      <c r="B390" s="65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66"/>
      <c r="E390" s="66"/>
      <c r="F390" s="60"/>
      <c r="G390" s="67"/>
      <c r="H390" s="60"/>
      <c r="I390" s="68">
        <f t="shared" ca="1" si="65"/>
        <v>0</v>
      </c>
      <c r="J390" s="68">
        <f t="shared" ca="1" si="66"/>
        <v>0</v>
      </c>
      <c r="K390" s="68">
        <f t="shared" ca="1" si="67"/>
        <v>0</v>
      </c>
      <c r="L390" s="68">
        <f t="shared" ca="1" si="68"/>
        <v>0</v>
      </c>
      <c r="M390" s="69">
        <f t="shared" si="69"/>
        <v>0</v>
      </c>
      <c r="N390" s="65" t="str">
        <f t="shared" si="70"/>
        <v/>
      </c>
      <c r="O390" s="70" t="str">
        <f>IF(OR($C390="",$D390="",$F390=""),"",IF($F390="Aylık",EOMONTH($D390,0),($D390+MOD(SISTEM!$F$8-WEEKDAY($D390,2),7))))</f>
        <v/>
      </c>
      <c r="P390" s="61"/>
      <c r="Q390" s="2"/>
      <c r="R390" s="2"/>
      <c r="S390" s="1" t="str">
        <f>IF($B390="","",$B390&amp;"|"&amp;COUNTIFS($B$7:$B390,$B390))</f>
        <v/>
      </c>
      <c r="T390" s="1" t="str">
        <f t="shared" si="71"/>
        <v/>
      </c>
      <c r="U390" s="1">
        <f t="shared" si="72"/>
        <v>0</v>
      </c>
      <c r="V390" s="1">
        <f t="shared" si="73"/>
        <v>2958465</v>
      </c>
      <c r="W390" s="1">
        <f t="shared" si="74"/>
        <v>0</v>
      </c>
      <c r="X390" s="1">
        <f t="shared" si="75"/>
        <v>0</v>
      </c>
      <c r="Y390" s="1">
        <f t="shared" si="76"/>
        <v>97200</v>
      </c>
      <c r="Z390" s="1">
        <f t="shared" si="77"/>
        <v>1</v>
      </c>
    </row>
    <row r="391" spans="1:26" ht="18" customHeight="1" x14ac:dyDescent="0.3">
      <c r="A391" s="2"/>
      <c r="B391" s="65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66"/>
      <c r="E391" s="66"/>
      <c r="F391" s="60"/>
      <c r="G391" s="67"/>
      <c r="H391" s="60"/>
      <c r="I391" s="68">
        <f t="shared" ref="I391:I454" ca="1" si="78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68">
        <f t="shared" ref="J391:J454" ca="1" si="79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68">
        <f t="shared" ref="K391:K454" ca="1" si="80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68">
        <f t="shared" ref="L391:L454" ca="1" si="81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69">
        <f t="shared" ref="M391:M454" si="82">IF($G391&gt;0,$I391/$G391,0)</f>
        <v>0</v>
      </c>
      <c r="N391" s="65" t="str">
        <f t="shared" ref="N391:N454" si="83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70" t="str">
        <f>IF(OR($C391="",$D391="",$F391=""),"",IF($F391="Aylık",EOMONTH($D391,0),($D391+MOD(SISTEM!$F$8-WEEKDAY($D391,2),7))))</f>
        <v/>
      </c>
      <c r="P391" s="61"/>
      <c r="Q391" s="2"/>
      <c r="R391" s="2"/>
      <c r="S391" s="1" t="str">
        <f>IF($B391="","",$B391&amp;"|"&amp;COUNTIFS($B$7:$B391,$B391))</f>
        <v/>
      </c>
      <c r="T391" s="1" t="str">
        <f t="shared" ref="T391:T454" si="84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 t="shared" ref="U391:U454" si="85">IF($O391="",0,$O391)</f>
        <v>0</v>
      </c>
      <c r="V391" s="1">
        <f t="shared" ref="V391:V454" si="86">IF($E391="",2958465,$E391)</f>
        <v>2958465</v>
      </c>
      <c r="W391" s="1">
        <f t="shared" ref="W391:W454" si="87">IF($F391="Haftalık",1,IF($F391="Aylık",2,0))</f>
        <v>0</v>
      </c>
      <c r="X391" s="1">
        <f t="shared" ref="X391:X454" si="88">IF($U391=0,0,(YEAR($U391)-1900)*12+MONTH($U391))</f>
        <v>0</v>
      </c>
      <c r="Y391" s="1">
        <f t="shared" ref="Y391:Y454" si="89">(YEAR($V391)-1900)*12+MONTH($V391)</f>
        <v>97200</v>
      </c>
      <c r="Z391" s="1">
        <f t="shared" ref="Z391:Z454" si="90">IF($V391=EOMONTH($V391,0),1,0)</f>
        <v>1</v>
      </c>
    </row>
    <row r="392" spans="1:26" ht="18" customHeight="1" x14ac:dyDescent="0.3">
      <c r="A392" s="2"/>
      <c r="B392" s="65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66"/>
      <c r="E392" s="66"/>
      <c r="F392" s="60"/>
      <c r="G392" s="67"/>
      <c r="H392" s="60"/>
      <c r="I392" s="68">
        <f t="shared" ca="1" si="78"/>
        <v>0</v>
      </c>
      <c r="J392" s="68">
        <f t="shared" ca="1" si="79"/>
        <v>0</v>
      </c>
      <c r="K392" s="68">
        <f t="shared" ca="1" si="80"/>
        <v>0</v>
      </c>
      <c r="L392" s="68">
        <f t="shared" ca="1" si="81"/>
        <v>0</v>
      </c>
      <c r="M392" s="69">
        <f t="shared" si="82"/>
        <v>0</v>
      </c>
      <c r="N392" s="65" t="str">
        <f t="shared" si="83"/>
        <v/>
      </c>
      <c r="O392" s="70" t="str">
        <f>IF(OR($C392="",$D392="",$F392=""),"",IF($F392="Aylık",EOMONTH($D392,0),($D392+MOD(SISTEM!$F$8-WEEKDAY($D392,2),7))))</f>
        <v/>
      </c>
      <c r="P392" s="61"/>
      <c r="Q392" s="2"/>
      <c r="R392" s="2"/>
      <c r="S392" s="1" t="str">
        <f>IF($B392="","",$B392&amp;"|"&amp;COUNTIFS($B$7:$B392,$B392))</f>
        <v/>
      </c>
      <c r="T392" s="1" t="str">
        <f t="shared" si="84"/>
        <v/>
      </c>
      <c r="U392" s="1">
        <f t="shared" si="85"/>
        <v>0</v>
      </c>
      <c r="V392" s="1">
        <f t="shared" si="86"/>
        <v>2958465</v>
      </c>
      <c r="W392" s="1">
        <f t="shared" si="87"/>
        <v>0</v>
      </c>
      <c r="X392" s="1">
        <f t="shared" si="88"/>
        <v>0</v>
      </c>
      <c r="Y392" s="1">
        <f t="shared" si="89"/>
        <v>97200</v>
      </c>
      <c r="Z392" s="1">
        <f t="shared" si="90"/>
        <v>1</v>
      </c>
    </row>
    <row r="393" spans="1:26" ht="18" customHeight="1" x14ac:dyDescent="0.3">
      <c r="A393" s="2"/>
      <c r="B393" s="65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66"/>
      <c r="E393" s="66"/>
      <c r="F393" s="60"/>
      <c r="G393" s="67"/>
      <c r="H393" s="60"/>
      <c r="I393" s="68">
        <f t="shared" ca="1" si="78"/>
        <v>0</v>
      </c>
      <c r="J393" s="68">
        <f t="shared" ca="1" si="79"/>
        <v>0</v>
      </c>
      <c r="K393" s="68">
        <f t="shared" ca="1" si="80"/>
        <v>0</v>
      </c>
      <c r="L393" s="68">
        <f t="shared" ca="1" si="81"/>
        <v>0</v>
      </c>
      <c r="M393" s="69">
        <f t="shared" si="82"/>
        <v>0</v>
      </c>
      <c r="N393" s="65" t="str">
        <f t="shared" si="83"/>
        <v/>
      </c>
      <c r="O393" s="70" t="str">
        <f>IF(OR($C393="",$D393="",$F393=""),"",IF($F393="Aylık",EOMONTH($D393,0),($D393+MOD(SISTEM!$F$8-WEEKDAY($D393,2),7))))</f>
        <v/>
      </c>
      <c r="P393" s="61"/>
      <c r="Q393" s="2"/>
      <c r="R393" s="2"/>
      <c r="S393" s="1" t="str">
        <f>IF($B393="","",$B393&amp;"|"&amp;COUNTIFS($B$7:$B393,$B393))</f>
        <v/>
      </c>
      <c r="T393" s="1" t="str">
        <f t="shared" si="84"/>
        <v/>
      </c>
      <c r="U393" s="1">
        <f t="shared" si="85"/>
        <v>0</v>
      </c>
      <c r="V393" s="1">
        <f t="shared" si="86"/>
        <v>2958465</v>
      </c>
      <c r="W393" s="1">
        <f t="shared" si="87"/>
        <v>0</v>
      </c>
      <c r="X393" s="1">
        <f t="shared" si="88"/>
        <v>0</v>
      </c>
      <c r="Y393" s="1">
        <f t="shared" si="89"/>
        <v>97200</v>
      </c>
      <c r="Z393" s="1">
        <f t="shared" si="90"/>
        <v>1</v>
      </c>
    </row>
    <row r="394" spans="1:26" ht="18" customHeight="1" x14ac:dyDescent="0.3">
      <c r="A394" s="2"/>
      <c r="B394" s="65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66"/>
      <c r="E394" s="66"/>
      <c r="F394" s="60"/>
      <c r="G394" s="67"/>
      <c r="H394" s="60"/>
      <c r="I394" s="68">
        <f t="shared" ca="1" si="78"/>
        <v>0</v>
      </c>
      <c r="J394" s="68">
        <f t="shared" ca="1" si="79"/>
        <v>0</v>
      </c>
      <c r="K394" s="68">
        <f t="shared" ca="1" si="80"/>
        <v>0</v>
      </c>
      <c r="L394" s="68">
        <f t="shared" ca="1" si="81"/>
        <v>0</v>
      </c>
      <c r="M394" s="69">
        <f t="shared" si="82"/>
        <v>0</v>
      </c>
      <c r="N394" s="65" t="str">
        <f t="shared" si="83"/>
        <v/>
      </c>
      <c r="O394" s="70" t="str">
        <f>IF(OR($C394="",$D394="",$F394=""),"",IF($F394="Aylık",EOMONTH($D394,0),($D394+MOD(SISTEM!$F$8-WEEKDAY($D394,2),7))))</f>
        <v/>
      </c>
      <c r="P394" s="61"/>
      <c r="Q394" s="2"/>
      <c r="R394" s="2"/>
      <c r="S394" s="1" t="str">
        <f>IF($B394="","",$B394&amp;"|"&amp;COUNTIFS($B$7:$B394,$B394))</f>
        <v/>
      </c>
      <c r="T394" s="1" t="str">
        <f t="shared" si="84"/>
        <v/>
      </c>
      <c r="U394" s="1">
        <f t="shared" si="85"/>
        <v>0</v>
      </c>
      <c r="V394" s="1">
        <f t="shared" si="86"/>
        <v>2958465</v>
      </c>
      <c r="W394" s="1">
        <f t="shared" si="87"/>
        <v>0</v>
      </c>
      <c r="X394" s="1">
        <f t="shared" si="88"/>
        <v>0</v>
      </c>
      <c r="Y394" s="1">
        <f t="shared" si="89"/>
        <v>97200</v>
      </c>
      <c r="Z394" s="1">
        <f t="shared" si="90"/>
        <v>1</v>
      </c>
    </row>
    <row r="395" spans="1:26" ht="18" customHeight="1" x14ac:dyDescent="0.3">
      <c r="A395" s="2"/>
      <c r="B395" s="65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66"/>
      <c r="E395" s="66"/>
      <c r="F395" s="60"/>
      <c r="G395" s="67"/>
      <c r="H395" s="60"/>
      <c r="I395" s="68">
        <f t="shared" ca="1" si="78"/>
        <v>0</v>
      </c>
      <c r="J395" s="68">
        <f t="shared" ca="1" si="79"/>
        <v>0</v>
      </c>
      <c r="K395" s="68">
        <f t="shared" ca="1" si="80"/>
        <v>0</v>
      </c>
      <c r="L395" s="68">
        <f t="shared" ca="1" si="81"/>
        <v>0</v>
      </c>
      <c r="M395" s="69">
        <f t="shared" si="82"/>
        <v>0</v>
      </c>
      <c r="N395" s="65" t="str">
        <f t="shared" si="83"/>
        <v/>
      </c>
      <c r="O395" s="70" t="str">
        <f>IF(OR($C395="",$D395="",$F395=""),"",IF($F395="Aylık",EOMONTH($D395,0),($D395+MOD(SISTEM!$F$8-WEEKDAY($D395,2),7))))</f>
        <v/>
      </c>
      <c r="P395" s="61"/>
      <c r="Q395" s="2"/>
      <c r="R395" s="2"/>
      <c r="S395" s="1" t="str">
        <f>IF($B395="","",$B395&amp;"|"&amp;COUNTIFS($B$7:$B395,$B395))</f>
        <v/>
      </c>
      <c r="T395" s="1" t="str">
        <f t="shared" si="84"/>
        <v/>
      </c>
      <c r="U395" s="1">
        <f t="shared" si="85"/>
        <v>0</v>
      </c>
      <c r="V395" s="1">
        <f t="shared" si="86"/>
        <v>2958465</v>
      </c>
      <c r="W395" s="1">
        <f t="shared" si="87"/>
        <v>0</v>
      </c>
      <c r="X395" s="1">
        <f t="shared" si="88"/>
        <v>0</v>
      </c>
      <c r="Y395" s="1">
        <f t="shared" si="89"/>
        <v>97200</v>
      </c>
      <c r="Z395" s="1">
        <f t="shared" si="90"/>
        <v>1</v>
      </c>
    </row>
    <row r="396" spans="1:26" ht="18" customHeight="1" x14ac:dyDescent="0.3">
      <c r="A396" s="2"/>
      <c r="B396" s="65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66"/>
      <c r="E396" s="66"/>
      <c r="F396" s="60"/>
      <c r="G396" s="67"/>
      <c r="H396" s="60"/>
      <c r="I396" s="68">
        <f t="shared" ca="1" si="78"/>
        <v>0</v>
      </c>
      <c r="J396" s="68">
        <f t="shared" ca="1" si="79"/>
        <v>0</v>
      </c>
      <c r="K396" s="68">
        <f t="shared" ca="1" si="80"/>
        <v>0</v>
      </c>
      <c r="L396" s="68">
        <f t="shared" ca="1" si="81"/>
        <v>0</v>
      </c>
      <c r="M396" s="69">
        <f t="shared" si="82"/>
        <v>0</v>
      </c>
      <c r="N396" s="65" t="str">
        <f t="shared" si="83"/>
        <v/>
      </c>
      <c r="O396" s="70" t="str">
        <f>IF(OR($C396="",$D396="",$F396=""),"",IF($F396="Aylık",EOMONTH($D396,0),($D396+MOD(SISTEM!$F$8-WEEKDAY($D396,2),7))))</f>
        <v/>
      </c>
      <c r="P396" s="61"/>
      <c r="Q396" s="2"/>
      <c r="R396" s="2"/>
      <c r="S396" s="1" t="str">
        <f>IF($B396="","",$B396&amp;"|"&amp;COUNTIFS($B$7:$B396,$B396))</f>
        <v/>
      </c>
      <c r="T396" s="1" t="str">
        <f t="shared" si="84"/>
        <v/>
      </c>
      <c r="U396" s="1">
        <f t="shared" si="85"/>
        <v>0</v>
      </c>
      <c r="V396" s="1">
        <f t="shared" si="86"/>
        <v>2958465</v>
      </c>
      <c r="W396" s="1">
        <f t="shared" si="87"/>
        <v>0</v>
      </c>
      <c r="X396" s="1">
        <f t="shared" si="88"/>
        <v>0</v>
      </c>
      <c r="Y396" s="1">
        <f t="shared" si="89"/>
        <v>97200</v>
      </c>
      <c r="Z396" s="1">
        <f t="shared" si="90"/>
        <v>1</v>
      </c>
    </row>
    <row r="397" spans="1:26" ht="18" customHeight="1" x14ac:dyDescent="0.3">
      <c r="A397" s="2"/>
      <c r="B397" s="65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66"/>
      <c r="E397" s="66"/>
      <c r="F397" s="60"/>
      <c r="G397" s="67"/>
      <c r="H397" s="60"/>
      <c r="I397" s="68">
        <f t="shared" ca="1" si="78"/>
        <v>0</v>
      </c>
      <c r="J397" s="68">
        <f t="shared" ca="1" si="79"/>
        <v>0</v>
      </c>
      <c r="K397" s="68">
        <f t="shared" ca="1" si="80"/>
        <v>0</v>
      </c>
      <c r="L397" s="68">
        <f t="shared" ca="1" si="81"/>
        <v>0</v>
      </c>
      <c r="M397" s="69">
        <f t="shared" si="82"/>
        <v>0</v>
      </c>
      <c r="N397" s="65" t="str">
        <f t="shared" si="83"/>
        <v/>
      </c>
      <c r="O397" s="70" t="str">
        <f>IF(OR($C397="",$D397="",$F397=""),"",IF($F397="Aylık",EOMONTH($D397,0),($D397+MOD(SISTEM!$F$8-WEEKDAY($D397,2),7))))</f>
        <v/>
      </c>
      <c r="P397" s="61"/>
      <c r="Q397" s="2"/>
      <c r="R397" s="2"/>
      <c r="S397" s="1" t="str">
        <f>IF($B397="","",$B397&amp;"|"&amp;COUNTIFS($B$7:$B397,$B397))</f>
        <v/>
      </c>
      <c r="T397" s="1" t="str">
        <f t="shared" si="84"/>
        <v/>
      </c>
      <c r="U397" s="1">
        <f t="shared" si="85"/>
        <v>0</v>
      </c>
      <c r="V397" s="1">
        <f t="shared" si="86"/>
        <v>2958465</v>
      </c>
      <c r="W397" s="1">
        <f t="shared" si="87"/>
        <v>0</v>
      </c>
      <c r="X397" s="1">
        <f t="shared" si="88"/>
        <v>0</v>
      </c>
      <c r="Y397" s="1">
        <f t="shared" si="89"/>
        <v>97200</v>
      </c>
      <c r="Z397" s="1">
        <f t="shared" si="90"/>
        <v>1</v>
      </c>
    </row>
    <row r="398" spans="1:26" ht="18" customHeight="1" x14ac:dyDescent="0.3">
      <c r="A398" s="2"/>
      <c r="B398" s="65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66"/>
      <c r="E398" s="66"/>
      <c r="F398" s="60"/>
      <c r="G398" s="67"/>
      <c r="H398" s="60"/>
      <c r="I398" s="68">
        <f t="shared" ca="1" si="78"/>
        <v>0</v>
      </c>
      <c r="J398" s="68">
        <f t="shared" ca="1" si="79"/>
        <v>0</v>
      </c>
      <c r="K398" s="68">
        <f t="shared" ca="1" si="80"/>
        <v>0</v>
      </c>
      <c r="L398" s="68">
        <f t="shared" ca="1" si="81"/>
        <v>0</v>
      </c>
      <c r="M398" s="69">
        <f t="shared" si="82"/>
        <v>0</v>
      </c>
      <c r="N398" s="65" t="str">
        <f t="shared" si="83"/>
        <v/>
      </c>
      <c r="O398" s="70" t="str">
        <f>IF(OR($C398="",$D398="",$F398=""),"",IF($F398="Aylık",EOMONTH($D398,0),($D398+MOD(SISTEM!$F$8-WEEKDAY($D398,2),7))))</f>
        <v/>
      </c>
      <c r="P398" s="61"/>
      <c r="Q398" s="2"/>
      <c r="R398" s="2"/>
      <c r="S398" s="1" t="str">
        <f>IF($B398="","",$B398&amp;"|"&amp;COUNTIFS($B$7:$B398,$B398))</f>
        <v/>
      </c>
      <c r="T398" s="1" t="str">
        <f t="shared" si="84"/>
        <v/>
      </c>
      <c r="U398" s="1">
        <f t="shared" si="85"/>
        <v>0</v>
      </c>
      <c r="V398" s="1">
        <f t="shared" si="86"/>
        <v>2958465</v>
      </c>
      <c r="W398" s="1">
        <f t="shared" si="87"/>
        <v>0</v>
      </c>
      <c r="X398" s="1">
        <f t="shared" si="88"/>
        <v>0</v>
      </c>
      <c r="Y398" s="1">
        <f t="shared" si="89"/>
        <v>97200</v>
      </c>
      <c r="Z398" s="1">
        <f t="shared" si="90"/>
        <v>1</v>
      </c>
    </row>
    <row r="399" spans="1:26" ht="18" customHeight="1" x14ac:dyDescent="0.3">
      <c r="A399" s="2"/>
      <c r="B399" s="65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66"/>
      <c r="E399" s="66"/>
      <c r="F399" s="60"/>
      <c r="G399" s="67"/>
      <c r="H399" s="60"/>
      <c r="I399" s="68">
        <f t="shared" ca="1" si="78"/>
        <v>0</v>
      </c>
      <c r="J399" s="68">
        <f t="shared" ca="1" si="79"/>
        <v>0</v>
      </c>
      <c r="K399" s="68">
        <f t="shared" ca="1" si="80"/>
        <v>0</v>
      </c>
      <c r="L399" s="68">
        <f t="shared" ca="1" si="81"/>
        <v>0</v>
      </c>
      <c r="M399" s="69">
        <f t="shared" si="82"/>
        <v>0</v>
      </c>
      <c r="N399" s="65" t="str">
        <f t="shared" si="83"/>
        <v/>
      </c>
      <c r="O399" s="70" t="str">
        <f>IF(OR($C399="",$D399="",$F399=""),"",IF($F399="Aylık",EOMONTH($D399,0),($D399+MOD(SISTEM!$F$8-WEEKDAY($D399,2),7))))</f>
        <v/>
      </c>
      <c r="P399" s="61"/>
      <c r="Q399" s="2"/>
      <c r="R399" s="2"/>
      <c r="S399" s="1" t="str">
        <f>IF($B399="","",$B399&amp;"|"&amp;COUNTIFS($B$7:$B399,$B399))</f>
        <v/>
      </c>
      <c r="T399" s="1" t="str">
        <f t="shared" si="84"/>
        <v/>
      </c>
      <c r="U399" s="1">
        <f t="shared" si="85"/>
        <v>0</v>
      </c>
      <c r="V399" s="1">
        <f t="shared" si="86"/>
        <v>2958465</v>
      </c>
      <c r="W399" s="1">
        <f t="shared" si="87"/>
        <v>0</v>
      </c>
      <c r="X399" s="1">
        <f t="shared" si="88"/>
        <v>0</v>
      </c>
      <c r="Y399" s="1">
        <f t="shared" si="89"/>
        <v>97200</v>
      </c>
      <c r="Z399" s="1">
        <f t="shared" si="90"/>
        <v>1</v>
      </c>
    </row>
    <row r="400" spans="1:26" ht="18" customHeight="1" x14ac:dyDescent="0.3">
      <c r="A400" s="2"/>
      <c r="B400" s="65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66"/>
      <c r="E400" s="66"/>
      <c r="F400" s="60"/>
      <c r="G400" s="67"/>
      <c r="H400" s="60"/>
      <c r="I400" s="68">
        <f t="shared" ca="1" si="78"/>
        <v>0</v>
      </c>
      <c r="J400" s="68">
        <f t="shared" ca="1" si="79"/>
        <v>0</v>
      </c>
      <c r="K400" s="68">
        <f t="shared" ca="1" si="80"/>
        <v>0</v>
      </c>
      <c r="L400" s="68">
        <f t="shared" ca="1" si="81"/>
        <v>0</v>
      </c>
      <c r="M400" s="69">
        <f t="shared" si="82"/>
        <v>0</v>
      </c>
      <c r="N400" s="65" t="str">
        <f t="shared" si="83"/>
        <v/>
      </c>
      <c r="O400" s="70" t="str">
        <f>IF(OR($C400="",$D400="",$F400=""),"",IF($F400="Aylık",EOMONTH($D400,0),($D400+MOD(SISTEM!$F$8-WEEKDAY($D400,2),7))))</f>
        <v/>
      </c>
      <c r="P400" s="61"/>
      <c r="Q400" s="2"/>
      <c r="R400" s="2"/>
      <c r="S400" s="1" t="str">
        <f>IF($B400="","",$B400&amp;"|"&amp;COUNTIFS($B$7:$B400,$B400))</f>
        <v/>
      </c>
      <c r="T400" s="1" t="str">
        <f t="shared" si="84"/>
        <v/>
      </c>
      <c r="U400" s="1">
        <f t="shared" si="85"/>
        <v>0</v>
      </c>
      <c r="V400" s="1">
        <f t="shared" si="86"/>
        <v>2958465</v>
      </c>
      <c r="W400" s="1">
        <f t="shared" si="87"/>
        <v>0</v>
      </c>
      <c r="X400" s="1">
        <f t="shared" si="88"/>
        <v>0</v>
      </c>
      <c r="Y400" s="1">
        <f t="shared" si="89"/>
        <v>97200</v>
      </c>
      <c r="Z400" s="1">
        <f t="shared" si="90"/>
        <v>1</v>
      </c>
    </row>
    <row r="401" spans="1:26" ht="18" customHeight="1" x14ac:dyDescent="0.3">
      <c r="A401" s="2"/>
      <c r="B401" s="65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66"/>
      <c r="E401" s="66"/>
      <c r="F401" s="60"/>
      <c r="G401" s="67"/>
      <c r="H401" s="60"/>
      <c r="I401" s="68">
        <f t="shared" ca="1" si="78"/>
        <v>0</v>
      </c>
      <c r="J401" s="68">
        <f t="shared" ca="1" si="79"/>
        <v>0</v>
      </c>
      <c r="K401" s="68">
        <f t="shared" ca="1" si="80"/>
        <v>0</v>
      </c>
      <c r="L401" s="68">
        <f t="shared" ca="1" si="81"/>
        <v>0</v>
      </c>
      <c r="M401" s="69">
        <f t="shared" si="82"/>
        <v>0</v>
      </c>
      <c r="N401" s="65" t="str">
        <f t="shared" si="83"/>
        <v/>
      </c>
      <c r="O401" s="70" t="str">
        <f>IF(OR($C401="",$D401="",$F401=""),"",IF($F401="Aylık",EOMONTH($D401,0),($D401+MOD(SISTEM!$F$8-WEEKDAY($D401,2),7))))</f>
        <v/>
      </c>
      <c r="P401" s="61"/>
      <c r="Q401" s="2"/>
      <c r="R401" s="2"/>
      <c r="S401" s="1" t="str">
        <f>IF($B401="","",$B401&amp;"|"&amp;COUNTIFS($B$7:$B401,$B401))</f>
        <v/>
      </c>
      <c r="T401" s="1" t="str">
        <f t="shared" si="84"/>
        <v/>
      </c>
      <c r="U401" s="1">
        <f t="shared" si="85"/>
        <v>0</v>
      </c>
      <c r="V401" s="1">
        <f t="shared" si="86"/>
        <v>2958465</v>
      </c>
      <c r="W401" s="1">
        <f t="shared" si="87"/>
        <v>0</v>
      </c>
      <c r="X401" s="1">
        <f t="shared" si="88"/>
        <v>0</v>
      </c>
      <c r="Y401" s="1">
        <f t="shared" si="89"/>
        <v>97200</v>
      </c>
      <c r="Z401" s="1">
        <f t="shared" si="90"/>
        <v>1</v>
      </c>
    </row>
    <row r="402" spans="1:26" ht="18" customHeight="1" x14ac:dyDescent="0.3">
      <c r="A402" s="2"/>
      <c r="B402" s="65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66"/>
      <c r="E402" s="66"/>
      <c r="F402" s="60"/>
      <c r="G402" s="67"/>
      <c r="H402" s="60"/>
      <c r="I402" s="68">
        <f t="shared" ca="1" si="78"/>
        <v>0</v>
      </c>
      <c r="J402" s="68">
        <f t="shared" ca="1" si="79"/>
        <v>0</v>
      </c>
      <c r="K402" s="68">
        <f t="shared" ca="1" si="80"/>
        <v>0</v>
      </c>
      <c r="L402" s="68">
        <f t="shared" ca="1" si="81"/>
        <v>0</v>
      </c>
      <c r="M402" s="69">
        <f t="shared" si="82"/>
        <v>0</v>
      </c>
      <c r="N402" s="65" t="str">
        <f t="shared" si="83"/>
        <v/>
      </c>
      <c r="O402" s="70" t="str">
        <f>IF(OR($C402="",$D402="",$F402=""),"",IF($F402="Aylık",EOMONTH($D402,0),($D402+MOD(SISTEM!$F$8-WEEKDAY($D402,2),7))))</f>
        <v/>
      </c>
      <c r="P402" s="61"/>
      <c r="Q402" s="2"/>
      <c r="R402" s="2"/>
      <c r="S402" s="1" t="str">
        <f>IF($B402="","",$B402&amp;"|"&amp;COUNTIFS($B$7:$B402,$B402))</f>
        <v/>
      </c>
      <c r="T402" s="1" t="str">
        <f t="shared" si="84"/>
        <v/>
      </c>
      <c r="U402" s="1">
        <f t="shared" si="85"/>
        <v>0</v>
      </c>
      <c r="V402" s="1">
        <f t="shared" si="86"/>
        <v>2958465</v>
      </c>
      <c r="W402" s="1">
        <f t="shared" si="87"/>
        <v>0</v>
      </c>
      <c r="X402" s="1">
        <f t="shared" si="88"/>
        <v>0</v>
      </c>
      <c r="Y402" s="1">
        <f t="shared" si="89"/>
        <v>97200</v>
      </c>
      <c r="Z402" s="1">
        <f t="shared" si="90"/>
        <v>1</v>
      </c>
    </row>
    <row r="403" spans="1:26" ht="18" customHeight="1" x14ac:dyDescent="0.3">
      <c r="A403" s="2"/>
      <c r="B403" s="65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66"/>
      <c r="E403" s="66"/>
      <c r="F403" s="60"/>
      <c r="G403" s="67"/>
      <c r="H403" s="60"/>
      <c r="I403" s="68">
        <f t="shared" ca="1" si="78"/>
        <v>0</v>
      </c>
      <c r="J403" s="68">
        <f t="shared" ca="1" si="79"/>
        <v>0</v>
      </c>
      <c r="K403" s="68">
        <f t="shared" ca="1" si="80"/>
        <v>0</v>
      </c>
      <c r="L403" s="68">
        <f t="shared" ca="1" si="81"/>
        <v>0</v>
      </c>
      <c r="M403" s="69">
        <f t="shared" si="82"/>
        <v>0</v>
      </c>
      <c r="N403" s="65" t="str">
        <f t="shared" si="83"/>
        <v/>
      </c>
      <c r="O403" s="70" t="str">
        <f>IF(OR($C403="",$D403="",$F403=""),"",IF($F403="Aylık",EOMONTH($D403,0),($D403+MOD(SISTEM!$F$8-WEEKDAY($D403,2),7))))</f>
        <v/>
      </c>
      <c r="P403" s="61"/>
      <c r="Q403" s="2"/>
      <c r="R403" s="2"/>
      <c r="S403" s="1" t="str">
        <f>IF($B403="","",$B403&amp;"|"&amp;COUNTIFS($B$7:$B403,$B403))</f>
        <v/>
      </c>
      <c r="T403" s="1" t="str">
        <f t="shared" si="84"/>
        <v/>
      </c>
      <c r="U403" s="1">
        <f t="shared" si="85"/>
        <v>0</v>
      </c>
      <c r="V403" s="1">
        <f t="shared" si="86"/>
        <v>2958465</v>
      </c>
      <c r="W403" s="1">
        <f t="shared" si="87"/>
        <v>0</v>
      </c>
      <c r="X403" s="1">
        <f t="shared" si="88"/>
        <v>0</v>
      </c>
      <c r="Y403" s="1">
        <f t="shared" si="89"/>
        <v>97200</v>
      </c>
      <c r="Z403" s="1">
        <f t="shared" si="90"/>
        <v>1</v>
      </c>
    </row>
    <row r="404" spans="1:26" ht="18" customHeight="1" x14ac:dyDescent="0.3">
      <c r="A404" s="2"/>
      <c r="B404" s="65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66"/>
      <c r="E404" s="66"/>
      <c r="F404" s="60"/>
      <c r="G404" s="67"/>
      <c r="H404" s="60"/>
      <c r="I404" s="68">
        <f t="shared" ca="1" si="78"/>
        <v>0</v>
      </c>
      <c r="J404" s="68">
        <f t="shared" ca="1" si="79"/>
        <v>0</v>
      </c>
      <c r="K404" s="68">
        <f t="shared" ca="1" si="80"/>
        <v>0</v>
      </c>
      <c r="L404" s="68">
        <f t="shared" ca="1" si="81"/>
        <v>0</v>
      </c>
      <c r="M404" s="69">
        <f t="shared" si="82"/>
        <v>0</v>
      </c>
      <c r="N404" s="65" t="str">
        <f t="shared" si="83"/>
        <v/>
      </c>
      <c r="O404" s="70" t="str">
        <f>IF(OR($C404="",$D404="",$F404=""),"",IF($F404="Aylık",EOMONTH($D404,0),($D404+MOD(SISTEM!$F$8-WEEKDAY($D404,2),7))))</f>
        <v/>
      </c>
      <c r="P404" s="61"/>
      <c r="Q404" s="2"/>
      <c r="R404" s="2"/>
      <c r="S404" s="1" t="str">
        <f>IF($B404="","",$B404&amp;"|"&amp;COUNTIFS($B$7:$B404,$B404))</f>
        <v/>
      </c>
      <c r="T404" s="1" t="str">
        <f t="shared" si="84"/>
        <v/>
      </c>
      <c r="U404" s="1">
        <f t="shared" si="85"/>
        <v>0</v>
      </c>
      <c r="V404" s="1">
        <f t="shared" si="86"/>
        <v>2958465</v>
      </c>
      <c r="W404" s="1">
        <f t="shared" si="87"/>
        <v>0</v>
      </c>
      <c r="X404" s="1">
        <f t="shared" si="88"/>
        <v>0</v>
      </c>
      <c r="Y404" s="1">
        <f t="shared" si="89"/>
        <v>97200</v>
      </c>
      <c r="Z404" s="1">
        <f t="shared" si="90"/>
        <v>1</v>
      </c>
    </row>
    <row r="405" spans="1:26" ht="18" customHeight="1" x14ac:dyDescent="0.3">
      <c r="A405" s="2"/>
      <c r="B405" s="65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66"/>
      <c r="E405" s="66"/>
      <c r="F405" s="60"/>
      <c r="G405" s="67"/>
      <c r="H405" s="60"/>
      <c r="I405" s="68">
        <f t="shared" ca="1" si="78"/>
        <v>0</v>
      </c>
      <c r="J405" s="68">
        <f t="shared" ca="1" si="79"/>
        <v>0</v>
      </c>
      <c r="K405" s="68">
        <f t="shared" ca="1" si="80"/>
        <v>0</v>
      </c>
      <c r="L405" s="68">
        <f t="shared" ca="1" si="81"/>
        <v>0</v>
      </c>
      <c r="M405" s="69">
        <f t="shared" si="82"/>
        <v>0</v>
      </c>
      <c r="N405" s="65" t="str">
        <f t="shared" si="83"/>
        <v/>
      </c>
      <c r="O405" s="70" t="str">
        <f>IF(OR($C405="",$D405="",$F405=""),"",IF($F405="Aylık",EOMONTH($D405,0),($D405+MOD(SISTEM!$F$8-WEEKDAY($D405,2),7))))</f>
        <v/>
      </c>
      <c r="P405" s="61"/>
      <c r="Q405" s="2"/>
      <c r="R405" s="2"/>
      <c r="S405" s="1" t="str">
        <f>IF($B405="","",$B405&amp;"|"&amp;COUNTIFS($B$7:$B405,$B405))</f>
        <v/>
      </c>
      <c r="T405" s="1" t="str">
        <f t="shared" si="84"/>
        <v/>
      </c>
      <c r="U405" s="1">
        <f t="shared" si="85"/>
        <v>0</v>
      </c>
      <c r="V405" s="1">
        <f t="shared" si="86"/>
        <v>2958465</v>
      </c>
      <c r="W405" s="1">
        <f t="shared" si="87"/>
        <v>0</v>
      </c>
      <c r="X405" s="1">
        <f t="shared" si="88"/>
        <v>0</v>
      </c>
      <c r="Y405" s="1">
        <f t="shared" si="89"/>
        <v>97200</v>
      </c>
      <c r="Z405" s="1">
        <f t="shared" si="90"/>
        <v>1</v>
      </c>
    </row>
    <row r="406" spans="1:26" ht="18" customHeight="1" x14ac:dyDescent="0.3">
      <c r="A406" s="2"/>
      <c r="B406" s="65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66"/>
      <c r="E406" s="66"/>
      <c r="F406" s="60"/>
      <c r="G406" s="67"/>
      <c r="H406" s="60"/>
      <c r="I406" s="68">
        <f t="shared" ca="1" si="78"/>
        <v>0</v>
      </c>
      <c r="J406" s="68">
        <f t="shared" ca="1" si="79"/>
        <v>0</v>
      </c>
      <c r="K406" s="68">
        <f t="shared" ca="1" si="80"/>
        <v>0</v>
      </c>
      <c r="L406" s="68">
        <f t="shared" ca="1" si="81"/>
        <v>0</v>
      </c>
      <c r="M406" s="69">
        <f t="shared" si="82"/>
        <v>0</v>
      </c>
      <c r="N406" s="65" t="str">
        <f t="shared" si="83"/>
        <v/>
      </c>
      <c r="O406" s="70" t="str">
        <f>IF(OR($C406="",$D406="",$F406=""),"",IF($F406="Aylık",EOMONTH($D406,0),($D406+MOD(SISTEM!$F$8-WEEKDAY($D406,2),7))))</f>
        <v/>
      </c>
      <c r="P406" s="61"/>
      <c r="Q406" s="2"/>
      <c r="R406" s="2"/>
      <c r="S406" s="1" t="str">
        <f>IF($B406="","",$B406&amp;"|"&amp;COUNTIFS($B$7:$B406,$B406))</f>
        <v/>
      </c>
      <c r="T406" s="1" t="str">
        <f t="shared" si="84"/>
        <v/>
      </c>
      <c r="U406" s="1">
        <f t="shared" si="85"/>
        <v>0</v>
      </c>
      <c r="V406" s="1">
        <f t="shared" si="86"/>
        <v>2958465</v>
      </c>
      <c r="W406" s="1">
        <f t="shared" si="87"/>
        <v>0</v>
      </c>
      <c r="X406" s="1">
        <f t="shared" si="88"/>
        <v>0</v>
      </c>
      <c r="Y406" s="1">
        <f t="shared" si="89"/>
        <v>97200</v>
      </c>
      <c r="Z406" s="1">
        <f t="shared" si="90"/>
        <v>1</v>
      </c>
    </row>
    <row r="407" spans="1:26" ht="18" customHeight="1" x14ac:dyDescent="0.3">
      <c r="A407" s="2"/>
      <c r="B407" s="65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66"/>
      <c r="E407" s="66"/>
      <c r="F407" s="60"/>
      <c r="G407" s="67"/>
      <c r="H407" s="60"/>
      <c r="I407" s="68">
        <f t="shared" ca="1" si="78"/>
        <v>0</v>
      </c>
      <c r="J407" s="68">
        <f t="shared" ca="1" si="79"/>
        <v>0</v>
      </c>
      <c r="K407" s="68">
        <f t="shared" ca="1" si="80"/>
        <v>0</v>
      </c>
      <c r="L407" s="68">
        <f t="shared" ca="1" si="81"/>
        <v>0</v>
      </c>
      <c r="M407" s="69">
        <f t="shared" si="82"/>
        <v>0</v>
      </c>
      <c r="N407" s="65" t="str">
        <f t="shared" si="83"/>
        <v/>
      </c>
      <c r="O407" s="70" t="str">
        <f>IF(OR($C407="",$D407="",$F407=""),"",IF($F407="Aylık",EOMONTH($D407,0),($D407+MOD(SISTEM!$F$8-WEEKDAY($D407,2),7))))</f>
        <v/>
      </c>
      <c r="P407" s="61"/>
      <c r="Q407" s="2"/>
      <c r="R407" s="2"/>
      <c r="S407" s="1" t="str">
        <f>IF($B407="","",$B407&amp;"|"&amp;COUNTIFS($B$7:$B407,$B407))</f>
        <v/>
      </c>
      <c r="T407" s="1" t="str">
        <f t="shared" si="84"/>
        <v/>
      </c>
      <c r="U407" s="1">
        <f t="shared" si="85"/>
        <v>0</v>
      </c>
      <c r="V407" s="1">
        <f t="shared" si="86"/>
        <v>2958465</v>
      </c>
      <c r="W407" s="1">
        <f t="shared" si="87"/>
        <v>0</v>
      </c>
      <c r="X407" s="1">
        <f t="shared" si="88"/>
        <v>0</v>
      </c>
      <c r="Y407" s="1">
        <f t="shared" si="89"/>
        <v>97200</v>
      </c>
      <c r="Z407" s="1">
        <f t="shared" si="90"/>
        <v>1</v>
      </c>
    </row>
    <row r="408" spans="1:26" ht="18" customHeight="1" x14ac:dyDescent="0.3">
      <c r="A408" s="2"/>
      <c r="B408" s="65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66"/>
      <c r="E408" s="66"/>
      <c r="F408" s="60"/>
      <c r="G408" s="67"/>
      <c r="H408" s="60"/>
      <c r="I408" s="68">
        <f t="shared" ca="1" si="78"/>
        <v>0</v>
      </c>
      <c r="J408" s="68">
        <f t="shared" ca="1" si="79"/>
        <v>0</v>
      </c>
      <c r="K408" s="68">
        <f t="shared" ca="1" si="80"/>
        <v>0</v>
      </c>
      <c r="L408" s="68">
        <f t="shared" ca="1" si="81"/>
        <v>0</v>
      </c>
      <c r="M408" s="69">
        <f t="shared" si="82"/>
        <v>0</v>
      </c>
      <c r="N408" s="65" t="str">
        <f t="shared" si="83"/>
        <v/>
      </c>
      <c r="O408" s="70" t="str">
        <f>IF(OR($C408="",$D408="",$F408=""),"",IF($F408="Aylık",EOMONTH($D408,0),($D408+MOD(SISTEM!$F$8-WEEKDAY($D408,2),7))))</f>
        <v/>
      </c>
      <c r="P408" s="61"/>
      <c r="Q408" s="2"/>
      <c r="R408" s="2"/>
      <c r="S408" s="1" t="str">
        <f>IF($B408="","",$B408&amp;"|"&amp;COUNTIFS($B$7:$B408,$B408))</f>
        <v/>
      </c>
      <c r="T408" s="1" t="str">
        <f t="shared" si="84"/>
        <v/>
      </c>
      <c r="U408" s="1">
        <f t="shared" si="85"/>
        <v>0</v>
      </c>
      <c r="V408" s="1">
        <f t="shared" si="86"/>
        <v>2958465</v>
      </c>
      <c r="W408" s="1">
        <f t="shared" si="87"/>
        <v>0</v>
      </c>
      <c r="X408" s="1">
        <f t="shared" si="88"/>
        <v>0</v>
      </c>
      <c r="Y408" s="1">
        <f t="shared" si="89"/>
        <v>97200</v>
      </c>
      <c r="Z408" s="1">
        <f t="shared" si="90"/>
        <v>1</v>
      </c>
    </row>
    <row r="409" spans="1:26" ht="18" customHeight="1" x14ac:dyDescent="0.3">
      <c r="A409" s="2"/>
      <c r="B409" s="65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66"/>
      <c r="E409" s="66"/>
      <c r="F409" s="60"/>
      <c r="G409" s="67"/>
      <c r="H409" s="60"/>
      <c r="I409" s="68">
        <f t="shared" ca="1" si="78"/>
        <v>0</v>
      </c>
      <c r="J409" s="68">
        <f t="shared" ca="1" si="79"/>
        <v>0</v>
      </c>
      <c r="K409" s="68">
        <f t="shared" ca="1" si="80"/>
        <v>0</v>
      </c>
      <c r="L409" s="68">
        <f t="shared" ca="1" si="81"/>
        <v>0</v>
      </c>
      <c r="M409" s="69">
        <f t="shared" si="82"/>
        <v>0</v>
      </c>
      <c r="N409" s="65" t="str">
        <f t="shared" si="83"/>
        <v/>
      </c>
      <c r="O409" s="70" t="str">
        <f>IF(OR($C409="",$D409="",$F409=""),"",IF($F409="Aylık",EOMONTH($D409,0),($D409+MOD(SISTEM!$F$8-WEEKDAY($D409,2),7))))</f>
        <v/>
      </c>
      <c r="P409" s="61"/>
      <c r="Q409" s="2"/>
      <c r="R409" s="2"/>
      <c r="S409" s="1" t="str">
        <f>IF($B409="","",$B409&amp;"|"&amp;COUNTIFS($B$7:$B409,$B409))</f>
        <v/>
      </c>
      <c r="T409" s="1" t="str">
        <f t="shared" si="84"/>
        <v/>
      </c>
      <c r="U409" s="1">
        <f t="shared" si="85"/>
        <v>0</v>
      </c>
      <c r="V409" s="1">
        <f t="shared" si="86"/>
        <v>2958465</v>
      </c>
      <c r="W409" s="1">
        <f t="shared" si="87"/>
        <v>0</v>
      </c>
      <c r="X409" s="1">
        <f t="shared" si="88"/>
        <v>0</v>
      </c>
      <c r="Y409" s="1">
        <f t="shared" si="89"/>
        <v>97200</v>
      </c>
      <c r="Z409" s="1">
        <f t="shared" si="90"/>
        <v>1</v>
      </c>
    </row>
    <row r="410" spans="1:26" ht="18" customHeight="1" x14ac:dyDescent="0.3">
      <c r="A410" s="2"/>
      <c r="B410" s="65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66"/>
      <c r="E410" s="66"/>
      <c r="F410" s="60"/>
      <c r="G410" s="67"/>
      <c r="H410" s="60"/>
      <c r="I410" s="68">
        <f t="shared" ca="1" si="78"/>
        <v>0</v>
      </c>
      <c r="J410" s="68">
        <f t="shared" ca="1" si="79"/>
        <v>0</v>
      </c>
      <c r="K410" s="68">
        <f t="shared" ca="1" si="80"/>
        <v>0</v>
      </c>
      <c r="L410" s="68">
        <f t="shared" ca="1" si="81"/>
        <v>0</v>
      </c>
      <c r="M410" s="69">
        <f t="shared" si="82"/>
        <v>0</v>
      </c>
      <c r="N410" s="65" t="str">
        <f t="shared" si="83"/>
        <v/>
      </c>
      <c r="O410" s="70" t="str">
        <f>IF(OR($C410="",$D410="",$F410=""),"",IF($F410="Aylık",EOMONTH($D410,0),($D410+MOD(SISTEM!$F$8-WEEKDAY($D410,2),7))))</f>
        <v/>
      </c>
      <c r="P410" s="61"/>
      <c r="Q410" s="2"/>
      <c r="R410" s="2"/>
      <c r="S410" s="1" t="str">
        <f>IF($B410="","",$B410&amp;"|"&amp;COUNTIFS($B$7:$B410,$B410))</f>
        <v/>
      </c>
      <c r="T410" s="1" t="str">
        <f t="shared" si="84"/>
        <v/>
      </c>
      <c r="U410" s="1">
        <f t="shared" si="85"/>
        <v>0</v>
      </c>
      <c r="V410" s="1">
        <f t="shared" si="86"/>
        <v>2958465</v>
      </c>
      <c r="W410" s="1">
        <f t="shared" si="87"/>
        <v>0</v>
      </c>
      <c r="X410" s="1">
        <f t="shared" si="88"/>
        <v>0</v>
      </c>
      <c r="Y410" s="1">
        <f t="shared" si="89"/>
        <v>97200</v>
      </c>
      <c r="Z410" s="1">
        <f t="shared" si="90"/>
        <v>1</v>
      </c>
    </row>
    <row r="411" spans="1:26" ht="18" customHeight="1" x14ac:dyDescent="0.3">
      <c r="A411" s="2"/>
      <c r="B411" s="65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66"/>
      <c r="E411" s="66"/>
      <c r="F411" s="60"/>
      <c r="G411" s="67"/>
      <c r="H411" s="60"/>
      <c r="I411" s="68">
        <f t="shared" ca="1" si="78"/>
        <v>0</v>
      </c>
      <c r="J411" s="68">
        <f t="shared" ca="1" si="79"/>
        <v>0</v>
      </c>
      <c r="K411" s="68">
        <f t="shared" ca="1" si="80"/>
        <v>0</v>
      </c>
      <c r="L411" s="68">
        <f t="shared" ca="1" si="81"/>
        <v>0</v>
      </c>
      <c r="M411" s="69">
        <f t="shared" si="82"/>
        <v>0</v>
      </c>
      <c r="N411" s="65" t="str">
        <f t="shared" si="83"/>
        <v/>
      </c>
      <c r="O411" s="70" t="str">
        <f>IF(OR($C411="",$D411="",$F411=""),"",IF($F411="Aylık",EOMONTH($D411,0),($D411+MOD(SISTEM!$F$8-WEEKDAY($D411,2),7))))</f>
        <v/>
      </c>
      <c r="P411" s="61"/>
      <c r="Q411" s="2"/>
      <c r="R411" s="2"/>
      <c r="S411" s="1" t="str">
        <f>IF($B411="","",$B411&amp;"|"&amp;COUNTIFS($B$7:$B411,$B411))</f>
        <v/>
      </c>
      <c r="T411" s="1" t="str">
        <f t="shared" si="84"/>
        <v/>
      </c>
      <c r="U411" s="1">
        <f t="shared" si="85"/>
        <v>0</v>
      </c>
      <c r="V411" s="1">
        <f t="shared" si="86"/>
        <v>2958465</v>
      </c>
      <c r="W411" s="1">
        <f t="shared" si="87"/>
        <v>0</v>
      </c>
      <c r="X411" s="1">
        <f t="shared" si="88"/>
        <v>0</v>
      </c>
      <c r="Y411" s="1">
        <f t="shared" si="89"/>
        <v>97200</v>
      </c>
      <c r="Z411" s="1">
        <f t="shared" si="90"/>
        <v>1</v>
      </c>
    </row>
    <row r="412" spans="1:26" ht="18" customHeight="1" x14ac:dyDescent="0.3">
      <c r="A412" s="2"/>
      <c r="B412" s="65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66"/>
      <c r="E412" s="66"/>
      <c r="F412" s="60"/>
      <c r="G412" s="67"/>
      <c r="H412" s="60"/>
      <c r="I412" s="68">
        <f t="shared" ca="1" si="78"/>
        <v>0</v>
      </c>
      <c r="J412" s="68">
        <f t="shared" ca="1" si="79"/>
        <v>0</v>
      </c>
      <c r="K412" s="68">
        <f t="shared" ca="1" si="80"/>
        <v>0</v>
      </c>
      <c r="L412" s="68">
        <f t="shared" ca="1" si="81"/>
        <v>0</v>
      </c>
      <c r="M412" s="69">
        <f t="shared" si="82"/>
        <v>0</v>
      </c>
      <c r="N412" s="65" t="str">
        <f t="shared" si="83"/>
        <v/>
      </c>
      <c r="O412" s="70" t="str">
        <f>IF(OR($C412="",$D412="",$F412=""),"",IF($F412="Aylık",EOMONTH($D412,0),($D412+MOD(SISTEM!$F$8-WEEKDAY($D412,2),7))))</f>
        <v/>
      </c>
      <c r="P412" s="61"/>
      <c r="Q412" s="2"/>
      <c r="R412" s="2"/>
      <c r="S412" s="1" t="str">
        <f>IF($B412="","",$B412&amp;"|"&amp;COUNTIFS($B$7:$B412,$B412))</f>
        <v/>
      </c>
      <c r="T412" s="1" t="str">
        <f t="shared" si="84"/>
        <v/>
      </c>
      <c r="U412" s="1">
        <f t="shared" si="85"/>
        <v>0</v>
      </c>
      <c r="V412" s="1">
        <f t="shared" si="86"/>
        <v>2958465</v>
      </c>
      <c r="W412" s="1">
        <f t="shared" si="87"/>
        <v>0</v>
      </c>
      <c r="X412" s="1">
        <f t="shared" si="88"/>
        <v>0</v>
      </c>
      <c r="Y412" s="1">
        <f t="shared" si="89"/>
        <v>97200</v>
      </c>
      <c r="Z412" s="1">
        <f t="shared" si="90"/>
        <v>1</v>
      </c>
    </row>
    <row r="413" spans="1:26" ht="18" customHeight="1" x14ac:dyDescent="0.3">
      <c r="A413" s="2"/>
      <c r="B413" s="65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66"/>
      <c r="E413" s="66"/>
      <c r="F413" s="60"/>
      <c r="G413" s="67"/>
      <c r="H413" s="60"/>
      <c r="I413" s="68">
        <f t="shared" ca="1" si="78"/>
        <v>0</v>
      </c>
      <c r="J413" s="68">
        <f t="shared" ca="1" si="79"/>
        <v>0</v>
      </c>
      <c r="K413" s="68">
        <f t="shared" ca="1" si="80"/>
        <v>0</v>
      </c>
      <c r="L413" s="68">
        <f t="shared" ca="1" si="81"/>
        <v>0</v>
      </c>
      <c r="M413" s="69">
        <f t="shared" si="82"/>
        <v>0</v>
      </c>
      <c r="N413" s="65" t="str">
        <f t="shared" si="83"/>
        <v/>
      </c>
      <c r="O413" s="70" t="str">
        <f>IF(OR($C413="",$D413="",$F413=""),"",IF($F413="Aylık",EOMONTH($D413,0),($D413+MOD(SISTEM!$F$8-WEEKDAY($D413,2),7))))</f>
        <v/>
      </c>
      <c r="P413" s="61"/>
      <c r="Q413" s="2"/>
      <c r="R413" s="2"/>
      <c r="S413" s="1" t="str">
        <f>IF($B413="","",$B413&amp;"|"&amp;COUNTIFS($B$7:$B413,$B413))</f>
        <v/>
      </c>
      <c r="T413" s="1" t="str">
        <f t="shared" si="84"/>
        <v/>
      </c>
      <c r="U413" s="1">
        <f t="shared" si="85"/>
        <v>0</v>
      </c>
      <c r="V413" s="1">
        <f t="shared" si="86"/>
        <v>2958465</v>
      </c>
      <c r="W413" s="1">
        <f t="shared" si="87"/>
        <v>0</v>
      </c>
      <c r="X413" s="1">
        <f t="shared" si="88"/>
        <v>0</v>
      </c>
      <c r="Y413" s="1">
        <f t="shared" si="89"/>
        <v>97200</v>
      </c>
      <c r="Z413" s="1">
        <f t="shared" si="90"/>
        <v>1</v>
      </c>
    </row>
    <row r="414" spans="1:26" ht="18" customHeight="1" x14ac:dyDescent="0.3">
      <c r="A414" s="2"/>
      <c r="B414" s="65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66"/>
      <c r="E414" s="66"/>
      <c r="F414" s="60"/>
      <c r="G414" s="67"/>
      <c r="H414" s="60"/>
      <c r="I414" s="68">
        <f t="shared" ca="1" si="78"/>
        <v>0</v>
      </c>
      <c r="J414" s="68">
        <f t="shared" ca="1" si="79"/>
        <v>0</v>
      </c>
      <c r="K414" s="68">
        <f t="shared" ca="1" si="80"/>
        <v>0</v>
      </c>
      <c r="L414" s="68">
        <f t="shared" ca="1" si="81"/>
        <v>0</v>
      </c>
      <c r="M414" s="69">
        <f t="shared" si="82"/>
        <v>0</v>
      </c>
      <c r="N414" s="65" t="str">
        <f t="shared" si="83"/>
        <v/>
      </c>
      <c r="O414" s="70" t="str">
        <f>IF(OR($C414="",$D414="",$F414=""),"",IF($F414="Aylık",EOMONTH($D414,0),($D414+MOD(SISTEM!$F$8-WEEKDAY($D414,2),7))))</f>
        <v/>
      </c>
      <c r="P414" s="61"/>
      <c r="Q414" s="2"/>
      <c r="R414" s="2"/>
      <c r="S414" s="1" t="str">
        <f>IF($B414="","",$B414&amp;"|"&amp;COUNTIFS($B$7:$B414,$B414))</f>
        <v/>
      </c>
      <c r="T414" s="1" t="str">
        <f t="shared" si="84"/>
        <v/>
      </c>
      <c r="U414" s="1">
        <f t="shared" si="85"/>
        <v>0</v>
      </c>
      <c r="V414" s="1">
        <f t="shared" si="86"/>
        <v>2958465</v>
      </c>
      <c r="W414" s="1">
        <f t="shared" si="87"/>
        <v>0</v>
      </c>
      <c r="X414" s="1">
        <f t="shared" si="88"/>
        <v>0</v>
      </c>
      <c r="Y414" s="1">
        <f t="shared" si="89"/>
        <v>97200</v>
      </c>
      <c r="Z414" s="1">
        <f t="shared" si="90"/>
        <v>1</v>
      </c>
    </row>
    <row r="415" spans="1:26" ht="18" customHeight="1" x14ac:dyDescent="0.3">
      <c r="A415" s="2"/>
      <c r="B415" s="65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66"/>
      <c r="E415" s="66"/>
      <c r="F415" s="60"/>
      <c r="G415" s="67"/>
      <c r="H415" s="60"/>
      <c r="I415" s="68">
        <f t="shared" ca="1" si="78"/>
        <v>0</v>
      </c>
      <c r="J415" s="68">
        <f t="shared" ca="1" si="79"/>
        <v>0</v>
      </c>
      <c r="K415" s="68">
        <f t="shared" ca="1" si="80"/>
        <v>0</v>
      </c>
      <c r="L415" s="68">
        <f t="shared" ca="1" si="81"/>
        <v>0</v>
      </c>
      <c r="M415" s="69">
        <f t="shared" si="82"/>
        <v>0</v>
      </c>
      <c r="N415" s="65" t="str">
        <f t="shared" si="83"/>
        <v/>
      </c>
      <c r="O415" s="70" t="str">
        <f>IF(OR($C415="",$D415="",$F415=""),"",IF($F415="Aylık",EOMONTH($D415,0),($D415+MOD(SISTEM!$F$8-WEEKDAY($D415,2),7))))</f>
        <v/>
      </c>
      <c r="P415" s="61"/>
      <c r="Q415" s="2"/>
      <c r="R415" s="2"/>
      <c r="S415" s="1" t="str">
        <f>IF($B415="","",$B415&amp;"|"&amp;COUNTIFS($B$7:$B415,$B415))</f>
        <v/>
      </c>
      <c r="T415" s="1" t="str">
        <f t="shared" si="84"/>
        <v/>
      </c>
      <c r="U415" s="1">
        <f t="shared" si="85"/>
        <v>0</v>
      </c>
      <c r="V415" s="1">
        <f t="shared" si="86"/>
        <v>2958465</v>
      </c>
      <c r="W415" s="1">
        <f t="shared" si="87"/>
        <v>0</v>
      </c>
      <c r="X415" s="1">
        <f t="shared" si="88"/>
        <v>0</v>
      </c>
      <c r="Y415" s="1">
        <f t="shared" si="89"/>
        <v>97200</v>
      </c>
      <c r="Z415" s="1">
        <f t="shared" si="90"/>
        <v>1</v>
      </c>
    </row>
    <row r="416" spans="1:26" ht="18" customHeight="1" x14ac:dyDescent="0.3">
      <c r="A416" s="2"/>
      <c r="B416" s="65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66"/>
      <c r="E416" s="66"/>
      <c r="F416" s="60"/>
      <c r="G416" s="67"/>
      <c r="H416" s="60"/>
      <c r="I416" s="68">
        <f t="shared" ca="1" si="78"/>
        <v>0</v>
      </c>
      <c r="J416" s="68">
        <f t="shared" ca="1" si="79"/>
        <v>0</v>
      </c>
      <c r="K416" s="68">
        <f t="shared" ca="1" si="80"/>
        <v>0</v>
      </c>
      <c r="L416" s="68">
        <f t="shared" ca="1" si="81"/>
        <v>0</v>
      </c>
      <c r="M416" s="69">
        <f t="shared" si="82"/>
        <v>0</v>
      </c>
      <c r="N416" s="65" t="str">
        <f t="shared" si="83"/>
        <v/>
      </c>
      <c r="O416" s="70" t="str">
        <f>IF(OR($C416="",$D416="",$F416=""),"",IF($F416="Aylık",EOMONTH($D416,0),($D416+MOD(SISTEM!$F$8-WEEKDAY($D416,2),7))))</f>
        <v/>
      </c>
      <c r="P416" s="61"/>
      <c r="Q416" s="2"/>
      <c r="R416" s="2"/>
      <c r="S416" s="1" t="str">
        <f>IF($B416="","",$B416&amp;"|"&amp;COUNTIFS($B$7:$B416,$B416))</f>
        <v/>
      </c>
      <c r="T416" s="1" t="str">
        <f t="shared" si="84"/>
        <v/>
      </c>
      <c r="U416" s="1">
        <f t="shared" si="85"/>
        <v>0</v>
      </c>
      <c r="V416" s="1">
        <f t="shared" si="86"/>
        <v>2958465</v>
      </c>
      <c r="W416" s="1">
        <f t="shared" si="87"/>
        <v>0</v>
      </c>
      <c r="X416" s="1">
        <f t="shared" si="88"/>
        <v>0</v>
      </c>
      <c r="Y416" s="1">
        <f t="shared" si="89"/>
        <v>97200</v>
      </c>
      <c r="Z416" s="1">
        <f t="shared" si="90"/>
        <v>1</v>
      </c>
    </row>
    <row r="417" spans="1:26" ht="18" customHeight="1" x14ac:dyDescent="0.3">
      <c r="A417" s="2"/>
      <c r="B417" s="65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66"/>
      <c r="E417" s="66"/>
      <c r="F417" s="60"/>
      <c r="G417" s="67"/>
      <c r="H417" s="60"/>
      <c r="I417" s="68">
        <f t="shared" ca="1" si="78"/>
        <v>0</v>
      </c>
      <c r="J417" s="68">
        <f t="shared" ca="1" si="79"/>
        <v>0</v>
      </c>
      <c r="K417" s="68">
        <f t="shared" ca="1" si="80"/>
        <v>0</v>
      </c>
      <c r="L417" s="68">
        <f t="shared" ca="1" si="81"/>
        <v>0</v>
      </c>
      <c r="M417" s="69">
        <f t="shared" si="82"/>
        <v>0</v>
      </c>
      <c r="N417" s="65" t="str">
        <f t="shared" si="83"/>
        <v/>
      </c>
      <c r="O417" s="70" t="str">
        <f>IF(OR($C417="",$D417="",$F417=""),"",IF($F417="Aylık",EOMONTH($D417,0),($D417+MOD(SISTEM!$F$8-WEEKDAY($D417,2),7))))</f>
        <v/>
      </c>
      <c r="P417" s="61"/>
      <c r="Q417" s="2"/>
      <c r="R417" s="2"/>
      <c r="S417" s="1" t="str">
        <f>IF($B417="","",$B417&amp;"|"&amp;COUNTIFS($B$7:$B417,$B417))</f>
        <v/>
      </c>
      <c r="T417" s="1" t="str">
        <f t="shared" si="84"/>
        <v/>
      </c>
      <c r="U417" s="1">
        <f t="shared" si="85"/>
        <v>0</v>
      </c>
      <c r="V417" s="1">
        <f t="shared" si="86"/>
        <v>2958465</v>
      </c>
      <c r="W417" s="1">
        <f t="shared" si="87"/>
        <v>0</v>
      </c>
      <c r="X417" s="1">
        <f t="shared" si="88"/>
        <v>0</v>
      </c>
      <c r="Y417" s="1">
        <f t="shared" si="89"/>
        <v>97200</v>
      </c>
      <c r="Z417" s="1">
        <f t="shared" si="90"/>
        <v>1</v>
      </c>
    </row>
    <row r="418" spans="1:26" ht="18" customHeight="1" x14ac:dyDescent="0.3">
      <c r="A418" s="2"/>
      <c r="B418" s="65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66"/>
      <c r="E418" s="66"/>
      <c r="F418" s="60"/>
      <c r="G418" s="67"/>
      <c r="H418" s="60"/>
      <c r="I418" s="68">
        <f t="shared" ca="1" si="78"/>
        <v>0</v>
      </c>
      <c r="J418" s="68">
        <f t="shared" ca="1" si="79"/>
        <v>0</v>
      </c>
      <c r="K418" s="68">
        <f t="shared" ca="1" si="80"/>
        <v>0</v>
      </c>
      <c r="L418" s="68">
        <f t="shared" ca="1" si="81"/>
        <v>0</v>
      </c>
      <c r="M418" s="69">
        <f t="shared" si="82"/>
        <v>0</v>
      </c>
      <c r="N418" s="65" t="str">
        <f t="shared" si="83"/>
        <v/>
      </c>
      <c r="O418" s="70" t="str">
        <f>IF(OR($C418="",$D418="",$F418=""),"",IF($F418="Aylık",EOMONTH($D418,0),($D418+MOD(SISTEM!$F$8-WEEKDAY($D418,2),7))))</f>
        <v/>
      </c>
      <c r="P418" s="61"/>
      <c r="Q418" s="2"/>
      <c r="R418" s="2"/>
      <c r="S418" s="1" t="str">
        <f>IF($B418="","",$B418&amp;"|"&amp;COUNTIFS($B$7:$B418,$B418))</f>
        <v/>
      </c>
      <c r="T418" s="1" t="str">
        <f t="shared" si="84"/>
        <v/>
      </c>
      <c r="U418" s="1">
        <f t="shared" si="85"/>
        <v>0</v>
      </c>
      <c r="V418" s="1">
        <f t="shared" si="86"/>
        <v>2958465</v>
      </c>
      <c r="W418" s="1">
        <f t="shared" si="87"/>
        <v>0</v>
      </c>
      <c r="X418" s="1">
        <f t="shared" si="88"/>
        <v>0</v>
      </c>
      <c r="Y418" s="1">
        <f t="shared" si="89"/>
        <v>97200</v>
      </c>
      <c r="Z418" s="1">
        <f t="shared" si="90"/>
        <v>1</v>
      </c>
    </row>
    <row r="419" spans="1:26" ht="18" customHeight="1" x14ac:dyDescent="0.3">
      <c r="A419" s="2"/>
      <c r="B419" s="65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66"/>
      <c r="E419" s="66"/>
      <c r="F419" s="60"/>
      <c r="G419" s="67"/>
      <c r="H419" s="60"/>
      <c r="I419" s="68">
        <f t="shared" ca="1" si="78"/>
        <v>0</v>
      </c>
      <c r="J419" s="68">
        <f t="shared" ca="1" si="79"/>
        <v>0</v>
      </c>
      <c r="K419" s="68">
        <f t="shared" ca="1" si="80"/>
        <v>0</v>
      </c>
      <c r="L419" s="68">
        <f t="shared" ca="1" si="81"/>
        <v>0</v>
      </c>
      <c r="M419" s="69">
        <f t="shared" si="82"/>
        <v>0</v>
      </c>
      <c r="N419" s="65" t="str">
        <f t="shared" si="83"/>
        <v/>
      </c>
      <c r="O419" s="70" t="str">
        <f>IF(OR($C419="",$D419="",$F419=""),"",IF($F419="Aylık",EOMONTH($D419,0),($D419+MOD(SISTEM!$F$8-WEEKDAY($D419,2),7))))</f>
        <v/>
      </c>
      <c r="P419" s="61"/>
      <c r="Q419" s="2"/>
      <c r="R419" s="2"/>
      <c r="S419" s="1" t="str">
        <f>IF($B419="","",$B419&amp;"|"&amp;COUNTIFS($B$7:$B419,$B419))</f>
        <v/>
      </c>
      <c r="T419" s="1" t="str">
        <f t="shared" si="84"/>
        <v/>
      </c>
      <c r="U419" s="1">
        <f t="shared" si="85"/>
        <v>0</v>
      </c>
      <c r="V419" s="1">
        <f t="shared" si="86"/>
        <v>2958465</v>
      </c>
      <c r="W419" s="1">
        <f t="shared" si="87"/>
        <v>0</v>
      </c>
      <c r="X419" s="1">
        <f t="shared" si="88"/>
        <v>0</v>
      </c>
      <c r="Y419" s="1">
        <f t="shared" si="89"/>
        <v>97200</v>
      </c>
      <c r="Z419" s="1">
        <f t="shared" si="90"/>
        <v>1</v>
      </c>
    </row>
    <row r="420" spans="1:26" ht="18" customHeight="1" x14ac:dyDescent="0.3">
      <c r="A420" s="2"/>
      <c r="B420" s="65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66"/>
      <c r="E420" s="66"/>
      <c r="F420" s="60"/>
      <c r="G420" s="67"/>
      <c r="H420" s="60"/>
      <c r="I420" s="68">
        <f t="shared" ca="1" si="78"/>
        <v>0</v>
      </c>
      <c r="J420" s="68">
        <f t="shared" ca="1" si="79"/>
        <v>0</v>
      </c>
      <c r="K420" s="68">
        <f t="shared" ca="1" si="80"/>
        <v>0</v>
      </c>
      <c r="L420" s="68">
        <f t="shared" ca="1" si="81"/>
        <v>0</v>
      </c>
      <c r="M420" s="69">
        <f t="shared" si="82"/>
        <v>0</v>
      </c>
      <c r="N420" s="65" t="str">
        <f t="shared" si="83"/>
        <v/>
      </c>
      <c r="O420" s="70" t="str">
        <f>IF(OR($C420="",$D420="",$F420=""),"",IF($F420="Aylık",EOMONTH($D420,0),($D420+MOD(SISTEM!$F$8-WEEKDAY($D420,2),7))))</f>
        <v/>
      </c>
      <c r="P420" s="61"/>
      <c r="Q420" s="2"/>
      <c r="R420" s="2"/>
      <c r="S420" s="1" t="str">
        <f>IF($B420="","",$B420&amp;"|"&amp;COUNTIFS($B$7:$B420,$B420))</f>
        <v/>
      </c>
      <c r="T420" s="1" t="str">
        <f t="shared" si="84"/>
        <v/>
      </c>
      <c r="U420" s="1">
        <f t="shared" si="85"/>
        <v>0</v>
      </c>
      <c r="V420" s="1">
        <f t="shared" si="86"/>
        <v>2958465</v>
      </c>
      <c r="W420" s="1">
        <f t="shared" si="87"/>
        <v>0</v>
      </c>
      <c r="X420" s="1">
        <f t="shared" si="88"/>
        <v>0</v>
      </c>
      <c r="Y420" s="1">
        <f t="shared" si="89"/>
        <v>97200</v>
      </c>
      <c r="Z420" s="1">
        <f t="shared" si="90"/>
        <v>1</v>
      </c>
    </row>
    <row r="421" spans="1:26" ht="18" customHeight="1" x14ac:dyDescent="0.3">
      <c r="A421" s="2"/>
      <c r="B421" s="65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66"/>
      <c r="E421" s="66"/>
      <c r="F421" s="60"/>
      <c r="G421" s="67"/>
      <c r="H421" s="60"/>
      <c r="I421" s="68">
        <f t="shared" ca="1" si="78"/>
        <v>0</v>
      </c>
      <c r="J421" s="68">
        <f t="shared" ca="1" si="79"/>
        <v>0</v>
      </c>
      <c r="K421" s="68">
        <f t="shared" ca="1" si="80"/>
        <v>0</v>
      </c>
      <c r="L421" s="68">
        <f t="shared" ca="1" si="81"/>
        <v>0</v>
      </c>
      <c r="M421" s="69">
        <f t="shared" si="82"/>
        <v>0</v>
      </c>
      <c r="N421" s="65" t="str">
        <f t="shared" si="83"/>
        <v/>
      </c>
      <c r="O421" s="70" t="str">
        <f>IF(OR($C421="",$D421="",$F421=""),"",IF($F421="Aylık",EOMONTH($D421,0),($D421+MOD(SISTEM!$F$8-WEEKDAY($D421,2),7))))</f>
        <v/>
      </c>
      <c r="P421" s="61"/>
      <c r="Q421" s="2"/>
      <c r="R421" s="2"/>
      <c r="S421" s="1" t="str">
        <f>IF($B421="","",$B421&amp;"|"&amp;COUNTIFS($B$7:$B421,$B421))</f>
        <v/>
      </c>
      <c r="T421" s="1" t="str">
        <f t="shared" si="84"/>
        <v/>
      </c>
      <c r="U421" s="1">
        <f t="shared" si="85"/>
        <v>0</v>
      </c>
      <c r="V421" s="1">
        <f t="shared" si="86"/>
        <v>2958465</v>
      </c>
      <c r="W421" s="1">
        <f t="shared" si="87"/>
        <v>0</v>
      </c>
      <c r="X421" s="1">
        <f t="shared" si="88"/>
        <v>0</v>
      </c>
      <c r="Y421" s="1">
        <f t="shared" si="89"/>
        <v>97200</v>
      </c>
      <c r="Z421" s="1">
        <f t="shared" si="90"/>
        <v>1</v>
      </c>
    </row>
    <row r="422" spans="1:26" ht="18" customHeight="1" x14ac:dyDescent="0.3">
      <c r="A422" s="2"/>
      <c r="B422" s="65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66"/>
      <c r="E422" s="66"/>
      <c r="F422" s="60"/>
      <c r="G422" s="67"/>
      <c r="H422" s="60"/>
      <c r="I422" s="68">
        <f t="shared" ca="1" si="78"/>
        <v>0</v>
      </c>
      <c r="J422" s="68">
        <f t="shared" ca="1" si="79"/>
        <v>0</v>
      </c>
      <c r="K422" s="68">
        <f t="shared" ca="1" si="80"/>
        <v>0</v>
      </c>
      <c r="L422" s="68">
        <f t="shared" ca="1" si="81"/>
        <v>0</v>
      </c>
      <c r="M422" s="69">
        <f t="shared" si="82"/>
        <v>0</v>
      </c>
      <c r="N422" s="65" t="str">
        <f t="shared" si="83"/>
        <v/>
      </c>
      <c r="O422" s="70" t="str">
        <f>IF(OR($C422="",$D422="",$F422=""),"",IF($F422="Aylık",EOMONTH($D422,0),($D422+MOD(SISTEM!$F$8-WEEKDAY($D422,2),7))))</f>
        <v/>
      </c>
      <c r="P422" s="61"/>
      <c r="Q422" s="2"/>
      <c r="R422" s="2"/>
      <c r="S422" s="1" t="str">
        <f>IF($B422="","",$B422&amp;"|"&amp;COUNTIFS($B$7:$B422,$B422))</f>
        <v/>
      </c>
      <c r="T422" s="1" t="str">
        <f t="shared" si="84"/>
        <v/>
      </c>
      <c r="U422" s="1">
        <f t="shared" si="85"/>
        <v>0</v>
      </c>
      <c r="V422" s="1">
        <f t="shared" si="86"/>
        <v>2958465</v>
      </c>
      <c r="W422" s="1">
        <f t="shared" si="87"/>
        <v>0</v>
      </c>
      <c r="X422" s="1">
        <f t="shared" si="88"/>
        <v>0</v>
      </c>
      <c r="Y422" s="1">
        <f t="shared" si="89"/>
        <v>97200</v>
      </c>
      <c r="Z422" s="1">
        <f t="shared" si="90"/>
        <v>1</v>
      </c>
    </row>
    <row r="423" spans="1:26" ht="18" customHeight="1" x14ac:dyDescent="0.3">
      <c r="A423" s="2"/>
      <c r="B423" s="65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66"/>
      <c r="E423" s="66"/>
      <c r="F423" s="60"/>
      <c r="G423" s="67"/>
      <c r="H423" s="60"/>
      <c r="I423" s="68">
        <f t="shared" ca="1" si="78"/>
        <v>0</v>
      </c>
      <c r="J423" s="68">
        <f t="shared" ca="1" si="79"/>
        <v>0</v>
      </c>
      <c r="K423" s="68">
        <f t="shared" ca="1" si="80"/>
        <v>0</v>
      </c>
      <c r="L423" s="68">
        <f t="shared" ca="1" si="81"/>
        <v>0</v>
      </c>
      <c r="M423" s="69">
        <f t="shared" si="82"/>
        <v>0</v>
      </c>
      <c r="N423" s="65" t="str">
        <f t="shared" si="83"/>
        <v/>
      </c>
      <c r="O423" s="70" t="str">
        <f>IF(OR($C423="",$D423="",$F423=""),"",IF($F423="Aylık",EOMONTH($D423,0),($D423+MOD(SISTEM!$F$8-WEEKDAY($D423,2),7))))</f>
        <v/>
      </c>
      <c r="P423" s="61"/>
      <c r="Q423" s="2"/>
      <c r="R423" s="2"/>
      <c r="S423" s="1" t="str">
        <f>IF($B423="","",$B423&amp;"|"&amp;COUNTIFS($B$7:$B423,$B423))</f>
        <v/>
      </c>
      <c r="T423" s="1" t="str">
        <f t="shared" si="84"/>
        <v/>
      </c>
      <c r="U423" s="1">
        <f t="shared" si="85"/>
        <v>0</v>
      </c>
      <c r="V423" s="1">
        <f t="shared" si="86"/>
        <v>2958465</v>
      </c>
      <c r="W423" s="1">
        <f t="shared" si="87"/>
        <v>0</v>
      </c>
      <c r="X423" s="1">
        <f t="shared" si="88"/>
        <v>0</v>
      </c>
      <c r="Y423" s="1">
        <f t="shared" si="89"/>
        <v>97200</v>
      </c>
      <c r="Z423" s="1">
        <f t="shared" si="90"/>
        <v>1</v>
      </c>
    </row>
    <row r="424" spans="1:26" ht="18" customHeight="1" x14ac:dyDescent="0.3">
      <c r="A424" s="2"/>
      <c r="B424" s="65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66"/>
      <c r="E424" s="66"/>
      <c r="F424" s="60"/>
      <c r="G424" s="67"/>
      <c r="H424" s="60"/>
      <c r="I424" s="68">
        <f t="shared" ca="1" si="78"/>
        <v>0</v>
      </c>
      <c r="J424" s="68">
        <f t="shared" ca="1" si="79"/>
        <v>0</v>
      </c>
      <c r="K424" s="68">
        <f t="shared" ca="1" si="80"/>
        <v>0</v>
      </c>
      <c r="L424" s="68">
        <f t="shared" ca="1" si="81"/>
        <v>0</v>
      </c>
      <c r="M424" s="69">
        <f t="shared" si="82"/>
        <v>0</v>
      </c>
      <c r="N424" s="65" t="str">
        <f t="shared" si="83"/>
        <v/>
      </c>
      <c r="O424" s="70" t="str">
        <f>IF(OR($C424="",$D424="",$F424=""),"",IF($F424="Aylık",EOMONTH($D424,0),($D424+MOD(SISTEM!$F$8-WEEKDAY($D424,2),7))))</f>
        <v/>
      </c>
      <c r="P424" s="61"/>
      <c r="Q424" s="2"/>
      <c r="R424" s="2"/>
      <c r="S424" s="1" t="str">
        <f>IF($B424="","",$B424&amp;"|"&amp;COUNTIFS($B$7:$B424,$B424))</f>
        <v/>
      </c>
      <c r="T424" s="1" t="str">
        <f t="shared" si="84"/>
        <v/>
      </c>
      <c r="U424" s="1">
        <f t="shared" si="85"/>
        <v>0</v>
      </c>
      <c r="V424" s="1">
        <f t="shared" si="86"/>
        <v>2958465</v>
      </c>
      <c r="W424" s="1">
        <f t="shared" si="87"/>
        <v>0</v>
      </c>
      <c r="X424" s="1">
        <f t="shared" si="88"/>
        <v>0</v>
      </c>
      <c r="Y424" s="1">
        <f t="shared" si="89"/>
        <v>97200</v>
      </c>
      <c r="Z424" s="1">
        <f t="shared" si="90"/>
        <v>1</v>
      </c>
    </row>
    <row r="425" spans="1:26" ht="18" customHeight="1" x14ac:dyDescent="0.3">
      <c r="A425" s="2"/>
      <c r="B425" s="65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66"/>
      <c r="E425" s="66"/>
      <c r="F425" s="60"/>
      <c r="G425" s="67"/>
      <c r="H425" s="60"/>
      <c r="I425" s="68">
        <f t="shared" ca="1" si="78"/>
        <v>0</v>
      </c>
      <c r="J425" s="68">
        <f t="shared" ca="1" si="79"/>
        <v>0</v>
      </c>
      <c r="K425" s="68">
        <f t="shared" ca="1" si="80"/>
        <v>0</v>
      </c>
      <c r="L425" s="68">
        <f t="shared" ca="1" si="81"/>
        <v>0</v>
      </c>
      <c r="M425" s="69">
        <f t="shared" si="82"/>
        <v>0</v>
      </c>
      <c r="N425" s="65" t="str">
        <f t="shared" si="83"/>
        <v/>
      </c>
      <c r="O425" s="70" t="str">
        <f>IF(OR($C425="",$D425="",$F425=""),"",IF($F425="Aylık",EOMONTH($D425,0),($D425+MOD(SISTEM!$F$8-WEEKDAY($D425,2),7))))</f>
        <v/>
      </c>
      <c r="P425" s="61"/>
      <c r="Q425" s="2"/>
      <c r="R425" s="2"/>
      <c r="S425" s="1" t="str">
        <f>IF($B425="","",$B425&amp;"|"&amp;COUNTIFS($B$7:$B425,$B425))</f>
        <v/>
      </c>
      <c r="T425" s="1" t="str">
        <f t="shared" si="84"/>
        <v/>
      </c>
      <c r="U425" s="1">
        <f t="shared" si="85"/>
        <v>0</v>
      </c>
      <c r="V425" s="1">
        <f t="shared" si="86"/>
        <v>2958465</v>
      </c>
      <c r="W425" s="1">
        <f t="shared" si="87"/>
        <v>0</v>
      </c>
      <c r="X425" s="1">
        <f t="shared" si="88"/>
        <v>0</v>
      </c>
      <c r="Y425" s="1">
        <f t="shared" si="89"/>
        <v>97200</v>
      </c>
      <c r="Z425" s="1">
        <f t="shared" si="90"/>
        <v>1</v>
      </c>
    </row>
    <row r="426" spans="1:26" ht="18" customHeight="1" x14ac:dyDescent="0.3">
      <c r="A426" s="2"/>
      <c r="B426" s="65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66"/>
      <c r="E426" s="66"/>
      <c r="F426" s="60"/>
      <c r="G426" s="67"/>
      <c r="H426" s="60"/>
      <c r="I426" s="68">
        <f t="shared" ca="1" si="78"/>
        <v>0</v>
      </c>
      <c r="J426" s="68">
        <f t="shared" ca="1" si="79"/>
        <v>0</v>
      </c>
      <c r="K426" s="68">
        <f t="shared" ca="1" si="80"/>
        <v>0</v>
      </c>
      <c r="L426" s="68">
        <f t="shared" ca="1" si="81"/>
        <v>0</v>
      </c>
      <c r="M426" s="69">
        <f t="shared" si="82"/>
        <v>0</v>
      </c>
      <c r="N426" s="65" t="str">
        <f t="shared" si="83"/>
        <v/>
      </c>
      <c r="O426" s="70" t="str">
        <f>IF(OR($C426="",$D426="",$F426=""),"",IF($F426="Aylık",EOMONTH($D426,0),($D426+MOD(SISTEM!$F$8-WEEKDAY($D426,2),7))))</f>
        <v/>
      </c>
      <c r="P426" s="61"/>
      <c r="Q426" s="2"/>
      <c r="R426" s="2"/>
      <c r="S426" s="1" t="str">
        <f>IF($B426="","",$B426&amp;"|"&amp;COUNTIFS($B$7:$B426,$B426))</f>
        <v/>
      </c>
      <c r="T426" s="1" t="str">
        <f t="shared" si="84"/>
        <v/>
      </c>
      <c r="U426" s="1">
        <f t="shared" si="85"/>
        <v>0</v>
      </c>
      <c r="V426" s="1">
        <f t="shared" si="86"/>
        <v>2958465</v>
      </c>
      <c r="W426" s="1">
        <f t="shared" si="87"/>
        <v>0</v>
      </c>
      <c r="X426" s="1">
        <f t="shared" si="88"/>
        <v>0</v>
      </c>
      <c r="Y426" s="1">
        <f t="shared" si="89"/>
        <v>97200</v>
      </c>
      <c r="Z426" s="1">
        <f t="shared" si="90"/>
        <v>1</v>
      </c>
    </row>
    <row r="427" spans="1:26" ht="18" customHeight="1" x14ac:dyDescent="0.3">
      <c r="A427" s="2"/>
      <c r="B427" s="65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66"/>
      <c r="E427" s="66"/>
      <c r="F427" s="60"/>
      <c r="G427" s="67"/>
      <c r="H427" s="60"/>
      <c r="I427" s="68">
        <f t="shared" ca="1" si="78"/>
        <v>0</v>
      </c>
      <c r="J427" s="68">
        <f t="shared" ca="1" si="79"/>
        <v>0</v>
      </c>
      <c r="K427" s="68">
        <f t="shared" ca="1" si="80"/>
        <v>0</v>
      </c>
      <c r="L427" s="68">
        <f t="shared" ca="1" si="81"/>
        <v>0</v>
      </c>
      <c r="M427" s="69">
        <f t="shared" si="82"/>
        <v>0</v>
      </c>
      <c r="N427" s="65" t="str">
        <f t="shared" si="83"/>
        <v/>
      </c>
      <c r="O427" s="70" t="str">
        <f>IF(OR($C427="",$D427="",$F427=""),"",IF($F427="Aylık",EOMONTH($D427,0),($D427+MOD(SISTEM!$F$8-WEEKDAY($D427,2),7))))</f>
        <v/>
      </c>
      <c r="P427" s="61"/>
      <c r="Q427" s="2"/>
      <c r="R427" s="2"/>
      <c r="S427" s="1" t="str">
        <f>IF($B427="","",$B427&amp;"|"&amp;COUNTIFS($B$7:$B427,$B427))</f>
        <v/>
      </c>
      <c r="T427" s="1" t="str">
        <f t="shared" si="84"/>
        <v/>
      </c>
      <c r="U427" s="1">
        <f t="shared" si="85"/>
        <v>0</v>
      </c>
      <c r="V427" s="1">
        <f t="shared" si="86"/>
        <v>2958465</v>
      </c>
      <c r="W427" s="1">
        <f t="shared" si="87"/>
        <v>0</v>
      </c>
      <c r="X427" s="1">
        <f t="shared" si="88"/>
        <v>0</v>
      </c>
      <c r="Y427" s="1">
        <f t="shared" si="89"/>
        <v>97200</v>
      </c>
      <c r="Z427" s="1">
        <f t="shared" si="90"/>
        <v>1</v>
      </c>
    </row>
    <row r="428" spans="1:26" ht="18" customHeight="1" x14ac:dyDescent="0.3">
      <c r="A428" s="2"/>
      <c r="B428" s="65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66"/>
      <c r="E428" s="66"/>
      <c r="F428" s="60"/>
      <c r="G428" s="67"/>
      <c r="H428" s="60"/>
      <c r="I428" s="68">
        <f t="shared" ca="1" si="78"/>
        <v>0</v>
      </c>
      <c r="J428" s="68">
        <f t="shared" ca="1" si="79"/>
        <v>0</v>
      </c>
      <c r="K428" s="68">
        <f t="shared" ca="1" si="80"/>
        <v>0</v>
      </c>
      <c r="L428" s="68">
        <f t="shared" ca="1" si="81"/>
        <v>0</v>
      </c>
      <c r="M428" s="69">
        <f t="shared" si="82"/>
        <v>0</v>
      </c>
      <c r="N428" s="65" t="str">
        <f t="shared" si="83"/>
        <v/>
      </c>
      <c r="O428" s="70" t="str">
        <f>IF(OR($C428="",$D428="",$F428=""),"",IF($F428="Aylık",EOMONTH($D428,0),($D428+MOD(SISTEM!$F$8-WEEKDAY($D428,2),7))))</f>
        <v/>
      </c>
      <c r="P428" s="61"/>
      <c r="Q428" s="2"/>
      <c r="R428" s="2"/>
      <c r="S428" s="1" t="str">
        <f>IF($B428="","",$B428&amp;"|"&amp;COUNTIFS($B$7:$B428,$B428))</f>
        <v/>
      </c>
      <c r="T428" s="1" t="str">
        <f t="shared" si="84"/>
        <v/>
      </c>
      <c r="U428" s="1">
        <f t="shared" si="85"/>
        <v>0</v>
      </c>
      <c r="V428" s="1">
        <f t="shared" si="86"/>
        <v>2958465</v>
      </c>
      <c r="W428" s="1">
        <f t="shared" si="87"/>
        <v>0</v>
      </c>
      <c r="X428" s="1">
        <f t="shared" si="88"/>
        <v>0</v>
      </c>
      <c r="Y428" s="1">
        <f t="shared" si="89"/>
        <v>97200</v>
      </c>
      <c r="Z428" s="1">
        <f t="shared" si="90"/>
        <v>1</v>
      </c>
    </row>
    <row r="429" spans="1:26" ht="18" customHeight="1" x14ac:dyDescent="0.3">
      <c r="A429" s="2"/>
      <c r="B429" s="65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66"/>
      <c r="E429" s="66"/>
      <c r="F429" s="60"/>
      <c r="G429" s="67"/>
      <c r="H429" s="60"/>
      <c r="I429" s="68">
        <f t="shared" ca="1" si="78"/>
        <v>0</v>
      </c>
      <c r="J429" s="68">
        <f t="shared" ca="1" si="79"/>
        <v>0</v>
      </c>
      <c r="K429" s="68">
        <f t="shared" ca="1" si="80"/>
        <v>0</v>
      </c>
      <c r="L429" s="68">
        <f t="shared" ca="1" si="81"/>
        <v>0</v>
      </c>
      <c r="M429" s="69">
        <f t="shared" si="82"/>
        <v>0</v>
      </c>
      <c r="N429" s="65" t="str">
        <f t="shared" si="83"/>
        <v/>
      </c>
      <c r="O429" s="70" t="str">
        <f>IF(OR($C429="",$D429="",$F429=""),"",IF($F429="Aylık",EOMONTH($D429,0),($D429+MOD(SISTEM!$F$8-WEEKDAY($D429,2),7))))</f>
        <v/>
      </c>
      <c r="P429" s="61"/>
      <c r="Q429" s="2"/>
      <c r="R429" s="2"/>
      <c r="S429" s="1" t="str">
        <f>IF($B429="","",$B429&amp;"|"&amp;COUNTIFS($B$7:$B429,$B429))</f>
        <v/>
      </c>
      <c r="T429" s="1" t="str">
        <f t="shared" si="84"/>
        <v/>
      </c>
      <c r="U429" s="1">
        <f t="shared" si="85"/>
        <v>0</v>
      </c>
      <c r="V429" s="1">
        <f t="shared" si="86"/>
        <v>2958465</v>
      </c>
      <c r="W429" s="1">
        <f t="shared" si="87"/>
        <v>0</v>
      </c>
      <c r="X429" s="1">
        <f t="shared" si="88"/>
        <v>0</v>
      </c>
      <c r="Y429" s="1">
        <f t="shared" si="89"/>
        <v>97200</v>
      </c>
      <c r="Z429" s="1">
        <f t="shared" si="90"/>
        <v>1</v>
      </c>
    </row>
    <row r="430" spans="1:26" ht="18" customHeight="1" x14ac:dyDescent="0.3">
      <c r="A430" s="2"/>
      <c r="B430" s="65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66"/>
      <c r="E430" s="66"/>
      <c r="F430" s="60"/>
      <c r="G430" s="67"/>
      <c r="H430" s="60"/>
      <c r="I430" s="68">
        <f t="shared" ca="1" si="78"/>
        <v>0</v>
      </c>
      <c r="J430" s="68">
        <f t="shared" ca="1" si="79"/>
        <v>0</v>
      </c>
      <c r="K430" s="68">
        <f t="shared" ca="1" si="80"/>
        <v>0</v>
      </c>
      <c r="L430" s="68">
        <f t="shared" ca="1" si="81"/>
        <v>0</v>
      </c>
      <c r="M430" s="69">
        <f t="shared" si="82"/>
        <v>0</v>
      </c>
      <c r="N430" s="65" t="str">
        <f t="shared" si="83"/>
        <v/>
      </c>
      <c r="O430" s="70" t="str">
        <f>IF(OR($C430="",$D430="",$F430=""),"",IF($F430="Aylık",EOMONTH($D430,0),($D430+MOD(SISTEM!$F$8-WEEKDAY($D430,2),7))))</f>
        <v/>
      </c>
      <c r="P430" s="61"/>
      <c r="Q430" s="2"/>
      <c r="R430" s="2"/>
      <c r="S430" s="1" t="str">
        <f>IF($B430="","",$B430&amp;"|"&amp;COUNTIFS($B$7:$B430,$B430))</f>
        <v/>
      </c>
      <c r="T430" s="1" t="str">
        <f t="shared" si="84"/>
        <v/>
      </c>
      <c r="U430" s="1">
        <f t="shared" si="85"/>
        <v>0</v>
      </c>
      <c r="V430" s="1">
        <f t="shared" si="86"/>
        <v>2958465</v>
      </c>
      <c r="W430" s="1">
        <f t="shared" si="87"/>
        <v>0</v>
      </c>
      <c r="X430" s="1">
        <f t="shared" si="88"/>
        <v>0</v>
      </c>
      <c r="Y430" s="1">
        <f t="shared" si="89"/>
        <v>97200</v>
      </c>
      <c r="Z430" s="1">
        <f t="shared" si="90"/>
        <v>1</v>
      </c>
    </row>
    <row r="431" spans="1:26" ht="18" customHeight="1" x14ac:dyDescent="0.3">
      <c r="A431" s="2"/>
      <c r="B431" s="65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66"/>
      <c r="E431" s="66"/>
      <c r="F431" s="60"/>
      <c r="G431" s="67"/>
      <c r="H431" s="60"/>
      <c r="I431" s="68">
        <f t="shared" ca="1" si="78"/>
        <v>0</v>
      </c>
      <c r="J431" s="68">
        <f t="shared" ca="1" si="79"/>
        <v>0</v>
      </c>
      <c r="K431" s="68">
        <f t="shared" ca="1" si="80"/>
        <v>0</v>
      </c>
      <c r="L431" s="68">
        <f t="shared" ca="1" si="81"/>
        <v>0</v>
      </c>
      <c r="M431" s="69">
        <f t="shared" si="82"/>
        <v>0</v>
      </c>
      <c r="N431" s="65" t="str">
        <f t="shared" si="83"/>
        <v/>
      </c>
      <c r="O431" s="70" t="str">
        <f>IF(OR($C431="",$D431="",$F431=""),"",IF($F431="Aylık",EOMONTH($D431,0),($D431+MOD(SISTEM!$F$8-WEEKDAY($D431,2),7))))</f>
        <v/>
      </c>
      <c r="P431" s="61"/>
      <c r="Q431" s="2"/>
      <c r="R431" s="2"/>
      <c r="S431" s="1" t="str">
        <f>IF($B431="","",$B431&amp;"|"&amp;COUNTIFS($B$7:$B431,$B431))</f>
        <v/>
      </c>
      <c r="T431" s="1" t="str">
        <f t="shared" si="84"/>
        <v/>
      </c>
      <c r="U431" s="1">
        <f t="shared" si="85"/>
        <v>0</v>
      </c>
      <c r="V431" s="1">
        <f t="shared" si="86"/>
        <v>2958465</v>
      </c>
      <c r="W431" s="1">
        <f t="shared" si="87"/>
        <v>0</v>
      </c>
      <c r="X431" s="1">
        <f t="shared" si="88"/>
        <v>0</v>
      </c>
      <c r="Y431" s="1">
        <f t="shared" si="89"/>
        <v>97200</v>
      </c>
      <c r="Z431" s="1">
        <f t="shared" si="90"/>
        <v>1</v>
      </c>
    </row>
    <row r="432" spans="1:26" ht="18" customHeight="1" x14ac:dyDescent="0.3">
      <c r="A432" s="2"/>
      <c r="B432" s="65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66"/>
      <c r="E432" s="66"/>
      <c r="F432" s="60"/>
      <c r="G432" s="67"/>
      <c r="H432" s="60"/>
      <c r="I432" s="68">
        <f t="shared" ca="1" si="78"/>
        <v>0</v>
      </c>
      <c r="J432" s="68">
        <f t="shared" ca="1" si="79"/>
        <v>0</v>
      </c>
      <c r="K432" s="68">
        <f t="shared" ca="1" si="80"/>
        <v>0</v>
      </c>
      <c r="L432" s="68">
        <f t="shared" ca="1" si="81"/>
        <v>0</v>
      </c>
      <c r="M432" s="69">
        <f t="shared" si="82"/>
        <v>0</v>
      </c>
      <c r="N432" s="65" t="str">
        <f t="shared" si="83"/>
        <v/>
      </c>
      <c r="O432" s="70" t="str">
        <f>IF(OR($C432="",$D432="",$F432=""),"",IF($F432="Aylık",EOMONTH($D432,0),($D432+MOD(SISTEM!$F$8-WEEKDAY($D432,2),7))))</f>
        <v/>
      </c>
      <c r="P432" s="61"/>
      <c r="Q432" s="2"/>
      <c r="R432" s="2"/>
      <c r="S432" s="1" t="str">
        <f>IF($B432="","",$B432&amp;"|"&amp;COUNTIFS($B$7:$B432,$B432))</f>
        <v/>
      </c>
      <c r="T432" s="1" t="str">
        <f t="shared" si="84"/>
        <v/>
      </c>
      <c r="U432" s="1">
        <f t="shared" si="85"/>
        <v>0</v>
      </c>
      <c r="V432" s="1">
        <f t="shared" si="86"/>
        <v>2958465</v>
      </c>
      <c r="W432" s="1">
        <f t="shared" si="87"/>
        <v>0</v>
      </c>
      <c r="X432" s="1">
        <f t="shared" si="88"/>
        <v>0</v>
      </c>
      <c r="Y432" s="1">
        <f t="shared" si="89"/>
        <v>97200</v>
      </c>
      <c r="Z432" s="1">
        <f t="shared" si="90"/>
        <v>1</v>
      </c>
    </row>
    <row r="433" spans="1:26" ht="18" customHeight="1" x14ac:dyDescent="0.3">
      <c r="A433" s="2"/>
      <c r="B433" s="65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66"/>
      <c r="E433" s="66"/>
      <c r="F433" s="60"/>
      <c r="G433" s="67"/>
      <c r="H433" s="60"/>
      <c r="I433" s="68">
        <f t="shared" ca="1" si="78"/>
        <v>0</v>
      </c>
      <c r="J433" s="68">
        <f t="shared" ca="1" si="79"/>
        <v>0</v>
      </c>
      <c r="K433" s="68">
        <f t="shared" ca="1" si="80"/>
        <v>0</v>
      </c>
      <c r="L433" s="68">
        <f t="shared" ca="1" si="81"/>
        <v>0</v>
      </c>
      <c r="M433" s="69">
        <f t="shared" si="82"/>
        <v>0</v>
      </c>
      <c r="N433" s="65" t="str">
        <f t="shared" si="83"/>
        <v/>
      </c>
      <c r="O433" s="70" t="str">
        <f>IF(OR($C433="",$D433="",$F433=""),"",IF($F433="Aylık",EOMONTH($D433,0),($D433+MOD(SISTEM!$F$8-WEEKDAY($D433,2),7))))</f>
        <v/>
      </c>
      <c r="P433" s="61"/>
      <c r="Q433" s="2"/>
      <c r="R433" s="2"/>
      <c r="S433" s="1" t="str">
        <f>IF($B433="","",$B433&amp;"|"&amp;COUNTIFS($B$7:$B433,$B433))</f>
        <v/>
      </c>
      <c r="T433" s="1" t="str">
        <f t="shared" si="84"/>
        <v/>
      </c>
      <c r="U433" s="1">
        <f t="shared" si="85"/>
        <v>0</v>
      </c>
      <c r="V433" s="1">
        <f t="shared" si="86"/>
        <v>2958465</v>
      </c>
      <c r="W433" s="1">
        <f t="shared" si="87"/>
        <v>0</v>
      </c>
      <c r="X433" s="1">
        <f t="shared" si="88"/>
        <v>0</v>
      </c>
      <c r="Y433" s="1">
        <f t="shared" si="89"/>
        <v>97200</v>
      </c>
      <c r="Z433" s="1">
        <f t="shared" si="90"/>
        <v>1</v>
      </c>
    </row>
    <row r="434" spans="1:26" ht="18" customHeight="1" x14ac:dyDescent="0.3">
      <c r="A434" s="2"/>
      <c r="B434" s="65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66"/>
      <c r="E434" s="66"/>
      <c r="F434" s="60"/>
      <c r="G434" s="67"/>
      <c r="H434" s="60"/>
      <c r="I434" s="68">
        <f t="shared" ca="1" si="78"/>
        <v>0</v>
      </c>
      <c r="J434" s="68">
        <f t="shared" ca="1" si="79"/>
        <v>0</v>
      </c>
      <c r="K434" s="68">
        <f t="shared" ca="1" si="80"/>
        <v>0</v>
      </c>
      <c r="L434" s="68">
        <f t="shared" ca="1" si="81"/>
        <v>0</v>
      </c>
      <c r="M434" s="69">
        <f t="shared" si="82"/>
        <v>0</v>
      </c>
      <c r="N434" s="65" t="str">
        <f t="shared" si="83"/>
        <v/>
      </c>
      <c r="O434" s="70" t="str">
        <f>IF(OR($C434="",$D434="",$F434=""),"",IF($F434="Aylık",EOMONTH($D434,0),($D434+MOD(SISTEM!$F$8-WEEKDAY($D434,2),7))))</f>
        <v/>
      </c>
      <c r="P434" s="61"/>
      <c r="Q434" s="2"/>
      <c r="R434" s="2"/>
      <c r="S434" s="1" t="str">
        <f>IF($B434="","",$B434&amp;"|"&amp;COUNTIFS($B$7:$B434,$B434))</f>
        <v/>
      </c>
      <c r="T434" s="1" t="str">
        <f t="shared" si="84"/>
        <v/>
      </c>
      <c r="U434" s="1">
        <f t="shared" si="85"/>
        <v>0</v>
      </c>
      <c r="V434" s="1">
        <f t="shared" si="86"/>
        <v>2958465</v>
      </c>
      <c r="W434" s="1">
        <f t="shared" si="87"/>
        <v>0</v>
      </c>
      <c r="X434" s="1">
        <f t="shared" si="88"/>
        <v>0</v>
      </c>
      <c r="Y434" s="1">
        <f t="shared" si="89"/>
        <v>97200</v>
      </c>
      <c r="Z434" s="1">
        <f t="shared" si="90"/>
        <v>1</v>
      </c>
    </row>
    <row r="435" spans="1:26" ht="18" customHeight="1" x14ac:dyDescent="0.3">
      <c r="A435" s="2"/>
      <c r="B435" s="65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66"/>
      <c r="E435" s="66"/>
      <c r="F435" s="60"/>
      <c r="G435" s="67"/>
      <c r="H435" s="60"/>
      <c r="I435" s="68">
        <f t="shared" ca="1" si="78"/>
        <v>0</v>
      </c>
      <c r="J435" s="68">
        <f t="shared" ca="1" si="79"/>
        <v>0</v>
      </c>
      <c r="K435" s="68">
        <f t="shared" ca="1" si="80"/>
        <v>0</v>
      </c>
      <c r="L435" s="68">
        <f t="shared" ca="1" si="81"/>
        <v>0</v>
      </c>
      <c r="M435" s="69">
        <f t="shared" si="82"/>
        <v>0</v>
      </c>
      <c r="N435" s="65" t="str">
        <f t="shared" si="83"/>
        <v/>
      </c>
      <c r="O435" s="70" t="str">
        <f>IF(OR($C435="",$D435="",$F435=""),"",IF($F435="Aylık",EOMONTH($D435,0),($D435+MOD(SISTEM!$F$8-WEEKDAY($D435,2),7))))</f>
        <v/>
      </c>
      <c r="P435" s="61"/>
      <c r="Q435" s="2"/>
      <c r="R435" s="2"/>
      <c r="S435" s="1" t="str">
        <f>IF($B435="","",$B435&amp;"|"&amp;COUNTIFS($B$7:$B435,$B435))</f>
        <v/>
      </c>
      <c r="T435" s="1" t="str">
        <f t="shared" si="84"/>
        <v/>
      </c>
      <c r="U435" s="1">
        <f t="shared" si="85"/>
        <v>0</v>
      </c>
      <c r="V435" s="1">
        <f t="shared" si="86"/>
        <v>2958465</v>
      </c>
      <c r="W435" s="1">
        <f t="shared" si="87"/>
        <v>0</v>
      </c>
      <c r="X435" s="1">
        <f t="shared" si="88"/>
        <v>0</v>
      </c>
      <c r="Y435" s="1">
        <f t="shared" si="89"/>
        <v>97200</v>
      </c>
      <c r="Z435" s="1">
        <f t="shared" si="90"/>
        <v>1</v>
      </c>
    </row>
    <row r="436" spans="1:26" ht="18" customHeight="1" x14ac:dyDescent="0.3">
      <c r="A436" s="2"/>
      <c r="B436" s="65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66"/>
      <c r="E436" s="66"/>
      <c r="F436" s="60"/>
      <c r="G436" s="67"/>
      <c r="H436" s="60"/>
      <c r="I436" s="68">
        <f t="shared" ca="1" si="78"/>
        <v>0</v>
      </c>
      <c r="J436" s="68">
        <f t="shared" ca="1" si="79"/>
        <v>0</v>
      </c>
      <c r="K436" s="68">
        <f t="shared" ca="1" si="80"/>
        <v>0</v>
      </c>
      <c r="L436" s="68">
        <f t="shared" ca="1" si="81"/>
        <v>0</v>
      </c>
      <c r="M436" s="69">
        <f t="shared" si="82"/>
        <v>0</v>
      </c>
      <c r="N436" s="65" t="str">
        <f t="shared" si="83"/>
        <v/>
      </c>
      <c r="O436" s="70" t="str">
        <f>IF(OR($C436="",$D436="",$F436=""),"",IF($F436="Aylık",EOMONTH($D436,0),($D436+MOD(SISTEM!$F$8-WEEKDAY($D436,2),7))))</f>
        <v/>
      </c>
      <c r="P436" s="61"/>
      <c r="Q436" s="2"/>
      <c r="R436" s="2"/>
      <c r="S436" s="1" t="str">
        <f>IF($B436="","",$B436&amp;"|"&amp;COUNTIFS($B$7:$B436,$B436))</f>
        <v/>
      </c>
      <c r="T436" s="1" t="str">
        <f t="shared" si="84"/>
        <v/>
      </c>
      <c r="U436" s="1">
        <f t="shared" si="85"/>
        <v>0</v>
      </c>
      <c r="V436" s="1">
        <f t="shared" si="86"/>
        <v>2958465</v>
      </c>
      <c r="W436" s="1">
        <f t="shared" si="87"/>
        <v>0</v>
      </c>
      <c r="X436" s="1">
        <f t="shared" si="88"/>
        <v>0</v>
      </c>
      <c r="Y436" s="1">
        <f t="shared" si="89"/>
        <v>97200</v>
      </c>
      <c r="Z436" s="1">
        <f t="shared" si="90"/>
        <v>1</v>
      </c>
    </row>
    <row r="437" spans="1:26" ht="18" customHeight="1" x14ac:dyDescent="0.3">
      <c r="A437" s="2"/>
      <c r="B437" s="65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66"/>
      <c r="E437" s="66"/>
      <c r="F437" s="60"/>
      <c r="G437" s="67"/>
      <c r="H437" s="60"/>
      <c r="I437" s="68">
        <f t="shared" ca="1" si="78"/>
        <v>0</v>
      </c>
      <c r="J437" s="68">
        <f t="shared" ca="1" si="79"/>
        <v>0</v>
      </c>
      <c r="K437" s="68">
        <f t="shared" ca="1" si="80"/>
        <v>0</v>
      </c>
      <c r="L437" s="68">
        <f t="shared" ca="1" si="81"/>
        <v>0</v>
      </c>
      <c r="M437" s="69">
        <f t="shared" si="82"/>
        <v>0</v>
      </c>
      <c r="N437" s="65" t="str">
        <f t="shared" si="83"/>
        <v/>
      </c>
      <c r="O437" s="70" t="str">
        <f>IF(OR($C437="",$D437="",$F437=""),"",IF($F437="Aylık",EOMONTH($D437,0),($D437+MOD(SISTEM!$F$8-WEEKDAY($D437,2),7))))</f>
        <v/>
      </c>
      <c r="P437" s="61"/>
      <c r="Q437" s="2"/>
      <c r="R437" s="2"/>
      <c r="S437" s="1" t="str">
        <f>IF($B437="","",$B437&amp;"|"&amp;COUNTIFS($B$7:$B437,$B437))</f>
        <v/>
      </c>
      <c r="T437" s="1" t="str">
        <f t="shared" si="84"/>
        <v/>
      </c>
      <c r="U437" s="1">
        <f t="shared" si="85"/>
        <v>0</v>
      </c>
      <c r="V437" s="1">
        <f t="shared" si="86"/>
        <v>2958465</v>
      </c>
      <c r="W437" s="1">
        <f t="shared" si="87"/>
        <v>0</v>
      </c>
      <c r="X437" s="1">
        <f t="shared" si="88"/>
        <v>0</v>
      </c>
      <c r="Y437" s="1">
        <f t="shared" si="89"/>
        <v>97200</v>
      </c>
      <c r="Z437" s="1">
        <f t="shared" si="90"/>
        <v>1</v>
      </c>
    </row>
    <row r="438" spans="1:26" ht="18" customHeight="1" x14ac:dyDescent="0.3">
      <c r="A438" s="2"/>
      <c r="B438" s="65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66"/>
      <c r="E438" s="66"/>
      <c r="F438" s="60"/>
      <c r="G438" s="67"/>
      <c r="H438" s="60"/>
      <c r="I438" s="68">
        <f t="shared" ca="1" si="78"/>
        <v>0</v>
      </c>
      <c r="J438" s="68">
        <f t="shared" ca="1" si="79"/>
        <v>0</v>
      </c>
      <c r="K438" s="68">
        <f t="shared" ca="1" si="80"/>
        <v>0</v>
      </c>
      <c r="L438" s="68">
        <f t="shared" ca="1" si="81"/>
        <v>0</v>
      </c>
      <c r="M438" s="69">
        <f t="shared" si="82"/>
        <v>0</v>
      </c>
      <c r="N438" s="65" t="str">
        <f t="shared" si="83"/>
        <v/>
      </c>
      <c r="O438" s="70" t="str">
        <f>IF(OR($C438="",$D438="",$F438=""),"",IF($F438="Aylık",EOMONTH($D438,0),($D438+MOD(SISTEM!$F$8-WEEKDAY($D438,2),7))))</f>
        <v/>
      </c>
      <c r="P438" s="61"/>
      <c r="Q438" s="2"/>
      <c r="R438" s="2"/>
      <c r="S438" s="1" t="str">
        <f>IF($B438="","",$B438&amp;"|"&amp;COUNTIFS($B$7:$B438,$B438))</f>
        <v/>
      </c>
      <c r="T438" s="1" t="str">
        <f t="shared" si="84"/>
        <v/>
      </c>
      <c r="U438" s="1">
        <f t="shared" si="85"/>
        <v>0</v>
      </c>
      <c r="V438" s="1">
        <f t="shared" si="86"/>
        <v>2958465</v>
      </c>
      <c r="W438" s="1">
        <f t="shared" si="87"/>
        <v>0</v>
      </c>
      <c r="X438" s="1">
        <f t="shared" si="88"/>
        <v>0</v>
      </c>
      <c r="Y438" s="1">
        <f t="shared" si="89"/>
        <v>97200</v>
      </c>
      <c r="Z438" s="1">
        <f t="shared" si="90"/>
        <v>1</v>
      </c>
    </row>
    <row r="439" spans="1:26" ht="18" customHeight="1" x14ac:dyDescent="0.3">
      <c r="A439" s="2"/>
      <c r="B439" s="65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66"/>
      <c r="E439" s="66"/>
      <c r="F439" s="60"/>
      <c r="G439" s="67"/>
      <c r="H439" s="60"/>
      <c r="I439" s="68">
        <f t="shared" ca="1" si="78"/>
        <v>0</v>
      </c>
      <c r="J439" s="68">
        <f t="shared" ca="1" si="79"/>
        <v>0</v>
      </c>
      <c r="K439" s="68">
        <f t="shared" ca="1" si="80"/>
        <v>0</v>
      </c>
      <c r="L439" s="68">
        <f t="shared" ca="1" si="81"/>
        <v>0</v>
      </c>
      <c r="M439" s="69">
        <f t="shared" si="82"/>
        <v>0</v>
      </c>
      <c r="N439" s="65" t="str">
        <f t="shared" si="83"/>
        <v/>
      </c>
      <c r="O439" s="70" t="str">
        <f>IF(OR($C439="",$D439="",$F439=""),"",IF($F439="Aylık",EOMONTH($D439,0),($D439+MOD(SISTEM!$F$8-WEEKDAY($D439,2),7))))</f>
        <v/>
      </c>
      <c r="P439" s="61"/>
      <c r="Q439" s="2"/>
      <c r="R439" s="2"/>
      <c r="S439" s="1" t="str">
        <f>IF($B439="","",$B439&amp;"|"&amp;COUNTIFS($B$7:$B439,$B439))</f>
        <v/>
      </c>
      <c r="T439" s="1" t="str">
        <f t="shared" si="84"/>
        <v/>
      </c>
      <c r="U439" s="1">
        <f t="shared" si="85"/>
        <v>0</v>
      </c>
      <c r="V439" s="1">
        <f t="shared" si="86"/>
        <v>2958465</v>
      </c>
      <c r="W439" s="1">
        <f t="shared" si="87"/>
        <v>0</v>
      </c>
      <c r="X439" s="1">
        <f t="shared" si="88"/>
        <v>0</v>
      </c>
      <c r="Y439" s="1">
        <f t="shared" si="89"/>
        <v>97200</v>
      </c>
      <c r="Z439" s="1">
        <f t="shared" si="90"/>
        <v>1</v>
      </c>
    </row>
    <row r="440" spans="1:26" ht="18" customHeight="1" x14ac:dyDescent="0.3">
      <c r="A440" s="2"/>
      <c r="B440" s="65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66"/>
      <c r="E440" s="66"/>
      <c r="F440" s="60"/>
      <c r="G440" s="67"/>
      <c r="H440" s="60"/>
      <c r="I440" s="68">
        <f t="shared" ca="1" si="78"/>
        <v>0</v>
      </c>
      <c r="J440" s="68">
        <f t="shared" ca="1" si="79"/>
        <v>0</v>
      </c>
      <c r="K440" s="68">
        <f t="shared" ca="1" si="80"/>
        <v>0</v>
      </c>
      <c r="L440" s="68">
        <f t="shared" ca="1" si="81"/>
        <v>0</v>
      </c>
      <c r="M440" s="69">
        <f t="shared" si="82"/>
        <v>0</v>
      </c>
      <c r="N440" s="65" t="str">
        <f t="shared" si="83"/>
        <v/>
      </c>
      <c r="O440" s="70" t="str">
        <f>IF(OR($C440="",$D440="",$F440=""),"",IF($F440="Aylık",EOMONTH($D440,0),($D440+MOD(SISTEM!$F$8-WEEKDAY($D440,2),7))))</f>
        <v/>
      </c>
      <c r="P440" s="61"/>
      <c r="Q440" s="2"/>
      <c r="R440" s="2"/>
      <c r="S440" s="1" t="str">
        <f>IF($B440="","",$B440&amp;"|"&amp;COUNTIFS($B$7:$B440,$B440))</f>
        <v/>
      </c>
      <c r="T440" s="1" t="str">
        <f t="shared" si="84"/>
        <v/>
      </c>
      <c r="U440" s="1">
        <f t="shared" si="85"/>
        <v>0</v>
      </c>
      <c r="V440" s="1">
        <f t="shared" si="86"/>
        <v>2958465</v>
      </c>
      <c r="W440" s="1">
        <f t="shared" si="87"/>
        <v>0</v>
      </c>
      <c r="X440" s="1">
        <f t="shared" si="88"/>
        <v>0</v>
      </c>
      <c r="Y440" s="1">
        <f t="shared" si="89"/>
        <v>97200</v>
      </c>
      <c r="Z440" s="1">
        <f t="shared" si="90"/>
        <v>1</v>
      </c>
    </row>
    <row r="441" spans="1:26" ht="18" customHeight="1" x14ac:dyDescent="0.3">
      <c r="A441" s="2"/>
      <c r="B441" s="65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66"/>
      <c r="E441" s="66"/>
      <c r="F441" s="60"/>
      <c r="G441" s="67"/>
      <c r="H441" s="60"/>
      <c r="I441" s="68">
        <f t="shared" ca="1" si="78"/>
        <v>0</v>
      </c>
      <c r="J441" s="68">
        <f t="shared" ca="1" si="79"/>
        <v>0</v>
      </c>
      <c r="K441" s="68">
        <f t="shared" ca="1" si="80"/>
        <v>0</v>
      </c>
      <c r="L441" s="68">
        <f t="shared" ca="1" si="81"/>
        <v>0</v>
      </c>
      <c r="M441" s="69">
        <f t="shared" si="82"/>
        <v>0</v>
      </c>
      <c r="N441" s="65" t="str">
        <f t="shared" si="83"/>
        <v/>
      </c>
      <c r="O441" s="70" t="str">
        <f>IF(OR($C441="",$D441="",$F441=""),"",IF($F441="Aylık",EOMONTH($D441,0),($D441+MOD(SISTEM!$F$8-WEEKDAY($D441,2),7))))</f>
        <v/>
      </c>
      <c r="P441" s="61"/>
      <c r="Q441" s="2"/>
      <c r="R441" s="2"/>
      <c r="S441" s="1" t="str">
        <f>IF($B441="","",$B441&amp;"|"&amp;COUNTIFS($B$7:$B441,$B441))</f>
        <v/>
      </c>
      <c r="T441" s="1" t="str">
        <f t="shared" si="84"/>
        <v/>
      </c>
      <c r="U441" s="1">
        <f t="shared" si="85"/>
        <v>0</v>
      </c>
      <c r="V441" s="1">
        <f t="shared" si="86"/>
        <v>2958465</v>
      </c>
      <c r="W441" s="1">
        <f t="shared" si="87"/>
        <v>0</v>
      </c>
      <c r="X441" s="1">
        <f t="shared" si="88"/>
        <v>0</v>
      </c>
      <c r="Y441" s="1">
        <f t="shared" si="89"/>
        <v>97200</v>
      </c>
      <c r="Z441" s="1">
        <f t="shared" si="90"/>
        <v>1</v>
      </c>
    </row>
    <row r="442" spans="1:26" ht="18" customHeight="1" x14ac:dyDescent="0.3">
      <c r="A442" s="2"/>
      <c r="B442" s="65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66"/>
      <c r="E442" s="66"/>
      <c r="F442" s="60"/>
      <c r="G442" s="67"/>
      <c r="H442" s="60"/>
      <c r="I442" s="68">
        <f t="shared" ca="1" si="78"/>
        <v>0</v>
      </c>
      <c r="J442" s="68">
        <f t="shared" ca="1" si="79"/>
        <v>0</v>
      </c>
      <c r="K442" s="68">
        <f t="shared" ca="1" si="80"/>
        <v>0</v>
      </c>
      <c r="L442" s="68">
        <f t="shared" ca="1" si="81"/>
        <v>0</v>
      </c>
      <c r="M442" s="69">
        <f t="shared" si="82"/>
        <v>0</v>
      </c>
      <c r="N442" s="65" t="str">
        <f t="shared" si="83"/>
        <v/>
      </c>
      <c r="O442" s="70" t="str">
        <f>IF(OR($C442="",$D442="",$F442=""),"",IF($F442="Aylık",EOMONTH($D442,0),($D442+MOD(SISTEM!$F$8-WEEKDAY($D442,2),7))))</f>
        <v/>
      </c>
      <c r="P442" s="61"/>
      <c r="Q442" s="2"/>
      <c r="R442" s="2"/>
      <c r="S442" s="1" t="str">
        <f>IF($B442="","",$B442&amp;"|"&amp;COUNTIFS($B$7:$B442,$B442))</f>
        <v/>
      </c>
      <c r="T442" s="1" t="str">
        <f t="shared" si="84"/>
        <v/>
      </c>
      <c r="U442" s="1">
        <f t="shared" si="85"/>
        <v>0</v>
      </c>
      <c r="V442" s="1">
        <f t="shared" si="86"/>
        <v>2958465</v>
      </c>
      <c r="W442" s="1">
        <f t="shared" si="87"/>
        <v>0</v>
      </c>
      <c r="X442" s="1">
        <f t="shared" si="88"/>
        <v>0</v>
      </c>
      <c r="Y442" s="1">
        <f t="shared" si="89"/>
        <v>97200</v>
      </c>
      <c r="Z442" s="1">
        <f t="shared" si="90"/>
        <v>1</v>
      </c>
    </row>
    <row r="443" spans="1:26" ht="18" customHeight="1" x14ac:dyDescent="0.3">
      <c r="A443" s="2"/>
      <c r="B443" s="65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66"/>
      <c r="E443" s="66"/>
      <c r="F443" s="60"/>
      <c r="G443" s="67"/>
      <c r="H443" s="60"/>
      <c r="I443" s="68">
        <f t="shared" ca="1" si="78"/>
        <v>0</v>
      </c>
      <c r="J443" s="68">
        <f t="shared" ca="1" si="79"/>
        <v>0</v>
      </c>
      <c r="K443" s="68">
        <f t="shared" ca="1" si="80"/>
        <v>0</v>
      </c>
      <c r="L443" s="68">
        <f t="shared" ca="1" si="81"/>
        <v>0</v>
      </c>
      <c r="M443" s="69">
        <f t="shared" si="82"/>
        <v>0</v>
      </c>
      <c r="N443" s="65" t="str">
        <f t="shared" si="83"/>
        <v/>
      </c>
      <c r="O443" s="70" t="str">
        <f>IF(OR($C443="",$D443="",$F443=""),"",IF($F443="Aylık",EOMONTH($D443,0),($D443+MOD(SISTEM!$F$8-WEEKDAY($D443,2),7))))</f>
        <v/>
      </c>
      <c r="P443" s="61"/>
      <c r="Q443" s="2"/>
      <c r="R443" s="2"/>
      <c r="S443" s="1" t="str">
        <f>IF($B443="","",$B443&amp;"|"&amp;COUNTIFS($B$7:$B443,$B443))</f>
        <v/>
      </c>
      <c r="T443" s="1" t="str">
        <f t="shared" si="84"/>
        <v/>
      </c>
      <c r="U443" s="1">
        <f t="shared" si="85"/>
        <v>0</v>
      </c>
      <c r="V443" s="1">
        <f t="shared" si="86"/>
        <v>2958465</v>
      </c>
      <c r="W443" s="1">
        <f t="shared" si="87"/>
        <v>0</v>
      </c>
      <c r="X443" s="1">
        <f t="shared" si="88"/>
        <v>0</v>
      </c>
      <c r="Y443" s="1">
        <f t="shared" si="89"/>
        <v>97200</v>
      </c>
      <c r="Z443" s="1">
        <f t="shared" si="90"/>
        <v>1</v>
      </c>
    </row>
    <row r="444" spans="1:26" ht="18" customHeight="1" x14ac:dyDescent="0.3">
      <c r="A444" s="2"/>
      <c r="B444" s="65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66"/>
      <c r="E444" s="66"/>
      <c r="F444" s="60"/>
      <c r="G444" s="67"/>
      <c r="H444" s="60"/>
      <c r="I444" s="68">
        <f t="shared" ca="1" si="78"/>
        <v>0</v>
      </c>
      <c r="J444" s="68">
        <f t="shared" ca="1" si="79"/>
        <v>0</v>
      </c>
      <c r="K444" s="68">
        <f t="shared" ca="1" si="80"/>
        <v>0</v>
      </c>
      <c r="L444" s="68">
        <f t="shared" ca="1" si="81"/>
        <v>0</v>
      </c>
      <c r="M444" s="69">
        <f t="shared" si="82"/>
        <v>0</v>
      </c>
      <c r="N444" s="65" t="str">
        <f t="shared" si="83"/>
        <v/>
      </c>
      <c r="O444" s="70" t="str">
        <f>IF(OR($C444="",$D444="",$F444=""),"",IF($F444="Aylık",EOMONTH($D444,0),($D444+MOD(SISTEM!$F$8-WEEKDAY($D444,2),7))))</f>
        <v/>
      </c>
      <c r="P444" s="61"/>
      <c r="Q444" s="2"/>
      <c r="R444" s="2"/>
      <c r="S444" s="1" t="str">
        <f>IF($B444="","",$B444&amp;"|"&amp;COUNTIFS($B$7:$B444,$B444))</f>
        <v/>
      </c>
      <c r="T444" s="1" t="str">
        <f t="shared" si="84"/>
        <v/>
      </c>
      <c r="U444" s="1">
        <f t="shared" si="85"/>
        <v>0</v>
      </c>
      <c r="V444" s="1">
        <f t="shared" si="86"/>
        <v>2958465</v>
      </c>
      <c r="W444" s="1">
        <f t="shared" si="87"/>
        <v>0</v>
      </c>
      <c r="X444" s="1">
        <f t="shared" si="88"/>
        <v>0</v>
      </c>
      <c r="Y444" s="1">
        <f t="shared" si="89"/>
        <v>97200</v>
      </c>
      <c r="Z444" s="1">
        <f t="shared" si="90"/>
        <v>1</v>
      </c>
    </row>
    <row r="445" spans="1:26" ht="18" customHeight="1" x14ac:dyDescent="0.3">
      <c r="A445" s="2"/>
      <c r="B445" s="65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66"/>
      <c r="E445" s="66"/>
      <c r="F445" s="60"/>
      <c r="G445" s="67"/>
      <c r="H445" s="60"/>
      <c r="I445" s="68">
        <f t="shared" ca="1" si="78"/>
        <v>0</v>
      </c>
      <c r="J445" s="68">
        <f t="shared" ca="1" si="79"/>
        <v>0</v>
      </c>
      <c r="K445" s="68">
        <f t="shared" ca="1" si="80"/>
        <v>0</v>
      </c>
      <c r="L445" s="68">
        <f t="shared" ca="1" si="81"/>
        <v>0</v>
      </c>
      <c r="M445" s="69">
        <f t="shared" si="82"/>
        <v>0</v>
      </c>
      <c r="N445" s="65" t="str">
        <f t="shared" si="83"/>
        <v/>
      </c>
      <c r="O445" s="70" t="str">
        <f>IF(OR($C445="",$D445="",$F445=""),"",IF($F445="Aylık",EOMONTH($D445,0),($D445+MOD(SISTEM!$F$8-WEEKDAY($D445,2),7))))</f>
        <v/>
      </c>
      <c r="P445" s="61"/>
      <c r="Q445" s="2"/>
      <c r="R445" s="2"/>
      <c r="S445" s="1" t="str">
        <f>IF($B445="","",$B445&amp;"|"&amp;COUNTIFS($B$7:$B445,$B445))</f>
        <v/>
      </c>
      <c r="T445" s="1" t="str">
        <f t="shared" si="84"/>
        <v/>
      </c>
      <c r="U445" s="1">
        <f t="shared" si="85"/>
        <v>0</v>
      </c>
      <c r="V445" s="1">
        <f t="shared" si="86"/>
        <v>2958465</v>
      </c>
      <c r="W445" s="1">
        <f t="shared" si="87"/>
        <v>0</v>
      </c>
      <c r="X445" s="1">
        <f t="shared" si="88"/>
        <v>0</v>
      </c>
      <c r="Y445" s="1">
        <f t="shared" si="89"/>
        <v>97200</v>
      </c>
      <c r="Z445" s="1">
        <f t="shared" si="90"/>
        <v>1</v>
      </c>
    </row>
    <row r="446" spans="1:26" ht="18" customHeight="1" x14ac:dyDescent="0.3">
      <c r="A446" s="2"/>
      <c r="B446" s="65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66"/>
      <c r="E446" s="66"/>
      <c r="F446" s="60"/>
      <c r="G446" s="67"/>
      <c r="H446" s="60"/>
      <c r="I446" s="68">
        <f t="shared" ca="1" si="78"/>
        <v>0</v>
      </c>
      <c r="J446" s="68">
        <f t="shared" ca="1" si="79"/>
        <v>0</v>
      </c>
      <c r="K446" s="68">
        <f t="shared" ca="1" si="80"/>
        <v>0</v>
      </c>
      <c r="L446" s="68">
        <f t="shared" ca="1" si="81"/>
        <v>0</v>
      </c>
      <c r="M446" s="69">
        <f t="shared" si="82"/>
        <v>0</v>
      </c>
      <c r="N446" s="65" t="str">
        <f t="shared" si="83"/>
        <v/>
      </c>
      <c r="O446" s="70" t="str">
        <f>IF(OR($C446="",$D446="",$F446=""),"",IF($F446="Aylık",EOMONTH($D446,0),($D446+MOD(SISTEM!$F$8-WEEKDAY($D446,2),7))))</f>
        <v/>
      </c>
      <c r="P446" s="61"/>
      <c r="Q446" s="2"/>
      <c r="R446" s="2"/>
      <c r="S446" s="1" t="str">
        <f>IF($B446="","",$B446&amp;"|"&amp;COUNTIFS($B$7:$B446,$B446))</f>
        <v/>
      </c>
      <c r="T446" s="1" t="str">
        <f t="shared" si="84"/>
        <v/>
      </c>
      <c r="U446" s="1">
        <f t="shared" si="85"/>
        <v>0</v>
      </c>
      <c r="V446" s="1">
        <f t="shared" si="86"/>
        <v>2958465</v>
      </c>
      <c r="W446" s="1">
        <f t="shared" si="87"/>
        <v>0</v>
      </c>
      <c r="X446" s="1">
        <f t="shared" si="88"/>
        <v>0</v>
      </c>
      <c r="Y446" s="1">
        <f t="shared" si="89"/>
        <v>97200</v>
      </c>
      <c r="Z446" s="1">
        <f t="shared" si="90"/>
        <v>1</v>
      </c>
    </row>
    <row r="447" spans="1:26" ht="18" customHeight="1" x14ac:dyDescent="0.3">
      <c r="A447" s="2"/>
      <c r="B447" s="65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66"/>
      <c r="E447" s="66"/>
      <c r="F447" s="60"/>
      <c r="G447" s="67"/>
      <c r="H447" s="60"/>
      <c r="I447" s="68">
        <f t="shared" ca="1" si="78"/>
        <v>0</v>
      </c>
      <c r="J447" s="68">
        <f t="shared" ca="1" si="79"/>
        <v>0</v>
      </c>
      <c r="K447" s="68">
        <f t="shared" ca="1" si="80"/>
        <v>0</v>
      </c>
      <c r="L447" s="68">
        <f t="shared" ca="1" si="81"/>
        <v>0</v>
      </c>
      <c r="M447" s="69">
        <f t="shared" si="82"/>
        <v>0</v>
      </c>
      <c r="N447" s="65" t="str">
        <f t="shared" si="83"/>
        <v/>
      </c>
      <c r="O447" s="70" t="str">
        <f>IF(OR($C447="",$D447="",$F447=""),"",IF($F447="Aylık",EOMONTH($D447,0),($D447+MOD(SISTEM!$F$8-WEEKDAY($D447,2),7))))</f>
        <v/>
      </c>
      <c r="P447" s="61"/>
      <c r="Q447" s="2"/>
      <c r="R447" s="2"/>
      <c r="S447" s="1" t="str">
        <f>IF($B447="","",$B447&amp;"|"&amp;COUNTIFS($B$7:$B447,$B447))</f>
        <v/>
      </c>
      <c r="T447" s="1" t="str">
        <f t="shared" si="84"/>
        <v/>
      </c>
      <c r="U447" s="1">
        <f t="shared" si="85"/>
        <v>0</v>
      </c>
      <c r="V447" s="1">
        <f t="shared" si="86"/>
        <v>2958465</v>
      </c>
      <c r="W447" s="1">
        <f t="shared" si="87"/>
        <v>0</v>
      </c>
      <c r="X447" s="1">
        <f t="shared" si="88"/>
        <v>0</v>
      </c>
      <c r="Y447" s="1">
        <f t="shared" si="89"/>
        <v>97200</v>
      </c>
      <c r="Z447" s="1">
        <f t="shared" si="90"/>
        <v>1</v>
      </c>
    </row>
    <row r="448" spans="1:26" ht="18" customHeight="1" x14ac:dyDescent="0.3">
      <c r="A448" s="2"/>
      <c r="B448" s="65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66"/>
      <c r="E448" s="66"/>
      <c r="F448" s="60"/>
      <c r="G448" s="67"/>
      <c r="H448" s="60"/>
      <c r="I448" s="68">
        <f t="shared" ca="1" si="78"/>
        <v>0</v>
      </c>
      <c r="J448" s="68">
        <f t="shared" ca="1" si="79"/>
        <v>0</v>
      </c>
      <c r="K448" s="68">
        <f t="shared" ca="1" si="80"/>
        <v>0</v>
      </c>
      <c r="L448" s="68">
        <f t="shared" ca="1" si="81"/>
        <v>0</v>
      </c>
      <c r="M448" s="69">
        <f t="shared" si="82"/>
        <v>0</v>
      </c>
      <c r="N448" s="65" t="str">
        <f t="shared" si="83"/>
        <v/>
      </c>
      <c r="O448" s="70" t="str">
        <f>IF(OR($C448="",$D448="",$F448=""),"",IF($F448="Aylık",EOMONTH($D448,0),($D448+MOD(SISTEM!$F$8-WEEKDAY($D448,2),7))))</f>
        <v/>
      </c>
      <c r="P448" s="61"/>
      <c r="Q448" s="2"/>
      <c r="R448" s="2"/>
      <c r="S448" s="1" t="str">
        <f>IF($B448="","",$B448&amp;"|"&amp;COUNTIFS($B$7:$B448,$B448))</f>
        <v/>
      </c>
      <c r="T448" s="1" t="str">
        <f t="shared" si="84"/>
        <v/>
      </c>
      <c r="U448" s="1">
        <f t="shared" si="85"/>
        <v>0</v>
      </c>
      <c r="V448" s="1">
        <f t="shared" si="86"/>
        <v>2958465</v>
      </c>
      <c r="W448" s="1">
        <f t="shared" si="87"/>
        <v>0</v>
      </c>
      <c r="X448" s="1">
        <f t="shared" si="88"/>
        <v>0</v>
      </c>
      <c r="Y448" s="1">
        <f t="shared" si="89"/>
        <v>97200</v>
      </c>
      <c r="Z448" s="1">
        <f t="shared" si="90"/>
        <v>1</v>
      </c>
    </row>
    <row r="449" spans="1:26" ht="18" customHeight="1" x14ac:dyDescent="0.3">
      <c r="A449" s="2"/>
      <c r="B449" s="65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66"/>
      <c r="E449" s="66"/>
      <c r="F449" s="60"/>
      <c r="G449" s="67"/>
      <c r="H449" s="60"/>
      <c r="I449" s="68">
        <f t="shared" ca="1" si="78"/>
        <v>0</v>
      </c>
      <c r="J449" s="68">
        <f t="shared" ca="1" si="79"/>
        <v>0</v>
      </c>
      <c r="K449" s="68">
        <f t="shared" ca="1" si="80"/>
        <v>0</v>
      </c>
      <c r="L449" s="68">
        <f t="shared" ca="1" si="81"/>
        <v>0</v>
      </c>
      <c r="M449" s="69">
        <f t="shared" si="82"/>
        <v>0</v>
      </c>
      <c r="N449" s="65" t="str">
        <f t="shared" si="83"/>
        <v/>
      </c>
      <c r="O449" s="70" t="str">
        <f>IF(OR($C449="",$D449="",$F449=""),"",IF($F449="Aylık",EOMONTH($D449,0),($D449+MOD(SISTEM!$F$8-WEEKDAY($D449,2),7))))</f>
        <v/>
      </c>
      <c r="P449" s="61"/>
      <c r="Q449" s="2"/>
      <c r="R449" s="2"/>
      <c r="S449" s="1" t="str">
        <f>IF($B449="","",$B449&amp;"|"&amp;COUNTIFS($B$7:$B449,$B449))</f>
        <v/>
      </c>
      <c r="T449" s="1" t="str">
        <f t="shared" si="84"/>
        <v/>
      </c>
      <c r="U449" s="1">
        <f t="shared" si="85"/>
        <v>0</v>
      </c>
      <c r="V449" s="1">
        <f t="shared" si="86"/>
        <v>2958465</v>
      </c>
      <c r="W449" s="1">
        <f t="shared" si="87"/>
        <v>0</v>
      </c>
      <c r="X449" s="1">
        <f t="shared" si="88"/>
        <v>0</v>
      </c>
      <c r="Y449" s="1">
        <f t="shared" si="89"/>
        <v>97200</v>
      </c>
      <c r="Z449" s="1">
        <f t="shared" si="90"/>
        <v>1</v>
      </c>
    </row>
    <row r="450" spans="1:26" ht="18" customHeight="1" x14ac:dyDescent="0.3">
      <c r="A450" s="2"/>
      <c r="B450" s="65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66"/>
      <c r="E450" s="66"/>
      <c r="F450" s="60"/>
      <c r="G450" s="67"/>
      <c r="H450" s="60"/>
      <c r="I450" s="68">
        <f t="shared" ca="1" si="78"/>
        <v>0</v>
      </c>
      <c r="J450" s="68">
        <f t="shared" ca="1" si="79"/>
        <v>0</v>
      </c>
      <c r="K450" s="68">
        <f t="shared" ca="1" si="80"/>
        <v>0</v>
      </c>
      <c r="L450" s="68">
        <f t="shared" ca="1" si="81"/>
        <v>0</v>
      </c>
      <c r="M450" s="69">
        <f t="shared" si="82"/>
        <v>0</v>
      </c>
      <c r="N450" s="65" t="str">
        <f t="shared" si="83"/>
        <v/>
      </c>
      <c r="O450" s="70" t="str">
        <f>IF(OR($C450="",$D450="",$F450=""),"",IF($F450="Aylık",EOMONTH($D450,0),($D450+MOD(SISTEM!$F$8-WEEKDAY($D450,2),7))))</f>
        <v/>
      </c>
      <c r="P450" s="61"/>
      <c r="Q450" s="2"/>
      <c r="R450" s="2"/>
      <c r="S450" s="1" t="str">
        <f>IF($B450="","",$B450&amp;"|"&amp;COUNTIFS($B$7:$B450,$B450))</f>
        <v/>
      </c>
      <c r="T450" s="1" t="str">
        <f t="shared" si="84"/>
        <v/>
      </c>
      <c r="U450" s="1">
        <f t="shared" si="85"/>
        <v>0</v>
      </c>
      <c r="V450" s="1">
        <f t="shared" si="86"/>
        <v>2958465</v>
      </c>
      <c r="W450" s="1">
        <f t="shared" si="87"/>
        <v>0</v>
      </c>
      <c r="X450" s="1">
        <f t="shared" si="88"/>
        <v>0</v>
      </c>
      <c r="Y450" s="1">
        <f t="shared" si="89"/>
        <v>97200</v>
      </c>
      <c r="Z450" s="1">
        <f t="shared" si="90"/>
        <v>1</v>
      </c>
    </row>
    <row r="451" spans="1:26" ht="18" customHeight="1" x14ac:dyDescent="0.3">
      <c r="A451" s="2"/>
      <c r="B451" s="65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66"/>
      <c r="E451" s="66"/>
      <c r="F451" s="60"/>
      <c r="G451" s="67"/>
      <c r="H451" s="60"/>
      <c r="I451" s="68">
        <f t="shared" ca="1" si="78"/>
        <v>0</v>
      </c>
      <c r="J451" s="68">
        <f t="shared" ca="1" si="79"/>
        <v>0</v>
      </c>
      <c r="K451" s="68">
        <f t="shared" ca="1" si="80"/>
        <v>0</v>
      </c>
      <c r="L451" s="68">
        <f t="shared" ca="1" si="81"/>
        <v>0</v>
      </c>
      <c r="M451" s="69">
        <f t="shared" si="82"/>
        <v>0</v>
      </c>
      <c r="N451" s="65" t="str">
        <f t="shared" si="83"/>
        <v/>
      </c>
      <c r="O451" s="70" t="str">
        <f>IF(OR($C451="",$D451="",$F451=""),"",IF($F451="Aylık",EOMONTH($D451,0),($D451+MOD(SISTEM!$F$8-WEEKDAY($D451,2),7))))</f>
        <v/>
      </c>
      <c r="P451" s="61"/>
      <c r="Q451" s="2"/>
      <c r="R451" s="2"/>
      <c r="S451" s="1" t="str">
        <f>IF($B451="","",$B451&amp;"|"&amp;COUNTIFS($B$7:$B451,$B451))</f>
        <v/>
      </c>
      <c r="T451" s="1" t="str">
        <f t="shared" si="84"/>
        <v/>
      </c>
      <c r="U451" s="1">
        <f t="shared" si="85"/>
        <v>0</v>
      </c>
      <c r="V451" s="1">
        <f t="shared" si="86"/>
        <v>2958465</v>
      </c>
      <c r="W451" s="1">
        <f t="shared" si="87"/>
        <v>0</v>
      </c>
      <c r="X451" s="1">
        <f t="shared" si="88"/>
        <v>0</v>
      </c>
      <c r="Y451" s="1">
        <f t="shared" si="89"/>
        <v>97200</v>
      </c>
      <c r="Z451" s="1">
        <f t="shared" si="90"/>
        <v>1</v>
      </c>
    </row>
    <row r="452" spans="1:26" ht="18" customHeight="1" x14ac:dyDescent="0.3">
      <c r="A452" s="2"/>
      <c r="B452" s="65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66"/>
      <c r="E452" s="66"/>
      <c r="F452" s="60"/>
      <c r="G452" s="67"/>
      <c r="H452" s="60"/>
      <c r="I452" s="68">
        <f t="shared" ca="1" si="78"/>
        <v>0</v>
      </c>
      <c r="J452" s="68">
        <f t="shared" ca="1" si="79"/>
        <v>0</v>
      </c>
      <c r="K452" s="68">
        <f t="shared" ca="1" si="80"/>
        <v>0</v>
      </c>
      <c r="L452" s="68">
        <f t="shared" ca="1" si="81"/>
        <v>0</v>
      </c>
      <c r="M452" s="69">
        <f t="shared" si="82"/>
        <v>0</v>
      </c>
      <c r="N452" s="65" t="str">
        <f t="shared" si="83"/>
        <v/>
      </c>
      <c r="O452" s="70" t="str">
        <f>IF(OR($C452="",$D452="",$F452=""),"",IF($F452="Aylık",EOMONTH($D452,0),($D452+MOD(SISTEM!$F$8-WEEKDAY($D452,2),7))))</f>
        <v/>
      </c>
      <c r="P452" s="61"/>
      <c r="Q452" s="2"/>
      <c r="R452" s="2"/>
      <c r="S452" s="1" t="str">
        <f>IF($B452="","",$B452&amp;"|"&amp;COUNTIFS($B$7:$B452,$B452))</f>
        <v/>
      </c>
      <c r="T452" s="1" t="str">
        <f t="shared" si="84"/>
        <v/>
      </c>
      <c r="U452" s="1">
        <f t="shared" si="85"/>
        <v>0</v>
      </c>
      <c r="V452" s="1">
        <f t="shared" si="86"/>
        <v>2958465</v>
      </c>
      <c r="W452" s="1">
        <f t="shared" si="87"/>
        <v>0</v>
      </c>
      <c r="X452" s="1">
        <f t="shared" si="88"/>
        <v>0</v>
      </c>
      <c r="Y452" s="1">
        <f t="shared" si="89"/>
        <v>97200</v>
      </c>
      <c r="Z452" s="1">
        <f t="shared" si="90"/>
        <v>1</v>
      </c>
    </row>
    <row r="453" spans="1:26" ht="18" customHeight="1" x14ac:dyDescent="0.3">
      <c r="A453" s="2"/>
      <c r="B453" s="65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66"/>
      <c r="E453" s="66"/>
      <c r="F453" s="60"/>
      <c r="G453" s="67"/>
      <c r="H453" s="60"/>
      <c r="I453" s="68">
        <f t="shared" ca="1" si="78"/>
        <v>0</v>
      </c>
      <c r="J453" s="68">
        <f t="shared" ca="1" si="79"/>
        <v>0</v>
      </c>
      <c r="K453" s="68">
        <f t="shared" ca="1" si="80"/>
        <v>0</v>
      </c>
      <c r="L453" s="68">
        <f t="shared" ca="1" si="81"/>
        <v>0</v>
      </c>
      <c r="M453" s="69">
        <f t="shared" si="82"/>
        <v>0</v>
      </c>
      <c r="N453" s="65" t="str">
        <f t="shared" si="83"/>
        <v/>
      </c>
      <c r="O453" s="70" t="str">
        <f>IF(OR($C453="",$D453="",$F453=""),"",IF($F453="Aylık",EOMONTH($D453,0),($D453+MOD(SISTEM!$F$8-WEEKDAY($D453,2),7))))</f>
        <v/>
      </c>
      <c r="P453" s="61"/>
      <c r="Q453" s="2"/>
      <c r="R453" s="2"/>
      <c r="S453" s="1" t="str">
        <f>IF($B453="","",$B453&amp;"|"&amp;COUNTIFS($B$7:$B453,$B453))</f>
        <v/>
      </c>
      <c r="T453" s="1" t="str">
        <f t="shared" si="84"/>
        <v/>
      </c>
      <c r="U453" s="1">
        <f t="shared" si="85"/>
        <v>0</v>
      </c>
      <c r="V453" s="1">
        <f t="shared" si="86"/>
        <v>2958465</v>
      </c>
      <c r="W453" s="1">
        <f t="shared" si="87"/>
        <v>0</v>
      </c>
      <c r="X453" s="1">
        <f t="shared" si="88"/>
        <v>0</v>
      </c>
      <c r="Y453" s="1">
        <f t="shared" si="89"/>
        <v>97200</v>
      </c>
      <c r="Z453" s="1">
        <f t="shared" si="90"/>
        <v>1</v>
      </c>
    </row>
    <row r="454" spans="1:26" ht="18" customHeight="1" x14ac:dyDescent="0.3">
      <c r="A454" s="2"/>
      <c r="B454" s="65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66"/>
      <c r="E454" s="66"/>
      <c r="F454" s="60"/>
      <c r="G454" s="67"/>
      <c r="H454" s="60"/>
      <c r="I454" s="68">
        <f t="shared" ca="1" si="78"/>
        <v>0</v>
      </c>
      <c r="J454" s="68">
        <f t="shared" ca="1" si="79"/>
        <v>0</v>
      </c>
      <c r="K454" s="68">
        <f t="shared" ca="1" si="80"/>
        <v>0</v>
      </c>
      <c r="L454" s="68">
        <f t="shared" ca="1" si="81"/>
        <v>0</v>
      </c>
      <c r="M454" s="69">
        <f t="shared" si="82"/>
        <v>0</v>
      </c>
      <c r="N454" s="65" t="str">
        <f t="shared" si="83"/>
        <v/>
      </c>
      <c r="O454" s="70" t="str">
        <f>IF(OR($C454="",$D454="",$F454=""),"",IF($F454="Aylık",EOMONTH($D454,0),($D454+MOD(SISTEM!$F$8-WEEKDAY($D454,2),7))))</f>
        <v/>
      </c>
      <c r="P454" s="61"/>
      <c r="Q454" s="2"/>
      <c r="R454" s="2"/>
      <c r="S454" s="1" t="str">
        <f>IF($B454="","",$B454&amp;"|"&amp;COUNTIFS($B$7:$B454,$B454))</f>
        <v/>
      </c>
      <c r="T454" s="1" t="str">
        <f t="shared" si="84"/>
        <v/>
      </c>
      <c r="U454" s="1">
        <f t="shared" si="85"/>
        <v>0</v>
      </c>
      <c r="V454" s="1">
        <f t="shared" si="86"/>
        <v>2958465</v>
      </c>
      <c r="W454" s="1">
        <f t="shared" si="87"/>
        <v>0</v>
      </c>
      <c r="X454" s="1">
        <f t="shared" si="88"/>
        <v>0</v>
      </c>
      <c r="Y454" s="1">
        <f t="shared" si="89"/>
        <v>97200</v>
      </c>
      <c r="Z454" s="1">
        <f t="shared" si="90"/>
        <v>1</v>
      </c>
    </row>
    <row r="455" spans="1:26" ht="18" customHeight="1" x14ac:dyDescent="0.3">
      <c r="A455" s="2"/>
      <c r="B455" s="65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66"/>
      <c r="E455" s="66"/>
      <c r="F455" s="60"/>
      <c r="G455" s="67"/>
      <c r="H455" s="60"/>
      <c r="I455" s="68">
        <f t="shared" ref="I455:I518" ca="1" si="91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68">
        <f t="shared" ref="J455:J518" ca="1" si="92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68">
        <f t="shared" ref="K455:K518" ca="1" si="93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68">
        <f t="shared" ref="L455:L518" ca="1" si="94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69">
        <f t="shared" ref="M455:M518" si="95">IF($G455&gt;0,$I455/$G455,0)</f>
        <v>0</v>
      </c>
      <c r="N455" s="65" t="str">
        <f t="shared" ref="N455:N518" si="96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70" t="str">
        <f>IF(OR($C455="",$D455="",$F455=""),"",IF($F455="Aylık",EOMONTH($D455,0),($D455+MOD(SISTEM!$F$8-WEEKDAY($D455,2),7))))</f>
        <v/>
      </c>
      <c r="P455" s="61"/>
      <c r="Q455" s="2"/>
      <c r="R455" s="2"/>
      <c r="S455" s="1" t="str">
        <f>IF($B455="","",$B455&amp;"|"&amp;COUNTIFS($B$7:$B455,$B455))</f>
        <v/>
      </c>
      <c r="T455" s="1" t="str">
        <f t="shared" ref="T455:T518" si="97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 t="shared" ref="U455:U518" si="98">IF($O455="",0,$O455)</f>
        <v>0</v>
      </c>
      <c r="V455" s="1">
        <f t="shared" ref="V455:V518" si="99">IF($E455="",2958465,$E455)</f>
        <v>2958465</v>
      </c>
      <c r="W455" s="1">
        <f t="shared" ref="W455:W518" si="100">IF($F455="Haftalık",1,IF($F455="Aylık",2,0))</f>
        <v>0</v>
      </c>
      <c r="X455" s="1">
        <f t="shared" ref="X455:X518" si="101">IF($U455=0,0,(YEAR($U455)-1900)*12+MONTH($U455))</f>
        <v>0</v>
      </c>
      <c r="Y455" s="1">
        <f t="shared" ref="Y455:Y518" si="102">(YEAR($V455)-1900)*12+MONTH($V455)</f>
        <v>97200</v>
      </c>
      <c r="Z455" s="1">
        <f t="shared" ref="Z455:Z518" si="103">IF($V455=EOMONTH($V455,0),1,0)</f>
        <v>1</v>
      </c>
    </row>
    <row r="456" spans="1:26" ht="18" customHeight="1" x14ac:dyDescent="0.3">
      <c r="A456" s="2"/>
      <c r="B456" s="65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66"/>
      <c r="E456" s="66"/>
      <c r="F456" s="60"/>
      <c r="G456" s="67"/>
      <c r="H456" s="60"/>
      <c r="I456" s="68">
        <f t="shared" ca="1" si="91"/>
        <v>0</v>
      </c>
      <c r="J456" s="68">
        <f t="shared" ca="1" si="92"/>
        <v>0</v>
      </c>
      <c r="K456" s="68">
        <f t="shared" ca="1" si="93"/>
        <v>0</v>
      </c>
      <c r="L456" s="68">
        <f t="shared" ca="1" si="94"/>
        <v>0</v>
      </c>
      <c r="M456" s="69">
        <f t="shared" si="95"/>
        <v>0</v>
      </c>
      <c r="N456" s="65" t="str">
        <f t="shared" si="96"/>
        <v/>
      </c>
      <c r="O456" s="70" t="str">
        <f>IF(OR($C456="",$D456="",$F456=""),"",IF($F456="Aylık",EOMONTH($D456,0),($D456+MOD(SISTEM!$F$8-WEEKDAY($D456,2),7))))</f>
        <v/>
      </c>
      <c r="P456" s="61"/>
      <c r="Q456" s="2"/>
      <c r="R456" s="2"/>
      <c r="S456" s="1" t="str">
        <f>IF($B456="","",$B456&amp;"|"&amp;COUNTIFS($B$7:$B456,$B456))</f>
        <v/>
      </c>
      <c r="T456" s="1" t="str">
        <f t="shared" si="97"/>
        <v/>
      </c>
      <c r="U456" s="1">
        <f t="shared" si="98"/>
        <v>0</v>
      </c>
      <c r="V456" s="1">
        <f t="shared" si="99"/>
        <v>2958465</v>
      </c>
      <c r="W456" s="1">
        <f t="shared" si="100"/>
        <v>0</v>
      </c>
      <c r="X456" s="1">
        <f t="shared" si="101"/>
        <v>0</v>
      </c>
      <c r="Y456" s="1">
        <f t="shared" si="102"/>
        <v>97200</v>
      </c>
      <c r="Z456" s="1">
        <f t="shared" si="103"/>
        <v>1</v>
      </c>
    </row>
    <row r="457" spans="1:26" ht="18" customHeight="1" x14ac:dyDescent="0.3">
      <c r="A457" s="2"/>
      <c r="B457" s="65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66"/>
      <c r="E457" s="66"/>
      <c r="F457" s="60"/>
      <c r="G457" s="67"/>
      <c r="H457" s="60"/>
      <c r="I457" s="68">
        <f t="shared" ca="1" si="91"/>
        <v>0</v>
      </c>
      <c r="J457" s="68">
        <f t="shared" ca="1" si="92"/>
        <v>0</v>
      </c>
      <c r="K457" s="68">
        <f t="shared" ca="1" si="93"/>
        <v>0</v>
      </c>
      <c r="L457" s="68">
        <f t="shared" ca="1" si="94"/>
        <v>0</v>
      </c>
      <c r="M457" s="69">
        <f t="shared" si="95"/>
        <v>0</v>
      </c>
      <c r="N457" s="65" t="str">
        <f t="shared" si="96"/>
        <v/>
      </c>
      <c r="O457" s="70" t="str">
        <f>IF(OR($C457="",$D457="",$F457=""),"",IF($F457="Aylık",EOMONTH($D457,0),($D457+MOD(SISTEM!$F$8-WEEKDAY($D457,2),7))))</f>
        <v/>
      </c>
      <c r="P457" s="61"/>
      <c r="Q457" s="2"/>
      <c r="R457" s="2"/>
      <c r="S457" s="1" t="str">
        <f>IF($B457="","",$B457&amp;"|"&amp;COUNTIFS($B$7:$B457,$B457))</f>
        <v/>
      </c>
      <c r="T457" s="1" t="str">
        <f t="shared" si="97"/>
        <v/>
      </c>
      <c r="U457" s="1">
        <f t="shared" si="98"/>
        <v>0</v>
      </c>
      <c r="V457" s="1">
        <f t="shared" si="99"/>
        <v>2958465</v>
      </c>
      <c r="W457" s="1">
        <f t="shared" si="100"/>
        <v>0</v>
      </c>
      <c r="X457" s="1">
        <f t="shared" si="101"/>
        <v>0</v>
      </c>
      <c r="Y457" s="1">
        <f t="shared" si="102"/>
        <v>97200</v>
      </c>
      <c r="Z457" s="1">
        <f t="shared" si="103"/>
        <v>1</v>
      </c>
    </row>
    <row r="458" spans="1:26" ht="18" customHeight="1" x14ac:dyDescent="0.3">
      <c r="A458" s="2"/>
      <c r="B458" s="65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66"/>
      <c r="E458" s="66"/>
      <c r="F458" s="60"/>
      <c r="G458" s="67"/>
      <c r="H458" s="60"/>
      <c r="I458" s="68">
        <f t="shared" ca="1" si="91"/>
        <v>0</v>
      </c>
      <c r="J458" s="68">
        <f t="shared" ca="1" si="92"/>
        <v>0</v>
      </c>
      <c r="K458" s="68">
        <f t="shared" ca="1" si="93"/>
        <v>0</v>
      </c>
      <c r="L458" s="68">
        <f t="shared" ca="1" si="94"/>
        <v>0</v>
      </c>
      <c r="M458" s="69">
        <f t="shared" si="95"/>
        <v>0</v>
      </c>
      <c r="N458" s="65" t="str">
        <f t="shared" si="96"/>
        <v/>
      </c>
      <c r="O458" s="70" t="str">
        <f>IF(OR($C458="",$D458="",$F458=""),"",IF($F458="Aylık",EOMONTH($D458,0),($D458+MOD(SISTEM!$F$8-WEEKDAY($D458,2),7))))</f>
        <v/>
      </c>
      <c r="P458" s="61"/>
      <c r="Q458" s="2"/>
      <c r="R458" s="2"/>
      <c r="S458" s="1" t="str">
        <f>IF($B458="","",$B458&amp;"|"&amp;COUNTIFS($B$7:$B458,$B458))</f>
        <v/>
      </c>
      <c r="T458" s="1" t="str">
        <f t="shared" si="97"/>
        <v/>
      </c>
      <c r="U458" s="1">
        <f t="shared" si="98"/>
        <v>0</v>
      </c>
      <c r="V458" s="1">
        <f t="shared" si="99"/>
        <v>2958465</v>
      </c>
      <c r="W458" s="1">
        <f t="shared" si="100"/>
        <v>0</v>
      </c>
      <c r="X458" s="1">
        <f t="shared" si="101"/>
        <v>0</v>
      </c>
      <c r="Y458" s="1">
        <f t="shared" si="102"/>
        <v>97200</v>
      </c>
      <c r="Z458" s="1">
        <f t="shared" si="103"/>
        <v>1</v>
      </c>
    </row>
    <row r="459" spans="1:26" ht="18" customHeight="1" x14ac:dyDescent="0.3">
      <c r="A459" s="2"/>
      <c r="B459" s="65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66"/>
      <c r="E459" s="66"/>
      <c r="F459" s="60"/>
      <c r="G459" s="67"/>
      <c r="H459" s="60"/>
      <c r="I459" s="68">
        <f t="shared" ca="1" si="91"/>
        <v>0</v>
      </c>
      <c r="J459" s="68">
        <f t="shared" ca="1" si="92"/>
        <v>0</v>
      </c>
      <c r="K459" s="68">
        <f t="shared" ca="1" si="93"/>
        <v>0</v>
      </c>
      <c r="L459" s="68">
        <f t="shared" ca="1" si="94"/>
        <v>0</v>
      </c>
      <c r="M459" s="69">
        <f t="shared" si="95"/>
        <v>0</v>
      </c>
      <c r="N459" s="65" t="str">
        <f t="shared" si="96"/>
        <v/>
      </c>
      <c r="O459" s="70" t="str">
        <f>IF(OR($C459="",$D459="",$F459=""),"",IF($F459="Aylık",EOMONTH($D459,0),($D459+MOD(SISTEM!$F$8-WEEKDAY($D459,2),7))))</f>
        <v/>
      </c>
      <c r="P459" s="61"/>
      <c r="Q459" s="2"/>
      <c r="R459" s="2"/>
      <c r="S459" s="1" t="str">
        <f>IF($B459="","",$B459&amp;"|"&amp;COUNTIFS($B$7:$B459,$B459))</f>
        <v/>
      </c>
      <c r="T459" s="1" t="str">
        <f t="shared" si="97"/>
        <v/>
      </c>
      <c r="U459" s="1">
        <f t="shared" si="98"/>
        <v>0</v>
      </c>
      <c r="V459" s="1">
        <f t="shared" si="99"/>
        <v>2958465</v>
      </c>
      <c r="W459" s="1">
        <f t="shared" si="100"/>
        <v>0</v>
      </c>
      <c r="X459" s="1">
        <f t="shared" si="101"/>
        <v>0</v>
      </c>
      <c r="Y459" s="1">
        <f t="shared" si="102"/>
        <v>97200</v>
      </c>
      <c r="Z459" s="1">
        <f t="shared" si="103"/>
        <v>1</v>
      </c>
    </row>
    <row r="460" spans="1:26" ht="18" customHeight="1" x14ac:dyDescent="0.3">
      <c r="A460" s="2"/>
      <c r="B460" s="65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66"/>
      <c r="E460" s="66"/>
      <c r="F460" s="60"/>
      <c r="G460" s="67"/>
      <c r="H460" s="60"/>
      <c r="I460" s="68">
        <f t="shared" ca="1" si="91"/>
        <v>0</v>
      </c>
      <c r="J460" s="68">
        <f t="shared" ca="1" si="92"/>
        <v>0</v>
      </c>
      <c r="K460" s="68">
        <f t="shared" ca="1" si="93"/>
        <v>0</v>
      </c>
      <c r="L460" s="68">
        <f t="shared" ca="1" si="94"/>
        <v>0</v>
      </c>
      <c r="M460" s="69">
        <f t="shared" si="95"/>
        <v>0</v>
      </c>
      <c r="N460" s="65" t="str">
        <f t="shared" si="96"/>
        <v/>
      </c>
      <c r="O460" s="70" t="str">
        <f>IF(OR($C460="",$D460="",$F460=""),"",IF($F460="Aylık",EOMONTH($D460,0),($D460+MOD(SISTEM!$F$8-WEEKDAY($D460,2),7))))</f>
        <v/>
      </c>
      <c r="P460" s="61"/>
      <c r="Q460" s="2"/>
      <c r="R460" s="2"/>
      <c r="S460" s="1" t="str">
        <f>IF($B460="","",$B460&amp;"|"&amp;COUNTIFS($B$7:$B460,$B460))</f>
        <v/>
      </c>
      <c r="T460" s="1" t="str">
        <f t="shared" si="97"/>
        <v/>
      </c>
      <c r="U460" s="1">
        <f t="shared" si="98"/>
        <v>0</v>
      </c>
      <c r="V460" s="1">
        <f t="shared" si="99"/>
        <v>2958465</v>
      </c>
      <c r="W460" s="1">
        <f t="shared" si="100"/>
        <v>0</v>
      </c>
      <c r="X460" s="1">
        <f t="shared" si="101"/>
        <v>0</v>
      </c>
      <c r="Y460" s="1">
        <f t="shared" si="102"/>
        <v>97200</v>
      </c>
      <c r="Z460" s="1">
        <f t="shared" si="103"/>
        <v>1</v>
      </c>
    </row>
    <row r="461" spans="1:26" ht="18" customHeight="1" x14ac:dyDescent="0.3">
      <c r="A461" s="2"/>
      <c r="B461" s="65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66"/>
      <c r="E461" s="66"/>
      <c r="F461" s="60"/>
      <c r="G461" s="67"/>
      <c r="H461" s="60"/>
      <c r="I461" s="68">
        <f t="shared" ca="1" si="91"/>
        <v>0</v>
      </c>
      <c r="J461" s="68">
        <f t="shared" ca="1" si="92"/>
        <v>0</v>
      </c>
      <c r="K461" s="68">
        <f t="shared" ca="1" si="93"/>
        <v>0</v>
      </c>
      <c r="L461" s="68">
        <f t="shared" ca="1" si="94"/>
        <v>0</v>
      </c>
      <c r="M461" s="69">
        <f t="shared" si="95"/>
        <v>0</v>
      </c>
      <c r="N461" s="65" t="str">
        <f t="shared" si="96"/>
        <v/>
      </c>
      <c r="O461" s="70" t="str">
        <f>IF(OR($C461="",$D461="",$F461=""),"",IF($F461="Aylık",EOMONTH($D461,0),($D461+MOD(SISTEM!$F$8-WEEKDAY($D461,2),7))))</f>
        <v/>
      </c>
      <c r="P461" s="61"/>
      <c r="Q461" s="2"/>
      <c r="R461" s="2"/>
      <c r="S461" s="1" t="str">
        <f>IF($B461="","",$B461&amp;"|"&amp;COUNTIFS($B$7:$B461,$B461))</f>
        <v/>
      </c>
      <c r="T461" s="1" t="str">
        <f t="shared" si="97"/>
        <v/>
      </c>
      <c r="U461" s="1">
        <f t="shared" si="98"/>
        <v>0</v>
      </c>
      <c r="V461" s="1">
        <f t="shared" si="99"/>
        <v>2958465</v>
      </c>
      <c r="W461" s="1">
        <f t="shared" si="100"/>
        <v>0</v>
      </c>
      <c r="X461" s="1">
        <f t="shared" si="101"/>
        <v>0</v>
      </c>
      <c r="Y461" s="1">
        <f t="shared" si="102"/>
        <v>97200</v>
      </c>
      <c r="Z461" s="1">
        <f t="shared" si="103"/>
        <v>1</v>
      </c>
    </row>
    <row r="462" spans="1:26" ht="18" customHeight="1" x14ac:dyDescent="0.3">
      <c r="A462" s="2"/>
      <c r="B462" s="65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66"/>
      <c r="E462" s="66"/>
      <c r="F462" s="60"/>
      <c r="G462" s="67"/>
      <c r="H462" s="60"/>
      <c r="I462" s="68">
        <f t="shared" ca="1" si="91"/>
        <v>0</v>
      </c>
      <c r="J462" s="68">
        <f t="shared" ca="1" si="92"/>
        <v>0</v>
      </c>
      <c r="K462" s="68">
        <f t="shared" ca="1" si="93"/>
        <v>0</v>
      </c>
      <c r="L462" s="68">
        <f t="shared" ca="1" si="94"/>
        <v>0</v>
      </c>
      <c r="M462" s="69">
        <f t="shared" si="95"/>
        <v>0</v>
      </c>
      <c r="N462" s="65" t="str">
        <f t="shared" si="96"/>
        <v/>
      </c>
      <c r="O462" s="70" t="str">
        <f>IF(OR($C462="",$D462="",$F462=""),"",IF($F462="Aylık",EOMONTH($D462,0),($D462+MOD(SISTEM!$F$8-WEEKDAY($D462,2),7))))</f>
        <v/>
      </c>
      <c r="P462" s="61"/>
      <c r="Q462" s="2"/>
      <c r="R462" s="2"/>
      <c r="S462" s="1" t="str">
        <f>IF($B462="","",$B462&amp;"|"&amp;COUNTIFS($B$7:$B462,$B462))</f>
        <v/>
      </c>
      <c r="T462" s="1" t="str">
        <f t="shared" si="97"/>
        <v/>
      </c>
      <c r="U462" s="1">
        <f t="shared" si="98"/>
        <v>0</v>
      </c>
      <c r="V462" s="1">
        <f t="shared" si="99"/>
        <v>2958465</v>
      </c>
      <c r="W462" s="1">
        <f t="shared" si="100"/>
        <v>0</v>
      </c>
      <c r="X462" s="1">
        <f t="shared" si="101"/>
        <v>0</v>
      </c>
      <c r="Y462" s="1">
        <f t="shared" si="102"/>
        <v>97200</v>
      </c>
      <c r="Z462" s="1">
        <f t="shared" si="103"/>
        <v>1</v>
      </c>
    </row>
    <row r="463" spans="1:26" ht="18" customHeight="1" x14ac:dyDescent="0.3">
      <c r="A463" s="2"/>
      <c r="B463" s="65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66"/>
      <c r="E463" s="66"/>
      <c r="F463" s="60"/>
      <c r="G463" s="67"/>
      <c r="H463" s="60"/>
      <c r="I463" s="68">
        <f t="shared" ca="1" si="91"/>
        <v>0</v>
      </c>
      <c r="J463" s="68">
        <f t="shared" ca="1" si="92"/>
        <v>0</v>
      </c>
      <c r="K463" s="68">
        <f t="shared" ca="1" si="93"/>
        <v>0</v>
      </c>
      <c r="L463" s="68">
        <f t="shared" ca="1" si="94"/>
        <v>0</v>
      </c>
      <c r="M463" s="69">
        <f t="shared" si="95"/>
        <v>0</v>
      </c>
      <c r="N463" s="65" t="str">
        <f t="shared" si="96"/>
        <v/>
      </c>
      <c r="O463" s="70" t="str">
        <f>IF(OR($C463="",$D463="",$F463=""),"",IF($F463="Aylık",EOMONTH($D463,0),($D463+MOD(SISTEM!$F$8-WEEKDAY($D463,2),7))))</f>
        <v/>
      </c>
      <c r="P463" s="61"/>
      <c r="Q463" s="2"/>
      <c r="R463" s="2"/>
      <c r="S463" s="1" t="str">
        <f>IF($B463="","",$B463&amp;"|"&amp;COUNTIFS($B$7:$B463,$B463))</f>
        <v/>
      </c>
      <c r="T463" s="1" t="str">
        <f t="shared" si="97"/>
        <v/>
      </c>
      <c r="U463" s="1">
        <f t="shared" si="98"/>
        <v>0</v>
      </c>
      <c r="V463" s="1">
        <f t="shared" si="99"/>
        <v>2958465</v>
      </c>
      <c r="W463" s="1">
        <f t="shared" si="100"/>
        <v>0</v>
      </c>
      <c r="X463" s="1">
        <f t="shared" si="101"/>
        <v>0</v>
      </c>
      <c r="Y463" s="1">
        <f t="shared" si="102"/>
        <v>97200</v>
      </c>
      <c r="Z463" s="1">
        <f t="shared" si="103"/>
        <v>1</v>
      </c>
    </row>
    <row r="464" spans="1:26" ht="18" customHeight="1" x14ac:dyDescent="0.3">
      <c r="A464" s="2"/>
      <c r="B464" s="65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66"/>
      <c r="E464" s="66"/>
      <c r="F464" s="60"/>
      <c r="G464" s="67"/>
      <c r="H464" s="60"/>
      <c r="I464" s="68">
        <f t="shared" ca="1" si="91"/>
        <v>0</v>
      </c>
      <c r="J464" s="68">
        <f t="shared" ca="1" si="92"/>
        <v>0</v>
      </c>
      <c r="K464" s="68">
        <f t="shared" ca="1" si="93"/>
        <v>0</v>
      </c>
      <c r="L464" s="68">
        <f t="shared" ca="1" si="94"/>
        <v>0</v>
      </c>
      <c r="M464" s="69">
        <f t="shared" si="95"/>
        <v>0</v>
      </c>
      <c r="N464" s="65" t="str">
        <f t="shared" si="96"/>
        <v/>
      </c>
      <c r="O464" s="70" t="str">
        <f>IF(OR($C464="",$D464="",$F464=""),"",IF($F464="Aylık",EOMONTH($D464,0),($D464+MOD(SISTEM!$F$8-WEEKDAY($D464,2),7))))</f>
        <v/>
      </c>
      <c r="P464" s="61"/>
      <c r="Q464" s="2"/>
      <c r="R464" s="2"/>
      <c r="S464" s="1" t="str">
        <f>IF($B464="","",$B464&amp;"|"&amp;COUNTIFS($B$7:$B464,$B464))</f>
        <v/>
      </c>
      <c r="T464" s="1" t="str">
        <f t="shared" si="97"/>
        <v/>
      </c>
      <c r="U464" s="1">
        <f t="shared" si="98"/>
        <v>0</v>
      </c>
      <c r="V464" s="1">
        <f t="shared" si="99"/>
        <v>2958465</v>
      </c>
      <c r="W464" s="1">
        <f t="shared" si="100"/>
        <v>0</v>
      </c>
      <c r="X464" s="1">
        <f t="shared" si="101"/>
        <v>0</v>
      </c>
      <c r="Y464" s="1">
        <f t="shared" si="102"/>
        <v>97200</v>
      </c>
      <c r="Z464" s="1">
        <f t="shared" si="103"/>
        <v>1</v>
      </c>
    </row>
    <row r="465" spans="1:26" ht="18" customHeight="1" x14ac:dyDescent="0.3">
      <c r="A465" s="2"/>
      <c r="B465" s="65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66"/>
      <c r="E465" s="66"/>
      <c r="F465" s="60"/>
      <c r="G465" s="67"/>
      <c r="H465" s="60"/>
      <c r="I465" s="68">
        <f t="shared" ca="1" si="91"/>
        <v>0</v>
      </c>
      <c r="J465" s="68">
        <f t="shared" ca="1" si="92"/>
        <v>0</v>
      </c>
      <c r="K465" s="68">
        <f t="shared" ca="1" si="93"/>
        <v>0</v>
      </c>
      <c r="L465" s="68">
        <f t="shared" ca="1" si="94"/>
        <v>0</v>
      </c>
      <c r="M465" s="69">
        <f t="shared" si="95"/>
        <v>0</v>
      </c>
      <c r="N465" s="65" t="str">
        <f t="shared" si="96"/>
        <v/>
      </c>
      <c r="O465" s="70" t="str">
        <f>IF(OR($C465="",$D465="",$F465=""),"",IF($F465="Aylık",EOMONTH($D465,0),($D465+MOD(SISTEM!$F$8-WEEKDAY($D465,2),7))))</f>
        <v/>
      </c>
      <c r="P465" s="61"/>
      <c r="Q465" s="2"/>
      <c r="R465" s="2"/>
      <c r="S465" s="1" t="str">
        <f>IF($B465="","",$B465&amp;"|"&amp;COUNTIFS($B$7:$B465,$B465))</f>
        <v/>
      </c>
      <c r="T465" s="1" t="str">
        <f t="shared" si="97"/>
        <v/>
      </c>
      <c r="U465" s="1">
        <f t="shared" si="98"/>
        <v>0</v>
      </c>
      <c r="V465" s="1">
        <f t="shared" si="99"/>
        <v>2958465</v>
      </c>
      <c r="W465" s="1">
        <f t="shared" si="100"/>
        <v>0</v>
      </c>
      <c r="X465" s="1">
        <f t="shared" si="101"/>
        <v>0</v>
      </c>
      <c r="Y465" s="1">
        <f t="shared" si="102"/>
        <v>97200</v>
      </c>
      <c r="Z465" s="1">
        <f t="shared" si="103"/>
        <v>1</v>
      </c>
    </row>
    <row r="466" spans="1:26" ht="18" customHeight="1" x14ac:dyDescent="0.3">
      <c r="A466" s="2"/>
      <c r="B466" s="65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66"/>
      <c r="E466" s="66"/>
      <c r="F466" s="60"/>
      <c r="G466" s="67"/>
      <c r="H466" s="60"/>
      <c r="I466" s="68">
        <f t="shared" ca="1" si="91"/>
        <v>0</v>
      </c>
      <c r="J466" s="68">
        <f t="shared" ca="1" si="92"/>
        <v>0</v>
      </c>
      <c r="K466" s="68">
        <f t="shared" ca="1" si="93"/>
        <v>0</v>
      </c>
      <c r="L466" s="68">
        <f t="shared" ca="1" si="94"/>
        <v>0</v>
      </c>
      <c r="M466" s="69">
        <f t="shared" si="95"/>
        <v>0</v>
      </c>
      <c r="N466" s="65" t="str">
        <f t="shared" si="96"/>
        <v/>
      </c>
      <c r="O466" s="70" t="str">
        <f>IF(OR($C466="",$D466="",$F466=""),"",IF($F466="Aylık",EOMONTH($D466,0),($D466+MOD(SISTEM!$F$8-WEEKDAY($D466,2),7))))</f>
        <v/>
      </c>
      <c r="P466" s="61"/>
      <c r="Q466" s="2"/>
      <c r="R466" s="2"/>
      <c r="S466" s="1" t="str">
        <f>IF($B466="","",$B466&amp;"|"&amp;COUNTIFS($B$7:$B466,$B466))</f>
        <v/>
      </c>
      <c r="T466" s="1" t="str">
        <f t="shared" si="97"/>
        <v/>
      </c>
      <c r="U466" s="1">
        <f t="shared" si="98"/>
        <v>0</v>
      </c>
      <c r="V466" s="1">
        <f t="shared" si="99"/>
        <v>2958465</v>
      </c>
      <c r="W466" s="1">
        <f t="shared" si="100"/>
        <v>0</v>
      </c>
      <c r="X466" s="1">
        <f t="shared" si="101"/>
        <v>0</v>
      </c>
      <c r="Y466" s="1">
        <f t="shared" si="102"/>
        <v>97200</v>
      </c>
      <c r="Z466" s="1">
        <f t="shared" si="103"/>
        <v>1</v>
      </c>
    </row>
    <row r="467" spans="1:26" ht="18" customHeight="1" x14ac:dyDescent="0.3">
      <c r="A467" s="2"/>
      <c r="B467" s="65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66"/>
      <c r="E467" s="66"/>
      <c r="F467" s="60"/>
      <c r="G467" s="67"/>
      <c r="H467" s="60"/>
      <c r="I467" s="68">
        <f t="shared" ca="1" si="91"/>
        <v>0</v>
      </c>
      <c r="J467" s="68">
        <f t="shared" ca="1" si="92"/>
        <v>0</v>
      </c>
      <c r="K467" s="68">
        <f t="shared" ca="1" si="93"/>
        <v>0</v>
      </c>
      <c r="L467" s="68">
        <f t="shared" ca="1" si="94"/>
        <v>0</v>
      </c>
      <c r="M467" s="69">
        <f t="shared" si="95"/>
        <v>0</v>
      </c>
      <c r="N467" s="65" t="str">
        <f t="shared" si="96"/>
        <v/>
      </c>
      <c r="O467" s="70" t="str">
        <f>IF(OR($C467="",$D467="",$F467=""),"",IF($F467="Aylık",EOMONTH($D467,0),($D467+MOD(SISTEM!$F$8-WEEKDAY($D467,2),7))))</f>
        <v/>
      </c>
      <c r="P467" s="61"/>
      <c r="Q467" s="2"/>
      <c r="R467" s="2"/>
      <c r="S467" s="1" t="str">
        <f>IF($B467="","",$B467&amp;"|"&amp;COUNTIFS($B$7:$B467,$B467))</f>
        <v/>
      </c>
      <c r="T467" s="1" t="str">
        <f t="shared" si="97"/>
        <v/>
      </c>
      <c r="U467" s="1">
        <f t="shared" si="98"/>
        <v>0</v>
      </c>
      <c r="V467" s="1">
        <f t="shared" si="99"/>
        <v>2958465</v>
      </c>
      <c r="W467" s="1">
        <f t="shared" si="100"/>
        <v>0</v>
      </c>
      <c r="X467" s="1">
        <f t="shared" si="101"/>
        <v>0</v>
      </c>
      <c r="Y467" s="1">
        <f t="shared" si="102"/>
        <v>97200</v>
      </c>
      <c r="Z467" s="1">
        <f t="shared" si="103"/>
        <v>1</v>
      </c>
    </row>
    <row r="468" spans="1:26" ht="18" customHeight="1" x14ac:dyDescent="0.3">
      <c r="A468" s="2"/>
      <c r="B468" s="65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66"/>
      <c r="E468" s="66"/>
      <c r="F468" s="60"/>
      <c r="G468" s="67"/>
      <c r="H468" s="60"/>
      <c r="I468" s="68">
        <f t="shared" ca="1" si="91"/>
        <v>0</v>
      </c>
      <c r="J468" s="68">
        <f t="shared" ca="1" si="92"/>
        <v>0</v>
      </c>
      <c r="K468" s="68">
        <f t="shared" ca="1" si="93"/>
        <v>0</v>
      </c>
      <c r="L468" s="68">
        <f t="shared" ca="1" si="94"/>
        <v>0</v>
      </c>
      <c r="M468" s="69">
        <f t="shared" si="95"/>
        <v>0</v>
      </c>
      <c r="N468" s="65" t="str">
        <f t="shared" si="96"/>
        <v/>
      </c>
      <c r="O468" s="70" t="str">
        <f>IF(OR($C468="",$D468="",$F468=""),"",IF($F468="Aylık",EOMONTH($D468,0),($D468+MOD(SISTEM!$F$8-WEEKDAY($D468,2),7))))</f>
        <v/>
      </c>
      <c r="P468" s="61"/>
      <c r="Q468" s="2"/>
      <c r="R468" s="2"/>
      <c r="S468" s="1" t="str">
        <f>IF($B468="","",$B468&amp;"|"&amp;COUNTIFS($B$7:$B468,$B468))</f>
        <v/>
      </c>
      <c r="T468" s="1" t="str">
        <f t="shared" si="97"/>
        <v/>
      </c>
      <c r="U468" s="1">
        <f t="shared" si="98"/>
        <v>0</v>
      </c>
      <c r="V468" s="1">
        <f t="shared" si="99"/>
        <v>2958465</v>
      </c>
      <c r="W468" s="1">
        <f t="shared" si="100"/>
        <v>0</v>
      </c>
      <c r="X468" s="1">
        <f t="shared" si="101"/>
        <v>0</v>
      </c>
      <c r="Y468" s="1">
        <f t="shared" si="102"/>
        <v>97200</v>
      </c>
      <c r="Z468" s="1">
        <f t="shared" si="103"/>
        <v>1</v>
      </c>
    </row>
    <row r="469" spans="1:26" ht="18" customHeight="1" x14ac:dyDescent="0.3">
      <c r="A469" s="2"/>
      <c r="B469" s="65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66"/>
      <c r="E469" s="66"/>
      <c r="F469" s="60"/>
      <c r="G469" s="67"/>
      <c r="H469" s="60"/>
      <c r="I469" s="68">
        <f t="shared" ca="1" si="91"/>
        <v>0</v>
      </c>
      <c r="J469" s="68">
        <f t="shared" ca="1" si="92"/>
        <v>0</v>
      </c>
      <c r="K469" s="68">
        <f t="shared" ca="1" si="93"/>
        <v>0</v>
      </c>
      <c r="L469" s="68">
        <f t="shared" ca="1" si="94"/>
        <v>0</v>
      </c>
      <c r="M469" s="69">
        <f t="shared" si="95"/>
        <v>0</v>
      </c>
      <c r="N469" s="65" t="str">
        <f t="shared" si="96"/>
        <v/>
      </c>
      <c r="O469" s="70" t="str">
        <f>IF(OR($C469="",$D469="",$F469=""),"",IF($F469="Aylık",EOMONTH($D469,0),($D469+MOD(SISTEM!$F$8-WEEKDAY($D469,2),7))))</f>
        <v/>
      </c>
      <c r="P469" s="61"/>
      <c r="Q469" s="2"/>
      <c r="R469" s="2"/>
      <c r="S469" s="1" t="str">
        <f>IF($B469="","",$B469&amp;"|"&amp;COUNTIFS($B$7:$B469,$B469))</f>
        <v/>
      </c>
      <c r="T469" s="1" t="str">
        <f t="shared" si="97"/>
        <v/>
      </c>
      <c r="U469" s="1">
        <f t="shared" si="98"/>
        <v>0</v>
      </c>
      <c r="V469" s="1">
        <f t="shared" si="99"/>
        <v>2958465</v>
      </c>
      <c r="W469" s="1">
        <f t="shared" si="100"/>
        <v>0</v>
      </c>
      <c r="X469" s="1">
        <f t="shared" si="101"/>
        <v>0</v>
      </c>
      <c r="Y469" s="1">
        <f t="shared" si="102"/>
        <v>97200</v>
      </c>
      <c r="Z469" s="1">
        <f t="shared" si="103"/>
        <v>1</v>
      </c>
    </row>
    <row r="470" spans="1:26" ht="18" customHeight="1" x14ac:dyDescent="0.3">
      <c r="A470" s="2"/>
      <c r="B470" s="65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66"/>
      <c r="E470" s="66"/>
      <c r="F470" s="60"/>
      <c r="G470" s="67"/>
      <c r="H470" s="60"/>
      <c r="I470" s="68">
        <f t="shared" ca="1" si="91"/>
        <v>0</v>
      </c>
      <c r="J470" s="68">
        <f t="shared" ca="1" si="92"/>
        <v>0</v>
      </c>
      <c r="K470" s="68">
        <f t="shared" ca="1" si="93"/>
        <v>0</v>
      </c>
      <c r="L470" s="68">
        <f t="shared" ca="1" si="94"/>
        <v>0</v>
      </c>
      <c r="M470" s="69">
        <f t="shared" si="95"/>
        <v>0</v>
      </c>
      <c r="N470" s="65" t="str">
        <f t="shared" si="96"/>
        <v/>
      </c>
      <c r="O470" s="70" t="str">
        <f>IF(OR($C470="",$D470="",$F470=""),"",IF($F470="Aylık",EOMONTH($D470,0),($D470+MOD(SISTEM!$F$8-WEEKDAY($D470,2),7))))</f>
        <v/>
      </c>
      <c r="P470" s="61"/>
      <c r="Q470" s="2"/>
      <c r="R470" s="2"/>
      <c r="S470" s="1" t="str">
        <f>IF($B470="","",$B470&amp;"|"&amp;COUNTIFS($B$7:$B470,$B470))</f>
        <v/>
      </c>
      <c r="T470" s="1" t="str">
        <f t="shared" si="97"/>
        <v/>
      </c>
      <c r="U470" s="1">
        <f t="shared" si="98"/>
        <v>0</v>
      </c>
      <c r="V470" s="1">
        <f t="shared" si="99"/>
        <v>2958465</v>
      </c>
      <c r="W470" s="1">
        <f t="shared" si="100"/>
        <v>0</v>
      </c>
      <c r="X470" s="1">
        <f t="shared" si="101"/>
        <v>0</v>
      </c>
      <c r="Y470" s="1">
        <f t="shared" si="102"/>
        <v>97200</v>
      </c>
      <c r="Z470" s="1">
        <f t="shared" si="103"/>
        <v>1</v>
      </c>
    </row>
    <row r="471" spans="1:26" ht="18" customHeight="1" x14ac:dyDescent="0.3">
      <c r="A471" s="2"/>
      <c r="B471" s="65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66"/>
      <c r="E471" s="66"/>
      <c r="F471" s="60"/>
      <c r="G471" s="67"/>
      <c r="H471" s="60"/>
      <c r="I471" s="68">
        <f t="shared" ca="1" si="91"/>
        <v>0</v>
      </c>
      <c r="J471" s="68">
        <f t="shared" ca="1" si="92"/>
        <v>0</v>
      </c>
      <c r="K471" s="68">
        <f t="shared" ca="1" si="93"/>
        <v>0</v>
      </c>
      <c r="L471" s="68">
        <f t="shared" ca="1" si="94"/>
        <v>0</v>
      </c>
      <c r="M471" s="69">
        <f t="shared" si="95"/>
        <v>0</v>
      </c>
      <c r="N471" s="65" t="str">
        <f t="shared" si="96"/>
        <v/>
      </c>
      <c r="O471" s="70" t="str">
        <f>IF(OR($C471="",$D471="",$F471=""),"",IF($F471="Aylık",EOMONTH($D471,0),($D471+MOD(SISTEM!$F$8-WEEKDAY($D471,2),7))))</f>
        <v/>
      </c>
      <c r="P471" s="61"/>
      <c r="Q471" s="2"/>
      <c r="R471" s="2"/>
      <c r="S471" s="1" t="str">
        <f>IF($B471="","",$B471&amp;"|"&amp;COUNTIFS($B$7:$B471,$B471))</f>
        <v/>
      </c>
      <c r="T471" s="1" t="str">
        <f t="shared" si="97"/>
        <v/>
      </c>
      <c r="U471" s="1">
        <f t="shared" si="98"/>
        <v>0</v>
      </c>
      <c r="V471" s="1">
        <f t="shared" si="99"/>
        <v>2958465</v>
      </c>
      <c r="W471" s="1">
        <f t="shared" si="100"/>
        <v>0</v>
      </c>
      <c r="X471" s="1">
        <f t="shared" si="101"/>
        <v>0</v>
      </c>
      <c r="Y471" s="1">
        <f t="shared" si="102"/>
        <v>97200</v>
      </c>
      <c r="Z471" s="1">
        <f t="shared" si="103"/>
        <v>1</v>
      </c>
    </row>
    <row r="472" spans="1:26" ht="18" customHeight="1" x14ac:dyDescent="0.3">
      <c r="A472" s="2"/>
      <c r="B472" s="65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66"/>
      <c r="E472" s="66"/>
      <c r="F472" s="60"/>
      <c r="G472" s="67"/>
      <c r="H472" s="60"/>
      <c r="I472" s="68">
        <f t="shared" ca="1" si="91"/>
        <v>0</v>
      </c>
      <c r="J472" s="68">
        <f t="shared" ca="1" si="92"/>
        <v>0</v>
      </c>
      <c r="K472" s="68">
        <f t="shared" ca="1" si="93"/>
        <v>0</v>
      </c>
      <c r="L472" s="68">
        <f t="shared" ca="1" si="94"/>
        <v>0</v>
      </c>
      <c r="M472" s="69">
        <f t="shared" si="95"/>
        <v>0</v>
      </c>
      <c r="N472" s="65" t="str">
        <f t="shared" si="96"/>
        <v/>
      </c>
      <c r="O472" s="70" t="str">
        <f>IF(OR($C472="",$D472="",$F472=""),"",IF($F472="Aylık",EOMONTH($D472,0),($D472+MOD(SISTEM!$F$8-WEEKDAY($D472,2),7))))</f>
        <v/>
      </c>
      <c r="P472" s="61"/>
      <c r="Q472" s="2"/>
      <c r="R472" s="2"/>
      <c r="S472" s="1" t="str">
        <f>IF($B472="","",$B472&amp;"|"&amp;COUNTIFS($B$7:$B472,$B472))</f>
        <v/>
      </c>
      <c r="T472" s="1" t="str">
        <f t="shared" si="97"/>
        <v/>
      </c>
      <c r="U472" s="1">
        <f t="shared" si="98"/>
        <v>0</v>
      </c>
      <c r="V472" s="1">
        <f t="shared" si="99"/>
        <v>2958465</v>
      </c>
      <c r="W472" s="1">
        <f t="shared" si="100"/>
        <v>0</v>
      </c>
      <c r="X472" s="1">
        <f t="shared" si="101"/>
        <v>0</v>
      </c>
      <c r="Y472" s="1">
        <f t="shared" si="102"/>
        <v>97200</v>
      </c>
      <c r="Z472" s="1">
        <f t="shared" si="103"/>
        <v>1</v>
      </c>
    </row>
    <row r="473" spans="1:26" ht="18" customHeight="1" x14ac:dyDescent="0.3">
      <c r="A473" s="2"/>
      <c r="B473" s="65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66"/>
      <c r="E473" s="66"/>
      <c r="F473" s="60"/>
      <c r="G473" s="67"/>
      <c r="H473" s="60"/>
      <c r="I473" s="68">
        <f t="shared" ca="1" si="91"/>
        <v>0</v>
      </c>
      <c r="J473" s="68">
        <f t="shared" ca="1" si="92"/>
        <v>0</v>
      </c>
      <c r="K473" s="68">
        <f t="shared" ca="1" si="93"/>
        <v>0</v>
      </c>
      <c r="L473" s="68">
        <f t="shared" ca="1" si="94"/>
        <v>0</v>
      </c>
      <c r="M473" s="69">
        <f t="shared" si="95"/>
        <v>0</v>
      </c>
      <c r="N473" s="65" t="str">
        <f t="shared" si="96"/>
        <v/>
      </c>
      <c r="O473" s="70" t="str">
        <f>IF(OR($C473="",$D473="",$F473=""),"",IF($F473="Aylık",EOMONTH($D473,0),($D473+MOD(SISTEM!$F$8-WEEKDAY($D473,2),7))))</f>
        <v/>
      </c>
      <c r="P473" s="61"/>
      <c r="Q473" s="2"/>
      <c r="R473" s="2"/>
      <c r="S473" s="1" t="str">
        <f>IF($B473="","",$B473&amp;"|"&amp;COUNTIFS($B$7:$B473,$B473))</f>
        <v/>
      </c>
      <c r="T473" s="1" t="str">
        <f t="shared" si="97"/>
        <v/>
      </c>
      <c r="U473" s="1">
        <f t="shared" si="98"/>
        <v>0</v>
      </c>
      <c r="V473" s="1">
        <f t="shared" si="99"/>
        <v>2958465</v>
      </c>
      <c r="W473" s="1">
        <f t="shared" si="100"/>
        <v>0</v>
      </c>
      <c r="X473" s="1">
        <f t="shared" si="101"/>
        <v>0</v>
      </c>
      <c r="Y473" s="1">
        <f t="shared" si="102"/>
        <v>97200</v>
      </c>
      <c r="Z473" s="1">
        <f t="shared" si="103"/>
        <v>1</v>
      </c>
    </row>
    <row r="474" spans="1:26" ht="18" customHeight="1" x14ac:dyDescent="0.3">
      <c r="A474" s="2"/>
      <c r="B474" s="65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66"/>
      <c r="E474" s="66"/>
      <c r="F474" s="60"/>
      <c r="G474" s="67"/>
      <c r="H474" s="60"/>
      <c r="I474" s="68">
        <f t="shared" ca="1" si="91"/>
        <v>0</v>
      </c>
      <c r="J474" s="68">
        <f t="shared" ca="1" si="92"/>
        <v>0</v>
      </c>
      <c r="K474" s="68">
        <f t="shared" ca="1" si="93"/>
        <v>0</v>
      </c>
      <c r="L474" s="68">
        <f t="shared" ca="1" si="94"/>
        <v>0</v>
      </c>
      <c r="M474" s="69">
        <f t="shared" si="95"/>
        <v>0</v>
      </c>
      <c r="N474" s="65" t="str">
        <f t="shared" si="96"/>
        <v/>
      </c>
      <c r="O474" s="70" t="str">
        <f>IF(OR($C474="",$D474="",$F474=""),"",IF($F474="Aylık",EOMONTH($D474,0),($D474+MOD(SISTEM!$F$8-WEEKDAY($D474,2),7))))</f>
        <v/>
      </c>
      <c r="P474" s="61"/>
      <c r="Q474" s="2"/>
      <c r="R474" s="2"/>
      <c r="S474" s="1" t="str">
        <f>IF($B474="","",$B474&amp;"|"&amp;COUNTIFS($B$7:$B474,$B474))</f>
        <v/>
      </c>
      <c r="T474" s="1" t="str">
        <f t="shared" si="97"/>
        <v/>
      </c>
      <c r="U474" s="1">
        <f t="shared" si="98"/>
        <v>0</v>
      </c>
      <c r="V474" s="1">
        <f t="shared" si="99"/>
        <v>2958465</v>
      </c>
      <c r="W474" s="1">
        <f t="shared" si="100"/>
        <v>0</v>
      </c>
      <c r="X474" s="1">
        <f t="shared" si="101"/>
        <v>0</v>
      </c>
      <c r="Y474" s="1">
        <f t="shared" si="102"/>
        <v>97200</v>
      </c>
      <c r="Z474" s="1">
        <f t="shared" si="103"/>
        <v>1</v>
      </c>
    </row>
    <row r="475" spans="1:26" ht="18" customHeight="1" x14ac:dyDescent="0.3">
      <c r="A475" s="2"/>
      <c r="B475" s="65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66"/>
      <c r="E475" s="66"/>
      <c r="F475" s="60"/>
      <c r="G475" s="67"/>
      <c r="H475" s="60"/>
      <c r="I475" s="68">
        <f t="shared" ca="1" si="91"/>
        <v>0</v>
      </c>
      <c r="J475" s="68">
        <f t="shared" ca="1" si="92"/>
        <v>0</v>
      </c>
      <c r="K475" s="68">
        <f t="shared" ca="1" si="93"/>
        <v>0</v>
      </c>
      <c r="L475" s="68">
        <f t="shared" ca="1" si="94"/>
        <v>0</v>
      </c>
      <c r="M475" s="69">
        <f t="shared" si="95"/>
        <v>0</v>
      </c>
      <c r="N475" s="65" t="str">
        <f t="shared" si="96"/>
        <v/>
      </c>
      <c r="O475" s="70" t="str">
        <f>IF(OR($C475="",$D475="",$F475=""),"",IF($F475="Aylık",EOMONTH($D475,0),($D475+MOD(SISTEM!$F$8-WEEKDAY($D475,2),7))))</f>
        <v/>
      </c>
      <c r="P475" s="61"/>
      <c r="Q475" s="2"/>
      <c r="R475" s="2"/>
      <c r="S475" s="1" t="str">
        <f>IF($B475="","",$B475&amp;"|"&amp;COUNTIFS($B$7:$B475,$B475))</f>
        <v/>
      </c>
      <c r="T475" s="1" t="str">
        <f t="shared" si="97"/>
        <v/>
      </c>
      <c r="U475" s="1">
        <f t="shared" si="98"/>
        <v>0</v>
      </c>
      <c r="V475" s="1">
        <f t="shared" si="99"/>
        <v>2958465</v>
      </c>
      <c r="W475" s="1">
        <f t="shared" si="100"/>
        <v>0</v>
      </c>
      <c r="X475" s="1">
        <f t="shared" si="101"/>
        <v>0</v>
      </c>
      <c r="Y475" s="1">
        <f t="shared" si="102"/>
        <v>97200</v>
      </c>
      <c r="Z475" s="1">
        <f t="shared" si="103"/>
        <v>1</v>
      </c>
    </row>
    <row r="476" spans="1:26" ht="18" customHeight="1" x14ac:dyDescent="0.3">
      <c r="A476" s="2"/>
      <c r="B476" s="65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66"/>
      <c r="E476" s="66"/>
      <c r="F476" s="60"/>
      <c r="G476" s="67"/>
      <c r="H476" s="60"/>
      <c r="I476" s="68">
        <f t="shared" ca="1" si="91"/>
        <v>0</v>
      </c>
      <c r="J476" s="68">
        <f t="shared" ca="1" si="92"/>
        <v>0</v>
      </c>
      <c r="K476" s="68">
        <f t="shared" ca="1" si="93"/>
        <v>0</v>
      </c>
      <c r="L476" s="68">
        <f t="shared" ca="1" si="94"/>
        <v>0</v>
      </c>
      <c r="M476" s="69">
        <f t="shared" si="95"/>
        <v>0</v>
      </c>
      <c r="N476" s="65" t="str">
        <f t="shared" si="96"/>
        <v/>
      </c>
      <c r="O476" s="70" t="str">
        <f>IF(OR($C476="",$D476="",$F476=""),"",IF($F476="Aylık",EOMONTH($D476,0),($D476+MOD(SISTEM!$F$8-WEEKDAY($D476,2),7))))</f>
        <v/>
      </c>
      <c r="P476" s="61"/>
      <c r="Q476" s="2"/>
      <c r="R476" s="2"/>
      <c r="S476" s="1" t="str">
        <f>IF($B476="","",$B476&amp;"|"&amp;COUNTIFS($B$7:$B476,$B476))</f>
        <v/>
      </c>
      <c r="T476" s="1" t="str">
        <f t="shared" si="97"/>
        <v/>
      </c>
      <c r="U476" s="1">
        <f t="shared" si="98"/>
        <v>0</v>
      </c>
      <c r="V476" s="1">
        <f t="shared" si="99"/>
        <v>2958465</v>
      </c>
      <c r="W476" s="1">
        <f t="shared" si="100"/>
        <v>0</v>
      </c>
      <c r="X476" s="1">
        <f t="shared" si="101"/>
        <v>0</v>
      </c>
      <c r="Y476" s="1">
        <f t="shared" si="102"/>
        <v>97200</v>
      </c>
      <c r="Z476" s="1">
        <f t="shared" si="103"/>
        <v>1</v>
      </c>
    </row>
    <row r="477" spans="1:26" ht="18" customHeight="1" x14ac:dyDescent="0.3">
      <c r="A477" s="2"/>
      <c r="B477" s="65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66"/>
      <c r="E477" s="66"/>
      <c r="F477" s="60"/>
      <c r="G477" s="67"/>
      <c r="H477" s="60"/>
      <c r="I477" s="68">
        <f t="shared" ca="1" si="91"/>
        <v>0</v>
      </c>
      <c r="J477" s="68">
        <f t="shared" ca="1" si="92"/>
        <v>0</v>
      </c>
      <c r="K477" s="68">
        <f t="shared" ca="1" si="93"/>
        <v>0</v>
      </c>
      <c r="L477" s="68">
        <f t="shared" ca="1" si="94"/>
        <v>0</v>
      </c>
      <c r="M477" s="69">
        <f t="shared" si="95"/>
        <v>0</v>
      </c>
      <c r="N477" s="65" t="str">
        <f t="shared" si="96"/>
        <v/>
      </c>
      <c r="O477" s="70" t="str">
        <f>IF(OR($C477="",$D477="",$F477=""),"",IF($F477="Aylık",EOMONTH($D477,0),($D477+MOD(SISTEM!$F$8-WEEKDAY($D477,2),7))))</f>
        <v/>
      </c>
      <c r="P477" s="61"/>
      <c r="Q477" s="2"/>
      <c r="R477" s="2"/>
      <c r="S477" s="1" t="str">
        <f>IF($B477="","",$B477&amp;"|"&amp;COUNTIFS($B$7:$B477,$B477))</f>
        <v/>
      </c>
      <c r="T477" s="1" t="str">
        <f t="shared" si="97"/>
        <v/>
      </c>
      <c r="U477" s="1">
        <f t="shared" si="98"/>
        <v>0</v>
      </c>
      <c r="V477" s="1">
        <f t="shared" si="99"/>
        <v>2958465</v>
      </c>
      <c r="W477" s="1">
        <f t="shared" si="100"/>
        <v>0</v>
      </c>
      <c r="X477" s="1">
        <f t="shared" si="101"/>
        <v>0</v>
      </c>
      <c r="Y477" s="1">
        <f t="shared" si="102"/>
        <v>97200</v>
      </c>
      <c r="Z477" s="1">
        <f t="shared" si="103"/>
        <v>1</v>
      </c>
    </row>
    <row r="478" spans="1:26" ht="18" customHeight="1" x14ac:dyDescent="0.3">
      <c r="A478" s="2"/>
      <c r="B478" s="65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66"/>
      <c r="E478" s="66"/>
      <c r="F478" s="60"/>
      <c r="G478" s="67"/>
      <c r="H478" s="60"/>
      <c r="I478" s="68">
        <f t="shared" ca="1" si="91"/>
        <v>0</v>
      </c>
      <c r="J478" s="68">
        <f t="shared" ca="1" si="92"/>
        <v>0</v>
      </c>
      <c r="K478" s="68">
        <f t="shared" ca="1" si="93"/>
        <v>0</v>
      </c>
      <c r="L478" s="68">
        <f t="shared" ca="1" si="94"/>
        <v>0</v>
      </c>
      <c r="M478" s="69">
        <f t="shared" si="95"/>
        <v>0</v>
      </c>
      <c r="N478" s="65" t="str">
        <f t="shared" si="96"/>
        <v/>
      </c>
      <c r="O478" s="70" t="str">
        <f>IF(OR($C478="",$D478="",$F478=""),"",IF($F478="Aylık",EOMONTH($D478,0),($D478+MOD(SISTEM!$F$8-WEEKDAY($D478,2),7))))</f>
        <v/>
      </c>
      <c r="P478" s="61"/>
      <c r="Q478" s="2"/>
      <c r="R478" s="2"/>
      <c r="S478" s="1" t="str">
        <f>IF($B478="","",$B478&amp;"|"&amp;COUNTIFS($B$7:$B478,$B478))</f>
        <v/>
      </c>
      <c r="T478" s="1" t="str">
        <f t="shared" si="97"/>
        <v/>
      </c>
      <c r="U478" s="1">
        <f t="shared" si="98"/>
        <v>0</v>
      </c>
      <c r="V478" s="1">
        <f t="shared" si="99"/>
        <v>2958465</v>
      </c>
      <c r="W478" s="1">
        <f t="shared" si="100"/>
        <v>0</v>
      </c>
      <c r="X478" s="1">
        <f t="shared" si="101"/>
        <v>0</v>
      </c>
      <c r="Y478" s="1">
        <f t="shared" si="102"/>
        <v>97200</v>
      </c>
      <c r="Z478" s="1">
        <f t="shared" si="103"/>
        <v>1</v>
      </c>
    </row>
    <row r="479" spans="1:26" ht="18" customHeight="1" x14ac:dyDescent="0.3">
      <c r="A479" s="2"/>
      <c r="B479" s="65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66"/>
      <c r="E479" s="66"/>
      <c r="F479" s="60"/>
      <c r="G479" s="67"/>
      <c r="H479" s="60"/>
      <c r="I479" s="68">
        <f t="shared" ca="1" si="91"/>
        <v>0</v>
      </c>
      <c r="J479" s="68">
        <f t="shared" ca="1" si="92"/>
        <v>0</v>
      </c>
      <c r="K479" s="68">
        <f t="shared" ca="1" si="93"/>
        <v>0</v>
      </c>
      <c r="L479" s="68">
        <f t="shared" ca="1" si="94"/>
        <v>0</v>
      </c>
      <c r="M479" s="69">
        <f t="shared" si="95"/>
        <v>0</v>
      </c>
      <c r="N479" s="65" t="str">
        <f t="shared" si="96"/>
        <v/>
      </c>
      <c r="O479" s="70" t="str">
        <f>IF(OR($C479="",$D479="",$F479=""),"",IF($F479="Aylık",EOMONTH($D479,0),($D479+MOD(SISTEM!$F$8-WEEKDAY($D479,2),7))))</f>
        <v/>
      </c>
      <c r="P479" s="61"/>
      <c r="Q479" s="2"/>
      <c r="R479" s="2"/>
      <c r="S479" s="1" t="str">
        <f>IF($B479="","",$B479&amp;"|"&amp;COUNTIFS($B$7:$B479,$B479))</f>
        <v/>
      </c>
      <c r="T479" s="1" t="str">
        <f t="shared" si="97"/>
        <v/>
      </c>
      <c r="U479" s="1">
        <f t="shared" si="98"/>
        <v>0</v>
      </c>
      <c r="V479" s="1">
        <f t="shared" si="99"/>
        <v>2958465</v>
      </c>
      <c r="W479" s="1">
        <f t="shared" si="100"/>
        <v>0</v>
      </c>
      <c r="X479" s="1">
        <f t="shared" si="101"/>
        <v>0</v>
      </c>
      <c r="Y479" s="1">
        <f t="shared" si="102"/>
        <v>97200</v>
      </c>
      <c r="Z479" s="1">
        <f t="shared" si="103"/>
        <v>1</v>
      </c>
    </row>
    <row r="480" spans="1:26" ht="18" customHeight="1" x14ac:dyDescent="0.3">
      <c r="A480" s="2"/>
      <c r="B480" s="65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66"/>
      <c r="E480" s="66"/>
      <c r="F480" s="60"/>
      <c r="G480" s="67"/>
      <c r="H480" s="60"/>
      <c r="I480" s="68">
        <f t="shared" ca="1" si="91"/>
        <v>0</v>
      </c>
      <c r="J480" s="68">
        <f t="shared" ca="1" si="92"/>
        <v>0</v>
      </c>
      <c r="K480" s="68">
        <f t="shared" ca="1" si="93"/>
        <v>0</v>
      </c>
      <c r="L480" s="68">
        <f t="shared" ca="1" si="94"/>
        <v>0</v>
      </c>
      <c r="M480" s="69">
        <f t="shared" si="95"/>
        <v>0</v>
      </c>
      <c r="N480" s="65" t="str">
        <f t="shared" si="96"/>
        <v/>
      </c>
      <c r="O480" s="70" t="str">
        <f>IF(OR($C480="",$D480="",$F480=""),"",IF($F480="Aylık",EOMONTH($D480,0),($D480+MOD(SISTEM!$F$8-WEEKDAY($D480,2),7))))</f>
        <v/>
      </c>
      <c r="P480" s="61"/>
      <c r="Q480" s="2"/>
      <c r="R480" s="2"/>
      <c r="S480" s="1" t="str">
        <f>IF($B480="","",$B480&amp;"|"&amp;COUNTIFS($B$7:$B480,$B480))</f>
        <v/>
      </c>
      <c r="T480" s="1" t="str">
        <f t="shared" si="97"/>
        <v/>
      </c>
      <c r="U480" s="1">
        <f t="shared" si="98"/>
        <v>0</v>
      </c>
      <c r="V480" s="1">
        <f t="shared" si="99"/>
        <v>2958465</v>
      </c>
      <c r="W480" s="1">
        <f t="shared" si="100"/>
        <v>0</v>
      </c>
      <c r="X480" s="1">
        <f t="shared" si="101"/>
        <v>0</v>
      </c>
      <c r="Y480" s="1">
        <f t="shared" si="102"/>
        <v>97200</v>
      </c>
      <c r="Z480" s="1">
        <f t="shared" si="103"/>
        <v>1</v>
      </c>
    </row>
    <row r="481" spans="1:26" ht="18" customHeight="1" x14ac:dyDescent="0.3">
      <c r="A481" s="2"/>
      <c r="B481" s="65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66"/>
      <c r="E481" s="66"/>
      <c r="F481" s="60"/>
      <c r="G481" s="67"/>
      <c r="H481" s="60"/>
      <c r="I481" s="68">
        <f t="shared" ca="1" si="91"/>
        <v>0</v>
      </c>
      <c r="J481" s="68">
        <f t="shared" ca="1" si="92"/>
        <v>0</v>
      </c>
      <c r="K481" s="68">
        <f t="shared" ca="1" si="93"/>
        <v>0</v>
      </c>
      <c r="L481" s="68">
        <f t="shared" ca="1" si="94"/>
        <v>0</v>
      </c>
      <c r="M481" s="69">
        <f t="shared" si="95"/>
        <v>0</v>
      </c>
      <c r="N481" s="65" t="str">
        <f t="shared" si="96"/>
        <v/>
      </c>
      <c r="O481" s="70" t="str">
        <f>IF(OR($C481="",$D481="",$F481=""),"",IF($F481="Aylık",EOMONTH($D481,0),($D481+MOD(SISTEM!$F$8-WEEKDAY($D481,2),7))))</f>
        <v/>
      </c>
      <c r="P481" s="61"/>
      <c r="Q481" s="2"/>
      <c r="R481" s="2"/>
      <c r="S481" s="1" t="str">
        <f>IF($B481="","",$B481&amp;"|"&amp;COUNTIFS($B$7:$B481,$B481))</f>
        <v/>
      </c>
      <c r="T481" s="1" t="str">
        <f t="shared" si="97"/>
        <v/>
      </c>
      <c r="U481" s="1">
        <f t="shared" si="98"/>
        <v>0</v>
      </c>
      <c r="V481" s="1">
        <f t="shared" si="99"/>
        <v>2958465</v>
      </c>
      <c r="W481" s="1">
        <f t="shared" si="100"/>
        <v>0</v>
      </c>
      <c r="X481" s="1">
        <f t="shared" si="101"/>
        <v>0</v>
      </c>
      <c r="Y481" s="1">
        <f t="shared" si="102"/>
        <v>97200</v>
      </c>
      <c r="Z481" s="1">
        <f t="shared" si="103"/>
        <v>1</v>
      </c>
    </row>
    <row r="482" spans="1:26" ht="18" customHeight="1" x14ac:dyDescent="0.3">
      <c r="A482" s="2"/>
      <c r="B482" s="65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66"/>
      <c r="E482" s="66"/>
      <c r="F482" s="60"/>
      <c r="G482" s="67"/>
      <c r="H482" s="60"/>
      <c r="I482" s="68">
        <f t="shared" ca="1" si="91"/>
        <v>0</v>
      </c>
      <c r="J482" s="68">
        <f t="shared" ca="1" si="92"/>
        <v>0</v>
      </c>
      <c r="K482" s="68">
        <f t="shared" ca="1" si="93"/>
        <v>0</v>
      </c>
      <c r="L482" s="68">
        <f t="shared" ca="1" si="94"/>
        <v>0</v>
      </c>
      <c r="M482" s="69">
        <f t="shared" si="95"/>
        <v>0</v>
      </c>
      <c r="N482" s="65" t="str">
        <f t="shared" si="96"/>
        <v/>
      </c>
      <c r="O482" s="70" t="str">
        <f>IF(OR($C482="",$D482="",$F482=""),"",IF($F482="Aylık",EOMONTH($D482,0),($D482+MOD(SISTEM!$F$8-WEEKDAY($D482,2),7))))</f>
        <v/>
      </c>
      <c r="P482" s="61"/>
      <c r="Q482" s="2"/>
      <c r="R482" s="2"/>
      <c r="S482" s="1" t="str">
        <f>IF($B482="","",$B482&amp;"|"&amp;COUNTIFS($B$7:$B482,$B482))</f>
        <v/>
      </c>
      <c r="T482" s="1" t="str">
        <f t="shared" si="97"/>
        <v/>
      </c>
      <c r="U482" s="1">
        <f t="shared" si="98"/>
        <v>0</v>
      </c>
      <c r="V482" s="1">
        <f t="shared" si="99"/>
        <v>2958465</v>
      </c>
      <c r="W482" s="1">
        <f t="shared" si="100"/>
        <v>0</v>
      </c>
      <c r="X482" s="1">
        <f t="shared" si="101"/>
        <v>0</v>
      </c>
      <c r="Y482" s="1">
        <f t="shared" si="102"/>
        <v>97200</v>
      </c>
      <c r="Z482" s="1">
        <f t="shared" si="103"/>
        <v>1</v>
      </c>
    </row>
    <row r="483" spans="1:26" ht="18" customHeight="1" x14ac:dyDescent="0.3">
      <c r="A483" s="2"/>
      <c r="B483" s="65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66"/>
      <c r="E483" s="66"/>
      <c r="F483" s="60"/>
      <c r="G483" s="67"/>
      <c r="H483" s="60"/>
      <c r="I483" s="68">
        <f t="shared" ca="1" si="91"/>
        <v>0</v>
      </c>
      <c r="J483" s="68">
        <f t="shared" ca="1" si="92"/>
        <v>0</v>
      </c>
      <c r="K483" s="68">
        <f t="shared" ca="1" si="93"/>
        <v>0</v>
      </c>
      <c r="L483" s="68">
        <f t="shared" ca="1" si="94"/>
        <v>0</v>
      </c>
      <c r="M483" s="69">
        <f t="shared" si="95"/>
        <v>0</v>
      </c>
      <c r="N483" s="65" t="str">
        <f t="shared" si="96"/>
        <v/>
      </c>
      <c r="O483" s="70" t="str">
        <f>IF(OR($C483="",$D483="",$F483=""),"",IF($F483="Aylık",EOMONTH($D483,0),($D483+MOD(SISTEM!$F$8-WEEKDAY($D483,2),7))))</f>
        <v/>
      </c>
      <c r="P483" s="61"/>
      <c r="Q483" s="2"/>
      <c r="R483" s="2"/>
      <c r="S483" s="1" t="str">
        <f>IF($B483="","",$B483&amp;"|"&amp;COUNTIFS($B$7:$B483,$B483))</f>
        <v/>
      </c>
      <c r="T483" s="1" t="str">
        <f t="shared" si="97"/>
        <v/>
      </c>
      <c r="U483" s="1">
        <f t="shared" si="98"/>
        <v>0</v>
      </c>
      <c r="V483" s="1">
        <f t="shared" si="99"/>
        <v>2958465</v>
      </c>
      <c r="W483" s="1">
        <f t="shared" si="100"/>
        <v>0</v>
      </c>
      <c r="X483" s="1">
        <f t="shared" si="101"/>
        <v>0</v>
      </c>
      <c r="Y483" s="1">
        <f t="shared" si="102"/>
        <v>97200</v>
      </c>
      <c r="Z483" s="1">
        <f t="shared" si="103"/>
        <v>1</v>
      </c>
    </row>
    <row r="484" spans="1:26" ht="18" customHeight="1" x14ac:dyDescent="0.3">
      <c r="A484" s="2"/>
      <c r="B484" s="65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66"/>
      <c r="E484" s="66"/>
      <c r="F484" s="60"/>
      <c r="G484" s="67"/>
      <c r="H484" s="60"/>
      <c r="I484" s="68">
        <f t="shared" ca="1" si="91"/>
        <v>0</v>
      </c>
      <c r="J484" s="68">
        <f t="shared" ca="1" si="92"/>
        <v>0</v>
      </c>
      <c r="K484" s="68">
        <f t="shared" ca="1" si="93"/>
        <v>0</v>
      </c>
      <c r="L484" s="68">
        <f t="shared" ca="1" si="94"/>
        <v>0</v>
      </c>
      <c r="M484" s="69">
        <f t="shared" si="95"/>
        <v>0</v>
      </c>
      <c r="N484" s="65" t="str">
        <f t="shared" si="96"/>
        <v/>
      </c>
      <c r="O484" s="70" t="str">
        <f>IF(OR($C484="",$D484="",$F484=""),"",IF($F484="Aylık",EOMONTH($D484,0),($D484+MOD(SISTEM!$F$8-WEEKDAY($D484,2),7))))</f>
        <v/>
      </c>
      <c r="P484" s="61"/>
      <c r="Q484" s="2"/>
      <c r="R484" s="2"/>
      <c r="S484" s="1" t="str">
        <f>IF($B484="","",$B484&amp;"|"&amp;COUNTIFS($B$7:$B484,$B484))</f>
        <v/>
      </c>
      <c r="T484" s="1" t="str">
        <f t="shared" si="97"/>
        <v/>
      </c>
      <c r="U484" s="1">
        <f t="shared" si="98"/>
        <v>0</v>
      </c>
      <c r="V484" s="1">
        <f t="shared" si="99"/>
        <v>2958465</v>
      </c>
      <c r="W484" s="1">
        <f t="shared" si="100"/>
        <v>0</v>
      </c>
      <c r="X484" s="1">
        <f t="shared" si="101"/>
        <v>0</v>
      </c>
      <c r="Y484" s="1">
        <f t="shared" si="102"/>
        <v>97200</v>
      </c>
      <c r="Z484" s="1">
        <f t="shared" si="103"/>
        <v>1</v>
      </c>
    </row>
    <row r="485" spans="1:26" ht="18" customHeight="1" x14ac:dyDescent="0.3">
      <c r="A485" s="2"/>
      <c r="B485" s="65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66"/>
      <c r="E485" s="66"/>
      <c r="F485" s="60"/>
      <c r="G485" s="67"/>
      <c r="H485" s="60"/>
      <c r="I485" s="68">
        <f t="shared" ca="1" si="91"/>
        <v>0</v>
      </c>
      <c r="J485" s="68">
        <f t="shared" ca="1" si="92"/>
        <v>0</v>
      </c>
      <c r="K485" s="68">
        <f t="shared" ca="1" si="93"/>
        <v>0</v>
      </c>
      <c r="L485" s="68">
        <f t="shared" ca="1" si="94"/>
        <v>0</v>
      </c>
      <c r="M485" s="69">
        <f t="shared" si="95"/>
        <v>0</v>
      </c>
      <c r="N485" s="65" t="str">
        <f t="shared" si="96"/>
        <v/>
      </c>
      <c r="O485" s="70" t="str">
        <f>IF(OR($C485="",$D485="",$F485=""),"",IF($F485="Aylık",EOMONTH($D485,0),($D485+MOD(SISTEM!$F$8-WEEKDAY($D485,2),7))))</f>
        <v/>
      </c>
      <c r="P485" s="61"/>
      <c r="Q485" s="2"/>
      <c r="R485" s="2"/>
      <c r="S485" s="1" t="str">
        <f>IF($B485="","",$B485&amp;"|"&amp;COUNTIFS($B$7:$B485,$B485))</f>
        <v/>
      </c>
      <c r="T485" s="1" t="str">
        <f t="shared" si="97"/>
        <v/>
      </c>
      <c r="U485" s="1">
        <f t="shared" si="98"/>
        <v>0</v>
      </c>
      <c r="V485" s="1">
        <f t="shared" si="99"/>
        <v>2958465</v>
      </c>
      <c r="W485" s="1">
        <f t="shared" si="100"/>
        <v>0</v>
      </c>
      <c r="X485" s="1">
        <f t="shared" si="101"/>
        <v>0</v>
      </c>
      <c r="Y485" s="1">
        <f t="shared" si="102"/>
        <v>97200</v>
      </c>
      <c r="Z485" s="1">
        <f t="shared" si="103"/>
        <v>1</v>
      </c>
    </row>
    <row r="486" spans="1:26" ht="18" customHeight="1" x14ac:dyDescent="0.3">
      <c r="A486" s="2"/>
      <c r="B486" s="65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66"/>
      <c r="E486" s="66"/>
      <c r="F486" s="60"/>
      <c r="G486" s="67"/>
      <c r="H486" s="60"/>
      <c r="I486" s="68">
        <f t="shared" ca="1" si="91"/>
        <v>0</v>
      </c>
      <c r="J486" s="68">
        <f t="shared" ca="1" si="92"/>
        <v>0</v>
      </c>
      <c r="K486" s="68">
        <f t="shared" ca="1" si="93"/>
        <v>0</v>
      </c>
      <c r="L486" s="68">
        <f t="shared" ca="1" si="94"/>
        <v>0</v>
      </c>
      <c r="M486" s="69">
        <f t="shared" si="95"/>
        <v>0</v>
      </c>
      <c r="N486" s="65" t="str">
        <f t="shared" si="96"/>
        <v/>
      </c>
      <c r="O486" s="70" t="str">
        <f>IF(OR($C486="",$D486="",$F486=""),"",IF($F486="Aylık",EOMONTH($D486,0),($D486+MOD(SISTEM!$F$8-WEEKDAY($D486,2),7))))</f>
        <v/>
      </c>
      <c r="P486" s="61"/>
      <c r="Q486" s="2"/>
      <c r="R486" s="2"/>
      <c r="S486" s="1" t="str">
        <f>IF($B486="","",$B486&amp;"|"&amp;COUNTIFS($B$7:$B486,$B486))</f>
        <v/>
      </c>
      <c r="T486" s="1" t="str">
        <f t="shared" si="97"/>
        <v/>
      </c>
      <c r="U486" s="1">
        <f t="shared" si="98"/>
        <v>0</v>
      </c>
      <c r="V486" s="1">
        <f t="shared" si="99"/>
        <v>2958465</v>
      </c>
      <c r="W486" s="1">
        <f t="shared" si="100"/>
        <v>0</v>
      </c>
      <c r="X486" s="1">
        <f t="shared" si="101"/>
        <v>0</v>
      </c>
      <c r="Y486" s="1">
        <f t="shared" si="102"/>
        <v>97200</v>
      </c>
      <c r="Z486" s="1">
        <f t="shared" si="103"/>
        <v>1</v>
      </c>
    </row>
    <row r="487" spans="1:26" ht="18" customHeight="1" x14ac:dyDescent="0.3">
      <c r="A487" s="2"/>
      <c r="B487" s="65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66"/>
      <c r="E487" s="66"/>
      <c r="F487" s="60"/>
      <c r="G487" s="67"/>
      <c r="H487" s="60"/>
      <c r="I487" s="68">
        <f t="shared" ca="1" si="91"/>
        <v>0</v>
      </c>
      <c r="J487" s="68">
        <f t="shared" ca="1" si="92"/>
        <v>0</v>
      </c>
      <c r="K487" s="68">
        <f t="shared" ca="1" si="93"/>
        <v>0</v>
      </c>
      <c r="L487" s="68">
        <f t="shared" ca="1" si="94"/>
        <v>0</v>
      </c>
      <c r="M487" s="69">
        <f t="shared" si="95"/>
        <v>0</v>
      </c>
      <c r="N487" s="65" t="str">
        <f t="shared" si="96"/>
        <v/>
      </c>
      <c r="O487" s="70" t="str">
        <f>IF(OR($C487="",$D487="",$F487=""),"",IF($F487="Aylık",EOMONTH($D487,0),($D487+MOD(SISTEM!$F$8-WEEKDAY($D487,2),7))))</f>
        <v/>
      </c>
      <c r="P487" s="61"/>
      <c r="Q487" s="2"/>
      <c r="R487" s="2"/>
      <c r="S487" s="1" t="str">
        <f>IF($B487="","",$B487&amp;"|"&amp;COUNTIFS($B$7:$B487,$B487))</f>
        <v/>
      </c>
      <c r="T487" s="1" t="str">
        <f t="shared" si="97"/>
        <v/>
      </c>
      <c r="U487" s="1">
        <f t="shared" si="98"/>
        <v>0</v>
      </c>
      <c r="V487" s="1">
        <f t="shared" si="99"/>
        <v>2958465</v>
      </c>
      <c r="W487" s="1">
        <f t="shared" si="100"/>
        <v>0</v>
      </c>
      <c r="X487" s="1">
        <f t="shared" si="101"/>
        <v>0</v>
      </c>
      <c r="Y487" s="1">
        <f t="shared" si="102"/>
        <v>97200</v>
      </c>
      <c r="Z487" s="1">
        <f t="shared" si="103"/>
        <v>1</v>
      </c>
    </row>
    <row r="488" spans="1:26" ht="18" customHeight="1" x14ac:dyDescent="0.3">
      <c r="A488" s="2"/>
      <c r="B488" s="65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66"/>
      <c r="E488" s="66"/>
      <c r="F488" s="60"/>
      <c r="G488" s="67"/>
      <c r="H488" s="60"/>
      <c r="I488" s="68">
        <f t="shared" ca="1" si="91"/>
        <v>0</v>
      </c>
      <c r="J488" s="68">
        <f t="shared" ca="1" si="92"/>
        <v>0</v>
      </c>
      <c r="K488" s="68">
        <f t="shared" ca="1" si="93"/>
        <v>0</v>
      </c>
      <c r="L488" s="68">
        <f t="shared" ca="1" si="94"/>
        <v>0</v>
      </c>
      <c r="M488" s="69">
        <f t="shared" si="95"/>
        <v>0</v>
      </c>
      <c r="N488" s="65" t="str">
        <f t="shared" si="96"/>
        <v/>
      </c>
      <c r="O488" s="70" t="str">
        <f>IF(OR($C488="",$D488="",$F488=""),"",IF($F488="Aylık",EOMONTH($D488,0),($D488+MOD(SISTEM!$F$8-WEEKDAY($D488,2),7))))</f>
        <v/>
      </c>
      <c r="P488" s="61"/>
      <c r="Q488" s="2"/>
      <c r="R488" s="2"/>
      <c r="S488" s="1" t="str">
        <f>IF($B488="","",$B488&amp;"|"&amp;COUNTIFS($B$7:$B488,$B488))</f>
        <v/>
      </c>
      <c r="T488" s="1" t="str">
        <f t="shared" si="97"/>
        <v/>
      </c>
      <c r="U488" s="1">
        <f t="shared" si="98"/>
        <v>0</v>
      </c>
      <c r="V488" s="1">
        <f t="shared" si="99"/>
        <v>2958465</v>
      </c>
      <c r="W488" s="1">
        <f t="shared" si="100"/>
        <v>0</v>
      </c>
      <c r="X488" s="1">
        <f t="shared" si="101"/>
        <v>0</v>
      </c>
      <c r="Y488" s="1">
        <f t="shared" si="102"/>
        <v>97200</v>
      </c>
      <c r="Z488" s="1">
        <f t="shared" si="103"/>
        <v>1</v>
      </c>
    </row>
    <row r="489" spans="1:26" ht="18" customHeight="1" x14ac:dyDescent="0.3">
      <c r="A489" s="2"/>
      <c r="B489" s="65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66"/>
      <c r="E489" s="66"/>
      <c r="F489" s="60"/>
      <c r="G489" s="67"/>
      <c r="H489" s="60"/>
      <c r="I489" s="68">
        <f t="shared" ca="1" si="91"/>
        <v>0</v>
      </c>
      <c r="J489" s="68">
        <f t="shared" ca="1" si="92"/>
        <v>0</v>
      </c>
      <c r="K489" s="68">
        <f t="shared" ca="1" si="93"/>
        <v>0</v>
      </c>
      <c r="L489" s="68">
        <f t="shared" ca="1" si="94"/>
        <v>0</v>
      </c>
      <c r="M489" s="69">
        <f t="shared" si="95"/>
        <v>0</v>
      </c>
      <c r="N489" s="65" t="str">
        <f t="shared" si="96"/>
        <v/>
      </c>
      <c r="O489" s="70" t="str">
        <f>IF(OR($C489="",$D489="",$F489=""),"",IF($F489="Aylık",EOMONTH($D489,0),($D489+MOD(SISTEM!$F$8-WEEKDAY($D489,2),7))))</f>
        <v/>
      </c>
      <c r="P489" s="61"/>
      <c r="Q489" s="2"/>
      <c r="R489" s="2"/>
      <c r="S489" s="1" t="str">
        <f>IF($B489="","",$B489&amp;"|"&amp;COUNTIFS($B$7:$B489,$B489))</f>
        <v/>
      </c>
      <c r="T489" s="1" t="str">
        <f t="shared" si="97"/>
        <v/>
      </c>
      <c r="U489" s="1">
        <f t="shared" si="98"/>
        <v>0</v>
      </c>
      <c r="V489" s="1">
        <f t="shared" si="99"/>
        <v>2958465</v>
      </c>
      <c r="W489" s="1">
        <f t="shared" si="100"/>
        <v>0</v>
      </c>
      <c r="X489" s="1">
        <f t="shared" si="101"/>
        <v>0</v>
      </c>
      <c r="Y489" s="1">
        <f t="shared" si="102"/>
        <v>97200</v>
      </c>
      <c r="Z489" s="1">
        <f t="shared" si="103"/>
        <v>1</v>
      </c>
    </row>
    <row r="490" spans="1:26" ht="18" customHeight="1" x14ac:dyDescent="0.3">
      <c r="A490" s="2"/>
      <c r="B490" s="65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66"/>
      <c r="E490" s="66"/>
      <c r="F490" s="60"/>
      <c r="G490" s="67"/>
      <c r="H490" s="60"/>
      <c r="I490" s="68">
        <f t="shared" ca="1" si="91"/>
        <v>0</v>
      </c>
      <c r="J490" s="68">
        <f t="shared" ca="1" si="92"/>
        <v>0</v>
      </c>
      <c r="K490" s="68">
        <f t="shared" ca="1" si="93"/>
        <v>0</v>
      </c>
      <c r="L490" s="68">
        <f t="shared" ca="1" si="94"/>
        <v>0</v>
      </c>
      <c r="M490" s="69">
        <f t="shared" si="95"/>
        <v>0</v>
      </c>
      <c r="N490" s="65" t="str">
        <f t="shared" si="96"/>
        <v/>
      </c>
      <c r="O490" s="70" t="str">
        <f>IF(OR($C490="",$D490="",$F490=""),"",IF($F490="Aylık",EOMONTH($D490,0),($D490+MOD(SISTEM!$F$8-WEEKDAY($D490,2),7))))</f>
        <v/>
      </c>
      <c r="P490" s="61"/>
      <c r="Q490" s="2"/>
      <c r="R490" s="2"/>
      <c r="S490" s="1" t="str">
        <f>IF($B490="","",$B490&amp;"|"&amp;COUNTIFS($B$7:$B490,$B490))</f>
        <v/>
      </c>
      <c r="T490" s="1" t="str">
        <f t="shared" si="97"/>
        <v/>
      </c>
      <c r="U490" s="1">
        <f t="shared" si="98"/>
        <v>0</v>
      </c>
      <c r="V490" s="1">
        <f t="shared" si="99"/>
        <v>2958465</v>
      </c>
      <c r="W490" s="1">
        <f t="shared" si="100"/>
        <v>0</v>
      </c>
      <c r="X490" s="1">
        <f t="shared" si="101"/>
        <v>0</v>
      </c>
      <c r="Y490" s="1">
        <f t="shared" si="102"/>
        <v>97200</v>
      </c>
      <c r="Z490" s="1">
        <f t="shared" si="103"/>
        <v>1</v>
      </c>
    </row>
    <row r="491" spans="1:26" ht="18" customHeight="1" x14ac:dyDescent="0.3">
      <c r="A491" s="2"/>
      <c r="B491" s="65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66"/>
      <c r="E491" s="66"/>
      <c r="F491" s="60"/>
      <c r="G491" s="67"/>
      <c r="H491" s="60"/>
      <c r="I491" s="68">
        <f t="shared" ca="1" si="91"/>
        <v>0</v>
      </c>
      <c r="J491" s="68">
        <f t="shared" ca="1" si="92"/>
        <v>0</v>
      </c>
      <c r="K491" s="68">
        <f t="shared" ca="1" si="93"/>
        <v>0</v>
      </c>
      <c r="L491" s="68">
        <f t="shared" ca="1" si="94"/>
        <v>0</v>
      </c>
      <c r="M491" s="69">
        <f t="shared" si="95"/>
        <v>0</v>
      </c>
      <c r="N491" s="65" t="str">
        <f t="shared" si="96"/>
        <v/>
      </c>
      <c r="O491" s="70" t="str">
        <f>IF(OR($C491="",$D491="",$F491=""),"",IF($F491="Aylık",EOMONTH($D491,0),($D491+MOD(SISTEM!$F$8-WEEKDAY($D491,2),7))))</f>
        <v/>
      </c>
      <c r="P491" s="61"/>
      <c r="Q491" s="2"/>
      <c r="R491" s="2"/>
      <c r="S491" s="1" t="str">
        <f>IF($B491="","",$B491&amp;"|"&amp;COUNTIFS($B$7:$B491,$B491))</f>
        <v/>
      </c>
      <c r="T491" s="1" t="str">
        <f t="shared" si="97"/>
        <v/>
      </c>
      <c r="U491" s="1">
        <f t="shared" si="98"/>
        <v>0</v>
      </c>
      <c r="V491" s="1">
        <f t="shared" si="99"/>
        <v>2958465</v>
      </c>
      <c r="W491" s="1">
        <f t="shared" si="100"/>
        <v>0</v>
      </c>
      <c r="X491" s="1">
        <f t="shared" si="101"/>
        <v>0</v>
      </c>
      <c r="Y491" s="1">
        <f t="shared" si="102"/>
        <v>97200</v>
      </c>
      <c r="Z491" s="1">
        <f t="shared" si="103"/>
        <v>1</v>
      </c>
    </row>
    <row r="492" spans="1:26" ht="18" customHeight="1" x14ac:dyDescent="0.3">
      <c r="A492" s="2"/>
      <c r="B492" s="65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66"/>
      <c r="E492" s="66"/>
      <c r="F492" s="60"/>
      <c r="G492" s="67"/>
      <c r="H492" s="60"/>
      <c r="I492" s="68">
        <f t="shared" ca="1" si="91"/>
        <v>0</v>
      </c>
      <c r="J492" s="68">
        <f t="shared" ca="1" si="92"/>
        <v>0</v>
      </c>
      <c r="K492" s="68">
        <f t="shared" ca="1" si="93"/>
        <v>0</v>
      </c>
      <c r="L492" s="68">
        <f t="shared" ca="1" si="94"/>
        <v>0</v>
      </c>
      <c r="M492" s="69">
        <f t="shared" si="95"/>
        <v>0</v>
      </c>
      <c r="N492" s="65" t="str">
        <f t="shared" si="96"/>
        <v/>
      </c>
      <c r="O492" s="70" t="str">
        <f>IF(OR($C492="",$D492="",$F492=""),"",IF($F492="Aylık",EOMONTH($D492,0),($D492+MOD(SISTEM!$F$8-WEEKDAY($D492,2),7))))</f>
        <v/>
      </c>
      <c r="P492" s="61"/>
      <c r="Q492" s="2"/>
      <c r="R492" s="2"/>
      <c r="S492" s="1" t="str">
        <f>IF($B492="","",$B492&amp;"|"&amp;COUNTIFS($B$7:$B492,$B492))</f>
        <v/>
      </c>
      <c r="T492" s="1" t="str">
        <f t="shared" si="97"/>
        <v/>
      </c>
      <c r="U492" s="1">
        <f t="shared" si="98"/>
        <v>0</v>
      </c>
      <c r="V492" s="1">
        <f t="shared" si="99"/>
        <v>2958465</v>
      </c>
      <c r="W492" s="1">
        <f t="shared" si="100"/>
        <v>0</v>
      </c>
      <c r="X492" s="1">
        <f t="shared" si="101"/>
        <v>0</v>
      </c>
      <c r="Y492" s="1">
        <f t="shared" si="102"/>
        <v>97200</v>
      </c>
      <c r="Z492" s="1">
        <f t="shared" si="103"/>
        <v>1</v>
      </c>
    </row>
    <row r="493" spans="1:26" ht="18" customHeight="1" x14ac:dyDescent="0.3">
      <c r="A493" s="2"/>
      <c r="B493" s="65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66"/>
      <c r="E493" s="66"/>
      <c r="F493" s="60"/>
      <c r="G493" s="67"/>
      <c r="H493" s="60"/>
      <c r="I493" s="68">
        <f t="shared" ca="1" si="91"/>
        <v>0</v>
      </c>
      <c r="J493" s="68">
        <f t="shared" ca="1" si="92"/>
        <v>0</v>
      </c>
      <c r="K493" s="68">
        <f t="shared" ca="1" si="93"/>
        <v>0</v>
      </c>
      <c r="L493" s="68">
        <f t="shared" ca="1" si="94"/>
        <v>0</v>
      </c>
      <c r="M493" s="69">
        <f t="shared" si="95"/>
        <v>0</v>
      </c>
      <c r="N493" s="65" t="str">
        <f t="shared" si="96"/>
        <v/>
      </c>
      <c r="O493" s="70" t="str">
        <f>IF(OR($C493="",$D493="",$F493=""),"",IF($F493="Aylık",EOMONTH($D493,0),($D493+MOD(SISTEM!$F$8-WEEKDAY($D493,2),7))))</f>
        <v/>
      </c>
      <c r="P493" s="61"/>
      <c r="Q493" s="2"/>
      <c r="R493" s="2"/>
      <c r="S493" s="1" t="str">
        <f>IF($B493="","",$B493&amp;"|"&amp;COUNTIFS($B$7:$B493,$B493))</f>
        <v/>
      </c>
      <c r="T493" s="1" t="str">
        <f t="shared" si="97"/>
        <v/>
      </c>
      <c r="U493" s="1">
        <f t="shared" si="98"/>
        <v>0</v>
      </c>
      <c r="V493" s="1">
        <f t="shared" si="99"/>
        <v>2958465</v>
      </c>
      <c r="W493" s="1">
        <f t="shared" si="100"/>
        <v>0</v>
      </c>
      <c r="X493" s="1">
        <f t="shared" si="101"/>
        <v>0</v>
      </c>
      <c r="Y493" s="1">
        <f t="shared" si="102"/>
        <v>97200</v>
      </c>
      <c r="Z493" s="1">
        <f t="shared" si="103"/>
        <v>1</v>
      </c>
    </row>
    <row r="494" spans="1:26" ht="18" customHeight="1" x14ac:dyDescent="0.3">
      <c r="A494" s="2"/>
      <c r="B494" s="65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66"/>
      <c r="E494" s="66"/>
      <c r="F494" s="60"/>
      <c r="G494" s="67"/>
      <c r="H494" s="60"/>
      <c r="I494" s="68">
        <f t="shared" ca="1" si="91"/>
        <v>0</v>
      </c>
      <c r="J494" s="68">
        <f t="shared" ca="1" si="92"/>
        <v>0</v>
      </c>
      <c r="K494" s="68">
        <f t="shared" ca="1" si="93"/>
        <v>0</v>
      </c>
      <c r="L494" s="68">
        <f t="shared" ca="1" si="94"/>
        <v>0</v>
      </c>
      <c r="M494" s="69">
        <f t="shared" si="95"/>
        <v>0</v>
      </c>
      <c r="N494" s="65" t="str">
        <f t="shared" si="96"/>
        <v/>
      </c>
      <c r="O494" s="70" t="str">
        <f>IF(OR($C494="",$D494="",$F494=""),"",IF($F494="Aylık",EOMONTH($D494,0),($D494+MOD(SISTEM!$F$8-WEEKDAY($D494,2),7))))</f>
        <v/>
      </c>
      <c r="P494" s="61"/>
      <c r="Q494" s="2"/>
      <c r="R494" s="2"/>
      <c r="S494" s="1" t="str">
        <f>IF($B494="","",$B494&amp;"|"&amp;COUNTIFS($B$7:$B494,$B494))</f>
        <v/>
      </c>
      <c r="T494" s="1" t="str">
        <f t="shared" si="97"/>
        <v/>
      </c>
      <c r="U494" s="1">
        <f t="shared" si="98"/>
        <v>0</v>
      </c>
      <c r="V494" s="1">
        <f t="shared" si="99"/>
        <v>2958465</v>
      </c>
      <c r="W494" s="1">
        <f t="shared" si="100"/>
        <v>0</v>
      </c>
      <c r="X494" s="1">
        <f t="shared" si="101"/>
        <v>0</v>
      </c>
      <c r="Y494" s="1">
        <f t="shared" si="102"/>
        <v>97200</v>
      </c>
      <c r="Z494" s="1">
        <f t="shared" si="103"/>
        <v>1</v>
      </c>
    </row>
    <row r="495" spans="1:26" ht="18" customHeight="1" x14ac:dyDescent="0.3">
      <c r="A495" s="2"/>
      <c r="B495" s="65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66"/>
      <c r="E495" s="66"/>
      <c r="F495" s="60"/>
      <c r="G495" s="67"/>
      <c r="H495" s="60"/>
      <c r="I495" s="68">
        <f t="shared" ca="1" si="91"/>
        <v>0</v>
      </c>
      <c r="J495" s="68">
        <f t="shared" ca="1" si="92"/>
        <v>0</v>
      </c>
      <c r="K495" s="68">
        <f t="shared" ca="1" si="93"/>
        <v>0</v>
      </c>
      <c r="L495" s="68">
        <f t="shared" ca="1" si="94"/>
        <v>0</v>
      </c>
      <c r="M495" s="69">
        <f t="shared" si="95"/>
        <v>0</v>
      </c>
      <c r="N495" s="65" t="str">
        <f t="shared" si="96"/>
        <v/>
      </c>
      <c r="O495" s="70" t="str">
        <f>IF(OR($C495="",$D495="",$F495=""),"",IF($F495="Aylık",EOMONTH($D495,0),($D495+MOD(SISTEM!$F$8-WEEKDAY($D495,2),7))))</f>
        <v/>
      </c>
      <c r="P495" s="61"/>
      <c r="Q495" s="2"/>
      <c r="R495" s="2"/>
      <c r="S495" s="1" t="str">
        <f>IF($B495="","",$B495&amp;"|"&amp;COUNTIFS($B$7:$B495,$B495))</f>
        <v/>
      </c>
      <c r="T495" s="1" t="str">
        <f t="shared" si="97"/>
        <v/>
      </c>
      <c r="U495" s="1">
        <f t="shared" si="98"/>
        <v>0</v>
      </c>
      <c r="V495" s="1">
        <f t="shared" si="99"/>
        <v>2958465</v>
      </c>
      <c r="W495" s="1">
        <f t="shared" si="100"/>
        <v>0</v>
      </c>
      <c r="X495" s="1">
        <f t="shared" si="101"/>
        <v>0</v>
      </c>
      <c r="Y495" s="1">
        <f t="shared" si="102"/>
        <v>97200</v>
      </c>
      <c r="Z495" s="1">
        <f t="shared" si="103"/>
        <v>1</v>
      </c>
    </row>
    <row r="496" spans="1:26" ht="18" customHeight="1" x14ac:dyDescent="0.3">
      <c r="A496" s="2"/>
      <c r="B496" s="65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66"/>
      <c r="E496" s="66"/>
      <c r="F496" s="60"/>
      <c r="G496" s="67"/>
      <c r="H496" s="60"/>
      <c r="I496" s="68">
        <f t="shared" ca="1" si="91"/>
        <v>0</v>
      </c>
      <c r="J496" s="68">
        <f t="shared" ca="1" si="92"/>
        <v>0</v>
      </c>
      <c r="K496" s="68">
        <f t="shared" ca="1" si="93"/>
        <v>0</v>
      </c>
      <c r="L496" s="68">
        <f t="shared" ca="1" si="94"/>
        <v>0</v>
      </c>
      <c r="M496" s="69">
        <f t="shared" si="95"/>
        <v>0</v>
      </c>
      <c r="N496" s="65" t="str">
        <f t="shared" si="96"/>
        <v/>
      </c>
      <c r="O496" s="70" t="str">
        <f>IF(OR($C496="",$D496="",$F496=""),"",IF($F496="Aylık",EOMONTH($D496,0),($D496+MOD(SISTEM!$F$8-WEEKDAY($D496,2),7))))</f>
        <v/>
      </c>
      <c r="P496" s="61"/>
      <c r="Q496" s="2"/>
      <c r="R496" s="2"/>
      <c r="S496" s="1" t="str">
        <f>IF($B496="","",$B496&amp;"|"&amp;COUNTIFS($B$7:$B496,$B496))</f>
        <v/>
      </c>
      <c r="T496" s="1" t="str">
        <f t="shared" si="97"/>
        <v/>
      </c>
      <c r="U496" s="1">
        <f t="shared" si="98"/>
        <v>0</v>
      </c>
      <c r="V496" s="1">
        <f t="shared" si="99"/>
        <v>2958465</v>
      </c>
      <c r="W496" s="1">
        <f t="shared" si="100"/>
        <v>0</v>
      </c>
      <c r="X496" s="1">
        <f t="shared" si="101"/>
        <v>0</v>
      </c>
      <c r="Y496" s="1">
        <f t="shared" si="102"/>
        <v>97200</v>
      </c>
      <c r="Z496" s="1">
        <f t="shared" si="103"/>
        <v>1</v>
      </c>
    </row>
    <row r="497" spans="1:26" ht="18" customHeight="1" x14ac:dyDescent="0.3">
      <c r="A497" s="2"/>
      <c r="B497" s="65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66"/>
      <c r="E497" s="66"/>
      <c r="F497" s="60"/>
      <c r="G497" s="67"/>
      <c r="H497" s="60"/>
      <c r="I497" s="68">
        <f t="shared" ca="1" si="91"/>
        <v>0</v>
      </c>
      <c r="J497" s="68">
        <f t="shared" ca="1" si="92"/>
        <v>0</v>
      </c>
      <c r="K497" s="68">
        <f t="shared" ca="1" si="93"/>
        <v>0</v>
      </c>
      <c r="L497" s="68">
        <f t="shared" ca="1" si="94"/>
        <v>0</v>
      </c>
      <c r="M497" s="69">
        <f t="shared" si="95"/>
        <v>0</v>
      </c>
      <c r="N497" s="65" t="str">
        <f t="shared" si="96"/>
        <v/>
      </c>
      <c r="O497" s="70" t="str">
        <f>IF(OR($C497="",$D497="",$F497=""),"",IF($F497="Aylık",EOMONTH($D497,0),($D497+MOD(SISTEM!$F$8-WEEKDAY($D497,2),7))))</f>
        <v/>
      </c>
      <c r="P497" s="61"/>
      <c r="Q497" s="2"/>
      <c r="R497" s="2"/>
      <c r="S497" s="1" t="str">
        <f>IF($B497="","",$B497&amp;"|"&amp;COUNTIFS($B$7:$B497,$B497))</f>
        <v/>
      </c>
      <c r="T497" s="1" t="str">
        <f t="shared" si="97"/>
        <v/>
      </c>
      <c r="U497" s="1">
        <f t="shared" si="98"/>
        <v>0</v>
      </c>
      <c r="V497" s="1">
        <f t="shared" si="99"/>
        <v>2958465</v>
      </c>
      <c r="W497" s="1">
        <f t="shared" si="100"/>
        <v>0</v>
      </c>
      <c r="X497" s="1">
        <f t="shared" si="101"/>
        <v>0</v>
      </c>
      <c r="Y497" s="1">
        <f t="shared" si="102"/>
        <v>97200</v>
      </c>
      <c r="Z497" s="1">
        <f t="shared" si="103"/>
        <v>1</v>
      </c>
    </row>
    <row r="498" spans="1:26" ht="18" customHeight="1" x14ac:dyDescent="0.3">
      <c r="A498" s="2"/>
      <c r="B498" s="65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66"/>
      <c r="E498" s="66"/>
      <c r="F498" s="60"/>
      <c r="G498" s="67"/>
      <c r="H498" s="60"/>
      <c r="I498" s="68">
        <f t="shared" ca="1" si="91"/>
        <v>0</v>
      </c>
      <c r="J498" s="68">
        <f t="shared" ca="1" si="92"/>
        <v>0</v>
      </c>
      <c r="K498" s="68">
        <f t="shared" ca="1" si="93"/>
        <v>0</v>
      </c>
      <c r="L498" s="68">
        <f t="shared" ca="1" si="94"/>
        <v>0</v>
      </c>
      <c r="M498" s="69">
        <f t="shared" si="95"/>
        <v>0</v>
      </c>
      <c r="N498" s="65" t="str">
        <f t="shared" si="96"/>
        <v/>
      </c>
      <c r="O498" s="70" t="str">
        <f>IF(OR($C498="",$D498="",$F498=""),"",IF($F498="Aylık",EOMONTH($D498,0),($D498+MOD(SISTEM!$F$8-WEEKDAY($D498,2),7))))</f>
        <v/>
      </c>
      <c r="P498" s="61"/>
      <c r="Q498" s="2"/>
      <c r="R498" s="2"/>
      <c r="S498" s="1" t="str">
        <f>IF($B498="","",$B498&amp;"|"&amp;COUNTIFS($B$7:$B498,$B498))</f>
        <v/>
      </c>
      <c r="T498" s="1" t="str">
        <f t="shared" si="97"/>
        <v/>
      </c>
      <c r="U498" s="1">
        <f t="shared" si="98"/>
        <v>0</v>
      </c>
      <c r="V498" s="1">
        <f t="shared" si="99"/>
        <v>2958465</v>
      </c>
      <c r="W498" s="1">
        <f t="shared" si="100"/>
        <v>0</v>
      </c>
      <c r="X498" s="1">
        <f t="shared" si="101"/>
        <v>0</v>
      </c>
      <c r="Y498" s="1">
        <f t="shared" si="102"/>
        <v>97200</v>
      </c>
      <c r="Z498" s="1">
        <f t="shared" si="103"/>
        <v>1</v>
      </c>
    </row>
    <row r="499" spans="1:26" ht="18" customHeight="1" x14ac:dyDescent="0.3">
      <c r="A499" s="2"/>
      <c r="B499" s="65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66"/>
      <c r="E499" s="66"/>
      <c r="F499" s="60"/>
      <c r="G499" s="67"/>
      <c r="H499" s="60"/>
      <c r="I499" s="68">
        <f t="shared" ca="1" si="91"/>
        <v>0</v>
      </c>
      <c r="J499" s="68">
        <f t="shared" ca="1" si="92"/>
        <v>0</v>
      </c>
      <c r="K499" s="68">
        <f t="shared" ca="1" si="93"/>
        <v>0</v>
      </c>
      <c r="L499" s="68">
        <f t="shared" ca="1" si="94"/>
        <v>0</v>
      </c>
      <c r="M499" s="69">
        <f t="shared" si="95"/>
        <v>0</v>
      </c>
      <c r="N499" s="65" t="str">
        <f t="shared" si="96"/>
        <v/>
      </c>
      <c r="O499" s="70" t="str">
        <f>IF(OR($C499="",$D499="",$F499=""),"",IF($F499="Aylık",EOMONTH($D499,0),($D499+MOD(SISTEM!$F$8-WEEKDAY($D499,2),7))))</f>
        <v/>
      </c>
      <c r="P499" s="61"/>
      <c r="Q499" s="2"/>
      <c r="R499" s="2"/>
      <c r="S499" s="1" t="str">
        <f>IF($B499="","",$B499&amp;"|"&amp;COUNTIFS($B$7:$B499,$B499))</f>
        <v/>
      </c>
      <c r="T499" s="1" t="str">
        <f t="shared" si="97"/>
        <v/>
      </c>
      <c r="U499" s="1">
        <f t="shared" si="98"/>
        <v>0</v>
      </c>
      <c r="V499" s="1">
        <f t="shared" si="99"/>
        <v>2958465</v>
      </c>
      <c r="W499" s="1">
        <f t="shared" si="100"/>
        <v>0</v>
      </c>
      <c r="X499" s="1">
        <f t="shared" si="101"/>
        <v>0</v>
      </c>
      <c r="Y499" s="1">
        <f t="shared" si="102"/>
        <v>97200</v>
      </c>
      <c r="Z499" s="1">
        <f t="shared" si="103"/>
        <v>1</v>
      </c>
    </row>
    <row r="500" spans="1:26" ht="18" customHeight="1" x14ac:dyDescent="0.3">
      <c r="A500" s="2"/>
      <c r="B500" s="65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66"/>
      <c r="E500" s="66"/>
      <c r="F500" s="60"/>
      <c r="G500" s="67"/>
      <c r="H500" s="60"/>
      <c r="I500" s="68">
        <f t="shared" ca="1" si="91"/>
        <v>0</v>
      </c>
      <c r="J500" s="68">
        <f t="shared" ca="1" si="92"/>
        <v>0</v>
      </c>
      <c r="K500" s="68">
        <f t="shared" ca="1" si="93"/>
        <v>0</v>
      </c>
      <c r="L500" s="68">
        <f t="shared" ca="1" si="94"/>
        <v>0</v>
      </c>
      <c r="M500" s="69">
        <f t="shared" si="95"/>
        <v>0</v>
      </c>
      <c r="N500" s="65" t="str">
        <f t="shared" si="96"/>
        <v/>
      </c>
      <c r="O500" s="70" t="str">
        <f>IF(OR($C500="",$D500="",$F500=""),"",IF($F500="Aylık",EOMONTH($D500,0),($D500+MOD(SISTEM!$F$8-WEEKDAY($D500,2),7))))</f>
        <v/>
      </c>
      <c r="P500" s="61"/>
      <c r="Q500" s="2"/>
      <c r="R500" s="2"/>
      <c r="S500" s="1" t="str">
        <f>IF($B500="","",$B500&amp;"|"&amp;COUNTIFS($B$7:$B500,$B500))</f>
        <v/>
      </c>
      <c r="T500" s="1" t="str">
        <f t="shared" si="97"/>
        <v/>
      </c>
      <c r="U500" s="1">
        <f t="shared" si="98"/>
        <v>0</v>
      </c>
      <c r="V500" s="1">
        <f t="shared" si="99"/>
        <v>2958465</v>
      </c>
      <c r="W500" s="1">
        <f t="shared" si="100"/>
        <v>0</v>
      </c>
      <c r="X500" s="1">
        <f t="shared" si="101"/>
        <v>0</v>
      </c>
      <c r="Y500" s="1">
        <f t="shared" si="102"/>
        <v>97200</v>
      </c>
      <c r="Z500" s="1">
        <f t="shared" si="103"/>
        <v>1</v>
      </c>
    </row>
    <row r="501" spans="1:26" ht="18" customHeight="1" x14ac:dyDescent="0.3">
      <c r="A501" s="2"/>
      <c r="B501" s="65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66"/>
      <c r="E501" s="66"/>
      <c r="F501" s="60"/>
      <c r="G501" s="67"/>
      <c r="H501" s="60"/>
      <c r="I501" s="68">
        <f t="shared" ca="1" si="91"/>
        <v>0</v>
      </c>
      <c r="J501" s="68">
        <f t="shared" ca="1" si="92"/>
        <v>0</v>
      </c>
      <c r="K501" s="68">
        <f t="shared" ca="1" si="93"/>
        <v>0</v>
      </c>
      <c r="L501" s="68">
        <f t="shared" ca="1" si="94"/>
        <v>0</v>
      </c>
      <c r="M501" s="69">
        <f t="shared" si="95"/>
        <v>0</v>
      </c>
      <c r="N501" s="65" t="str">
        <f t="shared" si="96"/>
        <v/>
      </c>
      <c r="O501" s="70" t="str">
        <f>IF(OR($C501="",$D501="",$F501=""),"",IF($F501="Aylık",EOMONTH($D501,0),($D501+MOD(SISTEM!$F$8-WEEKDAY($D501,2),7))))</f>
        <v/>
      </c>
      <c r="P501" s="61"/>
      <c r="Q501" s="2"/>
      <c r="R501" s="2"/>
      <c r="S501" s="1" t="str">
        <f>IF($B501="","",$B501&amp;"|"&amp;COUNTIFS($B$7:$B501,$B501))</f>
        <v/>
      </c>
      <c r="T501" s="1" t="str">
        <f t="shared" si="97"/>
        <v/>
      </c>
      <c r="U501" s="1">
        <f t="shared" si="98"/>
        <v>0</v>
      </c>
      <c r="V501" s="1">
        <f t="shared" si="99"/>
        <v>2958465</v>
      </c>
      <c r="W501" s="1">
        <f t="shared" si="100"/>
        <v>0</v>
      </c>
      <c r="X501" s="1">
        <f t="shared" si="101"/>
        <v>0</v>
      </c>
      <c r="Y501" s="1">
        <f t="shared" si="102"/>
        <v>97200</v>
      </c>
      <c r="Z501" s="1">
        <f t="shared" si="103"/>
        <v>1</v>
      </c>
    </row>
    <row r="502" spans="1:26" ht="18" customHeight="1" x14ac:dyDescent="0.3">
      <c r="A502" s="2"/>
      <c r="B502" s="65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66"/>
      <c r="E502" s="66"/>
      <c r="F502" s="60"/>
      <c r="G502" s="67"/>
      <c r="H502" s="60"/>
      <c r="I502" s="68">
        <f t="shared" ca="1" si="91"/>
        <v>0</v>
      </c>
      <c r="J502" s="68">
        <f t="shared" ca="1" si="92"/>
        <v>0</v>
      </c>
      <c r="K502" s="68">
        <f t="shared" ca="1" si="93"/>
        <v>0</v>
      </c>
      <c r="L502" s="68">
        <f t="shared" ca="1" si="94"/>
        <v>0</v>
      </c>
      <c r="M502" s="69">
        <f t="shared" si="95"/>
        <v>0</v>
      </c>
      <c r="N502" s="65" t="str">
        <f t="shared" si="96"/>
        <v/>
      </c>
      <c r="O502" s="70" t="str">
        <f>IF(OR($C502="",$D502="",$F502=""),"",IF($F502="Aylık",EOMONTH($D502,0),($D502+MOD(SISTEM!$F$8-WEEKDAY($D502,2),7))))</f>
        <v/>
      </c>
      <c r="P502" s="61"/>
      <c r="Q502" s="2"/>
      <c r="R502" s="2"/>
      <c r="S502" s="1" t="str">
        <f>IF($B502="","",$B502&amp;"|"&amp;COUNTIFS($B$7:$B502,$B502))</f>
        <v/>
      </c>
      <c r="T502" s="1" t="str">
        <f t="shared" si="97"/>
        <v/>
      </c>
      <c r="U502" s="1">
        <f t="shared" si="98"/>
        <v>0</v>
      </c>
      <c r="V502" s="1">
        <f t="shared" si="99"/>
        <v>2958465</v>
      </c>
      <c r="W502" s="1">
        <f t="shared" si="100"/>
        <v>0</v>
      </c>
      <c r="X502" s="1">
        <f t="shared" si="101"/>
        <v>0</v>
      </c>
      <c r="Y502" s="1">
        <f t="shared" si="102"/>
        <v>97200</v>
      </c>
      <c r="Z502" s="1">
        <f t="shared" si="103"/>
        <v>1</v>
      </c>
    </row>
    <row r="503" spans="1:26" ht="18" customHeight="1" x14ac:dyDescent="0.3">
      <c r="A503" s="2"/>
      <c r="B503" s="65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66"/>
      <c r="E503" s="66"/>
      <c r="F503" s="60"/>
      <c r="G503" s="67"/>
      <c r="H503" s="60"/>
      <c r="I503" s="68">
        <f t="shared" ca="1" si="91"/>
        <v>0</v>
      </c>
      <c r="J503" s="68">
        <f t="shared" ca="1" si="92"/>
        <v>0</v>
      </c>
      <c r="K503" s="68">
        <f t="shared" ca="1" si="93"/>
        <v>0</v>
      </c>
      <c r="L503" s="68">
        <f t="shared" ca="1" si="94"/>
        <v>0</v>
      </c>
      <c r="M503" s="69">
        <f t="shared" si="95"/>
        <v>0</v>
      </c>
      <c r="N503" s="65" t="str">
        <f t="shared" si="96"/>
        <v/>
      </c>
      <c r="O503" s="70" t="str">
        <f>IF(OR($C503="",$D503="",$F503=""),"",IF($F503="Aylık",EOMONTH($D503,0),($D503+MOD(SISTEM!$F$8-WEEKDAY($D503,2),7))))</f>
        <v/>
      </c>
      <c r="P503" s="61"/>
      <c r="Q503" s="2"/>
      <c r="R503" s="2"/>
      <c r="S503" s="1" t="str">
        <f>IF($B503="","",$B503&amp;"|"&amp;COUNTIFS($B$7:$B503,$B503))</f>
        <v/>
      </c>
      <c r="T503" s="1" t="str">
        <f t="shared" si="97"/>
        <v/>
      </c>
      <c r="U503" s="1">
        <f t="shared" si="98"/>
        <v>0</v>
      </c>
      <c r="V503" s="1">
        <f t="shared" si="99"/>
        <v>2958465</v>
      </c>
      <c r="W503" s="1">
        <f t="shared" si="100"/>
        <v>0</v>
      </c>
      <c r="X503" s="1">
        <f t="shared" si="101"/>
        <v>0</v>
      </c>
      <c r="Y503" s="1">
        <f t="shared" si="102"/>
        <v>97200</v>
      </c>
      <c r="Z503" s="1">
        <f t="shared" si="103"/>
        <v>1</v>
      </c>
    </row>
    <row r="504" spans="1:26" ht="18" customHeight="1" x14ac:dyDescent="0.3">
      <c r="A504" s="2"/>
      <c r="B504" s="65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66"/>
      <c r="E504" s="66"/>
      <c r="F504" s="60"/>
      <c r="G504" s="67"/>
      <c r="H504" s="60"/>
      <c r="I504" s="68">
        <f t="shared" ca="1" si="91"/>
        <v>0</v>
      </c>
      <c r="J504" s="68">
        <f t="shared" ca="1" si="92"/>
        <v>0</v>
      </c>
      <c r="K504" s="68">
        <f t="shared" ca="1" si="93"/>
        <v>0</v>
      </c>
      <c r="L504" s="68">
        <f t="shared" ca="1" si="94"/>
        <v>0</v>
      </c>
      <c r="M504" s="69">
        <f t="shared" si="95"/>
        <v>0</v>
      </c>
      <c r="N504" s="65" t="str">
        <f t="shared" si="96"/>
        <v/>
      </c>
      <c r="O504" s="70" t="str">
        <f>IF(OR($C504="",$D504="",$F504=""),"",IF($F504="Aylık",EOMONTH($D504,0),($D504+MOD(SISTEM!$F$8-WEEKDAY($D504,2),7))))</f>
        <v/>
      </c>
      <c r="P504" s="61"/>
      <c r="Q504" s="2"/>
      <c r="R504" s="2"/>
      <c r="S504" s="1" t="str">
        <f>IF($B504="","",$B504&amp;"|"&amp;COUNTIFS($B$7:$B504,$B504))</f>
        <v/>
      </c>
      <c r="T504" s="1" t="str">
        <f t="shared" si="97"/>
        <v/>
      </c>
      <c r="U504" s="1">
        <f t="shared" si="98"/>
        <v>0</v>
      </c>
      <c r="V504" s="1">
        <f t="shared" si="99"/>
        <v>2958465</v>
      </c>
      <c r="W504" s="1">
        <f t="shared" si="100"/>
        <v>0</v>
      </c>
      <c r="X504" s="1">
        <f t="shared" si="101"/>
        <v>0</v>
      </c>
      <c r="Y504" s="1">
        <f t="shared" si="102"/>
        <v>97200</v>
      </c>
      <c r="Z504" s="1">
        <f t="shared" si="103"/>
        <v>1</v>
      </c>
    </row>
    <row r="505" spans="1:26" ht="18" customHeight="1" x14ac:dyDescent="0.3">
      <c r="A505" s="2"/>
      <c r="B505" s="65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66"/>
      <c r="E505" s="66"/>
      <c r="F505" s="60"/>
      <c r="G505" s="67"/>
      <c r="H505" s="60"/>
      <c r="I505" s="68">
        <f t="shared" ca="1" si="91"/>
        <v>0</v>
      </c>
      <c r="J505" s="68">
        <f t="shared" ca="1" si="92"/>
        <v>0</v>
      </c>
      <c r="K505" s="68">
        <f t="shared" ca="1" si="93"/>
        <v>0</v>
      </c>
      <c r="L505" s="68">
        <f t="shared" ca="1" si="94"/>
        <v>0</v>
      </c>
      <c r="M505" s="69">
        <f t="shared" si="95"/>
        <v>0</v>
      </c>
      <c r="N505" s="65" t="str">
        <f t="shared" si="96"/>
        <v/>
      </c>
      <c r="O505" s="70" t="str">
        <f>IF(OR($C505="",$D505="",$F505=""),"",IF($F505="Aylık",EOMONTH($D505,0),($D505+MOD(SISTEM!$F$8-WEEKDAY($D505,2),7))))</f>
        <v/>
      </c>
      <c r="P505" s="61"/>
      <c r="Q505" s="2"/>
      <c r="R505" s="2"/>
      <c r="S505" s="1" t="str">
        <f>IF($B505="","",$B505&amp;"|"&amp;COUNTIFS($B$7:$B505,$B505))</f>
        <v/>
      </c>
      <c r="T505" s="1" t="str">
        <f t="shared" si="97"/>
        <v/>
      </c>
      <c r="U505" s="1">
        <f t="shared" si="98"/>
        <v>0</v>
      </c>
      <c r="V505" s="1">
        <f t="shared" si="99"/>
        <v>2958465</v>
      </c>
      <c r="W505" s="1">
        <f t="shared" si="100"/>
        <v>0</v>
      </c>
      <c r="X505" s="1">
        <f t="shared" si="101"/>
        <v>0</v>
      </c>
      <c r="Y505" s="1">
        <f t="shared" si="102"/>
        <v>97200</v>
      </c>
      <c r="Z505" s="1">
        <f t="shared" si="103"/>
        <v>1</v>
      </c>
    </row>
    <row r="506" spans="1:26" ht="18" customHeight="1" x14ac:dyDescent="0.3">
      <c r="A506" s="2"/>
      <c r="B506" s="65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66"/>
      <c r="E506" s="66"/>
      <c r="F506" s="60"/>
      <c r="G506" s="67"/>
      <c r="H506" s="60"/>
      <c r="I506" s="68">
        <f t="shared" ca="1" si="91"/>
        <v>0</v>
      </c>
      <c r="J506" s="68">
        <f t="shared" ca="1" si="92"/>
        <v>0</v>
      </c>
      <c r="K506" s="68">
        <f t="shared" ca="1" si="93"/>
        <v>0</v>
      </c>
      <c r="L506" s="68">
        <f t="shared" ca="1" si="94"/>
        <v>0</v>
      </c>
      <c r="M506" s="69">
        <f t="shared" si="95"/>
        <v>0</v>
      </c>
      <c r="N506" s="65" t="str">
        <f t="shared" si="96"/>
        <v/>
      </c>
      <c r="O506" s="70" t="str">
        <f>IF(OR($C506="",$D506="",$F506=""),"",IF($F506="Aylık",EOMONTH($D506,0),($D506+MOD(SISTEM!$F$8-WEEKDAY($D506,2),7))))</f>
        <v/>
      </c>
      <c r="P506" s="61"/>
      <c r="Q506" s="2"/>
      <c r="R506" s="2"/>
      <c r="S506" s="1" t="str">
        <f>IF($B506="","",$B506&amp;"|"&amp;COUNTIFS($B$7:$B506,$B506))</f>
        <v/>
      </c>
      <c r="T506" s="1" t="str">
        <f t="shared" si="97"/>
        <v/>
      </c>
      <c r="U506" s="1">
        <f t="shared" si="98"/>
        <v>0</v>
      </c>
      <c r="V506" s="1">
        <f t="shared" si="99"/>
        <v>2958465</v>
      </c>
      <c r="W506" s="1">
        <f t="shared" si="100"/>
        <v>0</v>
      </c>
      <c r="X506" s="1">
        <f t="shared" si="101"/>
        <v>0</v>
      </c>
      <c r="Y506" s="1">
        <f t="shared" si="102"/>
        <v>97200</v>
      </c>
      <c r="Z506" s="1">
        <f t="shared" si="103"/>
        <v>1</v>
      </c>
    </row>
    <row r="507" spans="1:26" ht="18" customHeight="1" x14ac:dyDescent="0.3">
      <c r="A507" s="2"/>
      <c r="B507" s="65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66"/>
      <c r="E507" s="66"/>
      <c r="F507" s="60"/>
      <c r="G507" s="67"/>
      <c r="H507" s="60"/>
      <c r="I507" s="68">
        <f t="shared" ca="1" si="91"/>
        <v>0</v>
      </c>
      <c r="J507" s="68">
        <f t="shared" ca="1" si="92"/>
        <v>0</v>
      </c>
      <c r="K507" s="68">
        <f t="shared" ca="1" si="93"/>
        <v>0</v>
      </c>
      <c r="L507" s="68">
        <f t="shared" ca="1" si="94"/>
        <v>0</v>
      </c>
      <c r="M507" s="69">
        <f t="shared" si="95"/>
        <v>0</v>
      </c>
      <c r="N507" s="65" t="str">
        <f t="shared" si="96"/>
        <v/>
      </c>
      <c r="O507" s="70" t="str">
        <f>IF(OR($C507="",$D507="",$F507=""),"",IF($F507="Aylık",EOMONTH($D507,0),($D507+MOD(SISTEM!$F$8-WEEKDAY($D507,2),7))))</f>
        <v/>
      </c>
      <c r="P507" s="61"/>
      <c r="Q507" s="2"/>
      <c r="R507" s="2"/>
      <c r="S507" s="1" t="str">
        <f>IF($B507="","",$B507&amp;"|"&amp;COUNTIFS($B$7:$B507,$B507))</f>
        <v/>
      </c>
      <c r="T507" s="1" t="str">
        <f t="shared" si="97"/>
        <v/>
      </c>
      <c r="U507" s="1">
        <f t="shared" si="98"/>
        <v>0</v>
      </c>
      <c r="V507" s="1">
        <f t="shared" si="99"/>
        <v>2958465</v>
      </c>
      <c r="W507" s="1">
        <f t="shared" si="100"/>
        <v>0</v>
      </c>
      <c r="X507" s="1">
        <f t="shared" si="101"/>
        <v>0</v>
      </c>
      <c r="Y507" s="1">
        <f t="shared" si="102"/>
        <v>97200</v>
      </c>
      <c r="Z507" s="1">
        <f t="shared" si="103"/>
        <v>1</v>
      </c>
    </row>
    <row r="508" spans="1:26" ht="18" customHeight="1" x14ac:dyDescent="0.3">
      <c r="A508" s="2"/>
      <c r="B508" s="65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66"/>
      <c r="E508" s="66"/>
      <c r="F508" s="60"/>
      <c r="G508" s="67"/>
      <c r="H508" s="60"/>
      <c r="I508" s="68">
        <f t="shared" ca="1" si="91"/>
        <v>0</v>
      </c>
      <c r="J508" s="68">
        <f t="shared" ca="1" si="92"/>
        <v>0</v>
      </c>
      <c r="K508" s="68">
        <f t="shared" ca="1" si="93"/>
        <v>0</v>
      </c>
      <c r="L508" s="68">
        <f t="shared" ca="1" si="94"/>
        <v>0</v>
      </c>
      <c r="M508" s="69">
        <f t="shared" si="95"/>
        <v>0</v>
      </c>
      <c r="N508" s="65" t="str">
        <f t="shared" si="96"/>
        <v/>
      </c>
      <c r="O508" s="70" t="str">
        <f>IF(OR($C508="",$D508="",$F508=""),"",IF($F508="Aylık",EOMONTH($D508,0),($D508+MOD(SISTEM!$F$8-WEEKDAY($D508,2),7))))</f>
        <v/>
      </c>
      <c r="P508" s="61"/>
      <c r="Q508" s="2"/>
      <c r="R508" s="2"/>
      <c r="S508" s="1" t="str">
        <f>IF($B508="","",$B508&amp;"|"&amp;COUNTIFS($B$7:$B508,$B508))</f>
        <v/>
      </c>
      <c r="T508" s="1" t="str">
        <f t="shared" si="97"/>
        <v/>
      </c>
      <c r="U508" s="1">
        <f t="shared" si="98"/>
        <v>0</v>
      </c>
      <c r="V508" s="1">
        <f t="shared" si="99"/>
        <v>2958465</v>
      </c>
      <c r="W508" s="1">
        <f t="shared" si="100"/>
        <v>0</v>
      </c>
      <c r="X508" s="1">
        <f t="shared" si="101"/>
        <v>0</v>
      </c>
      <c r="Y508" s="1">
        <f t="shared" si="102"/>
        <v>97200</v>
      </c>
      <c r="Z508" s="1">
        <f t="shared" si="103"/>
        <v>1</v>
      </c>
    </row>
    <row r="509" spans="1:26" ht="18" customHeight="1" x14ac:dyDescent="0.3">
      <c r="A509" s="2"/>
      <c r="B509" s="65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66"/>
      <c r="E509" s="66"/>
      <c r="F509" s="60"/>
      <c r="G509" s="67"/>
      <c r="H509" s="60"/>
      <c r="I509" s="68">
        <f t="shared" ca="1" si="91"/>
        <v>0</v>
      </c>
      <c r="J509" s="68">
        <f t="shared" ca="1" si="92"/>
        <v>0</v>
      </c>
      <c r="K509" s="68">
        <f t="shared" ca="1" si="93"/>
        <v>0</v>
      </c>
      <c r="L509" s="68">
        <f t="shared" ca="1" si="94"/>
        <v>0</v>
      </c>
      <c r="M509" s="69">
        <f t="shared" si="95"/>
        <v>0</v>
      </c>
      <c r="N509" s="65" t="str">
        <f t="shared" si="96"/>
        <v/>
      </c>
      <c r="O509" s="70" t="str">
        <f>IF(OR($C509="",$D509="",$F509=""),"",IF($F509="Aylık",EOMONTH($D509,0),($D509+MOD(SISTEM!$F$8-WEEKDAY($D509,2),7))))</f>
        <v/>
      </c>
      <c r="P509" s="61"/>
      <c r="Q509" s="2"/>
      <c r="R509" s="2"/>
      <c r="S509" s="1" t="str">
        <f>IF($B509="","",$B509&amp;"|"&amp;COUNTIFS($B$7:$B509,$B509))</f>
        <v/>
      </c>
      <c r="T509" s="1" t="str">
        <f t="shared" si="97"/>
        <v/>
      </c>
      <c r="U509" s="1">
        <f t="shared" si="98"/>
        <v>0</v>
      </c>
      <c r="V509" s="1">
        <f t="shared" si="99"/>
        <v>2958465</v>
      </c>
      <c r="W509" s="1">
        <f t="shared" si="100"/>
        <v>0</v>
      </c>
      <c r="X509" s="1">
        <f t="shared" si="101"/>
        <v>0</v>
      </c>
      <c r="Y509" s="1">
        <f t="shared" si="102"/>
        <v>97200</v>
      </c>
      <c r="Z509" s="1">
        <f t="shared" si="103"/>
        <v>1</v>
      </c>
    </row>
    <row r="510" spans="1:26" ht="18" customHeight="1" x14ac:dyDescent="0.3">
      <c r="A510" s="2"/>
      <c r="B510" s="65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66"/>
      <c r="E510" s="66"/>
      <c r="F510" s="60"/>
      <c r="G510" s="67"/>
      <c r="H510" s="60"/>
      <c r="I510" s="68">
        <f t="shared" ca="1" si="91"/>
        <v>0</v>
      </c>
      <c r="J510" s="68">
        <f t="shared" ca="1" si="92"/>
        <v>0</v>
      </c>
      <c r="K510" s="68">
        <f t="shared" ca="1" si="93"/>
        <v>0</v>
      </c>
      <c r="L510" s="68">
        <f t="shared" ca="1" si="94"/>
        <v>0</v>
      </c>
      <c r="M510" s="69">
        <f t="shared" si="95"/>
        <v>0</v>
      </c>
      <c r="N510" s="65" t="str">
        <f t="shared" si="96"/>
        <v/>
      </c>
      <c r="O510" s="70" t="str">
        <f>IF(OR($C510="",$D510="",$F510=""),"",IF($F510="Aylık",EOMONTH($D510,0),($D510+MOD(SISTEM!$F$8-WEEKDAY($D510,2),7))))</f>
        <v/>
      </c>
      <c r="P510" s="61"/>
      <c r="Q510" s="2"/>
      <c r="R510" s="2"/>
      <c r="S510" s="1" t="str">
        <f>IF($B510="","",$B510&amp;"|"&amp;COUNTIFS($B$7:$B510,$B510))</f>
        <v/>
      </c>
      <c r="T510" s="1" t="str">
        <f t="shared" si="97"/>
        <v/>
      </c>
      <c r="U510" s="1">
        <f t="shared" si="98"/>
        <v>0</v>
      </c>
      <c r="V510" s="1">
        <f t="shared" si="99"/>
        <v>2958465</v>
      </c>
      <c r="W510" s="1">
        <f t="shared" si="100"/>
        <v>0</v>
      </c>
      <c r="X510" s="1">
        <f t="shared" si="101"/>
        <v>0</v>
      </c>
      <c r="Y510" s="1">
        <f t="shared" si="102"/>
        <v>97200</v>
      </c>
      <c r="Z510" s="1">
        <f t="shared" si="103"/>
        <v>1</v>
      </c>
    </row>
    <row r="511" spans="1:26" ht="18" customHeight="1" x14ac:dyDescent="0.3">
      <c r="A511" s="2"/>
      <c r="B511" s="65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66"/>
      <c r="E511" s="66"/>
      <c r="F511" s="60"/>
      <c r="G511" s="67"/>
      <c r="H511" s="60"/>
      <c r="I511" s="68">
        <f t="shared" ca="1" si="91"/>
        <v>0</v>
      </c>
      <c r="J511" s="68">
        <f t="shared" ca="1" si="92"/>
        <v>0</v>
      </c>
      <c r="K511" s="68">
        <f t="shared" ca="1" si="93"/>
        <v>0</v>
      </c>
      <c r="L511" s="68">
        <f t="shared" ca="1" si="94"/>
        <v>0</v>
      </c>
      <c r="M511" s="69">
        <f t="shared" si="95"/>
        <v>0</v>
      </c>
      <c r="N511" s="65" t="str">
        <f t="shared" si="96"/>
        <v/>
      </c>
      <c r="O511" s="70" t="str">
        <f>IF(OR($C511="",$D511="",$F511=""),"",IF($F511="Aylık",EOMONTH($D511,0),($D511+MOD(SISTEM!$F$8-WEEKDAY($D511,2),7))))</f>
        <v/>
      </c>
      <c r="P511" s="61"/>
      <c r="Q511" s="2"/>
      <c r="R511" s="2"/>
      <c r="S511" s="1" t="str">
        <f>IF($B511="","",$B511&amp;"|"&amp;COUNTIFS($B$7:$B511,$B511))</f>
        <v/>
      </c>
      <c r="T511" s="1" t="str">
        <f t="shared" si="97"/>
        <v/>
      </c>
      <c r="U511" s="1">
        <f t="shared" si="98"/>
        <v>0</v>
      </c>
      <c r="V511" s="1">
        <f t="shared" si="99"/>
        <v>2958465</v>
      </c>
      <c r="W511" s="1">
        <f t="shared" si="100"/>
        <v>0</v>
      </c>
      <c r="X511" s="1">
        <f t="shared" si="101"/>
        <v>0</v>
      </c>
      <c r="Y511" s="1">
        <f t="shared" si="102"/>
        <v>97200</v>
      </c>
      <c r="Z511" s="1">
        <f t="shared" si="103"/>
        <v>1</v>
      </c>
    </row>
    <row r="512" spans="1:26" ht="18" customHeight="1" x14ac:dyDescent="0.3">
      <c r="A512" s="2"/>
      <c r="B512" s="65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66"/>
      <c r="E512" s="66"/>
      <c r="F512" s="60"/>
      <c r="G512" s="67"/>
      <c r="H512" s="60"/>
      <c r="I512" s="68">
        <f t="shared" ca="1" si="91"/>
        <v>0</v>
      </c>
      <c r="J512" s="68">
        <f t="shared" ca="1" si="92"/>
        <v>0</v>
      </c>
      <c r="K512" s="68">
        <f t="shared" ca="1" si="93"/>
        <v>0</v>
      </c>
      <c r="L512" s="68">
        <f t="shared" ca="1" si="94"/>
        <v>0</v>
      </c>
      <c r="M512" s="69">
        <f t="shared" si="95"/>
        <v>0</v>
      </c>
      <c r="N512" s="65" t="str">
        <f t="shared" si="96"/>
        <v/>
      </c>
      <c r="O512" s="70" t="str">
        <f>IF(OR($C512="",$D512="",$F512=""),"",IF($F512="Aylık",EOMONTH($D512,0),($D512+MOD(SISTEM!$F$8-WEEKDAY($D512,2),7))))</f>
        <v/>
      </c>
      <c r="P512" s="61"/>
      <c r="Q512" s="2"/>
      <c r="R512" s="2"/>
      <c r="S512" s="1" t="str">
        <f>IF($B512="","",$B512&amp;"|"&amp;COUNTIFS($B$7:$B512,$B512))</f>
        <v/>
      </c>
      <c r="T512" s="1" t="str">
        <f t="shared" si="97"/>
        <v/>
      </c>
      <c r="U512" s="1">
        <f t="shared" si="98"/>
        <v>0</v>
      </c>
      <c r="V512" s="1">
        <f t="shared" si="99"/>
        <v>2958465</v>
      </c>
      <c r="W512" s="1">
        <f t="shared" si="100"/>
        <v>0</v>
      </c>
      <c r="X512" s="1">
        <f t="shared" si="101"/>
        <v>0</v>
      </c>
      <c r="Y512" s="1">
        <f t="shared" si="102"/>
        <v>97200</v>
      </c>
      <c r="Z512" s="1">
        <f t="shared" si="103"/>
        <v>1</v>
      </c>
    </row>
    <row r="513" spans="1:26" ht="18" customHeight="1" x14ac:dyDescent="0.3">
      <c r="A513" s="2"/>
      <c r="B513" s="65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66"/>
      <c r="E513" s="66"/>
      <c r="F513" s="60"/>
      <c r="G513" s="67"/>
      <c r="H513" s="60"/>
      <c r="I513" s="68">
        <f t="shared" ca="1" si="91"/>
        <v>0</v>
      </c>
      <c r="J513" s="68">
        <f t="shared" ca="1" si="92"/>
        <v>0</v>
      </c>
      <c r="K513" s="68">
        <f t="shared" ca="1" si="93"/>
        <v>0</v>
      </c>
      <c r="L513" s="68">
        <f t="shared" ca="1" si="94"/>
        <v>0</v>
      </c>
      <c r="M513" s="69">
        <f t="shared" si="95"/>
        <v>0</v>
      </c>
      <c r="N513" s="65" t="str">
        <f t="shared" si="96"/>
        <v/>
      </c>
      <c r="O513" s="70" t="str">
        <f>IF(OR($C513="",$D513="",$F513=""),"",IF($F513="Aylık",EOMONTH($D513,0),($D513+MOD(SISTEM!$F$8-WEEKDAY($D513,2),7))))</f>
        <v/>
      </c>
      <c r="P513" s="61"/>
      <c r="Q513" s="2"/>
      <c r="R513" s="2"/>
      <c r="S513" s="1" t="str">
        <f>IF($B513="","",$B513&amp;"|"&amp;COUNTIFS($B$7:$B513,$B513))</f>
        <v/>
      </c>
      <c r="T513" s="1" t="str">
        <f t="shared" si="97"/>
        <v/>
      </c>
      <c r="U513" s="1">
        <f t="shared" si="98"/>
        <v>0</v>
      </c>
      <c r="V513" s="1">
        <f t="shared" si="99"/>
        <v>2958465</v>
      </c>
      <c r="W513" s="1">
        <f t="shared" si="100"/>
        <v>0</v>
      </c>
      <c r="X513" s="1">
        <f t="shared" si="101"/>
        <v>0</v>
      </c>
      <c r="Y513" s="1">
        <f t="shared" si="102"/>
        <v>97200</v>
      </c>
      <c r="Z513" s="1">
        <f t="shared" si="103"/>
        <v>1</v>
      </c>
    </row>
    <row r="514" spans="1:26" ht="18" customHeight="1" x14ac:dyDescent="0.3">
      <c r="A514" s="2"/>
      <c r="B514" s="65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66"/>
      <c r="E514" s="66"/>
      <c r="F514" s="60"/>
      <c r="G514" s="67"/>
      <c r="H514" s="60"/>
      <c r="I514" s="68">
        <f t="shared" ca="1" si="91"/>
        <v>0</v>
      </c>
      <c r="J514" s="68">
        <f t="shared" ca="1" si="92"/>
        <v>0</v>
      </c>
      <c r="K514" s="68">
        <f t="shared" ca="1" si="93"/>
        <v>0</v>
      </c>
      <c r="L514" s="68">
        <f t="shared" ca="1" si="94"/>
        <v>0</v>
      </c>
      <c r="M514" s="69">
        <f t="shared" si="95"/>
        <v>0</v>
      </c>
      <c r="N514" s="65" t="str">
        <f t="shared" si="96"/>
        <v/>
      </c>
      <c r="O514" s="70" t="str">
        <f>IF(OR($C514="",$D514="",$F514=""),"",IF($F514="Aylık",EOMONTH($D514,0),($D514+MOD(SISTEM!$F$8-WEEKDAY($D514,2),7))))</f>
        <v/>
      </c>
      <c r="P514" s="61"/>
      <c r="Q514" s="2"/>
      <c r="R514" s="2"/>
      <c r="S514" s="1" t="str">
        <f>IF($B514="","",$B514&amp;"|"&amp;COUNTIFS($B$7:$B514,$B514))</f>
        <v/>
      </c>
      <c r="T514" s="1" t="str">
        <f t="shared" si="97"/>
        <v/>
      </c>
      <c r="U514" s="1">
        <f t="shared" si="98"/>
        <v>0</v>
      </c>
      <c r="V514" s="1">
        <f t="shared" si="99"/>
        <v>2958465</v>
      </c>
      <c r="W514" s="1">
        <f t="shared" si="100"/>
        <v>0</v>
      </c>
      <c r="X514" s="1">
        <f t="shared" si="101"/>
        <v>0</v>
      </c>
      <c r="Y514" s="1">
        <f t="shared" si="102"/>
        <v>97200</v>
      </c>
      <c r="Z514" s="1">
        <f t="shared" si="103"/>
        <v>1</v>
      </c>
    </row>
    <row r="515" spans="1:26" ht="18" customHeight="1" x14ac:dyDescent="0.3">
      <c r="A515" s="2"/>
      <c r="B515" s="65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66"/>
      <c r="E515" s="66"/>
      <c r="F515" s="60"/>
      <c r="G515" s="67"/>
      <c r="H515" s="60"/>
      <c r="I515" s="68">
        <f t="shared" ca="1" si="91"/>
        <v>0</v>
      </c>
      <c r="J515" s="68">
        <f t="shared" ca="1" si="92"/>
        <v>0</v>
      </c>
      <c r="K515" s="68">
        <f t="shared" ca="1" si="93"/>
        <v>0</v>
      </c>
      <c r="L515" s="68">
        <f t="shared" ca="1" si="94"/>
        <v>0</v>
      </c>
      <c r="M515" s="69">
        <f t="shared" si="95"/>
        <v>0</v>
      </c>
      <c r="N515" s="65" t="str">
        <f t="shared" si="96"/>
        <v/>
      </c>
      <c r="O515" s="70" t="str">
        <f>IF(OR($C515="",$D515="",$F515=""),"",IF($F515="Aylık",EOMONTH($D515,0),($D515+MOD(SISTEM!$F$8-WEEKDAY($D515,2),7))))</f>
        <v/>
      </c>
      <c r="P515" s="61"/>
      <c r="Q515" s="2"/>
      <c r="R515" s="2"/>
      <c r="S515" s="1" t="str">
        <f>IF($B515="","",$B515&amp;"|"&amp;COUNTIFS($B$7:$B515,$B515))</f>
        <v/>
      </c>
      <c r="T515" s="1" t="str">
        <f t="shared" si="97"/>
        <v/>
      </c>
      <c r="U515" s="1">
        <f t="shared" si="98"/>
        <v>0</v>
      </c>
      <c r="V515" s="1">
        <f t="shared" si="99"/>
        <v>2958465</v>
      </c>
      <c r="W515" s="1">
        <f t="shared" si="100"/>
        <v>0</v>
      </c>
      <c r="X515" s="1">
        <f t="shared" si="101"/>
        <v>0</v>
      </c>
      <c r="Y515" s="1">
        <f t="shared" si="102"/>
        <v>97200</v>
      </c>
      <c r="Z515" s="1">
        <f t="shared" si="103"/>
        <v>1</v>
      </c>
    </row>
    <row r="516" spans="1:26" ht="18" customHeight="1" x14ac:dyDescent="0.3">
      <c r="A516" s="2"/>
      <c r="B516" s="65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66"/>
      <c r="E516" s="66"/>
      <c r="F516" s="60"/>
      <c r="G516" s="67"/>
      <c r="H516" s="60"/>
      <c r="I516" s="68">
        <f t="shared" ca="1" si="91"/>
        <v>0</v>
      </c>
      <c r="J516" s="68">
        <f t="shared" ca="1" si="92"/>
        <v>0</v>
      </c>
      <c r="K516" s="68">
        <f t="shared" ca="1" si="93"/>
        <v>0</v>
      </c>
      <c r="L516" s="68">
        <f t="shared" ca="1" si="94"/>
        <v>0</v>
      </c>
      <c r="M516" s="69">
        <f t="shared" si="95"/>
        <v>0</v>
      </c>
      <c r="N516" s="65" t="str">
        <f t="shared" si="96"/>
        <v/>
      </c>
      <c r="O516" s="70" t="str">
        <f>IF(OR($C516="",$D516="",$F516=""),"",IF($F516="Aylık",EOMONTH($D516,0),($D516+MOD(SISTEM!$F$8-WEEKDAY($D516,2),7))))</f>
        <v/>
      </c>
      <c r="P516" s="61"/>
      <c r="Q516" s="2"/>
      <c r="R516" s="2"/>
      <c r="S516" s="1" t="str">
        <f>IF($B516="","",$B516&amp;"|"&amp;COUNTIFS($B$7:$B516,$B516))</f>
        <v/>
      </c>
      <c r="T516" s="1" t="str">
        <f t="shared" si="97"/>
        <v/>
      </c>
      <c r="U516" s="1">
        <f t="shared" si="98"/>
        <v>0</v>
      </c>
      <c r="V516" s="1">
        <f t="shared" si="99"/>
        <v>2958465</v>
      </c>
      <c r="W516" s="1">
        <f t="shared" si="100"/>
        <v>0</v>
      </c>
      <c r="X516" s="1">
        <f t="shared" si="101"/>
        <v>0</v>
      </c>
      <c r="Y516" s="1">
        <f t="shared" si="102"/>
        <v>97200</v>
      </c>
      <c r="Z516" s="1">
        <f t="shared" si="103"/>
        <v>1</v>
      </c>
    </row>
    <row r="517" spans="1:26" ht="18" customHeight="1" x14ac:dyDescent="0.3">
      <c r="A517" s="2"/>
      <c r="B517" s="65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66"/>
      <c r="E517" s="66"/>
      <c r="F517" s="60"/>
      <c r="G517" s="67"/>
      <c r="H517" s="60"/>
      <c r="I517" s="68">
        <f t="shared" ca="1" si="91"/>
        <v>0</v>
      </c>
      <c r="J517" s="68">
        <f t="shared" ca="1" si="92"/>
        <v>0</v>
      </c>
      <c r="K517" s="68">
        <f t="shared" ca="1" si="93"/>
        <v>0</v>
      </c>
      <c r="L517" s="68">
        <f t="shared" ca="1" si="94"/>
        <v>0</v>
      </c>
      <c r="M517" s="69">
        <f t="shared" si="95"/>
        <v>0</v>
      </c>
      <c r="N517" s="65" t="str">
        <f t="shared" si="96"/>
        <v/>
      </c>
      <c r="O517" s="70" t="str">
        <f>IF(OR($C517="",$D517="",$F517=""),"",IF($F517="Aylık",EOMONTH($D517,0),($D517+MOD(SISTEM!$F$8-WEEKDAY($D517,2),7))))</f>
        <v/>
      </c>
      <c r="P517" s="61"/>
      <c r="Q517" s="2"/>
      <c r="R517" s="2"/>
      <c r="S517" s="1" t="str">
        <f>IF($B517="","",$B517&amp;"|"&amp;COUNTIFS($B$7:$B517,$B517))</f>
        <v/>
      </c>
      <c r="T517" s="1" t="str">
        <f t="shared" si="97"/>
        <v/>
      </c>
      <c r="U517" s="1">
        <f t="shared" si="98"/>
        <v>0</v>
      </c>
      <c r="V517" s="1">
        <f t="shared" si="99"/>
        <v>2958465</v>
      </c>
      <c r="W517" s="1">
        <f t="shared" si="100"/>
        <v>0</v>
      </c>
      <c r="X517" s="1">
        <f t="shared" si="101"/>
        <v>0</v>
      </c>
      <c r="Y517" s="1">
        <f t="shared" si="102"/>
        <v>97200</v>
      </c>
      <c r="Z517" s="1">
        <f t="shared" si="103"/>
        <v>1</v>
      </c>
    </row>
    <row r="518" spans="1:26" ht="18" customHeight="1" x14ac:dyDescent="0.3">
      <c r="A518" s="2"/>
      <c r="B518" s="65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66"/>
      <c r="E518" s="66"/>
      <c r="F518" s="60"/>
      <c r="G518" s="67"/>
      <c r="H518" s="60"/>
      <c r="I518" s="68">
        <f t="shared" ca="1" si="91"/>
        <v>0</v>
      </c>
      <c r="J518" s="68">
        <f t="shared" ca="1" si="92"/>
        <v>0</v>
      </c>
      <c r="K518" s="68">
        <f t="shared" ca="1" si="93"/>
        <v>0</v>
      </c>
      <c r="L518" s="68">
        <f t="shared" ca="1" si="94"/>
        <v>0</v>
      </c>
      <c r="M518" s="69">
        <f t="shared" si="95"/>
        <v>0</v>
      </c>
      <c r="N518" s="65" t="str">
        <f t="shared" si="96"/>
        <v/>
      </c>
      <c r="O518" s="70" t="str">
        <f>IF(OR($C518="",$D518="",$F518=""),"",IF($F518="Aylık",EOMONTH($D518,0),($D518+MOD(SISTEM!$F$8-WEEKDAY($D518,2),7))))</f>
        <v/>
      </c>
      <c r="P518" s="61"/>
      <c r="Q518" s="2"/>
      <c r="R518" s="2"/>
      <c r="S518" s="1" t="str">
        <f>IF($B518="","",$B518&amp;"|"&amp;COUNTIFS($B$7:$B518,$B518))</f>
        <v/>
      </c>
      <c r="T518" s="1" t="str">
        <f t="shared" si="97"/>
        <v/>
      </c>
      <c r="U518" s="1">
        <f t="shared" si="98"/>
        <v>0</v>
      </c>
      <c r="V518" s="1">
        <f t="shared" si="99"/>
        <v>2958465</v>
      </c>
      <c r="W518" s="1">
        <f t="shared" si="100"/>
        <v>0</v>
      </c>
      <c r="X518" s="1">
        <f t="shared" si="101"/>
        <v>0</v>
      </c>
      <c r="Y518" s="1">
        <f t="shared" si="102"/>
        <v>97200</v>
      </c>
      <c r="Z518" s="1">
        <f t="shared" si="103"/>
        <v>1</v>
      </c>
    </row>
    <row r="519" spans="1:26" ht="18" customHeight="1" x14ac:dyDescent="0.3">
      <c r="A519" s="2"/>
      <c r="B519" s="65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66"/>
      <c r="E519" s="66"/>
      <c r="F519" s="60"/>
      <c r="G519" s="67"/>
      <c r="H519" s="60"/>
      <c r="I519" s="68">
        <f t="shared" ref="I519:I582" ca="1" si="104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68">
        <f t="shared" ref="J519:J582" ca="1" si="105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68">
        <f t="shared" ref="K519:K582" ca="1" si="106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68">
        <f t="shared" ref="L519:L582" ca="1" si="107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69">
        <f t="shared" ref="M519:M582" si="108">IF($G519&gt;0,$I519/$G519,0)</f>
        <v>0</v>
      </c>
      <c r="N519" s="65" t="str">
        <f t="shared" ref="N519:N582" si="109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70" t="str">
        <f>IF(OR($C519="",$D519="",$F519=""),"",IF($F519="Aylık",EOMONTH($D519,0),($D519+MOD(SISTEM!$F$8-WEEKDAY($D519,2),7))))</f>
        <v/>
      </c>
      <c r="P519" s="61"/>
      <c r="Q519" s="2"/>
      <c r="R519" s="2"/>
      <c r="S519" s="1" t="str">
        <f>IF($B519="","",$B519&amp;"|"&amp;COUNTIFS($B$7:$B519,$B519))</f>
        <v/>
      </c>
      <c r="T519" s="1" t="str">
        <f t="shared" ref="T519:T582" si="110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 t="shared" ref="U519:U582" si="111">IF($O519="",0,$O519)</f>
        <v>0</v>
      </c>
      <c r="V519" s="1">
        <f t="shared" ref="V519:V582" si="112">IF($E519="",2958465,$E519)</f>
        <v>2958465</v>
      </c>
      <c r="W519" s="1">
        <f t="shared" ref="W519:W582" si="113">IF($F519="Haftalık",1,IF($F519="Aylık",2,0))</f>
        <v>0</v>
      </c>
      <c r="X519" s="1">
        <f t="shared" ref="X519:X582" si="114">IF($U519=0,0,(YEAR($U519)-1900)*12+MONTH($U519))</f>
        <v>0</v>
      </c>
      <c r="Y519" s="1">
        <f t="shared" ref="Y519:Y582" si="115">(YEAR($V519)-1900)*12+MONTH($V519)</f>
        <v>97200</v>
      </c>
      <c r="Z519" s="1">
        <f t="shared" ref="Z519:Z582" si="116">IF($V519=EOMONTH($V519,0),1,0)</f>
        <v>1</v>
      </c>
    </row>
    <row r="520" spans="1:26" ht="18" customHeight="1" x14ac:dyDescent="0.3">
      <c r="A520" s="2"/>
      <c r="B520" s="65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66"/>
      <c r="E520" s="66"/>
      <c r="F520" s="60"/>
      <c r="G520" s="67"/>
      <c r="H520" s="60"/>
      <c r="I520" s="68">
        <f t="shared" ca="1" si="104"/>
        <v>0</v>
      </c>
      <c r="J520" s="68">
        <f t="shared" ca="1" si="105"/>
        <v>0</v>
      </c>
      <c r="K520" s="68">
        <f t="shared" ca="1" si="106"/>
        <v>0</v>
      </c>
      <c r="L520" s="68">
        <f t="shared" ca="1" si="107"/>
        <v>0</v>
      </c>
      <c r="M520" s="69">
        <f t="shared" si="108"/>
        <v>0</v>
      </c>
      <c r="N520" s="65" t="str">
        <f t="shared" si="109"/>
        <v/>
      </c>
      <c r="O520" s="70" t="str">
        <f>IF(OR($C520="",$D520="",$F520=""),"",IF($F520="Aylık",EOMONTH($D520,0),($D520+MOD(SISTEM!$F$8-WEEKDAY($D520,2),7))))</f>
        <v/>
      </c>
      <c r="P520" s="61"/>
      <c r="Q520" s="2"/>
      <c r="R520" s="2"/>
      <c r="S520" s="1" t="str">
        <f>IF($B520="","",$B520&amp;"|"&amp;COUNTIFS($B$7:$B520,$B520))</f>
        <v/>
      </c>
      <c r="T520" s="1" t="str">
        <f t="shared" si="110"/>
        <v/>
      </c>
      <c r="U520" s="1">
        <f t="shared" si="111"/>
        <v>0</v>
      </c>
      <c r="V520" s="1">
        <f t="shared" si="112"/>
        <v>2958465</v>
      </c>
      <c r="W520" s="1">
        <f t="shared" si="113"/>
        <v>0</v>
      </c>
      <c r="X520" s="1">
        <f t="shared" si="114"/>
        <v>0</v>
      </c>
      <c r="Y520" s="1">
        <f t="shared" si="115"/>
        <v>97200</v>
      </c>
      <c r="Z520" s="1">
        <f t="shared" si="116"/>
        <v>1</v>
      </c>
    </row>
    <row r="521" spans="1:26" ht="18" customHeight="1" x14ac:dyDescent="0.3">
      <c r="A521" s="2"/>
      <c r="B521" s="65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66"/>
      <c r="E521" s="66"/>
      <c r="F521" s="60"/>
      <c r="G521" s="67"/>
      <c r="H521" s="60"/>
      <c r="I521" s="68">
        <f t="shared" ca="1" si="104"/>
        <v>0</v>
      </c>
      <c r="J521" s="68">
        <f t="shared" ca="1" si="105"/>
        <v>0</v>
      </c>
      <c r="K521" s="68">
        <f t="shared" ca="1" si="106"/>
        <v>0</v>
      </c>
      <c r="L521" s="68">
        <f t="shared" ca="1" si="107"/>
        <v>0</v>
      </c>
      <c r="M521" s="69">
        <f t="shared" si="108"/>
        <v>0</v>
      </c>
      <c r="N521" s="65" t="str">
        <f t="shared" si="109"/>
        <v/>
      </c>
      <c r="O521" s="70" t="str">
        <f>IF(OR($C521="",$D521="",$F521=""),"",IF($F521="Aylık",EOMONTH($D521,0),($D521+MOD(SISTEM!$F$8-WEEKDAY($D521,2),7))))</f>
        <v/>
      </c>
      <c r="P521" s="61"/>
      <c r="Q521" s="2"/>
      <c r="R521" s="2"/>
      <c r="S521" s="1" t="str">
        <f>IF($B521="","",$B521&amp;"|"&amp;COUNTIFS($B$7:$B521,$B521))</f>
        <v/>
      </c>
      <c r="T521" s="1" t="str">
        <f t="shared" si="110"/>
        <v/>
      </c>
      <c r="U521" s="1">
        <f t="shared" si="111"/>
        <v>0</v>
      </c>
      <c r="V521" s="1">
        <f t="shared" si="112"/>
        <v>2958465</v>
      </c>
      <c r="W521" s="1">
        <f t="shared" si="113"/>
        <v>0</v>
      </c>
      <c r="X521" s="1">
        <f t="shared" si="114"/>
        <v>0</v>
      </c>
      <c r="Y521" s="1">
        <f t="shared" si="115"/>
        <v>97200</v>
      </c>
      <c r="Z521" s="1">
        <f t="shared" si="116"/>
        <v>1</v>
      </c>
    </row>
    <row r="522" spans="1:26" ht="18" customHeight="1" x14ac:dyDescent="0.3">
      <c r="A522" s="2"/>
      <c r="B522" s="65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66"/>
      <c r="E522" s="66"/>
      <c r="F522" s="60"/>
      <c r="G522" s="67"/>
      <c r="H522" s="60"/>
      <c r="I522" s="68">
        <f t="shared" ca="1" si="104"/>
        <v>0</v>
      </c>
      <c r="J522" s="68">
        <f t="shared" ca="1" si="105"/>
        <v>0</v>
      </c>
      <c r="K522" s="68">
        <f t="shared" ca="1" si="106"/>
        <v>0</v>
      </c>
      <c r="L522" s="68">
        <f t="shared" ca="1" si="107"/>
        <v>0</v>
      </c>
      <c r="M522" s="69">
        <f t="shared" si="108"/>
        <v>0</v>
      </c>
      <c r="N522" s="65" t="str">
        <f t="shared" si="109"/>
        <v/>
      </c>
      <c r="O522" s="70" t="str">
        <f>IF(OR($C522="",$D522="",$F522=""),"",IF($F522="Aylık",EOMONTH($D522,0),($D522+MOD(SISTEM!$F$8-WEEKDAY($D522,2),7))))</f>
        <v/>
      </c>
      <c r="P522" s="61"/>
      <c r="Q522" s="2"/>
      <c r="R522" s="2"/>
      <c r="S522" s="1" t="str">
        <f>IF($B522="","",$B522&amp;"|"&amp;COUNTIFS($B$7:$B522,$B522))</f>
        <v/>
      </c>
      <c r="T522" s="1" t="str">
        <f t="shared" si="110"/>
        <v/>
      </c>
      <c r="U522" s="1">
        <f t="shared" si="111"/>
        <v>0</v>
      </c>
      <c r="V522" s="1">
        <f t="shared" si="112"/>
        <v>2958465</v>
      </c>
      <c r="W522" s="1">
        <f t="shared" si="113"/>
        <v>0</v>
      </c>
      <c r="X522" s="1">
        <f t="shared" si="114"/>
        <v>0</v>
      </c>
      <c r="Y522" s="1">
        <f t="shared" si="115"/>
        <v>97200</v>
      </c>
      <c r="Z522" s="1">
        <f t="shared" si="116"/>
        <v>1</v>
      </c>
    </row>
    <row r="523" spans="1:26" ht="18" customHeight="1" x14ac:dyDescent="0.3">
      <c r="A523" s="2"/>
      <c r="B523" s="65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66"/>
      <c r="E523" s="66"/>
      <c r="F523" s="60"/>
      <c r="G523" s="67"/>
      <c r="H523" s="60"/>
      <c r="I523" s="68">
        <f t="shared" ca="1" si="104"/>
        <v>0</v>
      </c>
      <c r="J523" s="68">
        <f t="shared" ca="1" si="105"/>
        <v>0</v>
      </c>
      <c r="K523" s="68">
        <f t="shared" ca="1" si="106"/>
        <v>0</v>
      </c>
      <c r="L523" s="68">
        <f t="shared" ca="1" si="107"/>
        <v>0</v>
      </c>
      <c r="M523" s="69">
        <f t="shared" si="108"/>
        <v>0</v>
      </c>
      <c r="N523" s="65" t="str">
        <f t="shared" si="109"/>
        <v/>
      </c>
      <c r="O523" s="70" t="str">
        <f>IF(OR($C523="",$D523="",$F523=""),"",IF($F523="Aylık",EOMONTH($D523,0),($D523+MOD(SISTEM!$F$8-WEEKDAY($D523,2),7))))</f>
        <v/>
      </c>
      <c r="P523" s="61"/>
      <c r="Q523" s="2"/>
      <c r="R523" s="2"/>
      <c r="S523" s="1" t="str">
        <f>IF($B523="","",$B523&amp;"|"&amp;COUNTIFS($B$7:$B523,$B523))</f>
        <v/>
      </c>
      <c r="T523" s="1" t="str">
        <f t="shared" si="110"/>
        <v/>
      </c>
      <c r="U523" s="1">
        <f t="shared" si="111"/>
        <v>0</v>
      </c>
      <c r="V523" s="1">
        <f t="shared" si="112"/>
        <v>2958465</v>
      </c>
      <c r="W523" s="1">
        <f t="shared" si="113"/>
        <v>0</v>
      </c>
      <c r="X523" s="1">
        <f t="shared" si="114"/>
        <v>0</v>
      </c>
      <c r="Y523" s="1">
        <f t="shared" si="115"/>
        <v>97200</v>
      </c>
      <c r="Z523" s="1">
        <f t="shared" si="116"/>
        <v>1</v>
      </c>
    </row>
    <row r="524" spans="1:26" ht="18" customHeight="1" x14ac:dyDescent="0.3">
      <c r="A524" s="2"/>
      <c r="B524" s="65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66"/>
      <c r="E524" s="66"/>
      <c r="F524" s="60"/>
      <c r="G524" s="67"/>
      <c r="H524" s="60"/>
      <c r="I524" s="68">
        <f t="shared" ca="1" si="104"/>
        <v>0</v>
      </c>
      <c r="J524" s="68">
        <f t="shared" ca="1" si="105"/>
        <v>0</v>
      </c>
      <c r="K524" s="68">
        <f t="shared" ca="1" si="106"/>
        <v>0</v>
      </c>
      <c r="L524" s="68">
        <f t="shared" ca="1" si="107"/>
        <v>0</v>
      </c>
      <c r="M524" s="69">
        <f t="shared" si="108"/>
        <v>0</v>
      </c>
      <c r="N524" s="65" t="str">
        <f t="shared" si="109"/>
        <v/>
      </c>
      <c r="O524" s="70" t="str">
        <f>IF(OR($C524="",$D524="",$F524=""),"",IF($F524="Aylık",EOMONTH($D524,0),($D524+MOD(SISTEM!$F$8-WEEKDAY($D524,2),7))))</f>
        <v/>
      </c>
      <c r="P524" s="61"/>
      <c r="Q524" s="2"/>
      <c r="R524" s="2"/>
      <c r="S524" s="1" t="str">
        <f>IF($B524="","",$B524&amp;"|"&amp;COUNTIFS($B$7:$B524,$B524))</f>
        <v/>
      </c>
      <c r="T524" s="1" t="str">
        <f t="shared" si="110"/>
        <v/>
      </c>
      <c r="U524" s="1">
        <f t="shared" si="111"/>
        <v>0</v>
      </c>
      <c r="V524" s="1">
        <f t="shared" si="112"/>
        <v>2958465</v>
      </c>
      <c r="W524" s="1">
        <f t="shared" si="113"/>
        <v>0</v>
      </c>
      <c r="X524" s="1">
        <f t="shared" si="114"/>
        <v>0</v>
      </c>
      <c r="Y524" s="1">
        <f t="shared" si="115"/>
        <v>97200</v>
      </c>
      <c r="Z524" s="1">
        <f t="shared" si="116"/>
        <v>1</v>
      </c>
    </row>
    <row r="525" spans="1:26" ht="18" customHeight="1" x14ac:dyDescent="0.3">
      <c r="A525" s="2"/>
      <c r="B525" s="65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66"/>
      <c r="E525" s="66"/>
      <c r="F525" s="60"/>
      <c r="G525" s="67"/>
      <c r="H525" s="60"/>
      <c r="I525" s="68">
        <f t="shared" ca="1" si="104"/>
        <v>0</v>
      </c>
      <c r="J525" s="68">
        <f t="shared" ca="1" si="105"/>
        <v>0</v>
      </c>
      <c r="K525" s="68">
        <f t="shared" ca="1" si="106"/>
        <v>0</v>
      </c>
      <c r="L525" s="68">
        <f t="shared" ca="1" si="107"/>
        <v>0</v>
      </c>
      <c r="M525" s="69">
        <f t="shared" si="108"/>
        <v>0</v>
      </c>
      <c r="N525" s="65" t="str">
        <f t="shared" si="109"/>
        <v/>
      </c>
      <c r="O525" s="70" t="str">
        <f>IF(OR($C525="",$D525="",$F525=""),"",IF($F525="Aylık",EOMONTH($D525,0),($D525+MOD(SISTEM!$F$8-WEEKDAY($D525,2),7))))</f>
        <v/>
      </c>
      <c r="P525" s="61"/>
      <c r="Q525" s="2"/>
      <c r="R525" s="2"/>
      <c r="S525" s="1" t="str">
        <f>IF($B525="","",$B525&amp;"|"&amp;COUNTIFS($B$7:$B525,$B525))</f>
        <v/>
      </c>
      <c r="T525" s="1" t="str">
        <f t="shared" si="110"/>
        <v/>
      </c>
      <c r="U525" s="1">
        <f t="shared" si="111"/>
        <v>0</v>
      </c>
      <c r="V525" s="1">
        <f t="shared" si="112"/>
        <v>2958465</v>
      </c>
      <c r="W525" s="1">
        <f t="shared" si="113"/>
        <v>0</v>
      </c>
      <c r="X525" s="1">
        <f t="shared" si="114"/>
        <v>0</v>
      </c>
      <c r="Y525" s="1">
        <f t="shared" si="115"/>
        <v>97200</v>
      </c>
      <c r="Z525" s="1">
        <f t="shared" si="116"/>
        <v>1</v>
      </c>
    </row>
    <row r="526" spans="1:26" ht="18" customHeight="1" x14ac:dyDescent="0.3">
      <c r="A526" s="2"/>
      <c r="B526" s="65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66"/>
      <c r="E526" s="66"/>
      <c r="F526" s="60"/>
      <c r="G526" s="67"/>
      <c r="H526" s="60"/>
      <c r="I526" s="68">
        <f t="shared" ca="1" si="104"/>
        <v>0</v>
      </c>
      <c r="J526" s="68">
        <f t="shared" ca="1" si="105"/>
        <v>0</v>
      </c>
      <c r="K526" s="68">
        <f t="shared" ca="1" si="106"/>
        <v>0</v>
      </c>
      <c r="L526" s="68">
        <f t="shared" ca="1" si="107"/>
        <v>0</v>
      </c>
      <c r="M526" s="69">
        <f t="shared" si="108"/>
        <v>0</v>
      </c>
      <c r="N526" s="65" t="str">
        <f t="shared" si="109"/>
        <v/>
      </c>
      <c r="O526" s="70" t="str">
        <f>IF(OR($C526="",$D526="",$F526=""),"",IF($F526="Aylık",EOMONTH($D526,0),($D526+MOD(SISTEM!$F$8-WEEKDAY($D526,2),7))))</f>
        <v/>
      </c>
      <c r="P526" s="61"/>
      <c r="Q526" s="2"/>
      <c r="R526" s="2"/>
      <c r="S526" s="1" t="str">
        <f>IF($B526="","",$B526&amp;"|"&amp;COUNTIFS($B$7:$B526,$B526))</f>
        <v/>
      </c>
      <c r="T526" s="1" t="str">
        <f t="shared" si="110"/>
        <v/>
      </c>
      <c r="U526" s="1">
        <f t="shared" si="111"/>
        <v>0</v>
      </c>
      <c r="V526" s="1">
        <f t="shared" si="112"/>
        <v>2958465</v>
      </c>
      <c r="W526" s="1">
        <f t="shared" si="113"/>
        <v>0</v>
      </c>
      <c r="X526" s="1">
        <f t="shared" si="114"/>
        <v>0</v>
      </c>
      <c r="Y526" s="1">
        <f t="shared" si="115"/>
        <v>97200</v>
      </c>
      <c r="Z526" s="1">
        <f t="shared" si="116"/>
        <v>1</v>
      </c>
    </row>
    <row r="527" spans="1:26" ht="18" customHeight="1" x14ac:dyDescent="0.3">
      <c r="A527" s="2"/>
      <c r="B527" s="65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66"/>
      <c r="E527" s="66"/>
      <c r="F527" s="60"/>
      <c r="G527" s="67"/>
      <c r="H527" s="60"/>
      <c r="I527" s="68">
        <f t="shared" ca="1" si="104"/>
        <v>0</v>
      </c>
      <c r="J527" s="68">
        <f t="shared" ca="1" si="105"/>
        <v>0</v>
      </c>
      <c r="K527" s="68">
        <f t="shared" ca="1" si="106"/>
        <v>0</v>
      </c>
      <c r="L527" s="68">
        <f t="shared" ca="1" si="107"/>
        <v>0</v>
      </c>
      <c r="M527" s="69">
        <f t="shared" si="108"/>
        <v>0</v>
      </c>
      <c r="N527" s="65" t="str">
        <f t="shared" si="109"/>
        <v/>
      </c>
      <c r="O527" s="70" t="str">
        <f>IF(OR($C527="",$D527="",$F527=""),"",IF($F527="Aylık",EOMONTH($D527,0),($D527+MOD(SISTEM!$F$8-WEEKDAY($D527,2),7))))</f>
        <v/>
      </c>
      <c r="P527" s="61"/>
      <c r="Q527" s="2"/>
      <c r="R527" s="2"/>
      <c r="S527" s="1" t="str">
        <f>IF($B527="","",$B527&amp;"|"&amp;COUNTIFS($B$7:$B527,$B527))</f>
        <v/>
      </c>
      <c r="T527" s="1" t="str">
        <f t="shared" si="110"/>
        <v/>
      </c>
      <c r="U527" s="1">
        <f t="shared" si="111"/>
        <v>0</v>
      </c>
      <c r="V527" s="1">
        <f t="shared" si="112"/>
        <v>2958465</v>
      </c>
      <c r="W527" s="1">
        <f t="shared" si="113"/>
        <v>0</v>
      </c>
      <c r="X527" s="1">
        <f t="shared" si="114"/>
        <v>0</v>
      </c>
      <c r="Y527" s="1">
        <f t="shared" si="115"/>
        <v>97200</v>
      </c>
      <c r="Z527" s="1">
        <f t="shared" si="116"/>
        <v>1</v>
      </c>
    </row>
    <row r="528" spans="1:26" ht="18" customHeight="1" x14ac:dyDescent="0.3">
      <c r="A528" s="2"/>
      <c r="B528" s="65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66"/>
      <c r="E528" s="66"/>
      <c r="F528" s="60"/>
      <c r="G528" s="67"/>
      <c r="H528" s="60"/>
      <c r="I528" s="68">
        <f t="shared" ca="1" si="104"/>
        <v>0</v>
      </c>
      <c r="J528" s="68">
        <f t="shared" ca="1" si="105"/>
        <v>0</v>
      </c>
      <c r="K528" s="68">
        <f t="shared" ca="1" si="106"/>
        <v>0</v>
      </c>
      <c r="L528" s="68">
        <f t="shared" ca="1" si="107"/>
        <v>0</v>
      </c>
      <c r="M528" s="69">
        <f t="shared" si="108"/>
        <v>0</v>
      </c>
      <c r="N528" s="65" t="str">
        <f t="shared" si="109"/>
        <v/>
      </c>
      <c r="O528" s="70" t="str">
        <f>IF(OR($C528="",$D528="",$F528=""),"",IF($F528="Aylık",EOMONTH($D528,0),($D528+MOD(SISTEM!$F$8-WEEKDAY($D528,2),7))))</f>
        <v/>
      </c>
      <c r="P528" s="61"/>
      <c r="Q528" s="2"/>
      <c r="R528" s="2"/>
      <c r="S528" s="1" t="str">
        <f>IF($B528="","",$B528&amp;"|"&amp;COUNTIFS($B$7:$B528,$B528))</f>
        <v/>
      </c>
      <c r="T528" s="1" t="str">
        <f t="shared" si="110"/>
        <v/>
      </c>
      <c r="U528" s="1">
        <f t="shared" si="111"/>
        <v>0</v>
      </c>
      <c r="V528" s="1">
        <f t="shared" si="112"/>
        <v>2958465</v>
      </c>
      <c r="W528" s="1">
        <f t="shared" si="113"/>
        <v>0</v>
      </c>
      <c r="X528" s="1">
        <f t="shared" si="114"/>
        <v>0</v>
      </c>
      <c r="Y528" s="1">
        <f t="shared" si="115"/>
        <v>97200</v>
      </c>
      <c r="Z528" s="1">
        <f t="shared" si="116"/>
        <v>1</v>
      </c>
    </row>
    <row r="529" spans="1:26" ht="18" customHeight="1" x14ac:dyDescent="0.3">
      <c r="A529" s="2"/>
      <c r="B529" s="65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66"/>
      <c r="E529" s="66"/>
      <c r="F529" s="60"/>
      <c r="G529" s="67"/>
      <c r="H529" s="60"/>
      <c r="I529" s="68">
        <f t="shared" ca="1" si="104"/>
        <v>0</v>
      </c>
      <c r="J529" s="68">
        <f t="shared" ca="1" si="105"/>
        <v>0</v>
      </c>
      <c r="K529" s="68">
        <f t="shared" ca="1" si="106"/>
        <v>0</v>
      </c>
      <c r="L529" s="68">
        <f t="shared" ca="1" si="107"/>
        <v>0</v>
      </c>
      <c r="M529" s="69">
        <f t="shared" si="108"/>
        <v>0</v>
      </c>
      <c r="N529" s="65" t="str">
        <f t="shared" si="109"/>
        <v/>
      </c>
      <c r="O529" s="70" t="str">
        <f>IF(OR($C529="",$D529="",$F529=""),"",IF($F529="Aylık",EOMONTH($D529,0),($D529+MOD(SISTEM!$F$8-WEEKDAY($D529,2),7))))</f>
        <v/>
      </c>
      <c r="P529" s="61"/>
      <c r="Q529" s="2"/>
      <c r="R529" s="2"/>
      <c r="S529" s="1" t="str">
        <f>IF($B529="","",$B529&amp;"|"&amp;COUNTIFS($B$7:$B529,$B529))</f>
        <v/>
      </c>
      <c r="T529" s="1" t="str">
        <f t="shared" si="110"/>
        <v/>
      </c>
      <c r="U529" s="1">
        <f t="shared" si="111"/>
        <v>0</v>
      </c>
      <c r="V529" s="1">
        <f t="shared" si="112"/>
        <v>2958465</v>
      </c>
      <c r="W529" s="1">
        <f t="shared" si="113"/>
        <v>0</v>
      </c>
      <c r="X529" s="1">
        <f t="shared" si="114"/>
        <v>0</v>
      </c>
      <c r="Y529" s="1">
        <f t="shared" si="115"/>
        <v>97200</v>
      </c>
      <c r="Z529" s="1">
        <f t="shared" si="116"/>
        <v>1</v>
      </c>
    </row>
    <row r="530" spans="1:26" ht="18" customHeight="1" x14ac:dyDescent="0.3">
      <c r="A530" s="2"/>
      <c r="B530" s="65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66"/>
      <c r="E530" s="66"/>
      <c r="F530" s="60"/>
      <c r="G530" s="67"/>
      <c r="H530" s="60"/>
      <c r="I530" s="68">
        <f t="shared" ca="1" si="104"/>
        <v>0</v>
      </c>
      <c r="J530" s="68">
        <f t="shared" ca="1" si="105"/>
        <v>0</v>
      </c>
      <c r="K530" s="68">
        <f t="shared" ca="1" si="106"/>
        <v>0</v>
      </c>
      <c r="L530" s="68">
        <f t="shared" ca="1" si="107"/>
        <v>0</v>
      </c>
      <c r="M530" s="69">
        <f t="shared" si="108"/>
        <v>0</v>
      </c>
      <c r="N530" s="65" t="str">
        <f t="shared" si="109"/>
        <v/>
      </c>
      <c r="O530" s="70" t="str">
        <f>IF(OR($C530="",$D530="",$F530=""),"",IF($F530="Aylık",EOMONTH($D530,0),($D530+MOD(SISTEM!$F$8-WEEKDAY($D530,2),7))))</f>
        <v/>
      </c>
      <c r="P530" s="61"/>
      <c r="Q530" s="2"/>
      <c r="R530" s="2"/>
      <c r="S530" s="1" t="str">
        <f>IF($B530="","",$B530&amp;"|"&amp;COUNTIFS($B$7:$B530,$B530))</f>
        <v/>
      </c>
      <c r="T530" s="1" t="str">
        <f t="shared" si="110"/>
        <v/>
      </c>
      <c r="U530" s="1">
        <f t="shared" si="111"/>
        <v>0</v>
      </c>
      <c r="V530" s="1">
        <f t="shared" si="112"/>
        <v>2958465</v>
      </c>
      <c r="W530" s="1">
        <f t="shared" si="113"/>
        <v>0</v>
      </c>
      <c r="X530" s="1">
        <f t="shared" si="114"/>
        <v>0</v>
      </c>
      <c r="Y530" s="1">
        <f t="shared" si="115"/>
        <v>97200</v>
      </c>
      <c r="Z530" s="1">
        <f t="shared" si="116"/>
        <v>1</v>
      </c>
    </row>
    <row r="531" spans="1:26" ht="18" customHeight="1" x14ac:dyDescent="0.3">
      <c r="A531" s="2"/>
      <c r="B531" s="65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66"/>
      <c r="E531" s="66"/>
      <c r="F531" s="60"/>
      <c r="G531" s="67"/>
      <c r="H531" s="60"/>
      <c r="I531" s="68">
        <f t="shared" ca="1" si="104"/>
        <v>0</v>
      </c>
      <c r="J531" s="68">
        <f t="shared" ca="1" si="105"/>
        <v>0</v>
      </c>
      <c r="K531" s="68">
        <f t="shared" ca="1" si="106"/>
        <v>0</v>
      </c>
      <c r="L531" s="68">
        <f t="shared" ca="1" si="107"/>
        <v>0</v>
      </c>
      <c r="M531" s="69">
        <f t="shared" si="108"/>
        <v>0</v>
      </c>
      <c r="N531" s="65" t="str">
        <f t="shared" si="109"/>
        <v/>
      </c>
      <c r="O531" s="70" t="str">
        <f>IF(OR($C531="",$D531="",$F531=""),"",IF($F531="Aylık",EOMONTH($D531,0),($D531+MOD(SISTEM!$F$8-WEEKDAY($D531,2),7))))</f>
        <v/>
      </c>
      <c r="P531" s="61"/>
      <c r="Q531" s="2"/>
      <c r="R531" s="2"/>
      <c r="S531" s="1" t="str">
        <f>IF($B531="","",$B531&amp;"|"&amp;COUNTIFS($B$7:$B531,$B531))</f>
        <v/>
      </c>
      <c r="T531" s="1" t="str">
        <f t="shared" si="110"/>
        <v/>
      </c>
      <c r="U531" s="1">
        <f t="shared" si="111"/>
        <v>0</v>
      </c>
      <c r="V531" s="1">
        <f t="shared" si="112"/>
        <v>2958465</v>
      </c>
      <c r="W531" s="1">
        <f t="shared" si="113"/>
        <v>0</v>
      </c>
      <c r="X531" s="1">
        <f t="shared" si="114"/>
        <v>0</v>
      </c>
      <c r="Y531" s="1">
        <f t="shared" si="115"/>
        <v>97200</v>
      </c>
      <c r="Z531" s="1">
        <f t="shared" si="116"/>
        <v>1</v>
      </c>
    </row>
    <row r="532" spans="1:26" ht="18" customHeight="1" x14ac:dyDescent="0.3">
      <c r="A532" s="2"/>
      <c r="B532" s="65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66"/>
      <c r="E532" s="66"/>
      <c r="F532" s="60"/>
      <c r="G532" s="67"/>
      <c r="H532" s="60"/>
      <c r="I532" s="68">
        <f t="shared" ca="1" si="104"/>
        <v>0</v>
      </c>
      <c r="J532" s="68">
        <f t="shared" ca="1" si="105"/>
        <v>0</v>
      </c>
      <c r="K532" s="68">
        <f t="shared" ca="1" si="106"/>
        <v>0</v>
      </c>
      <c r="L532" s="68">
        <f t="shared" ca="1" si="107"/>
        <v>0</v>
      </c>
      <c r="M532" s="69">
        <f t="shared" si="108"/>
        <v>0</v>
      </c>
      <c r="N532" s="65" t="str">
        <f t="shared" si="109"/>
        <v/>
      </c>
      <c r="O532" s="70" t="str">
        <f>IF(OR($C532="",$D532="",$F532=""),"",IF($F532="Aylık",EOMONTH($D532,0),($D532+MOD(SISTEM!$F$8-WEEKDAY($D532,2),7))))</f>
        <v/>
      </c>
      <c r="P532" s="61"/>
      <c r="Q532" s="2"/>
      <c r="R532" s="2"/>
      <c r="S532" s="1" t="str">
        <f>IF($B532="","",$B532&amp;"|"&amp;COUNTIFS($B$7:$B532,$B532))</f>
        <v/>
      </c>
      <c r="T532" s="1" t="str">
        <f t="shared" si="110"/>
        <v/>
      </c>
      <c r="U532" s="1">
        <f t="shared" si="111"/>
        <v>0</v>
      </c>
      <c r="V532" s="1">
        <f t="shared" si="112"/>
        <v>2958465</v>
      </c>
      <c r="W532" s="1">
        <f t="shared" si="113"/>
        <v>0</v>
      </c>
      <c r="X532" s="1">
        <f t="shared" si="114"/>
        <v>0</v>
      </c>
      <c r="Y532" s="1">
        <f t="shared" si="115"/>
        <v>97200</v>
      </c>
      <c r="Z532" s="1">
        <f t="shared" si="116"/>
        <v>1</v>
      </c>
    </row>
    <row r="533" spans="1:26" ht="18" customHeight="1" x14ac:dyDescent="0.3">
      <c r="A533" s="2"/>
      <c r="B533" s="65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66"/>
      <c r="E533" s="66"/>
      <c r="F533" s="60"/>
      <c r="G533" s="67"/>
      <c r="H533" s="60"/>
      <c r="I533" s="68">
        <f t="shared" ca="1" si="104"/>
        <v>0</v>
      </c>
      <c r="J533" s="68">
        <f t="shared" ca="1" si="105"/>
        <v>0</v>
      </c>
      <c r="K533" s="68">
        <f t="shared" ca="1" si="106"/>
        <v>0</v>
      </c>
      <c r="L533" s="68">
        <f t="shared" ca="1" si="107"/>
        <v>0</v>
      </c>
      <c r="M533" s="69">
        <f t="shared" si="108"/>
        <v>0</v>
      </c>
      <c r="N533" s="65" t="str">
        <f t="shared" si="109"/>
        <v/>
      </c>
      <c r="O533" s="70" t="str">
        <f>IF(OR($C533="",$D533="",$F533=""),"",IF($F533="Aylık",EOMONTH($D533,0),($D533+MOD(SISTEM!$F$8-WEEKDAY($D533,2),7))))</f>
        <v/>
      </c>
      <c r="P533" s="61"/>
      <c r="Q533" s="2"/>
      <c r="R533" s="2"/>
      <c r="S533" s="1" t="str">
        <f>IF($B533="","",$B533&amp;"|"&amp;COUNTIFS($B$7:$B533,$B533))</f>
        <v/>
      </c>
      <c r="T533" s="1" t="str">
        <f t="shared" si="110"/>
        <v/>
      </c>
      <c r="U533" s="1">
        <f t="shared" si="111"/>
        <v>0</v>
      </c>
      <c r="V533" s="1">
        <f t="shared" si="112"/>
        <v>2958465</v>
      </c>
      <c r="W533" s="1">
        <f t="shared" si="113"/>
        <v>0</v>
      </c>
      <c r="X533" s="1">
        <f t="shared" si="114"/>
        <v>0</v>
      </c>
      <c r="Y533" s="1">
        <f t="shared" si="115"/>
        <v>97200</v>
      </c>
      <c r="Z533" s="1">
        <f t="shared" si="116"/>
        <v>1</v>
      </c>
    </row>
    <row r="534" spans="1:26" ht="18" customHeight="1" x14ac:dyDescent="0.3">
      <c r="A534" s="2"/>
      <c r="B534" s="65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66"/>
      <c r="E534" s="66"/>
      <c r="F534" s="60"/>
      <c r="G534" s="67"/>
      <c r="H534" s="60"/>
      <c r="I534" s="68">
        <f t="shared" ca="1" si="104"/>
        <v>0</v>
      </c>
      <c r="J534" s="68">
        <f t="shared" ca="1" si="105"/>
        <v>0</v>
      </c>
      <c r="K534" s="68">
        <f t="shared" ca="1" si="106"/>
        <v>0</v>
      </c>
      <c r="L534" s="68">
        <f t="shared" ca="1" si="107"/>
        <v>0</v>
      </c>
      <c r="M534" s="69">
        <f t="shared" si="108"/>
        <v>0</v>
      </c>
      <c r="N534" s="65" t="str">
        <f t="shared" si="109"/>
        <v/>
      </c>
      <c r="O534" s="70" t="str">
        <f>IF(OR($C534="",$D534="",$F534=""),"",IF($F534="Aylık",EOMONTH($D534,0),($D534+MOD(SISTEM!$F$8-WEEKDAY($D534,2),7))))</f>
        <v/>
      </c>
      <c r="P534" s="61"/>
      <c r="Q534" s="2"/>
      <c r="R534" s="2"/>
      <c r="S534" s="1" t="str">
        <f>IF($B534="","",$B534&amp;"|"&amp;COUNTIFS($B$7:$B534,$B534))</f>
        <v/>
      </c>
      <c r="T534" s="1" t="str">
        <f t="shared" si="110"/>
        <v/>
      </c>
      <c r="U534" s="1">
        <f t="shared" si="111"/>
        <v>0</v>
      </c>
      <c r="V534" s="1">
        <f t="shared" si="112"/>
        <v>2958465</v>
      </c>
      <c r="W534" s="1">
        <f t="shared" si="113"/>
        <v>0</v>
      </c>
      <c r="X534" s="1">
        <f t="shared" si="114"/>
        <v>0</v>
      </c>
      <c r="Y534" s="1">
        <f t="shared" si="115"/>
        <v>97200</v>
      </c>
      <c r="Z534" s="1">
        <f t="shared" si="116"/>
        <v>1</v>
      </c>
    </row>
    <row r="535" spans="1:26" ht="18" customHeight="1" x14ac:dyDescent="0.3">
      <c r="A535" s="2"/>
      <c r="B535" s="65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66"/>
      <c r="E535" s="66"/>
      <c r="F535" s="60"/>
      <c r="G535" s="67"/>
      <c r="H535" s="60"/>
      <c r="I535" s="68">
        <f t="shared" ca="1" si="104"/>
        <v>0</v>
      </c>
      <c r="J535" s="68">
        <f t="shared" ca="1" si="105"/>
        <v>0</v>
      </c>
      <c r="K535" s="68">
        <f t="shared" ca="1" si="106"/>
        <v>0</v>
      </c>
      <c r="L535" s="68">
        <f t="shared" ca="1" si="107"/>
        <v>0</v>
      </c>
      <c r="M535" s="69">
        <f t="shared" si="108"/>
        <v>0</v>
      </c>
      <c r="N535" s="65" t="str">
        <f t="shared" si="109"/>
        <v/>
      </c>
      <c r="O535" s="70" t="str">
        <f>IF(OR($C535="",$D535="",$F535=""),"",IF($F535="Aylık",EOMONTH($D535,0),($D535+MOD(SISTEM!$F$8-WEEKDAY($D535,2),7))))</f>
        <v/>
      </c>
      <c r="P535" s="61"/>
      <c r="Q535" s="2"/>
      <c r="R535" s="2"/>
      <c r="S535" s="1" t="str">
        <f>IF($B535="","",$B535&amp;"|"&amp;COUNTIFS($B$7:$B535,$B535))</f>
        <v/>
      </c>
      <c r="T535" s="1" t="str">
        <f t="shared" si="110"/>
        <v/>
      </c>
      <c r="U535" s="1">
        <f t="shared" si="111"/>
        <v>0</v>
      </c>
      <c r="V535" s="1">
        <f t="shared" si="112"/>
        <v>2958465</v>
      </c>
      <c r="W535" s="1">
        <f t="shared" si="113"/>
        <v>0</v>
      </c>
      <c r="X535" s="1">
        <f t="shared" si="114"/>
        <v>0</v>
      </c>
      <c r="Y535" s="1">
        <f t="shared" si="115"/>
        <v>97200</v>
      </c>
      <c r="Z535" s="1">
        <f t="shared" si="116"/>
        <v>1</v>
      </c>
    </row>
    <row r="536" spans="1:26" ht="18" customHeight="1" x14ac:dyDescent="0.3">
      <c r="A536" s="2"/>
      <c r="B536" s="65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66"/>
      <c r="E536" s="66"/>
      <c r="F536" s="60"/>
      <c r="G536" s="67"/>
      <c r="H536" s="60"/>
      <c r="I536" s="68">
        <f t="shared" ca="1" si="104"/>
        <v>0</v>
      </c>
      <c r="J536" s="68">
        <f t="shared" ca="1" si="105"/>
        <v>0</v>
      </c>
      <c r="K536" s="68">
        <f t="shared" ca="1" si="106"/>
        <v>0</v>
      </c>
      <c r="L536" s="68">
        <f t="shared" ca="1" si="107"/>
        <v>0</v>
      </c>
      <c r="M536" s="69">
        <f t="shared" si="108"/>
        <v>0</v>
      </c>
      <c r="N536" s="65" t="str">
        <f t="shared" si="109"/>
        <v/>
      </c>
      <c r="O536" s="70" t="str">
        <f>IF(OR($C536="",$D536="",$F536=""),"",IF($F536="Aylık",EOMONTH($D536,0),($D536+MOD(SISTEM!$F$8-WEEKDAY($D536,2),7))))</f>
        <v/>
      </c>
      <c r="P536" s="61"/>
      <c r="Q536" s="2"/>
      <c r="R536" s="2"/>
      <c r="S536" s="1" t="str">
        <f>IF($B536="","",$B536&amp;"|"&amp;COUNTIFS($B$7:$B536,$B536))</f>
        <v/>
      </c>
      <c r="T536" s="1" t="str">
        <f t="shared" si="110"/>
        <v/>
      </c>
      <c r="U536" s="1">
        <f t="shared" si="111"/>
        <v>0</v>
      </c>
      <c r="V536" s="1">
        <f t="shared" si="112"/>
        <v>2958465</v>
      </c>
      <c r="W536" s="1">
        <f t="shared" si="113"/>
        <v>0</v>
      </c>
      <c r="X536" s="1">
        <f t="shared" si="114"/>
        <v>0</v>
      </c>
      <c r="Y536" s="1">
        <f t="shared" si="115"/>
        <v>97200</v>
      </c>
      <c r="Z536" s="1">
        <f t="shared" si="116"/>
        <v>1</v>
      </c>
    </row>
    <row r="537" spans="1:26" ht="18" customHeight="1" x14ac:dyDescent="0.3">
      <c r="A537" s="2"/>
      <c r="B537" s="65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66"/>
      <c r="E537" s="66"/>
      <c r="F537" s="60"/>
      <c r="G537" s="67"/>
      <c r="H537" s="60"/>
      <c r="I537" s="68">
        <f t="shared" ca="1" si="104"/>
        <v>0</v>
      </c>
      <c r="J537" s="68">
        <f t="shared" ca="1" si="105"/>
        <v>0</v>
      </c>
      <c r="K537" s="68">
        <f t="shared" ca="1" si="106"/>
        <v>0</v>
      </c>
      <c r="L537" s="68">
        <f t="shared" ca="1" si="107"/>
        <v>0</v>
      </c>
      <c r="M537" s="69">
        <f t="shared" si="108"/>
        <v>0</v>
      </c>
      <c r="N537" s="65" t="str">
        <f t="shared" si="109"/>
        <v/>
      </c>
      <c r="O537" s="70" t="str">
        <f>IF(OR($C537="",$D537="",$F537=""),"",IF($F537="Aylık",EOMONTH($D537,0),($D537+MOD(SISTEM!$F$8-WEEKDAY($D537,2),7))))</f>
        <v/>
      </c>
      <c r="P537" s="61"/>
      <c r="Q537" s="2"/>
      <c r="R537" s="2"/>
      <c r="S537" s="1" t="str">
        <f>IF($B537="","",$B537&amp;"|"&amp;COUNTIFS($B$7:$B537,$B537))</f>
        <v/>
      </c>
      <c r="T537" s="1" t="str">
        <f t="shared" si="110"/>
        <v/>
      </c>
      <c r="U537" s="1">
        <f t="shared" si="111"/>
        <v>0</v>
      </c>
      <c r="V537" s="1">
        <f t="shared" si="112"/>
        <v>2958465</v>
      </c>
      <c r="W537" s="1">
        <f t="shared" si="113"/>
        <v>0</v>
      </c>
      <c r="X537" s="1">
        <f t="shared" si="114"/>
        <v>0</v>
      </c>
      <c r="Y537" s="1">
        <f t="shared" si="115"/>
        <v>97200</v>
      </c>
      <c r="Z537" s="1">
        <f t="shared" si="116"/>
        <v>1</v>
      </c>
    </row>
    <row r="538" spans="1:26" ht="18" customHeight="1" x14ac:dyDescent="0.3">
      <c r="A538" s="2"/>
      <c r="B538" s="65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66"/>
      <c r="E538" s="66"/>
      <c r="F538" s="60"/>
      <c r="G538" s="67"/>
      <c r="H538" s="60"/>
      <c r="I538" s="68">
        <f t="shared" ca="1" si="104"/>
        <v>0</v>
      </c>
      <c r="J538" s="68">
        <f t="shared" ca="1" si="105"/>
        <v>0</v>
      </c>
      <c r="K538" s="68">
        <f t="shared" ca="1" si="106"/>
        <v>0</v>
      </c>
      <c r="L538" s="68">
        <f t="shared" ca="1" si="107"/>
        <v>0</v>
      </c>
      <c r="M538" s="69">
        <f t="shared" si="108"/>
        <v>0</v>
      </c>
      <c r="N538" s="65" t="str">
        <f t="shared" si="109"/>
        <v/>
      </c>
      <c r="O538" s="70" t="str">
        <f>IF(OR($C538="",$D538="",$F538=""),"",IF($F538="Aylık",EOMONTH($D538,0),($D538+MOD(SISTEM!$F$8-WEEKDAY($D538,2),7))))</f>
        <v/>
      </c>
      <c r="P538" s="61"/>
      <c r="Q538" s="2"/>
      <c r="R538" s="2"/>
      <c r="S538" s="1" t="str">
        <f>IF($B538="","",$B538&amp;"|"&amp;COUNTIFS($B$7:$B538,$B538))</f>
        <v/>
      </c>
      <c r="T538" s="1" t="str">
        <f t="shared" si="110"/>
        <v/>
      </c>
      <c r="U538" s="1">
        <f t="shared" si="111"/>
        <v>0</v>
      </c>
      <c r="V538" s="1">
        <f t="shared" si="112"/>
        <v>2958465</v>
      </c>
      <c r="W538" s="1">
        <f t="shared" si="113"/>
        <v>0</v>
      </c>
      <c r="X538" s="1">
        <f t="shared" si="114"/>
        <v>0</v>
      </c>
      <c r="Y538" s="1">
        <f t="shared" si="115"/>
        <v>97200</v>
      </c>
      <c r="Z538" s="1">
        <f t="shared" si="116"/>
        <v>1</v>
      </c>
    </row>
    <row r="539" spans="1:26" ht="18" customHeight="1" x14ac:dyDescent="0.3">
      <c r="A539" s="2"/>
      <c r="B539" s="65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66"/>
      <c r="E539" s="66"/>
      <c r="F539" s="60"/>
      <c r="G539" s="67"/>
      <c r="H539" s="60"/>
      <c r="I539" s="68">
        <f t="shared" ca="1" si="104"/>
        <v>0</v>
      </c>
      <c r="J539" s="68">
        <f t="shared" ca="1" si="105"/>
        <v>0</v>
      </c>
      <c r="K539" s="68">
        <f t="shared" ca="1" si="106"/>
        <v>0</v>
      </c>
      <c r="L539" s="68">
        <f t="shared" ca="1" si="107"/>
        <v>0</v>
      </c>
      <c r="M539" s="69">
        <f t="shared" si="108"/>
        <v>0</v>
      </c>
      <c r="N539" s="65" t="str">
        <f t="shared" si="109"/>
        <v/>
      </c>
      <c r="O539" s="70" t="str">
        <f>IF(OR($C539="",$D539="",$F539=""),"",IF($F539="Aylık",EOMONTH($D539,0),($D539+MOD(SISTEM!$F$8-WEEKDAY($D539,2),7))))</f>
        <v/>
      </c>
      <c r="P539" s="61"/>
      <c r="Q539" s="2"/>
      <c r="R539" s="2"/>
      <c r="S539" s="1" t="str">
        <f>IF($B539="","",$B539&amp;"|"&amp;COUNTIFS($B$7:$B539,$B539))</f>
        <v/>
      </c>
      <c r="T539" s="1" t="str">
        <f t="shared" si="110"/>
        <v/>
      </c>
      <c r="U539" s="1">
        <f t="shared" si="111"/>
        <v>0</v>
      </c>
      <c r="V539" s="1">
        <f t="shared" si="112"/>
        <v>2958465</v>
      </c>
      <c r="W539" s="1">
        <f t="shared" si="113"/>
        <v>0</v>
      </c>
      <c r="X539" s="1">
        <f t="shared" si="114"/>
        <v>0</v>
      </c>
      <c r="Y539" s="1">
        <f t="shared" si="115"/>
        <v>97200</v>
      </c>
      <c r="Z539" s="1">
        <f t="shared" si="116"/>
        <v>1</v>
      </c>
    </row>
    <row r="540" spans="1:26" ht="18" customHeight="1" x14ac:dyDescent="0.3">
      <c r="A540" s="2"/>
      <c r="B540" s="65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66"/>
      <c r="E540" s="66"/>
      <c r="F540" s="60"/>
      <c r="G540" s="67"/>
      <c r="H540" s="60"/>
      <c r="I540" s="68">
        <f t="shared" ca="1" si="104"/>
        <v>0</v>
      </c>
      <c r="J540" s="68">
        <f t="shared" ca="1" si="105"/>
        <v>0</v>
      </c>
      <c r="K540" s="68">
        <f t="shared" ca="1" si="106"/>
        <v>0</v>
      </c>
      <c r="L540" s="68">
        <f t="shared" ca="1" si="107"/>
        <v>0</v>
      </c>
      <c r="M540" s="69">
        <f t="shared" si="108"/>
        <v>0</v>
      </c>
      <c r="N540" s="65" t="str">
        <f t="shared" si="109"/>
        <v/>
      </c>
      <c r="O540" s="70" t="str">
        <f>IF(OR($C540="",$D540="",$F540=""),"",IF($F540="Aylık",EOMONTH($D540,0),($D540+MOD(SISTEM!$F$8-WEEKDAY($D540,2),7))))</f>
        <v/>
      </c>
      <c r="P540" s="61"/>
      <c r="Q540" s="2"/>
      <c r="R540" s="2"/>
      <c r="S540" s="1" t="str">
        <f>IF($B540="","",$B540&amp;"|"&amp;COUNTIFS($B$7:$B540,$B540))</f>
        <v/>
      </c>
      <c r="T540" s="1" t="str">
        <f t="shared" si="110"/>
        <v/>
      </c>
      <c r="U540" s="1">
        <f t="shared" si="111"/>
        <v>0</v>
      </c>
      <c r="V540" s="1">
        <f t="shared" si="112"/>
        <v>2958465</v>
      </c>
      <c r="W540" s="1">
        <f t="shared" si="113"/>
        <v>0</v>
      </c>
      <c r="X540" s="1">
        <f t="shared" si="114"/>
        <v>0</v>
      </c>
      <c r="Y540" s="1">
        <f t="shared" si="115"/>
        <v>97200</v>
      </c>
      <c r="Z540" s="1">
        <f t="shared" si="116"/>
        <v>1</v>
      </c>
    </row>
    <row r="541" spans="1:26" ht="18" customHeight="1" x14ac:dyDescent="0.3">
      <c r="A541" s="2"/>
      <c r="B541" s="65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66"/>
      <c r="E541" s="66"/>
      <c r="F541" s="60"/>
      <c r="G541" s="67"/>
      <c r="H541" s="60"/>
      <c r="I541" s="68">
        <f t="shared" ca="1" si="104"/>
        <v>0</v>
      </c>
      <c r="J541" s="68">
        <f t="shared" ca="1" si="105"/>
        <v>0</v>
      </c>
      <c r="K541" s="68">
        <f t="shared" ca="1" si="106"/>
        <v>0</v>
      </c>
      <c r="L541" s="68">
        <f t="shared" ca="1" si="107"/>
        <v>0</v>
      </c>
      <c r="M541" s="69">
        <f t="shared" si="108"/>
        <v>0</v>
      </c>
      <c r="N541" s="65" t="str">
        <f t="shared" si="109"/>
        <v/>
      </c>
      <c r="O541" s="70" t="str">
        <f>IF(OR($C541="",$D541="",$F541=""),"",IF($F541="Aylık",EOMONTH($D541,0),($D541+MOD(SISTEM!$F$8-WEEKDAY($D541,2),7))))</f>
        <v/>
      </c>
      <c r="P541" s="61"/>
      <c r="Q541" s="2"/>
      <c r="R541" s="2"/>
      <c r="S541" s="1" t="str">
        <f>IF($B541="","",$B541&amp;"|"&amp;COUNTIFS($B$7:$B541,$B541))</f>
        <v/>
      </c>
      <c r="T541" s="1" t="str">
        <f t="shared" si="110"/>
        <v/>
      </c>
      <c r="U541" s="1">
        <f t="shared" si="111"/>
        <v>0</v>
      </c>
      <c r="V541" s="1">
        <f t="shared" si="112"/>
        <v>2958465</v>
      </c>
      <c r="W541" s="1">
        <f t="shared" si="113"/>
        <v>0</v>
      </c>
      <c r="X541" s="1">
        <f t="shared" si="114"/>
        <v>0</v>
      </c>
      <c r="Y541" s="1">
        <f t="shared" si="115"/>
        <v>97200</v>
      </c>
      <c r="Z541" s="1">
        <f t="shared" si="116"/>
        <v>1</v>
      </c>
    </row>
    <row r="542" spans="1:26" ht="18" customHeight="1" x14ac:dyDescent="0.3">
      <c r="A542" s="2"/>
      <c r="B542" s="65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66"/>
      <c r="E542" s="66"/>
      <c r="F542" s="60"/>
      <c r="G542" s="67"/>
      <c r="H542" s="60"/>
      <c r="I542" s="68">
        <f t="shared" ca="1" si="104"/>
        <v>0</v>
      </c>
      <c r="J542" s="68">
        <f t="shared" ca="1" si="105"/>
        <v>0</v>
      </c>
      <c r="K542" s="68">
        <f t="shared" ca="1" si="106"/>
        <v>0</v>
      </c>
      <c r="L542" s="68">
        <f t="shared" ca="1" si="107"/>
        <v>0</v>
      </c>
      <c r="M542" s="69">
        <f t="shared" si="108"/>
        <v>0</v>
      </c>
      <c r="N542" s="65" t="str">
        <f t="shared" si="109"/>
        <v/>
      </c>
      <c r="O542" s="70" t="str">
        <f>IF(OR($C542="",$D542="",$F542=""),"",IF($F542="Aylık",EOMONTH($D542,0),($D542+MOD(SISTEM!$F$8-WEEKDAY($D542,2),7))))</f>
        <v/>
      </c>
      <c r="P542" s="61"/>
      <c r="Q542" s="2"/>
      <c r="R542" s="2"/>
      <c r="S542" s="1" t="str">
        <f>IF($B542="","",$B542&amp;"|"&amp;COUNTIFS($B$7:$B542,$B542))</f>
        <v/>
      </c>
      <c r="T542" s="1" t="str">
        <f t="shared" si="110"/>
        <v/>
      </c>
      <c r="U542" s="1">
        <f t="shared" si="111"/>
        <v>0</v>
      </c>
      <c r="V542" s="1">
        <f t="shared" si="112"/>
        <v>2958465</v>
      </c>
      <c r="W542" s="1">
        <f t="shared" si="113"/>
        <v>0</v>
      </c>
      <c r="X542" s="1">
        <f t="shared" si="114"/>
        <v>0</v>
      </c>
      <c r="Y542" s="1">
        <f t="shared" si="115"/>
        <v>97200</v>
      </c>
      <c r="Z542" s="1">
        <f t="shared" si="116"/>
        <v>1</v>
      </c>
    </row>
    <row r="543" spans="1:26" ht="18" customHeight="1" x14ac:dyDescent="0.3">
      <c r="A543" s="2"/>
      <c r="B543" s="65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66"/>
      <c r="E543" s="66"/>
      <c r="F543" s="60"/>
      <c r="G543" s="67"/>
      <c r="H543" s="60"/>
      <c r="I543" s="68">
        <f t="shared" ca="1" si="104"/>
        <v>0</v>
      </c>
      <c r="J543" s="68">
        <f t="shared" ca="1" si="105"/>
        <v>0</v>
      </c>
      <c r="K543" s="68">
        <f t="shared" ca="1" si="106"/>
        <v>0</v>
      </c>
      <c r="L543" s="68">
        <f t="shared" ca="1" si="107"/>
        <v>0</v>
      </c>
      <c r="M543" s="69">
        <f t="shared" si="108"/>
        <v>0</v>
      </c>
      <c r="N543" s="65" t="str">
        <f t="shared" si="109"/>
        <v/>
      </c>
      <c r="O543" s="70" t="str">
        <f>IF(OR($C543="",$D543="",$F543=""),"",IF($F543="Aylık",EOMONTH($D543,0),($D543+MOD(SISTEM!$F$8-WEEKDAY($D543,2),7))))</f>
        <v/>
      </c>
      <c r="P543" s="61"/>
      <c r="Q543" s="2"/>
      <c r="R543" s="2"/>
      <c r="S543" s="1" t="str">
        <f>IF($B543="","",$B543&amp;"|"&amp;COUNTIFS($B$7:$B543,$B543))</f>
        <v/>
      </c>
      <c r="T543" s="1" t="str">
        <f t="shared" si="110"/>
        <v/>
      </c>
      <c r="U543" s="1">
        <f t="shared" si="111"/>
        <v>0</v>
      </c>
      <c r="V543" s="1">
        <f t="shared" si="112"/>
        <v>2958465</v>
      </c>
      <c r="W543" s="1">
        <f t="shared" si="113"/>
        <v>0</v>
      </c>
      <c r="X543" s="1">
        <f t="shared" si="114"/>
        <v>0</v>
      </c>
      <c r="Y543" s="1">
        <f t="shared" si="115"/>
        <v>97200</v>
      </c>
      <c r="Z543" s="1">
        <f t="shared" si="116"/>
        <v>1</v>
      </c>
    </row>
    <row r="544" spans="1:26" ht="18" customHeight="1" x14ac:dyDescent="0.3">
      <c r="A544" s="2"/>
      <c r="B544" s="65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66"/>
      <c r="E544" s="66"/>
      <c r="F544" s="60"/>
      <c r="G544" s="67"/>
      <c r="H544" s="60"/>
      <c r="I544" s="68">
        <f t="shared" ca="1" si="104"/>
        <v>0</v>
      </c>
      <c r="J544" s="68">
        <f t="shared" ca="1" si="105"/>
        <v>0</v>
      </c>
      <c r="K544" s="68">
        <f t="shared" ca="1" si="106"/>
        <v>0</v>
      </c>
      <c r="L544" s="68">
        <f t="shared" ca="1" si="107"/>
        <v>0</v>
      </c>
      <c r="M544" s="69">
        <f t="shared" si="108"/>
        <v>0</v>
      </c>
      <c r="N544" s="65" t="str">
        <f t="shared" si="109"/>
        <v/>
      </c>
      <c r="O544" s="70" t="str">
        <f>IF(OR($C544="",$D544="",$F544=""),"",IF($F544="Aylık",EOMONTH($D544,0),($D544+MOD(SISTEM!$F$8-WEEKDAY($D544,2),7))))</f>
        <v/>
      </c>
      <c r="P544" s="61"/>
      <c r="Q544" s="2"/>
      <c r="R544" s="2"/>
      <c r="S544" s="1" t="str">
        <f>IF($B544="","",$B544&amp;"|"&amp;COUNTIFS($B$7:$B544,$B544))</f>
        <v/>
      </c>
      <c r="T544" s="1" t="str">
        <f t="shared" si="110"/>
        <v/>
      </c>
      <c r="U544" s="1">
        <f t="shared" si="111"/>
        <v>0</v>
      </c>
      <c r="V544" s="1">
        <f t="shared" si="112"/>
        <v>2958465</v>
      </c>
      <c r="W544" s="1">
        <f t="shared" si="113"/>
        <v>0</v>
      </c>
      <c r="X544" s="1">
        <f t="shared" si="114"/>
        <v>0</v>
      </c>
      <c r="Y544" s="1">
        <f t="shared" si="115"/>
        <v>97200</v>
      </c>
      <c r="Z544" s="1">
        <f t="shared" si="116"/>
        <v>1</v>
      </c>
    </row>
    <row r="545" spans="1:26" ht="18" customHeight="1" x14ac:dyDescent="0.3">
      <c r="A545" s="2"/>
      <c r="B545" s="65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66"/>
      <c r="E545" s="66"/>
      <c r="F545" s="60"/>
      <c r="G545" s="67"/>
      <c r="H545" s="60"/>
      <c r="I545" s="68">
        <f t="shared" ca="1" si="104"/>
        <v>0</v>
      </c>
      <c r="J545" s="68">
        <f t="shared" ca="1" si="105"/>
        <v>0</v>
      </c>
      <c r="K545" s="68">
        <f t="shared" ca="1" si="106"/>
        <v>0</v>
      </c>
      <c r="L545" s="68">
        <f t="shared" ca="1" si="107"/>
        <v>0</v>
      </c>
      <c r="M545" s="69">
        <f t="shared" si="108"/>
        <v>0</v>
      </c>
      <c r="N545" s="65" t="str">
        <f t="shared" si="109"/>
        <v/>
      </c>
      <c r="O545" s="70" t="str">
        <f>IF(OR($C545="",$D545="",$F545=""),"",IF($F545="Aylık",EOMONTH($D545,0),($D545+MOD(SISTEM!$F$8-WEEKDAY($D545,2),7))))</f>
        <v/>
      </c>
      <c r="P545" s="61"/>
      <c r="Q545" s="2"/>
      <c r="R545" s="2"/>
      <c r="S545" s="1" t="str">
        <f>IF($B545="","",$B545&amp;"|"&amp;COUNTIFS($B$7:$B545,$B545))</f>
        <v/>
      </c>
      <c r="T545" s="1" t="str">
        <f t="shared" si="110"/>
        <v/>
      </c>
      <c r="U545" s="1">
        <f t="shared" si="111"/>
        <v>0</v>
      </c>
      <c r="V545" s="1">
        <f t="shared" si="112"/>
        <v>2958465</v>
      </c>
      <c r="W545" s="1">
        <f t="shared" si="113"/>
        <v>0</v>
      </c>
      <c r="X545" s="1">
        <f t="shared" si="114"/>
        <v>0</v>
      </c>
      <c r="Y545" s="1">
        <f t="shared" si="115"/>
        <v>97200</v>
      </c>
      <c r="Z545" s="1">
        <f t="shared" si="116"/>
        <v>1</v>
      </c>
    </row>
    <row r="546" spans="1:26" ht="18" customHeight="1" x14ac:dyDescent="0.3">
      <c r="A546" s="2"/>
      <c r="B546" s="65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66"/>
      <c r="E546" s="66"/>
      <c r="F546" s="60"/>
      <c r="G546" s="67"/>
      <c r="H546" s="60"/>
      <c r="I546" s="68">
        <f t="shared" ca="1" si="104"/>
        <v>0</v>
      </c>
      <c r="J546" s="68">
        <f t="shared" ca="1" si="105"/>
        <v>0</v>
      </c>
      <c r="K546" s="68">
        <f t="shared" ca="1" si="106"/>
        <v>0</v>
      </c>
      <c r="L546" s="68">
        <f t="shared" ca="1" si="107"/>
        <v>0</v>
      </c>
      <c r="M546" s="69">
        <f t="shared" si="108"/>
        <v>0</v>
      </c>
      <c r="N546" s="65" t="str">
        <f t="shared" si="109"/>
        <v/>
      </c>
      <c r="O546" s="70" t="str">
        <f>IF(OR($C546="",$D546="",$F546=""),"",IF($F546="Aylık",EOMONTH($D546,0),($D546+MOD(SISTEM!$F$8-WEEKDAY($D546,2),7))))</f>
        <v/>
      </c>
      <c r="P546" s="61"/>
      <c r="Q546" s="2"/>
      <c r="R546" s="2"/>
      <c r="S546" s="1" t="str">
        <f>IF($B546="","",$B546&amp;"|"&amp;COUNTIFS($B$7:$B546,$B546))</f>
        <v/>
      </c>
      <c r="T546" s="1" t="str">
        <f t="shared" si="110"/>
        <v/>
      </c>
      <c r="U546" s="1">
        <f t="shared" si="111"/>
        <v>0</v>
      </c>
      <c r="V546" s="1">
        <f t="shared" si="112"/>
        <v>2958465</v>
      </c>
      <c r="W546" s="1">
        <f t="shared" si="113"/>
        <v>0</v>
      </c>
      <c r="X546" s="1">
        <f t="shared" si="114"/>
        <v>0</v>
      </c>
      <c r="Y546" s="1">
        <f t="shared" si="115"/>
        <v>97200</v>
      </c>
      <c r="Z546" s="1">
        <f t="shared" si="116"/>
        <v>1</v>
      </c>
    </row>
    <row r="547" spans="1:26" ht="18" customHeight="1" x14ac:dyDescent="0.3">
      <c r="A547" s="2"/>
      <c r="B547" s="65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66"/>
      <c r="E547" s="66"/>
      <c r="F547" s="60"/>
      <c r="G547" s="67"/>
      <c r="H547" s="60"/>
      <c r="I547" s="68">
        <f t="shared" ca="1" si="104"/>
        <v>0</v>
      </c>
      <c r="J547" s="68">
        <f t="shared" ca="1" si="105"/>
        <v>0</v>
      </c>
      <c r="K547" s="68">
        <f t="shared" ca="1" si="106"/>
        <v>0</v>
      </c>
      <c r="L547" s="68">
        <f t="shared" ca="1" si="107"/>
        <v>0</v>
      </c>
      <c r="M547" s="69">
        <f t="shared" si="108"/>
        <v>0</v>
      </c>
      <c r="N547" s="65" t="str">
        <f t="shared" si="109"/>
        <v/>
      </c>
      <c r="O547" s="70" t="str">
        <f>IF(OR($C547="",$D547="",$F547=""),"",IF($F547="Aylık",EOMONTH($D547,0),($D547+MOD(SISTEM!$F$8-WEEKDAY($D547,2),7))))</f>
        <v/>
      </c>
      <c r="P547" s="61"/>
      <c r="Q547" s="2"/>
      <c r="R547" s="2"/>
      <c r="S547" s="1" t="str">
        <f>IF($B547="","",$B547&amp;"|"&amp;COUNTIFS($B$7:$B547,$B547))</f>
        <v/>
      </c>
      <c r="T547" s="1" t="str">
        <f t="shared" si="110"/>
        <v/>
      </c>
      <c r="U547" s="1">
        <f t="shared" si="111"/>
        <v>0</v>
      </c>
      <c r="V547" s="1">
        <f t="shared" si="112"/>
        <v>2958465</v>
      </c>
      <c r="W547" s="1">
        <f t="shared" si="113"/>
        <v>0</v>
      </c>
      <c r="X547" s="1">
        <f t="shared" si="114"/>
        <v>0</v>
      </c>
      <c r="Y547" s="1">
        <f t="shared" si="115"/>
        <v>97200</v>
      </c>
      <c r="Z547" s="1">
        <f t="shared" si="116"/>
        <v>1</v>
      </c>
    </row>
    <row r="548" spans="1:26" ht="18" customHeight="1" x14ac:dyDescent="0.3">
      <c r="A548" s="2"/>
      <c r="B548" s="65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66"/>
      <c r="E548" s="66"/>
      <c r="F548" s="60"/>
      <c r="G548" s="67"/>
      <c r="H548" s="60"/>
      <c r="I548" s="68">
        <f t="shared" ca="1" si="104"/>
        <v>0</v>
      </c>
      <c r="J548" s="68">
        <f t="shared" ca="1" si="105"/>
        <v>0</v>
      </c>
      <c r="K548" s="68">
        <f t="shared" ca="1" si="106"/>
        <v>0</v>
      </c>
      <c r="L548" s="68">
        <f t="shared" ca="1" si="107"/>
        <v>0</v>
      </c>
      <c r="M548" s="69">
        <f t="shared" si="108"/>
        <v>0</v>
      </c>
      <c r="N548" s="65" t="str">
        <f t="shared" si="109"/>
        <v/>
      </c>
      <c r="O548" s="70" t="str">
        <f>IF(OR($C548="",$D548="",$F548=""),"",IF($F548="Aylık",EOMONTH($D548,0),($D548+MOD(SISTEM!$F$8-WEEKDAY($D548,2),7))))</f>
        <v/>
      </c>
      <c r="P548" s="61"/>
      <c r="Q548" s="2"/>
      <c r="R548" s="2"/>
      <c r="S548" s="1" t="str">
        <f>IF($B548="","",$B548&amp;"|"&amp;COUNTIFS($B$7:$B548,$B548))</f>
        <v/>
      </c>
      <c r="T548" s="1" t="str">
        <f t="shared" si="110"/>
        <v/>
      </c>
      <c r="U548" s="1">
        <f t="shared" si="111"/>
        <v>0</v>
      </c>
      <c r="V548" s="1">
        <f t="shared" si="112"/>
        <v>2958465</v>
      </c>
      <c r="W548" s="1">
        <f t="shared" si="113"/>
        <v>0</v>
      </c>
      <c r="X548" s="1">
        <f t="shared" si="114"/>
        <v>0</v>
      </c>
      <c r="Y548" s="1">
        <f t="shared" si="115"/>
        <v>97200</v>
      </c>
      <c r="Z548" s="1">
        <f t="shared" si="116"/>
        <v>1</v>
      </c>
    </row>
    <row r="549" spans="1:26" ht="18" customHeight="1" x14ac:dyDescent="0.3">
      <c r="A549" s="2"/>
      <c r="B549" s="65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66"/>
      <c r="E549" s="66"/>
      <c r="F549" s="60"/>
      <c r="G549" s="67"/>
      <c r="H549" s="60"/>
      <c r="I549" s="68">
        <f t="shared" ca="1" si="104"/>
        <v>0</v>
      </c>
      <c r="J549" s="68">
        <f t="shared" ca="1" si="105"/>
        <v>0</v>
      </c>
      <c r="K549" s="68">
        <f t="shared" ca="1" si="106"/>
        <v>0</v>
      </c>
      <c r="L549" s="68">
        <f t="shared" ca="1" si="107"/>
        <v>0</v>
      </c>
      <c r="M549" s="69">
        <f t="shared" si="108"/>
        <v>0</v>
      </c>
      <c r="N549" s="65" t="str">
        <f t="shared" si="109"/>
        <v/>
      </c>
      <c r="O549" s="70" t="str">
        <f>IF(OR($C549="",$D549="",$F549=""),"",IF($F549="Aylık",EOMONTH($D549,0),($D549+MOD(SISTEM!$F$8-WEEKDAY($D549,2),7))))</f>
        <v/>
      </c>
      <c r="P549" s="61"/>
      <c r="Q549" s="2"/>
      <c r="R549" s="2"/>
      <c r="S549" s="1" t="str">
        <f>IF($B549="","",$B549&amp;"|"&amp;COUNTIFS($B$7:$B549,$B549))</f>
        <v/>
      </c>
      <c r="T549" s="1" t="str">
        <f t="shared" si="110"/>
        <v/>
      </c>
      <c r="U549" s="1">
        <f t="shared" si="111"/>
        <v>0</v>
      </c>
      <c r="V549" s="1">
        <f t="shared" si="112"/>
        <v>2958465</v>
      </c>
      <c r="W549" s="1">
        <f t="shared" si="113"/>
        <v>0</v>
      </c>
      <c r="X549" s="1">
        <f t="shared" si="114"/>
        <v>0</v>
      </c>
      <c r="Y549" s="1">
        <f t="shared" si="115"/>
        <v>97200</v>
      </c>
      <c r="Z549" s="1">
        <f t="shared" si="116"/>
        <v>1</v>
      </c>
    </row>
    <row r="550" spans="1:26" ht="18" customHeight="1" x14ac:dyDescent="0.3">
      <c r="A550" s="2"/>
      <c r="B550" s="65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66"/>
      <c r="E550" s="66"/>
      <c r="F550" s="60"/>
      <c r="G550" s="67"/>
      <c r="H550" s="60"/>
      <c r="I550" s="68">
        <f t="shared" ca="1" si="104"/>
        <v>0</v>
      </c>
      <c r="J550" s="68">
        <f t="shared" ca="1" si="105"/>
        <v>0</v>
      </c>
      <c r="K550" s="68">
        <f t="shared" ca="1" si="106"/>
        <v>0</v>
      </c>
      <c r="L550" s="68">
        <f t="shared" ca="1" si="107"/>
        <v>0</v>
      </c>
      <c r="M550" s="69">
        <f t="shared" si="108"/>
        <v>0</v>
      </c>
      <c r="N550" s="65" t="str">
        <f t="shared" si="109"/>
        <v/>
      </c>
      <c r="O550" s="70" t="str">
        <f>IF(OR($C550="",$D550="",$F550=""),"",IF($F550="Aylık",EOMONTH($D550,0),($D550+MOD(SISTEM!$F$8-WEEKDAY($D550,2),7))))</f>
        <v/>
      </c>
      <c r="P550" s="61"/>
      <c r="Q550" s="2"/>
      <c r="R550" s="2"/>
      <c r="S550" s="1" t="str">
        <f>IF($B550="","",$B550&amp;"|"&amp;COUNTIFS($B$7:$B550,$B550))</f>
        <v/>
      </c>
      <c r="T550" s="1" t="str">
        <f t="shared" si="110"/>
        <v/>
      </c>
      <c r="U550" s="1">
        <f t="shared" si="111"/>
        <v>0</v>
      </c>
      <c r="V550" s="1">
        <f t="shared" si="112"/>
        <v>2958465</v>
      </c>
      <c r="W550" s="1">
        <f t="shared" si="113"/>
        <v>0</v>
      </c>
      <c r="X550" s="1">
        <f t="shared" si="114"/>
        <v>0</v>
      </c>
      <c r="Y550" s="1">
        <f t="shared" si="115"/>
        <v>97200</v>
      </c>
      <c r="Z550" s="1">
        <f t="shared" si="116"/>
        <v>1</v>
      </c>
    </row>
    <row r="551" spans="1:26" ht="18" customHeight="1" x14ac:dyDescent="0.3">
      <c r="A551" s="2"/>
      <c r="B551" s="65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66"/>
      <c r="E551" s="66"/>
      <c r="F551" s="60"/>
      <c r="G551" s="67"/>
      <c r="H551" s="60"/>
      <c r="I551" s="68">
        <f t="shared" ca="1" si="104"/>
        <v>0</v>
      </c>
      <c r="J551" s="68">
        <f t="shared" ca="1" si="105"/>
        <v>0</v>
      </c>
      <c r="K551" s="68">
        <f t="shared" ca="1" si="106"/>
        <v>0</v>
      </c>
      <c r="L551" s="68">
        <f t="shared" ca="1" si="107"/>
        <v>0</v>
      </c>
      <c r="M551" s="69">
        <f t="shared" si="108"/>
        <v>0</v>
      </c>
      <c r="N551" s="65" t="str">
        <f t="shared" si="109"/>
        <v/>
      </c>
      <c r="O551" s="70" t="str">
        <f>IF(OR($C551="",$D551="",$F551=""),"",IF($F551="Aylık",EOMONTH($D551,0),($D551+MOD(SISTEM!$F$8-WEEKDAY($D551,2),7))))</f>
        <v/>
      </c>
      <c r="P551" s="61"/>
      <c r="Q551" s="2"/>
      <c r="R551" s="2"/>
      <c r="S551" s="1" t="str">
        <f>IF($B551="","",$B551&amp;"|"&amp;COUNTIFS($B$7:$B551,$B551))</f>
        <v/>
      </c>
      <c r="T551" s="1" t="str">
        <f t="shared" si="110"/>
        <v/>
      </c>
      <c r="U551" s="1">
        <f t="shared" si="111"/>
        <v>0</v>
      </c>
      <c r="V551" s="1">
        <f t="shared" si="112"/>
        <v>2958465</v>
      </c>
      <c r="W551" s="1">
        <f t="shared" si="113"/>
        <v>0</v>
      </c>
      <c r="X551" s="1">
        <f t="shared" si="114"/>
        <v>0</v>
      </c>
      <c r="Y551" s="1">
        <f t="shared" si="115"/>
        <v>97200</v>
      </c>
      <c r="Z551" s="1">
        <f t="shared" si="116"/>
        <v>1</v>
      </c>
    </row>
    <row r="552" spans="1:26" ht="18" customHeight="1" x14ac:dyDescent="0.3">
      <c r="A552" s="2"/>
      <c r="B552" s="65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66"/>
      <c r="E552" s="66"/>
      <c r="F552" s="60"/>
      <c r="G552" s="67"/>
      <c r="H552" s="60"/>
      <c r="I552" s="68">
        <f t="shared" ca="1" si="104"/>
        <v>0</v>
      </c>
      <c r="J552" s="68">
        <f t="shared" ca="1" si="105"/>
        <v>0</v>
      </c>
      <c r="K552" s="68">
        <f t="shared" ca="1" si="106"/>
        <v>0</v>
      </c>
      <c r="L552" s="68">
        <f t="shared" ca="1" si="107"/>
        <v>0</v>
      </c>
      <c r="M552" s="69">
        <f t="shared" si="108"/>
        <v>0</v>
      </c>
      <c r="N552" s="65" t="str">
        <f t="shared" si="109"/>
        <v/>
      </c>
      <c r="O552" s="70" t="str">
        <f>IF(OR($C552="",$D552="",$F552=""),"",IF($F552="Aylık",EOMONTH($D552,0),($D552+MOD(SISTEM!$F$8-WEEKDAY($D552,2),7))))</f>
        <v/>
      </c>
      <c r="P552" s="61"/>
      <c r="Q552" s="2"/>
      <c r="R552" s="2"/>
      <c r="S552" s="1" t="str">
        <f>IF($B552="","",$B552&amp;"|"&amp;COUNTIFS($B$7:$B552,$B552))</f>
        <v/>
      </c>
      <c r="T552" s="1" t="str">
        <f t="shared" si="110"/>
        <v/>
      </c>
      <c r="U552" s="1">
        <f t="shared" si="111"/>
        <v>0</v>
      </c>
      <c r="V552" s="1">
        <f t="shared" si="112"/>
        <v>2958465</v>
      </c>
      <c r="W552" s="1">
        <f t="shared" si="113"/>
        <v>0</v>
      </c>
      <c r="X552" s="1">
        <f t="shared" si="114"/>
        <v>0</v>
      </c>
      <c r="Y552" s="1">
        <f t="shared" si="115"/>
        <v>97200</v>
      </c>
      <c r="Z552" s="1">
        <f t="shared" si="116"/>
        <v>1</v>
      </c>
    </row>
    <row r="553" spans="1:26" ht="18" customHeight="1" x14ac:dyDescent="0.3">
      <c r="A553" s="2"/>
      <c r="B553" s="65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66"/>
      <c r="E553" s="66"/>
      <c r="F553" s="60"/>
      <c r="G553" s="67"/>
      <c r="H553" s="60"/>
      <c r="I553" s="68">
        <f t="shared" ca="1" si="104"/>
        <v>0</v>
      </c>
      <c r="J553" s="68">
        <f t="shared" ca="1" si="105"/>
        <v>0</v>
      </c>
      <c r="K553" s="68">
        <f t="shared" ca="1" si="106"/>
        <v>0</v>
      </c>
      <c r="L553" s="68">
        <f t="shared" ca="1" si="107"/>
        <v>0</v>
      </c>
      <c r="M553" s="69">
        <f t="shared" si="108"/>
        <v>0</v>
      </c>
      <c r="N553" s="65" t="str">
        <f t="shared" si="109"/>
        <v/>
      </c>
      <c r="O553" s="70" t="str">
        <f>IF(OR($C553="",$D553="",$F553=""),"",IF($F553="Aylık",EOMONTH($D553,0),($D553+MOD(SISTEM!$F$8-WEEKDAY($D553,2),7))))</f>
        <v/>
      </c>
      <c r="P553" s="61"/>
      <c r="Q553" s="2"/>
      <c r="R553" s="2"/>
      <c r="S553" s="1" t="str">
        <f>IF($B553="","",$B553&amp;"|"&amp;COUNTIFS($B$7:$B553,$B553))</f>
        <v/>
      </c>
      <c r="T553" s="1" t="str">
        <f t="shared" si="110"/>
        <v/>
      </c>
      <c r="U553" s="1">
        <f t="shared" si="111"/>
        <v>0</v>
      </c>
      <c r="V553" s="1">
        <f t="shared" si="112"/>
        <v>2958465</v>
      </c>
      <c r="W553" s="1">
        <f t="shared" si="113"/>
        <v>0</v>
      </c>
      <c r="X553" s="1">
        <f t="shared" si="114"/>
        <v>0</v>
      </c>
      <c r="Y553" s="1">
        <f t="shared" si="115"/>
        <v>97200</v>
      </c>
      <c r="Z553" s="1">
        <f t="shared" si="116"/>
        <v>1</v>
      </c>
    </row>
    <row r="554" spans="1:26" ht="18" customHeight="1" x14ac:dyDescent="0.3">
      <c r="A554" s="2"/>
      <c r="B554" s="65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66"/>
      <c r="E554" s="66"/>
      <c r="F554" s="60"/>
      <c r="G554" s="67"/>
      <c r="H554" s="60"/>
      <c r="I554" s="68">
        <f t="shared" ca="1" si="104"/>
        <v>0</v>
      </c>
      <c r="J554" s="68">
        <f t="shared" ca="1" si="105"/>
        <v>0</v>
      </c>
      <c r="K554" s="68">
        <f t="shared" ca="1" si="106"/>
        <v>0</v>
      </c>
      <c r="L554" s="68">
        <f t="shared" ca="1" si="107"/>
        <v>0</v>
      </c>
      <c r="M554" s="69">
        <f t="shared" si="108"/>
        <v>0</v>
      </c>
      <c r="N554" s="65" t="str">
        <f t="shared" si="109"/>
        <v/>
      </c>
      <c r="O554" s="70" t="str">
        <f>IF(OR($C554="",$D554="",$F554=""),"",IF($F554="Aylık",EOMONTH($D554,0),($D554+MOD(SISTEM!$F$8-WEEKDAY($D554,2),7))))</f>
        <v/>
      </c>
      <c r="P554" s="61"/>
      <c r="Q554" s="2"/>
      <c r="R554" s="2"/>
      <c r="S554" s="1" t="str">
        <f>IF($B554="","",$B554&amp;"|"&amp;COUNTIFS($B$7:$B554,$B554))</f>
        <v/>
      </c>
      <c r="T554" s="1" t="str">
        <f t="shared" si="110"/>
        <v/>
      </c>
      <c r="U554" s="1">
        <f t="shared" si="111"/>
        <v>0</v>
      </c>
      <c r="V554" s="1">
        <f t="shared" si="112"/>
        <v>2958465</v>
      </c>
      <c r="W554" s="1">
        <f t="shared" si="113"/>
        <v>0</v>
      </c>
      <c r="X554" s="1">
        <f t="shared" si="114"/>
        <v>0</v>
      </c>
      <c r="Y554" s="1">
        <f t="shared" si="115"/>
        <v>97200</v>
      </c>
      <c r="Z554" s="1">
        <f t="shared" si="116"/>
        <v>1</v>
      </c>
    </row>
    <row r="555" spans="1:26" ht="18" customHeight="1" x14ac:dyDescent="0.3">
      <c r="A555" s="2"/>
      <c r="B555" s="65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66"/>
      <c r="E555" s="66"/>
      <c r="F555" s="60"/>
      <c r="G555" s="67"/>
      <c r="H555" s="60"/>
      <c r="I555" s="68">
        <f t="shared" ca="1" si="104"/>
        <v>0</v>
      </c>
      <c r="J555" s="68">
        <f t="shared" ca="1" si="105"/>
        <v>0</v>
      </c>
      <c r="K555" s="68">
        <f t="shared" ca="1" si="106"/>
        <v>0</v>
      </c>
      <c r="L555" s="68">
        <f t="shared" ca="1" si="107"/>
        <v>0</v>
      </c>
      <c r="M555" s="69">
        <f t="shared" si="108"/>
        <v>0</v>
      </c>
      <c r="N555" s="65" t="str">
        <f t="shared" si="109"/>
        <v/>
      </c>
      <c r="O555" s="70" t="str">
        <f>IF(OR($C555="",$D555="",$F555=""),"",IF($F555="Aylık",EOMONTH($D555,0),($D555+MOD(SISTEM!$F$8-WEEKDAY($D555,2),7))))</f>
        <v/>
      </c>
      <c r="P555" s="61"/>
      <c r="Q555" s="2"/>
      <c r="R555" s="2"/>
      <c r="S555" s="1" t="str">
        <f>IF($B555="","",$B555&amp;"|"&amp;COUNTIFS($B$7:$B555,$B555))</f>
        <v/>
      </c>
      <c r="T555" s="1" t="str">
        <f t="shared" si="110"/>
        <v/>
      </c>
      <c r="U555" s="1">
        <f t="shared" si="111"/>
        <v>0</v>
      </c>
      <c r="V555" s="1">
        <f t="shared" si="112"/>
        <v>2958465</v>
      </c>
      <c r="W555" s="1">
        <f t="shared" si="113"/>
        <v>0</v>
      </c>
      <c r="X555" s="1">
        <f t="shared" si="114"/>
        <v>0</v>
      </c>
      <c r="Y555" s="1">
        <f t="shared" si="115"/>
        <v>97200</v>
      </c>
      <c r="Z555" s="1">
        <f t="shared" si="116"/>
        <v>1</v>
      </c>
    </row>
    <row r="556" spans="1:26" ht="18" customHeight="1" x14ac:dyDescent="0.3">
      <c r="A556" s="2"/>
      <c r="B556" s="65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66"/>
      <c r="E556" s="66"/>
      <c r="F556" s="60"/>
      <c r="G556" s="67"/>
      <c r="H556" s="60"/>
      <c r="I556" s="68">
        <f t="shared" ca="1" si="104"/>
        <v>0</v>
      </c>
      <c r="J556" s="68">
        <f t="shared" ca="1" si="105"/>
        <v>0</v>
      </c>
      <c r="K556" s="68">
        <f t="shared" ca="1" si="106"/>
        <v>0</v>
      </c>
      <c r="L556" s="68">
        <f t="shared" ca="1" si="107"/>
        <v>0</v>
      </c>
      <c r="M556" s="69">
        <f t="shared" si="108"/>
        <v>0</v>
      </c>
      <c r="N556" s="65" t="str">
        <f t="shared" si="109"/>
        <v/>
      </c>
      <c r="O556" s="70" t="str">
        <f>IF(OR($C556="",$D556="",$F556=""),"",IF($F556="Aylık",EOMONTH($D556,0),($D556+MOD(SISTEM!$F$8-WEEKDAY($D556,2),7))))</f>
        <v/>
      </c>
      <c r="P556" s="61"/>
      <c r="Q556" s="2"/>
      <c r="R556" s="2"/>
      <c r="S556" s="1" t="str">
        <f>IF($B556="","",$B556&amp;"|"&amp;COUNTIFS($B$7:$B556,$B556))</f>
        <v/>
      </c>
      <c r="T556" s="1" t="str">
        <f t="shared" si="110"/>
        <v/>
      </c>
      <c r="U556" s="1">
        <f t="shared" si="111"/>
        <v>0</v>
      </c>
      <c r="V556" s="1">
        <f t="shared" si="112"/>
        <v>2958465</v>
      </c>
      <c r="W556" s="1">
        <f t="shared" si="113"/>
        <v>0</v>
      </c>
      <c r="X556" s="1">
        <f t="shared" si="114"/>
        <v>0</v>
      </c>
      <c r="Y556" s="1">
        <f t="shared" si="115"/>
        <v>97200</v>
      </c>
      <c r="Z556" s="1">
        <f t="shared" si="116"/>
        <v>1</v>
      </c>
    </row>
    <row r="557" spans="1:26" ht="18" customHeight="1" x14ac:dyDescent="0.3">
      <c r="A557" s="2"/>
      <c r="B557" s="65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66"/>
      <c r="E557" s="66"/>
      <c r="F557" s="60"/>
      <c r="G557" s="67"/>
      <c r="H557" s="60"/>
      <c r="I557" s="68">
        <f t="shared" ca="1" si="104"/>
        <v>0</v>
      </c>
      <c r="J557" s="68">
        <f t="shared" ca="1" si="105"/>
        <v>0</v>
      </c>
      <c r="K557" s="68">
        <f t="shared" ca="1" si="106"/>
        <v>0</v>
      </c>
      <c r="L557" s="68">
        <f t="shared" ca="1" si="107"/>
        <v>0</v>
      </c>
      <c r="M557" s="69">
        <f t="shared" si="108"/>
        <v>0</v>
      </c>
      <c r="N557" s="65" t="str">
        <f t="shared" si="109"/>
        <v/>
      </c>
      <c r="O557" s="70" t="str">
        <f>IF(OR($C557="",$D557="",$F557=""),"",IF($F557="Aylık",EOMONTH($D557,0),($D557+MOD(SISTEM!$F$8-WEEKDAY($D557,2),7))))</f>
        <v/>
      </c>
      <c r="P557" s="61"/>
      <c r="Q557" s="2"/>
      <c r="R557" s="2"/>
      <c r="S557" s="1" t="str">
        <f>IF($B557="","",$B557&amp;"|"&amp;COUNTIFS($B$7:$B557,$B557))</f>
        <v/>
      </c>
      <c r="T557" s="1" t="str">
        <f t="shared" si="110"/>
        <v/>
      </c>
      <c r="U557" s="1">
        <f t="shared" si="111"/>
        <v>0</v>
      </c>
      <c r="V557" s="1">
        <f t="shared" si="112"/>
        <v>2958465</v>
      </c>
      <c r="W557" s="1">
        <f t="shared" si="113"/>
        <v>0</v>
      </c>
      <c r="X557" s="1">
        <f t="shared" si="114"/>
        <v>0</v>
      </c>
      <c r="Y557" s="1">
        <f t="shared" si="115"/>
        <v>97200</v>
      </c>
      <c r="Z557" s="1">
        <f t="shared" si="116"/>
        <v>1</v>
      </c>
    </row>
    <row r="558" spans="1:26" ht="18" customHeight="1" x14ac:dyDescent="0.3">
      <c r="A558" s="2"/>
      <c r="B558" s="65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66"/>
      <c r="E558" s="66"/>
      <c r="F558" s="60"/>
      <c r="G558" s="67"/>
      <c r="H558" s="60"/>
      <c r="I558" s="68">
        <f t="shared" ca="1" si="104"/>
        <v>0</v>
      </c>
      <c r="J558" s="68">
        <f t="shared" ca="1" si="105"/>
        <v>0</v>
      </c>
      <c r="K558" s="68">
        <f t="shared" ca="1" si="106"/>
        <v>0</v>
      </c>
      <c r="L558" s="68">
        <f t="shared" ca="1" si="107"/>
        <v>0</v>
      </c>
      <c r="M558" s="69">
        <f t="shared" si="108"/>
        <v>0</v>
      </c>
      <c r="N558" s="65" t="str">
        <f t="shared" si="109"/>
        <v/>
      </c>
      <c r="O558" s="70" t="str">
        <f>IF(OR($C558="",$D558="",$F558=""),"",IF($F558="Aylık",EOMONTH($D558,0),($D558+MOD(SISTEM!$F$8-WEEKDAY($D558,2),7))))</f>
        <v/>
      </c>
      <c r="P558" s="61"/>
      <c r="Q558" s="2"/>
      <c r="R558" s="2"/>
      <c r="S558" s="1" t="str">
        <f>IF($B558="","",$B558&amp;"|"&amp;COUNTIFS($B$7:$B558,$B558))</f>
        <v/>
      </c>
      <c r="T558" s="1" t="str">
        <f t="shared" si="110"/>
        <v/>
      </c>
      <c r="U558" s="1">
        <f t="shared" si="111"/>
        <v>0</v>
      </c>
      <c r="V558" s="1">
        <f t="shared" si="112"/>
        <v>2958465</v>
      </c>
      <c r="W558" s="1">
        <f t="shared" si="113"/>
        <v>0</v>
      </c>
      <c r="X558" s="1">
        <f t="shared" si="114"/>
        <v>0</v>
      </c>
      <c r="Y558" s="1">
        <f t="shared" si="115"/>
        <v>97200</v>
      </c>
      <c r="Z558" s="1">
        <f t="shared" si="116"/>
        <v>1</v>
      </c>
    </row>
    <row r="559" spans="1:26" ht="18" customHeight="1" x14ac:dyDescent="0.3">
      <c r="A559" s="2"/>
      <c r="B559" s="65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66"/>
      <c r="E559" s="66"/>
      <c r="F559" s="60"/>
      <c r="G559" s="67"/>
      <c r="H559" s="60"/>
      <c r="I559" s="68">
        <f t="shared" ca="1" si="104"/>
        <v>0</v>
      </c>
      <c r="J559" s="68">
        <f t="shared" ca="1" si="105"/>
        <v>0</v>
      </c>
      <c r="K559" s="68">
        <f t="shared" ca="1" si="106"/>
        <v>0</v>
      </c>
      <c r="L559" s="68">
        <f t="shared" ca="1" si="107"/>
        <v>0</v>
      </c>
      <c r="M559" s="69">
        <f t="shared" si="108"/>
        <v>0</v>
      </c>
      <c r="N559" s="65" t="str">
        <f t="shared" si="109"/>
        <v/>
      </c>
      <c r="O559" s="70" t="str">
        <f>IF(OR($C559="",$D559="",$F559=""),"",IF($F559="Aylık",EOMONTH($D559,0),($D559+MOD(SISTEM!$F$8-WEEKDAY($D559,2),7))))</f>
        <v/>
      </c>
      <c r="P559" s="61"/>
      <c r="Q559" s="2"/>
      <c r="R559" s="2"/>
      <c r="S559" s="1" t="str">
        <f>IF($B559="","",$B559&amp;"|"&amp;COUNTIFS($B$7:$B559,$B559))</f>
        <v/>
      </c>
      <c r="T559" s="1" t="str">
        <f t="shared" si="110"/>
        <v/>
      </c>
      <c r="U559" s="1">
        <f t="shared" si="111"/>
        <v>0</v>
      </c>
      <c r="V559" s="1">
        <f t="shared" si="112"/>
        <v>2958465</v>
      </c>
      <c r="W559" s="1">
        <f t="shared" si="113"/>
        <v>0</v>
      </c>
      <c r="X559" s="1">
        <f t="shared" si="114"/>
        <v>0</v>
      </c>
      <c r="Y559" s="1">
        <f t="shared" si="115"/>
        <v>97200</v>
      </c>
      <c r="Z559" s="1">
        <f t="shared" si="116"/>
        <v>1</v>
      </c>
    </row>
    <row r="560" spans="1:26" ht="18" customHeight="1" x14ac:dyDescent="0.3">
      <c r="A560" s="2"/>
      <c r="B560" s="65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66"/>
      <c r="E560" s="66"/>
      <c r="F560" s="60"/>
      <c r="G560" s="67"/>
      <c r="H560" s="60"/>
      <c r="I560" s="68">
        <f t="shared" ca="1" si="104"/>
        <v>0</v>
      </c>
      <c r="J560" s="68">
        <f t="shared" ca="1" si="105"/>
        <v>0</v>
      </c>
      <c r="K560" s="68">
        <f t="shared" ca="1" si="106"/>
        <v>0</v>
      </c>
      <c r="L560" s="68">
        <f t="shared" ca="1" si="107"/>
        <v>0</v>
      </c>
      <c r="M560" s="69">
        <f t="shared" si="108"/>
        <v>0</v>
      </c>
      <c r="N560" s="65" t="str">
        <f t="shared" si="109"/>
        <v/>
      </c>
      <c r="O560" s="70" t="str">
        <f>IF(OR($C560="",$D560="",$F560=""),"",IF($F560="Aylık",EOMONTH($D560,0),($D560+MOD(SISTEM!$F$8-WEEKDAY($D560,2),7))))</f>
        <v/>
      </c>
      <c r="P560" s="61"/>
      <c r="Q560" s="2"/>
      <c r="R560" s="2"/>
      <c r="S560" s="1" t="str">
        <f>IF($B560="","",$B560&amp;"|"&amp;COUNTIFS($B$7:$B560,$B560))</f>
        <v/>
      </c>
      <c r="T560" s="1" t="str">
        <f t="shared" si="110"/>
        <v/>
      </c>
      <c r="U560" s="1">
        <f t="shared" si="111"/>
        <v>0</v>
      </c>
      <c r="V560" s="1">
        <f t="shared" si="112"/>
        <v>2958465</v>
      </c>
      <c r="W560" s="1">
        <f t="shared" si="113"/>
        <v>0</v>
      </c>
      <c r="X560" s="1">
        <f t="shared" si="114"/>
        <v>0</v>
      </c>
      <c r="Y560" s="1">
        <f t="shared" si="115"/>
        <v>97200</v>
      </c>
      <c r="Z560" s="1">
        <f t="shared" si="116"/>
        <v>1</v>
      </c>
    </row>
    <row r="561" spans="1:26" ht="18" customHeight="1" x14ac:dyDescent="0.3">
      <c r="A561" s="2"/>
      <c r="B561" s="65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66"/>
      <c r="E561" s="66"/>
      <c r="F561" s="60"/>
      <c r="G561" s="67"/>
      <c r="H561" s="60"/>
      <c r="I561" s="68">
        <f t="shared" ca="1" si="104"/>
        <v>0</v>
      </c>
      <c r="J561" s="68">
        <f t="shared" ca="1" si="105"/>
        <v>0</v>
      </c>
      <c r="K561" s="68">
        <f t="shared" ca="1" si="106"/>
        <v>0</v>
      </c>
      <c r="L561" s="68">
        <f t="shared" ca="1" si="107"/>
        <v>0</v>
      </c>
      <c r="M561" s="69">
        <f t="shared" si="108"/>
        <v>0</v>
      </c>
      <c r="N561" s="65" t="str">
        <f t="shared" si="109"/>
        <v/>
      </c>
      <c r="O561" s="70" t="str">
        <f>IF(OR($C561="",$D561="",$F561=""),"",IF($F561="Aylık",EOMONTH($D561,0),($D561+MOD(SISTEM!$F$8-WEEKDAY($D561,2),7))))</f>
        <v/>
      </c>
      <c r="P561" s="61"/>
      <c r="Q561" s="2"/>
      <c r="R561" s="2"/>
      <c r="S561" s="1" t="str">
        <f>IF($B561="","",$B561&amp;"|"&amp;COUNTIFS($B$7:$B561,$B561))</f>
        <v/>
      </c>
      <c r="T561" s="1" t="str">
        <f t="shared" si="110"/>
        <v/>
      </c>
      <c r="U561" s="1">
        <f t="shared" si="111"/>
        <v>0</v>
      </c>
      <c r="V561" s="1">
        <f t="shared" si="112"/>
        <v>2958465</v>
      </c>
      <c r="W561" s="1">
        <f t="shared" si="113"/>
        <v>0</v>
      </c>
      <c r="X561" s="1">
        <f t="shared" si="114"/>
        <v>0</v>
      </c>
      <c r="Y561" s="1">
        <f t="shared" si="115"/>
        <v>97200</v>
      </c>
      <c r="Z561" s="1">
        <f t="shared" si="116"/>
        <v>1</v>
      </c>
    </row>
    <row r="562" spans="1:26" ht="18" customHeight="1" x14ac:dyDescent="0.3">
      <c r="A562" s="2"/>
      <c r="B562" s="65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66"/>
      <c r="E562" s="66"/>
      <c r="F562" s="60"/>
      <c r="G562" s="67"/>
      <c r="H562" s="60"/>
      <c r="I562" s="68">
        <f t="shared" ca="1" si="104"/>
        <v>0</v>
      </c>
      <c r="J562" s="68">
        <f t="shared" ca="1" si="105"/>
        <v>0</v>
      </c>
      <c r="K562" s="68">
        <f t="shared" ca="1" si="106"/>
        <v>0</v>
      </c>
      <c r="L562" s="68">
        <f t="shared" ca="1" si="107"/>
        <v>0</v>
      </c>
      <c r="M562" s="69">
        <f t="shared" si="108"/>
        <v>0</v>
      </c>
      <c r="N562" s="65" t="str">
        <f t="shared" si="109"/>
        <v/>
      </c>
      <c r="O562" s="70" t="str">
        <f>IF(OR($C562="",$D562="",$F562=""),"",IF($F562="Aylık",EOMONTH($D562,0),($D562+MOD(SISTEM!$F$8-WEEKDAY($D562,2),7))))</f>
        <v/>
      </c>
      <c r="P562" s="61"/>
      <c r="Q562" s="2"/>
      <c r="R562" s="2"/>
      <c r="S562" s="1" t="str">
        <f>IF($B562="","",$B562&amp;"|"&amp;COUNTIFS($B$7:$B562,$B562))</f>
        <v/>
      </c>
      <c r="T562" s="1" t="str">
        <f t="shared" si="110"/>
        <v/>
      </c>
      <c r="U562" s="1">
        <f t="shared" si="111"/>
        <v>0</v>
      </c>
      <c r="V562" s="1">
        <f t="shared" si="112"/>
        <v>2958465</v>
      </c>
      <c r="W562" s="1">
        <f t="shared" si="113"/>
        <v>0</v>
      </c>
      <c r="X562" s="1">
        <f t="shared" si="114"/>
        <v>0</v>
      </c>
      <c r="Y562" s="1">
        <f t="shared" si="115"/>
        <v>97200</v>
      </c>
      <c r="Z562" s="1">
        <f t="shared" si="116"/>
        <v>1</v>
      </c>
    </row>
    <row r="563" spans="1:26" ht="18" customHeight="1" x14ac:dyDescent="0.3">
      <c r="A563" s="2"/>
      <c r="B563" s="65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66"/>
      <c r="E563" s="66"/>
      <c r="F563" s="60"/>
      <c r="G563" s="67"/>
      <c r="H563" s="60"/>
      <c r="I563" s="68">
        <f t="shared" ca="1" si="104"/>
        <v>0</v>
      </c>
      <c r="J563" s="68">
        <f t="shared" ca="1" si="105"/>
        <v>0</v>
      </c>
      <c r="K563" s="68">
        <f t="shared" ca="1" si="106"/>
        <v>0</v>
      </c>
      <c r="L563" s="68">
        <f t="shared" ca="1" si="107"/>
        <v>0</v>
      </c>
      <c r="M563" s="69">
        <f t="shared" si="108"/>
        <v>0</v>
      </c>
      <c r="N563" s="65" t="str">
        <f t="shared" si="109"/>
        <v/>
      </c>
      <c r="O563" s="70" t="str">
        <f>IF(OR($C563="",$D563="",$F563=""),"",IF($F563="Aylık",EOMONTH($D563,0),($D563+MOD(SISTEM!$F$8-WEEKDAY($D563,2),7))))</f>
        <v/>
      </c>
      <c r="P563" s="61"/>
      <c r="Q563" s="2"/>
      <c r="R563" s="2"/>
      <c r="S563" s="1" t="str">
        <f>IF($B563="","",$B563&amp;"|"&amp;COUNTIFS($B$7:$B563,$B563))</f>
        <v/>
      </c>
      <c r="T563" s="1" t="str">
        <f t="shared" si="110"/>
        <v/>
      </c>
      <c r="U563" s="1">
        <f t="shared" si="111"/>
        <v>0</v>
      </c>
      <c r="V563" s="1">
        <f t="shared" si="112"/>
        <v>2958465</v>
      </c>
      <c r="W563" s="1">
        <f t="shared" si="113"/>
        <v>0</v>
      </c>
      <c r="X563" s="1">
        <f t="shared" si="114"/>
        <v>0</v>
      </c>
      <c r="Y563" s="1">
        <f t="shared" si="115"/>
        <v>97200</v>
      </c>
      <c r="Z563" s="1">
        <f t="shared" si="116"/>
        <v>1</v>
      </c>
    </row>
    <row r="564" spans="1:26" ht="18" customHeight="1" x14ac:dyDescent="0.3">
      <c r="A564" s="2"/>
      <c r="B564" s="65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66"/>
      <c r="E564" s="66"/>
      <c r="F564" s="60"/>
      <c r="G564" s="67"/>
      <c r="H564" s="60"/>
      <c r="I564" s="68">
        <f t="shared" ca="1" si="104"/>
        <v>0</v>
      </c>
      <c r="J564" s="68">
        <f t="shared" ca="1" si="105"/>
        <v>0</v>
      </c>
      <c r="K564" s="68">
        <f t="shared" ca="1" si="106"/>
        <v>0</v>
      </c>
      <c r="L564" s="68">
        <f t="shared" ca="1" si="107"/>
        <v>0</v>
      </c>
      <c r="M564" s="69">
        <f t="shared" si="108"/>
        <v>0</v>
      </c>
      <c r="N564" s="65" t="str">
        <f t="shared" si="109"/>
        <v/>
      </c>
      <c r="O564" s="70" t="str">
        <f>IF(OR($C564="",$D564="",$F564=""),"",IF($F564="Aylık",EOMONTH($D564,0),($D564+MOD(SISTEM!$F$8-WEEKDAY($D564,2),7))))</f>
        <v/>
      </c>
      <c r="P564" s="61"/>
      <c r="Q564" s="2"/>
      <c r="R564" s="2"/>
      <c r="S564" s="1" t="str">
        <f>IF($B564="","",$B564&amp;"|"&amp;COUNTIFS($B$7:$B564,$B564))</f>
        <v/>
      </c>
      <c r="T564" s="1" t="str">
        <f t="shared" si="110"/>
        <v/>
      </c>
      <c r="U564" s="1">
        <f t="shared" si="111"/>
        <v>0</v>
      </c>
      <c r="V564" s="1">
        <f t="shared" si="112"/>
        <v>2958465</v>
      </c>
      <c r="W564" s="1">
        <f t="shared" si="113"/>
        <v>0</v>
      </c>
      <c r="X564" s="1">
        <f t="shared" si="114"/>
        <v>0</v>
      </c>
      <c r="Y564" s="1">
        <f t="shared" si="115"/>
        <v>97200</v>
      </c>
      <c r="Z564" s="1">
        <f t="shared" si="116"/>
        <v>1</v>
      </c>
    </row>
    <row r="565" spans="1:26" ht="18" customHeight="1" x14ac:dyDescent="0.3">
      <c r="A565" s="2"/>
      <c r="B565" s="65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66"/>
      <c r="E565" s="66"/>
      <c r="F565" s="60"/>
      <c r="G565" s="67"/>
      <c r="H565" s="60"/>
      <c r="I565" s="68">
        <f t="shared" ca="1" si="104"/>
        <v>0</v>
      </c>
      <c r="J565" s="68">
        <f t="shared" ca="1" si="105"/>
        <v>0</v>
      </c>
      <c r="K565" s="68">
        <f t="shared" ca="1" si="106"/>
        <v>0</v>
      </c>
      <c r="L565" s="68">
        <f t="shared" ca="1" si="107"/>
        <v>0</v>
      </c>
      <c r="M565" s="69">
        <f t="shared" si="108"/>
        <v>0</v>
      </c>
      <c r="N565" s="65" t="str">
        <f t="shared" si="109"/>
        <v/>
      </c>
      <c r="O565" s="70" t="str">
        <f>IF(OR($C565="",$D565="",$F565=""),"",IF($F565="Aylık",EOMONTH($D565,0),($D565+MOD(SISTEM!$F$8-WEEKDAY($D565,2),7))))</f>
        <v/>
      </c>
      <c r="P565" s="61"/>
      <c r="Q565" s="2"/>
      <c r="R565" s="2"/>
      <c r="S565" s="1" t="str">
        <f>IF($B565="","",$B565&amp;"|"&amp;COUNTIFS($B$7:$B565,$B565))</f>
        <v/>
      </c>
      <c r="T565" s="1" t="str">
        <f t="shared" si="110"/>
        <v/>
      </c>
      <c r="U565" s="1">
        <f t="shared" si="111"/>
        <v>0</v>
      </c>
      <c r="V565" s="1">
        <f t="shared" si="112"/>
        <v>2958465</v>
      </c>
      <c r="W565" s="1">
        <f t="shared" si="113"/>
        <v>0</v>
      </c>
      <c r="X565" s="1">
        <f t="shared" si="114"/>
        <v>0</v>
      </c>
      <c r="Y565" s="1">
        <f t="shared" si="115"/>
        <v>97200</v>
      </c>
      <c r="Z565" s="1">
        <f t="shared" si="116"/>
        <v>1</v>
      </c>
    </row>
    <row r="566" spans="1:26" ht="18" customHeight="1" x14ac:dyDescent="0.3">
      <c r="A566" s="2"/>
      <c r="B566" s="65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66"/>
      <c r="E566" s="66"/>
      <c r="F566" s="60"/>
      <c r="G566" s="67"/>
      <c r="H566" s="60"/>
      <c r="I566" s="68">
        <f t="shared" ca="1" si="104"/>
        <v>0</v>
      </c>
      <c r="J566" s="68">
        <f t="shared" ca="1" si="105"/>
        <v>0</v>
      </c>
      <c r="K566" s="68">
        <f t="shared" ca="1" si="106"/>
        <v>0</v>
      </c>
      <c r="L566" s="68">
        <f t="shared" ca="1" si="107"/>
        <v>0</v>
      </c>
      <c r="M566" s="69">
        <f t="shared" si="108"/>
        <v>0</v>
      </c>
      <c r="N566" s="65" t="str">
        <f t="shared" si="109"/>
        <v/>
      </c>
      <c r="O566" s="70" t="str">
        <f>IF(OR($C566="",$D566="",$F566=""),"",IF($F566="Aylık",EOMONTH($D566,0),($D566+MOD(SISTEM!$F$8-WEEKDAY($D566,2),7))))</f>
        <v/>
      </c>
      <c r="P566" s="61"/>
      <c r="Q566" s="2"/>
      <c r="R566" s="2"/>
      <c r="S566" s="1" t="str">
        <f>IF($B566="","",$B566&amp;"|"&amp;COUNTIFS($B$7:$B566,$B566))</f>
        <v/>
      </c>
      <c r="T566" s="1" t="str">
        <f t="shared" si="110"/>
        <v/>
      </c>
      <c r="U566" s="1">
        <f t="shared" si="111"/>
        <v>0</v>
      </c>
      <c r="V566" s="1">
        <f t="shared" si="112"/>
        <v>2958465</v>
      </c>
      <c r="W566" s="1">
        <f t="shared" si="113"/>
        <v>0</v>
      </c>
      <c r="X566" s="1">
        <f t="shared" si="114"/>
        <v>0</v>
      </c>
      <c r="Y566" s="1">
        <f t="shared" si="115"/>
        <v>97200</v>
      </c>
      <c r="Z566" s="1">
        <f t="shared" si="116"/>
        <v>1</v>
      </c>
    </row>
    <row r="567" spans="1:26" ht="18" customHeight="1" x14ac:dyDescent="0.3">
      <c r="A567" s="2"/>
      <c r="B567" s="65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66"/>
      <c r="E567" s="66"/>
      <c r="F567" s="60"/>
      <c r="G567" s="67"/>
      <c r="H567" s="60"/>
      <c r="I567" s="68">
        <f t="shared" ca="1" si="104"/>
        <v>0</v>
      </c>
      <c r="J567" s="68">
        <f t="shared" ca="1" si="105"/>
        <v>0</v>
      </c>
      <c r="K567" s="68">
        <f t="shared" ca="1" si="106"/>
        <v>0</v>
      </c>
      <c r="L567" s="68">
        <f t="shared" ca="1" si="107"/>
        <v>0</v>
      </c>
      <c r="M567" s="69">
        <f t="shared" si="108"/>
        <v>0</v>
      </c>
      <c r="N567" s="65" t="str">
        <f t="shared" si="109"/>
        <v/>
      </c>
      <c r="O567" s="70" t="str">
        <f>IF(OR($C567="",$D567="",$F567=""),"",IF($F567="Aylık",EOMONTH($D567,0),($D567+MOD(SISTEM!$F$8-WEEKDAY($D567,2),7))))</f>
        <v/>
      </c>
      <c r="P567" s="61"/>
      <c r="Q567" s="2"/>
      <c r="R567" s="2"/>
      <c r="S567" s="1" t="str">
        <f>IF($B567="","",$B567&amp;"|"&amp;COUNTIFS($B$7:$B567,$B567))</f>
        <v/>
      </c>
      <c r="T567" s="1" t="str">
        <f t="shared" si="110"/>
        <v/>
      </c>
      <c r="U567" s="1">
        <f t="shared" si="111"/>
        <v>0</v>
      </c>
      <c r="V567" s="1">
        <f t="shared" si="112"/>
        <v>2958465</v>
      </c>
      <c r="W567" s="1">
        <f t="shared" si="113"/>
        <v>0</v>
      </c>
      <c r="X567" s="1">
        <f t="shared" si="114"/>
        <v>0</v>
      </c>
      <c r="Y567" s="1">
        <f t="shared" si="115"/>
        <v>97200</v>
      </c>
      <c r="Z567" s="1">
        <f t="shared" si="116"/>
        <v>1</v>
      </c>
    </row>
    <row r="568" spans="1:26" ht="18" customHeight="1" x14ac:dyDescent="0.3">
      <c r="A568" s="2"/>
      <c r="B568" s="65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66"/>
      <c r="E568" s="66"/>
      <c r="F568" s="60"/>
      <c r="G568" s="67"/>
      <c r="H568" s="60"/>
      <c r="I568" s="68">
        <f t="shared" ca="1" si="104"/>
        <v>0</v>
      </c>
      <c r="J568" s="68">
        <f t="shared" ca="1" si="105"/>
        <v>0</v>
      </c>
      <c r="K568" s="68">
        <f t="shared" ca="1" si="106"/>
        <v>0</v>
      </c>
      <c r="L568" s="68">
        <f t="shared" ca="1" si="107"/>
        <v>0</v>
      </c>
      <c r="M568" s="69">
        <f t="shared" si="108"/>
        <v>0</v>
      </c>
      <c r="N568" s="65" t="str">
        <f t="shared" si="109"/>
        <v/>
      </c>
      <c r="O568" s="70" t="str">
        <f>IF(OR($C568="",$D568="",$F568=""),"",IF($F568="Aylık",EOMONTH($D568,0),($D568+MOD(SISTEM!$F$8-WEEKDAY($D568,2),7))))</f>
        <v/>
      </c>
      <c r="P568" s="61"/>
      <c r="Q568" s="2"/>
      <c r="R568" s="2"/>
      <c r="S568" s="1" t="str">
        <f>IF($B568="","",$B568&amp;"|"&amp;COUNTIFS($B$7:$B568,$B568))</f>
        <v/>
      </c>
      <c r="T568" s="1" t="str">
        <f t="shared" si="110"/>
        <v/>
      </c>
      <c r="U568" s="1">
        <f t="shared" si="111"/>
        <v>0</v>
      </c>
      <c r="V568" s="1">
        <f t="shared" si="112"/>
        <v>2958465</v>
      </c>
      <c r="W568" s="1">
        <f t="shared" si="113"/>
        <v>0</v>
      </c>
      <c r="X568" s="1">
        <f t="shared" si="114"/>
        <v>0</v>
      </c>
      <c r="Y568" s="1">
        <f t="shared" si="115"/>
        <v>97200</v>
      </c>
      <c r="Z568" s="1">
        <f t="shared" si="116"/>
        <v>1</v>
      </c>
    </row>
    <row r="569" spans="1:26" ht="18" customHeight="1" x14ac:dyDescent="0.3">
      <c r="A569" s="2"/>
      <c r="B569" s="65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66"/>
      <c r="E569" s="66"/>
      <c r="F569" s="60"/>
      <c r="G569" s="67"/>
      <c r="H569" s="60"/>
      <c r="I569" s="68">
        <f t="shared" ca="1" si="104"/>
        <v>0</v>
      </c>
      <c r="J569" s="68">
        <f t="shared" ca="1" si="105"/>
        <v>0</v>
      </c>
      <c r="K569" s="68">
        <f t="shared" ca="1" si="106"/>
        <v>0</v>
      </c>
      <c r="L569" s="68">
        <f t="shared" ca="1" si="107"/>
        <v>0</v>
      </c>
      <c r="M569" s="69">
        <f t="shared" si="108"/>
        <v>0</v>
      </c>
      <c r="N569" s="65" t="str">
        <f t="shared" si="109"/>
        <v/>
      </c>
      <c r="O569" s="70" t="str">
        <f>IF(OR($C569="",$D569="",$F569=""),"",IF($F569="Aylık",EOMONTH($D569,0),($D569+MOD(SISTEM!$F$8-WEEKDAY($D569,2),7))))</f>
        <v/>
      </c>
      <c r="P569" s="61"/>
      <c r="Q569" s="2"/>
      <c r="R569" s="2"/>
      <c r="S569" s="1" t="str">
        <f>IF($B569="","",$B569&amp;"|"&amp;COUNTIFS($B$7:$B569,$B569))</f>
        <v/>
      </c>
      <c r="T569" s="1" t="str">
        <f t="shared" si="110"/>
        <v/>
      </c>
      <c r="U569" s="1">
        <f t="shared" si="111"/>
        <v>0</v>
      </c>
      <c r="V569" s="1">
        <f t="shared" si="112"/>
        <v>2958465</v>
      </c>
      <c r="W569" s="1">
        <f t="shared" si="113"/>
        <v>0</v>
      </c>
      <c r="X569" s="1">
        <f t="shared" si="114"/>
        <v>0</v>
      </c>
      <c r="Y569" s="1">
        <f t="shared" si="115"/>
        <v>97200</v>
      </c>
      <c r="Z569" s="1">
        <f t="shared" si="116"/>
        <v>1</v>
      </c>
    </row>
    <row r="570" spans="1:26" ht="18" customHeight="1" x14ac:dyDescent="0.3">
      <c r="A570" s="2"/>
      <c r="B570" s="65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66"/>
      <c r="E570" s="66"/>
      <c r="F570" s="60"/>
      <c r="G570" s="67"/>
      <c r="H570" s="60"/>
      <c r="I570" s="68">
        <f t="shared" ca="1" si="104"/>
        <v>0</v>
      </c>
      <c r="J570" s="68">
        <f t="shared" ca="1" si="105"/>
        <v>0</v>
      </c>
      <c r="K570" s="68">
        <f t="shared" ca="1" si="106"/>
        <v>0</v>
      </c>
      <c r="L570" s="68">
        <f t="shared" ca="1" si="107"/>
        <v>0</v>
      </c>
      <c r="M570" s="69">
        <f t="shared" si="108"/>
        <v>0</v>
      </c>
      <c r="N570" s="65" t="str">
        <f t="shared" si="109"/>
        <v/>
      </c>
      <c r="O570" s="70" t="str">
        <f>IF(OR($C570="",$D570="",$F570=""),"",IF($F570="Aylık",EOMONTH($D570,0),($D570+MOD(SISTEM!$F$8-WEEKDAY($D570,2),7))))</f>
        <v/>
      </c>
      <c r="P570" s="61"/>
      <c r="Q570" s="2"/>
      <c r="R570" s="2"/>
      <c r="S570" s="1" t="str">
        <f>IF($B570="","",$B570&amp;"|"&amp;COUNTIFS($B$7:$B570,$B570))</f>
        <v/>
      </c>
      <c r="T570" s="1" t="str">
        <f t="shared" si="110"/>
        <v/>
      </c>
      <c r="U570" s="1">
        <f t="shared" si="111"/>
        <v>0</v>
      </c>
      <c r="V570" s="1">
        <f t="shared" si="112"/>
        <v>2958465</v>
      </c>
      <c r="W570" s="1">
        <f t="shared" si="113"/>
        <v>0</v>
      </c>
      <c r="X570" s="1">
        <f t="shared" si="114"/>
        <v>0</v>
      </c>
      <c r="Y570" s="1">
        <f t="shared" si="115"/>
        <v>97200</v>
      </c>
      <c r="Z570" s="1">
        <f t="shared" si="116"/>
        <v>1</v>
      </c>
    </row>
    <row r="571" spans="1:26" ht="18" customHeight="1" x14ac:dyDescent="0.3">
      <c r="A571" s="2"/>
      <c r="B571" s="65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66"/>
      <c r="E571" s="66"/>
      <c r="F571" s="60"/>
      <c r="G571" s="67"/>
      <c r="H571" s="60"/>
      <c r="I571" s="68">
        <f t="shared" ca="1" si="104"/>
        <v>0</v>
      </c>
      <c r="J571" s="68">
        <f t="shared" ca="1" si="105"/>
        <v>0</v>
      </c>
      <c r="K571" s="68">
        <f t="shared" ca="1" si="106"/>
        <v>0</v>
      </c>
      <c r="L571" s="68">
        <f t="shared" ca="1" si="107"/>
        <v>0</v>
      </c>
      <c r="M571" s="69">
        <f t="shared" si="108"/>
        <v>0</v>
      </c>
      <c r="N571" s="65" t="str">
        <f t="shared" si="109"/>
        <v/>
      </c>
      <c r="O571" s="70" t="str">
        <f>IF(OR($C571="",$D571="",$F571=""),"",IF($F571="Aylık",EOMONTH($D571,0),($D571+MOD(SISTEM!$F$8-WEEKDAY($D571,2),7))))</f>
        <v/>
      </c>
      <c r="P571" s="61"/>
      <c r="Q571" s="2"/>
      <c r="R571" s="2"/>
      <c r="S571" s="1" t="str">
        <f>IF($B571="","",$B571&amp;"|"&amp;COUNTIFS($B$7:$B571,$B571))</f>
        <v/>
      </c>
      <c r="T571" s="1" t="str">
        <f t="shared" si="110"/>
        <v/>
      </c>
      <c r="U571" s="1">
        <f t="shared" si="111"/>
        <v>0</v>
      </c>
      <c r="V571" s="1">
        <f t="shared" si="112"/>
        <v>2958465</v>
      </c>
      <c r="W571" s="1">
        <f t="shared" si="113"/>
        <v>0</v>
      </c>
      <c r="X571" s="1">
        <f t="shared" si="114"/>
        <v>0</v>
      </c>
      <c r="Y571" s="1">
        <f t="shared" si="115"/>
        <v>97200</v>
      </c>
      <c r="Z571" s="1">
        <f t="shared" si="116"/>
        <v>1</v>
      </c>
    </row>
    <row r="572" spans="1:26" ht="18" customHeight="1" x14ac:dyDescent="0.3">
      <c r="A572" s="2"/>
      <c r="B572" s="65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66"/>
      <c r="E572" s="66"/>
      <c r="F572" s="60"/>
      <c r="G572" s="67"/>
      <c r="H572" s="60"/>
      <c r="I572" s="68">
        <f t="shared" ca="1" si="104"/>
        <v>0</v>
      </c>
      <c r="J572" s="68">
        <f t="shared" ca="1" si="105"/>
        <v>0</v>
      </c>
      <c r="K572" s="68">
        <f t="shared" ca="1" si="106"/>
        <v>0</v>
      </c>
      <c r="L572" s="68">
        <f t="shared" ca="1" si="107"/>
        <v>0</v>
      </c>
      <c r="M572" s="69">
        <f t="shared" si="108"/>
        <v>0</v>
      </c>
      <c r="N572" s="65" t="str">
        <f t="shared" si="109"/>
        <v/>
      </c>
      <c r="O572" s="70" t="str">
        <f>IF(OR($C572="",$D572="",$F572=""),"",IF($F572="Aylık",EOMONTH($D572,0),($D572+MOD(SISTEM!$F$8-WEEKDAY($D572,2),7))))</f>
        <v/>
      </c>
      <c r="P572" s="61"/>
      <c r="Q572" s="2"/>
      <c r="R572" s="2"/>
      <c r="S572" s="1" t="str">
        <f>IF($B572="","",$B572&amp;"|"&amp;COUNTIFS($B$7:$B572,$B572))</f>
        <v/>
      </c>
      <c r="T572" s="1" t="str">
        <f t="shared" si="110"/>
        <v/>
      </c>
      <c r="U572" s="1">
        <f t="shared" si="111"/>
        <v>0</v>
      </c>
      <c r="V572" s="1">
        <f t="shared" si="112"/>
        <v>2958465</v>
      </c>
      <c r="W572" s="1">
        <f t="shared" si="113"/>
        <v>0</v>
      </c>
      <c r="X572" s="1">
        <f t="shared" si="114"/>
        <v>0</v>
      </c>
      <c r="Y572" s="1">
        <f t="shared" si="115"/>
        <v>97200</v>
      </c>
      <c r="Z572" s="1">
        <f t="shared" si="116"/>
        <v>1</v>
      </c>
    </row>
    <row r="573" spans="1:26" ht="18" customHeight="1" x14ac:dyDescent="0.3">
      <c r="A573" s="2"/>
      <c r="B573" s="65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66"/>
      <c r="E573" s="66"/>
      <c r="F573" s="60"/>
      <c r="G573" s="67"/>
      <c r="H573" s="60"/>
      <c r="I573" s="68">
        <f t="shared" ca="1" si="104"/>
        <v>0</v>
      </c>
      <c r="J573" s="68">
        <f t="shared" ca="1" si="105"/>
        <v>0</v>
      </c>
      <c r="K573" s="68">
        <f t="shared" ca="1" si="106"/>
        <v>0</v>
      </c>
      <c r="L573" s="68">
        <f t="shared" ca="1" si="107"/>
        <v>0</v>
      </c>
      <c r="M573" s="69">
        <f t="shared" si="108"/>
        <v>0</v>
      </c>
      <c r="N573" s="65" t="str">
        <f t="shared" si="109"/>
        <v/>
      </c>
      <c r="O573" s="70" t="str">
        <f>IF(OR($C573="",$D573="",$F573=""),"",IF($F573="Aylık",EOMONTH($D573,0),($D573+MOD(SISTEM!$F$8-WEEKDAY($D573,2),7))))</f>
        <v/>
      </c>
      <c r="P573" s="61"/>
      <c r="Q573" s="2"/>
      <c r="R573" s="2"/>
      <c r="S573" s="1" t="str">
        <f>IF($B573="","",$B573&amp;"|"&amp;COUNTIFS($B$7:$B573,$B573))</f>
        <v/>
      </c>
      <c r="T573" s="1" t="str">
        <f t="shared" si="110"/>
        <v/>
      </c>
      <c r="U573" s="1">
        <f t="shared" si="111"/>
        <v>0</v>
      </c>
      <c r="V573" s="1">
        <f t="shared" si="112"/>
        <v>2958465</v>
      </c>
      <c r="W573" s="1">
        <f t="shared" si="113"/>
        <v>0</v>
      </c>
      <c r="X573" s="1">
        <f t="shared" si="114"/>
        <v>0</v>
      </c>
      <c r="Y573" s="1">
        <f t="shared" si="115"/>
        <v>97200</v>
      </c>
      <c r="Z573" s="1">
        <f t="shared" si="116"/>
        <v>1</v>
      </c>
    </row>
    <row r="574" spans="1:26" ht="18" customHeight="1" x14ac:dyDescent="0.3">
      <c r="A574" s="2"/>
      <c r="B574" s="65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66"/>
      <c r="E574" s="66"/>
      <c r="F574" s="60"/>
      <c r="G574" s="67"/>
      <c r="H574" s="60"/>
      <c r="I574" s="68">
        <f t="shared" ca="1" si="104"/>
        <v>0</v>
      </c>
      <c r="J574" s="68">
        <f t="shared" ca="1" si="105"/>
        <v>0</v>
      </c>
      <c r="K574" s="68">
        <f t="shared" ca="1" si="106"/>
        <v>0</v>
      </c>
      <c r="L574" s="68">
        <f t="shared" ca="1" si="107"/>
        <v>0</v>
      </c>
      <c r="M574" s="69">
        <f t="shared" si="108"/>
        <v>0</v>
      </c>
      <c r="N574" s="65" t="str">
        <f t="shared" si="109"/>
        <v/>
      </c>
      <c r="O574" s="70" t="str">
        <f>IF(OR($C574="",$D574="",$F574=""),"",IF($F574="Aylık",EOMONTH($D574,0),($D574+MOD(SISTEM!$F$8-WEEKDAY($D574,2),7))))</f>
        <v/>
      </c>
      <c r="P574" s="61"/>
      <c r="Q574" s="2"/>
      <c r="R574" s="2"/>
      <c r="S574" s="1" t="str">
        <f>IF($B574="","",$B574&amp;"|"&amp;COUNTIFS($B$7:$B574,$B574))</f>
        <v/>
      </c>
      <c r="T574" s="1" t="str">
        <f t="shared" si="110"/>
        <v/>
      </c>
      <c r="U574" s="1">
        <f t="shared" si="111"/>
        <v>0</v>
      </c>
      <c r="V574" s="1">
        <f t="shared" si="112"/>
        <v>2958465</v>
      </c>
      <c r="W574" s="1">
        <f t="shared" si="113"/>
        <v>0</v>
      </c>
      <c r="X574" s="1">
        <f t="shared" si="114"/>
        <v>0</v>
      </c>
      <c r="Y574" s="1">
        <f t="shared" si="115"/>
        <v>97200</v>
      </c>
      <c r="Z574" s="1">
        <f t="shared" si="116"/>
        <v>1</v>
      </c>
    </row>
    <row r="575" spans="1:26" ht="18" customHeight="1" x14ac:dyDescent="0.3">
      <c r="A575" s="2"/>
      <c r="B575" s="65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66"/>
      <c r="E575" s="66"/>
      <c r="F575" s="60"/>
      <c r="G575" s="67"/>
      <c r="H575" s="60"/>
      <c r="I575" s="68">
        <f t="shared" ca="1" si="104"/>
        <v>0</v>
      </c>
      <c r="J575" s="68">
        <f t="shared" ca="1" si="105"/>
        <v>0</v>
      </c>
      <c r="K575" s="68">
        <f t="shared" ca="1" si="106"/>
        <v>0</v>
      </c>
      <c r="L575" s="68">
        <f t="shared" ca="1" si="107"/>
        <v>0</v>
      </c>
      <c r="M575" s="69">
        <f t="shared" si="108"/>
        <v>0</v>
      </c>
      <c r="N575" s="65" t="str">
        <f t="shared" si="109"/>
        <v/>
      </c>
      <c r="O575" s="70" t="str">
        <f>IF(OR($C575="",$D575="",$F575=""),"",IF($F575="Aylık",EOMONTH($D575,0),($D575+MOD(SISTEM!$F$8-WEEKDAY($D575,2),7))))</f>
        <v/>
      </c>
      <c r="P575" s="61"/>
      <c r="Q575" s="2"/>
      <c r="R575" s="2"/>
      <c r="S575" s="1" t="str">
        <f>IF($B575="","",$B575&amp;"|"&amp;COUNTIFS($B$7:$B575,$B575))</f>
        <v/>
      </c>
      <c r="T575" s="1" t="str">
        <f t="shared" si="110"/>
        <v/>
      </c>
      <c r="U575" s="1">
        <f t="shared" si="111"/>
        <v>0</v>
      </c>
      <c r="V575" s="1">
        <f t="shared" si="112"/>
        <v>2958465</v>
      </c>
      <c r="W575" s="1">
        <f t="shared" si="113"/>
        <v>0</v>
      </c>
      <c r="X575" s="1">
        <f t="shared" si="114"/>
        <v>0</v>
      </c>
      <c r="Y575" s="1">
        <f t="shared" si="115"/>
        <v>97200</v>
      </c>
      <c r="Z575" s="1">
        <f t="shared" si="116"/>
        <v>1</v>
      </c>
    </row>
    <row r="576" spans="1:26" ht="18" customHeight="1" x14ac:dyDescent="0.3">
      <c r="A576" s="2"/>
      <c r="B576" s="65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66"/>
      <c r="E576" s="66"/>
      <c r="F576" s="60"/>
      <c r="G576" s="67"/>
      <c r="H576" s="60"/>
      <c r="I576" s="68">
        <f t="shared" ca="1" si="104"/>
        <v>0</v>
      </c>
      <c r="J576" s="68">
        <f t="shared" ca="1" si="105"/>
        <v>0</v>
      </c>
      <c r="K576" s="68">
        <f t="shared" ca="1" si="106"/>
        <v>0</v>
      </c>
      <c r="L576" s="68">
        <f t="shared" ca="1" si="107"/>
        <v>0</v>
      </c>
      <c r="M576" s="69">
        <f t="shared" si="108"/>
        <v>0</v>
      </c>
      <c r="N576" s="65" t="str">
        <f t="shared" si="109"/>
        <v/>
      </c>
      <c r="O576" s="70" t="str">
        <f>IF(OR($C576="",$D576="",$F576=""),"",IF($F576="Aylık",EOMONTH($D576,0),($D576+MOD(SISTEM!$F$8-WEEKDAY($D576,2),7))))</f>
        <v/>
      </c>
      <c r="P576" s="61"/>
      <c r="Q576" s="2"/>
      <c r="R576" s="2"/>
      <c r="S576" s="1" t="str">
        <f>IF($B576="","",$B576&amp;"|"&amp;COUNTIFS($B$7:$B576,$B576))</f>
        <v/>
      </c>
      <c r="T576" s="1" t="str">
        <f t="shared" si="110"/>
        <v/>
      </c>
      <c r="U576" s="1">
        <f t="shared" si="111"/>
        <v>0</v>
      </c>
      <c r="V576" s="1">
        <f t="shared" si="112"/>
        <v>2958465</v>
      </c>
      <c r="W576" s="1">
        <f t="shared" si="113"/>
        <v>0</v>
      </c>
      <c r="X576" s="1">
        <f t="shared" si="114"/>
        <v>0</v>
      </c>
      <c r="Y576" s="1">
        <f t="shared" si="115"/>
        <v>97200</v>
      </c>
      <c r="Z576" s="1">
        <f t="shared" si="116"/>
        <v>1</v>
      </c>
    </row>
    <row r="577" spans="1:26" ht="18" customHeight="1" x14ac:dyDescent="0.3">
      <c r="A577" s="2"/>
      <c r="B577" s="65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66"/>
      <c r="E577" s="66"/>
      <c r="F577" s="60"/>
      <c r="G577" s="67"/>
      <c r="H577" s="60"/>
      <c r="I577" s="68">
        <f t="shared" ca="1" si="104"/>
        <v>0</v>
      </c>
      <c r="J577" s="68">
        <f t="shared" ca="1" si="105"/>
        <v>0</v>
      </c>
      <c r="K577" s="68">
        <f t="shared" ca="1" si="106"/>
        <v>0</v>
      </c>
      <c r="L577" s="68">
        <f t="shared" ca="1" si="107"/>
        <v>0</v>
      </c>
      <c r="M577" s="69">
        <f t="shared" si="108"/>
        <v>0</v>
      </c>
      <c r="N577" s="65" t="str">
        <f t="shared" si="109"/>
        <v/>
      </c>
      <c r="O577" s="70" t="str">
        <f>IF(OR($C577="",$D577="",$F577=""),"",IF($F577="Aylık",EOMONTH($D577,0),($D577+MOD(SISTEM!$F$8-WEEKDAY($D577,2),7))))</f>
        <v/>
      </c>
      <c r="P577" s="61"/>
      <c r="Q577" s="2"/>
      <c r="R577" s="2"/>
      <c r="S577" s="1" t="str">
        <f>IF($B577="","",$B577&amp;"|"&amp;COUNTIFS($B$7:$B577,$B577))</f>
        <v/>
      </c>
      <c r="T577" s="1" t="str">
        <f t="shared" si="110"/>
        <v/>
      </c>
      <c r="U577" s="1">
        <f t="shared" si="111"/>
        <v>0</v>
      </c>
      <c r="V577" s="1">
        <f t="shared" si="112"/>
        <v>2958465</v>
      </c>
      <c r="W577" s="1">
        <f t="shared" si="113"/>
        <v>0</v>
      </c>
      <c r="X577" s="1">
        <f t="shared" si="114"/>
        <v>0</v>
      </c>
      <c r="Y577" s="1">
        <f t="shared" si="115"/>
        <v>97200</v>
      </c>
      <c r="Z577" s="1">
        <f t="shared" si="116"/>
        <v>1</v>
      </c>
    </row>
    <row r="578" spans="1:26" ht="18" customHeight="1" x14ac:dyDescent="0.3">
      <c r="A578" s="2"/>
      <c r="B578" s="65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66"/>
      <c r="E578" s="66"/>
      <c r="F578" s="60"/>
      <c r="G578" s="67"/>
      <c r="H578" s="60"/>
      <c r="I578" s="68">
        <f t="shared" ca="1" si="104"/>
        <v>0</v>
      </c>
      <c r="J578" s="68">
        <f t="shared" ca="1" si="105"/>
        <v>0</v>
      </c>
      <c r="K578" s="68">
        <f t="shared" ca="1" si="106"/>
        <v>0</v>
      </c>
      <c r="L578" s="68">
        <f t="shared" ca="1" si="107"/>
        <v>0</v>
      </c>
      <c r="M578" s="69">
        <f t="shared" si="108"/>
        <v>0</v>
      </c>
      <c r="N578" s="65" t="str">
        <f t="shared" si="109"/>
        <v/>
      </c>
      <c r="O578" s="70" t="str">
        <f>IF(OR($C578="",$D578="",$F578=""),"",IF($F578="Aylık",EOMONTH($D578,0),($D578+MOD(SISTEM!$F$8-WEEKDAY($D578,2),7))))</f>
        <v/>
      </c>
      <c r="P578" s="61"/>
      <c r="Q578" s="2"/>
      <c r="R578" s="2"/>
      <c r="S578" s="1" t="str">
        <f>IF($B578="","",$B578&amp;"|"&amp;COUNTIFS($B$7:$B578,$B578))</f>
        <v/>
      </c>
      <c r="T578" s="1" t="str">
        <f t="shared" si="110"/>
        <v/>
      </c>
      <c r="U578" s="1">
        <f t="shared" si="111"/>
        <v>0</v>
      </c>
      <c r="V578" s="1">
        <f t="shared" si="112"/>
        <v>2958465</v>
      </c>
      <c r="W578" s="1">
        <f t="shared" si="113"/>
        <v>0</v>
      </c>
      <c r="X578" s="1">
        <f t="shared" si="114"/>
        <v>0</v>
      </c>
      <c r="Y578" s="1">
        <f t="shared" si="115"/>
        <v>97200</v>
      </c>
      <c r="Z578" s="1">
        <f t="shared" si="116"/>
        <v>1</v>
      </c>
    </row>
    <row r="579" spans="1:26" ht="18" customHeight="1" x14ac:dyDescent="0.3">
      <c r="A579" s="2"/>
      <c r="B579" s="65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66"/>
      <c r="E579" s="66"/>
      <c r="F579" s="60"/>
      <c r="G579" s="67"/>
      <c r="H579" s="60"/>
      <c r="I579" s="68">
        <f t="shared" ca="1" si="104"/>
        <v>0</v>
      </c>
      <c r="J579" s="68">
        <f t="shared" ca="1" si="105"/>
        <v>0</v>
      </c>
      <c r="K579" s="68">
        <f t="shared" ca="1" si="106"/>
        <v>0</v>
      </c>
      <c r="L579" s="68">
        <f t="shared" ca="1" si="107"/>
        <v>0</v>
      </c>
      <c r="M579" s="69">
        <f t="shared" si="108"/>
        <v>0</v>
      </c>
      <c r="N579" s="65" t="str">
        <f t="shared" si="109"/>
        <v/>
      </c>
      <c r="O579" s="70" t="str">
        <f>IF(OR($C579="",$D579="",$F579=""),"",IF($F579="Aylık",EOMONTH($D579,0),($D579+MOD(SISTEM!$F$8-WEEKDAY($D579,2),7))))</f>
        <v/>
      </c>
      <c r="P579" s="61"/>
      <c r="Q579" s="2"/>
      <c r="R579" s="2"/>
      <c r="S579" s="1" t="str">
        <f>IF($B579="","",$B579&amp;"|"&amp;COUNTIFS($B$7:$B579,$B579))</f>
        <v/>
      </c>
      <c r="T579" s="1" t="str">
        <f t="shared" si="110"/>
        <v/>
      </c>
      <c r="U579" s="1">
        <f t="shared" si="111"/>
        <v>0</v>
      </c>
      <c r="V579" s="1">
        <f t="shared" si="112"/>
        <v>2958465</v>
      </c>
      <c r="W579" s="1">
        <f t="shared" si="113"/>
        <v>0</v>
      </c>
      <c r="X579" s="1">
        <f t="shared" si="114"/>
        <v>0</v>
      </c>
      <c r="Y579" s="1">
        <f t="shared" si="115"/>
        <v>97200</v>
      </c>
      <c r="Z579" s="1">
        <f t="shared" si="116"/>
        <v>1</v>
      </c>
    </row>
    <row r="580" spans="1:26" ht="18" customHeight="1" x14ac:dyDescent="0.3">
      <c r="A580" s="2"/>
      <c r="B580" s="65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66"/>
      <c r="E580" s="66"/>
      <c r="F580" s="60"/>
      <c r="G580" s="67"/>
      <c r="H580" s="60"/>
      <c r="I580" s="68">
        <f t="shared" ca="1" si="104"/>
        <v>0</v>
      </c>
      <c r="J580" s="68">
        <f t="shared" ca="1" si="105"/>
        <v>0</v>
      </c>
      <c r="K580" s="68">
        <f t="shared" ca="1" si="106"/>
        <v>0</v>
      </c>
      <c r="L580" s="68">
        <f t="shared" ca="1" si="107"/>
        <v>0</v>
      </c>
      <c r="M580" s="69">
        <f t="shared" si="108"/>
        <v>0</v>
      </c>
      <c r="N580" s="65" t="str">
        <f t="shared" si="109"/>
        <v/>
      </c>
      <c r="O580" s="70" t="str">
        <f>IF(OR($C580="",$D580="",$F580=""),"",IF($F580="Aylık",EOMONTH($D580,0),($D580+MOD(SISTEM!$F$8-WEEKDAY($D580,2),7))))</f>
        <v/>
      </c>
      <c r="P580" s="61"/>
      <c r="Q580" s="2"/>
      <c r="R580" s="2"/>
      <c r="S580" s="1" t="str">
        <f>IF($B580="","",$B580&amp;"|"&amp;COUNTIFS($B$7:$B580,$B580))</f>
        <v/>
      </c>
      <c r="T580" s="1" t="str">
        <f t="shared" si="110"/>
        <v/>
      </c>
      <c r="U580" s="1">
        <f t="shared" si="111"/>
        <v>0</v>
      </c>
      <c r="V580" s="1">
        <f t="shared" si="112"/>
        <v>2958465</v>
      </c>
      <c r="W580" s="1">
        <f t="shared" si="113"/>
        <v>0</v>
      </c>
      <c r="X580" s="1">
        <f t="shared" si="114"/>
        <v>0</v>
      </c>
      <c r="Y580" s="1">
        <f t="shared" si="115"/>
        <v>97200</v>
      </c>
      <c r="Z580" s="1">
        <f t="shared" si="116"/>
        <v>1</v>
      </c>
    </row>
    <row r="581" spans="1:26" ht="18" customHeight="1" x14ac:dyDescent="0.3">
      <c r="A581" s="2"/>
      <c r="B581" s="65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66"/>
      <c r="E581" s="66"/>
      <c r="F581" s="60"/>
      <c r="G581" s="67"/>
      <c r="H581" s="60"/>
      <c r="I581" s="68">
        <f t="shared" ca="1" si="104"/>
        <v>0</v>
      </c>
      <c r="J581" s="68">
        <f t="shared" ca="1" si="105"/>
        <v>0</v>
      </c>
      <c r="K581" s="68">
        <f t="shared" ca="1" si="106"/>
        <v>0</v>
      </c>
      <c r="L581" s="68">
        <f t="shared" ca="1" si="107"/>
        <v>0</v>
      </c>
      <c r="M581" s="69">
        <f t="shared" si="108"/>
        <v>0</v>
      </c>
      <c r="N581" s="65" t="str">
        <f t="shared" si="109"/>
        <v/>
      </c>
      <c r="O581" s="70" t="str">
        <f>IF(OR($C581="",$D581="",$F581=""),"",IF($F581="Aylık",EOMONTH($D581,0),($D581+MOD(SISTEM!$F$8-WEEKDAY($D581,2),7))))</f>
        <v/>
      </c>
      <c r="P581" s="61"/>
      <c r="Q581" s="2"/>
      <c r="R581" s="2"/>
      <c r="S581" s="1" t="str">
        <f>IF($B581="","",$B581&amp;"|"&amp;COUNTIFS($B$7:$B581,$B581))</f>
        <v/>
      </c>
      <c r="T581" s="1" t="str">
        <f t="shared" si="110"/>
        <v/>
      </c>
      <c r="U581" s="1">
        <f t="shared" si="111"/>
        <v>0</v>
      </c>
      <c r="V581" s="1">
        <f t="shared" si="112"/>
        <v>2958465</v>
      </c>
      <c r="W581" s="1">
        <f t="shared" si="113"/>
        <v>0</v>
      </c>
      <c r="X581" s="1">
        <f t="shared" si="114"/>
        <v>0</v>
      </c>
      <c r="Y581" s="1">
        <f t="shared" si="115"/>
        <v>97200</v>
      </c>
      <c r="Z581" s="1">
        <f t="shared" si="116"/>
        <v>1</v>
      </c>
    </row>
    <row r="582" spans="1:26" ht="18" customHeight="1" x14ac:dyDescent="0.3">
      <c r="A582" s="2"/>
      <c r="B582" s="65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66"/>
      <c r="E582" s="66"/>
      <c r="F582" s="60"/>
      <c r="G582" s="67"/>
      <c r="H582" s="60"/>
      <c r="I582" s="68">
        <f t="shared" ca="1" si="104"/>
        <v>0</v>
      </c>
      <c r="J582" s="68">
        <f t="shared" ca="1" si="105"/>
        <v>0</v>
      </c>
      <c r="K582" s="68">
        <f t="shared" ca="1" si="106"/>
        <v>0</v>
      </c>
      <c r="L582" s="68">
        <f t="shared" ca="1" si="107"/>
        <v>0</v>
      </c>
      <c r="M582" s="69">
        <f t="shared" si="108"/>
        <v>0</v>
      </c>
      <c r="N582" s="65" t="str">
        <f t="shared" si="109"/>
        <v/>
      </c>
      <c r="O582" s="70" t="str">
        <f>IF(OR($C582="",$D582="",$F582=""),"",IF($F582="Aylık",EOMONTH($D582,0),($D582+MOD(SISTEM!$F$8-WEEKDAY($D582,2),7))))</f>
        <v/>
      </c>
      <c r="P582" s="61"/>
      <c r="Q582" s="2"/>
      <c r="R582" s="2"/>
      <c r="S582" s="1" t="str">
        <f>IF($B582="","",$B582&amp;"|"&amp;COUNTIFS($B$7:$B582,$B582))</f>
        <v/>
      </c>
      <c r="T582" s="1" t="str">
        <f t="shared" si="110"/>
        <v/>
      </c>
      <c r="U582" s="1">
        <f t="shared" si="111"/>
        <v>0</v>
      </c>
      <c r="V582" s="1">
        <f t="shared" si="112"/>
        <v>2958465</v>
      </c>
      <c r="W582" s="1">
        <f t="shared" si="113"/>
        <v>0</v>
      </c>
      <c r="X582" s="1">
        <f t="shared" si="114"/>
        <v>0</v>
      </c>
      <c r="Y582" s="1">
        <f t="shared" si="115"/>
        <v>97200</v>
      </c>
      <c r="Z582" s="1">
        <f t="shared" si="116"/>
        <v>1</v>
      </c>
    </row>
    <row r="583" spans="1:26" ht="18" customHeight="1" x14ac:dyDescent="0.3">
      <c r="A583" s="2"/>
      <c r="B583" s="65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66"/>
      <c r="E583" s="66"/>
      <c r="F583" s="60"/>
      <c r="G583" s="67"/>
      <c r="H583" s="60"/>
      <c r="I583" s="68">
        <f t="shared" ref="I583:I606" ca="1" si="117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68">
        <f t="shared" ref="J583:J606" ca="1" si="118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68">
        <f t="shared" ref="K583:K606" ca="1" si="119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68">
        <f t="shared" ref="L583:L606" ca="1" si="120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69">
        <f t="shared" ref="M583:M606" si="121">IF($G583&gt;0,$I583/$G583,0)</f>
        <v>0</v>
      </c>
      <c r="N583" s="65" t="str">
        <f t="shared" ref="N583:N606" si="122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70" t="str">
        <f>IF(OR($C583="",$D583="",$F583=""),"",IF($F583="Aylık",EOMONTH($D583,0),($D583+MOD(SISTEM!$F$8-WEEKDAY($D583,2),7))))</f>
        <v/>
      </c>
      <c r="P583" s="61"/>
      <c r="Q583" s="2"/>
      <c r="R583" s="2"/>
      <c r="S583" s="1" t="str">
        <f>IF($B583="","",$B583&amp;"|"&amp;COUNTIFS($B$7:$B583,$B583))</f>
        <v/>
      </c>
      <c r="T583" s="1" t="str">
        <f t="shared" ref="T583:T606" si="123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 t="shared" ref="U583:U606" si="124">IF($O583="",0,$O583)</f>
        <v>0</v>
      </c>
      <c r="V583" s="1">
        <f t="shared" ref="V583:V606" si="125">IF($E583="",2958465,$E583)</f>
        <v>2958465</v>
      </c>
      <c r="W583" s="1">
        <f t="shared" ref="W583:W606" si="126">IF($F583="Haftalık",1,IF($F583="Aylık",2,0))</f>
        <v>0</v>
      </c>
      <c r="X583" s="1">
        <f t="shared" ref="X583:X606" si="127">IF($U583=0,0,(YEAR($U583)-1900)*12+MONTH($U583))</f>
        <v>0</v>
      </c>
      <c r="Y583" s="1">
        <f t="shared" ref="Y583:Y606" si="128">(YEAR($V583)-1900)*12+MONTH($V583)</f>
        <v>97200</v>
      </c>
      <c r="Z583" s="1">
        <f t="shared" ref="Z583:Z606" si="129">IF($V583=EOMONTH($V583,0),1,0)</f>
        <v>1</v>
      </c>
    </row>
    <row r="584" spans="1:26" ht="18" customHeight="1" x14ac:dyDescent="0.3">
      <c r="A584" s="2"/>
      <c r="B584" s="65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66"/>
      <c r="E584" s="66"/>
      <c r="F584" s="60"/>
      <c r="G584" s="67"/>
      <c r="H584" s="60"/>
      <c r="I584" s="68">
        <f t="shared" ca="1" si="117"/>
        <v>0</v>
      </c>
      <c r="J584" s="68">
        <f t="shared" ca="1" si="118"/>
        <v>0</v>
      </c>
      <c r="K584" s="68">
        <f t="shared" ca="1" si="119"/>
        <v>0</v>
      </c>
      <c r="L584" s="68">
        <f t="shared" ca="1" si="120"/>
        <v>0</v>
      </c>
      <c r="M584" s="69">
        <f t="shared" si="121"/>
        <v>0</v>
      </c>
      <c r="N584" s="65" t="str">
        <f t="shared" si="122"/>
        <v/>
      </c>
      <c r="O584" s="70" t="str">
        <f>IF(OR($C584="",$D584="",$F584=""),"",IF($F584="Aylık",EOMONTH($D584,0),($D584+MOD(SISTEM!$F$8-WEEKDAY($D584,2),7))))</f>
        <v/>
      </c>
      <c r="P584" s="61"/>
      <c r="Q584" s="2"/>
      <c r="R584" s="2"/>
      <c r="S584" s="1" t="str">
        <f>IF($B584="","",$B584&amp;"|"&amp;COUNTIFS($B$7:$B584,$B584))</f>
        <v/>
      </c>
      <c r="T584" s="1" t="str">
        <f t="shared" si="123"/>
        <v/>
      </c>
      <c r="U584" s="1">
        <f t="shared" si="124"/>
        <v>0</v>
      </c>
      <c r="V584" s="1">
        <f t="shared" si="125"/>
        <v>2958465</v>
      </c>
      <c r="W584" s="1">
        <f t="shared" si="126"/>
        <v>0</v>
      </c>
      <c r="X584" s="1">
        <f t="shared" si="127"/>
        <v>0</v>
      </c>
      <c r="Y584" s="1">
        <f t="shared" si="128"/>
        <v>97200</v>
      </c>
      <c r="Z584" s="1">
        <f t="shared" si="129"/>
        <v>1</v>
      </c>
    </row>
    <row r="585" spans="1:26" ht="18" customHeight="1" x14ac:dyDescent="0.3">
      <c r="A585" s="2"/>
      <c r="B585" s="65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66"/>
      <c r="E585" s="66"/>
      <c r="F585" s="60"/>
      <c r="G585" s="67"/>
      <c r="H585" s="60"/>
      <c r="I585" s="68">
        <f t="shared" ca="1" si="117"/>
        <v>0</v>
      </c>
      <c r="J585" s="68">
        <f t="shared" ca="1" si="118"/>
        <v>0</v>
      </c>
      <c r="K585" s="68">
        <f t="shared" ca="1" si="119"/>
        <v>0</v>
      </c>
      <c r="L585" s="68">
        <f t="shared" ca="1" si="120"/>
        <v>0</v>
      </c>
      <c r="M585" s="69">
        <f t="shared" si="121"/>
        <v>0</v>
      </c>
      <c r="N585" s="65" t="str">
        <f t="shared" si="122"/>
        <v/>
      </c>
      <c r="O585" s="70" t="str">
        <f>IF(OR($C585="",$D585="",$F585=""),"",IF($F585="Aylık",EOMONTH($D585,0),($D585+MOD(SISTEM!$F$8-WEEKDAY($D585,2),7))))</f>
        <v/>
      </c>
      <c r="P585" s="61"/>
      <c r="Q585" s="2"/>
      <c r="R585" s="2"/>
      <c r="S585" s="1" t="str">
        <f>IF($B585="","",$B585&amp;"|"&amp;COUNTIFS($B$7:$B585,$B585))</f>
        <v/>
      </c>
      <c r="T585" s="1" t="str">
        <f t="shared" si="123"/>
        <v/>
      </c>
      <c r="U585" s="1">
        <f t="shared" si="124"/>
        <v>0</v>
      </c>
      <c r="V585" s="1">
        <f t="shared" si="125"/>
        <v>2958465</v>
      </c>
      <c r="W585" s="1">
        <f t="shared" si="126"/>
        <v>0</v>
      </c>
      <c r="X585" s="1">
        <f t="shared" si="127"/>
        <v>0</v>
      </c>
      <c r="Y585" s="1">
        <f t="shared" si="128"/>
        <v>97200</v>
      </c>
      <c r="Z585" s="1">
        <f t="shared" si="129"/>
        <v>1</v>
      </c>
    </row>
    <row r="586" spans="1:26" ht="18" customHeight="1" x14ac:dyDescent="0.3">
      <c r="A586" s="2"/>
      <c r="B586" s="65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66"/>
      <c r="E586" s="66"/>
      <c r="F586" s="60"/>
      <c r="G586" s="67"/>
      <c r="H586" s="60"/>
      <c r="I586" s="68">
        <f t="shared" ca="1" si="117"/>
        <v>0</v>
      </c>
      <c r="J586" s="68">
        <f t="shared" ca="1" si="118"/>
        <v>0</v>
      </c>
      <c r="K586" s="68">
        <f t="shared" ca="1" si="119"/>
        <v>0</v>
      </c>
      <c r="L586" s="68">
        <f t="shared" ca="1" si="120"/>
        <v>0</v>
      </c>
      <c r="M586" s="69">
        <f t="shared" si="121"/>
        <v>0</v>
      </c>
      <c r="N586" s="65" t="str">
        <f t="shared" si="122"/>
        <v/>
      </c>
      <c r="O586" s="70" t="str">
        <f>IF(OR($C586="",$D586="",$F586=""),"",IF($F586="Aylık",EOMONTH($D586,0),($D586+MOD(SISTEM!$F$8-WEEKDAY($D586,2),7))))</f>
        <v/>
      </c>
      <c r="P586" s="61"/>
      <c r="Q586" s="2"/>
      <c r="R586" s="2"/>
      <c r="S586" s="1" t="str">
        <f>IF($B586="","",$B586&amp;"|"&amp;COUNTIFS($B$7:$B586,$B586))</f>
        <v/>
      </c>
      <c r="T586" s="1" t="str">
        <f t="shared" si="123"/>
        <v/>
      </c>
      <c r="U586" s="1">
        <f t="shared" si="124"/>
        <v>0</v>
      </c>
      <c r="V586" s="1">
        <f t="shared" si="125"/>
        <v>2958465</v>
      </c>
      <c r="W586" s="1">
        <f t="shared" si="126"/>
        <v>0</v>
      </c>
      <c r="X586" s="1">
        <f t="shared" si="127"/>
        <v>0</v>
      </c>
      <c r="Y586" s="1">
        <f t="shared" si="128"/>
        <v>97200</v>
      </c>
      <c r="Z586" s="1">
        <f t="shared" si="129"/>
        <v>1</v>
      </c>
    </row>
    <row r="587" spans="1:26" ht="18" customHeight="1" x14ac:dyDescent="0.3">
      <c r="A587" s="2"/>
      <c r="B587" s="65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66"/>
      <c r="E587" s="66"/>
      <c r="F587" s="60"/>
      <c r="G587" s="67"/>
      <c r="H587" s="60"/>
      <c r="I587" s="68">
        <f t="shared" ca="1" si="117"/>
        <v>0</v>
      </c>
      <c r="J587" s="68">
        <f t="shared" ca="1" si="118"/>
        <v>0</v>
      </c>
      <c r="K587" s="68">
        <f t="shared" ca="1" si="119"/>
        <v>0</v>
      </c>
      <c r="L587" s="68">
        <f t="shared" ca="1" si="120"/>
        <v>0</v>
      </c>
      <c r="M587" s="69">
        <f t="shared" si="121"/>
        <v>0</v>
      </c>
      <c r="N587" s="65" t="str">
        <f t="shared" si="122"/>
        <v/>
      </c>
      <c r="O587" s="70" t="str">
        <f>IF(OR($C587="",$D587="",$F587=""),"",IF($F587="Aylık",EOMONTH($D587,0),($D587+MOD(SISTEM!$F$8-WEEKDAY($D587,2),7))))</f>
        <v/>
      </c>
      <c r="P587" s="61"/>
      <c r="Q587" s="2"/>
      <c r="R587" s="2"/>
      <c r="S587" s="1" t="str">
        <f>IF($B587="","",$B587&amp;"|"&amp;COUNTIFS($B$7:$B587,$B587))</f>
        <v/>
      </c>
      <c r="T587" s="1" t="str">
        <f t="shared" si="123"/>
        <v/>
      </c>
      <c r="U587" s="1">
        <f t="shared" si="124"/>
        <v>0</v>
      </c>
      <c r="V587" s="1">
        <f t="shared" si="125"/>
        <v>2958465</v>
      </c>
      <c r="W587" s="1">
        <f t="shared" si="126"/>
        <v>0</v>
      </c>
      <c r="X587" s="1">
        <f t="shared" si="127"/>
        <v>0</v>
      </c>
      <c r="Y587" s="1">
        <f t="shared" si="128"/>
        <v>97200</v>
      </c>
      <c r="Z587" s="1">
        <f t="shared" si="129"/>
        <v>1</v>
      </c>
    </row>
    <row r="588" spans="1:26" ht="18" customHeight="1" x14ac:dyDescent="0.3">
      <c r="A588" s="2"/>
      <c r="B588" s="65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66"/>
      <c r="E588" s="66"/>
      <c r="F588" s="60"/>
      <c r="G588" s="67"/>
      <c r="H588" s="60"/>
      <c r="I588" s="68">
        <f t="shared" ca="1" si="117"/>
        <v>0</v>
      </c>
      <c r="J588" s="68">
        <f t="shared" ca="1" si="118"/>
        <v>0</v>
      </c>
      <c r="K588" s="68">
        <f t="shared" ca="1" si="119"/>
        <v>0</v>
      </c>
      <c r="L588" s="68">
        <f t="shared" ca="1" si="120"/>
        <v>0</v>
      </c>
      <c r="M588" s="69">
        <f t="shared" si="121"/>
        <v>0</v>
      </c>
      <c r="N588" s="65" t="str">
        <f t="shared" si="122"/>
        <v/>
      </c>
      <c r="O588" s="70" t="str">
        <f>IF(OR($C588="",$D588="",$F588=""),"",IF($F588="Aylık",EOMONTH($D588,0),($D588+MOD(SISTEM!$F$8-WEEKDAY($D588,2),7))))</f>
        <v/>
      </c>
      <c r="P588" s="61"/>
      <c r="Q588" s="2"/>
      <c r="R588" s="2"/>
      <c r="S588" s="1" t="str">
        <f>IF($B588="","",$B588&amp;"|"&amp;COUNTIFS($B$7:$B588,$B588))</f>
        <v/>
      </c>
      <c r="T588" s="1" t="str">
        <f t="shared" si="123"/>
        <v/>
      </c>
      <c r="U588" s="1">
        <f t="shared" si="124"/>
        <v>0</v>
      </c>
      <c r="V588" s="1">
        <f t="shared" si="125"/>
        <v>2958465</v>
      </c>
      <c r="W588" s="1">
        <f t="shared" si="126"/>
        <v>0</v>
      </c>
      <c r="X588" s="1">
        <f t="shared" si="127"/>
        <v>0</v>
      </c>
      <c r="Y588" s="1">
        <f t="shared" si="128"/>
        <v>97200</v>
      </c>
      <c r="Z588" s="1">
        <f t="shared" si="129"/>
        <v>1</v>
      </c>
    </row>
    <row r="589" spans="1:26" ht="18" customHeight="1" x14ac:dyDescent="0.3">
      <c r="A589" s="2"/>
      <c r="B589" s="65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66"/>
      <c r="E589" s="66"/>
      <c r="F589" s="60"/>
      <c r="G589" s="67"/>
      <c r="H589" s="60"/>
      <c r="I589" s="68">
        <f t="shared" ca="1" si="117"/>
        <v>0</v>
      </c>
      <c r="J589" s="68">
        <f t="shared" ca="1" si="118"/>
        <v>0</v>
      </c>
      <c r="K589" s="68">
        <f t="shared" ca="1" si="119"/>
        <v>0</v>
      </c>
      <c r="L589" s="68">
        <f t="shared" ca="1" si="120"/>
        <v>0</v>
      </c>
      <c r="M589" s="69">
        <f t="shared" si="121"/>
        <v>0</v>
      </c>
      <c r="N589" s="65" t="str">
        <f t="shared" si="122"/>
        <v/>
      </c>
      <c r="O589" s="70" t="str">
        <f>IF(OR($C589="",$D589="",$F589=""),"",IF($F589="Aylık",EOMONTH($D589,0),($D589+MOD(SISTEM!$F$8-WEEKDAY($D589,2),7))))</f>
        <v/>
      </c>
      <c r="P589" s="61"/>
      <c r="Q589" s="2"/>
      <c r="R589" s="2"/>
      <c r="S589" s="1" t="str">
        <f>IF($B589="","",$B589&amp;"|"&amp;COUNTIFS($B$7:$B589,$B589))</f>
        <v/>
      </c>
      <c r="T589" s="1" t="str">
        <f t="shared" si="123"/>
        <v/>
      </c>
      <c r="U589" s="1">
        <f t="shared" si="124"/>
        <v>0</v>
      </c>
      <c r="V589" s="1">
        <f t="shared" si="125"/>
        <v>2958465</v>
      </c>
      <c r="W589" s="1">
        <f t="shared" si="126"/>
        <v>0</v>
      </c>
      <c r="X589" s="1">
        <f t="shared" si="127"/>
        <v>0</v>
      </c>
      <c r="Y589" s="1">
        <f t="shared" si="128"/>
        <v>97200</v>
      </c>
      <c r="Z589" s="1">
        <f t="shared" si="129"/>
        <v>1</v>
      </c>
    </row>
    <row r="590" spans="1:26" ht="18" customHeight="1" x14ac:dyDescent="0.3">
      <c r="A590" s="2"/>
      <c r="B590" s="65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66"/>
      <c r="E590" s="66"/>
      <c r="F590" s="60"/>
      <c r="G590" s="67"/>
      <c r="H590" s="60"/>
      <c r="I590" s="68">
        <f t="shared" ca="1" si="117"/>
        <v>0</v>
      </c>
      <c r="J590" s="68">
        <f t="shared" ca="1" si="118"/>
        <v>0</v>
      </c>
      <c r="K590" s="68">
        <f t="shared" ca="1" si="119"/>
        <v>0</v>
      </c>
      <c r="L590" s="68">
        <f t="shared" ca="1" si="120"/>
        <v>0</v>
      </c>
      <c r="M590" s="69">
        <f t="shared" si="121"/>
        <v>0</v>
      </c>
      <c r="N590" s="65" t="str">
        <f t="shared" si="122"/>
        <v/>
      </c>
      <c r="O590" s="70" t="str">
        <f>IF(OR($C590="",$D590="",$F590=""),"",IF($F590="Aylık",EOMONTH($D590,0),($D590+MOD(SISTEM!$F$8-WEEKDAY($D590,2),7))))</f>
        <v/>
      </c>
      <c r="P590" s="61"/>
      <c r="Q590" s="2"/>
      <c r="R590" s="2"/>
      <c r="S590" s="1" t="str">
        <f>IF($B590="","",$B590&amp;"|"&amp;COUNTIFS($B$7:$B590,$B590))</f>
        <v/>
      </c>
      <c r="T590" s="1" t="str">
        <f t="shared" si="123"/>
        <v/>
      </c>
      <c r="U590" s="1">
        <f t="shared" si="124"/>
        <v>0</v>
      </c>
      <c r="V590" s="1">
        <f t="shared" si="125"/>
        <v>2958465</v>
      </c>
      <c r="W590" s="1">
        <f t="shared" si="126"/>
        <v>0</v>
      </c>
      <c r="X590" s="1">
        <f t="shared" si="127"/>
        <v>0</v>
      </c>
      <c r="Y590" s="1">
        <f t="shared" si="128"/>
        <v>97200</v>
      </c>
      <c r="Z590" s="1">
        <f t="shared" si="129"/>
        <v>1</v>
      </c>
    </row>
    <row r="591" spans="1:26" ht="18" customHeight="1" x14ac:dyDescent="0.3">
      <c r="A591" s="2"/>
      <c r="B591" s="65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66"/>
      <c r="E591" s="66"/>
      <c r="F591" s="60"/>
      <c r="G591" s="67"/>
      <c r="H591" s="60"/>
      <c r="I591" s="68">
        <f t="shared" ca="1" si="117"/>
        <v>0</v>
      </c>
      <c r="J591" s="68">
        <f t="shared" ca="1" si="118"/>
        <v>0</v>
      </c>
      <c r="K591" s="68">
        <f t="shared" ca="1" si="119"/>
        <v>0</v>
      </c>
      <c r="L591" s="68">
        <f t="shared" ca="1" si="120"/>
        <v>0</v>
      </c>
      <c r="M591" s="69">
        <f t="shared" si="121"/>
        <v>0</v>
      </c>
      <c r="N591" s="65" t="str">
        <f t="shared" si="122"/>
        <v/>
      </c>
      <c r="O591" s="70" t="str">
        <f>IF(OR($C591="",$D591="",$F591=""),"",IF($F591="Aylık",EOMONTH($D591,0),($D591+MOD(SISTEM!$F$8-WEEKDAY($D591,2),7))))</f>
        <v/>
      </c>
      <c r="P591" s="61"/>
      <c r="Q591" s="2"/>
      <c r="R591" s="2"/>
      <c r="S591" s="1" t="str">
        <f>IF($B591="","",$B591&amp;"|"&amp;COUNTIFS($B$7:$B591,$B591))</f>
        <v/>
      </c>
      <c r="T591" s="1" t="str">
        <f t="shared" si="123"/>
        <v/>
      </c>
      <c r="U591" s="1">
        <f t="shared" si="124"/>
        <v>0</v>
      </c>
      <c r="V591" s="1">
        <f t="shared" si="125"/>
        <v>2958465</v>
      </c>
      <c r="W591" s="1">
        <f t="shared" si="126"/>
        <v>0</v>
      </c>
      <c r="X591" s="1">
        <f t="shared" si="127"/>
        <v>0</v>
      </c>
      <c r="Y591" s="1">
        <f t="shared" si="128"/>
        <v>97200</v>
      </c>
      <c r="Z591" s="1">
        <f t="shared" si="129"/>
        <v>1</v>
      </c>
    </row>
    <row r="592" spans="1:26" ht="18" customHeight="1" x14ac:dyDescent="0.3">
      <c r="A592" s="2"/>
      <c r="B592" s="65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66"/>
      <c r="E592" s="66"/>
      <c r="F592" s="60"/>
      <c r="G592" s="67"/>
      <c r="H592" s="60"/>
      <c r="I592" s="68">
        <f t="shared" ca="1" si="117"/>
        <v>0</v>
      </c>
      <c r="J592" s="68">
        <f t="shared" ca="1" si="118"/>
        <v>0</v>
      </c>
      <c r="K592" s="68">
        <f t="shared" ca="1" si="119"/>
        <v>0</v>
      </c>
      <c r="L592" s="68">
        <f t="shared" ca="1" si="120"/>
        <v>0</v>
      </c>
      <c r="M592" s="69">
        <f t="shared" si="121"/>
        <v>0</v>
      </c>
      <c r="N592" s="65" t="str">
        <f t="shared" si="122"/>
        <v/>
      </c>
      <c r="O592" s="70" t="str">
        <f>IF(OR($C592="",$D592="",$F592=""),"",IF($F592="Aylık",EOMONTH($D592,0),($D592+MOD(SISTEM!$F$8-WEEKDAY($D592,2),7))))</f>
        <v/>
      </c>
      <c r="P592" s="61"/>
      <c r="Q592" s="2"/>
      <c r="R592" s="2"/>
      <c r="S592" s="1" t="str">
        <f>IF($B592="","",$B592&amp;"|"&amp;COUNTIFS($B$7:$B592,$B592))</f>
        <v/>
      </c>
      <c r="T592" s="1" t="str">
        <f t="shared" si="123"/>
        <v/>
      </c>
      <c r="U592" s="1">
        <f t="shared" si="124"/>
        <v>0</v>
      </c>
      <c r="V592" s="1">
        <f t="shared" si="125"/>
        <v>2958465</v>
      </c>
      <c r="W592" s="1">
        <f t="shared" si="126"/>
        <v>0</v>
      </c>
      <c r="X592" s="1">
        <f t="shared" si="127"/>
        <v>0</v>
      </c>
      <c r="Y592" s="1">
        <f t="shared" si="128"/>
        <v>97200</v>
      </c>
      <c r="Z592" s="1">
        <f t="shared" si="129"/>
        <v>1</v>
      </c>
    </row>
    <row r="593" spans="1:26" ht="18" customHeight="1" x14ac:dyDescent="0.3">
      <c r="A593" s="2"/>
      <c r="B593" s="65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66"/>
      <c r="E593" s="66"/>
      <c r="F593" s="60"/>
      <c r="G593" s="67"/>
      <c r="H593" s="60"/>
      <c r="I593" s="68">
        <f t="shared" ca="1" si="117"/>
        <v>0</v>
      </c>
      <c r="J593" s="68">
        <f t="shared" ca="1" si="118"/>
        <v>0</v>
      </c>
      <c r="K593" s="68">
        <f t="shared" ca="1" si="119"/>
        <v>0</v>
      </c>
      <c r="L593" s="68">
        <f t="shared" ca="1" si="120"/>
        <v>0</v>
      </c>
      <c r="M593" s="69">
        <f t="shared" si="121"/>
        <v>0</v>
      </c>
      <c r="N593" s="65" t="str">
        <f t="shared" si="122"/>
        <v/>
      </c>
      <c r="O593" s="70" t="str">
        <f>IF(OR($C593="",$D593="",$F593=""),"",IF($F593="Aylık",EOMONTH($D593,0),($D593+MOD(SISTEM!$F$8-WEEKDAY($D593,2),7))))</f>
        <v/>
      </c>
      <c r="P593" s="61"/>
      <c r="Q593" s="2"/>
      <c r="R593" s="2"/>
      <c r="S593" s="1" t="str">
        <f>IF($B593="","",$B593&amp;"|"&amp;COUNTIFS($B$7:$B593,$B593))</f>
        <v/>
      </c>
      <c r="T593" s="1" t="str">
        <f t="shared" si="123"/>
        <v/>
      </c>
      <c r="U593" s="1">
        <f t="shared" si="124"/>
        <v>0</v>
      </c>
      <c r="V593" s="1">
        <f t="shared" si="125"/>
        <v>2958465</v>
      </c>
      <c r="W593" s="1">
        <f t="shared" si="126"/>
        <v>0</v>
      </c>
      <c r="X593" s="1">
        <f t="shared" si="127"/>
        <v>0</v>
      </c>
      <c r="Y593" s="1">
        <f t="shared" si="128"/>
        <v>97200</v>
      </c>
      <c r="Z593" s="1">
        <f t="shared" si="129"/>
        <v>1</v>
      </c>
    </row>
    <row r="594" spans="1:26" ht="18" customHeight="1" x14ac:dyDescent="0.3">
      <c r="A594" s="2"/>
      <c r="B594" s="65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66"/>
      <c r="E594" s="66"/>
      <c r="F594" s="60"/>
      <c r="G594" s="67"/>
      <c r="H594" s="60"/>
      <c r="I594" s="68">
        <f t="shared" ca="1" si="117"/>
        <v>0</v>
      </c>
      <c r="J594" s="68">
        <f t="shared" ca="1" si="118"/>
        <v>0</v>
      </c>
      <c r="K594" s="68">
        <f t="shared" ca="1" si="119"/>
        <v>0</v>
      </c>
      <c r="L594" s="68">
        <f t="shared" ca="1" si="120"/>
        <v>0</v>
      </c>
      <c r="M594" s="69">
        <f t="shared" si="121"/>
        <v>0</v>
      </c>
      <c r="N594" s="65" t="str">
        <f t="shared" si="122"/>
        <v/>
      </c>
      <c r="O594" s="70" t="str">
        <f>IF(OR($C594="",$D594="",$F594=""),"",IF($F594="Aylık",EOMONTH($D594,0),($D594+MOD(SISTEM!$F$8-WEEKDAY($D594,2),7))))</f>
        <v/>
      </c>
      <c r="P594" s="61"/>
      <c r="Q594" s="2"/>
      <c r="R594" s="2"/>
      <c r="S594" s="1" t="str">
        <f>IF($B594="","",$B594&amp;"|"&amp;COUNTIFS($B$7:$B594,$B594))</f>
        <v/>
      </c>
      <c r="T594" s="1" t="str">
        <f t="shared" si="123"/>
        <v/>
      </c>
      <c r="U594" s="1">
        <f t="shared" si="124"/>
        <v>0</v>
      </c>
      <c r="V594" s="1">
        <f t="shared" si="125"/>
        <v>2958465</v>
      </c>
      <c r="W594" s="1">
        <f t="shared" si="126"/>
        <v>0</v>
      </c>
      <c r="X594" s="1">
        <f t="shared" si="127"/>
        <v>0</v>
      </c>
      <c r="Y594" s="1">
        <f t="shared" si="128"/>
        <v>97200</v>
      </c>
      <c r="Z594" s="1">
        <f t="shared" si="129"/>
        <v>1</v>
      </c>
    </row>
    <row r="595" spans="1:26" ht="18" customHeight="1" x14ac:dyDescent="0.3">
      <c r="A595" s="2"/>
      <c r="B595" s="65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66"/>
      <c r="E595" s="66"/>
      <c r="F595" s="60"/>
      <c r="G595" s="67"/>
      <c r="H595" s="60"/>
      <c r="I595" s="68">
        <f t="shared" ca="1" si="117"/>
        <v>0</v>
      </c>
      <c r="J595" s="68">
        <f t="shared" ca="1" si="118"/>
        <v>0</v>
      </c>
      <c r="K595" s="68">
        <f t="shared" ca="1" si="119"/>
        <v>0</v>
      </c>
      <c r="L595" s="68">
        <f t="shared" ca="1" si="120"/>
        <v>0</v>
      </c>
      <c r="M595" s="69">
        <f t="shared" si="121"/>
        <v>0</v>
      </c>
      <c r="N595" s="65" t="str">
        <f t="shared" si="122"/>
        <v/>
      </c>
      <c r="O595" s="70" t="str">
        <f>IF(OR($C595="",$D595="",$F595=""),"",IF($F595="Aylık",EOMONTH($D595,0),($D595+MOD(SISTEM!$F$8-WEEKDAY($D595,2),7))))</f>
        <v/>
      </c>
      <c r="P595" s="61"/>
      <c r="Q595" s="2"/>
      <c r="R595" s="2"/>
      <c r="S595" s="1" t="str">
        <f>IF($B595="","",$B595&amp;"|"&amp;COUNTIFS($B$7:$B595,$B595))</f>
        <v/>
      </c>
      <c r="T595" s="1" t="str">
        <f t="shared" si="123"/>
        <v/>
      </c>
      <c r="U595" s="1">
        <f t="shared" si="124"/>
        <v>0</v>
      </c>
      <c r="V595" s="1">
        <f t="shared" si="125"/>
        <v>2958465</v>
      </c>
      <c r="W595" s="1">
        <f t="shared" si="126"/>
        <v>0</v>
      </c>
      <c r="X595" s="1">
        <f t="shared" si="127"/>
        <v>0</v>
      </c>
      <c r="Y595" s="1">
        <f t="shared" si="128"/>
        <v>97200</v>
      </c>
      <c r="Z595" s="1">
        <f t="shared" si="129"/>
        <v>1</v>
      </c>
    </row>
    <row r="596" spans="1:26" ht="18" customHeight="1" x14ac:dyDescent="0.3">
      <c r="A596" s="2"/>
      <c r="B596" s="65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66"/>
      <c r="E596" s="66"/>
      <c r="F596" s="60"/>
      <c r="G596" s="67"/>
      <c r="H596" s="60"/>
      <c r="I596" s="68">
        <f t="shared" ca="1" si="117"/>
        <v>0</v>
      </c>
      <c r="J596" s="68">
        <f t="shared" ca="1" si="118"/>
        <v>0</v>
      </c>
      <c r="K596" s="68">
        <f t="shared" ca="1" si="119"/>
        <v>0</v>
      </c>
      <c r="L596" s="68">
        <f t="shared" ca="1" si="120"/>
        <v>0</v>
      </c>
      <c r="M596" s="69">
        <f t="shared" si="121"/>
        <v>0</v>
      </c>
      <c r="N596" s="65" t="str">
        <f t="shared" si="122"/>
        <v/>
      </c>
      <c r="O596" s="70" t="str">
        <f>IF(OR($C596="",$D596="",$F596=""),"",IF($F596="Aylık",EOMONTH($D596,0),($D596+MOD(SISTEM!$F$8-WEEKDAY($D596,2),7))))</f>
        <v/>
      </c>
      <c r="P596" s="61"/>
      <c r="Q596" s="2"/>
      <c r="R596" s="2"/>
      <c r="S596" s="1" t="str">
        <f>IF($B596="","",$B596&amp;"|"&amp;COUNTIFS($B$7:$B596,$B596))</f>
        <v/>
      </c>
      <c r="T596" s="1" t="str">
        <f t="shared" si="123"/>
        <v/>
      </c>
      <c r="U596" s="1">
        <f t="shared" si="124"/>
        <v>0</v>
      </c>
      <c r="V596" s="1">
        <f t="shared" si="125"/>
        <v>2958465</v>
      </c>
      <c r="W596" s="1">
        <f t="shared" si="126"/>
        <v>0</v>
      </c>
      <c r="X596" s="1">
        <f t="shared" si="127"/>
        <v>0</v>
      </c>
      <c r="Y596" s="1">
        <f t="shared" si="128"/>
        <v>97200</v>
      </c>
      <c r="Z596" s="1">
        <f t="shared" si="129"/>
        <v>1</v>
      </c>
    </row>
    <row r="597" spans="1:26" ht="18" customHeight="1" x14ac:dyDescent="0.3">
      <c r="A597" s="2"/>
      <c r="B597" s="65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66"/>
      <c r="E597" s="66"/>
      <c r="F597" s="60"/>
      <c r="G597" s="67"/>
      <c r="H597" s="60"/>
      <c r="I597" s="68">
        <f t="shared" ca="1" si="117"/>
        <v>0</v>
      </c>
      <c r="J597" s="68">
        <f t="shared" ca="1" si="118"/>
        <v>0</v>
      </c>
      <c r="K597" s="68">
        <f t="shared" ca="1" si="119"/>
        <v>0</v>
      </c>
      <c r="L597" s="68">
        <f t="shared" ca="1" si="120"/>
        <v>0</v>
      </c>
      <c r="M597" s="69">
        <f t="shared" si="121"/>
        <v>0</v>
      </c>
      <c r="N597" s="65" t="str">
        <f t="shared" si="122"/>
        <v/>
      </c>
      <c r="O597" s="70" t="str">
        <f>IF(OR($C597="",$D597="",$F597=""),"",IF($F597="Aylık",EOMONTH($D597,0),($D597+MOD(SISTEM!$F$8-WEEKDAY($D597,2),7))))</f>
        <v/>
      </c>
      <c r="P597" s="61"/>
      <c r="Q597" s="2"/>
      <c r="R597" s="2"/>
      <c r="S597" s="1" t="str">
        <f>IF($B597="","",$B597&amp;"|"&amp;COUNTIFS($B$7:$B597,$B597))</f>
        <v/>
      </c>
      <c r="T597" s="1" t="str">
        <f t="shared" si="123"/>
        <v/>
      </c>
      <c r="U597" s="1">
        <f t="shared" si="124"/>
        <v>0</v>
      </c>
      <c r="V597" s="1">
        <f t="shared" si="125"/>
        <v>2958465</v>
      </c>
      <c r="W597" s="1">
        <f t="shared" si="126"/>
        <v>0</v>
      </c>
      <c r="X597" s="1">
        <f t="shared" si="127"/>
        <v>0</v>
      </c>
      <c r="Y597" s="1">
        <f t="shared" si="128"/>
        <v>97200</v>
      </c>
      <c r="Z597" s="1">
        <f t="shared" si="129"/>
        <v>1</v>
      </c>
    </row>
    <row r="598" spans="1:26" ht="18" customHeight="1" x14ac:dyDescent="0.3">
      <c r="A598" s="2"/>
      <c r="B598" s="65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66"/>
      <c r="E598" s="66"/>
      <c r="F598" s="60"/>
      <c r="G598" s="67"/>
      <c r="H598" s="60"/>
      <c r="I598" s="68">
        <f t="shared" ca="1" si="117"/>
        <v>0</v>
      </c>
      <c r="J598" s="68">
        <f t="shared" ca="1" si="118"/>
        <v>0</v>
      </c>
      <c r="K598" s="68">
        <f t="shared" ca="1" si="119"/>
        <v>0</v>
      </c>
      <c r="L598" s="68">
        <f t="shared" ca="1" si="120"/>
        <v>0</v>
      </c>
      <c r="M598" s="69">
        <f t="shared" si="121"/>
        <v>0</v>
      </c>
      <c r="N598" s="65" t="str">
        <f t="shared" si="122"/>
        <v/>
      </c>
      <c r="O598" s="70" t="str">
        <f>IF(OR($C598="",$D598="",$F598=""),"",IF($F598="Aylık",EOMONTH($D598,0),($D598+MOD(SISTEM!$F$8-WEEKDAY($D598,2),7))))</f>
        <v/>
      </c>
      <c r="P598" s="61"/>
      <c r="Q598" s="2"/>
      <c r="R598" s="2"/>
      <c r="S598" s="1" t="str">
        <f>IF($B598="","",$B598&amp;"|"&amp;COUNTIFS($B$7:$B598,$B598))</f>
        <v/>
      </c>
      <c r="T598" s="1" t="str">
        <f t="shared" si="123"/>
        <v/>
      </c>
      <c r="U598" s="1">
        <f t="shared" si="124"/>
        <v>0</v>
      </c>
      <c r="V598" s="1">
        <f t="shared" si="125"/>
        <v>2958465</v>
      </c>
      <c r="W598" s="1">
        <f t="shared" si="126"/>
        <v>0</v>
      </c>
      <c r="X598" s="1">
        <f t="shared" si="127"/>
        <v>0</v>
      </c>
      <c r="Y598" s="1">
        <f t="shared" si="128"/>
        <v>97200</v>
      </c>
      <c r="Z598" s="1">
        <f t="shared" si="129"/>
        <v>1</v>
      </c>
    </row>
    <row r="599" spans="1:26" ht="18" customHeight="1" x14ac:dyDescent="0.3">
      <c r="A599" s="2"/>
      <c r="B599" s="65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66"/>
      <c r="E599" s="66"/>
      <c r="F599" s="60"/>
      <c r="G599" s="67"/>
      <c r="H599" s="60"/>
      <c r="I599" s="68">
        <f t="shared" ca="1" si="117"/>
        <v>0</v>
      </c>
      <c r="J599" s="68">
        <f t="shared" ca="1" si="118"/>
        <v>0</v>
      </c>
      <c r="K599" s="68">
        <f t="shared" ca="1" si="119"/>
        <v>0</v>
      </c>
      <c r="L599" s="68">
        <f t="shared" ca="1" si="120"/>
        <v>0</v>
      </c>
      <c r="M599" s="69">
        <f t="shared" si="121"/>
        <v>0</v>
      </c>
      <c r="N599" s="65" t="str">
        <f t="shared" si="122"/>
        <v/>
      </c>
      <c r="O599" s="70" t="str">
        <f>IF(OR($C599="",$D599="",$F599=""),"",IF($F599="Aylık",EOMONTH($D599,0),($D599+MOD(SISTEM!$F$8-WEEKDAY($D599,2),7))))</f>
        <v/>
      </c>
      <c r="P599" s="61"/>
      <c r="Q599" s="2"/>
      <c r="R599" s="2"/>
      <c r="S599" s="1" t="str">
        <f>IF($B599="","",$B599&amp;"|"&amp;COUNTIFS($B$7:$B599,$B599))</f>
        <v/>
      </c>
      <c r="T599" s="1" t="str">
        <f t="shared" si="123"/>
        <v/>
      </c>
      <c r="U599" s="1">
        <f t="shared" si="124"/>
        <v>0</v>
      </c>
      <c r="V599" s="1">
        <f t="shared" si="125"/>
        <v>2958465</v>
      </c>
      <c r="W599" s="1">
        <f t="shared" si="126"/>
        <v>0</v>
      </c>
      <c r="X599" s="1">
        <f t="shared" si="127"/>
        <v>0</v>
      </c>
      <c r="Y599" s="1">
        <f t="shared" si="128"/>
        <v>97200</v>
      </c>
      <c r="Z599" s="1">
        <f t="shared" si="129"/>
        <v>1</v>
      </c>
    </row>
    <row r="600" spans="1:26" ht="18" customHeight="1" x14ac:dyDescent="0.3">
      <c r="A600" s="2"/>
      <c r="B600" s="65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66"/>
      <c r="E600" s="66"/>
      <c r="F600" s="60"/>
      <c r="G600" s="67"/>
      <c r="H600" s="60"/>
      <c r="I600" s="68">
        <f t="shared" ca="1" si="117"/>
        <v>0</v>
      </c>
      <c r="J600" s="68">
        <f t="shared" ca="1" si="118"/>
        <v>0</v>
      </c>
      <c r="K600" s="68">
        <f t="shared" ca="1" si="119"/>
        <v>0</v>
      </c>
      <c r="L600" s="68">
        <f t="shared" ca="1" si="120"/>
        <v>0</v>
      </c>
      <c r="M600" s="69">
        <f t="shared" si="121"/>
        <v>0</v>
      </c>
      <c r="N600" s="65" t="str">
        <f t="shared" si="122"/>
        <v/>
      </c>
      <c r="O600" s="70" t="str">
        <f>IF(OR($C600="",$D600="",$F600=""),"",IF($F600="Aylık",EOMONTH($D600,0),($D600+MOD(SISTEM!$F$8-WEEKDAY($D600,2),7))))</f>
        <v/>
      </c>
      <c r="P600" s="61"/>
      <c r="Q600" s="2"/>
      <c r="R600" s="2"/>
      <c r="S600" s="1" t="str">
        <f>IF($B600="","",$B600&amp;"|"&amp;COUNTIFS($B$7:$B600,$B600))</f>
        <v/>
      </c>
      <c r="T600" s="1" t="str">
        <f t="shared" si="123"/>
        <v/>
      </c>
      <c r="U600" s="1">
        <f t="shared" si="124"/>
        <v>0</v>
      </c>
      <c r="V600" s="1">
        <f t="shared" si="125"/>
        <v>2958465</v>
      </c>
      <c r="W600" s="1">
        <f t="shared" si="126"/>
        <v>0</v>
      </c>
      <c r="X600" s="1">
        <f t="shared" si="127"/>
        <v>0</v>
      </c>
      <c r="Y600" s="1">
        <f t="shared" si="128"/>
        <v>97200</v>
      </c>
      <c r="Z600" s="1">
        <f t="shared" si="129"/>
        <v>1</v>
      </c>
    </row>
    <row r="601" spans="1:26" ht="18" customHeight="1" x14ac:dyDescent="0.3">
      <c r="A601" s="2"/>
      <c r="B601" s="65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66"/>
      <c r="E601" s="66"/>
      <c r="F601" s="60"/>
      <c r="G601" s="67"/>
      <c r="H601" s="60"/>
      <c r="I601" s="68">
        <f t="shared" ca="1" si="117"/>
        <v>0</v>
      </c>
      <c r="J601" s="68">
        <f t="shared" ca="1" si="118"/>
        <v>0</v>
      </c>
      <c r="K601" s="68">
        <f t="shared" ca="1" si="119"/>
        <v>0</v>
      </c>
      <c r="L601" s="68">
        <f t="shared" ca="1" si="120"/>
        <v>0</v>
      </c>
      <c r="M601" s="69">
        <f t="shared" si="121"/>
        <v>0</v>
      </c>
      <c r="N601" s="65" t="str">
        <f t="shared" si="122"/>
        <v/>
      </c>
      <c r="O601" s="70" t="str">
        <f>IF(OR($C601="",$D601="",$F601=""),"",IF($F601="Aylık",EOMONTH($D601,0),($D601+MOD(SISTEM!$F$8-WEEKDAY($D601,2),7))))</f>
        <v/>
      </c>
      <c r="P601" s="61"/>
      <c r="Q601" s="2"/>
      <c r="R601" s="2"/>
      <c r="S601" s="1" t="str">
        <f>IF($B601="","",$B601&amp;"|"&amp;COUNTIFS($B$7:$B601,$B601))</f>
        <v/>
      </c>
      <c r="T601" s="1" t="str">
        <f t="shared" si="123"/>
        <v/>
      </c>
      <c r="U601" s="1">
        <f t="shared" si="124"/>
        <v>0</v>
      </c>
      <c r="V601" s="1">
        <f t="shared" si="125"/>
        <v>2958465</v>
      </c>
      <c r="W601" s="1">
        <f t="shared" si="126"/>
        <v>0</v>
      </c>
      <c r="X601" s="1">
        <f t="shared" si="127"/>
        <v>0</v>
      </c>
      <c r="Y601" s="1">
        <f t="shared" si="128"/>
        <v>97200</v>
      </c>
      <c r="Z601" s="1">
        <f t="shared" si="129"/>
        <v>1</v>
      </c>
    </row>
    <row r="602" spans="1:26" ht="18" customHeight="1" x14ac:dyDescent="0.3">
      <c r="A602" s="2"/>
      <c r="B602" s="65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66"/>
      <c r="E602" s="66"/>
      <c r="F602" s="60"/>
      <c r="G602" s="67"/>
      <c r="H602" s="60"/>
      <c r="I602" s="68">
        <f t="shared" ca="1" si="117"/>
        <v>0</v>
      </c>
      <c r="J602" s="68">
        <f t="shared" ca="1" si="118"/>
        <v>0</v>
      </c>
      <c r="K602" s="68">
        <f t="shared" ca="1" si="119"/>
        <v>0</v>
      </c>
      <c r="L602" s="68">
        <f t="shared" ca="1" si="120"/>
        <v>0</v>
      </c>
      <c r="M602" s="69">
        <f t="shared" si="121"/>
        <v>0</v>
      </c>
      <c r="N602" s="65" t="str">
        <f t="shared" si="122"/>
        <v/>
      </c>
      <c r="O602" s="70" t="str">
        <f>IF(OR($C602="",$D602="",$F602=""),"",IF($F602="Aylık",EOMONTH($D602,0),($D602+MOD(SISTEM!$F$8-WEEKDAY($D602,2),7))))</f>
        <v/>
      </c>
      <c r="P602" s="61"/>
      <c r="Q602" s="2"/>
      <c r="R602" s="2"/>
      <c r="S602" s="1" t="str">
        <f>IF($B602="","",$B602&amp;"|"&amp;COUNTIFS($B$7:$B602,$B602))</f>
        <v/>
      </c>
      <c r="T602" s="1" t="str">
        <f t="shared" si="123"/>
        <v/>
      </c>
      <c r="U602" s="1">
        <f t="shared" si="124"/>
        <v>0</v>
      </c>
      <c r="V602" s="1">
        <f t="shared" si="125"/>
        <v>2958465</v>
      </c>
      <c r="W602" s="1">
        <f t="shared" si="126"/>
        <v>0</v>
      </c>
      <c r="X602" s="1">
        <f t="shared" si="127"/>
        <v>0</v>
      </c>
      <c r="Y602" s="1">
        <f t="shared" si="128"/>
        <v>97200</v>
      </c>
      <c r="Z602" s="1">
        <f t="shared" si="129"/>
        <v>1</v>
      </c>
    </row>
    <row r="603" spans="1:26" ht="18" customHeight="1" x14ac:dyDescent="0.3">
      <c r="A603" s="2"/>
      <c r="B603" s="65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66"/>
      <c r="E603" s="66"/>
      <c r="F603" s="60"/>
      <c r="G603" s="67"/>
      <c r="H603" s="60"/>
      <c r="I603" s="68">
        <f t="shared" ca="1" si="117"/>
        <v>0</v>
      </c>
      <c r="J603" s="68">
        <f t="shared" ca="1" si="118"/>
        <v>0</v>
      </c>
      <c r="K603" s="68">
        <f t="shared" ca="1" si="119"/>
        <v>0</v>
      </c>
      <c r="L603" s="68">
        <f t="shared" ca="1" si="120"/>
        <v>0</v>
      </c>
      <c r="M603" s="69">
        <f t="shared" si="121"/>
        <v>0</v>
      </c>
      <c r="N603" s="65" t="str">
        <f t="shared" si="122"/>
        <v/>
      </c>
      <c r="O603" s="70" t="str">
        <f>IF(OR($C603="",$D603="",$F603=""),"",IF($F603="Aylık",EOMONTH($D603,0),($D603+MOD(SISTEM!$F$8-WEEKDAY($D603,2),7))))</f>
        <v/>
      </c>
      <c r="P603" s="61"/>
      <c r="Q603" s="2"/>
      <c r="R603" s="2"/>
      <c r="S603" s="1" t="str">
        <f>IF($B603="","",$B603&amp;"|"&amp;COUNTIFS($B$7:$B603,$B603))</f>
        <v/>
      </c>
      <c r="T603" s="1" t="str">
        <f t="shared" si="123"/>
        <v/>
      </c>
      <c r="U603" s="1">
        <f t="shared" si="124"/>
        <v>0</v>
      </c>
      <c r="V603" s="1">
        <f t="shared" si="125"/>
        <v>2958465</v>
      </c>
      <c r="W603" s="1">
        <f t="shared" si="126"/>
        <v>0</v>
      </c>
      <c r="X603" s="1">
        <f t="shared" si="127"/>
        <v>0</v>
      </c>
      <c r="Y603" s="1">
        <f t="shared" si="128"/>
        <v>97200</v>
      </c>
      <c r="Z603" s="1">
        <f t="shared" si="129"/>
        <v>1</v>
      </c>
    </row>
    <row r="604" spans="1:26" ht="18" customHeight="1" x14ac:dyDescent="0.3">
      <c r="A604" s="2"/>
      <c r="B604" s="65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66"/>
      <c r="E604" s="66"/>
      <c r="F604" s="60"/>
      <c r="G604" s="67"/>
      <c r="H604" s="60"/>
      <c r="I604" s="68">
        <f t="shared" ca="1" si="117"/>
        <v>0</v>
      </c>
      <c r="J604" s="68">
        <f t="shared" ca="1" si="118"/>
        <v>0</v>
      </c>
      <c r="K604" s="68">
        <f t="shared" ca="1" si="119"/>
        <v>0</v>
      </c>
      <c r="L604" s="68">
        <f t="shared" ca="1" si="120"/>
        <v>0</v>
      </c>
      <c r="M604" s="69">
        <f t="shared" si="121"/>
        <v>0</v>
      </c>
      <c r="N604" s="65" t="str">
        <f t="shared" si="122"/>
        <v/>
      </c>
      <c r="O604" s="70" t="str">
        <f>IF(OR($C604="",$D604="",$F604=""),"",IF($F604="Aylık",EOMONTH($D604,0),($D604+MOD(SISTEM!$F$8-WEEKDAY($D604,2),7))))</f>
        <v/>
      </c>
      <c r="P604" s="61"/>
      <c r="Q604" s="2"/>
      <c r="R604" s="2"/>
      <c r="S604" s="1" t="str">
        <f>IF($B604="","",$B604&amp;"|"&amp;COUNTIFS($B$7:$B604,$B604))</f>
        <v/>
      </c>
      <c r="T604" s="1" t="str">
        <f t="shared" si="123"/>
        <v/>
      </c>
      <c r="U604" s="1">
        <f t="shared" si="124"/>
        <v>0</v>
      </c>
      <c r="V604" s="1">
        <f t="shared" si="125"/>
        <v>2958465</v>
      </c>
      <c r="W604" s="1">
        <f t="shared" si="126"/>
        <v>0</v>
      </c>
      <c r="X604" s="1">
        <f t="shared" si="127"/>
        <v>0</v>
      </c>
      <c r="Y604" s="1">
        <f t="shared" si="128"/>
        <v>97200</v>
      </c>
      <c r="Z604" s="1">
        <f t="shared" si="129"/>
        <v>1</v>
      </c>
    </row>
    <row r="605" spans="1:26" ht="18" customHeight="1" x14ac:dyDescent="0.3">
      <c r="A605" s="2"/>
      <c r="B605" s="65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66"/>
      <c r="E605" s="66"/>
      <c r="F605" s="60"/>
      <c r="G605" s="67"/>
      <c r="H605" s="60"/>
      <c r="I605" s="68">
        <f t="shared" ca="1" si="117"/>
        <v>0</v>
      </c>
      <c r="J605" s="68">
        <f t="shared" ca="1" si="118"/>
        <v>0</v>
      </c>
      <c r="K605" s="68">
        <f t="shared" ca="1" si="119"/>
        <v>0</v>
      </c>
      <c r="L605" s="68">
        <f t="shared" ca="1" si="120"/>
        <v>0</v>
      </c>
      <c r="M605" s="69">
        <f t="shared" si="121"/>
        <v>0</v>
      </c>
      <c r="N605" s="65" t="str">
        <f t="shared" si="122"/>
        <v/>
      </c>
      <c r="O605" s="70" t="str">
        <f>IF(OR($C605="",$D605="",$F605=""),"",IF($F605="Aylık",EOMONTH($D605,0),($D605+MOD(SISTEM!$F$8-WEEKDAY($D605,2),7))))</f>
        <v/>
      </c>
      <c r="P605" s="61"/>
      <c r="Q605" s="2"/>
      <c r="R605" s="2"/>
      <c r="S605" s="1" t="str">
        <f>IF($B605="","",$B605&amp;"|"&amp;COUNTIFS($B$7:$B605,$B605))</f>
        <v/>
      </c>
      <c r="T605" s="1" t="str">
        <f t="shared" si="123"/>
        <v/>
      </c>
      <c r="U605" s="1">
        <f t="shared" si="124"/>
        <v>0</v>
      </c>
      <c r="V605" s="1">
        <f t="shared" si="125"/>
        <v>2958465</v>
      </c>
      <c r="W605" s="1">
        <f t="shared" si="126"/>
        <v>0</v>
      </c>
      <c r="X605" s="1">
        <f t="shared" si="127"/>
        <v>0</v>
      </c>
      <c r="Y605" s="1">
        <f t="shared" si="128"/>
        <v>97200</v>
      </c>
      <c r="Z605" s="1">
        <f t="shared" si="129"/>
        <v>1</v>
      </c>
    </row>
    <row r="606" spans="1:26" ht="18" customHeight="1" x14ac:dyDescent="0.3">
      <c r="A606" s="2"/>
      <c r="B606" s="65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66"/>
      <c r="E606" s="66"/>
      <c r="F606" s="60"/>
      <c r="G606" s="67"/>
      <c r="H606" s="60"/>
      <c r="I606" s="68">
        <f t="shared" ca="1" si="117"/>
        <v>0</v>
      </c>
      <c r="J606" s="68">
        <f t="shared" ca="1" si="118"/>
        <v>0</v>
      </c>
      <c r="K606" s="68">
        <f t="shared" ca="1" si="119"/>
        <v>0</v>
      </c>
      <c r="L606" s="68">
        <f t="shared" ca="1" si="120"/>
        <v>0</v>
      </c>
      <c r="M606" s="69">
        <f t="shared" si="121"/>
        <v>0</v>
      </c>
      <c r="N606" s="65" t="str">
        <f t="shared" si="122"/>
        <v/>
      </c>
      <c r="O606" s="70" t="str">
        <f>IF(OR($C606="",$D606="",$F606=""),"",IF($F606="Aylık",EOMONTH($D606,0),($D606+MOD(SISTEM!$F$8-WEEKDAY($D606,2),7))))</f>
        <v/>
      </c>
      <c r="P606" s="61"/>
      <c r="Q606" s="2"/>
      <c r="R606" s="2"/>
      <c r="S606" s="1" t="str">
        <f>IF($B606="","",$B606&amp;"|"&amp;COUNTIFS($B$7:$B606,$B606))</f>
        <v/>
      </c>
      <c r="T606" s="1" t="str">
        <f t="shared" si="123"/>
        <v/>
      </c>
      <c r="U606" s="1">
        <f t="shared" si="124"/>
        <v>0</v>
      </c>
      <c r="V606" s="1">
        <f t="shared" si="125"/>
        <v>2958465</v>
      </c>
      <c r="W606" s="1">
        <f t="shared" si="126"/>
        <v>0</v>
      </c>
      <c r="X606" s="1">
        <f t="shared" si="127"/>
        <v>0</v>
      </c>
      <c r="Y606" s="1">
        <f t="shared" si="128"/>
        <v>97200</v>
      </c>
      <c r="Z606" s="1">
        <f t="shared" si="129"/>
        <v>1</v>
      </c>
    </row>
    <row r="607" spans="1:26" ht="18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</row>
  </sheetData>
  <sheetProtection password="CC3D" sheet="1" formatCells="0" formatColumns="0" formatRows="0" sort="0" autoFilter="0"/>
  <autoFilter ref="B6:P606" xr:uid="{00000000-0009-0000-0000-000003000000}"/>
  <mergeCells count="3">
    <mergeCell ref="A1:E1"/>
    <mergeCell ref="F1:P1"/>
    <mergeCell ref="A2:P2"/>
  </mergeCells>
  <conditionalFormatting sqref="N7:N606">
    <cfRule type="expression" dxfId="73" priority="2">
      <formula>EXACT($N7,"UYGUN")</formula>
    </cfRule>
    <cfRule type="expression" dxfId="72" priority="3">
      <formula>EXACT($N7,"EKSİK")</formula>
    </cfRule>
    <cfRule type="expression" dxfId="71" priority="4">
      <formula>EXACT($N7,"MODEL SEÇİN")</formula>
    </cfRule>
    <cfRule type="expression" dxfId="70" priority="5">
      <formula>EXACT($N7,"TANIMSIZ MÜŞTERİ")</formula>
    </cfRule>
    <cfRule type="expression" dxfId="69" priority="6">
      <formula>EXACT($N7,"TARİH HATASI")</formula>
    </cfRule>
    <cfRule type="expression" dxfId="68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  <pageSetUpPr fitToPage="1"/>
  </sheetPr>
  <dimension ref="A1:T2508"/>
  <sheetViews>
    <sheetView showGridLines="0" zoomScaleNormal="100" workbookViewId="0">
      <pane xSplit="4" ySplit="6" topLeftCell="E511" activePane="bottomRight" state="frozen"/>
      <selection pane="topRight" activeCell="E1" sqref="E1"/>
      <selection pane="bottomLeft" activeCell="A7" sqref="A7"/>
      <selection pane="bottomRight" activeCell="D519" sqref="D519"/>
    </sheetView>
  </sheetViews>
  <sheetFormatPr defaultColWidth="8.5703125" defaultRowHeight="14.25" x14ac:dyDescent="0.25"/>
  <cols>
    <col min="1" max="1" width="2.42578125" customWidth="1"/>
    <col min="2" max="3" width="12" customWidth="1"/>
    <col min="4" max="4" width="32" customWidth="1"/>
    <col min="5" max="5" width="13" customWidth="1"/>
    <col min="6" max="6" width="16" customWidth="1"/>
    <col min="7" max="7" width="18" customWidth="1"/>
    <col min="8" max="8" width="15" customWidth="1"/>
    <col min="9" max="9" width="14" customWidth="1"/>
    <col min="10" max="10" width="30" customWidth="1"/>
    <col min="11" max="11" width="16" customWidth="1"/>
    <col min="12" max="12" width="14" customWidth="1"/>
    <col min="13" max="13" width="15" customWidth="1"/>
    <col min="14" max="14" width="30" customWidth="1"/>
    <col min="15" max="16" width="2.42578125" customWidth="1"/>
    <col min="17" max="20" width="13" hidden="1" customWidth="1"/>
  </cols>
  <sheetData>
    <row r="1" spans="1:20" ht="37.5" customHeight="1" x14ac:dyDescent="0.3">
      <c r="A1" s="150" t="s">
        <v>546</v>
      </c>
      <c r="B1" s="150"/>
      <c r="C1" s="150"/>
      <c r="D1" s="150"/>
      <c r="E1" s="150"/>
      <c r="F1" s="151" t="s">
        <v>698</v>
      </c>
      <c r="G1" s="151"/>
      <c r="H1" s="151"/>
      <c r="I1" s="151"/>
      <c r="J1" s="151"/>
      <c r="K1" s="151"/>
      <c r="L1" s="151"/>
      <c r="M1" s="151"/>
      <c r="N1" s="151"/>
      <c r="O1" s="151"/>
      <c r="P1" s="13"/>
      <c r="Q1" s="1"/>
      <c r="R1" s="1"/>
      <c r="S1" s="1"/>
      <c r="T1" s="1"/>
    </row>
    <row r="2" spans="1:20" ht="21.75" customHeight="1" x14ac:dyDescent="0.3">
      <c r="A2" s="152" t="s">
        <v>699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4"/>
      <c r="Q2" s="1"/>
      <c r="R2" s="1"/>
      <c r="S2" s="1"/>
      <c r="T2" s="1"/>
    </row>
    <row r="3" spans="1:20" ht="19.5" customHeight="1" x14ac:dyDescent="0.3">
      <c r="A3" s="2"/>
      <c r="B3" s="50" t="s">
        <v>700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</row>
    <row r="4" spans="1:20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HYPERLINK("#MUSTERI_360!A1","Müşteri 360")</f>
        <v>Müşteri 360</v>
      </c>
      <c r="E4" s="2"/>
      <c r="F4" s="51" t="str">
        <f>HYPERLINK("#HESAPLAR!A1","Hesaplar")</f>
        <v>Hesaplar</v>
      </c>
      <c r="G4" s="2"/>
      <c r="H4" s="52" t="s">
        <v>701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</row>
    <row r="5" spans="1:20" ht="25.5" customHeight="1" x14ac:dyDescent="0.3">
      <c r="A5" s="2"/>
      <c r="B5" s="72">
        <f>COUNTIF($D$7:$D$2506,"&lt;&gt;")</f>
        <v>513</v>
      </c>
      <c r="C5" s="54" t="s">
        <v>702</v>
      </c>
      <c r="D5" s="53"/>
      <c r="E5" s="53"/>
      <c r="F5" s="56">
        <f>SUM($F$7:$F$2506)</f>
        <v>2146000</v>
      </c>
      <c r="G5" s="53"/>
      <c r="H5" s="53"/>
      <c r="I5" s="53"/>
      <c r="J5" s="53"/>
      <c r="K5" s="53"/>
      <c r="L5" s="53"/>
      <c r="M5" s="53"/>
      <c r="N5" s="53"/>
      <c r="O5" s="2"/>
      <c r="P5" s="2"/>
      <c r="Q5" s="1"/>
      <c r="R5" s="1"/>
      <c r="S5" s="1"/>
      <c r="T5" s="1"/>
    </row>
    <row r="6" spans="1:20" ht="39.75" customHeight="1" x14ac:dyDescent="0.3">
      <c r="A6" s="2"/>
      <c r="B6" s="57" t="s">
        <v>703</v>
      </c>
      <c r="C6" s="57" t="s">
        <v>19</v>
      </c>
      <c r="D6" s="58" t="s">
        <v>704</v>
      </c>
      <c r="E6" s="57" t="s">
        <v>705</v>
      </c>
      <c r="F6" s="59" t="s">
        <v>706</v>
      </c>
      <c r="G6" s="57" t="s">
        <v>707</v>
      </c>
      <c r="H6" s="57" t="s">
        <v>708</v>
      </c>
      <c r="I6" s="58" t="s">
        <v>709</v>
      </c>
      <c r="J6" s="58" t="s">
        <v>54</v>
      </c>
      <c r="K6" s="58" t="s">
        <v>710</v>
      </c>
      <c r="L6" s="57" t="s">
        <v>711</v>
      </c>
      <c r="M6" s="57" t="s">
        <v>564</v>
      </c>
      <c r="N6" s="58" t="s">
        <v>712</v>
      </c>
      <c r="O6" s="2"/>
      <c r="P6" s="2"/>
      <c r="Q6" s="1"/>
      <c r="R6" s="1"/>
      <c r="S6" s="1"/>
      <c r="T6" s="1"/>
    </row>
    <row r="7" spans="1:20" ht="18" customHeight="1" x14ac:dyDescent="0.3">
      <c r="A7" s="2"/>
      <c r="B7" s="65" t="str">
        <f t="shared" ref="B7:B70" si="0">IF($D7="","","T"&amp;TEXT(ROW()-6,"00000"))</f>
        <v>T00001</v>
      </c>
      <c r="C7" s="65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61" t="s">
        <v>649</v>
      </c>
      <c r="E7" s="66">
        <v>46023</v>
      </c>
      <c r="F7" s="67">
        <v>27000</v>
      </c>
      <c r="G7" s="60" t="s">
        <v>713</v>
      </c>
      <c r="H7" s="60" t="s">
        <v>568</v>
      </c>
      <c r="I7" s="61"/>
      <c r="J7" s="61" t="s">
        <v>714</v>
      </c>
      <c r="K7" s="61"/>
      <c r="L7" s="73">
        <f t="shared" ref="L7:L70" si="1">IF($E7="","",DATE(YEAR($E7),MONTH($E7),1))</f>
        <v>46023</v>
      </c>
      <c r="M7" s="65" t="str">
        <f t="shared" ref="M7:M70" ca="1" si="2">IF($D7="","",IF($C7="TANIMSIZ MÜŞTERİ","HATA",IF(OR($E7="",$F7&lt;=0,$G7=""),"EKSİK",IF($E7&gt;TODAY(),"İLERİ TARİH",IF(COUNTIF($S$7:$S$2506,$S7)&gt;1,"MÜKERRER?",IF($T7&gt;0,"KAPALI DÖNEM","UYGUN"))))))</f>
        <v>UYGUN</v>
      </c>
      <c r="N7" s="74" t="str">
        <f>IF($C7="","",IF($C7="TANIMSIZ MÜŞTERİ","—",INDEX(MUSTERILER!$C$7:$C$156,MATCH($C7,MUSTERILER!$B$7:$B$156,0))))</f>
        <v>PALAOĞULLARI LTD.ŞTİ.</v>
      </c>
      <c r="O7" s="2"/>
      <c r="P7" s="2"/>
      <c r="Q7" s="1" t="str">
        <f>IF($D7="","",$C7&amp;"|"&amp;COUNTIFS($C$7:$C7,$C7))</f>
        <v>M047|1</v>
      </c>
      <c r="R7" s="1" t="str">
        <f t="shared" ref="R7:R70" si="3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" t="str">
        <f t="shared" ref="S7:S70" si="4">IF($D7="","",$C7&amp;"|"&amp;TEXT($E7,"0")&amp;"|"&amp;TEXT($F7,"0")&amp;"|"&amp;$I7)</f>
        <v>M047|46023|27000|</v>
      </c>
      <c r="T7" s="1">
        <f>IF($E7="",0,SUMPRODUCT((AY_SONU!$O$7:$O$42="Evet")*(AY_SONU!$B$7:$B$42=DATE(YEAR($E7),MONTH($E7),1))))</f>
        <v>0</v>
      </c>
    </row>
    <row r="8" spans="1:20" ht="18" customHeight="1" x14ac:dyDescent="0.3">
      <c r="A8" s="2"/>
      <c r="B8" s="65" t="str">
        <f t="shared" si="0"/>
        <v>T00002</v>
      </c>
      <c r="C8" s="65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61" t="s">
        <v>653</v>
      </c>
      <c r="E8" s="66">
        <v>46023</v>
      </c>
      <c r="F8" s="67">
        <v>17200</v>
      </c>
      <c r="G8" s="60" t="s">
        <v>713</v>
      </c>
      <c r="H8" s="60" t="s">
        <v>568</v>
      </c>
      <c r="I8" s="61"/>
      <c r="J8" s="61" t="s">
        <v>714</v>
      </c>
      <c r="K8" s="61"/>
      <c r="L8" s="73">
        <f t="shared" si="1"/>
        <v>46023</v>
      </c>
      <c r="M8" s="65" t="str">
        <f t="shared" ca="1" si="2"/>
        <v>UYGUN</v>
      </c>
      <c r="N8" s="74" t="str">
        <f>IF($C8="","",IF($C8="TANIMSIZ MÜŞTERİ","—",INDEX(MUSTERILER!$C$7:$C$156,MATCH($C8,MUSTERILER!$B$7:$B$156,0))))</f>
        <v>RİX ŞOW LTD.ŞTİ.</v>
      </c>
      <c r="O8" s="2"/>
      <c r="P8" s="2"/>
      <c r="Q8" s="1" t="str">
        <f>IF($D8="","",$C8&amp;"|"&amp;COUNTIFS($C$7:$C8,$C8))</f>
        <v>M016|1</v>
      </c>
      <c r="R8" s="1" t="str">
        <f t="shared" si="3"/>
        <v>RIXSOWLTDSTI</v>
      </c>
      <c r="S8" s="1" t="str">
        <f t="shared" si="4"/>
        <v>M016|46023|17200|</v>
      </c>
      <c r="T8" s="1">
        <f>IF($E8="",0,SUMPRODUCT((AY_SONU!$O$7:$O$42="Evet")*(AY_SONU!$B$7:$B$42=DATE(YEAR($E8),MONTH($E8),1))))</f>
        <v>0</v>
      </c>
    </row>
    <row r="9" spans="1:20" ht="18" customHeight="1" x14ac:dyDescent="0.3">
      <c r="A9" s="2"/>
      <c r="B9" s="65" t="str">
        <f t="shared" si="0"/>
        <v>T00003</v>
      </c>
      <c r="C9" s="65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M011</v>
      </c>
      <c r="D9" s="61" t="s">
        <v>593</v>
      </c>
      <c r="E9" s="66">
        <v>46025</v>
      </c>
      <c r="F9" s="67">
        <v>3000</v>
      </c>
      <c r="G9" s="60" t="s">
        <v>715</v>
      </c>
      <c r="H9" s="60" t="s">
        <v>568</v>
      </c>
      <c r="I9" s="61"/>
      <c r="J9" s="61" t="s">
        <v>716</v>
      </c>
      <c r="K9" s="61"/>
      <c r="L9" s="73">
        <f t="shared" si="1"/>
        <v>46023</v>
      </c>
      <c r="M9" s="65" t="str">
        <f t="shared" ca="1" si="2"/>
        <v>UYGUN</v>
      </c>
      <c r="N9" s="74" t="str">
        <f>IF($C9="","",IF($C9="TANIMSIZ MÜŞTERİ","—",INDEX(MUSTERILER!$C$7:$C$156,MATCH($C9,MUSTERILER!$B$7:$B$156,0))))</f>
        <v>EĞLENGÖR LTD.ŞTİ.</v>
      </c>
      <c r="O9" s="2"/>
      <c r="P9" s="2"/>
      <c r="Q9" s="1" t="str">
        <f>IF($D9="","",$C9&amp;"|"&amp;COUNTIFS($C$7:$C9,$C9))</f>
        <v>M011|1</v>
      </c>
      <c r="R9" s="1" t="str">
        <f t="shared" si="3"/>
        <v>EGLENGORLTDSTI</v>
      </c>
      <c r="S9" s="1" t="str">
        <f t="shared" si="4"/>
        <v>M011|46025|3000|</v>
      </c>
      <c r="T9" s="1">
        <f>IF($E9="",0,SUMPRODUCT((AY_SONU!$O$7:$O$42="Evet")*(AY_SONU!$B$7:$B$42=DATE(YEAR($E9),MONTH($E9),1))))</f>
        <v>0</v>
      </c>
    </row>
    <row r="10" spans="1:20" ht="18" customHeight="1" x14ac:dyDescent="0.3">
      <c r="A10" s="2"/>
      <c r="B10" s="65" t="str">
        <f t="shared" si="0"/>
        <v>T00004</v>
      </c>
      <c r="C10" s="65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M010</v>
      </c>
      <c r="D10" s="61" t="s">
        <v>645</v>
      </c>
      <c r="E10" s="66">
        <v>46025</v>
      </c>
      <c r="F10" s="67">
        <v>2000</v>
      </c>
      <c r="G10" s="60" t="s">
        <v>715</v>
      </c>
      <c r="H10" s="60" t="s">
        <v>568</v>
      </c>
      <c r="I10" s="61"/>
      <c r="J10" s="61" t="s">
        <v>716</v>
      </c>
      <c r="K10" s="61"/>
      <c r="L10" s="73">
        <f t="shared" si="1"/>
        <v>46023</v>
      </c>
      <c r="M10" s="65" t="str">
        <f t="shared" ca="1" si="2"/>
        <v>UYGUN</v>
      </c>
      <c r="N10" s="74" t="str">
        <f>IF($C10="","",IF($C10="TANIMSIZ MÜŞTERİ","—",INDEX(MUSTERILER!$C$7:$C$156,MATCH($C10,MUSTERILER!$B$7:$B$156,0))))</f>
        <v>ÖZFİDANLAR LTD.ŞTİ.</v>
      </c>
      <c r="O10" s="2"/>
      <c r="P10" s="2"/>
      <c r="Q10" s="1" t="str">
        <f>IF($D10="","",$C10&amp;"|"&amp;COUNTIFS($C$7:$C10,$C10))</f>
        <v>M010|1</v>
      </c>
      <c r="R10" s="1" t="str">
        <f t="shared" si="3"/>
        <v>OZFIDANLARLTDSTI</v>
      </c>
      <c r="S10" s="1" t="str">
        <f t="shared" si="4"/>
        <v>M010|46025|2000|</v>
      </c>
      <c r="T10" s="1">
        <f>IF($E10="",0,SUMPRODUCT((AY_SONU!$O$7:$O$42="Evet")*(AY_SONU!$B$7:$B$42=DATE(YEAR($E10),MONTH($E10),1))))</f>
        <v>0</v>
      </c>
    </row>
    <row r="11" spans="1:20" ht="18" customHeight="1" x14ac:dyDescent="0.3">
      <c r="A11" s="2"/>
      <c r="B11" s="65" t="str">
        <f t="shared" si="0"/>
        <v>T00005</v>
      </c>
      <c r="C11" s="65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M009</v>
      </c>
      <c r="D11" s="61" t="s">
        <v>647</v>
      </c>
      <c r="E11" s="66">
        <v>46025</v>
      </c>
      <c r="F11" s="67">
        <v>2000</v>
      </c>
      <c r="G11" s="60" t="s">
        <v>715</v>
      </c>
      <c r="H11" s="60" t="s">
        <v>568</v>
      </c>
      <c r="I11" s="61"/>
      <c r="J11" s="61" t="s">
        <v>716</v>
      </c>
      <c r="K11" s="61"/>
      <c r="L11" s="73">
        <f t="shared" si="1"/>
        <v>46023</v>
      </c>
      <c r="M11" s="65" t="str">
        <f t="shared" ca="1" si="2"/>
        <v>UYGUN</v>
      </c>
      <c r="N11" s="74" t="str">
        <f>IF($C11="","",IF($C11="TANIMSIZ MÜŞTERİ","—",INDEX(MUSTERILER!$C$7:$C$156,MATCH($C11,MUSTERILER!$B$7:$B$156,0))))</f>
        <v>PAKYILDIZ LTD.ŞTİ.</v>
      </c>
      <c r="O11" s="2"/>
      <c r="P11" s="2"/>
      <c r="Q11" s="1" t="str">
        <f>IF($D11="","",$C11&amp;"|"&amp;COUNTIFS($C$7:$C11,$C11))</f>
        <v>M009|1</v>
      </c>
      <c r="R11" s="1" t="str">
        <f t="shared" si="3"/>
        <v>PAKYILDIZLTDSTI</v>
      </c>
      <c r="S11" s="1" t="str">
        <f t="shared" si="4"/>
        <v>M009|46025|2000|</v>
      </c>
      <c r="T11" s="1">
        <f>IF($E11="",0,SUMPRODUCT((AY_SONU!$O$7:$O$42="Evet")*(AY_SONU!$B$7:$B$42=DATE(YEAR($E11),MONTH($E11),1))))</f>
        <v>0</v>
      </c>
    </row>
    <row r="12" spans="1:20" ht="18" customHeight="1" x14ac:dyDescent="0.3">
      <c r="A12" s="2"/>
      <c r="B12" s="65" t="str">
        <f t="shared" si="0"/>
        <v>T00006</v>
      </c>
      <c r="C12" s="65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M005</v>
      </c>
      <c r="D12" s="61" t="s">
        <v>675</v>
      </c>
      <c r="E12" s="66">
        <v>46025</v>
      </c>
      <c r="F12" s="67">
        <v>1750</v>
      </c>
      <c r="G12" s="60" t="s">
        <v>715</v>
      </c>
      <c r="H12" s="60" t="s">
        <v>568</v>
      </c>
      <c r="I12" s="61"/>
      <c r="J12" s="61" t="s">
        <v>716</v>
      </c>
      <c r="K12" s="61"/>
      <c r="L12" s="73">
        <f t="shared" si="1"/>
        <v>46023</v>
      </c>
      <c r="M12" s="65" t="str">
        <f t="shared" ca="1" si="2"/>
        <v>UYGUN</v>
      </c>
      <c r="N12" s="74" t="str">
        <f>IF($C12="","",IF($C12="TANIMSIZ MÜŞTERİ","—",INDEX(MUSTERILER!$C$7:$C$156,MATCH($C12,MUSTERILER!$B$7:$B$156,0))))</f>
        <v>ZÜMRÜT GRUP LTD.ŞTİ.</v>
      </c>
      <c r="O12" s="2"/>
      <c r="P12" s="2"/>
      <c r="Q12" s="1" t="str">
        <f>IF($D12="","",$C12&amp;"|"&amp;COUNTIFS($C$7:$C12,$C12))</f>
        <v>M005|1</v>
      </c>
      <c r="R12" s="1" t="str">
        <f t="shared" si="3"/>
        <v>ZUMRUTGRUPLTDSTI</v>
      </c>
      <c r="S12" s="1" t="str">
        <f t="shared" si="4"/>
        <v>M005|46025|1750|</v>
      </c>
      <c r="T12" s="1">
        <f>IF($E12="",0,SUMPRODUCT((AY_SONU!$O$7:$O$42="Evet")*(AY_SONU!$B$7:$B$42=DATE(YEAR($E12),MONTH($E12),1))))</f>
        <v>0</v>
      </c>
    </row>
    <row r="13" spans="1:20" ht="18" customHeight="1" x14ac:dyDescent="0.3">
      <c r="A13" s="2"/>
      <c r="B13" s="65" t="str">
        <f t="shared" si="0"/>
        <v>T00007</v>
      </c>
      <c r="C13" s="65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M001</v>
      </c>
      <c r="D13" s="61" t="s">
        <v>17</v>
      </c>
      <c r="E13" s="66">
        <v>46032</v>
      </c>
      <c r="F13" s="67">
        <v>4000</v>
      </c>
      <c r="G13" s="60" t="s">
        <v>715</v>
      </c>
      <c r="H13" s="60" t="s">
        <v>568</v>
      </c>
      <c r="I13" s="61"/>
      <c r="J13" s="61" t="s">
        <v>716</v>
      </c>
      <c r="K13" s="61"/>
      <c r="L13" s="73">
        <f t="shared" si="1"/>
        <v>46023</v>
      </c>
      <c r="M13" s="65" t="str">
        <f t="shared" ca="1" si="2"/>
        <v>UYGUN</v>
      </c>
      <c r="N13" s="74" t="str">
        <f>IF($C13="","",IF($C13="TANIMSIZ MÜŞTERİ","—",INDEX(MUSTERILER!$C$7:$C$156,MATCH($C13,MUSTERILER!$B$7:$B$156,0))))</f>
        <v>ANKARA HAVANA LTD.ŞTİ.</v>
      </c>
      <c r="O13" s="2"/>
      <c r="P13" s="2"/>
      <c r="Q13" s="1" t="str">
        <f>IF($D13="","",$C13&amp;"|"&amp;COUNTIFS($C$7:$C13,$C13))</f>
        <v>M001|1</v>
      </c>
      <c r="R13" s="1" t="str">
        <f t="shared" si="3"/>
        <v>ANKARAHAVANALTDSTI</v>
      </c>
      <c r="S13" s="1" t="str">
        <f t="shared" si="4"/>
        <v>M001|46032|4000|</v>
      </c>
      <c r="T13" s="1">
        <f>IF($E13="",0,SUMPRODUCT((AY_SONU!$O$7:$O$42="Evet")*(AY_SONU!$B$7:$B$42=DATE(YEAR($E13),MONTH($E13),1))))</f>
        <v>0</v>
      </c>
    </row>
    <row r="14" spans="1:20" ht="18" customHeight="1" x14ac:dyDescent="0.3">
      <c r="A14" s="2"/>
      <c r="B14" s="65" t="str">
        <f t="shared" si="0"/>
        <v>T00008</v>
      </c>
      <c r="C14" s="65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M011</v>
      </c>
      <c r="D14" s="61" t="s">
        <v>593</v>
      </c>
      <c r="E14" s="66">
        <v>46032</v>
      </c>
      <c r="F14" s="67">
        <v>3000</v>
      </c>
      <c r="G14" s="60" t="s">
        <v>715</v>
      </c>
      <c r="H14" s="60" t="s">
        <v>568</v>
      </c>
      <c r="I14" s="61"/>
      <c r="J14" s="61" t="s">
        <v>716</v>
      </c>
      <c r="K14" s="61"/>
      <c r="L14" s="73">
        <f t="shared" si="1"/>
        <v>46023</v>
      </c>
      <c r="M14" s="65" t="str">
        <f t="shared" ca="1" si="2"/>
        <v>UYGUN</v>
      </c>
      <c r="N14" s="74" t="str">
        <f>IF($C14="","",IF($C14="TANIMSIZ MÜŞTERİ","—",INDEX(MUSTERILER!$C$7:$C$156,MATCH($C14,MUSTERILER!$B$7:$B$156,0))))</f>
        <v>EĞLENGÖR LTD.ŞTİ.</v>
      </c>
      <c r="O14" s="2"/>
      <c r="P14" s="2"/>
      <c r="Q14" s="1" t="str">
        <f>IF($D14="","",$C14&amp;"|"&amp;COUNTIFS($C$7:$C14,$C14))</f>
        <v>M011|2</v>
      </c>
      <c r="R14" s="1" t="str">
        <f t="shared" si="3"/>
        <v>EGLENGORLTDSTI</v>
      </c>
      <c r="S14" s="1" t="str">
        <f t="shared" si="4"/>
        <v>M011|46032|3000|</v>
      </c>
      <c r="T14" s="1">
        <f>IF($E14="",0,SUMPRODUCT((AY_SONU!$O$7:$O$42="Evet")*(AY_SONU!$B$7:$B$42=DATE(YEAR($E14),MONTH($E14),1))))</f>
        <v>0</v>
      </c>
    </row>
    <row r="15" spans="1:20" ht="18" customHeight="1" x14ac:dyDescent="0.3">
      <c r="A15" s="2"/>
      <c r="B15" s="65" t="str">
        <f t="shared" si="0"/>
        <v>T00009</v>
      </c>
      <c r="C15" s="65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M014</v>
      </c>
      <c r="D15" s="61" t="s">
        <v>601</v>
      </c>
      <c r="E15" s="66">
        <v>46032</v>
      </c>
      <c r="F15" s="67">
        <v>4000</v>
      </c>
      <c r="G15" s="60" t="s">
        <v>715</v>
      </c>
      <c r="H15" s="60" t="s">
        <v>568</v>
      </c>
      <c r="I15" s="61"/>
      <c r="J15" s="61" t="s">
        <v>716</v>
      </c>
      <c r="K15" s="61"/>
      <c r="L15" s="73">
        <f t="shared" si="1"/>
        <v>46023</v>
      </c>
      <c r="M15" s="65" t="str">
        <f t="shared" ca="1" si="2"/>
        <v>UYGUN</v>
      </c>
      <c r="N15" s="74" t="str">
        <f>IF($C15="","",IF($C15="TANIMSIZ MÜŞTERİ","—",INDEX(MUSTERILER!$C$7:$C$156,MATCH($C15,MUSTERILER!$B$7:$B$156,0))))</f>
        <v>FİNAL SİYAH BEYAZ LTD.ŞTİ.</v>
      </c>
      <c r="O15" s="2"/>
      <c r="P15" s="2"/>
      <c r="Q15" s="1" t="str">
        <f>IF($D15="","",$C15&amp;"|"&amp;COUNTIFS($C$7:$C15,$C15))</f>
        <v>M014|1</v>
      </c>
      <c r="R15" s="1" t="str">
        <f t="shared" si="3"/>
        <v>FINALSIYAHBEYAZLTDSTI</v>
      </c>
      <c r="S15" s="1" t="str">
        <f t="shared" si="4"/>
        <v>M014|46032|4000|</v>
      </c>
      <c r="T15" s="1">
        <f>IF($E15="",0,SUMPRODUCT((AY_SONU!$O$7:$O$42="Evet")*(AY_SONU!$B$7:$B$42=DATE(YEAR($E15),MONTH($E15),1))))</f>
        <v>0</v>
      </c>
    </row>
    <row r="16" spans="1:20" ht="18" customHeight="1" x14ac:dyDescent="0.3">
      <c r="A16" s="2"/>
      <c r="B16" s="65" t="str">
        <f t="shared" si="0"/>
        <v>T00010</v>
      </c>
      <c r="C16" s="65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M012</v>
      </c>
      <c r="D16" s="61" t="s">
        <v>609</v>
      </c>
      <c r="E16" s="66">
        <v>46032</v>
      </c>
      <c r="F16" s="67">
        <v>4000</v>
      </c>
      <c r="G16" s="60" t="s">
        <v>715</v>
      </c>
      <c r="H16" s="60" t="s">
        <v>568</v>
      </c>
      <c r="I16" s="61"/>
      <c r="J16" s="61" t="s">
        <v>716</v>
      </c>
      <c r="K16" s="61"/>
      <c r="L16" s="73">
        <f t="shared" si="1"/>
        <v>46023</v>
      </c>
      <c r="M16" s="65" t="str">
        <f t="shared" ca="1" si="2"/>
        <v>UYGUN</v>
      </c>
      <c r="N16" s="74" t="str">
        <f>IF($C16="","",IF($C16="TANIMSIZ MÜŞTERİ","—",INDEX(MUSTERILER!$C$7:$C$156,MATCH($C16,MUSTERILER!$B$7:$B$156,0))))</f>
        <v>İLDEŞ LTD.ŞTİ.</v>
      </c>
      <c r="O16" s="2"/>
      <c r="P16" s="2"/>
      <c r="Q16" s="1" t="str">
        <f>IF($D16="","",$C16&amp;"|"&amp;COUNTIFS($C$7:$C16,$C16))</f>
        <v>M012|1</v>
      </c>
      <c r="R16" s="1" t="str">
        <f t="shared" si="3"/>
        <v>ILDESLTDSTI</v>
      </c>
      <c r="S16" s="1" t="str">
        <f t="shared" si="4"/>
        <v>M012|46032|4000|</v>
      </c>
      <c r="T16" s="1">
        <f>IF($E16="",0,SUMPRODUCT((AY_SONU!$O$7:$O$42="Evet")*(AY_SONU!$B$7:$B$42=DATE(YEAR($E16),MONTH($E16),1))))</f>
        <v>0</v>
      </c>
    </row>
    <row r="17" spans="1:20" ht="18" customHeight="1" x14ac:dyDescent="0.3">
      <c r="A17" s="2"/>
      <c r="B17" s="65" t="str">
        <f t="shared" si="0"/>
        <v>T00011</v>
      </c>
      <c r="C17" s="65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M007</v>
      </c>
      <c r="D17" s="61" t="s">
        <v>631</v>
      </c>
      <c r="E17" s="66">
        <v>46032</v>
      </c>
      <c r="F17" s="67">
        <v>3500</v>
      </c>
      <c r="G17" s="60" t="s">
        <v>715</v>
      </c>
      <c r="H17" s="60" t="s">
        <v>568</v>
      </c>
      <c r="I17" s="61"/>
      <c r="J17" s="61" t="s">
        <v>716</v>
      </c>
      <c r="K17" s="61"/>
      <c r="L17" s="73">
        <f t="shared" si="1"/>
        <v>46023</v>
      </c>
      <c r="M17" s="65" t="str">
        <f t="shared" ca="1" si="2"/>
        <v>UYGUN</v>
      </c>
      <c r="N17" s="74" t="str">
        <f>IF($C17="","",IF($C17="TANIMSIZ MÜŞTERİ","—",INDEX(MUSTERILER!$C$7:$C$156,MATCH($C17,MUSTERILER!$B$7:$B$156,0))))</f>
        <v>MONAMOUR LTD.ŞTİ.</v>
      </c>
      <c r="O17" s="2"/>
      <c r="P17" s="2"/>
      <c r="Q17" s="1" t="str">
        <f>IF($D17="","",$C17&amp;"|"&amp;COUNTIFS($C$7:$C17,$C17))</f>
        <v>M007|1</v>
      </c>
      <c r="R17" s="1" t="str">
        <f t="shared" si="3"/>
        <v>MONAMOURLTDSTI</v>
      </c>
      <c r="S17" s="1" t="str">
        <f t="shared" si="4"/>
        <v>M007|46032|3500|</v>
      </c>
      <c r="T17" s="1">
        <f>IF($E17="",0,SUMPRODUCT((AY_SONU!$O$7:$O$42="Evet")*(AY_SONU!$B$7:$B$42=DATE(YEAR($E17),MONTH($E17),1))))</f>
        <v>0</v>
      </c>
    </row>
    <row r="18" spans="1:20" ht="18" customHeight="1" x14ac:dyDescent="0.3">
      <c r="A18" s="2"/>
      <c r="B18" s="65" t="str">
        <f t="shared" si="0"/>
        <v>T00012</v>
      </c>
      <c r="C18" s="65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M013</v>
      </c>
      <c r="D18" s="61" t="s">
        <v>639</v>
      </c>
      <c r="E18" s="66">
        <v>46032</v>
      </c>
      <c r="F18" s="67">
        <v>13150</v>
      </c>
      <c r="G18" s="60" t="s">
        <v>715</v>
      </c>
      <c r="H18" s="60" t="s">
        <v>568</v>
      </c>
      <c r="I18" s="61"/>
      <c r="J18" s="61" t="s">
        <v>716</v>
      </c>
      <c r="K18" s="61"/>
      <c r="L18" s="73">
        <f t="shared" si="1"/>
        <v>46023</v>
      </c>
      <c r="M18" s="65" t="str">
        <f t="shared" ca="1" si="2"/>
        <v>UYGUN</v>
      </c>
      <c r="N18" s="74" t="str">
        <f>IF($C18="","",IF($C18="TANIMSIZ MÜŞTERİ","—",INDEX(MUSTERILER!$C$7:$C$156,MATCH($C18,MUSTERILER!$B$7:$B$156,0))))</f>
        <v>NAZ 1 GIDA LTD.ŞTİ.</v>
      </c>
      <c r="O18" s="2"/>
      <c r="P18" s="2"/>
      <c r="Q18" s="1" t="str">
        <f>IF($D18="","",$C18&amp;"|"&amp;COUNTIFS($C$7:$C18,$C18))</f>
        <v>M013|1</v>
      </c>
      <c r="R18" s="1" t="str">
        <f t="shared" si="3"/>
        <v>NAZ1GIDALTDSTI</v>
      </c>
      <c r="S18" s="1" t="str">
        <f t="shared" si="4"/>
        <v>M013|46032|13150|</v>
      </c>
      <c r="T18" s="1">
        <f>IF($E18="",0,SUMPRODUCT((AY_SONU!$O$7:$O$42="Evet")*(AY_SONU!$B$7:$B$42=DATE(YEAR($E18),MONTH($E18),1))))</f>
        <v>0</v>
      </c>
    </row>
    <row r="19" spans="1:20" ht="18" customHeight="1" x14ac:dyDescent="0.3">
      <c r="A19" s="2"/>
      <c r="B19" s="65" t="str">
        <f t="shared" si="0"/>
        <v>T00013</v>
      </c>
      <c r="C19" s="65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M010</v>
      </c>
      <c r="D19" s="61" t="s">
        <v>645</v>
      </c>
      <c r="E19" s="66">
        <v>46032</v>
      </c>
      <c r="F19" s="67">
        <v>4000</v>
      </c>
      <c r="G19" s="60" t="s">
        <v>715</v>
      </c>
      <c r="H19" s="60" t="s">
        <v>568</v>
      </c>
      <c r="I19" s="61"/>
      <c r="J19" s="61" t="s">
        <v>716</v>
      </c>
      <c r="K19" s="61"/>
      <c r="L19" s="73">
        <f t="shared" si="1"/>
        <v>46023</v>
      </c>
      <c r="M19" s="65" t="str">
        <f t="shared" ca="1" si="2"/>
        <v>UYGUN</v>
      </c>
      <c r="N19" s="74" t="str">
        <f>IF($C19="","",IF($C19="TANIMSIZ MÜŞTERİ","—",INDEX(MUSTERILER!$C$7:$C$156,MATCH($C19,MUSTERILER!$B$7:$B$156,0))))</f>
        <v>ÖZFİDANLAR LTD.ŞTİ.</v>
      </c>
      <c r="O19" s="2"/>
      <c r="P19" s="2"/>
      <c r="Q19" s="1" t="str">
        <f>IF($D19="","",$C19&amp;"|"&amp;COUNTIFS($C$7:$C19,$C19))</f>
        <v>M010|2</v>
      </c>
      <c r="R19" s="1" t="str">
        <f t="shared" si="3"/>
        <v>OZFIDANLARLTDSTI</v>
      </c>
      <c r="S19" s="1" t="str">
        <f t="shared" si="4"/>
        <v>M010|46032|4000|</v>
      </c>
      <c r="T19" s="1">
        <f>IF($E19="",0,SUMPRODUCT((AY_SONU!$O$7:$O$42="Evet")*(AY_SONU!$B$7:$B$42=DATE(YEAR($E19),MONTH($E19),1))))</f>
        <v>0</v>
      </c>
    </row>
    <row r="20" spans="1:20" ht="18" customHeight="1" x14ac:dyDescent="0.3">
      <c r="A20" s="2"/>
      <c r="B20" s="65" t="str">
        <f t="shared" si="0"/>
        <v>T00014</v>
      </c>
      <c r="C20" s="65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M005</v>
      </c>
      <c r="D20" s="61" t="s">
        <v>675</v>
      </c>
      <c r="E20" s="66">
        <v>46032</v>
      </c>
      <c r="F20" s="67">
        <v>1750</v>
      </c>
      <c r="G20" s="60" t="s">
        <v>715</v>
      </c>
      <c r="H20" s="60" t="s">
        <v>568</v>
      </c>
      <c r="I20" s="61"/>
      <c r="J20" s="61" t="s">
        <v>716</v>
      </c>
      <c r="K20" s="61"/>
      <c r="L20" s="73">
        <f t="shared" si="1"/>
        <v>46023</v>
      </c>
      <c r="M20" s="65" t="str">
        <f t="shared" ca="1" si="2"/>
        <v>UYGUN</v>
      </c>
      <c r="N20" s="74" t="str">
        <f>IF($C20="","",IF($C20="TANIMSIZ MÜŞTERİ","—",INDEX(MUSTERILER!$C$7:$C$156,MATCH($C20,MUSTERILER!$B$7:$B$156,0))))</f>
        <v>ZÜMRÜT GRUP LTD.ŞTİ.</v>
      </c>
      <c r="O20" s="2"/>
      <c r="P20" s="2"/>
      <c r="Q20" s="1" t="str">
        <f>IF($D20="","",$C20&amp;"|"&amp;COUNTIFS($C$7:$C20,$C20))</f>
        <v>M005|2</v>
      </c>
      <c r="R20" s="1" t="str">
        <f t="shared" si="3"/>
        <v>ZUMRUTGRUPLTDSTI</v>
      </c>
      <c r="S20" s="1" t="str">
        <f t="shared" si="4"/>
        <v>M005|46032|1750|</v>
      </c>
      <c r="T20" s="1">
        <f>IF($E20="",0,SUMPRODUCT((AY_SONU!$O$7:$O$42="Evet")*(AY_SONU!$B$7:$B$42=DATE(YEAR($E20),MONTH($E20),1))))</f>
        <v>0</v>
      </c>
    </row>
    <row r="21" spans="1:20" ht="18" customHeight="1" x14ac:dyDescent="0.3">
      <c r="A21" s="2"/>
      <c r="B21" s="65" t="str">
        <f t="shared" si="0"/>
        <v>T00015</v>
      </c>
      <c r="C21" s="65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M015</v>
      </c>
      <c r="D21" s="61" t="s">
        <v>585</v>
      </c>
      <c r="E21" s="66">
        <v>46034</v>
      </c>
      <c r="F21" s="67">
        <v>6000</v>
      </c>
      <c r="G21" s="60" t="s">
        <v>715</v>
      </c>
      <c r="H21" s="60" t="s">
        <v>568</v>
      </c>
      <c r="I21" s="61"/>
      <c r="J21" s="61" t="s">
        <v>716</v>
      </c>
      <c r="K21" s="61"/>
      <c r="L21" s="73">
        <f t="shared" si="1"/>
        <v>46023</v>
      </c>
      <c r="M21" s="65" t="str">
        <f t="shared" ca="1" si="2"/>
        <v>UYGUN</v>
      </c>
      <c r="N21" s="74" t="str">
        <f>IF($C21="","",IF($C21="TANIMSIZ MÜŞTERİ","—",INDEX(MUSTERILER!$C$7:$C$156,MATCH($C21,MUSTERILER!$B$7:$B$156,0))))</f>
        <v>ÇAYIRALAN LTD.ŞTİ.</v>
      </c>
      <c r="O21" s="2"/>
      <c r="P21" s="2"/>
      <c r="Q21" s="1" t="str">
        <f>IF($D21="","",$C21&amp;"|"&amp;COUNTIFS($C$7:$C21,$C21))</f>
        <v>M015|1</v>
      </c>
      <c r="R21" s="1" t="str">
        <f t="shared" si="3"/>
        <v>CAYIRALANLTDSTI</v>
      </c>
      <c r="S21" s="1" t="str">
        <f t="shared" si="4"/>
        <v>M015|46034|6000|</v>
      </c>
      <c r="T21" s="1">
        <f>IF($E21="",0,SUMPRODUCT((AY_SONU!$O$7:$O$42="Evet")*(AY_SONU!$B$7:$B$42=DATE(YEAR($E21),MONTH($E21),1))))</f>
        <v>0</v>
      </c>
    </row>
    <row r="22" spans="1:20" ht="18" customHeight="1" x14ac:dyDescent="0.3">
      <c r="A22" s="2"/>
      <c r="B22" s="65" t="str">
        <f t="shared" si="0"/>
        <v>T00016</v>
      </c>
      <c r="C22" s="65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M034</v>
      </c>
      <c r="D22" s="61" t="s">
        <v>607</v>
      </c>
      <c r="E22" s="66">
        <v>46034</v>
      </c>
      <c r="F22" s="67">
        <v>3000</v>
      </c>
      <c r="G22" s="60" t="s">
        <v>715</v>
      </c>
      <c r="H22" s="60" t="s">
        <v>568</v>
      </c>
      <c r="I22" s="61"/>
      <c r="J22" s="61" t="s">
        <v>716</v>
      </c>
      <c r="K22" s="61"/>
      <c r="L22" s="73">
        <f t="shared" si="1"/>
        <v>46023</v>
      </c>
      <c r="M22" s="65" t="str">
        <f t="shared" ca="1" si="2"/>
        <v>UYGUN</v>
      </c>
      <c r="N22" s="74" t="str">
        <f>IF($C22="","",IF($C22="TANIMSIZ MÜŞTERİ","—",INDEX(MUSTERILER!$C$7:$C$156,MATCH($C22,MUSTERILER!$B$7:$B$156,0))))</f>
        <v>İBRAHİM MALDAN</v>
      </c>
      <c r="O22" s="2"/>
      <c r="P22" s="2"/>
      <c r="Q22" s="1" t="str">
        <f>IF($D22="","",$C22&amp;"|"&amp;COUNTIFS($C$7:$C22,$C22))</f>
        <v>M034|1</v>
      </c>
      <c r="R22" s="1" t="str">
        <f t="shared" si="3"/>
        <v>IBRAHIMMALDAN</v>
      </c>
      <c r="S22" s="1" t="str">
        <f t="shared" si="4"/>
        <v>M034|46034|3000|</v>
      </c>
      <c r="T22" s="1">
        <f>IF($E22="",0,SUMPRODUCT((AY_SONU!$O$7:$O$42="Evet")*(AY_SONU!$B$7:$B$42=DATE(YEAR($E22),MONTH($E22),1))))</f>
        <v>0</v>
      </c>
    </row>
    <row r="23" spans="1:20" ht="18" customHeight="1" x14ac:dyDescent="0.3">
      <c r="A23" s="2"/>
      <c r="B23" s="65" t="str">
        <f t="shared" si="0"/>
        <v>T00017</v>
      </c>
      <c r="C23" s="65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M016</v>
      </c>
      <c r="D23" s="61" t="s">
        <v>653</v>
      </c>
      <c r="E23" s="66">
        <v>46034</v>
      </c>
      <c r="F23" s="67">
        <v>4000</v>
      </c>
      <c r="G23" s="60" t="s">
        <v>715</v>
      </c>
      <c r="H23" s="60" t="s">
        <v>568</v>
      </c>
      <c r="I23" s="61"/>
      <c r="J23" s="61" t="s">
        <v>716</v>
      </c>
      <c r="K23" s="61"/>
      <c r="L23" s="73">
        <f t="shared" si="1"/>
        <v>46023</v>
      </c>
      <c r="M23" s="65" t="str">
        <f t="shared" ca="1" si="2"/>
        <v>UYGUN</v>
      </c>
      <c r="N23" s="74" t="str">
        <f>IF($C23="","",IF($C23="TANIMSIZ MÜŞTERİ","—",INDEX(MUSTERILER!$C$7:$C$156,MATCH($C23,MUSTERILER!$B$7:$B$156,0))))</f>
        <v>RİX ŞOW LTD.ŞTİ.</v>
      </c>
      <c r="O23" s="2"/>
      <c r="P23" s="2"/>
      <c r="Q23" s="1" t="str">
        <f>IF($D23="","",$C23&amp;"|"&amp;COUNTIFS($C$7:$C23,$C23))</f>
        <v>M016|2</v>
      </c>
      <c r="R23" s="1" t="str">
        <f t="shared" si="3"/>
        <v>RIXSOWLTDSTI</v>
      </c>
      <c r="S23" s="1" t="str">
        <f t="shared" si="4"/>
        <v>M016|46034|4000|</v>
      </c>
      <c r="T23" s="1">
        <f>IF($E23="",0,SUMPRODUCT((AY_SONU!$O$7:$O$42="Evet")*(AY_SONU!$B$7:$B$42=DATE(YEAR($E23),MONTH($E23),1))))</f>
        <v>0</v>
      </c>
    </row>
    <row r="24" spans="1:20" ht="18" customHeight="1" x14ac:dyDescent="0.3">
      <c r="A24" s="2"/>
      <c r="B24" s="65" t="str">
        <f t="shared" si="0"/>
        <v>T00018</v>
      </c>
      <c r="C24" s="65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M004</v>
      </c>
      <c r="D24" s="61" t="s">
        <v>673</v>
      </c>
      <c r="E24" s="66">
        <v>46034</v>
      </c>
      <c r="F24" s="67">
        <v>6000</v>
      </c>
      <c r="G24" s="60" t="s">
        <v>715</v>
      </c>
      <c r="H24" s="60" t="s">
        <v>568</v>
      </c>
      <c r="I24" s="61"/>
      <c r="J24" s="61" t="s">
        <v>716</v>
      </c>
      <c r="K24" s="61"/>
      <c r="L24" s="73">
        <f t="shared" si="1"/>
        <v>46023</v>
      </c>
      <c r="M24" s="65" t="str">
        <f t="shared" ca="1" si="2"/>
        <v>UYGUN</v>
      </c>
      <c r="N24" s="74" t="str">
        <f>IF($C24="","",IF($C24="TANIMSIZ MÜŞTERİ","—",INDEX(MUSTERILER!$C$7:$C$156,MATCH($C24,MUSTERILER!$B$7:$B$156,0))))</f>
        <v>ZÜMRÜT EĞLENCE LTD.ŞTİ.</v>
      </c>
      <c r="O24" s="2"/>
      <c r="P24" s="2"/>
      <c r="Q24" s="1" t="str">
        <f>IF($D24="","",$C24&amp;"|"&amp;COUNTIFS($C$7:$C24,$C24))</f>
        <v>M004|1</v>
      </c>
      <c r="R24" s="1" t="str">
        <f t="shared" si="3"/>
        <v>ZUMRUTEGLENCELTDSTI</v>
      </c>
      <c r="S24" s="1" t="str">
        <f t="shared" si="4"/>
        <v>M004|46034|6000|</v>
      </c>
      <c r="T24" s="1">
        <f>IF($E24="",0,SUMPRODUCT((AY_SONU!$O$7:$O$42="Evet")*(AY_SONU!$B$7:$B$42=DATE(YEAR($E24),MONTH($E24),1))))</f>
        <v>0</v>
      </c>
    </row>
    <row r="25" spans="1:20" ht="18" customHeight="1" x14ac:dyDescent="0.3">
      <c r="A25" s="2"/>
      <c r="B25" s="65" t="str">
        <f t="shared" si="0"/>
        <v>T00019</v>
      </c>
      <c r="C25" s="65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M025</v>
      </c>
      <c r="D25" s="61" t="s">
        <v>579</v>
      </c>
      <c r="E25" s="66">
        <v>46039</v>
      </c>
      <c r="F25" s="67">
        <v>6000</v>
      </c>
      <c r="G25" s="60" t="s">
        <v>713</v>
      </c>
      <c r="H25" s="60" t="s">
        <v>568</v>
      </c>
      <c r="I25" s="61"/>
      <c r="J25" s="61" t="s">
        <v>717</v>
      </c>
      <c r="K25" s="61"/>
      <c r="L25" s="73">
        <f t="shared" si="1"/>
        <v>46023</v>
      </c>
      <c r="M25" s="65" t="str">
        <f t="shared" ca="1" si="2"/>
        <v>UYGUN</v>
      </c>
      <c r="N25" s="74" t="str">
        <f>IF($C25="","",IF($C25="TANIMSIZ MÜŞTERİ","—",INDEX(MUSTERILER!$C$7:$C$156,MATCH($C25,MUSTERILER!$B$7:$B$156,0))))</f>
        <v>ASIM AÇIKGÖZ</v>
      </c>
      <c r="O25" s="2"/>
      <c r="P25" s="2"/>
      <c r="Q25" s="1" t="str">
        <f>IF($D25="","",$C25&amp;"|"&amp;COUNTIFS($C$7:$C25,$C25))</f>
        <v>M025|1</v>
      </c>
      <c r="R25" s="1" t="str">
        <f t="shared" si="3"/>
        <v>ASIMACIKGOZ</v>
      </c>
      <c r="S25" s="1" t="str">
        <f t="shared" si="4"/>
        <v>M025|46039|6000|</v>
      </c>
      <c r="T25" s="1">
        <f>IF($E25="",0,SUMPRODUCT((AY_SONU!$O$7:$O$42="Evet")*(AY_SONU!$B$7:$B$42=DATE(YEAR($E25),MONTH($E25),1))))</f>
        <v>0</v>
      </c>
    </row>
    <row r="26" spans="1:20" ht="18" customHeight="1" x14ac:dyDescent="0.3">
      <c r="A26" s="2"/>
      <c r="B26" s="65" t="str">
        <f t="shared" si="0"/>
        <v>T00020</v>
      </c>
      <c r="C26" s="65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M017</v>
      </c>
      <c r="D26" s="61" t="s">
        <v>581</v>
      </c>
      <c r="E26" s="66">
        <v>46039</v>
      </c>
      <c r="F26" s="67">
        <v>5000</v>
      </c>
      <c r="G26" s="60" t="s">
        <v>713</v>
      </c>
      <c r="H26" s="60" t="s">
        <v>568</v>
      </c>
      <c r="I26" s="61"/>
      <c r="J26" s="61" t="s">
        <v>717</v>
      </c>
      <c r="K26" s="61"/>
      <c r="L26" s="73">
        <f t="shared" si="1"/>
        <v>46023</v>
      </c>
      <c r="M26" s="65" t="str">
        <f t="shared" ca="1" si="2"/>
        <v>UYGUN</v>
      </c>
      <c r="N26" s="74" t="str">
        <f>IF($C26="","",IF($C26="TANIMSIZ MÜŞTERİ","—",INDEX(MUSTERILER!$C$7:$C$156,MATCH($C26,MUSTERILER!$B$7:$B$156,0))))</f>
        <v>ASM EĞLENCE LTD.ŞTİ.</v>
      </c>
      <c r="O26" s="2"/>
      <c r="P26" s="2"/>
      <c r="Q26" s="1" t="str">
        <f>IF($D26="","",$C26&amp;"|"&amp;COUNTIFS($C$7:$C26,$C26))</f>
        <v>M017|1</v>
      </c>
      <c r="R26" s="1" t="str">
        <f t="shared" si="3"/>
        <v>ASMEGLENCELTDSTI</v>
      </c>
      <c r="S26" s="1" t="str">
        <f t="shared" si="4"/>
        <v>M017|46039|5000|</v>
      </c>
      <c r="T26" s="1">
        <f>IF($E26="",0,SUMPRODUCT((AY_SONU!$O$7:$O$42="Evet")*(AY_SONU!$B$7:$B$42=DATE(YEAR($E26),MONTH($E26),1))))</f>
        <v>0</v>
      </c>
    </row>
    <row r="27" spans="1:20" ht="18" customHeight="1" x14ac:dyDescent="0.3">
      <c r="A27" s="2"/>
      <c r="B27" s="65" t="str">
        <f t="shared" si="0"/>
        <v>T00021</v>
      </c>
      <c r="C27" s="65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61" t="s">
        <v>585</v>
      </c>
      <c r="E27" s="66">
        <v>46039</v>
      </c>
      <c r="F27" s="67">
        <v>3000</v>
      </c>
      <c r="G27" s="60" t="s">
        <v>713</v>
      </c>
      <c r="H27" s="60" t="s">
        <v>568</v>
      </c>
      <c r="I27" s="61"/>
      <c r="J27" s="61" t="s">
        <v>717</v>
      </c>
      <c r="K27" s="61"/>
      <c r="L27" s="73">
        <f t="shared" si="1"/>
        <v>46023</v>
      </c>
      <c r="M27" s="65" t="str">
        <f t="shared" ca="1" si="2"/>
        <v>UYGUN</v>
      </c>
      <c r="N27" s="74" t="str">
        <f>IF($C27="","",IF($C27="TANIMSIZ MÜŞTERİ","—",INDEX(MUSTERILER!$C$7:$C$156,MATCH($C27,MUSTERILER!$B$7:$B$156,0))))</f>
        <v>ÇAYIRALAN LTD.ŞTİ.</v>
      </c>
      <c r="O27" s="2"/>
      <c r="P27" s="2"/>
      <c r="Q27" s="1" t="str">
        <f>IF($D27="","",$C27&amp;"|"&amp;COUNTIFS($C$7:$C27,$C27))</f>
        <v>M015|2</v>
      </c>
      <c r="R27" s="1" t="str">
        <f t="shared" si="3"/>
        <v>CAYIRALANLTDSTI</v>
      </c>
      <c r="S27" s="1" t="str">
        <f t="shared" si="4"/>
        <v>M015|46039|3000|</v>
      </c>
      <c r="T27" s="1">
        <f>IF($E27="",0,SUMPRODUCT((AY_SONU!$O$7:$O$42="Evet")*(AY_SONU!$B$7:$B$42=DATE(YEAR($E27),MONTH($E27),1))))</f>
        <v>0</v>
      </c>
    </row>
    <row r="28" spans="1:20" ht="18" customHeight="1" x14ac:dyDescent="0.3">
      <c r="A28" s="2"/>
      <c r="B28" s="65" t="str">
        <f t="shared" si="0"/>
        <v>T00022</v>
      </c>
      <c r="C28" s="65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61" t="s">
        <v>607</v>
      </c>
      <c r="E28" s="66">
        <v>46039</v>
      </c>
      <c r="F28" s="67">
        <v>1500</v>
      </c>
      <c r="G28" s="60" t="s">
        <v>713</v>
      </c>
      <c r="H28" s="60" t="s">
        <v>568</v>
      </c>
      <c r="I28" s="61"/>
      <c r="J28" s="61" t="s">
        <v>717</v>
      </c>
      <c r="K28" s="61"/>
      <c r="L28" s="73">
        <f t="shared" si="1"/>
        <v>46023</v>
      </c>
      <c r="M28" s="65" t="str">
        <f t="shared" ca="1" si="2"/>
        <v>UYGUN</v>
      </c>
      <c r="N28" s="74" t="str">
        <f>IF($C28="","",IF($C28="TANIMSIZ MÜŞTERİ","—",INDEX(MUSTERILER!$C$7:$C$156,MATCH($C28,MUSTERILER!$B$7:$B$156,0))))</f>
        <v>İBRAHİM MALDAN</v>
      </c>
      <c r="O28" s="2"/>
      <c r="P28" s="2"/>
      <c r="Q28" s="1" t="str">
        <f>IF($D28="","",$C28&amp;"|"&amp;COUNTIFS($C$7:$C28,$C28))</f>
        <v>M034|2</v>
      </c>
      <c r="R28" s="1" t="str">
        <f t="shared" si="3"/>
        <v>IBRAHIMMALDAN</v>
      </c>
      <c r="S28" s="1" t="str">
        <f t="shared" si="4"/>
        <v>M034|46039|1500|</v>
      </c>
      <c r="T28" s="1">
        <f>IF($E28="",0,SUMPRODUCT((AY_SONU!$O$7:$O$42="Evet")*(AY_SONU!$B$7:$B$42=DATE(YEAR($E28),MONTH($E28),1))))</f>
        <v>0</v>
      </c>
    </row>
    <row r="29" spans="1:20" ht="18" customHeight="1" x14ac:dyDescent="0.3">
      <c r="A29" s="2"/>
      <c r="B29" s="65" t="str">
        <f t="shared" si="0"/>
        <v>T00023</v>
      </c>
      <c r="C29" s="65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M008</v>
      </c>
      <c r="D29" s="61" t="s">
        <v>617</v>
      </c>
      <c r="E29" s="66">
        <v>46039</v>
      </c>
      <c r="F29" s="67">
        <v>3500</v>
      </c>
      <c r="G29" s="60" t="s">
        <v>713</v>
      </c>
      <c r="H29" s="60" t="s">
        <v>568</v>
      </c>
      <c r="I29" s="61"/>
      <c r="J29" s="61" t="s">
        <v>717</v>
      </c>
      <c r="K29" s="61"/>
      <c r="L29" s="73">
        <f t="shared" si="1"/>
        <v>46023</v>
      </c>
      <c r="M29" s="65" t="str">
        <f t="shared" ca="1" si="2"/>
        <v>UYGUN</v>
      </c>
      <c r="N29" s="74" t="str">
        <f>IF($C29="","",IF($C29="TANIMSIZ MÜŞTERİ","—",INDEX(MUSTERILER!$C$7:$C$156,MATCH($C29,MUSTERILER!$B$7:$B$156,0))))</f>
        <v>KÖŞK YÜKSELEN LTD.ŞTİ.</v>
      </c>
      <c r="O29" s="2"/>
      <c r="P29" s="2"/>
      <c r="Q29" s="1" t="str">
        <f>IF($D29="","",$C29&amp;"|"&amp;COUNTIFS($C$7:$C29,$C29))</f>
        <v>M008|1</v>
      </c>
      <c r="R29" s="1" t="str">
        <f t="shared" si="3"/>
        <v>KOSKYUKSELENLTDSTI</v>
      </c>
      <c r="S29" s="1" t="str">
        <f t="shared" si="4"/>
        <v>M008|46039|3500|</v>
      </c>
      <c r="T29" s="1">
        <f>IF($E29="",0,SUMPRODUCT((AY_SONU!$O$7:$O$42="Evet")*(AY_SONU!$B$7:$B$42=DATE(YEAR($E29),MONTH($E29),1))))</f>
        <v>0</v>
      </c>
    </row>
    <row r="30" spans="1:20" ht="18" customHeight="1" x14ac:dyDescent="0.3">
      <c r="A30" s="2"/>
      <c r="B30" s="65" t="str">
        <f t="shared" si="0"/>
        <v>T00024</v>
      </c>
      <c r="C30" s="65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M007</v>
      </c>
      <c r="D30" s="61" t="s">
        <v>631</v>
      </c>
      <c r="E30" s="66">
        <v>46039</v>
      </c>
      <c r="F30" s="67">
        <v>2000</v>
      </c>
      <c r="G30" s="60" t="s">
        <v>713</v>
      </c>
      <c r="H30" s="60" t="s">
        <v>568</v>
      </c>
      <c r="I30" s="61"/>
      <c r="J30" s="61" t="s">
        <v>717</v>
      </c>
      <c r="K30" s="61"/>
      <c r="L30" s="73">
        <f t="shared" si="1"/>
        <v>46023</v>
      </c>
      <c r="M30" s="65" t="str">
        <f t="shared" ca="1" si="2"/>
        <v>UYGUN</v>
      </c>
      <c r="N30" s="74" t="str">
        <f>IF($C30="","",IF($C30="TANIMSIZ MÜŞTERİ","—",INDEX(MUSTERILER!$C$7:$C$156,MATCH($C30,MUSTERILER!$B$7:$B$156,0))))</f>
        <v>MONAMOUR LTD.ŞTİ.</v>
      </c>
      <c r="O30" s="2"/>
      <c r="P30" s="2"/>
      <c r="Q30" s="1" t="str">
        <f>IF($D30="","",$C30&amp;"|"&amp;COUNTIFS($C$7:$C30,$C30))</f>
        <v>M007|2</v>
      </c>
      <c r="R30" s="1" t="str">
        <f t="shared" si="3"/>
        <v>MONAMOURLTDSTI</v>
      </c>
      <c r="S30" s="1" t="str">
        <f t="shared" si="4"/>
        <v>M007|46039|2000|</v>
      </c>
      <c r="T30" s="1">
        <f>IF($E30="",0,SUMPRODUCT((AY_SONU!$O$7:$O$42="Evet")*(AY_SONU!$B$7:$B$42=DATE(YEAR($E30),MONTH($E30),1))))</f>
        <v>0</v>
      </c>
    </row>
    <row r="31" spans="1:20" ht="18" customHeight="1" x14ac:dyDescent="0.3">
      <c r="A31" s="2"/>
      <c r="B31" s="65" t="str">
        <f t="shared" si="0"/>
        <v>T00025</v>
      </c>
      <c r="C31" s="65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M007</v>
      </c>
      <c r="D31" s="61" t="s">
        <v>631</v>
      </c>
      <c r="E31" s="66">
        <v>46039</v>
      </c>
      <c r="F31" s="67">
        <v>3500</v>
      </c>
      <c r="G31" s="60" t="s">
        <v>713</v>
      </c>
      <c r="H31" s="60" t="s">
        <v>568</v>
      </c>
      <c r="I31" s="61"/>
      <c r="J31" s="61" t="s">
        <v>717</v>
      </c>
      <c r="K31" s="61"/>
      <c r="L31" s="73">
        <f t="shared" si="1"/>
        <v>46023</v>
      </c>
      <c r="M31" s="65" t="str">
        <f t="shared" ca="1" si="2"/>
        <v>UYGUN</v>
      </c>
      <c r="N31" s="74" t="str">
        <f>IF($C31="","",IF($C31="TANIMSIZ MÜŞTERİ","—",INDEX(MUSTERILER!$C$7:$C$156,MATCH($C31,MUSTERILER!$B$7:$B$156,0))))</f>
        <v>MONAMOUR LTD.ŞTİ.</v>
      </c>
      <c r="O31" s="2"/>
      <c r="P31" s="2"/>
      <c r="Q31" s="1" t="str">
        <f>IF($D31="","",$C31&amp;"|"&amp;COUNTIFS($C$7:$C31,$C31))</f>
        <v>M007|3</v>
      </c>
      <c r="R31" s="1" t="str">
        <f t="shared" si="3"/>
        <v>MONAMOURLTDSTI</v>
      </c>
      <c r="S31" s="1" t="str">
        <f t="shared" si="4"/>
        <v>M007|46039|3500|</v>
      </c>
      <c r="T31" s="1">
        <f>IF($E31="",0,SUMPRODUCT((AY_SONU!$O$7:$O$42="Evet")*(AY_SONU!$B$7:$B$42=DATE(YEAR($E31),MONTH($E31),1))))</f>
        <v>0</v>
      </c>
    </row>
    <row r="32" spans="1:20" ht="18" customHeight="1" x14ac:dyDescent="0.3">
      <c r="A32" s="2"/>
      <c r="B32" s="65" t="str">
        <f t="shared" si="0"/>
        <v>T00026</v>
      </c>
      <c r="C32" s="65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M013</v>
      </c>
      <c r="D32" s="61" t="s">
        <v>639</v>
      </c>
      <c r="E32" s="66">
        <v>46039</v>
      </c>
      <c r="F32" s="67">
        <v>2000</v>
      </c>
      <c r="G32" s="60" t="s">
        <v>713</v>
      </c>
      <c r="H32" s="60" t="s">
        <v>568</v>
      </c>
      <c r="I32" s="61"/>
      <c r="J32" s="61" t="s">
        <v>717</v>
      </c>
      <c r="K32" s="61"/>
      <c r="L32" s="73">
        <f t="shared" si="1"/>
        <v>46023</v>
      </c>
      <c r="M32" s="65" t="str">
        <f t="shared" ca="1" si="2"/>
        <v>UYGUN</v>
      </c>
      <c r="N32" s="74" t="str">
        <f>IF($C32="","",IF($C32="TANIMSIZ MÜŞTERİ","—",INDEX(MUSTERILER!$C$7:$C$156,MATCH($C32,MUSTERILER!$B$7:$B$156,0))))</f>
        <v>NAZ 1 GIDA LTD.ŞTİ.</v>
      </c>
      <c r="O32" s="2"/>
      <c r="P32" s="2"/>
      <c r="Q32" s="1" t="str">
        <f>IF($D32="","",$C32&amp;"|"&amp;COUNTIFS($C$7:$C32,$C32))</f>
        <v>M013|2</v>
      </c>
      <c r="R32" s="1" t="str">
        <f t="shared" si="3"/>
        <v>NAZ1GIDALTDSTI</v>
      </c>
      <c r="S32" s="1" t="str">
        <f t="shared" si="4"/>
        <v>M013|46039|2000|</v>
      </c>
      <c r="T32" s="1">
        <f>IF($E32="",0,SUMPRODUCT((AY_SONU!$O$7:$O$42="Evet")*(AY_SONU!$B$7:$B$42=DATE(YEAR($E32),MONTH($E32),1))))</f>
        <v>0</v>
      </c>
    </row>
    <row r="33" spans="1:20" ht="18" customHeight="1" x14ac:dyDescent="0.3">
      <c r="A33" s="2"/>
      <c r="B33" s="65" t="str">
        <f t="shared" si="0"/>
        <v>T00027</v>
      </c>
      <c r="C33" s="65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M016</v>
      </c>
      <c r="D33" s="61" t="s">
        <v>653</v>
      </c>
      <c r="E33" s="66">
        <v>46039</v>
      </c>
      <c r="F33" s="67">
        <v>2000</v>
      </c>
      <c r="G33" s="60" t="s">
        <v>713</v>
      </c>
      <c r="H33" s="60" t="s">
        <v>568</v>
      </c>
      <c r="I33" s="61"/>
      <c r="J33" s="61" t="s">
        <v>717</v>
      </c>
      <c r="K33" s="61"/>
      <c r="L33" s="73">
        <f t="shared" si="1"/>
        <v>46023</v>
      </c>
      <c r="M33" s="65" t="str">
        <f t="shared" ca="1" si="2"/>
        <v>UYGUN</v>
      </c>
      <c r="N33" s="74" t="str">
        <f>IF($C33="","",IF($C33="TANIMSIZ MÜŞTERİ","—",INDEX(MUSTERILER!$C$7:$C$156,MATCH($C33,MUSTERILER!$B$7:$B$156,0))))</f>
        <v>RİX ŞOW LTD.ŞTİ.</v>
      </c>
      <c r="O33" s="2"/>
      <c r="P33" s="2"/>
      <c r="Q33" s="1" t="str">
        <f>IF($D33="","",$C33&amp;"|"&amp;COUNTIFS($C$7:$C33,$C33))</f>
        <v>M016|3</v>
      </c>
      <c r="R33" s="1" t="str">
        <f t="shared" si="3"/>
        <v>RIXSOWLTDSTI</v>
      </c>
      <c r="S33" s="1" t="str">
        <f t="shared" si="4"/>
        <v>M016|46039|2000|</v>
      </c>
      <c r="T33" s="1">
        <f>IF($E33="",0,SUMPRODUCT((AY_SONU!$O$7:$O$42="Evet")*(AY_SONU!$B$7:$B$42=DATE(YEAR($E33),MONTH($E33),1))))</f>
        <v>0</v>
      </c>
    </row>
    <row r="34" spans="1:20" ht="18" customHeight="1" x14ac:dyDescent="0.3">
      <c r="A34" s="2"/>
      <c r="B34" s="65" t="str">
        <f t="shared" si="0"/>
        <v>T00028</v>
      </c>
      <c r="C34" s="65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M003</v>
      </c>
      <c r="D34" s="61" t="s">
        <v>661</v>
      </c>
      <c r="E34" s="66">
        <v>46039</v>
      </c>
      <c r="F34" s="67">
        <v>4000</v>
      </c>
      <c r="G34" s="60" t="s">
        <v>713</v>
      </c>
      <c r="H34" s="60" t="s">
        <v>568</v>
      </c>
      <c r="I34" s="61"/>
      <c r="J34" s="61" t="s">
        <v>717</v>
      </c>
      <c r="K34" s="61"/>
      <c r="L34" s="73">
        <f t="shared" si="1"/>
        <v>46023</v>
      </c>
      <c r="M34" s="65" t="str">
        <f t="shared" ca="1" si="2"/>
        <v>UYGUN</v>
      </c>
      <c r="N34" s="74" t="str">
        <f>IF($C34="","",IF($C34="TANIMSIZ MÜŞTERİ","—",INDEX(MUSTERILER!$C$7:$C$156,MATCH($C34,MUSTERILER!$B$7:$B$156,0))))</f>
        <v>TYANA LTD.ŞTİ.</v>
      </c>
      <c r="O34" s="2"/>
      <c r="P34" s="2"/>
      <c r="Q34" s="1" t="str">
        <f>IF($D34="","",$C34&amp;"|"&amp;COUNTIFS($C$7:$C34,$C34))</f>
        <v>M003|1</v>
      </c>
      <c r="R34" s="1" t="str">
        <f t="shared" si="3"/>
        <v>TYANALTDSTI</v>
      </c>
      <c r="S34" s="1" t="str">
        <f t="shared" si="4"/>
        <v>M003|46039|4000|</v>
      </c>
      <c r="T34" s="1">
        <f>IF($E34="",0,SUMPRODUCT((AY_SONU!$O$7:$O$42="Evet")*(AY_SONU!$B$7:$B$42=DATE(YEAR($E34),MONTH($E34),1))))</f>
        <v>0</v>
      </c>
    </row>
    <row r="35" spans="1:20" ht="18" customHeight="1" x14ac:dyDescent="0.3">
      <c r="A35" s="2"/>
      <c r="B35" s="65" t="str">
        <f t="shared" si="0"/>
        <v>T00029</v>
      </c>
      <c r="C35" s="65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M004</v>
      </c>
      <c r="D35" s="61" t="s">
        <v>673</v>
      </c>
      <c r="E35" s="66">
        <v>46039</v>
      </c>
      <c r="F35" s="67">
        <v>3000</v>
      </c>
      <c r="G35" s="60" t="s">
        <v>713</v>
      </c>
      <c r="H35" s="60" t="s">
        <v>568</v>
      </c>
      <c r="I35" s="61"/>
      <c r="J35" s="61" t="s">
        <v>717</v>
      </c>
      <c r="K35" s="61"/>
      <c r="L35" s="73">
        <f t="shared" si="1"/>
        <v>46023</v>
      </c>
      <c r="M35" s="65" t="str">
        <f t="shared" ca="1" si="2"/>
        <v>UYGUN</v>
      </c>
      <c r="N35" s="74" t="str">
        <f>IF($C35="","",IF($C35="TANIMSIZ MÜŞTERİ","—",INDEX(MUSTERILER!$C$7:$C$156,MATCH($C35,MUSTERILER!$B$7:$B$156,0))))</f>
        <v>ZÜMRÜT EĞLENCE LTD.ŞTİ.</v>
      </c>
      <c r="O35" s="2"/>
      <c r="P35" s="2"/>
      <c r="Q35" s="1" t="str">
        <f>IF($D35="","",$C35&amp;"|"&amp;COUNTIFS($C$7:$C35,$C35))</f>
        <v>M004|2</v>
      </c>
      <c r="R35" s="1" t="str">
        <f t="shared" si="3"/>
        <v>ZUMRUTEGLENCELTDSTI</v>
      </c>
      <c r="S35" s="1" t="str">
        <f t="shared" si="4"/>
        <v>M004|46039|3000|</v>
      </c>
      <c r="T35" s="1">
        <f>IF($E35="",0,SUMPRODUCT((AY_SONU!$O$7:$O$42="Evet")*(AY_SONU!$B$7:$B$42=DATE(YEAR($E35),MONTH($E35),1))))</f>
        <v>0</v>
      </c>
    </row>
    <row r="36" spans="1:20" ht="18" customHeight="1" x14ac:dyDescent="0.3">
      <c r="A36" s="2"/>
      <c r="B36" s="65" t="str">
        <f t="shared" si="0"/>
        <v>T00030</v>
      </c>
      <c r="C36" s="65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M020</v>
      </c>
      <c r="D36" s="61" t="s">
        <v>619</v>
      </c>
      <c r="E36" s="66">
        <v>46039</v>
      </c>
      <c r="F36" s="67">
        <v>6000</v>
      </c>
      <c r="G36" s="60" t="s">
        <v>713</v>
      </c>
      <c r="H36" s="60" t="s">
        <v>568</v>
      </c>
      <c r="I36" s="61"/>
      <c r="J36" s="61" t="s">
        <v>717</v>
      </c>
      <c r="K36" s="61"/>
      <c r="L36" s="73">
        <f t="shared" si="1"/>
        <v>46023</v>
      </c>
      <c r="M36" s="65" t="str">
        <f t="shared" ca="1" si="2"/>
        <v>UYGUN</v>
      </c>
      <c r="N36" s="74" t="str">
        <f>IF($C36="","",IF($C36="TANIMSIZ MÜŞTERİ","—",INDEX(MUSTERILER!$C$7:$C$156,MATCH($C36,MUSTERILER!$B$7:$B$156,0))))</f>
        <v>KRİSTAL LTD.ŞTİ.</v>
      </c>
      <c r="O36" s="2"/>
      <c r="P36" s="2"/>
      <c r="Q36" s="1" t="str">
        <f>IF($D36="","",$C36&amp;"|"&amp;COUNTIFS($C$7:$C36,$C36))</f>
        <v>M020|1</v>
      </c>
      <c r="R36" s="1" t="str">
        <f t="shared" si="3"/>
        <v>KRISTALLTDSTI</v>
      </c>
      <c r="S36" s="1" t="str">
        <f t="shared" si="4"/>
        <v>M020|46039|6000|</v>
      </c>
      <c r="T36" s="1">
        <f>IF($E36="",0,SUMPRODUCT((AY_SONU!$O$7:$O$42="Evet")*(AY_SONU!$B$7:$B$42=DATE(YEAR($E36),MONTH($E36),1))))</f>
        <v>0</v>
      </c>
    </row>
    <row r="37" spans="1:20" ht="18" customHeight="1" x14ac:dyDescent="0.3">
      <c r="A37" s="2"/>
      <c r="B37" s="65" t="str">
        <f t="shared" si="0"/>
        <v>T00031</v>
      </c>
      <c r="C37" s="65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M020</v>
      </c>
      <c r="D37" s="61" t="s">
        <v>619</v>
      </c>
      <c r="E37" s="66">
        <v>46039</v>
      </c>
      <c r="F37" s="67">
        <v>3000</v>
      </c>
      <c r="G37" s="60" t="s">
        <v>713</v>
      </c>
      <c r="H37" s="60" t="s">
        <v>568</v>
      </c>
      <c r="I37" s="61"/>
      <c r="J37" s="61" t="s">
        <v>717</v>
      </c>
      <c r="K37" s="61"/>
      <c r="L37" s="73">
        <f t="shared" si="1"/>
        <v>46023</v>
      </c>
      <c r="M37" s="65" t="str">
        <f t="shared" ca="1" si="2"/>
        <v>UYGUN</v>
      </c>
      <c r="N37" s="74" t="str">
        <f>IF($C37="","",IF($C37="TANIMSIZ MÜŞTERİ","—",INDEX(MUSTERILER!$C$7:$C$156,MATCH($C37,MUSTERILER!$B$7:$B$156,0))))</f>
        <v>KRİSTAL LTD.ŞTİ.</v>
      </c>
      <c r="O37" s="2"/>
      <c r="P37" s="2"/>
      <c r="Q37" s="1" t="str">
        <f>IF($D37="","",$C37&amp;"|"&amp;COUNTIFS($C$7:$C37,$C37))</f>
        <v>M020|2</v>
      </c>
      <c r="R37" s="1" t="str">
        <f t="shared" si="3"/>
        <v>KRISTALLTDSTI</v>
      </c>
      <c r="S37" s="1" t="str">
        <f t="shared" si="4"/>
        <v>M020|46039|3000|</v>
      </c>
      <c r="T37" s="1">
        <f>IF($E37="",0,SUMPRODUCT((AY_SONU!$O$7:$O$42="Evet")*(AY_SONU!$B$7:$B$42=DATE(YEAR($E37),MONTH($E37),1))))</f>
        <v>0</v>
      </c>
    </row>
    <row r="38" spans="1:20" ht="18" customHeight="1" x14ac:dyDescent="0.3">
      <c r="A38" s="2"/>
      <c r="B38" s="65" t="str">
        <f t="shared" si="0"/>
        <v>T00032</v>
      </c>
      <c r="C38" s="65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M011</v>
      </c>
      <c r="D38" s="61" t="s">
        <v>593</v>
      </c>
      <c r="E38" s="66">
        <v>46041</v>
      </c>
      <c r="F38" s="67">
        <v>3000</v>
      </c>
      <c r="G38" s="60" t="s">
        <v>713</v>
      </c>
      <c r="H38" s="60" t="s">
        <v>568</v>
      </c>
      <c r="I38" s="61"/>
      <c r="J38" s="61" t="s">
        <v>717</v>
      </c>
      <c r="K38" s="61"/>
      <c r="L38" s="73">
        <f t="shared" si="1"/>
        <v>46023</v>
      </c>
      <c r="M38" s="65" t="str">
        <f t="shared" ca="1" si="2"/>
        <v>UYGUN</v>
      </c>
      <c r="N38" s="74" t="str">
        <f>IF($C38="","",IF($C38="TANIMSIZ MÜŞTERİ","—",INDEX(MUSTERILER!$C$7:$C$156,MATCH($C38,MUSTERILER!$B$7:$B$156,0))))</f>
        <v>EĞLENGÖR LTD.ŞTİ.</v>
      </c>
      <c r="O38" s="2"/>
      <c r="P38" s="2"/>
      <c r="Q38" s="1" t="str">
        <f>IF($D38="","",$C38&amp;"|"&amp;COUNTIFS($C$7:$C38,$C38))</f>
        <v>M011|3</v>
      </c>
      <c r="R38" s="1" t="str">
        <f t="shared" si="3"/>
        <v>EGLENGORLTDSTI</v>
      </c>
      <c r="S38" s="1" t="str">
        <f t="shared" si="4"/>
        <v>M011|46041|3000|</v>
      </c>
      <c r="T38" s="1">
        <f>IF($E38="",0,SUMPRODUCT((AY_SONU!$O$7:$O$42="Evet")*(AY_SONU!$B$7:$B$42=DATE(YEAR($E38),MONTH($E38),1))))</f>
        <v>0</v>
      </c>
    </row>
    <row r="39" spans="1:20" ht="18" customHeight="1" x14ac:dyDescent="0.3">
      <c r="A39" s="2"/>
      <c r="B39" s="65" t="str">
        <f t="shared" si="0"/>
        <v>T00033</v>
      </c>
      <c r="C39" s="65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M014</v>
      </c>
      <c r="D39" s="61" t="s">
        <v>601</v>
      </c>
      <c r="E39" s="66">
        <v>46041</v>
      </c>
      <c r="F39" s="67">
        <v>2000</v>
      </c>
      <c r="G39" s="60" t="s">
        <v>713</v>
      </c>
      <c r="H39" s="60" t="s">
        <v>568</v>
      </c>
      <c r="I39" s="61"/>
      <c r="J39" s="61" t="s">
        <v>717</v>
      </c>
      <c r="K39" s="61"/>
      <c r="L39" s="73">
        <f t="shared" si="1"/>
        <v>46023</v>
      </c>
      <c r="M39" s="65" t="str">
        <f t="shared" ca="1" si="2"/>
        <v>UYGUN</v>
      </c>
      <c r="N39" s="74" t="str">
        <f>IF($C39="","",IF($C39="TANIMSIZ MÜŞTERİ","—",INDEX(MUSTERILER!$C$7:$C$156,MATCH($C39,MUSTERILER!$B$7:$B$156,0))))</f>
        <v>FİNAL SİYAH BEYAZ LTD.ŞTİ.</v>
      </c>
      <c r="O39" s="2"/>
      <c r="P39" s="2"/>
      <c r="Q39" s="1" t="str">
        <f>IF($D39="","",$C39&amp;"|"&amp;COUNTIFS($C$7:$C39,$C39))</f>
        <v>M014|2</v>
      </c>
      <c r="R39" s="1" t="str">
        <f t="shared" si="3"/>
        <v>FINALSIYAHBEYAZLTDSTI</v>
      </c>
      <c r="S39" s="1" t="str">
        <f t="shared" si="4"/>
        <v>M014|46041|2000|</v>
      </c>
      <c r="T39" s="1">
        <f>IF($E39="",0,SUMPRODUCT((AY_SONU!$O$7:$O$42="Evet")*(AY_SONU!$B$7:$B$42=DATE(YEAR($E39),MONTH($E39),1))))</f>
        <v>0</v>
      </c>
    </row>
    <row r="40" spans="1:20" ht="18" customHeight="1" x14ac:dyDescent="0.3">
      <c r="A40" s="2"/>
      <c r="B40" s="65" t="str">
        <f t="shared" si="0"/>
        <v>T00034</v>
      </c>
      <c r="C40" s="65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M009</v>
      </c>
      <c r="D40" s="61" t="s">
        <v>647</v>
      </c>
      <c r="E40" s="66">
        <v>46041</v>
      </c>
      <c r="F40" s="67">
        <v>4000</v>
      </c>
      <c r="G40" s="60" t="s">
        <v>713</v>
      </c>
      <c r="H40" s="60" t="s">
        <v>568</v>
      </c>
      <c r="I40" s="61"/>
      <c r="J40" s="61" t="s">
        <v>717</v>
      </c>
      <c r="K40" s="61"/>
      <c r="L40" s="73">
        <f t="shared" si="1"/>
        <v>46023</v>
      </c>
      <c r="M40" s="65" t="str">
        <f t="shared" ca="1" si="2"/>
        <v>UYGUN</v>
      </c>
      <c r="N40" s="74" t="str">
        <f>IF($C40="","",IF($C40="TANIMSIZ MÜŞTERİ","—",INDEX(MUSTERILER!$C$7:$C$156,MATCH($C40,MUSTERILER!$B$7:$B$156,0))))</f>
        <v>PAKYILDIZ LTD.ŞTİ.</v>
      </c>
      <c r="O40" s="2"/>
      <c r="P40" s="2"/>
      <c r="Q40" s="1" t="str">
        <f>IF($D40="","",$C40&amp;"|"&amp;COUNTIFS($C$7:$C40,$C40))</f>
        <v>M009|2</v>
      </c>
      <c r="R40" s="1" t="str">
        <f t="shared" si="3"/>
        <v>PAKYILDIZLTDSTI</v>
      </c>
      <c r="S40" s="1" t="str">
        <f t="shared" si="4"/>
        <v>M009|46041|4000|</v>
      </c>
      <c r="T40" s="1">
        <f>IF($E40="",0,SUMPRODUCT((AY_SONU!$O$7:$O$42="Evet")*(AY_SONU!$B$7:$B$42=DATE(YEAR($E40),MONTH($E40),1))))</f>
        <v>0</v>
      </c>
    </row>
    <row r="41" spans="1:20" ht="18" customHeight="1" x14ac:dyDescent="0.3">
      <c r="A41" s="2"/>
      <c r="B41" s="65" t="str">
        <f t="shared" si="0"/>
        <v>T00035</v>
      </c>
      <c r="C41" s="65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M005</v>
      </c>
      <c r="D41" s="61" t="s">
        <v>675</v>
      </c>
      <c r="E41" s="66">
        <v>46041</v>
      </c>
      <c r="F41" s="67">
        <v>1750</v>
      </c>
      <c r="G41" s="60" t="s">
        <v>713</v>
      </c>
      <c r="H41" s="60" t="s">
        <v>568</v>
      </c>
      <c r="I41" s="61"/>
      <c r="J41" s="61" t="s">
        <v>717</v>
      </c>
      <c r="K41" s="61"/>
      <c r="L41" s="73">
        <f t="shared" si="1"/>
        <v>46023</v>
      </c>
      <c r="M41" s="65" t="str">
        <f t="shared" ca="1" si="2"/>
        <v>UYGUN</v>
      </c>
      <c r="N41" s="74" t="str">
        <f>IF($C41="","",IF($C41="TANIMSIZ MÜŞTERİ","—",INDEX(MUSTERILER!$C$7:$C$156,MATCH($C41,MUSTERILER!$B$7:$B$156,0))))</f>
        <v>ZÜMRÜT GRUP LTD.ŞTİ.</v>
      </c>
      <c r="O41" s="2"/>
      <c r="P41" s="2"/>
      <c r="Q41" s="1" t="str">
        <f>IF($D41="","",$C41&amp;"|"&amp;COUNTIFS($C$7:$C41,$C41))</f>
        <v>M005|3</v>
      </c>
      <c r="R41" s="1" t="str">
        <f t="shared" si="3"/>
        <v>ZUMRUTGRUPLTDSTI</v>
      </c>
      <c r="S41" s="1" t="str">
        <f t="shared" si="4"/>
        <v>M005|46041|1750|</v>
      </c>
      <c r="T41" s="1">
        <f>IF($E41="",0,SUMPRODUCT((AY_SONU!$O$7:$O$42="Evet")*(AY_SONU!$B$7:$B$42=DATE(YEAR($E41),MONTH($E41),1))))</f>
        <v>0</v>
      </c>
    </row>
    <row r="42" spans="1:20" ht="18" customHeight="1" x14ac:dyDescent="0.3">
      <c r="A42" s="2"/>
      <c r="B42" s="65" t="str">
        <f t="shared" si="0"/>
        <v>T00036</v>
      </c>
      <c r="C42" s="65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M018</v>
      </c>
      <c r="D42" s="61" t="s">
        <v>589</v>
      </c>
      <c r="E42" s="66">
        <v>46043</v>
      </c>
      <c r="F42" s="67">
        <v>7500</v>
      </c>
      <c r="G42" s="60" t="s">
        <v>713</v>
      </c>
      <c r="H42" s="60" t="s">
        <v>568</v>
      </c>
      <c r="I42" s="61"/>
      <c r="J42" s="61" t="s">
        <v>717</v>
      </c>
      <c r="K42" s="61"/>
      <c r="L42" s="73">
        <f t="shared" si="1"/>
        <v>46023</v>
      </c>
      <c r="M42" s="65" t="str">
        <f t="shared" ca="1" si="2"/>
        <v>UYGUN</v>
      </c>
      <c r="N42" s="74" t="str">
        <f>IF($C42="","",IF($C42="TANIMSIZ MÜŞTERİ","—",INDEX(MUSTERILER!$C$7:$C$156,MATCH($C42,MUSTERILER!$B$7:$B$156,0))))</f>
        <v>ÇINARHAN LTD.ŞTİ.</v>
      </c>
      <c r="O42" s="2"/>
      <c r="P42" s="2"/>
      <c r="Q42" s="1" t="str">
        <f>IF($D42="","",$C42&amp;"|"&amp;COUNTIFS($C$7:$C42,$C42))</f>
        <v>M018|1</v>
      </c>
      <c r="R42" s="1" t="str">
        <f t="shared" si="3"/>
        <v>CINARHANLTDSTI</v>
      </c>
      <c r="S42" s="1" t="str">
        <f t="shared" si="4"/>
        <v>M018|46043|7500|</v>
      </c>
      <c r="T42" s="1">
        <f>IF($E42="",0,SUMPRODUCT((AY_SONU!$O$7:$O$42="Evet")*(AY_SONU!$B$7:$B$42=DATE(YEAR($E42),MONTH($E42),1))))</f>
        <v>0</v>
      </c>
    </row>
    <row r="43" spans="1:20" ht="18" customHeight="1" x14ac:dyDescent="0.3">
      <c r="A43" s="2"/>
      <c r="B43" s="65" t="str">
        <f t="shared" si="0"/>
        <v>T00037</v>
      </c>
      <c r="C43" s="65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M001</v>
      </c>
      <c r="D43" s="61" t="s">
        <v>17</v>
      </c>
      <c r="E43" s="66">
        <v>46046</v>
      </c>
      <c r="F43" s="67">
        <v>8000</v>
      </c>
      <c r="G43" s="60" t="s">
        <v>713</v>
      </c>
      <c r="H43" s="60" t="s">
        <v>568</v>
      </c>
      <c r="I43" s="61"/>
      <c r="J43" s="61" t="s">
        <v>717</v>
      </c>
      <c r="K43" s="61"/>
      <c r="L43" s="73">
        <f t="shared" si="1"/>
        <v>46023</v>
      </c>
      <c r="M43" s="65" t="str">
        <f t="shared" ca="1" si="2"/>
        <v>UYGUN</v>
      </c>
      <c r="N43" s="74" t="str">
        <f>IF($C43="","",IF($C43="TANIMSIZ MÜŞTERİ","—",INDEX(MUSTERILER!$C$7:$C$156,MATCH($C43,MUSTERILER!$B$7:$B$156,0))))</f>
        <v>ANKARA HAVANA LTD.ŞTİ.</v>
      </c>
      <c r="O43" s="2"/>
      <c r="P43" s="2"/>
      <c r="Q43" s="1" t="str">
        <f>IF($D43="","",$C43&amp;"|"&amp;COUNTIFS($C$7:$C43,$C43))</f>
        <v>M001|2</v>
      </c>
      <c r="R43" s="1" t="str">
        <f t="shared" si="3"/>
        <v>ANKARAHAVANALTDSTI</v>
      </c>
      <c r="S43" s="1" t="str">
        <f t="shared" si="4"/>
        <v>M001|46046|8000|</v>
      </c>
      <c r="T43" s="1">
        <f>IF($E43="",0,SUMPRODUCT((AY_SONU!$O$7:$O$42="Evet")*(AY_SONU!$B$7:$B$42=DATE(YEAR($E43),MONTH($E43),1))))</f>
        <v>0</v>
      </c>
    </row>
    <row r="44" spans="1:20" ht="18" customHeight="1" x14ac:dyDescent="0.3">
      <c r="A44" s="2"/>
      <c r="B44" s="65" t="str">
        <f t="shared" si="0"/>
        <v>T00038</v>
      </c>
      <c r="C44" s="65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M025</v>
      </c>
      <c r="D44" s="61" t="s">
        <v>579</v>
      </c>
      <c r="E44" s="66">
        <v>46046</v>
      </c>
      <c r="F44" s="67">
        <v>2000</v>
      </c>
      <c r="G44" s="60" t="s">
        <v>713</v>
      </c>
      <c r="H44" s="60" t="s">
        <v>568</v>
      </c>
      <c r="I44" s="61"/>
      <c r="J44" s="61" t="s">
        <v>717</v>
      </c>
      <c r="K44" s="61"/>
      <c r="L44" s="73">
        <f t="shared" si="1"/>
        <v>46023</v>
      </c>
      <c r="M44" s="65" t="str">
        <f t="shared" ca="1" si="2"/>
        <v>UYGUN</v>
      </c>
      <c r="N44" s="74" t="str">
        <f>IF($C44="","",IF($C44="TANIMSIZ MÜŞTERİ","—",INDEX(MUSTERILER!$C$7:$C$156,MATCH($C44,MUSTERILER!$B$7:$B$156,0))))</f>
        <v>ASIM AÇIKGÖZ</v>
      </c>
      <c r="O44" s="2"/>
      <c r="P44" s="2"/>
      <c r="Q44" s="1" t="str">
        <f>IF($D44="","",$C44&amp;"|"&amp;COUNTIFS($C$7:$C44,$C44))</f>
        <v>M025|2</v>
      </c>
      <c r="R44" s="1" t="str">
        <f t="shared" si="3"/>
        <v>ASIMACIKGOZ</v>
      </c>
      <c r="S44" s="1" t="str">
        <f t="shared" si="4"/>
        <v>M025|46046|2000|</v>
      </c>
      <c r="T44" s="1">
        <f>IF($E44="",0,SUMPRODUCT((AY_SONU!$O$7:$O$42="Evet")*(AY_SONU!$B$7:$B$42=DATE(YEAR($E44),MONTH($E44),1))))</f>
        <v>0</v>
      </c>
    </row>
    <row r="45" spans="1:20" ht="18" customHeight="1" x14ac:dyDescent="0.3">
      <c r="A45" s="2"/>
      <c r="B45" s="65" t="str">
        <f t="shared" si="0"/>
        <v>T00039</v>
      </c>
      <c r="C45" s="65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M017</v>
      </c>
      <c r="D45" s="61" t="s">
        <v>581</v>
      </c>
      <c r="E45" s="66">
        <v>46046</v>
      </c>
      <c r="F45" s="67">
        <v>2500</v>
      </c>
      <c r="G45" s="60" t="s">
        <v>713</v>
      </c>
      <c r="H45" s="60" t="s">
        <v>568</v>
      </c>
      <c r="I45" s="61"/>
      <c r="J45" s="61" t="s">
        <v>717</v>
      </c>
      <c r="K45" s="61"/>
      <c r="L45" s="73">
        <f t="shared" si="1"/>
        <v>46023</v>
      </c>
      <c r="M45" s="65" t="str">
        <f t="shared" ca="1" si="2"/>
        <v>UYGUN</v>
      </c>
      <c r="N45" s="74" t="str">
        <f>IF($C45="","",IF($C45="TANIMSIZ MÜŞTERİ","—",INDEX(MUSTERILER!$C$7:$C$156,MATCH($C45,MUSTERILER!$B$7:$B$156,0))))</f>
        <v>ASM EĞLENCE LTD.ŞTİ.</v>
      </c>
      <c r="O45" s="2"/>
      <c r="P45" s="2"/>
      <c r="Q45" s="1" t="str">
        <f>IF($D45="","",$C45&amp;"|"&amp;COUNTIFS($C$7:$C45,$C45))</f>
        <v>M017|2</v>
      </c>
      <c r="R45" s="1" t="str">
        <f t="shared" si="3"/>
        <v>ASMEGLENCELTDSTI</v>
      </c>
      <c r="S45" s="1" t="str">
        <f t="shared" si="4"/>
        <v>M017|46046|2500|</v>
      </c>
      <c r="T45" s="1">
        <f>IF($E45="",0,SUMPRODUCT((AY_SONU!$O$7:$O$42="Evet")*(AY_SONU!$B$7:$B$42=DATE(YEAR($E45),MONTH($E45),1))))</f>
        <v>0</v>
      </c>
    </row>
    <row r="46" spans="1:20" ht="18" customHeight="1" x14ac:dyDescent="0.3">
      <c r="A46" s="2"/>
      <c r="B46" s="65" t="str">
        <f t="shared" si="0"/>
        <v>T00040</v>
      </c>
      <c r="C46" s="65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M015</v>
      </c>
      <c r="D46" s="61" t="s">
        <v>585</v>
      </c>
      <c r="E46" s="66">
        <v>46046</v>
      </c>
      <c r="F46" s="67">
        <v>3000</v>
      </c>
      <c r="G46" s="60" t="s">
        <v>713</v>
      </c>
      <c r="H46" s="60" t="s">
        <v>568</v>
      </c>
      <c r="I46" s="61"/>
      <c r="J46" s="61" t="s">
        <v>717</v>
      </c>
      <c r="K46" s="61"/>
      <c r="L46" s="73">
        <f t="shared" si="1"/>
        <v>46023</v>
      </c>
      <c r="M46" s="65" t="str">
        <f t="shared" ca="1" si="2"/>
        <v>UYGUN</v>
      </c>
      <c r="N46" s="74" t="str">
        <f>IF($C46="","",IF($C46="TANIMSIZ MÜŞTERİ","—",INDEX(MUSTERILER!$C$7:$C$156,MATCH($C46,MUSTERILER!$B$7:$B$156,0))))</f>
        <v>ÇAYIRALAN LTD.ŞTİ.</v>
      </c>
      <c r="O46" s="2"/>
      <c r="P46" s="2"/>
      <c r="Q46" s="1" t="str">
        <f>IF($D46="","",$C46&amp;"|"&amp;COUNTIFS($C$7:$C46,$C46))</f>
        <v>M015|3</v>
      </c>
      <c r="R46" s="1" t="str">
        <f t="shared" si="3"/>
        <v>CAYIRALANLTDSTI</v>
      </c>
      <c r="S46" s="1" t="str">
        <f t="shared" si="4"/>
        <v>M015|46046|3000|</v>
      </c>
      <c r="T46" s="1">
        <f>IF($E46="",0,SUMPRODUCT((AY_SONU!$O$7:$O$42="Evet")*(AY_SONU!$B$7:$B$42=DATE(YEAR($E46),MONTH($E46),1))))</f>
        <v>0</v>
      </c>
    </row>
    <row r="47" spans="1:20" ht="18" customHeight="1" x14ac:dyDescent="0.3">
      <c r="A47" s="2"/>
      <c r="B47" s="65" t="str">
        <f t="shared" si="0"/>
        <v>T00041</v>
      </c>
      <c r="C47" s="65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M014</v>
      </c>
      <c r="D47" s="61" t="s">
        <v>601</v>
      </c>
      <c r="E47" s="66">
        <v>46046</v>
      </c>
      <c r="F47" s="67">
        <v>2000</v>
      </c>
      <c r="G47" s="60" t="s">
        <v>713</v>
      </c>
      <c r="H47" s="60" t="s">
        <v>568</v>
      </c>
      <c r="I47" s="61"/>
      <c r="J47" s="61" t="s">
        <v>717</v>
      </c>
      <c r="K47" s="61"/>
      <c r="L47" s="73">
        <f t="shared" si="1"/>
        <v>46023</v>
      </c>
      <c r="M47" s="65" t="str">
        <f t="shared" ca="1" si="2"/>
        <v>UYGUN</v>
      </c>
      <c r="N47" s="74" t="str">
        <f>IF($C47="","",IF($C47="TANIMSIZ MÜŞTERİ","—",INDEX(MUSTERILER!$C$7:$C$156,MATCH($C47,MUSTERILER!$B$7:$B$156,0))))</f>
        <v>FİNAL SİYAH BEYAZ LTD.ŞTİ.</v>
      </c>
      <c r="O47" s="2"/>
      <c r="P47" s="2"/>
      <c r="Q47" s="1" t="str">
        <f>IF($D47="","",$C47&amp;"|"&amp;COUNTIFS($C$7:$C47,$C47))</f>
        <v>M014|3</v>
      </c>
      <c r="R47" s="1" t="str">
        <f t="shared" si="3"/>
        <v>FINALSIYAHBEYAZLTDSTI</v>
      </c>
      <c r="S47" s="1" t="str">
        <f t="shared" si="4"/>
        <v>M014|46046|2000|</v>
      </c>
      <c r="T47" s="1">
        <f>IF($E47="",0,SUMPRODUCT((AY_SONU!$O$7:$O$42="Evet")*(AY_SONU!$B$7:$B$42=DATE(YEAR($E47),MONTH($E47),1))))</f>
        <v>0</v>
      </c>
    </row>
    <row r="48" spans="1:20" ht="18" customHeight="1" x14ac:dyDescent="0.3">
      <c r="A48" s="2"/>
      <c r="B48" s="65" t="str">
        <f t="shared" si="0"/>
        <v>T00042</v>
      </c>
      <c r="C48" s="65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M034</v>
      </c>
      <c r="D48" s="61" t="s">
        <v>607</v>
      </c>
      <c r="E48" s="66">
        <v>46046</v>
      </c>
      <c r="F48" s="67">
        <v>1500</v>
      </c>
      <c r="G48" s="60" t="s">
        <v>713</v>
      </c>
      <c r="H48" s="60" t="s">
        <v>568</v>
      </c>
      <c r="I48" s="61"/>
      <c r="J48" s="61" t="s">
        <v>717</v>
      </c>
      <c r="K48" s="61"/>
      <c r="L48" s="73">
        <f t="shared" si="1"/>
        <v>46023</v>
      </c>
      <c r="M48" s="65" t="str">
        <f t="shared" ca="1" si="2"/>
        <v>UYGUN</v>
      </c>
      <c r="N48" s="74" t="str">
        <f>IF($C48="","",IF($C48="TANIMSIZ MÜŞTERİ","—",INDEX(MUSTERILER!$C$7:$C$156,MATCH($C48,MUSTERILER!$B$7:$B$156,0))))</f>
        <v>İBRAHİM MALDAN</v>
      </c>
      <c r="O48" s="2"/>
      <c r="P48" s="2"/>
      <c r="Q48" s="1" t="str">
        <f>IF($D48="","",$C48&amp;"|"&amp;COUNTIFS($C$7:$C48,$C48))</f>
        <v>M034|3</v>
      </c>
      <c r="R48" s="1" t="str">
        <f t="shared" si="3"/>
        <v>IBRAHIMMALDAN</v>
      </c>
      <c r="S48" s="1" t="str">
        <f t="shared" si="4"/>
        <v>M034|46046|1500|</v>
      </c>
      <c r="T48" s="1">
        <f>IF($E48="",0,SUMPRODUCT((AY_SONU!$O$7:$O$42="Evet")*(AY_SONU!$B$7:$B$42=DATE(YEAR($E48),MONTH($E48),1))))</f>
        <v>0</v>
      </c>
    </row>
    <row r="49" spans="1:20" ht="18" customHeight="1" x14ac:dyDescent="0.3">
      <c r="A49" s="2"/>
      <c r="B49" s="65" t="str">
        <f t="shared" si="0"/>
        <v>T00043</v>
      </c>
      <c r="C49" s="65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M012</v>
      </c>
      <c r="D49" s="61" t="s">
        <v>609</v>
      </c>
      <c r="E49" s="66">
        <v>46046</v>
      </c>
      <c r="F49" s="67">
        <v>4000</v>
      </c>
      <c r="G49" s="60" t="s">
        <v>713</v>
      </c>
      <c r="H49" s="60" t="s">
        <v>568</v>
      </c>
      <c r="I49" s="61"/>
      <c r="J49" s="61" t="s">
        <v>717</v>
      </c>
      <c r="K49" s="61"/>
      <c r="L49" s="73">
        <f t="shared" si="1"/>
        <v>46023</v>
      </c>
      <c r="M49" s="65" t="str">
        <f t="shared" ca="1" si="2"/>
        <v>UYGUN</v>
      </c>
      <c r="N49" s="74" t="str">
        <f>IF($C49="","",IF($C49="TANIMSIZ MÜŞTERİ","—",INDEX(MUSTERILER!$C$7:$C$156,MATCH($C49,MUSTERILER!$B$7:$B$156,0))))</f>
        <v>İLDEŞ LTD.ŞTİ.</v>
      </c>
      <c r="O49" s="2"/>
      <c r="P49" s="2"/>
      <c r="Q49" s="1" t="str">
        <f>IF($D49="","",$C49&amp;"|"&amp;COUNTIFS($C$7:$C49,$C49))</f>
        <v>M012|2</v>
      </c>
      <c r="R49" s="1" t="str">
        <f t="shared" si="3"/>
        <v>ILDESLTDSTI</v>
      </c>
      <c r="S49" s="1" t="str">
        <f t="shared" si="4"/>
        <v>M012|46046|4000|</v>
      </c>
      <c r="T49" s="1">
        <f>IF($E49="",0,SUMPRODUCT((AY_SONU!$O$7:$O$42="Evet")*(AY_SONU!$B$7:$B$42=DATE(YEAR($E49),MONTH($E49),1))))</f>
        <v>0</v>
      </c>
    </row>
    <row r="50" spans="1:20" ht="18" customHeight="1" x14ac:dyDescent="0.3">
      <c r="A50" s="2"/>
      <c r="B50" s="65" t="str">
        <f t="shared" si="0"/>
        <v>T00044</v>
      </c>
      <c r="C50" s="65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M008</v>
      </c>
      <c r="D50" s="61" t="s">
        <v>617</v>
      </c>
      <c r="E50" s="66">
        <v>46046</v>
      </c>
      <c r="F50" s="67">
        <v>2500</v>
      </c>
      <c r="G50" s="60" t="s">
        <v>713</v>
      </c>
      <c r="H50" s="60" t="s">
        <v>568</v>
      </c>
      <c r="I50" s="61"/>
      <c r="J50" s="61" t="s">
        <v>717</v>
      </c>
      <c r="K50" s="61"/>
      <c r="L50" s="73">
        <f t="shared" si="1"/>
        <v>46023</v>
      </c>
      <c r="M50" s="65" t="str">
        <f t="shared" ca="1" si="2"/>
        <v>UYGUN</v>
      </c>
      <c r="N50" s="74" t="str">
        <f>IF($C50="","",IF($C50="TANIMSIZ MÜŞTERİ","—",INDEX(MUSTERILER!$C$7:$C$156,MATCH($C50,MUSTERILER!$B$7:$B$156,0))))</f>
        <v>KÖŞK YÜKSELEN LTD.ŞTİ.</v>
      </c>
      <c r="O50" s="2"/>
      <c r="P50" s="2"/>
      <c r="Q50" s="1" t="str">
        <f>IF($D50="","",$C50&amp;"|"&amp;COUNTIFS($C$7:$C50,$C50))</f>
        <v>M008|2</v>
      </c>
      <c r="R50" s="1" t="str">
        <f t="shared" si="3"/>
        <v>KOSKYUKSELENLTDSTI</v>
      </c>
      <c r="S50" s="1" t="str">
        <f t="shared" si="4"/>
        <v>M008|46046|2500|</v>
      </c>
      <c r="T50" s="1">
        <f>IF($E50="",0,SUMPRODUCT((AY_SONU!$O$7:$O$42="Evet")*(AY_SONU!$B$7:$B$42=DATE(YEAR($E50),MONTH($E50),1))))</f>
        <v>0</v>
      </c>
    </row>
    <row r="51" spans="1:20" ht="18" customHeight="1" x14ac:dyDescent="0.3">
      <c r="A51" s="2"/>
      <c r="B51" s="65" t="str">
        <f t="shared" si="0"/>
        <v>T00045</v>
      </c>
      <c r="C51" s="65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M007</v>
      </c>
      <c r="D51" s="61" t="s">
        <v>631</v>
      </c>
      <c r="E51" s="66">
        <v>46046</v>
      </c>
      <c r="F51" s="67">
        <v>3500</v>
      </c>
      <c r="G51" s="60" t="s">
        <v>713</v>
      </c>
      <c r="H51" s="60" t="s">
        <v>568</v>
      </c>
      <c r="I51" s="61"/>
      <c r="J51" s="61" t="s">
        <v>717</v>
      </c>
      <c r="K51" s="61"/>
      <c r="L51" s="73">
        <f t="shared" si="1"/>
        <v>46023</v>
      </c>
      <c r="M51" s="65" t="str">
        <f t="shared" ca="1" si="2"/>
        <v>UYGUN</v>
      </c>
      <c r="N51" s="74" t="str">
        <f>IF($C51="","",IF($C51="TANIMSIZ MÜŞTERİ","—",INDEX(MUSTERILER!$C$7:$C$156,MATCH($C51,MUSTERILER!$B$7:$B$156,0))))</f>
        <v>MONAMOUR LTD.ŞTİ.</v>
      </c>
      <c r="O51" s="2"/>
      <c r="P51" s="2"/>
      <c r="Q51" s="1" t="str">
        <f>IF($D51="","",$C51&amp;"|"&amp;COUNTIFS($C$7:$C51,$C51))</f>
        <v>M007|4</v>
      </c>
      <c r="R51" s="1" t="str">
        <f t="shared" si="3"/>
        <v>MONAMOURLTDSTI</v>
      </c>
      <c r="S51" s="1" t="str">
        <f t="shared" si="4"/>
        <v>M007|46046|3500|</v>
      </c>
      <c r="T51" s="1">
        <f>IF($E51="",0,SUMPRODUCT((AY_SONU!$O$7:$O$42="Evet")*(AY_SONU!$B$7:$B$42=DATE(YEAR($E51),MONTH($E51),1))))</f>
        <v>0</v>
      </c>
    </row>
    <row r="52" spans="1:20" ht="18" customHeight="1" x14ac:dyDescent="0.3">
      <c r="A52" s="2"/>
      <c r="B52" s="65" t="str">
        <f t="shared" si="0"/>
        <v>T00046</v>
      </c>
      <c r="C52" s="65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M013</v>
      </c>
      <c r="D52" s="61" t="s">
        <v>639</v>
      </c>
      <c r="E52" s="66">
        <v>46046</v>
      </c>
      <c r="F52" s="67">
        <v>2000</v>
      </c>
      <c r="G52" s="60" t="s">
        <v>713</v>
      </c>
      <c r="H52" s="60" t="s">
        <v>568</v>
      </c>
      <c r="I52" s="61"/>
      <c r="J52" s="61" t="s">
        <v>717</v>
      </c>
      <c r="K52" s="61"/>
      <c r="L52" s="73">
        <f t="shared" si="1"/>
        <v>46023</v>
      </c>
      <c r="M52" s="65" t="str">
        <f t="shared" ca="1" si="2"/>
        <v>UYGUN</v>
      </c>
      <c r="N52" s="74" t="str">
        <f>IF($C52="","",IF($C52="TANIMSIZ MÜŞTERİ","—",INDEX(MUSTERILER!$C$7:$C$156,MATCH($C52,MUSTERILER!$B$7:$B$156,0))))</f>
        <v>NAZ 1 GIDA LTD.ŞTİ.</v>
      </c>
      <c r="O52" s="2"/>
      <c r="P52" s="2"/>
      <c r="Q52" s="1" t="str">
        <f>IF($D52="","",$C52&amp;"|"&amp;COUNTIFS($C$7:$C52,$C52))</f>
        <v>M013|3</v>
      </c>
      <c r="R52" s="1" t="str">
        <f t="shared" si="3"/>
        <v>NAZ1GIDALTDSTI</v>
      </c>
      <c r="S52" s="1" t="str">
        <f t="shared" si="4"/>
        <v>M013|46046|2000|</v>
      </c>
      <c r="T52" s="1">
        <f>IF($E52="",0,SUMPRODUCT((AY_SONU!$O$7:$O$42="Evet")*(AY_SONU!$B$7:$B$42=DATE(YEAR($E52),MONTH($E52),1))))</f>
        <v>0</v>
      </c>
    </row>
    <row r="53" spans="1:20" ht="18" customHeight="1" x14ac:dyDescent="0.3">
      <c r="A53" s="2"/>
      <c r="B53" s="65" t="str">
        <f t="shared" si="0"/>
        <v>T00047</v>
      </c>
      <c r="C53" s="65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M010</v>
      </c>
      <c r="D53" s="61" t="s">
        <v>645</v>
      </c>
      <c r="E53" s="66">
        <v>46046</v>
      </c>
      <c r="F53" s="67">
        <v>2000</v>
      </c>
      <c r="G53" s="60" t="s">
        <v>713</v>
      </c>
      <c r="H53" s="60" t="s">
        <v>568</v>
      </c>
      <c r="I53" s="61"/>
      <c r="J53" s="61" t="s">
        <v>717</v>
      </c>
      <c r="K53" s="61"/>
      <c r="L53" s="73">
        <f t="shared" si="1"/>
        <v>46023</v>
      </c>
      <c r="M53" s="65" t="str">
        <f t="shared" ca="1" si="2"/>
        <v>UYGUN</v>
      </c>
      <c r="N53" s="74" t="str">
        <f>IF($C53="","",IF($C53="TANIMSIZ MÜŞTERİ","—",INDEX(MUSTERILER!$C$7:$C$156,MATCH($C53,MUSTERILER!$B$7:$B$156,0))))</f>
        <v>ÖZFİDANLAR LTD.ŞTİ.</v>
      </c>
      <c r="O53" s="2"/>
      <c r="P53" s="2"/>
      <c r="Q53" s="1" t="str">
        <f>IF($D53="","",$C53&amp;"|"&amp;COUNTIFS($C$7:$C53,$C53))</f>
        <v>M010|3</v>
      </c>
      <c r="R53" s="1" t="str">
        <f t="shared" si="3"/>
        <v>OZFIDANLARLTDSTI</v>
      </c>
      <c r="S53" s="1" t="str">
        <f t="shared" si="4"/>
        <v>M010|46046|2000|</v>
      </c>
      <c r="T53" s="1">
        <f>IF($E53="",0,SUMPRODUCT((AY_SONU!$O$7:$O$42="Evet")*(AY_SONU!$B$7:$B$42=DATE(YEAR($E53),MONTH($E53),1))))</f>
        <v>0</v>
      </c>
    </row>
    <row r="54" spans="1:20" ht="18" customHeight="1" x14ac:dyDescent="0.3">
      <c r="A54" s="2"/>
      <c r="B54" s="65" t="str">
        <f t="shared" si="0"/>
        <v>T00048</v>
      </c>
      <c r="C54" s="65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M009</v>
      </c>
      <c r="D54" s="61" t="s">
        <v>647</v>
      </c>
      <c r="E54" s="66">
        <v>46046</v>
      </c>
      <c r="F54" s="67">
        <v>2000</v>
      </c>
      <c r="G54" s="60" t="s">
        <v>713</v>
      </c>
      <c r="H54" s="60" t="s">
        <v>568</v>
      </c>
      <c r="I54" s="61"/>
      <c r="J54" s="61" t="s">
        <v>717</v>
      </c>
      <c r="K54" s="61"/>
      <c r="L54" s="73">
        <f t="shared" si="1"/>
        <v>46023</v>
      </c>
      <c r="M54" s="65" t="str">
        <f t="shared" ca="1" si="2"/>
        <v>UYGUN</v>
      </c>
      <c r="N54" s="74" t="str">
        <f>IF($C54="","",IF($C54="TANIMSIZ MÜŞTERİ","—",INDEX(MUSTERILER!$C$7:$C$156,MATCH($C54,MUSTERILER!$B$7:$B$156,0))))</f>
        <v>PAKYILDIZ LTD.ŞTİ.</v>
      </c>
      <c r="O54" s="2"/>
      <c r="P54" s="2"/>
      <c r="Q54" s="1" t="str">
        <f>IF($D54="","",$C54&amp;"|"&amp;COUNTIFS($C$7:$C54,$C54))</f>
        <v>M009|3</v>
      </c>
      <c r="R54" s="1" t="str">
        <f t="shared" si="3"/>
        <v>PAKYILDIZLTDSTI</v>
      </c>
      <c r="S54" s="1" t="str">
        <f t="shared" si="4"/>
        <v>M009|46046|2000|</v>
      </c>
      <c r="T54" s="1">
        <f>IF($E54="",0,SUMPRODUCT((AY_SONU!$O$7:$O$42="Evet")*(AY_SONU!$B$7:$B$42=DATE(YEAR($E54),MONTH($E54),1))))</f>
        <v>0</v>
      </c>
    </row>
    <row r="55" spans="1:20" ht="18" customHeight="1" x14ac:dyDescent="0.3">
      <c r="A55" s="2"/>
      <c r="B55" s="65" t="str">
        <f t="shared" si="0"/>
        <v>T00049</v>
      </c>
      <c r="C55" s="65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M016</v>
      </c>
      <c r="D55" s="61" t="s">
        <v>653</v>
      </c>
      <c r="E55" s="66">
        <v>46046</v>
      </c>
      <c r="F55" s="67">
        <v>2000</v>
      </c>
      <c r="G55" s="60" t="s">
        <v>713</v>
      </c>
      <c r="H55" s="60" t="s">
        <v>568</v>
      </c>
      <c r="I55" s="61"/>
      <c r="J55" s="61" t="s">
        <v>717</v>
      </c>
      <c r="K55" s="61"/>
      <c r="L55" s="73">
        <f t="shared" si="1"/>
        <v>46023</v>
      </c>
      <c r="M55" s="65" t="str">
        <f t="shared" ca="1" si="2"/>
        <v>UYGUN</v>
      </c>
      <c r="N55" s="74" t="str">
        <f>IF($C55="","",IF($C55="TANIMSIZ MÜŞTERİ","—",INDEX(MUSTERILER!$C$7:$C$156,MATCH($C55,MUSTERILER!$B$7:$B$156,0))))</f>
        <v>RİX ŞOW LTD.ŞTİ.</v>
      </c>
      <c r="O55" s="2"/>
      <c r="P55" s="2"/>
      <c r="Q55" s="1" t="str">
        <f>IF($D55="","",$C55&amp;"|"&amp;COUNTIFS($C$7:$C55,$C55))</f>
        <v>M016|4</v>
      </c>
      <c r="R55" s="1" t="str">
        <f t="shared" si="3"/>
        <v>RIXSOWLTDSTI</v>
      </c>
      <c r="S55" s="1" t="str">
        <f t="shared" si="4"/>
        <v>M016|46046|2000|</v>
      </c>
      <c r="T55" s="1">
        <f>IF($E55="",0,SUMPRODUCT((AY_SONU!$O$7:$O$42="Evet")*(AY_SONU!$B$7:$B$42=DATE(YEAR($E55),MONTH($E55),1))))</f>
        <v>0</v>
      </c>
    </row>
    <row r="56" spans="1:20" ht="18" customHeight="1" x14ac:dyDescent="0.3">
      <c r="A56" s="2"/>
      <c r="B56" s="65" t="str">
        <f t="shared" si="0"/>
        <v>T00050</v>
      </c>
      <c r="C56" s="65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M004</v>
      </c>
      <c r="D56" s="61" t="s">
        <v>673</v>
      </c>
      <c r="E56" s="66">
        <v>46046</v>
      </c>
      <c r="F56" s="67">
        <v>3000</v>
      </c>
      <c r="G56" s="60" t="s">
        <v>713</v>
      </c>
      <c r="H56" s="60" t="s">
        <v>568</v>
      </c>
      <c r="I56" s="61"/>
      <c r="J56" s="61" t="s">
        <v>717</v>
      </c>
      <c r="K56" s="61"/>
      <c r="L56" s="73">
        <f t="shared" si="1"/>
        <v>46023</v>
      </c>
      <c r="M56" s="65" t="str">
        <f t="shared" ca="1" si="2"/>
        <v>UYGUN</v>
      </c>
      <c r="N56" s="74" t="str">
        <f>IF($C56="","",IF($C56="TANIMSIZ MÜŞTERİ","—",INDEX(MUSTERILER!$C$7:$C$156,MATCH($C56,MUSTERILER!$B$7:$B$156,0))))</f>
        <v>ZÜMRÜT EĞLENCE LTD.ŞTİ.</v>
      </c>
      <c r="O56" s="2"/>
      <c r="P56" s="2"/>
      <c r="Q56" s="1" t="str">
        <f>IF($D56="","",$C56&amp;"|"&amp;COUNTIFS($C$7:$C56,$C56))</f>
        <v>M004|3</v>
      </c>
      <c r="R56" s="1" t="str">
        <f t="shared" si="3"/>
        <v>ZUMRUTEGLENCELTDSTI</v>
      </c>
      <c r="S56" s="1" t="str">
        <f t="shared" si="4"/>
        <v>M004|46046|3000|</v>
      </c>
      <c r="T56" s="1">
        <f>IF($E56="",0,SUMPRODUCT((AY_SONU!$O$7:$O$42="Evet")*(AY_SONU!$B$7:$B$42=DATE(YEAR($E56),MONTH($E56),1))))</f>
        <v>0</v>
      </c>
    </row>
    <row r="57" spans="1:20" ht="18" customHeight="1" x14ac:dyDescent="0.3">
      <c r="A57" s="2"/>
      <c r="B57" s="65" t="str">
        <f t="shared" si="0"/>
        <v>T00051</v>
      </c>
      <c r="C57" s="65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M005</v>
      </c>
      <c r="D57" s="61" t="s">
        <v>675</v>
      </c>
      <c r="E57" s="66">
        <v>46046</v>
      </c>
      <c r="F57" s="67">
        <v>1750</v>
      </c>
      <c r="G57" s="60" t="s">
        <v>713</v>
      </c>
      <c r="H57" s="60" t="s">
        <v>568</v>
      </c>
      <c r="I57" s="61"/>
      <c r="J57" s="61" t="s">
        <v>717</v>
      </c>
      <c r="K57" s="61"/>
      <c r="L57" s="73">
        <f t="shared" si="1"/>
        <v>46023</v>
      </c>
      <c r="M57" s="65" t="str">
        <f t="shared" ca="1" si="2"/>
        <v>UYGUN</v>
      </c>
      <c r="N57" s="74" t="str">
        <f>IF($C57="","",IF($C57="TANIMSIZ MÜŞTERİ","—",INDEX(MUSTERILER!$C$7:$C$156,MATCH($C57,MUSTERILER!$B$7:$B$156,0))))</f>
        <v>ZÜMRÜT GRUP LTD.ŞTİ.</v>
      </c>
      <c r="O57" s="2"/>
      <c r="P57" s="2"/>
      <c r="Q57" s="1" t="str">
        <f>IF($D57="","",$C57&amp;"|"&amp;COUNTIFS($C$7:$C57,$C57))</f>
        <v>M005|4</v>
      </c>
      <c r="R57" s="1" t="str">
        <f t="shared" si="3"/>
        <v>ZUMRUTGRUPLTDSTI</v>
      </c>
      <c r="S57" s="1" t="str">
        <f t="shared" si="4"/>
        <v>M005|46046|1750|</v>
      </c>
      <c r="T57" s="1">
        <f>IF($E57="",0,SUMPRODUCT((AY_SONU!$O$7:$O$42="Evet")*(AY_SONU!$B$7:$B$42=DATE(YEAR($E57),MONTH($E57),1))))</f>
        <v>0</v>
      </c>
    </row>
    <row r="58" spans="1:20" ht="18" customHeight="1" x14ac:dyDescent="0.3">
      <c r="A58" s="2"/>
      <c r="B58" s="65" t="str">
        <f t="shared" si="0"/>
        <v>T00052</v>
      </c>
      <c r="C58" s="65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M020</v>
      </c>
      <c r="D58" s="61" t="s">
        <v>619</v>
      </c>
      <c r="E58" s="66">
        <v>46046</v>
      </c>
      <c r="F58" s="67">
        <v>3000</v>
      </c>
      <c r="G58" s="60" t="s">
        <v>713</v>
      </c>
      <c r="H58" s="60" t="s">
        <v>568</v>
      </c>
      <c r="I58" s="61"/>
      <c r="J58" s="61" t="s">
        <v>717</v>
      </c>
      <c r="K58" s="61"/>
      <c r="L58" s="73">
        <f t="shared" si="1"/>
        <v>46023</v>
      </c>
      <c r="M58" s="65" t="str">
        <f t="shared" ca="1" si="2"/>
        <v>UYGUN</v>
      </c>
      <c r="N58" s="74" t="str">
        <f>IF($C58="","",IF($C58="TANIMSIZ MÜŞTERİ","—",INDEX(MUSTERILER!$C$7:$C$156,MATCH($C58,MUSTERILER!$B$7:$B$156,0))))</f>
        <v>KRİSTAL LTD.ŞTİ.</v>
      </c>
      <c r="O58" s="2"/>
      <c r="P58" s="2"/>
      <c r="Q58" s="1" t="str">
        <f>IF($D58="","",$C58&amp;"|"&amp;COUNTIFS($C$7:$C58,$C58))</f>
        <v>M020|3</v>
      </c>
      <c r="R58" s="1" t="str">
        <f t="shared" si="3"/>
        <v>KRISTALLTDSTI</v>
      </c>
      <c r="S58" s="1" t="str">
        <f t="shared" si="4"/>
        <v>M020|46046|3000|</v>
      </c>
      <c r="T58" s="1">
        <f>IF($E58="",0,SUMPRODUCT((AY_SONU!$O$7:$O$42="Evet")*(AY_SONU!$B$7:$B$42=DATE(YEAR($E58),MONTH($E58),1))))</f>
        <v>0</v>
      </c>
    </row>
    <row r="59" spans="1:20" ht="18" customHeight="1" x14ac:dyDescent="0.3">
      <c r="A59" s="2"/>
      <c r="B59" s="65" t="str">
        <f t="shared" si="0"/>
        <v>T00053</v>
      </c>
      <c r="C59" s="65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M018</v>
      </c>
      <c r="D59" s="61" t="s">
        <v>589</v>
      </c>
      <c r="E59" s="66">
        <v>46048</v>
      </c>
      <c r="F59" s="67">
        <v>2500</v>
      </c>
      <c r="G59" s="60" t="s">
        <v>713</v>
      </c>
      <c r="H59" s="60" t="s">
        <v>568</v>
      </c>
      <c r="I59" s="61"/>
      <c r="J59" s="61" t="s">
        <v>717</v>
      </c>
      <c r="K59" s="61"/>
      <c r="L59" s="73">
        <f t="shared" si="1"/>
        <v>46023</v>
      </c>
      <c r="M59" s="65" t="str">
        <f t="shared" ca="1" si="2"/>
        <v>UYGUN</v>
      </c>
      <c r="N59" s="74" t="str">
        <f>IF($C59="","",IF($C59="TANIMSIZ MÜŞTERİ","—",INDEX(MUSTERILER!$C$7:$C$156,MATCH($C59,MUSTERILER!$B$7:$B$156,0))))</f>
        <v>ÇINARHAN LTD.ŞTİ.</v>
      </c>
      <c r="O59" s="2"/>
      <c r="P59" s="2"/>
      <c r="Q59" s="1" t="str">
        <f>IF($D59="","",$C59&amp;"|"&amp;COUNTIFS($C$7:$C59,$C59))</f>
        <v>M018|2</v>
      </c>
      <c r="R59" s="1" t="str">
        <f t="shared" si="3"/>
        <v>CINARHANLTDSTI</v>
      </c>
      <c r="S59" s="1" t="str">
        <f t="shared" si="4"/>
        <v>M018|46048|2500|</v>
      </c>
      <c r="T59" s="1">
        <f>IF($E59="",0,SUMPRODUCT((AY_SONU!$O$7:$O$42="Evet")*(AY_SONU!$B$7:$B$42=DATE(YEAR($E59),MONTH($E59),1))))</f>
        <v>0</v>
      </c>
    </row>
    <row r="60" spans="1:20" ht="18" customHeight="1" x14ac:dyDescent="0.3">
      <c r="A60" s="2"/>
      <c r="B60" s="65" t="str">
        <f t="shared" si="0"/>
        <v>T00054</v>
      </c>
      <c r="C60" s="65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M019</v>
      </c>
      <c r="D60" s="61" t="s">
        <v>566</v>
      </c>
      <c r="E60" s="66">
        <v>46049</v>
      </c>
      <c r="F60" s="67">
        <v>1000</v>
      </c>
      <c r="G60" s="60" t="s">
        <v>713</v>
      </c>
      <c r="H60" s="60" t="s">
        <v>568</v>
      </c>
      <c r="I60" s="61"/>
      <c r="J60" s="61" t="s">
        <v>717</v>
      </c>
      <c r="K60" s="61"/>
      <c r="L60" s="73">
        <f t="shared" si="1"/>
        <v>46023</v>
      </c>
      <c r="M60" s="65" t="str">
        <f t="shared" ca="1" si="2"/>
        <v>UYGUN</v>
      </c>
      <c r="N60" s="74" t="str">
        <f>IF($C60="","",IF($C60="TANIMSIZ MÜŞTERİ","—",INDEX(MUSTERILER!$C$7:$C$156,MATCH($C60,MUSTERILER!$B$7:$B$156,0))))</f>
        <v>AC OTEL LTD.ŞTİ.</v>
      </c>
      <c r="O60" s="2"/>
      <c r="P60" s="2"/>
      <c r="Q60" s="1" t="str">
        <f>IF($D60="","",$C60&amp;"|"&amp;COUNTIFS($C$7:$C60,$C60))</f>
        <v>M019|1</v>
      </c>
      <c r="R60" s="1" t="str">
        <f t="shared" si="3"/>
        <v>ACOTELLTDSTI</v>
      </c>
      <c r="S60" s="1" t="str">
        <f t="shared" si="4"/>
        <v>M019|46049|1000|</v>
      </c>
      <c r="T60" s="1">
        <f>IF($E60="",0,SUMPRODUCT((AY_SONU!$O$7:$O$42="Evet")*(AY_SONU!$B$7:$B$42=DATE(YEAR($E60),MONTH($E60),1))))</f>
        <v>0</v>
      </c>
    </row>
    <row r="61" spans="1:20" ht="18" customHeight="1" x14ac:dyDescent="0.3">
      <c r="A61" s="2"/>
      <c r="B61" s="65" t="str">
        <f t="shared" si="0"/>
        <v>T00055</v>
      </c>
      <c r="C61" s="65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M023</v>
      </c>
      <c r="D61" s="61" t="s">
        <v>572</v>
      </c>
      <c r="E61" s="66">
        <v>46053</v>
      </c>
      <c r="F61" s="67">
        <v>12000</v>
      </c>
      <c r="G61" s="60" t="s">
        <v>715</v>
      </c>
      <c r="H61" s="60" t="s">
        <v>568</v>
      </c>
      <c r="I61" s="61"/>
      <c r="J61" s="61" t="s">
        <v>718</v>
      </c>
      <c r="K61" s="61"/>
      <c r="L61" s="73">
        <f t="shared" si="1"/>
        <v>46023</v>
      </c>
      <c r="M61" s="65" t="str">
        <f t="shared" ca="1" si="2"/>
        <v>UYGUN</v>
      </c>
      <c r="N61" s="74" t="str">
        <f>IF($C61="","",IF($C61="TANIMSIZ MÜŞTERİ","—",INDEX(MUSTERILER!$C$7:$C$156,MATCH($C61,MUSTERILER!$B$7:$B$156,0))))</f>
        <v>ALTINEL LTD.ŞTİ.</v>
      </c>
      <c r="O61" s="2"/>
      <c r="P61" s="2"/>
      <c r="Q61" s="1" t="str">
        <f>IF($D61="","",$C61&amp;"|"&amp;COUNTIFS($C$7:$C61,$C61))</f>
        <v>M023|1</v>
      </c>
      <c r="R61" s="1" t="str">
        <f t="shared" si="3"/>
        <v>ALTINELLTDSTI</v>
      </c>
      <c r="S61" s="1" t="str">
        <f t="shared" si="4"/>
        <v>M023|46053|12000|</v>
      </c>
      <c r="T61" s="1">
        <f>IF($E61="",0,SUMPRODUCT((AY_SONU!$O$7:$O$42="Evet")*(AY_SONU!$B$7:$B$42=DATE(YEAR($E61),MONTH($E61),1))))</f>
        <v>0</v>
      </c>
    </row>
    <row r="62" spans="1:20" ht="18" customHeight="1" x14ac:dyDescent="0.3">
      <c r="A62" s="2"/>
      <c r="B62" s="65" t="str">
        <f t="shared" si="0"/>
        <v>T00056</v>
      </c>
      <c r="C62" s="65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M001</v>
      </c>
      <c r="D62" s="61" t="s">
        <v>17</v>
      </c>
      <c r="E62" s="66">
        <v>46053</v>
      </c>
      <c r="F62" s="67">
        <v>8000</v>
      </c>
      <c r="G62" s="60" t="s">
        <v>713</v>
      </c>
      <c r="H62" s="60" t="s">
        <v>568</v>
      </c>
      <c r="I62" s="61"/>
      <c r="J62" s="61" t="s">
        <v>717</v>
      </c>
      <c r="K62" s="61"/>
      <c r="L62" s="73">
        <f t="shared" si="1"/>
        <v>46023</v>
      </c>
      <c r="M62" s="65" t="str">
        <f t="shared" ca="1" si="2"/>
        <v>UYGUN</v>
      </c>
      <c r="N62" s="74" t="str">
        <f>IF($C62="","",IF($C62="TANIMSIZ MÜŞTERİ","—",INDEX(MUSTERILER!$C$7:$C$156,MATCH($C62,MUSTERILER!$B$7:$B$156,0))))</f>
        <v>ANKARA HAVANA LTD.ŞTİ.</v>
      </c>
      <c r="O62" s="2"/>
      <c r="P62" s="2"/>
      <c r="Q62" s="1" t="str">
        <f>IF($D62="","",$C62&amp;"|"&amp;COUNTIFS($C$7:$C62,$C62))</f>
        <v>M001|3</v>
      </c>
      <c r="R62" s="1" t="str">
        <f t="shared" si="3"/>
        <v>ANKARAHAVANALTDSTI</v>
      </c>
      <c r="S62" s="1" t="str">
        <f t="shared" si="4"/>
        <v>M001|46053|8000|</v>
      </c>
      <c r="T62" s="1">
        <f>IF($E62="",0,SUMPRODUCT((AY_SONU!$O$7:$O$42="Evet")*(AY_SONU!$B$7:$B$42=DATE(YEAR($E62),MONTH($E62),1))))</f>
        <v>0</v>
      </c>
    </row>
    <row r="63" spans="1:20" ht="18" customHeight="1" x14ac:dyDescent="0.3">
      <c r="A63" s="2"/>
      <c r="B63" s="65" t="str">
        <f t="shared" si="0"/>
        <v>T00057</v>
      </c>
      <c r="C63" s="65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M024</v>
      </c>
      <c r="D63" s="61" t="s">
        <v>575</v>
      </c>
      <c r="E63" s="66">
        <v>46053</v>
      </c>
      <c r="F63" s="67">
        <v>3000</v>
      </c>
      <c r="G63" s="60" t="s">
        <v>715</v>
      </c>
      <c r="H63" s="60" t="s">
        <v>568</v>
      </c>
      <c r="I63" s="61"/>
      <c r="J63" s="61" t="s">
        <v>716</v>
      </c>
      <c r="K63" s="61"/>
      <c r="L63" s="73">
        <f t="shared" si="1"/>
        <v>46023</v>
      </c>
      <c r="M63" s="65" t="str">
        <f t="shared" ca="1" si="2"/>
        <v>UYGUN</v>
      </c>
      <c r="N63" s="74" t="str">
        <f>IF($C63="","",IF($C63="TANIMSIZ MÜŞTERİ","—",INDEX(MUSTERILER!$C$7:$C$156,MATCH($C63,MUSTERILER!$B$7:$B$156,0))))</f>
        <v>ARMAN DİK</v>
      </c>
      <c r="O63" s="2"/>
      <c r="P63" s="2"/>
      <c r="Q63" s="1" t="str">
        <f>IF($D63="","",$C63&amp;"|"&amp;COUNTIFS($C$7:$C63,$C63))</f>
        <v>M024|1</v>
      </c>
      <c r="R63" s="1" t="str">
        <f t="shared" si="3"/>
        <v>ARMANDIK</v>
      </c>
      <c r="S63" s="1" t="str">
        <f t="shared" si="4"/>
        <v>M024|46053|3000|</v>
      </c>
      <c r="T63" s="1">
        <f>IF($E63="",0,SUMPRODUCT((AY_SONU!$O$7:$O$42="Evet")*(AY_SONU!$B$7:$B$42=DATE(YEAR($E63),MONTH($E63),1))))</f>
        <v>0</v>
      </c>
    </row>
    <row r="64" spans="1:20" ht="18" customHeight="1" x14ac:dyDescent="0.3">
      <c r="A64" s="2"/>
      <c r="B64" s="65" t="str">
        <f t="shared" si="0"/>
        <v>T00058</v>
      </c>
      <c r="C64" s="65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M021</v>
      </c>
      <c r="D64" s="61" t="s">
        <v>577</v>
      </c>
      <c r="E64" s="66">
        <v>46053</v>
      </c>
      <c r="F64" s="67">
        <v>20000</v>
      </c>
      <c r="G64" s="60" t="s">
        <v>715</v>
      </c>
      <c r="H64" s="60" t="s">
        <v>568</v>
      </c>
      <c r="I64" s="61"/>
      <c r="J64" s="61" t="s">
        <v>719</v>
      </c>
      <c r="K64" s="61"/>
      <c r="L64" s="73">
        <f t="shared" si="1"/>
        <v>46023</v>
      </c>
      <c r="M64" s="65" t="str">
        <f t="shared" ca="1" si="2"/>
        <v>UYGUN</v>
      </c>
      <c r="N64" s="74" t="str">
        <f>IF($C64="","",IF($C64="TANIMSIZ MÜŞTERİ","—",INDEX(MUSTERILER!$C$7:$C$156,MATCH($C64,MUSTERILER!$B$7:$B$156,0))))</f>
        <v>ARON TOPTAN LTD.ŞTİ.</v>
      </c>
      <c r="O64" s="2"/>
      <c r="P64" s="2"/>
      <c r="Q64" s="1" t="str">
        <f>IF($D64="","",$C64&amp;"|"&amp;COUNTIFS($C$7:$C64,$C64))</f>
        <v>M021|1</v>
      </c>
      <c r="R64" s="1" t="str">
        <f t="shared" si="3"/>
        <v>ARONTOPTANLTDSTI</v>
      </c>
      <c r="S64" s="1" t="str">
        <f t="shared" si="4"/>
        <v>M021|46053|20000|</v>
      </c>
      <c r="T64" s="1">
        <f>IF($E64="",0,SUMPRODUCT((AY_SONU!$O$7:$O$42="Evet")*(AY_SONU!$B$7:$B$42=DATE(YEAR($E64),MONTH($E64),1))))</f>
        <v>0</v>
      </c>
    </row>
    <row r="65" spans="1:20" ht="18" customHeight="1" x14ac:dyDescent="0.3">
      <c r="A65" s="2"/>
      <c r="B65" s="65" t="str">
        <f t="shared" si="0"/>
        <v>T00059</v>
      </c>
      <c r="C65" s="65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M025</v>
      </c>
      <c r="D65" s="61" t="s">
        <v>579</v>
      </c>
      <c r="E65" s="66">
        <v>46053</v>
      </c>
      <c r="F65" s="67">
        <v>2000</v>
      </c>
      <c r="G65" s="60" t="s">
        <v>713</v>
      </c>
      <c r="H65" s="60" t="s">
        <v>568</v>
      </c>
      <c r="I65" s="61"/>
      <c r="J65" s="61" t="s">
        <v>717</v>
      </c>
      <c r="K65" s="61"/>
      <c r="L65" s="73">
        <f t="shared" si="1"/>
        <v>46023</v>
      </c>
      <c r="M65" s="65" t="str">
        <f t="shared" ca="1" si="2"/>
        <v>UYGUN</v>
      </c>
      <c r="N65" s="74" t="str">
        <f>IF($C65="","",IF($C65="TANIMSIZ MÜŞTERİ","—",INDEX(MUSTERILER!$C$7:$C$156,MATCH($C65,MUSTERILER!$B$7:$B$156,0))))</f>
        <v>ASIM AÇIKGÖZ</v>
      </c>
      <c r="O65" s="2"/>
      <c r="P65" s="2"/>
      <c r="Q65" s="1" t="str">
        <f>IF($D65="","",$C65&amp;"|"&amp;COUNTIFS($C$7:$C65,$C65))</f>
        <v>M025|3</v>
      </c>
      <c r="R65" s="1" t="str">
        <f t="shared" si="3"/>
        <v>ASIMACIKGOZ</v>
      </c>
      <c r="S65" s="1" t="str">
        <f t="shared" si="4"/>
        <v>M025|46053|2000|</v>
      </c>
      <c r="T65" s="1">
        <f>IF($E65="",0,SUMPRODUCT((AY_SONU!$O$7:$O$42="Evet")*(AY_SONU!$B$7:$B$42=DATE(YEAR($E65),MONTH($E65),1))))</f>
        <v>0</v>
      </c>
    </row>
    <row r="66" spans="1:20" ht="18" customHeight="1" x14ac:dyDescent="0.3">
      <c r="A66" s="2"/>
      <c r="B66" s="65" t="str">
        <f t="shared" si="0"/>
        <v>T00060</v>
      </c>
      <c r="C66" s="65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M017</v>
      </c>
      <c r="D66" s="61" t="s">
        <v>581</v>
      </c>
      <c r="E66" s="66">
        <v>46053</v>
      </c>
      <c r="F66" s="67">
        <v>2500</v>
      </c>
      <c r="G66" s="60" t="s">
        <v>713</v>
      </c>
      <c r="H66" s="60" t="s">
        <v>568</v>
      </c>
      <c r="I66" s="61"/>
      <c r="J66" s="61" t="s">
        <v>717</v>
      </c>
      <c r="K66" s="61"/>
      <c r="L66" s="73">
        <f t="shared" si="1"/>
        <v>46023</v>
      </c>
      <c r="M66" s="65" t="str">
        <f t="shared" ca="1" si="2"/>
        <v>UYGUN</v>
      </c>
      <c r="N66" s="74" t="str">
        <f>IF($C66="","",IF($C66="TANIMSIZ MÜŞTERİ","—",INDEX(MUSTERILER!$C$7:$C$156,MATCH($C66,MUSTERILER!$B$7:$B$156,0))))</f>
        <v>ASM EĞLENCE LTD.ŞTİ.</v>
      </c>
      <c r="O66" s="2"/>
      <c r="P66" s="2"/>
      <c r="Q66" s="1" t="str">
        <f>IF($D66="","",$C66&amp;"|"&amp;COUNTIFS($C$7:$C66,$C66))</f>
        <v>M017|3</v>
      </c>
      <c r="R66" s="1" t="str">
        <f t="shared" si="3"/>
        <v>ASMEGLENCELTDSTI</v>
      </c>
      <c r="S66" s="1" t="str">
        <f t="shared" si="4"/>
        <v>M017|46053|2500|</v>
      </c>
      <c r="T66" s="1">
        <f>IF($E66="",0,SUMPRODUCT((AY_SONU!$O$7:$O$42="Evet")*(AY_SONU!$B$7:$B$42=DATE(YEAR($E66),MONTH($E66),1))))</f>
        <v>0</v>
      </c>
    </row>
    <row r="67" spans="1:20" ht="18" customHeight="1" x14ac:dyDescent="0.3">
      <c r="A67" s="2"/>
      <c r="B67" s="65" t="str">
        <f t="shared" si="0"/>
        <v>T00061</v>
      </c>
      <c r="C67" s="65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M015</v>
      </c>
      <c r="D67" s="61" t="s">
        <v>585</v>
      </c>
      <c r="E67" s="66">
        <v>46053</v>
      </c>
      <c r="F67" s="67">
        <v>3000</v>
      </c>
      <c r="G67" s="60" t="s">
        <v>713</v>
      </c>
      <c r="H67" s="60" t="s">
        <v>568</v>
      </c>
      <c r="I67" s="61"/>
      <c r="J67" s="61" t="s">
        <v>717</v>
      </c>
      <c r="K67" s="61"/>
      <c r="L67" s="73">
        <f t="shared" si="1"/>
        <v>46023</v>
      </c>
      <c r="M67" s="65" t="str">
        <f t="shared" ca="1" si="2"/>
        <v>UYGUN</v>
      </c>
      <c r="N67" s="74" t="str">
        <f>IF($C67="","",IF($C67="TANIMSIZ MÜŞTERİ","—",INDEX(MUSTERILER!$C$7:$C$156,MATCH($C67,MUSTERILER!$B$7:$B$156,0))))</f>
        <v>ÇAYIRALAN LTD.ŞTİ.</v>
      </c>
      <c r="O67" s="2"/>
      <c r="P67" s="2"/>
      <c r="Q67" s="1" t="str">
        <f>IF($D67="","",$C67&amp;"|"&amp;COUNTIFS($C$7:$C67,$C67))</f>
        <v>M015|4</v>
      </c>
      <c r="R67" s="1" t="str">
        <f t="shared" si="3"/>
        <v>CAYIRALANLTDSTI</v>
      </c>
      <c r="S67" s="1" t="str">
        <f t="shared" si="4"/>
        <v>M015|46053|3000|</v>
      </c>
      <c r="T67" s="1">
        <f>IF($E67="",0,SUMPRODUCT((AY_SONU!$O$7:$O$42="Evet")*(AY_SONU!$B$7:$B$42=DATE(YEAR($E67),MONTH($E67),1))))</f>
        <v>0</v>
      </c>
    </row>
    <row r="68" spans="1:20" ht="18" customHeight="1" x14ac:dyDescent="0.3">
      <c r="A68" s="2"/>
      <c r="B68" s="65" t="str">
        <f t="shared" si="0"/>
        <v>T00062</v>
      </c>
      <c r="C68" s="65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M018</v>
      </c>
      <c r="D68" s="61" t="s">
        <v>589</v>
      </c>
      <c r="E68" s="66">
        <v>46053</v>
      </c>
      <c r="F68" s="67">
        <v>2500</v>
      </c>
      <c r="G68" s="60" t="s">
        <v>715</v>
      </c>
      <c r="H68" s="60" t="s">
        <v>568</v>
      </c>
      <c r="I68" s="61"/>
      <c r="J68" s="61" t="s">
        <v>716</v>
      </c>
      <c r="K68" s="61"/>
      <c r="L68" s="73">
        <f t="shared" si="1"/>
        <v>46023</v>
      </c>
      <c r="M68" s="65" t="str">
        <f t="shared" ca="1" si="2"/>
        <v>UYGUN</v>
      </c>
      <c r="N68" s="74" t="str">
        <f>IF($C68="","",IF($C68="TANIMSIZ MÜŞTERİ","—",INDEX(MUSTERILER!$C$7:$C$156,MATCH($C68,MUSTERILER!$B$7:$B$156,0))))</f>
        <v>ÇINARHAN LTD.ŞTİ.</v>
      </c>
      <c r="O68" s="2"/>
      <c r="P68" s="2"/>
      <c r="Q68" s="1" t="str">
        <f>IF($D68="","",$C68&amp;"|"&amp;COUNTIFS($C$7:$C68,$C68))</f>
        <v>M018|3</v>
      </c>
      <c r="R68" s="1" t="str">
        <f t="shared" si="3"/>
        <v>CINARHANLTDSTI</v>
      </c>
      <c r="S68" s="1" t="str">
        <f t="shared" si="4"/>
        <v>M018|46053|2500|</v>
      </c>
      <c r="T68" s="1">
        <f>IF($E68="",0,SUMPRODUCT((AY_SONU!$O$7:$O$42="Evet")*(AY_SONU!$B$7:$B$42=DATE(YEAR($E68),MONTH($E68),1))))</f>
        <v>0</v>
      </c>
    </row>
    <row r="69" spans="1:20" ht="18" customHeight="1" x14ac:dyDescent="0.3">
      <c r="A69" s="2"/>
      <c r="B69" s="65" t="str">
        <f t="shared" si="0"/>
        <v>T00063</v>
      </c>
      <c r="C69" s="65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M011</v>
      </c>
      <c r="D69" s="61" t="s">
        <v>593</v>
      </c>
      <c r="E69" s="66">
        <v>46053</v>
      </c>
      <c r="F69" s="67">
        <v>6000</v>
      </c>
      <c r="G69" s="60" t="s">
        <v>715</v>
      </c>
      <c r="H69" s="60" t="s">
        <v>568</v>
      </c>
      <c r="I69" s="61"/>
      <c r="J69" s="61" t="s">
        <v>716</v>
      </c>
      <c r="K69" s="61"/>
      <c r="L69" s="73">
        <f t="shared" si="1"/>
        <v>46023</v>
      </c>
      <c r="M69" s="65" t="str">
        <f t="shared" ca="1" si="2"/>
        <v>UYGUN</v>
      </c>
      <c r="N69" s="74" t="str">
        <f>IF($C69="","",IF($C69="TANIMSIZ MÜŞTERİ","—",INDEX(MUSTERILER!$C$7:$C$156,MATCH($C69,MUSTERILER!$B$7:$B$156,0))))</f>
        <v>EĞLENGÖR LTD.ŞTİ.</v>
      </c>
      <c r="O69" s="2"/>
      <c r="P69" s="2"/>
      <c r="Q69" s="1" t="str">
        <f>IF($D69="","",$C69&amp;"|"&amp;COUNTIFS($C$7:$C69,$C69))</f>
        <v>M011|4</v>
      </c>
      <c r="R69" s="1" t="str">
        <f t="shared" si="3"/>
        <v>EGLENGORLTDSTI</v>
      </c>
      <c r="S69" s="1" t="str">
        <f t="shared" si="4"/>
        <v>M011|46053|6000|</v>
      </c>
      <c r="T69" s="1">
        <f>IF($E69="",0,SUMPRODUCT((AY_SONU!$O$7:$O$42="Evet")*(AY_SONU!$B$7:$B$42=DATE(YEAR($E69),MONTH($E69),1))))</f>
        <v>0</v>
      </c>
    </row>
    <row r="70" spans="1:20" ht="18" customHeight="1" x14ac:dyDescent="0.3">
      <c r="A70" s="2"/>
      <c r="B70" s="65" t="str">
        <f t="shared" si="0"/>
        <v>T00064</v>
      </c>
      <c r="C70" s="65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M014</v>
      </c>
      <c r="D70" s="61" t="s">
        <v>601</v>
      </c>
      <c r="E70" s="66">
        <v>46053</v>
      </c>
      <c r="F70" s="67">
        <v>2000</v>
      </c>
      <c r="G70" s="60" t="s">
        <v>713</v>
      </c>
      <c r="H70" s="60" t="s">
        <v>568</v>
      </c>
      <c r="I70" s="61"/>
      <c r="J70" s="61" t="s">
        <v>717</v>
      </c>
      <c r="K70" s="61"/>
      <c r="L70" s="73">
        <f t="shared" si="1"/>
        <v>46023</v>
      </c>
      <c r="M70" s="65" t="str">
        <f t="shared" ca="1" si="2"/>
        <v>UYGUN</v>
      </c>
      <c r="N70" s="74" t="str">
        <f>IF($C70="","",IF($C70="TANIMSIZ MÜŞTERİ","—",INDEX(MUSTERILER!$C$7:$C$156,MATCH($C70,MUSTERILER!$B$7:$B$156,0))))</f>
        <v>FİNAL SİYAH BEYAZ LTD.ŞTİ.</v>
      </c>
      <c r="O70" s="2"/>
      <c r="P70" s="2"/>
      <c r="Q70" s="1" t="str">
        <f>IF($D70="","",$C70&amp;"|"&amp;COUNTIFS($C$7:$C70,$C70))</f>
        <v>M014|4</v>
      </c>
      <c r="R70" s="1" t="str">
        <f t="shared" si="3"/>
        <v>FINALSIYAHBEYAZLTDSTI</v>
      </c>
      <c r="S70" s="1" t="str">
        <f t="shared" si="4"/>
        <v>M014|46053|2000|</v>
      </c>
      <c r="T70" s="1">
        <f>IF($E70="",0,SUMPRODUCT((AY_SONU!$O$7:$O$42="Evet")*(AY_SONU!$B$7:$B$42=DATE(YEAR($E70),MONTH($E70),1))))</f>
        <v>0</v>
      </c>
    </row>
    <row r="71" spans="1:20" ht="18" customHeight="1" x14ac:dyDescent="0.3">
      <c r="A71" s="2"/>
      <c r="B71" s="65" t="str">
        <f t="shared" ref="B71:B134" si="5">IF($D71="","","T"&amp;TEXT(ROW()-6,"00000"))</f>
        <v>T00065</v>
      </c>
      <c r="C71" s="65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M034</v>
      </c>
      <c r="D71" s="61" t="s">
        <v>607</v>
      </c>
      <c r="E71" s="66">
        <v>46053</v>
      </c>
      <c r="F71" s="67">
        <v>1500</v>
      </c>
      <c r="G71" s="60" t="s">
        <v>713</v>
      </c>
      <c r="H71" s="60" t="s">
        <v>568</v>
      </c>
      <c r="I71" s="61"/>
      <c r="J71" s="61" t="s">
        <v>717</v>
      </c>
      <c r="K71" s="61"/>
      <c r="L71" s="73">
        <f t="shared" ref="L71:L134" si="6">IF($E71="","",DATE(YEAR($E71),MONTH($E71),1))</f>
        <v>46023</v>
      </c>
      <c r="M71" s="65" t="str">
        <f t="shared" ref="M71:M134" ca="1" si="7">IF($D71="","",IF($C71="TANIMSIZ MÜŞTERİ","HATA",IF(OR($E71="",$F71&lt;=0,$G71=""),"EKSİK",IF($E71&gt;TODAY(),"İLERİ TARİH",IF(COUNTIF($S$7:$S$2506,$S71)&gt;1,"MÜKERRER?",IF($T71&gt;0,"KAPALI DÖNEM","UYGUN"))))))</f>
        <v>UYGUN</v>
      </c>
      <c r="N71" s="74" t="str">
        <f>IF($C71="","",IF($C71="TANIMSIZ MÜŞTERİ","—",INDEX(MUSTERILER!$C$7:$C$156,MATCH($C71,MUSTERILER!$B$7:$B$156,0))))</f>
        <v>İBRAHİM MALDAN</v>
      </c>
      <c r="O71" s="2"/>
      <c r="P71" s="2"/>
      <c r="Q71" s="1" t="str">
        <f>IF($D71="","",$C71&amp;"|"&amp;COUNTIFS($C$7:$C71,$C71))</f>
        <v>M034|4</v>
      </c>
      <c r="R71" s="1" t="str">
        <f t="shared" ref="R71:R134" si="8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IBRAHIMMALDAN</v>
      </c>
      <c r="S71" s="1" t="str">
        <f t="shared" ref="S71:S134" si="9">IF($D71="","",$C71&amp;"|"&amp;TEXT($E71,"0")&amp;"|"&amp;TEXT($F71,"0")&amp;"|"&amp;$I71)</f>
        <v>M034|46053|1500|</v>
      </c>
      <c r="T71" s="1">
        <f>IF($E71="",0,SUMPRODUCT((AY_SONU!$O$7:$O$42="Evet")*(AY_SONU!$B$7:$B$42=DATE(YEAR($E71),MONTH($E71),1))))</f>
        <v>0</v>
      </c>
    </row>
    <row r="72" spans="1:20" ht="18" customHeight="1" x14ac:dyDescent="0.3">
      <c r="A72" s="2"/>
      <c r="B72" s="65" t="str">
        <f t="shared" si="5"/>
        <v>T00066</v>
      </c>
      <c r="C72" s="65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M012</v>
      </c>
      <c r="D72" s="61" t="s">
        <v>609</v>
      </c>
      <c r="E72" s="66">
        <v>46053</v>
      </c>
      <c r="F72" s="67">
        <v>2000</v>
      </c>
      <c r="G72" s="60" t="s">
        <v>713</v>
      </c>
      <c r="H72" s="60" t="s">
        <v>568</v>
      </c>
      <c r="I72" s="61"/>
      <c r="J72" s="61" t="s">
        <v>717</v>
      </c>
      <c r="K72" s="61"/>
      <c r="L72" s="73">
        <f t="shared" si="6"/>
        <v>46023</v>
      </c>
      <c r="M72" s="65" t="str">
        <f t="shared" ca="1" si="7"/>
        <v>UYGUN</v>
      </c>
      <c r="N72" s="74" t="str">
        <f>IF($C72="","",IF($C72="TANIMSIZ MÜŞTERİ","—",INDEX(MUSTERILER!$C$7:$C$156,MATCH($C72,MUSTERILER!$B$7:$B$156,0))))</f>
        <v>İLDEŞ LTD.ŞTİ.</v>
      </c>
      <c r="O72" s="2"/>
      <c r="P72" s="2"/>
      <c r="Q72" s="1" t="str">
        <f>IF($D72="","",$C72&amp;"|"&amp;COUNTIFS($C$7:$C72,$C72))</f>
        <v>M012|3</v>
      </c>
      <c r="R72" s="1" t="str">
        <f t="shared" si="8"/>
        <v>ILDESLTDSTI</v>
      </c>
      <c r="S72" s="1" t="str">
        <f t="shared" si="9"/>
        <v>M012|46053|2000|</v>
      </c>
      <c r="T72" s="1">
        <f>IF($E72="",0,SUMPRODUCT((AY_SONU!$O$7:$O$42="Evet")*(AY_SONU!$B$7:$B$42=DATE(YEAR($E72),MONTH($E72),1))))</f>
        <v>0</v>
      </c>
    </row>
    <row r="73" spans="1:20" ht="18" customHeight="1" x14ac:dyDescent="0.3">
      <c r="A73" s="2"/>
      <c r="B73" s="65" t="str">
        <f t="shared" si="5"/>
        <v>T00067</v>
      </c>
      <c r="C73" s="65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M037</v>
      </c>
      <c r="D73" s="61" t="s">
        <v>621</v>
      </c>
      <c r="E73" s="66">
        <v>46053</v>
      </c>
      <c r="F73" s="67">
        <v>2000</v>
      </c>
      <c r="G73" s="60" t="s">
        <v>715</v>
      </c>
      <c r="H73" s="60" t="s">
        <v>568</v>
      </c>
      <c r="I73" s="61"/>
      <c r="J73" s="61" t="s">
        <v>716</v>
      </c>
      <c r="K73" s="61"/>
      <c r="L73" s="73">
        <f t="shared" si="6"/>
        <v>46023</v>
      </c>
      <c r="M73" s="65" t="str">
        <f t="shared" ca="1" si="7"/>
        <v>UYGUN</v>
      </c>
      <c r="N73" s="74" t="str">
        <f>IF($C73="","",IF($C73="TANIMSIZ MÜŞTERİ","—",INDEX(MUSTERILER!$C$7:$C$156,MATCH($C73,MUSTERILER!$B$7:$B$156,0))))</f>
        <v>MEHMET EVREN KILINÇ</v>
      </c>
      <c r="O73" s="2"/>
      <c r="P73" s="2"/>
      <c r="Q73" s="1" t="str">
        <f>IF($D73="","",$C73&amp;"|"&amp;COUNTIFS($C$7:$C73,$C73))</f>
        <v>M037|1</v>
      </c>
      <c r="R73" s="1" t="str">
        <f t="shared" si="8"/>
        <v>MEHMETEVRENKILINC</v>
      </c>
      <c r="S73" s="1" t="str">
        <f t="shared" si="9"/>
        <v>M037|46053|2000|</v>
      </c>
      <c r="T73" s="1">
        <f>IF($E73="",0,SUMPRODUCT((AY_SONU!$O$7:$O$42="Evet")*(AY_SONU!$B$7:$B$42=DATE(YEAR($E73),MONTH($E73),1))))</f>
        <v>0</v>
      </c>
    </row>
    <row r="74" spans="1:20" ht="18" customHeight="1" x14ac:dyDescent="0.3">
      <c r="A74" s="2"/>
      <c r="B74" s="65" t="str">
        <f t="shared" si="5"/>
        <v>T00068</v>
      </c>
      <c r="C74" s="65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M013</v>
      </c>
      <c r="D74" s="61" t="s">
        <v>639</v>
      </c>
      <c r="E74" s="66">
        <v>46053</v>
      </c>
      <c r="F74" s="67">
        <v>2000</v>
      </c>
      <c r="G74" s="60" t="s">
        <v>715</v>
      </c>
      <c r="H74" s="60" t="s">
        <v>568</v>
      </c>
      <c r="I74" s="61"/>
      <c r="J74" s="61" t="s">
        <v>716</v>
      </c>
      <c r="K74" s="61"/>
      <c r="L74" s="73">
        <f t="shared" si="6"/>
        <v>46023</v>
      </c>
      <c r="M74" s="65" t="str">
        <f t="shared" ca="1" si="7"/>
        <v>UYGUN</v>
      </c>
      <c r="N74" s="74" t="str">
        <f>IF($C74="","",IF($C74="TANIMSIZ MÜŞTERİ","—",INDEX(MUSTERILER!$C$7:$C$156,MATCH($C74,MUSTERILER!$B$7:$B$156,0))))</f>
        <v>NAZ 1 GIDA LTD.ŞTİ.</v>
      </c>
      <c r="O74" s="2"/>
      <c r="P74" s="2"/>
      <c r="Q74" s="1" t="str">
        <f>IF($D74="","",$C74&amp;"|"&amp;COUNTIFS($C$7:$C74,$C74))</f>
        <v>M013|4</v>
      </c>
      <c r="R74" s="1" t="str">
        <f t="shared" si="8"/>
        <v>NAZ1GIDALTDSTI</v>
      </c>
      <c r="S74" s="1" t="str">
        <f t="shared" si="9"/>
        <v>M013|46053|2000|</v>
      </c>
      <c r="T74" s="1">
        <f>IF($E74="",0,SUMPRODUCT((AY_SONU!$O$7:$O$42="Evet")*(AY_SONU!$B$7:$B$42=DATE(YEAR($E74),MONTH($E74),1))))</f>
        <v>0</v>
      </c>
    </row>
    <row r="75" spans="1:20" ht="18" customHeight="1" x14ac:dyDescent="0.3">
      <c r="A75" s="2"/>
      <c r="B75" s="65" t="str">
        <f t="shared" si="5"/>
        <v>T00069</v>
      </c>
      <c r="C75" s="65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M045</v>
      </c>
      <c r="D75" s="61" t="s">
        <v>641</v>
      </c>
      <c r="E75" s="66">
        <v>46053</v>
      </c>
      <c r="F75" s="67">
        <v>7500</v>
      </c>
      <c r="G75" s="60" t="s">
        <v>715</v>
      </c>
      <c r="H75" s="60" t="s">
        <v>568</v>
      </c>
      <c r="I75" s="61"/>
      <c r="J75" s="61" t="s">
        <v>716</v>
      </c>
      <c r="K75" s="61"/>
      <c r="L75" s="73">
        <f t="shared" si="6"/>
        <v>46023</v>
      </c>
      <c r="M75" s="65" t="str">
        <f t="shared" ca="1" si="7"/>
        <v>UYGUN</v>
      </c>
      <c r="N75" s="74" t="str">
        <f>IF($C75="","",IF($C75="TANIMSIZ MÜŞTERİ","—",INDEX(MUSTERILER!$C$7:$C$156,MATCH($C75,MUSTERILER!$B$7:$B$156,0))))</f>
        <v>NERO E TİCARET LTD.ŞTİ.</v>
      </c>
      <c r="O75" s="2"/>
      <c r="P75" s="2"/>
      <c r="Q75" s="1" t="str">
        <f>IF($D75="","",$C75&amp;"|"&amp;COUNTIFS($C$7:$C75,$C75))</f>
        <v>M045|1</v>
      </c>
      <c r="R75" s="1" t="str">
        <f t="shared" si="8"/>
        <v>NEROETICARETLTDSTI</v>
      </c>
      <c r="S75" s="1" t="str">
        <f t="shared" si="9"/>
        <v>M045|46053|7500|</v>
      </c>
      <c r="T75" s="1">
        <f>IF($E75="",0,SUMPRODUCT((AY_SONU!$O$7:$O$42="Evet")*(AY_SONU!$B$7:$B$42=DATE(YEAR($E75),MONTH($E75),1))))</f>
        <v>0</v>
      </c>
    </row>
    <row r="76" spans="1:20" ht="18" customHeight="1" x14ac:dyDescent="0.3">
      <c r="A76" s="2"/>
      <c r="B76" s="65" t="str">
        <f t="shared" si="5"/>
        <v>T00070</v>
      </c>
      <c r="C76" s="65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M010</v>
      </c>
      <c r="D76" s="61" t="s">
        <v>645</v>
      </c>
      <c r="E76" s="66">
        <v>46053</v>
      </c>
      <c r="F76" s="67">
        <v>8000</v>
      </c>
      <c r="G76" s="60" t="s">
        <v>713</v>
      </c>
      <c r="H76" s="60" t="s">
        <v>568</v>
      </c>
      <c r="I76" s="61"/>
      <c r="J76" s="61" t="s">
        <v>720</v>
      </c>
      <c r="K76" s="61"/>
      <c r="L76" s="73">
        <f t="shared" si="6"/>
        <v>46023</v>
      </c>
      <c r="M76" s="65" t="str">
        <f t="shared" ca="1" si="7"/>
        <v>UYGUN</v>
      </c>
      <c r="N76" s="74" t="str">
        <f>IF($C76="","",IF($C76="TANIMSIZ MÜŞTERİ","—",INDEX(MUSTERILER!$C$7:$C$156,MATCH($C76,MUSTERILER!$B$7:$B$156,0))))</f>
        <v>ÖZFİDANLAR LTD.ŞTİ.</v>
      </c>
      <c r="O76" s="2"/>
      <c r="P76" s="2"/>
      <c r="Q76" s="1" t="str">
        <f>IF($D76="","",$C76&amp;"|"&amp;COUNTIFS($C$7:$C76,$C76))</f>
        <v>M010|4</v>
      </c>
      <c r="R76" s="1" t="str">
        <f t="shared" si="8"/>
        <v>OZFIDANLARLTDSTI</v>
      </c>
      <c r="S76" s="1" t="str">
        <f t="shared" si="9"/>
        <v>M010|46053|8000|</v>
      </c>
      <c r="T76" s="1">
        <f>IF($E76="",0,SUMPRODUCT((AY_SONU!$O$7:$O$42="Evet")*(AY_SONU!$B$7:$B$42=DATE(YEAR($E76),MONTH($E76),1))))</f>
        <v>0</v>
      </c>
    </row>
    <row r="77" spans="1:20" ht="18" customHeight="1" x14ac:dyDescent="0.3">
      <c r="A77" s="2"/>
      <c r="B77" s="65" t="str">
        <f t="shared" si="5"/>
        <v>T00071</v>
      </c>
      <c r="C77" s="65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M009</v>
      </c>
      <c r="D77" s="61" t="s">
        <v>647</v>
      </c>
      <c r="E77" s="66">
        <v>46053</v>
      </c>
      <c r="F77" s="67">
        <v>2000</v>
      </c>
      <c r="G77" s="60" t="s">
        <v>713</v>
      </c>
      <c r="H77" s="60" t="s">
        <v>568</v>
      </c>
      <c r="I77" s="61"/>
      <c r="J77" s="61" t="s">
        <v>717</v>
      </c>
      <c r="K77" s="61"/>
      <c r="L77" s="73">
        <f t="shared" si="6"/>
        <v>46023</v>
      </c>
      <c r="M77" s="65" t="str">
        <f t="shared" ca="1" si="7"/>
        <v>UYGUN</v>
      </c>
      <c r="N77" s="74" t="str">
        <f>IF($C77="","",IF($C77="TANIMSIZ MÜŞTERİ","—",INDEX(MUSTERILER!$C$7:$C$156,MATCH($C77,MUSTERILER!$B$7:$B$156,0))))</f>
        <v>PAKYILDIZ LTD.ŞTİ.</v>
      </c>
      <c r="O77" s="2"/>
      <c r="P77" s="2"/>
      <c r="Q77" s="1" t="str">
        <f>IF($D77="","",$C77&amp;"|"&amp;COUNTIFS($C$7:$C77,$C77))</f>
        <v>M009|4</v>
      </c>
      <c r="R77" s="1" t="str">
        <f t="shared" si="8"/>
        <v>PAKYILDIZLTDSTI</v>
      </c>
      <c r="S77" s="1" t="str">
        <f t="shared" si="9"/>
        <v>M009|46053|2000|</v>
      </c>
      <c r="T77" s="1">
        <f>IF($E77="",0,SUMPRODUCT((AY_SONU!$O$7:$O$42="Evet")*(AY_SONU!$B$7:$B$42=DATE(YEAR($E77),MONTH($E77),1))))</f>
        <v>0</v>
      </c>
    </row>
    <row r="78" spans="1:20" ht="18" customHeight="1" x14ac:dyDescent="0.3">
      <c r="A78" s="2"/>
      <c r="B78" s="65" t="str">
        <f t="shared" si="5"/>
        <v>T00072</v>
      </c>
      <c r="C78" s="65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M016</v>
      </c>
      <c r="D78" s="61" t="s">
        <v>653</v>
      </c>
      <c r="E78" s="66">
        <v>46053</v>
      </c>
      <c r="F78" s="67">
        <v>1800</v>
      </c>
      <c r="G78" s="60" t="s">
        <v>713</v>
      </c>
      <c r="H78" s="60" t="s">
        <v>568</v>
      </c>
      <c r="I78" s="61"/>
      <c r="J78" s="61" t="s">
        <v>717</v>
      </c>
      <c r="K78" s="61"/>
      <c r="L78" s="73">
        <f t="shared" si="6"/>
        <v>46023</v>
      </c>
      <c r="M78" s="65" t="str">
        <f t="shared" ca="1" si="7"/>
        <v>UYGUN</v>
      </c>
      <c r="N78" s="74" t="str">
        <f>IF($C78="","",IF($C78="TANIMSIZ MÜŞTERİ","—",INDEX(MUSTERILER!$C$7:$C$156,MATCH($C78,MUSTERILER!$B$7:$B$156,0))))</f>
        <v>RİX ŞOW LTD.ŞTİ.</v>
      </c>
      <c r="O78" s="2"/>
      <c r="P78" s="2"/>
      <c r="Q78" s="1" t="str">
        <f>IF($D78="","",$C78&amp;"|"&amp;COUNTIFS($C$7:$C78,$C78))</f>
        <v>M016|5</v>
      </c>
      <c r="R78" s="1" t="str">
        <f t="shared" si="8"/>
        <v>RIXSOWLTDSTI</v>
      </c>
      <c r="S78" s="1" t="str">
        <f t="shared" si="9"/>
        <v>M016|46053|1800|</v>
      </c>
      <c r="T78" s="1">
        <f>IF($E78="",0,SUMPRODUCT((AY_SONU!$O$7:$O$42="Evet")*(AY_SONU!$B$7:$B$42=DATE(YEAR($E78),MONTH($E78),1))))</f>
        <v>0</v>
      </c>
    </row>
    <row r="79" spans="1:20" ht="18" customHeight="1" x14ac:dyDescent="0.3">
      <c r="A79" s="2"/>
      <c r="B79" s="65" t="str">
        <f t="shared" si="5"/>
        <v>T00073</v>
      </c>
      <c r="C79" s="65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M006</v>
      </c>
      <c r="D79" s="61" t="s">
        <v>667</v>
      </c>
      <c r="E79" s="66">
        <v>46053</v>
      </c>
      <c r="F79" s="67">
        <v>1000</v>
      </c>
      <c r="G79" s="60" t="s">
        <v>715</v>
      </c>
      <c r="H79" s="60" t="s">
        <v>568</v>
      </c>
      <c r="I79" s="61"/>
      <c r="J79" s="61" t="s">
        <v>721</v>
      </c>
      <c r="K79" s="61"/>
      <c r="L79" s="73">
        <f t="shared" si="6"/>
        <v>46023</v>
      </c>
      <c r="M79" s="65" t="str">
        <f t="shared" ca="1" si="7"/>
        <v>UYGUN</v>
      </c>
      <c r="N79" s="74" t="str">
        <f>IF($C79="","",IF($C79="TANIMSIZ MÜŞTERİ","—",INDEX(MUSTERILER!$C$7:$C$156,MATCH($C79,MUSTERILER!$B$7:$B$156,0))))</f>
        <v>VOLKAN AÇIK</v>
      </c>
      <c r="O79" s="2"/>
      <c r="P79" s="2"/>
      <c r="Q79" s="1" t="str">
        <f>IF($D79="","",$C79&amp;"|"&amp;COUNTIFS($C$7:$C79,$C79))</f>
        <v>M006|1</v>
      </c>
      <c r="R79" s="1" t="str">
        <f t="shared" si="8"/>
        <v>VOLKANACIK</v>
      </c>
      <c r="S79" s="1" t="str">
        <f t="shared" si="9"/>
        <v>M006|46053|1000|</v>
      </c>
      <c r="T79" s="1">
        <f>IF($E79="",0,SUMPRODUCT((AY_SONU!$O$7:$O$42="Evet")*(AY_SONU!$B$7:$B$42=DATE(YEAR($E79),MONTH($E79),1))))</f>
        <v>0</v>
      </c>
    </row>
    <row r="80" spans="1:20" ht="18" customHeight="1" x14ac:dyDescent="0.3">
      <c r="A80" s="2"/>
      <c r="B80" s="65" t="str">
        <f t="shared" si="5"/>
        <v>T00074</v>
      </c>
      <c r="C80" s="65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M004</v>
      </c>
      <c r="D80" s="61" t="s">
        <v>673</v>
      </c>
      <c r="E80" s="66">
        <v>46053</v>
      </c>
      <c r="F80" s="67">
        <v>3000</v>
      </c>
      <c r="G80" s="60" t="s">
        <v>713</v>
      </c>
      <c r="H80" s="60" t="s">
        <v>568</v>
      </c>
      <c r="I80" s="61"/>
      <c r="J80" s="61" t="s">
        <v>717</v>
      </c>
      <c r="K80" s="61"/>
      <c r="L80" s="73">
        <f t="shared" si="6"/>
        <v>46023</v>
      </c>
      <c r="M80" s="65" t="str">
        <f t="shared" ca="1" si="7"/>
        <v>UYGUN</v>
      </c>
      <c r="N80" s="74" t="str">
        <f>IF($C80="","",IF($C80="TANIMSIZ MÜŞTERİ","—",INDEX(MUSTERILER!$C$7:$C$156,MATCH($C80,MUSTERILER!$B$7:$B$156,0))))</f>
        <v>ZÜMRÜT EĞLENCE LTD.ŞTİ.</v>
      </c>
      <c r="O80" s="2"/>
      <c r="P80" s="2"/>
      <c r="Q80" s="1" t="str">
        <f>IF($D80="","",$C80&amp;"|"&amp;COUNTIFS($C$7:$C80,$C80))</f>
        <v>M004|4</v>
      </c>
      <c r="R80" s="1" t="str">
        <f t="shared" si="8"/>
        <v>ZUMRUTEGLENCELTDSTI</v>
      </c>
      <c r="S80" s="1" t="str">
        <f t="shared" si="9"/>
        <v>M004|46053|3000|</v>
      </c>
      <c r="T80" s="1">
        <f>IF($E80="",0,SUMPRODUCT((AY_SONU!$O$7:$O$42="Evet")*(AY_SONU!$B$7:$B$42=DATE(YEAR($E80),MONTH($E80),1))))</f>
        <v>0</v>
      </c>
    </row>
    <row r="81" spans="1:20" ht="18" customHeight="1" x14ac:dyDescent="0.3">
      <c r="A81" s="2"/>
      <c r="B81" s="65" t="str">
        <f t="shared" si="5"/>
        <v>T00075</v>
      </c>
      <c r="C81" s="65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M005</v>
      </c>
      <c r="D81" s="61" t="s">
        <v>675</v>
      </c>
      <c r="E81" s="66">
        <v>46053</v>
      </c>
      <c r="F81" s="67">
        <v>2000</v>
      </c>
      <c r="G81" s="60" t="s">
        <v>713</v>
      </c>
      <c r="H81" s="60" t="s">
        <v>568</v>
      </c>
      <c r="I81" s="61"/>
      <c r="J81" s="61" t="s">
        <v>717</v>
      </c>
      <c r="K81" s="61"/>
      <c r="L81" s="73">
        <f t="shared" si="6"/>
        <v>46023</v>
      </c>
      <c r="M81" s="65" t="str">
        <f t="shared" ca="1" si="7"/>
        <v>UYGUN</v>
      </c>
      <c r="N81" s="74" t="str">
        <f>IF($C81="","",IF($C81="TANIMSIZ MÜŞTERİ","—",INDEX(MUSTERILER!$C$7:$C$156,MATCH($C81,MUSTERILER!$B$7:$B$156,0))))</f>
        <v>ZÜMRÜT GRUP LTD.ŞTİ.</v>
      </c>
      <c r="O81" s="2"/>
      <c r="P81" s="2"/>
      <c r="Q81" s="1" t="str">
        <f>IF($D81="","",$C81&amp;"|"&amp;COUNTIFS($C$7:$C81,$C81))</f>
        <v>M005|5</v>
      </c>
      <c r="R81" s="1" t="str">
        <f t="shared" si="8"/>
        <v>ZUMRUTGRUPLTDSTI</v>
      </c>
      <c r="S81" s="1" t="str">
        <f t="shared" si="9"/>
        <v>M005|46053|2000|</v>
      </c>
      <c r="T81" s="1">
        <f>IF($E81="",0,SUMPRODUCT((AY_SONU!$O$7:$O$42="Evet")*(AY_SONU!$B$7:$B$42=DATE(YEAR($E81),MONTH($E81),1))))</f>
        <v>0</v>
      </c>
    </row>
    <row r="82" spans="1:20" ht="18" customHeight="1" x14ac:dyDescent="0.3">
      <c r="A82" s="2"/>
      <c r="B82" s="65" t="str">
        <f t="shared" si="5"/>
        <v>T00076</v>
      </c>
      <c r="C82" s="65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M020</v>
      </c>
      <c r="D82" s="61" t="s">
        <v>619</v>
      </c>
      <c r="E82" s="66">
        <v>46053</v>
      </c>
      <c r="F82" s="67">
        <v>3000</v>
      </c>
      <c r="G82" s="60" t="s">
        <v>713</v>
      </c>
      <c r="H82" s="60" t="s">
        <v>568</v>
      </c>
      <c r="I82" s="61"/>
      <c r="J82" s="61" t="s">
        <v>717</v>
      </c>
      <c r="K82" s="61"/>
      <c r="L82" s="73">
        <f t="shared" si="6"/>
        <v>46023</v>
      </c>
      <c r="M82" s="65" t="str">
        <f t="shared" ca="1" si="7"/>
        <v>UYGUN</v>
      </c>
      <c r="N82" s="74" t="str">
        <f>IF($C82="","",IF($C82="TANIMSIZ MÜŞTERİ","—",INDEX(MUSTERILER!$C$7:$C$156,MATCH($C82,MUSTERILER!$B$7:$B$156,0))))</f>
        <v>KRİSTAL LTD.ŞTİ.</v>
      </c>
      <c r="O82" s="2"/>
      <c r="P82" s="2"/>
      <c r="Q82" s="1" t="str">
        <f>IF($D82="","",$C82&amp;"|"&amp;COUNTIFS($C$7:$C82,$C82))</f>
        <v>M020|4</v>
      </c>
      <c r="R82" s="1" t="str">
        <f t="shared" si="8"/>
        <v>KRISTALLTDSTI</v>
      </c>
      <c r="S82" s="1" t="str">
        <f t="shared" si="9"/>
        <v>M020|46053|3000|</v>
      </c>
      <c r="T82" s="1">
        <f>IF($E82="",0,SUMPRODUCT((AY_SONU!$O$7:$O$42="Evet")*(AY_SONU!$B$7:$B$42=DATE(YEAR($E82),MONTH($E82),1))))</f>
        <v>0</v>
      </c>
    </row>
    <row r="83" spans="1:20" ht="18" customHeight="1" x14ac:dyDescent="0.3">
      <c r="A83" s="2"/>
      <c r="B83" s="65" t="str">
        <f t="shared" si="5"/>
        <v>T00077</v>
      </c>
      <c r="C83" s="65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M053</v>
      </c>
      <c r="D83" s="61" t="s">
        <v>671</v>
      </c>
      <c r="E83" s="66">
        <v>46054</v>
      </c>
      <c r="F83" s="67">
        <v>10000</v>
      </c>
      <c r="G83" s="60" t="s">
        <v>715</v>
      </c>
      <c r="H83" s="60" t="s">
        <v>568</v>
      </c>
      <c r="I83" s="61"/>
      <c r="J83" s="61" t="s">
        <v>717</v>
      </c>
      <c r="K83" s="61"/>
      <c r="L83" s="73">
        <f t="shared" si="6"/>
        <v>46054</v>
      </c>
      <c r="M83" s="65" t="str">
        <f t="shared" ca="1" si="7"/>
        <v>UYGUN</v>
      </c>
      <c r="N83" s="74" t="str">
        <f>IF($C83="","",IF($C83="TANIMSIZ MÜŞTERİ","—",INDEX(MUSTERILER!$C$7:$C$156,MATCH($C83,MUSTERILER!$B$7:$B$156,0))))</f>
        <v>YEDİYİRMİDÖRT LTD.ŞTİ.</v>
      </c>
      <c r="O83" s="2"/>
      <c r="P83" s="2"/>
      <c r="Q83" s="1" t="str">
        <f>IF($D83="","",$C83&amp;"|"&amp;COUNTIFS($C$7:$C83,$C83))</f>
        <v>M053|1</v>
      </c>
      <c r="R83" s="1" t="str">
        <f t="shared" si="8"/>
        <v>YEDIYIRMIDORTLTDSTI</v>
      </c>
      <c r="S83" s="1" t="str">
        <f t="shared" si="9"/>
        <v>M053|46054|10000|</v>
      </c>
      <c r="T83" s="1">
        <f>IF($E83="",0,SUMPRODUCT((AY_SONU!$O$7:$O$42="Evet")*(AY_SONU!$B$7:$B$42=DATE(YEAR($E83),MONTH($E83),1))))</f>
        <v>0</v>
      </c>
    </row>
    <row r="84" spans="1:20" ht="18" customHeight="1" x14ac:dyDescent="0.3">
      <c r="A84" s="2"/>
      <c r="B84" s="65" t="str">
        <f t="shared" si="5"/>
        <v>T00078</v>
      </c>
      <c r="C84" s="65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M001</v>
      </c>
      <c r="D84" s="61" t="s">
        <v>722</v>
      </c>
      <c r="E84" s="66">
        <v>46060</v>
      </c>
      <c r="F84" s="67">
        <v>4000</v>
      </c>
      <c r="G84" s="60" t="s">
        <v>713</v>
      </c>
      <c r="H84" s="60" t="s">
        <v>568</v>
      </c>
      <c r="I84" s="61"/>
      <c r="J84" s="61" t="s">
        <v>717</v>
      </c>
      <c r="K84" s="61"/>
      <c r="L84" s="73">
        <f t="shared" si="6"/>
        <v>46054</v>
      </c>
      <c r="M84" s="65" t="str">
        <f t="shared" ca="1" si="7"/>
        <v>UYGUN</v>
      </c>
      <c r="N84" s="74" t="str">
        <f>IF($C84="","",IF($C84="TANIMSIZ MÜŞTERİ","—",INDEX(MUSTERILER!$C$7:$C$156,MATCH($C84,MUSTERILER!$B$7:$B$156,0))))</f>
        <v>ANKARA HAVANA LTD.ŞTİ.</v>
      </c>
      <c r="O84" s="2"/>
      <c r="P84" s="2"/>
      <c r="Q84" s="1" t="str">
        <f>IF($D84="","",$C84&amp;"|"&amp;COUNTIFS($C$7:$C84,$C84))</f>
        <v>M001|4</v>
      </c>
      <c r="R84" s="1" t="str">
        <f t="shared" si="8"/>
        <v>ANKARAHAVANALTDSTI</v>
      </c>
      <c r="S84" s="1" t="str">
        <f t="shared" si="9"/>
        <v>M001|46060|4000|</v>
      </c>
      <c r="T84" s="1">
        <f>IF($E84="",0,SUMPRODUCT((AY_SONU!$O$7:$O$42="Evet")*(AY_SONU!$B$7:$B$42=DATE(YEAR($E84),MONTH($E84),1))))</f>
        <v>0</v>
      </c>
    </row>
    <row r="85" spans="1:20" ht="18" customHeight="1" x14ac:dyDescent="0.3">
      <c r="A85" s="2"/>
      <c r="B85" s="65" t="str">
        <f t="shared" si="5"/>
        <v>T00079</v>
      </c>
      <c r="C85" s="65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M025</v>
      </c>
      <c r="D85" s="61" t="s">
        <v>579</v>
      </c>
      <c r="E85" s="66">
        <v>46060</v>
      </c>
      <c r="F85" s="67">
        <v>2000</v>
      </c>
      <c r="G85" s="60" t="s">
        <v>713</v>
      </c>
      <c r="H85" s="60" t="s">
        <v>568</v>
      </c>
      <c r="I85" s="61"/>
      <c r="J85" s="61" t="s">
        <v>717</v>
      </c>
      <c r="K85" s="61"/>
      <c r="L85" s="73">
        <f t="shared" si="6"/>
        <v>46054</v>
      </c>
      <c r="M85" s="65" t="str">
        <f t="shared" ca="1" si="7"/>
        <v>UYGUN</v>
      </c>
      <c r="N85" s="74" t="str">
        <f>IF($C85="","",IF($C85="TANIMSIZ MÜŞTERİ","—",INDEX(MUSTERILER!$C$7:$C$156,MATCH($C85,MUSTERILER!$B$7:$B$156,0))))</f>
        <v>ASIM AÇIKGÖZ</v>
      </c>
      <c r="O85" s="2"/>
      <c r="P85" s="2"/>
      <c r="Q85" s="1" t="str">
        <f>IF($D85="","",$C85&amp;"|"&amp;COUNTIFS($C$7:$C85,$C85))</f>
        <v>M025|4</v>
      </c>
      <c r="R85" s="1" t="str">
        <f t="shared" si="8"/>
        <v>ASIMACIKGOZ</v>
      </c>
      <c r="S85" s="1" t="str">
        <f t="shared" si="9"/>
        <v>M025|46060|2000|</v>
      </c>
      <c r="T85" s="1">
        <f>IF($E85="",0,SUMPRODUCT((AY_SONU!$O$7:$O$42="Evet")*(AY_SONU!$B$7:$B$42=DATE(YEAR($E85),MONTH($E85),1))))</f>
        <v>0</v>
      </c>
    </row>
    <row r="86" spans="1:20" ht="18" customHeight="1" x14ac:dyDescent="0.3">
      <c r="A86" s="2"/>
      <c r="B86" s="65" t="str">
        <f t="shared" si="5"/>
        <v>T00080</v>
      </c>
      <c r="C86" s="65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M017</v>
      </c>
      <c r="D86" s="61" t="s">
        <v>581</v>
      </c>
      <c r="E86" s="66">
        <v>46060</v>
      </c>
      <c r="F86" s="67">
        <v>2500</v>
      </c>
      <c r="G86" s="60" t="s">
        <v>713</v>
      </c>
      <c r="H86" s="60" t="s">
        <v>568</v>
      </c>
      <c r="I86" s="61"/>
      <c r="J86" s="61" t="s">
        <v>717</v>
      </c>
      <c r="K86" s="61"/>
      <c r="L86" s="73">
        <f t="shared" si="6"/>
        <v>46054</v>
      </c>
      <c r="M86" s="65" t="str">
        <f t="shared" ca="1" si="7"/>
        <v>UYGUN</v>
      </c>
      <c r="N86" s="74" t="str">
        <f>IF($C86="","",IF($C86="TANIMSIZ MÜŞTERİ","—",INDEX(MUSTERILER!$C$7:$C$156,MATCH($C86,MUSTERILER!$B$7:$B$156,0))))</f>
        <v>ASM EĞLENCE LTD.ŞTİ.</v>
      </c>
      <c r="O86" s="2"/>
      <c r="P86" s="2"/>
      <c r="Q86" s="1" t="str">
        <f>IF($D86="","",$C86&amp;"|"&amp;COUNTIFS($C$7:$C86,$C86))</f>
        <v>M017|4</v>
      </c>
      <c r="R86" s="1" t="str">
        <f t="shared" si="8"/>
        <v>ASMEGLENCELTDSTI</v>
      </c>
      <c r="S86" s="1" t="str">
        <f t="shared" si="9"/>
        <v>M017|46060|2500|</v>
      </c>
      <c r="T86" s="1">
        <f>IF($E86="",0,SUMPRODUCT((AY_SONU!$O$7:$O$42="Evet")*(AY_SONU!$B$7:$B$42=DATE(YEAR($E86),MONTH($E86),1))))</f>
        <v>0</v>
      </c>
    </row>
    <row r="87" spans="1:20" ht="18" customHeight="1" x14ac:dyDescent="0.3">
      <c r="A87" s="2"/>
      <c r="B87" s="65" t="str">
        <f t="shared" si="5"/>
        <v>T00081</v>
      </c>
      <c r="C87" s="65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M015</v>
      </c>
      <c r="D87" s="61" t="s">
        <v>723</v>
      </c>
      <c r="E87" s="66">
        <v>46060</v>
      </c>
      <c r="F87" s="67">
        <v>3000</v>
      </c>
      <c r="G87" s="60" t="s">
        <v>713</v>
      </c>
      <c r="H87" s="60" t="s">
        <v>568</v>
      </c>
      <c r="I87" s="61"/>
      <c r="J87" s="61" t="s">
        <v>717</v>
      </c>
      <c r="K87" s="61"/>
      <c r="L87" s="73">
        <f t="shared" si="6"/>
        <v>46054</v>
      </c>
      <c r="M87" s="65" t="str">
        <f t="shared" ca="1" si="7"/>
        <v>UYGUN</v>
      </c>
      <c r="N87" s="74" t="str">
        <f>IF($C87="","",IF($C87="TANIMSIZ MÜŞTERİ","—",INDEX(MUSTERILER!$C$7:$C$156,MATCH($C87,MUSTERILER!$B$7:$B$156,0))))</f>
        <v>ÇAYIRALAN LTD.ŞTİ.</v>
      </c>
      <c r="O87" s="2"/>
      <c r="P87" s="2"/>
      <c r="Q87" s="1" t="str">
        <f>IF($D87="","",$C87&amp;"|"&amp;COUNTIFS($C$7:$C87,$C87))</f>
        <v>M015|5</v>
      </c>
      <c r="R87" s="1" t="str">
        <f t="shared" si="8"/>
        <v>CAYIRALANLTDSTI</v>
      </c>
      <c r="S87" s="1" t="str">
        <f t="shared" si="9"/>
        <v>M015|46060|3000|</v>
      </c>
      <c r="T87" s="1">
        <f>IF($E87="",0,SUMPRODUCT((AY_SONU!$O$7:$O$42="Evet")*(AY_SONU!$B$7:$B$42=DATE(YEAR($E87),MONTH($E87),1))))</f>
        <v>0</v>
      </c>
    </row>
    <row r="88" spans="1:20" ht="18" customHeight="1" x14ac:dyDescent="0.3">
      <c r="A88" s="2"/>
      <c r="B88" s="65" t="str">
        <f t="shared" si="5"/>
        <v>T00082</v>
      </c>
      <c r="C88" s="65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M011</v>
      </c>
      <c r="D88" s="61" t="s">
        <v>724</v>
      </c>
      <c r="E88" s="66">
        <v>46060</v>
      </c>
      <c r="F88" s="67">
        <v>3000</v>
      </c>
      <c r="G88" s="60" t="s">
        <v>713</v>
      </c>
      <c r="H88" s="60" t="s">
        <v>568</v>
      </c>
      <c r="I88" s="61"/>
      <c r="J88" s="61" t="s">
        <v>717</v>
      </c>
      <c r="K88" s="61"/>
      <c r="L88" s="73">
        <f t="shared" si="6"/>
        <v>46054</v>
      </c>
      <c r="M88" s="65" t="str">
        <f t="shared" ca="1" si="7"/>
        <v>UYGUN</v>
      </c>
      <c r="N88" s="74" t="str">
        <f>IF($C88="","",IF($C88="TANIMSIZ MÜŞTERİ","—",INDEX(MUSTERILER!$C$7:$C$156,MATCH($C88,MUSTERILER!$B$7:$B$156,0))))</f>
        <v>EĞLENGÖR LTD.ŞTİ.</v>
      </c>
      <c r="O88" s="2"/>
      <c r="P88" s="2"/>
      <c r="Q88" s="1" t="str">
        <f>IF($D88="","",$C88&amp;"|"&amp;COUNTIFS($C$7:$C88,$C88))</f>
        <v>M011|5</v>
      </c>
      <c r="R88" s="1" t="str">
        <f t="shared" si="8"/>
        <v>EGLENGORLTDSTI</v>
      </c>
      <c r="S88" s="1" t="str">
        <f t="shared" si="9"/>
        <v>M011|46060|3000|</v>
      </c>
      <c r="T88" s="1">
        <f>IF($E88="",0,SUMPRODUCT((AY_SONU!$O$7:$O$42="Evet")*(AY_SONU!$B$7:$B$42=DATE(YEAR($E88),MONTH($E88),1))))</f>
        <v>0</v>
      </c>
    </row>
    <row r="89" spans="1:20" ht="18" customHeight="1" x14ac:dyDescent="0.3">
      <c r="A89" s="2"/>
      <c r="B89" s="65" t="str">
        <f t="shared" si="5"/>
        <v>T00083</v>
      </c>
      <c r="C89" s="65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M014</v>
      </c>
      <c r="D89" s="61" t="s">
        <v>725</v>
      </c>
      <c r="E89" s="66">
        <v>46060</v>
      </c>
      <c r="F89" s="67">
        <v>2000</v>
      </c>
      <c r="G89" s="60" t="s">
        <v>713</v>
      </c>
      <c r="H89" s="60" t="s">
        <v>568</v>
      </c>
      <c r="I89" s="61"/>
      <c r="J89" s="61" t="s">
        <v>717</v>
      </c>
      <c r="K89" s="61"/>
      <c r="L89" s="73">
        <f t="shared" si="6"/>
        <v>46054</v>
      </c>
      <c r="M89" s="65" t="str">
        <f t="shared" ca="1" si="7"/>
        <v>UYGUN</v>
      </c>
      <c r="N89" s="74" t="str">
        <f>IF($C89="","",IF($C89="TANIMSIZ MÜŞTERİ","—",INDEX(MUSTERILER!$C$7:$C$156,MATCH($C89,MUSTERILER!$B$7:$B$156,0))))</f>
        <v>FİNAL SİYAH BEYAZ LTD.ŞTİ.</v>
      </c>
      <c r="O89" s="2"/>
      <c r="P89" s="2"/>
      <c r="Q89" s="1" t="str">
        <f>IF($D89="","",$C89&amp;"|"&amp;COUNTIFS($C$7:$C89,$C89))</f>
        <v>M014|5</v>
      </c>
      <c r="R89" s="1" t="str">
        <f t="shared" si="8"/>
        <v>FINALSIYAHBEYAZLTDSTI</v>
      </c>
      <c r="S89" s="1" t="str">
        <f t="shared" si="9"/>
        <v>M014|46060|2000|</v>
      </c>
      <c r="T89" s="1">
        <f>IF($E89="",0,SUMPRODUCT((AY_SONU!$O$7:$O$42="Evet")*(AY_SONU!$B$7:$B$42=DATE(YEAR($E89),MONTH($E89),1))))</f>
        <v>0</v>
      </c>
    </row>
    <row r="90" spans="1:20" ht="18" customHeight="1" x14ac:dyDescent="0.3">
      <c r="A90" s="2"/>
      <c r="B90" s="65" t="str">
        <f t="shared" si="5"/>
        <v>T00084</v>
      </c>
      <c r="C90" s="65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M034</v>
      </c>
      <c r="D90" s="61" t="s">
        <v>726</v>
      </c>
      <c r="E90" s="66">
        <v>46060</v>
      </c>
      <c r="F90" s="67">
        <v>1500</v>
      </c>
      <c r="G90" s="60" t="s">
        <v>713</v>
      </c>
      <c r="H90" s="60" t="s">
        <v>568</v>
      </c>
      <c r="I90" s="61"/>
      <c r="J90" s="61" t="s">
        <v>717</v>
      </c>
      <c r="K90" s="61"/>
      <c r="L90" s="73">
        <f t="shared" si="6"/>
        <v>46054</v>
      </c>
      <c r="M90" s="65" t="str">
        <f t="shared" ca="1" si="7"/>
        <v>UYGUN</v>
      </c>
      <c r="N90" s="74" t="str">
        <f>IF($C90="","",IF($C90="TANIMSIZ MÜŞTERİ","—",INDEX(MUSTERILER!$C$7:$C$156,MATCH($C90,MUSTERILER!$B$7:$B$156,0))))</f>
        <v>İBRAHİM MALDAN</v>
      </c>
      <c r="O90" s="2"/>
      <c r="P90" s="2"/>
      <c r="Q90" s="1" t="str">
        <f>IF($D90="","",$C90&amp;"|"&amp;COUNTIFS($C$7:$C90,$C90))</f>
        <v>M034|5</v>
      </c>
      <c r="R90" s="1" t="str">
        <f t="shared" si="8"/>
        <v>IBRAHIMMALDAN</v>
      </c>
      <c r="S90" s="1" t="str">
        <f t="shared" si="9"/>
        <v>M034|46060|1500|</v>
      </c>
      <c r="T90" s="1">
        <f>IF($E90="",0,SUMPRODUCT((AY_SONU!$O$7:$O$42="Evet")*(AY_SONU!$B$7:$B$42=DATE(YEAR($E90),MONTH($E90),1))))</f>
        <v>0</v>
      </c>
    </row>
    <row r="91" spans="1:20" ht="18" customHeight="1" x14ac:dyDescent="0.3">
      <c r="A91" s="2"/>
      <c r="B91" s="65" t="str">
        <f t="shared" si="5"/>
        <v>T00085</v>
      </c>
      <c r="C91" s="65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M012</v>
      </c>
      <c r="D91" s="61" t="s">
        <v>727</v>
      </c>
      <c r="E91" s="66">
        <v>46060</v>
      </c>
      <c r="F91" s="67">
        <v>2000</v>
      </c>
      <c r="G91" s="60" t="s">
        <v>713</v>
      </c>
      <c r="H91" s="60" t="s">
        <v>568</v>
      </c>
      <c r="I91" s="61"/>
      <c r="J91" s="61" t="s">
        <v>717</v>
      </c>
      <c r="K91" s="61"/>
      <c r="L91" s="73">
        <f t="shared" si="6"/>
        <v>46054</v>
      </c>
      <c r="M91" s="65" t="str">
        <f t="shared" ca="1" si="7"/>
        <v>UYGUN</v>
      </c>
      <c r="N91" s="74" t="str">
        <f>IF($C91="","",IF($C91="TANIMSIZ MÜŞTERİ","—",INDEX(MUSTERILER!$C$7:$C$156,MATCH($C91,MUSTERILER!$B$7:$B$156,0))))</f>
        <v>İLDEŞ LTD.ŞTİ.</v>
      </c>
      <c r="O91" s="2"/>
      <c r="P91" s="2"/>
      <c r="Q91" s="1" t="str">
        <f>IF($D91="","",$C91&amp;"|"&amp;COUNTIFS($C$7:$C91,$C91))</f>
        <v>M012|4</v>
      </c>
      <c r="R91" s="1" t="str">
        <f t="shared" si="8"/>
        <v>ILDESLTDSTI</v>
      </c>
      <c r="S91" s="1" t="str">
        <f t="shared" si="9"/>
        <v>M012|46060|2000|</v>
      </c>
      <c r="T91" s="1">
        <f>IF($E91="",0,SUMPRODUCT((AY_SONU!$O$7:$O$42="Evet")*(AY_SONU!$B$7:$B$42=DATE(YEAR($E91),MONTH($E91),1))))</f>
        <v>0</v>
      </c>
    </row>
    <row r="92" spans="1:20" ht="18" customHeight="1" x14ac:dyDescent="0.3">
      <c r="A92" s="2"/>
      <c r="B92" s="65" t="str">
        <f t="shared" si="5"/>
        <v>T00086</v>
      </c>
      <c r="C92" s="65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M007</v>
      </c>
      <c r="D92" s="61" t="s">
        <v>728</v>
      </c>
      <c r="E92" s="66">
        <v>46060</v>
      </c>
      <c r="F92" s="67">
        <v>3500</v>
      </c>
      <c r="G92" s="60" t="s">
        <v>713</v>
      </c>
      <c r="H92" s="60" t="s">
        <v>568</v>
      </c>
      <c r="I92" s="61"/>
      <c r="J92" s="61" t="s">
        <v>717</v>
      </c>
      <c r="K92" s="61"/>
      <c r="L92" s="73">
        <f t="shared" si="6"/>
        <v>46054</v>
      </c>
      <c r="M92" s="65" t="str">
        <f t="shared" ca="1" si="7"/>
        <v>UYGUN</v>
      </c>
      <c r="N92" s="74" t="str">
        <f>IF($C92="","",IF($C92="TANIMSIZ MÜŞTERİ","—",INDEX(MUSTERILER!$C$7:$C$156,MATCH($C92,MUSTERILER!$B$7:$B$156,0))))</f>
        <v>MONAMOUR LTD.ŞTİ.</v>
      </c>
      <c r="O92" s="2"/>
      <c r="P92" s="2"/>
      <c r="Q92" s="1" t="str">
        <f>IF($D92="","",$C92&amp;"|"&amp;COUNTIFS($C$7:$C92,$C92))</f>
        <v>M007|5</v>
      </c>
      <c r="R92" s="1" t="str">
        <f t="shared" si="8"/>
        <v>MONAMOURLTDSTI</v>
      </c>
      <c r="S92" s="1" t="str">
        <f t="shared" si="9"/>
        <v>M007|46060|3500|</v>
      </c>
      <c r="T92" s="1">
        <f>IF($E92="",0,SUMPRODUCT((AY_SONU!$O$7:$O$42="Evet")*(AY_SONU!$B$7:$B$42=DATE(YEAR($E92),MONTH($E92),1))))</f>
        <v>0</v>
      </c>
    </row>
    <row r="93" spans="1:20" ht="18" customHeight="1" x14ac:dyDescent="0.3">
      <c r="A93" s="2"/>
      <c r="B93" s="65" t="str">
        <f t="shared" si="5"/>
        <v>T00087</v>
      </c>
      <c r="C93" s="65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M013</v>
      </c>
      <c r="D93" s="61" t="s">
        <v>729</v>
      </c>
      <c r="E93" s="66">
        <v>46060</v>
      </c>
      <c r="F93" s="67">
        <v>2000</v>
      </c>
      <c r="G93" s="60" t="s">
        <v>713</v>
      </c>
      <c r="H93" s="60" t="s">
        <v>568</v>
      </c>
      <c r="I93" s="61"/>
      <c r="J93" s="61" t="s">
        <v>717</v>
      </c>
      <c r="K93" s="61"/>
      <c r="L93" s="73">
        <f t="shared" si="6"/>
        <v>46054</v>
      </c>
      <c r="M93" s="65" t="str">
        <f t="shared" ca="1" si="7"/>
        <v>UYGUN</v>
      </c>
      <c r="N93" s="74" t="str">
        <f>IF($C93="","",IF($C93="TANIMSIZ MÜŞTERİ","—",INDEX(MUSTERILER!$C$7:$C$156,MATCH($C93,MUSTERILER!$B$7:$B$156,0))))</f>
        <v>NAZ 1 GIDA LTD.ŞTİ.</v>
      </c>
      <c r="O93" s="2"/>
      <c r="P93" s="2"/>
      <c r="Q93" s="1" t="str">
        <f>IF($D93="","",$C93&amp;"|"&amp;COUNTIFS($C$7:$C93,$C93))</f>
        <v>M013|5</v>
      </c>
      <c r="R93" s="1" t="str">
        <f t="shared" si="8"/>
        <v>NAZ1GIDALTDSTI</v>
      </c>
      <c r="S93" s="1" t="str">
        <f t="shared" si="9"/>
        <v>M013|46060|2000|</v>
      </c>
      <c r="T93" s="1">
        <f>IF($E93="",0,SUMPRODUCT((AY_SONU!$O$7:$O$42="Evet")*(AY_SONU!$B$7:$B$42=DATE(YEAR($E93),MONTH($E93),1))))</f>
        <v>0</v>
      </c>
    </row>
    <row r="94" spans="1:20" ht="18" customHeight="1" x14ac:dyDescent="0.3">
      <c r="A94" s="2"/>
      <c r="B94" s="65" t="str">
        <f t="shared" si="5"/>
        <v>T00088</v>
      </c>
      <c r="C94" s="65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M009</v>
      </c>
      <c r="D94" s="61" t="s">
        <v>730</v>
      </c>
      <c r="E94" s="66">
        <v>46060</v>
      </c>
      <c r="F94" s="67">
        <v>2000</v>
      </c>
      <c r="G94" s="60" t="s">
        <v>713</v>
      </c>
      <c r="H94" s="60" t="s">
        <v>568</v>
      </c>
      <c r="I94" s="61"/>
      <c r="J94" s="61" t="s">
        <v>717</v>
      </c>
      <c r="K94" s="61"/>
      <c r="L94" s="73">
        <f t="shared" si="6"/>
        <v>46054</v>
      </c>
      <c r="M94" s="65" t="str">
        <f t="shared" ca="1" si="7"/>
        <v>UYGUN</v>
      </c>
      <c r="N94" s="74" t="str">
        <f>IF($C94="","",IF($C94="TANIMSIZ MÜŞTERİ","—",INDEX(MUSTERILER!$C$7:$C$156,MATCH($C94,MUSTERILER!$B$7:$B$156,0))))</f>
        <v>PAKYILDIZ LTD.ŞTİ.</v>
      </c>
      <c r="O94" s="2"/>
      <c r="P94" s="2"/>
      <c r="Q94" s="1" t="str">
        <f>IF($D94="","",$C94&amp;"|"&amp;COUNTIFS($C$7:$C94,$C94))</f>
        <v>M009|5</v>
      </c>
      <c r="R94" s="1" t="str">
        <f t="shared" si="8"/>
        <v>PAKYILDIZLTDSTI</v>
      </c>
      <c r="S94" s="1" t="str">
        <f t="shared" si="9"/>
        <v>M009|46060|2000|</v>
      </c>
      <c r="T94" s="1">
        <f>IF($E94="",0,SUMPRODUCT((AY_SONU!$O$7:$O$42="Evet")*(AY_SONU!$B$7:$B$42=DATE(YEAR($E94),MONTH($E94),1))))</f>
        <v>0</v>
      </c>
    </row>
    <row r="95" spans="1:20" ht="18" customHeight="1" x14ac:dyDescent="0.3">
      <c r="A95" s="2"/>
      <c r="B95" s="65" t="str">
        <f t="shared" si="5"/>
        <v>T00089</v>
      </c>
      <c r="C95" s="65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M016</v>
      </c>
      <c r="D95" s="61" t="s">
        <v>731</v>
      </c>
      <c r="E95" s="66">
        <v>46060</v>
      </c>
      <c r="F95" s="67">
        <v>2000</v>
      </c>
      <c r="G95" s="60" t="s">
        <v>713</v>
      </c>
      <c r="H95" s="60" t="s">
        <v>568</v>
      </c>
      <c r="I95" s="61"/>
      <c r="J95" s="61" t="s">
        <v>717</v>
      </c>
      <c r="K95" s="61"/>
      <c r="L95" s="73">
        <f t="shared" si="6"/>
        <v>46054</v>
      </c>
      <c r="M95" s="65" t="str">
        <f t="shared" ca="1" si="7"/>
        <v>UYGUN</v>
      </c>
      <c r="N95" s="74" t="str">
        <f>IF($C95="","",IF($C95="TANIMSIZ MÜŞTERİ","—",INDEX(MUSTERILER!$C$7:$C$156,MATCH($C95,MUSTERILER!$B$7:$B$156,0))))</f>
        <v>RİX ŞOW LTD.ŞTİ.</v>
      </c>
      <c r="O95" s="2"/>
      <c r="P95" s="2"/>
      <c r="Q95" s="1" t="str">
        <f>IF($D95="","",$C95&amp;"|"&amp;COUNTIFS($C$7:$C95,$C95))</f>
        <v>M016|6</v>
      </c>
      <c r="R95" s="1" t="str">
        <f t="shared" si="8"/>
        <v>RIXSOWLTDSTI</v>
      </c>
      <c r="S95" s="1" t="str">
        <f t="shared" si="9"/>
        <v>M016|46060|2000|</v>
      </c>
      <c r="T95" s="1">
        <f>IF($E95="",0,SUMPRODUCT((AY_SONU!$O$7:$O$42="Evet")*(AY_SONU!$B$7:$B$42=DATE(YEAR($E95),MONTH($E95),1))))</f>
        <v>0</v>
      </c>
    </row>
    <row r="96" spans="1:20" ht="18" customHeight="1" x14ac:dyDescent="0.3">
      <c r="A96" s="2"/>
      <c r="B96" s="65" t="str">
        <f t="shared" si="5"/>
        <v>T00090</v>
      </c>
      <c r="C96" s="65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M005</v>
      </c>
      <c r="D96" s="61" t="s">
        <v>732</v>
      </c>
      <c r="E96" s="66">
        <v>46060</v>
      </c>
      <c r="F96" s="67">
        <v>1750</v>
      </c>
      <c r="G96" s="60" t="s">
        <v>713</v>
      </c>
      <c r="H96" s="60" t="s">
        <v>568</v>
      </c>
      <c r="I96" s="61"/>
      <c r="J96" s="61" t="s">
        <v>717</v>
      </c>
      <c r="K96" s="61"/>
      <c r="L96" s="73">
        <f t="shared" si="6"/>
        <v>46054</v>
      </c>
      <c r="M96" s="65" t="str">
        <f t="shared" ca="1" si="7"/>
        <v>UYGUN</v>
      </c>
      <c r="N96" s="74" t="str">
        <f>IF($C96="","",IF($C96="TANIMSIZ MÜŞTERİ","—",INDEX(MUSTERILER!$C$7:$C$156,MATCH($C96,MUSTERILER!$B$7:$B$156,0))))</f>
        <v>ZÜMRÜT GRUP LTD.ŞTİ.</v>
      </c>
      <c r="O96" s="2"/>
      <c r="P96" s="2"/>
      <c r="Q96" s="1" t="str">
        <f>IF($D96="","",$C96&amp;"|"&amp;COUNTIFS($C$7:$C96,$C96))</f>
        <v>M005|6</v>
      </c>
      <c r="R96" s="1" t="str">
        <f t="shared" si="8"/>
        <v>ZUMRUTGRUPLTDSTI</v>
      </c>
      <c r="S96" s="1" t="str">
        <f t="shared" si="9"/>
        <v>M005|46060|1750|</v>
      </c>
      <c r="T96" s="1">
        <f>IF($E96="",0,SUMPRODUCT((AY_SONU!$O$7:$O$42="Evet")*(AY_SONU!$B$7:$B$42=DATE(YEAR($E96),MONTH($E96),1))))</f>
        <v>0</v>
      </c>
    </row>
    <row r="97" spans="1:20" ht="18" customHeight="1" x14ac:dyDescent="0.3">
      <c r="A97" s="2"/>
      <c r="B97" s="65" t="str">
        <f t="shared" si="5"/>
        <v>T00091</v>
      </c>
      <c r="C97" s="65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M018</v>
      </c>
      <c r="D97" s="61" t="s">
        <v>589</v>
      </c>
      <c r="E97" s="66">
        <v>46060</v>
      </c>
      <c r="F97" s="67">
        <v>2500</v>
      </c>
      <c r="G97" s="60" t="s">
        <v>715</v>
      </c>
      <c r="H97" s="60" t="s">
        <v>568</v>
      </c>
      <c r="I97" s="61"/>
      <c r="J97" s="61" t="s">
        <v>717</v>
      </c>
      <c r="K97" s="61"/>
      <c r="L97" s="73">
        <f t="shared" si="6"/>
        <v>46054</v>
      </c>
      <c r="M97" s="65" t="str">
        <f t="shared" ca="1" si="7"/>
        <v>UYGUN</v>
      </c>
      <c r="N97" s="74" t="str">
        <f>IF($C97="","",IF($C97="TANIMSIZ MÜŞTERİ","—",INDEX(MUSTERILER!$C$7:$C$156,MATCH($C97,MUSTERILER!$B$7:$B$156,0))))</f>
        <v>ÇINARHAN LTD.ŞTİ.</v>
      </c>
      <c r="O97" s="2"/>
      <c r="P97" s="2"/>
      <c r="Q97" s="1" t="str">
        <f>IF($D97="","",$C97&amp;"|"&amp;COUNTIFS($C$7:$C97,$C97))</f>
        <v>M018|4</v>
      </c>
      <c r="R97" s="1" t="str">
        <f t="shared" si="8"/>
        <v>CINARHANLTDSTI</v>
      </c>
      <c r="S97" s="1" t="str">
        <f t="shared" si="9"/>
        <v>M018|46060|2500|</v>
      </c>
      <c r="T97" s="1">
        <f>IF($E97="",0,SUMPRODUCT((AY_SONU!$O$7:$O$42="Evet")*(AY_SONU!$B$7:$B$42=DATE(YEAR($E97),MONTH($E97),1))))</f>
        <v>0</v>
      </c>
    </row>
    <row r="98" spans="1:20" ht="18" customHeight="1" x14ac:dyDescent="0.3">
      <c r="A98" s="2"/>
      <c r="B98" s="65" t="str">
        <f t="shared" si="5"/>
        <v>T00092</v>
      </c>
      <c r="C98" s="65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M020</v>
      </c>
      <c r="D98" s="61" t="s">
        <v>619</v>
      </c>
      <c r="E98" s="66">
        <v>46060</v>
      </c>
      <c r="F98" s="67">
        <v>3000</v>
      </c>
      <c r="G98" s="60" t="s">
        <v>713</v>
      </c>
      <c r="H98" s="60" t="s">
        <v>568</v>
      </c>
      <c r="I98" s="61"/>
      <c r="J98" s="61" t="s">
        <v>717</v>
      </c>
      <c r="K98" s="61"/>
      <c r="L98" s="73">
        <f t="shared" si="6"/>
        <v>46054</v>
      </c>
      <c r="M98" s="65" t="str">
        <f t="shared" ca="1" si="7"/>
        <v>UYGUN</v>
      </c>
      <c r="N98" s="74" t="str">
        <f>IF($C98="","",IF($C98="TANIMSIZ MÜŞTERİ","—",INDEX(MUSTERILER!$C$7:$C$156,MATCH($C98,MUSTERILER!$B$7:$B$156,0))))</f>
        <v>KRİSTAL LTD.ŞTİ.</v>
      </c>
      <c r="O98" s="2"/>
      <c r="P98" s="2"/>
      <c r="Q98" s="1" t="str">
        <f>IF($D98="","",$C98&amp;"|"&amp;COUNTIFS($C$7:$C98,$C98))</f>
        <v>M020|5</v>
      </c>
      <c r="R98" s="1" t="str">
        <f t="shared" si="8"/>
        <v>KRISTALLTDSTI</v>
      </c>
      <c r="S98" s="1" t="str">
        <f t="shared" si="9"/>
        <v>M020|46060|3000|</v>
      </c>
      <c r="T98" s="1">
        <f>IF($E98="",0,SUMPRODUCT((AY_SONU!$O$7:$O$42="Evet")*(AY_SONU!$B$7:$B$42=DATE(YEAR($E98),MONTH($E98),1))))</f>
        <v>0</v>
      </c>
    </row>
    <row r="99" spans="1:20" ht="18" customHeight="1" x14ac:dyDescent="0.3">
      <c r="A99" s="2"/>
      <c r="B99" s="65" t="str">
        <f t="shared" si="5"/>
        <v>T00093</v>
      </c>
      <c r="C99" s="65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M007</v>
      </c>
      <c r="D99" s="61" t="s">
        <v>728</v>
      </c>
      <c r="E99" s="66">
        <v>46063</v>
      </c>
      <c r="F99" s="67">
        <v>3500</v>
      </c>
      <c r="G99" s="60" t="s">
        <v>715</v>
      </c>
      <c r="H99" s="60" t="s">
        <v>568</v>
      </c>
      <c r="I99" s="61"/>
      <c r="J99" s="61" t="s">
        <v>716</v>
      </c>
      <c r="K99" s="61"/>
      <c r="L99" s="73">
        <f t="shared" si="6"/>
        <v>46054</v>
      </c>
      <c r="M99" s="65" t="str">
        <f t="shared" ca="1" si="7"/>
        <v>UYGUN</v>
      </c>
      <c r="N99" s="74" t="str">
        <f>IF($C99="","",IF($C99="TANIMSIZ MÜŞTERİ","—",INDEX(MUSTERILER!$C$7:$C$156,MATCH($C99,MUSTERILER!$B$7:$B$156,0))))</f>
        <v>MONAMOUR LTD.ŞTİ.</v>
      </c>
      <c r="O99" s="2"/>
      <c r="P99" s="2"/>
      <c r="Q99" s="1" t="str">
        <f>IF($D99="","",$C99&amp;"|"&amp;COUNTIFS($C$7:$C99,$C99))</f>
        <v>M007|6</v>
      </c>
      <c r="R99" s="1" t="str">
        <f t="shared" si="8"/>
        <v>MONAMOURLTDSTI</v>
      </c>
      <c r="S99" s="1" t="str">
        <f t="shared" si="9"/>
        <v>M007|46063|3500|</v>
      </c>
      <c r="T99" s="1">
        <f>IF($E99="",0,SUMPRODUCT((AY_SONU!$O$7:$O$42="Evet")*(AY_SONU!$B$7:$B$42=DATE(YEAR($E99),MONTH($E99),1))))</f>
        <v>0</v>
      </c>
    </row>
    <row r="100" spans="1:20" ht="18" customHeight="1" x14ac:dyDescent="0.3">
      <c r="A100" s="2"/>
      <c r="B100" s="65" t="str">
        <f t="shared" si="5"/>
        <v>T00094</v>
      </c>
      <c r="C100" s="65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M040</v>
      </c>
      <c r="D100" s="61" t="s">
        <v>627</v>
      </c>
      <c r="E100" s="66">
        <v>46063</v>
      </c>
      <c r="F100" s="67">
        <v>1500</v>
      </c>
      <c r="G100" s="60" t="s">
        <v>713</v>
      </c>
      <c r="H100" s="60" t="s">
        <v>568</v>
      </c>
      <c r="I100" s="61"/>
      <c r="J100" s="61" t="s">
        <v>717</v>
      </c>
      <c r="K100" s="61"/>
      <c r="L100" s="73">
        <f t="shared" si="6"/>
        <v>46054</v>
      </c>
      <c r="M100" s="65" t="str">
        <f t="shared" ca="1" si="7"/>
        <v>UYGUN</v>
      </c>
      <c r="N100" s="74" t="str">
        <f>IF($C100="","",IF($C100="TANIMSIZ MÜŞTERİ","—",INDEX(MUSTERILER!$C$7:$C$156,MATCH($C100,MUSTERILER!$B$7:$B$156,0))))</f>
        <v>MENEKŞE AKAN</v>
      </c>
      <c r="O100" s="2"/>
      <c r="P100" s="2"/>
      <c r="Q100" s="1" t="str">
        <f>IF($D100="","",$C100&amp;"|"&amp;COUNTIFS($C$7:$C100,$C100))</f>
        <v>M040|1</v>
      </c>
      <c r="R100" s="1" t="str">
        <f t="shared" si="8"/>
        <v>MENEKSEAKAN</v>
      </c>
      <c r="S100" s="1" t="str">
        <f t="shared" si="9"/>
        <v>M040|46063|1500|</v>
      </c>
      <c r="T100" s="1">
        <f>IF($E100="",0,SUMPRODUCT((AY_SONU!$O$7:$O$42="Evet")*(AY_SONU!$B$7:$B$42=DATE(YEAR($E100),MONTH($E100),1))))</f>
        <v>0</v>
      </c>
    </row>
    <row r="101" spans="1:20" ht="18" customHeight="1" x14ac:dyDescent="0.3">
      <c r="A101" s="2"/>
      <c r="B101" s="65" t="str">
        <f t="shared" si="5"/>
        <v>T00095</v>
      </c>
      <c r="C101" s="65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M001</v>
      </c>
      <c r="D101" s="61" t="s">
        <v>722</v>
      </c>
      <c r="E101" s="66">
        <v>46067</v>
      </c>
      <c r="F101" s="67">
        <v>4000</v>
      </c>
      <c r="G101" s="60" t="s">
        <v>713</v>
      </c>
      <c r="H101" s="60" t="s">
        <v>568</v>
      </c>
      <c r="I101" s="61"/>
      <c r="J101" s="61" t="s">
        <v>717</v>
      </c>
      <c r="K101" s="61"/>
      <c r="L101" s="73">
        <f t="shared" si="6"/>
        <v>46054</v>
      </c>
      <c r="M101" s="65" t="str">
        <f t="shared" ca="1" si="7"/>
        <v>UYGUN</v>
      </c>
      <c r="N101" s="74" t="str">
        <f>IF($C101="","",IF($C101="TANIMSIZ MÜŞTERİ","—",INDEX(MUSTERILER!$C$7:$C$156,MATCH($C101,MUSTERILER!$B$7:$B$156,0))))</f>
        <v>ANKARA HAVANA LTD.ŞTİ.</v>
      </c>
      <c r="O101" s="2"/>
      <c r="P101" s="2"/>
      <c r="Q101" s="1" t="str">
        <f>IF($D101="","",$C101&amp;"|"&amp;COUNTIFS($C$7:$C101,$C101))</f>
        <v>M001|5</v>
      </c>
      <c r="R101" s="1" t="str">
        <f t="shared" si="8"/>
        <v>ANKARAHAVANALTDSTI</v>
      </c>
      <c r="S101" s="1" t="str">
        <f t="shared" si="9"/>
        <v>M001|46067|4000|</v>
      </c>
      <c r="T101" s="1">
        <f>IF($E101="",0,SUMPRODUCT((AY_SONU!$O$7:$O$42="Evet")*(AY_SONU!$B$7:$B$42=DATE(YEAR($E101),MONTH($E101),1))))</f>
        <v>0</v>
      </c>
    </row>
    <row r="102" spans="1:20" ht="18" customHeight="1" x14ac:dyDescent="0.3">
      <c r="A102" s="2"/>
      <c r="B102" s="65" t="str">
        <f t="shared" si="5"/>
        <v>T00096</v>
      </c>
      <c r="C102" s="65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M025</v>
      </c>
      <c r="D102" s="61" t="s">
        <v>579</v>
      </c>
      <c r="E102" s="66">
        <v>46067</v>
      </c>
      <c r="F102" s="67">
        <v>2000</v>
      </c>
      <c r="G102" s="60" t="s">
        <v>713</v>
      </c>
      <c r="H102" s="60" t="s">
        <v>568</v>
      </c>
      <c r="I102" s="61"/>
      <c r="J102" s="61" t="s">
        <v>717</v>
      </c>
      <c r="K102" s="61"/>
      <c r="L102" s="73">
        <f t="shared" si="6"/>
        <v>46054</v>
      </c>
      <c r="M102" s="65" t="str">
        <f t="shared" ca="1" si="7"/>
        <v>UYGUN</v>
      </c>
      <c r="N102" s="74" t="str">
        <f>IF($C102="","",IF($C102="TANIMSIZ MÜŞTERİ","—",INDEX(MUSTERILER!$C$7:$C$156,MATCH($C102,MUSTERILER!$B$7:$B$156,0))))</f>
        <v>ASIM AÇIKGÖZ</v>
      </c>
      <c r="O102" s="2"/>
      <c r="P102" s="2"/>
      <c r="Q102" s="1" t="str">
        <f>IF($D102="","",$C102&amp;"|"&amp;COUNTIFS($C$7:$C102,$C102))</f>
        <v>M025|5</v>
      </c>
      <c r="R102" s="1" t="str">
        <f t="shared" si="8"/>
        <v>ASIMACIKGOZ</v>
      </c>
      <c r="S102" s="1" t="str">
        <f t="shared" si="9"/>
        <v>M025|46067|2000|</v>
      </c>
      <c r="T102" s="1">
        <f>IF($E102="",0,SUMPRODUCT((AY_SONU!$O$7:$O$42="Evet")*(AY_SONU!$B$7:$B$42=DATE(YEAR($E102),MONTH($E102),1))))</f>
        <v>0</v>
      </c>
    </row>
    <row r="103" spans="1:20" ht="18" customHeight="1" x14ac:dyDescent="0.3">
      <c r="A103" s="2"/>
      <c r="B103" s="65" t="str">
        <f t="shared" si="5"/>
        <v>T00097</v>
      </c>
      <c r="C103" s="65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M017</v>
      </c>
      <c r="D103" s="61" t="s">
        <v>581</v>
      </c>
      <c r="E103" s="66">
        <v>46067</v>
      </c>
      <c r="F103" s="67">
        <v>2500</v>
      </c>
      <c r="G103" s="60" t="s">
        <v>713</v>
      </c>
      <c r="H103" s="60" t="s">
        <v>568</v>
      </c>
      <c r="I103" s="61"/>
      <c r="J103" s="61" t="s">
        <v>717</v>
      </c>
      <c r="K103" s="61"/>
      <c r="L103" s="73">
        <f t="shared" si="6"/>
        <v>46054</v>
      </c>
      <c r="M103" s="65" t="str">
        <f t="shared" ca="1" si="7"/>
        <v>UYGUN</v>
      </c>
      <c r="N103" s="74" t="str">
        <f>IF($C103="","",IF($C103="TANIMSIZ MÜŞTERİ","—",INDEX(MUSTERILER!$C$7:$C$156,MATCH($C103,MUSTERILER!$B$7:$B$156,0))))</f>
        <v>ASM EĞLENCE LTD.ŞTİ.</v>
      </c>
      <c r="O103" s="2"/>
      <c r="P103" s="2"/>
      <c r="Q103" s="1" t="str">
        <f>IF($D103="","",$C103&amp;"|"&amp;COUNTIFS($C$7:$C103,$C103))</f>
        <v>M017|5</v>
      </c>
      <c r="R103" s="1" t="str">
        <f t="shared" si="8"/>
        <v>ASMEGLENCELTDSTI</v>
      </c>
      <c r="S103" s="1" t="str">
        <f t="shared" si="9"/>
        <v>M017|46067|2500|</v>
      </c>
      <c r="T103" s="1">
        <f>IF($E103="",0,SUMPRODUCT((AY_SONU!$O$7:$O$42="Evet")*(AY_SONU!$B$7:$B$42=DATE(YEAR($E103),MONTH($E103),1))))</f>
        <v>0</v>
      </c>
    </row>
    <row r="104" spans="1:20" ht="18" customHeight="1" x14ac:dyDescent="0.3">
      <c r="A104" s="2"/>
      <c r="B104" s="65" t="str">
        <f t="shared" si="5"/>
        <v>T00098</v>
      </c>
      <c r="C104" s="65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M015</v>
      </c>
      <c r="D104" s="61" t="s">
        <v>723</v>
      </c>
      <c r="E104" s="66">
        <v>46067</v>
      </c>
      <c r="F104" s="67">
        <v>3000</v>
      </c>
      <c r="G104" s="60" t="s">
        <v>713</v>
      </c>
      <c r="H104" s="60" t="s">
        <v>568</v>
      </c>
      <c r="I104" s="61"/>
      <c r="J104" s="61" t="s">
        <v>717</v>
      </c>
      <c r="K104" s="61"/>
      <c r="L104" s="73">
        <f t="shared" si="6"/>
        <v>46054</v>
      </c>
      <c r="M104" s="65" t="str">
        <f t="shared" ca="1" si="7"/>
        <v>UYGUN</v>
      </c>
      <c r="N104" s="74" t="str">
        <f>IF($C104="","",IF($C104="TANIMSIZ MÜŞTERİ","—",INDEX(MUSTERILER!$C$7:$C$156,MATCH($C104,MUSTERILER!$B$7:$B$156,0))))</f>
        <v>ÇAYIRALAN LTD.ŞTİ.</v>
      </c>
      <c r="O104" s="2"/>
      <c r="P104" s="2"/>
      <c r="Q104" s="1" t="str">
        <f>IF($D104="","",$C104&amp;"|"&amp;COUNTIFS($C$7:$C104,$C104))</f>
        <v>M015|6</v>
      </c>
      <c r="R104" s="1" t="str">
        <f t="shared" si="8"/>
        <v>CAYIRALANLTDSTI</v>
      </c>
      <c r="S104" s="1" t="str">
        <f t="shared" si="9"/>
        <v>M015|46067|3000|</v>
      </c>
      <c r="T104" s="1">
        <f>IF($E104="",0,SUMPRODUCT((AY_SONU!$O$7:$O$42="Evet")*(AY_SONU!$B$7:$B$42=DATE(YEAR($E104),MONTH($E104),1))))</f>
        <v>0</v>
      </c>
    </row>
    <row r="105" spans="1:20" ht="18" customHeight="1" x14ac:dyDescent="0.3">
      <c r="A105" s="2"/>
      <c r="B105" s="65" t="str">
        <f t="shared" si="5"/>
        <v>T00099</v>
      </c>
      <c r="C105" s="65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M011</v>
      </c>
      <c r="D105" s="61" t="s">
        <v>724</v>
      </c>
      <c r="E105" s="66">
        <v>46067</v>
      </c>
      <c r="F105" s="67">
        <v>3000</v>
      </c>
      <c r="G105" s="60" t="s">
        <v>713</v>
      </c>
      <c r="H105" s="60" t="s">
        <v>568</v>
      </c>
      <c r="I105" s="61"/>
      <c r="J105" s="61" t="s">
        <v>717</v>
      </c>
      <c r="K105" s="61"/>
      <c r="L105" s="73">
        <f t="shared" si="6"/>
        <v>46054</v>
      </c>
      <c r="M105" s="65" t="str">
        <f t="shared" ca="1" si="7"/>
        <v>UYGUN</v>
      </c>
      <c r="N105" s="74" t="str">
        <f>IF($C105="","",IF($C105="TANIMSIZ MÜŞTERİ","—",INDEX(MUSTERILER!$C$7:$C$156,MATCH($C105,MUSTERILER!$B$7:$B$156,0))))</f>
        <v>EĞLENGÖR LTD.ŞTİ.</v>
      </c>
      <c r="O105" s="2"/>
      <c r="P105" s="2"/>
      <c r="Q105" s="1" t="str">
        <f>IF($D105="","",$C105&amp;"|"&amp;COUNTIFS($C$7:$C105,$C105))</f>
        <v>M011|6</v>
      </c>
      <c r="R105" s="1" t="str">
        <f t="shared" si="8"/>
        <v>EGLENGORLTDSTI</v>
      </c>
      <c r="S105" s="1" t="str">
        <f t="shared" si="9"/>
        <v>M011|46067|3000|</v>
      </c>
      <c r="T105" s="1">
        <f>IF($E105="",0,SUMPRODUCT((AY_SONU!$O$7:$O$42="Evet")*(AY_SONU!$B$7:$B$42=DATE(YEAR($E105),MONTH($E105),1))))</f>
        <v>0</v>
      </c>
    </row>
    <row r="106" spans="1:20" ht="18" customHeight="1" x14ac:dyDescent="0.3">
      <c r="A106" s="2"/>
      <c r="B106" s="65" t="str">
        <f t="shared" si="5"/>
        <v>T00100</v>
      </c>
      <c r="C106" s="65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M014</v>
      </c>
      <c r="D106" s="61" t="s">
        <v>725</v>
      </c>
      <c r="E106" s="66">
        <v>46067</v>
      </c>
      <c r="F106" s="67">
        <v>2000</v>
      </c>
      <c r="G106" s="60" t="s">
        <v>713</v>
      </c>
      <c r="H106" s="60" t="s">
        <v>568</v>
      </c>
      <c r="I106" s="61"/>
      <c r="J106" s="61" t="s">
        <v>717</v>
      </c>
      <c r="K106" s="61"/>
      <c r="L106" s="73">
        <f t="shared" si="6"/>
        <v>46054</v>
      </c>
      <c r="M106" s="65" t="str">
        <f t="shared" ca="1" si="7"/>
        <v>UYGUN</v>
      </c>
      <c r="N106" s="74" t="str">
        <f>IF($C106="","",IF($C106="TANIMSIZ MÜŞTERİ","—",INDEX(MUSTERILER!$C$7:$C$156,MATCH($C106,MUSTERILER!$B$7:$B$156,0))))</f>
        <v>FİNAL SİYAH BEYAZ LTD.ŞTİ.</v>
      </c>
      <c r="O106" s="2"/>
      <c r="P106" s="2"/>
      <c r="Q106" s="1" t="str">
        <f>IF($D106="","",$C106&amp;"|"&amp;COUNTIFS($C$7:$C106,$C106))</f>
        <v>M014|6</v>
      </c>
      <c r="R106" s="1" t="str">
        <f t="shared" si="8"/>
        <v>FINALSIYAHBEYAZLTDSTI</v>
      </c>
      <c r="S106" s="1" t="str">
        <f t="shared" si="9"/>
        <v>M014|46067|2000|</v>
      </c>
      <c r="T106" s="1">
        <f>IF($E106="",0,SUMPRODUCT((AY_SONU!$O$7:$O$42="Evet")*(AY_SONU!$B$7:$B$42=DATE(YEAR($E106),MONTH($E106),1))))</f>
        <v>0</v>
      </c>
    </row>
    <row r="107" spans="1:20" ht="18" customHeight="1" x14ac:dyDescent="0.3">
      <c r="A107" s="2"/>
      <c r="B107" s="65" t="str">
        <f t="shared" si="5"/>
        <v>T00101</v>
      </c>
      <c r="C107" s="65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M034</v>
      </c>
      <c r="D107" s="61" t="s">
        <v>726</v>
      </c>
      <c r="E107" s="66">
        <v>46067</v>
      </c>
      <c r="F107" s="67">
        <v>1500</v>
      </c>
      <c r="G107" s="60" t="s">
        <v>713</v>
      </c>
      <c r="H107" s="60" t="s">
        <v>568</v>
      </c>
      <c r="I107" s="61"/>
      <c r="J107" s="61" t="s">
        <v>717</v>
      </c>
      <c r="K107" s="61"/>
      <c r="L107" s="73">
        <f t="shared" si="6"/>
        <v>46054</v>
      </c>
      <c r="M107" s="65" t="str">
        <f t="shared" ca="1" si="7"/>
        <v>UYGUN</v>
      </c>
      <c r="N107" s="74" t="str">
        <f>IF($C107="","",IF($C107="TANIMSIZ MÜŞTERİ","—",INDEX(MUSTERILER!$C$7:$C$156,MATCH($C107,MUSTERILER!$B$7:$B$156,0))))</f>
        <v>İBRAHİM MALDAN</v>
      </c>
      <c r="O107" s="2"/>
      <c r="P107" s="2"/>
      <c r="Q107" s="1" t="str">
        <f>IF($D107="","",$C107&amp;"|"&amp;COUNTIFS($C$7:$C107,$C107))</f>
        <v>M034|6</v>
      </c>
      <c r="R107" s="1" t="str">
        <f t="shared" si="8"/>
        <v>IBRAHIMMALDAN</v>
      </c>
      <c r="S107" s="1" t="str">
        <f t="shared" si="9"/>
        <v>M034|46067|1500|</v>
      </c>
      <c r="T107" s="1">
        <f>IF($E107="",0,SUMPRODUCT((AY_SONU!$O$7:$O$42="Evet")*(AY_SONU!$B$7:$B$42=DATE(YEAR($E107),MONTH($E107),1))))</f>
        <v>0</v>
      </c>
    </row>
    <row r="108" spans="1:20" ht="18" customHeight="1" x14ac:dyDescent="0.3">
      <c r="A108" s="2"/>
      <c r="B108" s="65" t="str">
        <f t="shared" si="5"/>
        <v>T00102</v>
      </c>
      <c r="C108" s="65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M007</v>
      </c>
      <c r="D108" s="61" t="s">
        <v>728</v>
      </c>
      <c r="E108" s="66">
        <v>46067</v>
      </c>
      <c r="F108" s="67">
        <v>3500</v>
      </c>
      <c r="G108" s="60" t="s">
        <v>713</v>
      </c>
      <c r="H108" s="60" t="s">
        <v>568</v>
      </c>
      <c r="I108" s="61"/>
      <c r="J108" s="61" t="s">
        <v>717</v>
      </c>
      <c r="K108" s="61"/>
      <c r="L108" s="73">
        <f t="shared" si="6"/>
        <v>46054</v>
      </c>
      <c r="M108" s="65" t="str">
        <f t="shared" ca="1" si="7"/>
        <v>UYGUN</v>
      </c>
      <c r="N108" s="74" t="str">
        <f>IF($C108="","",IF($C108="TANIMSIZ MÜŞTERİ","—",INDEX(MUSTERILER!$C$7:$C$156,MATCH($C108,MUSTERILER!$B$7:$B$156,0))))</f>
        <v>MONAMOUR LTD.ŞTİ.</v>
      </c>
      <c r="O108" s="2"/>
      <c r="P108" s="2"/>
      <c r="Q108" s="1" t="str">
        <f>IF($D108="","",$C108&amp;"|"&amp;COUNTIFS($C$7:$C108,$C108))</f>
        <v>M007|7</v>
      </c>
      <c r="R108" s="1" t="str">
        <f t="shared" si="8"/>
        <v>MONAMOURLTDSTI</v>
      </c>
      <c r="S108" s="1" t="str">
        <f t="shared" si="9"/>
        <v>M007|46067|3500|</v>
      </c>
      <c r="T108" s="1">
        <f>IF($E108="",0,SUMPRODUCT((AY_SONU!$O$7:$O$42="Evet")*(AY_SONU!$B$7:$B$42=DATE(YEAR($E108),MONTH($E108),1))))</f>
        <v>0</v>
      </c>
    </row>
    <row r="109" spans="1:20" ht="18" customHeight="1" x14ac:dyDescent="0.3">
      <c r="A109" s="2"/>
      <c r="B109" s="65" t="str">
        <f t="shared" si="5"/>
        <v>T00103</v>
      </c>
      <c r="C109" s="65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M013</v>
      </c>
      <c r="D109" s="61" t="s">
        <v>729</v>
      </c>
      <c r="E109" s="66">
        <v>46067</v>
      </c>
      <c r="F109" s="67">
        <v>2000</v>
      </c>
      <c r="G109" s="60" t="s">
        <v>713</v>
      </c>
      <c r="H109" s="60" t="s">
        <v>568</v>
      </c>
      <c r="I109" s="61"/>
      <c r="J109" s="61" t="s">
        <v>717</v>
      </c>
      <c r="K109" s="61"/>
      <c r="L109" s="73">
        <f t="shared" si="6"/>
        <v>46054</v>
      </c>
      <c r="M109" s="65" t="str">
        <f t="shared" ca="1" si="7"/>
        <v>UYGUN</v>
      </c>
      <c r="N109" s="74" t="str">
        <f>IF($C109="","",IF($C109="TANIMSIZ MÜŞTERİ","—",INDEX(MUSTERILER!$C$7:$C$156,MATCH($C109,MUSTERILER!$B$7:$B$156,0))))</f>
        <v>NAZ 1 GIDA LTD.ŞTİ.</v>
      </c>
      <c r="O109" s="2"/>
      <c r="P109" s="2"/>
      <c r="Q109" s="1" t="str">
        <f>IF($D109="","",$C109&amp;"|"&amp;COUNTIFS($C$7:$C109,$C109))</f>
        <v>M013|6</v>
      </c>
      <c r="R109" s="1" t="str">
        <f t="shared" si="8"/>
        <v>NAZ1GIDALTDSTI</v>
      </c>
      <c r="S109" s="1" t="str">
        <f t="shared" si="9"/>
        <v>M013|46067|2000|</v>
      </c>
      <c r="T109" s="1">
        <f>IF($E109="",0,SUMPRODUCT((AY_SONU!$O$7:$O$42="Evet")*(AY_SONU!$B$7:$B$42=DATE(YEAR($E109),MONTH($E109),1))))</f>
        <v>0</v>
      </c>
    </row>
    <row r="110" spans="1:20" ht="18" customHeight="1" x14ac:dyDescent="0.3">
      <c r="A110" s="2"/>
      <c r="B110" s="65" t="str">
        <f t="shared" si="5"/>
        <v>T00104</v>
      </c>
      <c r="C110" s="65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M009</v>
      </c>
      <c r="D110" s="61" t="s">
        <v>730</v>
      </c>
      <c r="E110" s="66">
        <v>46067</v>
      </c>
      <c r="F110" s="67">
        <v>2000</v>
      </c>
      <c r="G110" s="60" t="s">
        <v>713</v>
      </c>
      <c r="H110" s="60" t="s">
        <v>568</v>
      </c>
      <c r="I110" s="61"/>
      <c r="J110" s="61" t="s">
        <v>717</v>
      </c>
      <c r="K110" s="61"/>
      <c r="L110" s="73">
        <f t="shared" si="6"/>
        <v>46054</v>
      </c>
      <c r="M110" s="65" t="str">
        <f t="shared" ca="1" si="7"/>
        <v>UYGUN</v>
      </c>
      <c r="N110" s="74" t="str">
        <f>IF($C110="","",IF($C110="TANIMSIZ MÜŞTERİ","—",INDEX(MUSTERILER!$C$7:$C$156,MATCH($C110,MUSTERILER!$B$7:$B$156,0))))</f>
        <v>PAKYILDIZ LTD.ŞTİ.</v>
      </c>
      <c r="O110" s="2"/>
      <c r="P110" s="2"/>
      <c r="Q110" s="1" t="str">
        <f>IF($D110="","",$C110&amp;"|"&amp;COUNTIFS($C$7:$C110,$C110))</f>
        <v>M009|6</v>
      </c>
      <c r="R110" s="1" t="str">
        <f t="shared" si="8"/>
        <v>PAKYILDIZLTDSTI</v>
      </c>
      <c r="S110" s="1" t="str">
        <f t="shared" si="9"/>
        <v>M009|46067|2000|</v>
      </c>
      <c r="T110" s="1">
        <f>IF($E110="",0,SUMPRODUCT((AY_SONU!$O$7:$O$42="Evet")*(AY_SONU!$B$7:$B$42=DATE(YEAR($E110),MONTH($E110),1))))</f>
        <v>0</v>
      </c>
    </row>
    <row r="111" spans="1:20" ht="18" customHeight="1" x14ac:dyDescent="0.3">
      <c r="A111" s="2"/>
      <c r="B111" s="65" t="str">
        <f t="shared" si="5"/>
        <v>T00105</v>
      </c>
      <c r="C111" s="65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M016</v>
      </c>
      <c r="D111" s="61" t="s">
        <v>731</v>
      </c>
      <c r="E111" s="66">
        <v>46067</v>
      </c>
      <c r="F111" s="67">
        <v>4000</v>
      </c>
      <c r="G111" s="60" t="s">
        <v>713</v>
      </c>
      <c r="H111" s="60" t="s">
        <v>568</v>
      </c>
      <c r="I111" s="61"/>
      <c r="J111" s="61" t="s">
        <v>717</v>
      </c>
      <c r="K111" s="61"/>
      <c r="L111" s="73">
        <f t="shared" si="6"/>
        <v>46054</v>
      </c>
      <c r="M111" s="65" t="str">
        <f t="shared" ca="1" si="7"/>
        <v>UYGUN</v>
      </c>
      <c r="N111" s="74" t="str">
        <f>IF($C111="","",IF($C111="TANIMSIZ MÜŞTERİ","—",INDEX(MUSTERILER!$C$7:$C$156,MATCH($C111,MUSTERILER!$B$7:$B$156,0))))</f>
        <v>RİX ŞOW LTD.ŞTİ.</v>
      </c>
      <c r="O111" s="2"/>
      <c r="P111" s="2"/>
      <c r="Q111" s="1" t="str">
        <f>IF($D111="","",$C111&amp;"|"&amp;COUNTIFS($C$7:$C111,$C111))</f>
        <v>M016|7</v>
      </c>
      <c r="R111" s="1" t="str">
        <f t="shared" si="8"/>
        <v>RIXSOWLTDSTI</v>
      </c>
      <c r="S111" s="1" t="str">
        <f t="shared" si="9"/>
        <v>M016|46067|4000|</v>
      </c>
      <c r="T111" s="1">
        <f>IF($E111="",0,SUMPRODUCT((AY_SONU!$O$7:$O$42="Evet")*(AY_SONU!$B$7:$B$42=DATE(YEAR($E111),MONTH($E111),1))))</f>
        <v>0</v>
      </c>
    </row>
    <row r="112" spans="1:20" ht="18" customHeight="1" x14ac:dyDescent="0.3">
      <c r="A112" s="2"/>
      <c r="B112" s="65" t="str">
        <f t="shared" si="5"/>
        <v>T00106</v>
      </c>
      <c r="C112" s="65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M005</v>
      </c>
      <c r="D112" s="61" t="s">
        <v>732</v>
      </c>
      <c r="E112" s="66">
        <v>46067</v>
      </c>
      <c r="F112" s="67">
        <v>1750</v>
      </c>
      <c r="G112" s="60" t="s">
        <v>713</v>
      </c>
      <c r="H112" s="60" t="s">
        <v>568</v>
      </c>
      <c r="I112" s="61"/>
      <c r="J112" s="61" t="s">
        <v>717</v>
      </c>
      <c r="K112" s="61"/>
      <c r="L112" s="73">
        <f t="shared" si="6"/>
        <v>46054</v>
      </c>
      <c r="M112" s="65" t="str">
        <f t="shared" ca="1" si="7"/>
        <v>UYGUN</v>
      </c>
      <c r="N112" s="74" t="str">
        <f>IF($C112="","",IF($C112="TANIMSIZ MÜŞTERİ","—",INDEX(MUSTERILER!$C$7:$C$156,MATCH($C112,MUSTERILER!$B$7:$B$156,0))))</f>
        <v>ZÜMRÜT GRUP LTD.ŞTİ.</v>
      </c>
      <c r="O112" s="2"/>
      <c r="P112" s="2"/>
      <c r="Q112" s="1" t="str">
        <f>IF($D112="","",$C112&amp;"|"&amp;COUNTIFS($C$7:$C112,$C112))</f>
        <v>M005|7</v>
      </c>
      <c r="R112" s="1" t="str">
        <f t="shared" si="8"/>
        <v>ZUMRUTGRUPLTDSTI</v>
      </c>
      <c r="S112" s="1" t="str">
        <f t="shared" si="9"/>
        <v>M005|46067|1750|</v>
      </c>
      <c r="T112" s="1">
        <f>IF($E112="",0,SUMPRODUCT((AY_SONU!$O$7:$O$42="Evet")*(AY_SONU!$B$7:$B$42=DATE(YEAR($E112),MONTH($E112),1))))</f>
        <v>0</v>
      </c>
    </row>
    <row r="113" spans="1:20" ht="18" customHeight="1" x14ac:dyDescent="0.3">
      <c r="A113" s="2"/>
      <c r="B113" s="65" t="str">
        <f t="shared" si="5"/>
        <v>T00107</v>
      </c>
      <c r="C113" s="65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M035</v>
      </c>
      <c r="D113" s="61" t="s">
        <v>611</v>
      </c>
      <c r="E113" s="66">
        <v>46067</v>
      </c>
      <c r="F113" s="67">
        <v>3500</v>
      </c>
      <c r="G113" s="60" t="s">
        <v>713</v>
      </c>
      <c r="H113" s="60" t="s">
        <v>568</v>
      </c>
      <c r="I113" s="61"/>
      <c r="J113" s="61" t="s">
        <v>717</v>
      </c>
      <c r="K113" s="61"/>
      <c r="L113" s="73">
        <f t="shared" si="6"/>
        <v>46054</v>
      </c>
      <c r="M113" s="65" t="str">
        <f t="shared" ca="1" si="7"/>
        <v>UYGUN</v>
      </c>
      <c r="N113" s="74" t="str">
        <f>IF($C113="","",IF($C113="TANIMSIZ MÜŞTERİ","—",INDEX(MUSTERILER!$C$7:$C$156,MATCH($C113,MUSTERILER!$B$7:$B$156,0))))</f>
        <v>İSA DEMİRCİ</v>
      </c>
      <c r="O113" s="2"/>
      <c r="P113" s="2"/>
      <c r="Q113" s="1" t="str">
        <f>IF($D113="","",$C113&amp;"|"&amp;COUNTIFS($C$7:$C113,$C113))</f>
        <v>M035|1</v>
      </c>
      <c r="R113" s="1" t="str">
        <f t="shared" si="8"/>
        <v>ISADEMIRCI</v>
      </c>
      <c r="S113" s="1" t="str">
        <f t="shared" si="9"/>
        <v>M035|46067|3500|</v>
      </c>
      <c r="T113" s="1">
        <f>IF($E113="",0,SUMPRODUCT((AY_SONU!$O$7:$O$42="Evet")*(AY_SONU!$B$7:$B$42=DATE(YEAR($E113),MONTH($E113),1))))</f>
        <v>0</v>
      </c>
    </row>
    <row r="114" spans="1:20" ht="18" customHeight="1" x14ac:dyDescent="0.3">
      <c r="A114" s="2"/>
      <c r="B114" s="65" t="str">
        <f t="shared" si="5"/>
        <v>T00108</v>
      </c>
      <c r="C114" s="65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M020</v>
      </c>
      <c r="D114" s="61" t="s">
        <v>619</v>
      </c>
      <c r="E114" s="66">
        <v>46067</v>
      </c>
      <c r="F114" s="67">
        <v>3000</v>
      </c>
      <c r="G114" s="60" t="s">
        <v>713</v>
      </c>
      <c r="H114" s="60" t="s">
        <v>568</v>
      </c>
      <c r="I114" s="61"/>
      <c r="J114" s="61" t="s">
        <v>717</v>
      </c>
      <c r="K114" s="61"/>
      <c r="L114" s="73">
        <f t="shared" si="6"/>
        <v>46054</v>
      </c>
      <c r="M114" s="65" t="str">
        <f t="shared" ca="1" si="7"/>
        <v>UYGUN</v>
      </c>
      <c r="N114" s="74" t="str">
        <f>IF($C114="","",IF($C114="TANIMSIZ MÜŞTERİ","—",INDEX(MUSTERILER!$C$7:$C$156,MATCH($C114,MUSTERILER!$B$7:$B$156,0))))</f>
        <v>KRİSTAL LTD.ŞTİ.</v>
      </c>
      <c r="O114" s="2"/>
      <c r="P114" s="2"/>
      <c r="Q114" s="1" t="str">
        <f>IF($D114="","",$C114&amp;"|"&amp;COUNTIFS($C$7:$C114,$C114))</f>
        <v>M020|6</v>
      </c>
      <c r="R114" s="1" t="str">
        <f t="shared" si="8"/>
        <v>KRISTALLTDSTI</v>
      </c>
      <c r="S114" s="1" t="str">
        <f t="shared" si="9"/>
        <v>M020|46067|3000|</v>
      </c>
      <c r="T114" s="1">
        <f>IF($E114="",0,SUMPRODUCT((AY_SONU!$O$7:$O$42="Evet")*(AY_SONU!$B$7:$B$42=DATE(YEAR($E114),MONTH($E114),1))))</f>
        <v>0</v>
      </c>
    </row>
    <row r="115" spans="1:20" ht="18" customHeight="1" x14ac:dyDescent="0.3">
      <c r="A115" s="2"/>
      <c r="B115" s="65" t="str">
        <f t="shared" si="5"/>
        <v>T00109</v>
      </c>
      <c r="C115" s="65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M019</v>
      </c>
      <c r="D115" s="61" t="s">
        <v>566</v>
      </c>
      <c r="E115" s="66">
        <v>46071</v>
      </c>
      <c r="F115" s="67">
        <v>3000</v>
      </c>
      <c r="G115" s="60" t="s">
        <v>713</v>
      </c>
      <c r="H115" s="60" t="s">
        <v>568</v>
      </c>
      <c r="I115" s="61"/>
      <c r="J115" s="61" t="s">
        <v>717</v>
      </c>
      <c r="K115" s="61"/>
      <c r="L115" s="73">
        <f t="shared" si="6"/>
        <v>46054</v>
      </c>
      <c r="M115" s="65" t="str">
        <f t="shared" ca="1" si="7"/>
        <v>UYGUN</v>
      </c>
      <c r="N115" s="74" t="str">
        <f>IF($C115="","",IF($C115="TANIMSIZ MÜŞTERİ","—",INDEX(MUSTERILER!$C$7:$C$156,MATCH($C115,MUSTERILER!$B$7:$B$156,0))))</f>
        <v>AC OTEL LTD.ŞTİ.</v>
      </c>
      <c r="O115" s="2"/>
      <c r="P115" s="2"/>
      <c r="Q115" s="1" t="str">
        <f>IF($D115="","",$C115&amp;"|"&amp;COUNTIFS($C$7:$C115,$C115))</f>
        <v>M019|2</v>
      </c>
      <c r="R115" s="1" t="str">
        <f t="shared" si="8"/>
        <v>ACOTELLTDSTI</v>
      </c>
      <c r="S115" s="1" t="str">
        <f t="shared" si="9"/>
        <v>M019|46071|3000|</v>
      </c>
      <c r="T115" s="1">
        <f>IF($E115="",0,SUMPRODUCT((AY_SONU!$O$7:$O$42="Evet")*(AY_SONU!$B$7:$B$42=DATE(YEAR($E115),MONTH($E115),1))))</f>
        <v>0</v>
      </c>
    </row>
    <row r="116" spans="1:20" ht="18" customHeight="1" x14ac:dyDescent="0.3">
      <c r="A116" s="2"/>
      <c r="B116" s="65" t="str">
        <f t="shared" si="5"/>
        <v>T00110</v>
      </c>
      <c r="C116" s="65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M017</v>
      </c>
      <c r="D116" s="61" t="s">
        <v>581</v>
      </c>
      <c r="E116" s="66">
        <v>46074</v>
      </c>
      <c r="F116" s="67">
        <v>2500</v>
      </c>
      <c r="G116" s="60" t="s">
        <v>715</v>
      </c>
      <c r="H116" s="60" t="s">
        <v>568</v>
      </c>
      <c r="I116" s="61"/>
      <c r="J116" s="61" t="s">
        <v>717</v>
      </c>
      <c r="K116" s="61"/>
      <c r="L116" s="73">
        <f t="shared" si="6"/>
        <v>46054</v>
      </c>
      <c r="M116" s="65" t="str">
        <f t="shared" ca="1" si="7"/>
        <v>UYGUN</v>
      </c>
      <c r="N116" s="74" t="str">
        <f>IF($C116="","",IF($C116="TANIMSIZ MÜŞTERİ","—",INDEX(MUSTERILER!$C$7:$C$156,MATCH($C116,MUSTERILER!$B$7:$B$156,0))))</f>
        <v>ASM EĞLENCE LTD.ŞTİ.</v>
      </c>
      <c r="O116" s="2"/>
      <c r="P116" s="2"/>
      <c r="Q116" s="1" t="str">
        <f>IF($D116="","",$C116&amp;"|"&amp;COUNTIFS($C$7:$C116,$C116))</f>
        <v>M017|6</v>
      </c>
      <c r="R116" s="1" t="str">
        <f t="shared" si="8"/>
        <v>ASMEGLENCELTDSTI</v>
      </c>
      <c r="S116" s="1" t="str">
        <f t="shared" si="9"/>
        <v>M017|46074|2500|</v>
      </c>
      <c r="T116" s="1">
        <f>IF($E116="",0,SUMPRODUCT((AY_SONU!$O$7:$O$42="Evet")*(AY_SONU!$B$7:$B$42=DATE(YEAR($E116),MONTH($E116),1))))</f>
        <v>0</v>
      </c>
    </row>
    <row r="117" spans="1:20" ht="18" customHeight="1" x14ac:dyDescent="0.3">
      <c r="A117" s="2"/>
      <c r="B117" s="65" t="str">
        <f t="shared" si="5"/>
        <v>T00111</v>
      </c>
      <c r="C117" s="65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M012</v>
      </c>
      <c r="D117" s="61" t="s">
        <v>727</v>
      </c>
      <c r="E117" s="66">
        <v>46074</v>
      </c>
      <c r="F117" s="67">
        <v>4000</v>
      </c>
      <c r="G117" s="60" t="s">
        <v>715</v>
      </c>
      <c r="H117" s="60" t="s">
        <v>568</v>
      </c>
      <c r="I117" s="61"/>
      <c r="J117" s="61" t="s">
        <v>716</v>
      </c>
      <c r="K117" s="61"/>
      <c r="L117" s="73">
        <f t="shared" si="6"/>
        <v>46054</v>
      </c>
      <c r="M117" s="65" t="str">
        <f t="shared" ca="1" si="7"/>
        <v>UYGUN</v>
      </c>
      <c r="N117" s="74" t="str">
        <f>IF($C117="","",IF($C117="TANIMSIZ MÜŞTERİ","—",INDEX(MUSTERILER!$C$7:$C$156,MATCH($C117,MUSTERILER!$B$7:$B$156,0))))</f>
        <v>İLDEŞ LTD.ŞTİ.</v>
      </c>
      <c r="O117" s="2"/>
      <c r="P117" s="2"/>
      <c r="Q117" s="1" t="str">
        <f>IF($D117="","",$C117&amp;"|"&amp;COUNTIFS($C$7:$C117,$C117))</f>
        <v>M012|5</v>
      </c>
      <c r="R117" s="1" t="str">
        <f t="shared" si="8"/>
        <v>ILDESLTDSTI</v>
      </c>
      <c r="S117" s="1" t="str">
        <f t="shared" si="9"/>
        <v>M012|46074|4000|</v>
      </c>
      <c r="T117" s="1">
        <f>IF($E117="",0,SUMPRODUCT((AY_SONU!$O$7:$O$42="Evet")*(AY_SONU!$B$7:$B$42=DATE(YEAR($E117),MONTH($E117),1))))</f>
        <v>0</v>
      </c>
    </row>
    <row r="118" spans="1:20" ht="18" customHeight="1" x14ac:dyDescent="0.3">
      <c r="A118" s="2"/>
      <c r="B118" s="65" t="str">
        <f t="shared" si="5"/>
        <v>T00112</v>
      </c>
      <c r="C118" s="65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M010</v>
      </c>
      <c r="D118" s="61" t="s">
        <v>733</v>
      </c>
      <c r="E118" s="66">
        <v>46074</v>
      </c>
      <c r="F118" s="67">
        <v>8000</v>
      </c>
      <c r="G118" s="60" t="s">
        <v>715</v>
      </c>
      <c r="H118" s="60" t="s">
        <v>568</v>
      </c>
      <c r="I118" s="61"/>
      <c r="J118" s="61" t="s">
        <v>716</v>
      </c>
      <c r="K118" s="61"/>
      <c r="L118" s="73">
        <f t="shared" si="6"/>
        <v>46054</v>
      </c>
      <c r="M118" s="65" t="str">
        <f t="shared" ca="1" si="7"/>
        <v>UYGUN</v>
      </c>
      <c r="N118" s="74" t="str">
        <f>IF($C118="","",IF($C118="TANIMSIZ MÜŞTERİ","—",INDEX(MUSTERILER!$C$7:$C$156,MATCH($C118,MUSTERILER!$B$7:$B$156,0))))</f>
        <v>ÖZFİDANLAR LTD.ŞTİ.</v>
      </c>
      <c r="O118" s="2"/>
      <c r="P118" s="2"/>
      <c r="Q118" s="1" t="str">
        <f>IF($D118="","",$C118&amp;"|"&amp;COUNTIFS($C$7:$C118,$C118))</f>
        <v>M010|5</v>
      </c>
      <c r="R118" s="1" t="str">
        <f t="shared" si="8"/>
        <v>OZFIDANLARLTDSTI</v>
      </c>
      <c r="S118" s="1" t="str">
        <f t="shared" si="9"/>
        <v>M010|46074|8000|</v>
      </c>
      <c r="T118" s="1">
        <f>IF($E118="",0,SUMPRODUCT((AY_SONU!$O$7:$O$42="Evet")*(AY_SONU!$B$7:$B$42=DATE(YEAR($E118),MONTH($E118),1))))</f>
        <v>0</v>
      </c>
    </row>
    <row r="119" spans="1:20" ht="18" customHeight="1" x14ac:dyDescent="0.3">
      <c r="A119" s="2"/>
      <c r="B119" s="65" t="str">
        <f t="shared" si="5"/>
        <v>T00113</v>
      </c>
      <c r="C119" s="65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M016</v>
      </c>
      <c r="D119" s="61" t="s">
        <v>731</v>
      </c>
      <c r="E119" s="66">
        <v>46074</v>
      </c>
      <c r="F119" s="67">
        <v>3000</v>
      </c>
      <c r="G119" s="60" t="s">
        <v>715</v>
      </c>
      <c r="H119" s="60" t="s">
        <v>568</v>
      </c>
      <c r="I119" s="61"/>
      <c r="J119" s="61" t="s">
        <v>716</v>
      </c>
      <c r="K119" s="61"/>
      <c r="L119" s="73">
        <f t="shared" si="6"/>
        <v>46054</v>
      </c>
      <c r="M119" s="65" t="str">
        <f t="shared" ca="1" si="7"/>
        <v>UYGUN</v>
      </c>
      <c r="N119" s="74" t="str">
        <f>IF($C119="","",IF($C119="TANIMSIZ MÜŞTERİ","—",INDEX(MUSTERILER!$C$7:$C$156,MATCH($C119,MUSTERILER!$B$7:$B$156,0))))</f>
        <v>RİX ŞOW LTD.ŞTİ.</v>
      </c>
      <c r="O119" s="2"/>
      <c r="P119" s="2"/>
      <c r="Q119" s="1" t="str">
        <f>IF($D119="","",$C119&amp;"|"&amp;COUNTIFS($C$7:$C119,$C119))</f>
        <v>M016|8</v>
      </c>
      <c r="R119" s="1" t="str">
        <f t="shared" si="8"/>
        <v>RIXSOWLTDSTI</v>
      </c>
      <c r="S119" s="1" t="str">
        <f t="shared" si="9"/>
        <v>M016|46074|3000|</v>
      </c>
      <c r="T119" s="1">
        <f>IF($E119="",0,SUMPRODUCT((AY_SONU!$O$7:$O$42="Evet")*(AY_SONU!$B$7:$B$42=DATE(YEAR($E119),MONTH($E119),1))))</f>
        <v>0</v>
      </c>
    </row>
    <row r="120" spans="1:20" ht="18" customHeight="1" x14ac:dyDescent="0.3">
      <c r="A120" s="2"/>
      <c r="B120" s="65" t="str">
        <f t="shared" si="5"/>
        <v>T00114</v>
      </c>
      <c r="C120" s="65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M011</v>
      </c>
      <c r="D120" s="61" t="s">
        <v>593</v>
      </c>
      <c r="E120" s="66">
        <v>46074</v>
      </c>
      <c r="F120" s="67">
        <v>3000</v>
      </c>
      <c r="G120" s="60" t="s">
        <v>713</v>
      </c>
      <c r="H120" s="60" t="s">
        <v>568</v>
      </c>
      <c r="I120" s="61"/>
      <c r="J120" s="61" t="s">
        <v>717</v>
      </c>
      <c r="K120" s="61"/>
      <c r="L120" s="73">
        <f t="shared" si="6"/>
        <v>46054</v>
      </c>
      <c r="M120" s="65" t="str">
        <f t="shared" ca="1" si="7"/>
        <v>UYGUN</v>
      </c>
      <c r="N120" s="74" t="str">
        <f>IF($C120="","",IF($C120="TANIMSIZ MÜŞTERİ","—",INDEX(MUSTERILER!$C$7:$C$156,MATCH($C120,MUSTERILER!$B$7:$B$156,0))))</f>
        <v>EĞLENGÖR LTD.ŞTİ.</v>
      </c>
      <c r="O120" s="2"/>
      <c r="P120" s="2"/>
      <c r="Q120" s="1" t="str">
        <f>IF($D120="","",$C120&amp;"|"&amp;COUNTIFS($C$7:$C120,$C120))</f>
        <v>M011|7</v>
      </c>
      <c r="R120" s="1" t="str">
        <f t="shared" si="8"/>
        <v>EGLENGORLTDSTI</v>
      </c>
      <c r="S120" s="1" t="str">
        <f t="shared" si="9"/>
        <v>M011|46074|3000|</v>
      </c>
      <c r="T120" s="1">
        <f>IF($E120="",0,SUMPRODUCT((AY_SONU!$O$7:$O$42="Evet")*(AY_SONU!$B$7:$B$42=DATE(YEAR($E120),MONTH($E120),1))))</f>
        <v>0</v>
      </c>
    </row>
    <row r="121" spans="1:20" ht="18" customHeight="1" x14ac:dyDescent="0.3">
      <c r="A121" s="2"/>
      <c r="B121" s="65" t="str">
        <f t="shared" si="5"/>
        <v>T00115</v>
      </c>
      <c r="C121" s="65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M020</v>
      </c>
      <c r="D121" s="61" t="s">
        <v>619</v>
      </c>
      <c r="E121" s="66">
        <v>46074</v>
      </c>
      <c r="F121" s="67">
        <v>3000</v>
      </c>
      <c r="G121" s="60" t="s">
        <v>715</v>
      </c>
      <c r="H121" s="60" t="s">
        <v>568</v>
      </c>
      <c r="I121" s="61"/>
      <c r="J121" s="61" t="s">
        <v>717</v>
      </c>
      <c r="K121" s="61"/>
      <c r="L121" s="73">
        <f t="shared" si="6"/>
        <v>46054</v>
      </c>
      <c r="M121" s="65" t="str">
        <f t="shared" ca="1" si="7"/>
        <v>UYGUN</v>
      </c>
      <c r="N121" s="74" t="str">
        <f>IF($C121="","",IF($C121="TANIMSIZ MÜŞTERİ","—",INDEX(MUSTERILER!$C$7:$C$156,MATCH($C121,MUSTERILER!$B$7:$B$156,0))))</f>
        <v>KRİSTAL LTD.ŞTİ.</v>
      </c>
      <c r="O121" s="2"/>
      <c r="P121" s="2"/>
      <c r="Q121" s="1" t="str">
        <f>IF($D121="","",$C121&amp;"|"&amp;COUNTIFS($C$7:$C121,$C121))</f>
        <v>M020|7</v>
      </c>
      <c r="R121" s="1" t="str">
        <f t="shared" si="8"/>
        <v>KRISTALLTDSTI</v>
      </c>
      <c r="S121" s="1" t="str">
        <f t="shared" si="9"/>
        <v>M020|46074|3000|</v>
      </c>
      <c r="T121" s="1">
        <f>IF($E121="",0,SUMPRODUCT((AY_SONU!$O$7:$O$42="Evet")*(AY_SONU!$B$7:$B$42=DATE(YEAR($E121),MONTH($E121),1))))</f>
        <v>0</v>
      </c>
    </row>
    <row r="122" spans="1:20" ht="18" customHeight="1" x14ac:dyDescent="0.3">
      <c r="A122" s="2"/>
      <c r="B122" s="65" t="str">
        <f t="shared" si="5"/>
        <v>T00116</v>
      </c>
      <c r="C122" s="65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M003</v>
      </c>
      <c r="D122" s="61" t="s">
        <v>661</v>
      </c>
      <c r="E122" s="66">
        <v>46077</v>
      </c>
      <c r="F122" s="67">
        <v>12000</v>
      </c>
      <c r="G122" s="60" t="s">
        <v>713</v>
      </c>
      <c r="H122" s="60" t="s">
        <v>568</v>
      </c>
      <c r="I122" s="61"/>
      <c r="J122" s="61" t="s">
        <v>717</v>
      </c>
      <c r="K122" s="61"/>
      <c r="L122" s="73">
        <f t="shared" si="6"/>
        <v>46054</v>
      </c>
      <c r="M122" s="65" t="str">
        <f t="shared" ca="1" si="7"/>
        <v>UYGUN</v>
      </c>
      <c r="N122" s="74" t="str">
        <f>IF($C122="","",IF($C122="TANIMSIZ MÜŞTERİ","—",INDEX(MUSTERILER!$C$7:$C$156,MATCH($C122,MUSTERILER!$B$7:$B$156,0))))</f>
        <v>TYANA LTD.ŞTİ.</v>
      </c>
      <c r="O122" s="2"/>
      <c r="P122" s="2"/>
      <c r="Q122" s="1" t="str">
        <f>IF($D122="","",$C122&amp;"|"&amp;COUNTIFS($C$7:$C122,$C122))</f>
        <v>M003|2</v>
      </c>
      <c r="R122" s="1" t="str">
        <f t="shared" si="8"/>
        <v>TYANALTDSTI</v>
      </c>
      <c r="S122" s="1" t="str">
        <f t="shared" si="9"/>
        <v>M003|46077|12000|</v>
      </c>
      <c r="T122" s="1">
        <f>IF($E122="",0,SUMPRODUCT((AY_SONU!$O$7:$O$42="Evet")*(AY_SONU!$B$7:$B$42=DATE(YEAR($E122),MONTH($E122),1))))</f>
        <v>0</v>
      </c>
    </row>
    <row r="123" spans="1:20" ht="18" customHeight="1" x14ac:dyDescent="0.3">
      <c r="A123" s="2"/>
      <c r="B123" s="65" t="str">
        <f t="shared" si="5"/>
        <v>T00117</v>
      </c>
      <c r="C123" s="65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M023</v>
      </c>
      <c r="D123" s="61" t="s">
        <v>572</v>
      </c>
      <c r="E123" s="66">
        <v>46081</v>
      </c>
      <c r="F123" s="67">
        <v>12000</v>
      </c>
      <c r="G123" s="60" t="s">
        <v>715</v>
      </c>
      <c r="H123" s="60" t="s">
        <v>568</v>
      </c>
      <c r="I123" s="61"/>
      <c r="J123" s="61" t="s">
        <v>718</v>
      </c>
      <c r="K123" s="61"/>
      <c r="L123" s="73">
        <f t="shared" si="6"/>
        <v>46054</v>
      </c>
      <c r="M123" s="65" t="str">
        <f t="shared" ca="1" si="7"/>
        <v>UYGUN</v>
      </c>
      <c r="N123" s="74" t="str">
        <f>IF($C123="","",IF($C123="TANIMSIZ MÜŞTERİ","—",INDEX(MUSTERILER!$C$7:$C$156,MATCH($C123,MUSTERILER!$B$7:$B$156,0))))</f>
        <v>ALTINEL LTD.ŞTİ.</v>
      </c>
      <c r="O123" s="2"/>
      <c r="P123" s="2"/>
      <c r="Q123" s="1" t="str">
        <f>IF($D123="","",$C123&amp;"|"&amp;COUNTIFS($C$7:$C123,$C123))</f>
        <v>M023|2</v>
      </c>
      <c r="R123" s="1" t="str">
        <f t="shared" si="8"/>
        <v>ALTINELLTDSTI</v>
      </c>
      <c r="S123" s="1" t="str">
        <f t="shared" si="9"/>
        <v>M023|46081|12000|</v>
      </c>
      <c r="T123" s="1">
        <f>IF($E123="",0,SUMPRODUCT((AY_SONU!$O$7:$O$42="Evet")*(AY_SONU!$B$7:$B$42=DATE(YEAR($E123),MONTH($E123),1))))</f>
        <v>0</v>
      </c>
    </row>
    <row r="124" spans="1:20" ht="18" customHeight="1" x14ac:dyDescent="0.3">
      <c r="A124" s="2"/>
      <c r="B124" s="65" t="str">
        <f t="shared" si="5"/>
        <v>T00118</v>
      </c>
      <c r="C124" s="65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M025</v>
      </c>
      <c r="D124" s="61" t="s">
        <v>579</v>
      </c>
      <c r="E124" s="66">
        <v>46081</v>
      </c>
      <c r="F124" s="67">
        <v>2000</v>
      </c>
      <c r="G124" s="60" t="s">
        <v>713</v>
      </c>
      <c r="H124" s="60" t="s">
        <v>568</v>
      </c>
      <c r="I124" s="61"/>
      <c r="J124" s="61" t="s">
        <v>717</v>
      </c>
      <c r="K124" s="61"/>
      <c r="L124" s="73">
        <f t="shared" si="6"/>
        <v>46054</v>
      </c>
      <c r="M124" s="65" t="str">
        <f t="shared" ca="1" si="7"/>
        <v>UYGUN</v>
      </c>
      <c r="N124" s="74" t="str">
        <f>IF($C124="","",IF($C124="TANIMSIZ MÜŞTERİ","—",INDEX(MUSTERILER!$C$7:$C$156,MATCH($C124,MUSTERILER!$B$7:$B$156,0))))</f>
        <v>ASIM AÇIKGÖZ</v>
      </c>
      <c r="O124" s="2"/>
      <c r="P124" s="2"/>
      <c r="Q124" s="1" t="str">
        <f>IF($D124="","",$C124&amp;"|"&amp;COUNTIFS($C$7:$C124,$C124))</f>
        <v>M025|6</v>
      </c>
      <c r="R124" s="1" t="str">
        <f t="shared" si="8"/>
        <v>ASIMACIKGOZ</v>
      </c>
      <c r="S124" s="1" t="str">
        <f t="shared" si="9"/>
        <v>M025|46081|2000|</v>
      </c>
      <c r="T124" s="1">
        <f>IF($E124="",0,SUMPRODUCT((AY_SONU!$O$7:$O$42="Evet")*(AY_SONU!$B$7:$B$42=DATE(YEAR($E124),MONTH($E124),1))))</f>
        <v>0</v>
      </c>
    </row>
    <row r="125" spans="1:20" ht="18" customHeight="1" x14ac:dyDescent="0.3">
      <c r="A125" s="2"/>
      <c r="B125" s="65" t="str">
        <f t="shared" si="5"/>
        <v>T00119</v>
      </c>
      <c r="C125" s="65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M014</v>
      </c>
      <c r="D125" s="61" t="s">
        <v>725</v>
      </c>
      <c r="E125" s="66">
        <v>46081</v>
      </c>
      <c r="F125" s="67">
        <v>4000</v>
      </c>
      <c r="G125" s="60" t="s">
        <v>713</v>
      </c>
      <c r="H125" s="60" t="s">
        <v>568</v>
      </c>
      <c r="I125" s="61"/>
      <c r="J125" s="61" t="s">
        <v>717</v>
      </c>
      <c r="K125" s="61"/>
      <c r="L125" s="73">
        <f t="shared" si="6"/>
        <v>46054</v>
      </c>
      <c r="M125" s="65" t="str">
        <f t="shared" ca="1" si="7"/>
        <v>UYGUN</v>
      </c>
      <c r="N125" s="74" t="str">
        <f>IF($C125="","",IF($C125="TANIMSIZ MÜŞTERİ","—",INDEX(MUSTERILER!$C$7:$C$156,MATCH($C125,MUSTERILER!$B$7:$B$156,0))))</f>
        <v>FİNAL SİYAH BEYAZ LTD.ŞTİ.</v>
      </c>
      <c r="O125" s="2"/>
      <c r="P125" s="2"/>
      <c r="Q125" s="1" t="str">
        <f>IF($D125="","",$C125&amp;"|"&amp;COUNTIFS($C$7:$C125,$C125))</f>
        <v>M014|7</v>
      </c>
      <c r="R125" s="1" t="str">
        <f t="shared" si="8"/>
        <v>FINALSIYAHBEYAZLTDSTI</v>
      </c>
      <c r="S125" s="1" t="str">
        <f t="shared" si="9"/>
        <v>M014|46081|4000|</v>
      </c>
      <c r="T125" s="1">
        <f>IF($E125="",0,SUMPRODUCT((AY_SONU!$O$7:$O$42="Evet")*(AY_SONU!$B$7:$B$42=DATE(YEAR($E125),MONTH($E125),1))))</f>
        <v>0</v>
      </c>
    </row>
    <row r="126" spans="1:20" ht="18" customHeight="1" x14ac:dyDescent="0.3">
      <c r="A126" s="2"/>
      <c r="B126" s="65" t="str">
        <f t="shared" si="5"/>
        <v>T00120</v>
      </c>
      <c r="C126" s="65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M012</v>
      </c>
      <c r="D126" s="61" t="s">
        <v>727</v>
      </c>
      <c r="E126" s="66">
        <v>46081</v>
      </c>
      <c r="F126" s="67">
        <v>4000</v>
      </c>
      <c r="G126" s="60" t="s">
        <v>713</v>
      </c>
      <c r="H126" s="60" t="s">
        <v>568</v>
      </c>
      <c r="I126" s="61"/>
      <c r="J126" s="61" t="s">
        <v>717</v>
      </c>
      <c r="K126" s="61"/>
      <c r="L126" s="73">
        <f t="shared" si="6"/>
        <v>46054</v>
      </c>
      <c r="M126" s="65" t="str">
        <f t="shared" ca="1" si="7"/>
        <v>UYGUN</v>
      </c>
      <c r="N126" s="74" t="str">
        <f>IF($C126="","",IF($C126="TANIMSIZ MÜŞTERİ","—",INDEX(MUSTERILER!$C$7:$C$156,MATCH($C126,MUSTERILER!$B$7:$B$156,0))))</f>
        <v>İLDEŞ LTD.ŞTİ.</v>
      </c>
      <c r="O126" s="2"/>
      <c r="P126" s="2"/>
      <c r="Q126" s="1" t="str">
        <f>IF($D126="","",$C126&amp;"|"&amp;COUNTIFS($C$7:$C126,$C126))</f>
        <v>M012|6</v>
      </c>
      <c r="R126" s="1" t="str">
        <f t="shared" si="8"/>
        <v>ILDESLTDSTI</v>
      </c>
      <c r="S126" s="1" t="str">
        <f t="shared" si="9"/>
        <v>M012|46081|4000|</v>
      </c>
      <c r="T126" s="1">
        <f>IF($E126="",0,SUMPRODUCT((AY_SONU!$O$7:$O$42="Evet")*(AY_SONU!$B$7:$B$42=DATE(YEAR($E126),MONTH($E126),1))))</f>
        <v>0</v>
      </c>
    </row>
    <row r="127" spans="1:20" ht="18" customHeight="1" x14ac:dyDescent="0.3">
      <c r="A127" s="2"/>
      <c r="B127" s="65" t="str">
        <f t="shared" si="5"/>
        <v>T00121</v>
      </c>
      <c r="C127" s="65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M004</v>
      </c>
      <c r="D127" s="61" t="s">
        <v>734</v>
      </c>
      <c r="E127" s="66">
        <v>46081</v>
      </c>
      <c r="F127" s="67">
        <v>3500</v>
      </c>
      <c r="G127" s="60" t="s">
        <v>713</v>
      </c>
      <c r="H127" s="60" t="s">
        <v>568</v>
      </c>
      <c r="I127" s="61"/>
      <c r="J127" s="61" t="s">
        <v>717</v>
      </c>
      <c r="K127" s="61"/>
      <c r="L127" s="73">
        <f t="shared" si="6"/>
        <v>46054</v>
      </c>
      <c r="M127" s="65" t="str">
        <f t="shared" ca="1" si="7"/>
        <v>UYGUN</v>
      </c>
      <c r="N127" s="74" t="str">
        <f>IF($C127="","",IF($C127="TANIMSIZ MÜŞTERİ","—",INDEX(MUSTERILER!$C$7:$C$156,MATCH($C127,MUSTERILER!$B$7:$B$156,0))))</f>
        <v>ZÜMRÜT EĞLENCE LTD.ŞTİ.</v>
      </c>
      <c r="O127" s="2"/>
      <c r="P127" s="2"/>
      <c r="Q127" s="1" t="str">
        <f>IF($D127="","",$C127&amp;"|"&amp;COUNTIFS($C$7:$C127,$C127))</f>
        <v>M004|5</v>
      </c>
      <c r="R127" s="1" t="str">
        <f t="shared" si="8"/>
        <v>ZUMRUTEGLENCELTDSTI</v>
      </c>
      <c r="S127" s="1" t="str">
        <f t="shared" si="9"/>
        <v>M004|46081|3500|</v>
      </c>
      <c r="T127" s="1">
        <f>IF($E127="",0,SUMPRODUCT((AY_SONU!$O$7:$O$42="Evet")*(AY_SONU!$B$7:$B$42=DATE(YEAR($E127),MONTH($E127),1))))</f>
        <v>0</v>
      </c>
    </row>
    <row r="128" spans="1:20" ht="18" customHeight="1" x14ac:dyDescent="0.3">
      <c r="A128" s="2"/>
      <c r="B128" s="65" t="str">
        <f t="shared" si="5"/>
        <v>T00122</v>
      </c>
      <c r="C128" s="65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M011</v>
      </c>
      <c r="D128" s="61" t="s">
        <v>593</v>
      </c>
      <c r="E128" s="66">
        <v>46081</v>
      </c>
      <c r="F128" s="67">
        <v>3000</v>
      </c>
      <c r="G128" s="60" t="s">
        <v>713</v>
      </c>
      <c r="H128" s="60" t="s">
        <v>568</v>
      </c>
      <c r="I128" s="61"/>
      <c r="J128" s="61" t="s">
        <v>717</v>
      </c>
      <c r="K128" s="61"/>
      <c r="L128" s="73">
        <f t="shared" si="6"/>
        <v>46054</v>
      </c>
      <c r="M128" s="65" t="str">
        <f t="shared" ca="1" si="7"/>
        <v>UYGUN</v>
      </c>
      <c r="N128" s="74" t="str">
        <f>IF($C128="","",IF($C128="TANIMSIZ MÜŞTERİ","—",INDEX(MUSTERILER!$C$7:$C$156,MATCH($C128,MUSTERILER!$B$7:$B$156,0))))</f>
        <v>EĞLENGÖR LTD.ŞTİ.</v>
      </c>
      <c r="O128" s="2"/>
      <c r="P128" s="2"/>
      <c r="Q128" s="1" t="str">
        <f>IF($D128="","",$C128&amp;"|"&amp;COUNTIFS($C$7:$C128,$C128))</f>
        <v>M011|8</v>
      </c>
      <c r="R128" s="1" t="str">
        <f t="shared" si="8"/>
        <v>EGLENGORLTDSTI</v>
      </c>
      <c r="S128" s="1" t="str">
        <f t="shared" si="9"/>
        <v>M011|46081|3000|</v>
      </c>
      <c r="T128" s="1">
        <f>IF($E128="",0,SUMPRODUCT((AY_SONU!$O$7:$O$42="Evet")*(AY_SONU!$B$7:$B$42=DATE(YEAR($E128),MONTH($E128),1))))</f>
        <v>0</v>
      </c>
    </row>
    <row r="129" spans="1:20" ht="18" customHeight="1" x14ac:dyDescent="0.3">
      <c r="A129" s="2"/>
      <c r="B129" s="65" t="str">
        <f t="shared" si="5"/>
        <v>T00123</v>
      </c>
      <c r="C129" s="65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M020</v>
      </c>
      <c r="D129" s="61" t="s">
        <v>619</v>
      </c>
      <c r="E129" s="66">
        <v>46081</v>
      </c>
      <c r="F129" s="67">
        <v>3000</v>
      </c>
      <c r="G129" s="60" t="s">
        <v>713</v>
      </c>
      <c r="H129" s="60" t="s">
        <v>568</v>
      </c>
      <c r="I129" s="61"/>
      <c r="J129" s="61" t="s">
        <v>717</v>
      </c>
      <c r="K129" s="61"/>
      <c r="L129" s="73">
        <f t="shared" si="6"/>
        <v>46054</v>
      </c>
      <c r="M129" s="65" t="str">
        <f t="shared" ca="1" si="7"/>
        <v>UYGUN</v>
      </c>
      <c r="N129" s="74" t="str">
        <f>IF($C129="","",IF($C129="TANIMSIZ MÜŞTERİ","—",INDEX(MUSTERILER!$C$7:$C$156,MATCH($C129,MUSTERILER!$B$7:$B$156,0))))</f>
        <v>KRİSTAL LTD.ŞTİ.</v>
      </c>
      <c r="O129" s="2"/>
      <c r="P129" s="2"/>
      <c r="Q129" s="1" t="str">
        <f>IF($D129="","",$C129&amp;"|"&amp;COUNTIFS($C$7:$C129,$C129))</f>
        <v>M020|8</v>
      </c>
      <c r="R129" s="1" t="str">
        <f t="shared" si="8"/>
        <v>KRISTALLTDSTI</v>
      </c>
      <c r="S129" s="1" t="str">
        <f t="shared" si="9"/>
        <v>M020|46081|3000|</v>
      </c>
      <c r="T129" s="1">
        <f>IF($E129="",0,SUMPRODUCT((AY_SONU!$O$7:$O$42="Evet")*(AY_SONU!$B$7:$B$42=DATE(YEAR($E129),MONTH($E129),1))))</f>
        <v>0</v>
      </c>
    </row>
    <row r="130" spans="1:20" ht="18" customHeight="1" x14ac:dyDescent="0.3">
      <c r="A130" s="2"/>
      <c r="B130" s="65" t="str">
        <f t="shared" si="5"/>
        <v>T00124</v>
      </c>
      <c r="C130" s="65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M053</v>
      </c>
      <c r="D130" s="61" t="s">
        <v>671</v>
      </c>
      <c r="E130" s="66">
        <v>46082</v>
      </c>
      <c r="F130" s="67">
        <v>10000</v>
      </c>
      <c r="G130" s="60" t="s">
        <v>715</v>
      </c>
      <c r="H130" s="60" t="s">
        <v>568</v>
      </c>
      <c r="I130" s="61"/>
      <c r="J130" s="61" t="s">
        <v>717</v>
      </c>
      <c r="K130" s="61"/>
      <c r="L130" s="73">
        <f t="shared" si="6"/>
        <v>46082</v>
      </c>
      <c r="M130" s="65" t="str">
        <f t="shared" ca="1" si="7"/>
        <v>UYGUN</v>
      </c>
      <c r="N130" s="74" t="str">
        <f>IF($C130="","",IF($C130="TANIMSIZ MÜŞTERİ","—",INDEX(MUSTERILER!$C$7:$C$156,MATCH($C130,MUSTERILER!$B$7:$B$156,0))))</f>
        <v>YEDİYİRMİDÖRT LTD.ŞTİ.</v>
      </c>
      <c r="O130" s="2"/>
      <c r="P130" s="2"/>
      <c r="Q130" s="1" t="str">
        <f>IF($D130="","",$C130&amp;"|"&amp;COUNTIFS($C$7:$C130,$C130))</f>
        <v>M053|2</v>
      </c>
      <c r="R130" s="1" t="str">
        <f t="shared" si="8"/>
        <v>YEDIYIRMIDORTLTDSTI</v>
      </c>
      <c r="S130" s="1" t="str">
        <f t="shared" si="9"/>
        <v>M053|46082|10000|</v>
      </c>
      <c r="T130" s="1">
        <f>IF($E130="",0,SUMPRODUCT((AY_SONU!$O$7:$O$42="Evet")*(AY_SONU!$B$7:$B$42=DATE(YEAR($E130),MONTH($E130),1))))</f>
        <v>0</v>
      </c>
    </row>
    <row r="131" spans="1:20" ht="18" customHeight="1" x14ac:dyDescent="0.3">
      <c r="A131" s="2"/>
      <c r="B131" s="65" t="str">
        <f t="shared" si="5"/>
        <v>T00125</v>
      </c>
      <c r="C131" s="65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M021</v>
      </c>
      <c r="D131" s="61" t="s">
        <v>577</v>
      </c>
      <c r="E131" s="66">
        <v>46088</v>
      </c>
      <c r="F131" s="67">
        <v>10000</v>
      </c>
      <c r="G131" s="60" t="s">
        <v>713</v>
      </c>
      <c r="H131" s="60" t="s">
        <v>568</v>
      </c>
      <c r="I131" s="61"/>
      <c r="J131" s="61" t="s">
        <v>717</v>
      </c>
      <c r="K131" s="61"/>
      <c r="L131" s="73">
        <f t="shared" si="6"/>
        <v>46082</v>
      </c>
      <c r="M131" s="65" t="str">
        <f t="shared" ca="1" si="7"/>
        <v>UYGUN</v>
      </c>
      <c r="N131" s="74" t="str">
        <f>IF($C131="","",IF($C131="TANIMSIZ MÜŞTERİ","—",INDEX(MUSTERILER!$C$7:$C$156,MATCH($C131,MUSTERILER!$B$7:$B$156,0))))</f>
        <v>ARON TOPTAN LTD.ŞTİ.</v>
      </c>
      <c r="O131" s="2"/>
      <c r="P131" s="2"/>
      <c r="Q131" s="1" t="str">
        <f>IF($D131="","",$C131&amp;"|"&amp;COUNTIFS($C$7:$C131,$C131))</f>
        <v>M021|2</v>
      </c>
      <c r="R131" s="1" t="str">
        <f t="shared" si="8"/>
        <v>ARONTOPTANLTDSTI</v>
      </c>
      <c r="S131" s="1" t="str">
        <f t="shared" si="9"/>
        <v>M021|46088|10000|</v>
      </c>
      <c r="T131" s="1">
        <f>IF($E131="",0,SUMPRODUCT((AY_SONU!$O$7:$O$42="Evet")*(AY_SONU!$B$7:$B$42=DATE(YEAR($E131),MONTH($E131),1))))</f>
        <v>0</v>
      </c>
    </row>
    <row r="132" spans="1:20" ht="18" customHeight="1" x14ac:dyDescent="0.3">
      <c r="A132" s="2"/>
      <c r="B132" s="65" t="str">
        <f t="shared" si="5"/>
        <v>T00126</v>
      </c>
      <c r="C132" s="65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M025</v>
      </c>
      <c r="D132" s="61" t="s">
        <v>579</v>
      </c>
      <c r="E132" s="66">
        <v>46088</v>
      </c>
      <c r="F132" s="67">
        <v>2000</v>
      </c>
      <c r="G132" s="60" t="s">
        <v>713</v>
      </c>
      <c r="H132" s="60" t="s">
        <v>568</v>
      </c>
      <c r="I132" s="61"/>
      <c r="J132" s="61" t="s">
        <v>717</v>
      </c>
      <c r="K132" s="61"/>
      <c r="L132" s="73">
        <f t="shared" si="6"/>
        <v>46082</v>
      </c>
      <c r="M132" s="65" t="str">
        <f t="shared" ca="1" si="7"/>
        <v>UYGUN</v>
      </c>
      <c r="N132" s="74" t="str">
        <f>IF($C132="","",IF($C132="TANIMSIZ MÜŞTERİ","—",INDEX(MUSTERILER!$C$7:$C$156,MATCH($C132,MUSTERILER!$B$7:$B$156,0))))</f>
        <v>ASIM AÇIKGÖZ</v>
      </c>
      <c r="O132" s="2"/>
      <c r="P132" s="2"/>
      <c r="Q132" s="1" t="str">
        <f>IF($D132="","",$C132&amp;"|"&amp;COUNTIFS($C$7:$C132,$C132))</f>
        <v>M025|7</v>
      </c>
      <c r="R132" s="1" t="str">
        <f t="shared" si="8"/>
        <v>ASIMACIKGOZ</v>
      </c>
      <c r="S132" s="1" t="str">
        <f t="shared" si="9"/>
        <v>M025|46088|2000|</v>
      </c>
      <c r="T132" s="1">
        <f>IF($E132="",0,SUMPRODUCT((AY_SONU!$O$7:$O$42="Evet")*(AY_SONU!$B$7:$B$42=DATE(YEAR($E132),MONTH($E132),1))))</f>
        <v>0</v>
      </c>
    </row>
    <row r="133" spans="1:20" ht="18" customHeight="1" x14ac:dyDescent="0.3">
      <c r="A133" s="2"/>
      <c r="B133" s="65" t="str">
        <f t="shared" si="5"/>
        <v>T00127</v>
      </c>
      <c r="C133" s="65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M017</v>
      </c>
      <c r="D133" s="61" t="s">
        <v>581</v>
      </c>
      <c r="E133" s="66">
        <v>46088</v>
      </c>
      <c r="F133" s="67">
        <v>2500</v>
      </c>
      <c r="G133" s="60" t="s">
        <v>713</v>
      </c>
      <c r="H133" s="60" t="s">
        <v>568</v>
      </c>
      <c r="I133" s="61"/>
      <c r="J133" s="61" t="s">
        <v>717</v>
      </c>
      <c r="K133" s="61"/>
      <c r="L133" s="73">
        <f t="shared" si="6"/>
        <v>46082</v>
      </c>
      <c r="M133" s="65" t="str">
        <f t="shared" ca="1" si="7"/>
        <v>UYGUN</v>
      </c>
      <c r="N133" s="74" t="str">
        <f>IF($C133="","",IF($C133="TANIMSIZ MÜŞTERİ","—",INDEX(MUSTERILER!$C$7:$C$156,MATCH($C133,MUSTERILER!$B$7:$B$156,0))))</f>
        <v>ASM EĞLENCE LTD.ŞTİ.</v>
      </c>
      <c r="O133" s="2"/>
      <c r="P133" s="2"/>
      <c r="Q133" s="1" t="str">
        <f>IF($D133="","",$C133&amp;"|"&amp;COUNTIFS($C$7:$C133,$C133))</f>
        <v>M017|7</v>
      </c>
      <c r="R133" s="1" t="str">
        <f t="shared" si="8"/>
        <v>ASMEGLENCELTDSTI</v>
      </c>
      <c r="S133" s="1" t="str">
        <f t="shared" si="9"/>
        <v>M017|46088|2500|</v>
      </c>
      <c r="T133" s="1">
        <f>IF($E133="",0,SUMPRODUCT((AY_SONU!$O$7:$O$42="Evet")*(AY_SONU!$B$7:$B$42=DATE(YEAR($E133),MONTH($E133),1))))</f>
        <v>0</v>
      </c>
    </row>
    <row r="134" spans="1:20" ht="18" customHeight="1" x14ac:dyDescent="0.3">
      <c r="A134" s="2"/>
      <c r="B134" s="65" t="str">
        <f t="shared" si="5"/>
        <v>T00128</v>
      </c>
      <c r="C134" s="65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M014</v>
      </c>
      <c r="D134" s="61" t="s">
        <v>725</v>
      </c>
      <c r="E134" s="66">
        <v>46088</v>
      </c>
      <c r="F134" s="67">
        <v>2000</v>
      </c>
      <c r="G134" s="60" t="s">
        <v>713</v>
      </c>
      <c r="H134" s="60" t="s">
        <v>568</v>
      </c>
      <c r="I134" s="61"/>
      <c r="J134" s="61" t="s">
        <v>717</v>
      </c>
      <c r="K134" s="61"/>
      <c r="L134" s="73">
        <f t="shared" si="6"/>
        <v>46082</v>
      </c>
      <c r="M134" s="65" t="str">
        <f t="shared" ca="1" si="7"/>
        <v>UYGUN</v>
      </c>
      <c r="N134" s="74" t="str">
        <f>IF($C134="","",IF($C134="TANIMSIZ MÜŞTERİ","—",INDEX(MUSTERILER!$C$7:$C$156,MATCH($C134,MUSTERILER!$B$7:$B$156,0))))</f>
        <v>FİNAL SİYAH BEYAZ LTD.ŞTİ.</v>
      </c>
      <c r="O134" s="2"/>
      <c r="P134" s="2"/>
      <c r="Q134" s="1" t="str">
        <f>IF($D134="","",$C134&amp;"|"&amp;COUNTIFS($C$7:$C134,$C134))</f>
        <v>M014|8</v>
      </c>
      <c r="R134" s="1" t="str">
        <f t="shared" si="8"/>
        <v>FINALSIYAHBEYAZLTDSTI</v>
      </c>
      <c r="S134" s="1" t="str">
        <f t="shared" si="9"/>
        <v>M014|46088|2000|</v>
      </c>
      <c r="T134" s="1">
        <f>IF($E134="",0,SUMPRODUCT((AY_SONU!$O$7:$O$42="Evet")*(AY_SONU!$B$7:$B$42=DATE(YEAR($E134),MONTH($E134),1))))</f>
        <v>0</v>
      </c>
    </row>
    <row r="135" spans="1:20" ht="18" customHeight="1" x14ac:dyDescent="0.3">
      <c r="A135" s="2"/>
      <c r="B135" s="65" t="str">
        <f t="shared" ref="B135:B198" si="10">IF($D135="","","T"&amp;TEXT(ROW()-6,"00000"))</f>
        <v>T00129</v>
      </c>
      <c r="C135" s="65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M012</v>
      </c>
      <c r="D135" s="61" t="s">
        <v>727</v>
      </c>
      <c r="E135" s="66">
        <v>46088</v>
      </c>
      <c r="F135" s="67">
        <v>4000</v>
      </c>
      <c r="G135" s="60" t="s">
        <v>713</v>
      </c>
      <c r="H135" s="60" t="s">
        <v>568</v>
      </c>
      <c r="I135" s="61"/>
      <c r="J135" s="61" t="s">
        <v>717</v>
      </c>
      <c r="K135" s="61"/>
      <c r="L135" s="73">
        <f t="shared" ref="L135:L198" si="11">IF($E135="","",DATE(YEAR($E135),MONTH($E135),1))</f>
        <v>46082</v>
      </c>
      <c r="M135" s="65" t="str">
        <f t="shared" ref="M135:M198" ca="1" si="12">IF($D135="","",IF($C135="TANIMSIZ MÜŞTERİ","HATA",IF(OR($E135="",$F135&lt;=0,$G135=""),"EKSİK",IF($E135&gt;TODAY(),"İLERİ TARİH",IF(COUNTIF($S$7:$S$2506,$S135)&gt;1,"MÜKERRER?",IF($T135&gt;0,"KAPALI DÖNEM","UYGUN"))))))</f>
        <v>UYGUN</v>
      </c>
      <c r="N135" s="74" t="str">
        <f>IF($C135="","",IF($C135="TANIMSIZ MÜŞTERİ","—",INDEX(MUSTERILER!$C$7:$C$156,MATCH($C135,MUSTERILER!$B$7:$B$156,0))))</f>
        <v>İLDEŞ LTD.ŞTİ.</v>
      </c>
      <c r="O135" s="2"/>
      <c r="P135" s="2"/>
      <c r="Q135" s="1" t="str">
        <f>IF($D135="","",$C135&amp;"|"&amp;COUNTIFS($C$7:$C135,$C135))</f>
        <v>M012|7</v>
      </c>
      <c r="R135" s="1" t="str">
        <f t="shared" ref="R135:R198" si="13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ILDESLTDSTI</v>
      </c>
      <c r="S135" s="1" t="str">
        <f t="shared" ref="S135:S198" si="14">IF($D135="","",$C135&amp;"|"&amp;TEXT($E135,"0")&amp;"|"&amp;TEXT($F135,"0")&amp;"|"&amp;$I135)</f>
        <v>M012|46088|4000|</v>
      </c>
      <c r="T135" s="1">
        <f>IF($E135="",0,SUMPRODUCT((AY_SONU!$O$7:$O$42="Evet")*(AY_SONU!$B$7:$B$42=DATE(YEAR($E135),MONTH($E135),1))))</f>
        <v>0</v>
      </c>
    </row>
    <row r="136" spans="1:20" ht="18" customHeight="1" x14ac:dyDescent="0.3">
      <c r="A136" s="2"/>
      <c r="B136" s="65" t="str">
        <f t="shared" si="10"/>
        <v>T00130</v>
      </c>
      <c r="C136" s="65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M010</v>
      </c>
      <c r="D136" s="61" t="s">
        <v>733</v>
      </c>
      <c r="E136" s="66">
        <v>46088</v>
      </c>
      <c r="F136" s="67">
        <v>4000</v>
      </c>
      <c r="G136" s="60" t="s">
        <v>713</v>
      </c>
      <c r="H136" s="60" t="s">
        <v>568</v>
      </c>
      <c r="I136" s="61"/>
      <c r="J136" s="61" t="s">
        <v>717</v>
      </c>
      <c r="K136" s="61"/>
      <c r="L136" s="73">
        <f t="shared" si="11"/>
        <v>46082</v>
      </c>
      <c r="M136" s="65" t="str">
        <f t="shared" ca="1" si="12"/>
        <v>UYGUN</v>
      </c>
      <c r="N136" s="74" t="str">
        <f>IF($C136="","",IF($C136="TANIMSIZ MÜŞTERİ","—",INDEX(MUSTERILER!$C$7:$C$156,MATCH($C136,MUSTERILER!$B$7:$B$156,0))))</f>
        <v>ÖZFİDANLAR LTD.ŞTİ.</v>
      </c>
      <c r="O136" s="2"/>
      <c r="P136" s="2"/>
      <c r="Q136" s="1" t="str">
        <f>IF($D136="","",$C136&amp;"|"&amp;COUNTIFS($C$7:$C136,$C136))</f>
        <v>M010|6</v>
      </c>
      <c r="R136" s="1" t="str">
        <f t="shared" si="13"/>
        <v>OZFIDANLARLTDSTI</v>
      </c>
      <c r="S136" s="1" t="str">
        <f t="shared" si="14"/>
        <v>M010|46088|4000|</v>
      </c>
      <c r="T136" s="1">
        <f>IF($E136="",0,SUMPRODUCT((AY_SONU!$O$7:$O$42="Evet")*(AY_SONU!$B$7:$B$42=DATE(YEAR($E136),MONTH($E136),1))))</f>
        <v>0</v>
      </c>
    </row>
    <row r="137" spans="1:20" ht="18" customHeight="1" x14ac:dyDescent="0.3">
      <c r="A137" s="2"/>
      <c r="B137" s="65" t="str">
        <f t="shared" si="10"/>
        <v>T00131</v>
      </c>
      <c r="C137" s="65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M016</v>
      </c>
      <c r="D137" s="61" t="s">
        <v>731</v>
      </c>
      <c r="E137" s="66">
        <v>46088</v>
      </c>
      <c r="F137" s="67">
        <v>3000</v>
      </c>
      <c r="G137" s="60" t="s">
        <v>713</v>
      </c>
      <c r="H137" s="60" t="s">
        <v>568</v>
      </c>
      <c r="I137" s="61"/>
      <c r="J137" s="61" t="s">
        <v>717</v>
      </c>
      <c r="K137" s="61"/>
      <c r="L137" s="73">
        <f t="shared" si="11"/>
        <v>46082</v>
      </c>
      <c r="M137" s="65" t="str">
        <f t="shared" ca="1" si="12"/>
        <v>UYGUN</v>
      </c>
      <c r="N137" s="74" t="str">
        <f>IF($C137="","",IF($C137="TANIMSIZ MÜŞTERİ","—",INDEX(MUSTERILER!$C$7:$C$156,MATCH($C137,MUSTERILER!$B$7:$B$156,0))))</f>
        <v>RİX ŞOW LTD.ŞTİ.</v>
      </c>
      <c r="O137" s="2"/>
      <c r="P137" s="2"/>
      <c r="Q137" s="1" t="str">
        <f>IF($D137="","",$C137&amp;"|"&amp;COUNTIFS($C$7:$C137,$C137))</f>
        <v>M016|9</v>
      </c>
      <c r="R137" s="1" t="str">
        <f t="shared" si="13"/>
        <v>RIXSOWLTDSTI</v>
      </c>
      <c r="S137" s="1" t="str">
        <f t="shared" si="14"/>
        <v>M016|46088|3000|</v>
      </c>
      <c r="T137" s="1">
        <f>IF($E137="",0,SUMPRODUCT((AY_SONU!$O$7:$O$42="Evet")*(AY_SONU!$B$7:$B$42=DATE(YEAR($E137),MONTH($E137),1))))</f>
        <v>0</v>
      </c>
    </row>
    <row r="138" spans="1:20" ht="18" customHeight="1" x14ac:dyDescent="0.3">
      <c r="A138" s="2"/>
      <c r="B138" s="65" t="str">
        <f t="shared" si="10"/>
        <v>T00132</v>
      </c>
      <c r="C138" s="65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M005</v>
      </c>
      <c r="D138" s="61" t="s">
        <v>732</v>
      </c>
      <c r="E138" s="66">
        <v>46088</v>
      </c>
      <c r="F138" s="67">
        <v>1750</v>
      </c>
      <c r="G138" s="60" t="s">
        <v>713</v>
      </c>
      <c r="H138" s="60" t="s">
        <v>568</v>
      </c>
      <c r="I138" s="61"/>
      <c r="J138" s="61" t="s">
        <v>717</v>
      </c>
      <c r="K138" s="61"/>
      <c r="L138" s="73">
        <f t="shared" si="11"/>
        <v>46082</v>
      </c>
      <c r="M138" s="65" t="str">
        <f t="shared" ca="1" si="12"/>
        <v>UYGUN</v>
      </c>
      <c r="N138" s="74" t="str">
        <f>IF($C138="","",IF($C138="TANIMSIZ MÜŞTERİ","—",INDEX(MUSTERILER!$C$7:$C$156,MATCH($C138,MUSTERILER!$B$7:$B$156,0))))</f>
        <v>ZÜMRÜT GRUP LTD.ŞTİ.</v>
      </c>
      <c r="O138" s="2"/>
      <c r="P138" s="2"/>
      <c r="Q138" s="1" t="str">
        <f>IF($D138="","",$C138&amp;"|"&amp;COUNTIFS($C$7:$C138,$C138))</f>
        <v>M005|8</v>
      </c>
      <c r="R138" s="1" t="str">
        <f t="shared" si="13"/>
        <v>ZUMRUTGRUPLTDSTI</v>
      </c>
      <c r="S138" s="1" t="str">
        <f t="shared" si="14"/>
        <v>M005|46088|1750|</v>
      </c>
      <c r="T138" s="1">
        <f>IF($E138="",0,SUMPRODUCT((AY_SONU!$O$7:$O$42="Evet")*(AY_SONU!$B$7:$B$42=DATE(YEAR($E138),MONTH($E138),1))))</f>
        <v>0</v>
      </c>
    </row>
    <row r="139" spans="1:20" ht="18" customHeight="1" x14ac:dyDescent="0.3">
      <c r="A139" s="2"/>
      <c r="B139" s="65" t="str">
        <f t="shared" si="10"/>
        <v>T00133</v>
      </c>
      <c r="C139" s="65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M054</v>
      </c>
      <c r="D139" s="61" t="s">
        <v>669</v>
      </c>
      <c r="E139" s="66">
        <v>46088</v>
      </c>
      <c r="F139" s="67">
        <v>4000</v>
      </c>
      <c r="G139" s="60" t="s">
        <v>713</v>
      </c>
      <c r="H139" s="60" t="s">
        <v>568</v>
      </c>
      <c r="I139" s="61"/>
      <c r="J139" s="61" t="s">
        <v>717</v>
      </c>
      <c r="K139" s="61"/>
      <c r="L139" s="73">
        <f t="shared" si="11"/>
        <v>46082</v>
      </c>
      <c r="M139" s="65" t="str">
        <f t="shared" ca="1" si="12"/>
        <v>UYGUN</v>
      </c>
      <c r="N139" s="74" t="str">
        <f>IF($C139="","",IF($C139="TANIMSIZ MÜŞTERİ","—",INDEX(MUSTERILER!$C$7:$C$156,MATCH($C139,MUSTERILER!$B$7:$B$156,0))))</f>
        <v>YALIKENT LTD.ŞTİ.</v>
      </c>
      <c r="O139" s="2"/>
      <c r="P139" s="2"/>
      <c r="Q139" s="1" t="str">
        <f>IF($D139="","",$C139&amp;"|"&amp;COUNTIFS($C$7:$C139,$C139))</f>
        <v>M054|1</v>
      </c>
      <c r="R139" s="1" t="str">
        <f t="shared" si="13"/>
        <v>YALIKENTLTDSTI</v>
      </c>
      <c r="S139" s="1" t="str">
        <f t="shared" si="14"/>
        <v>M054|46088|4000|</v>
      </c>
      <c r="T139" s="1">
        <f>IF($E139="",0,SUMPRODUCT((AY_SONU!$O$7:$O$42="Evet")*(AY_SONU!$B$7:$B$42=DATE(YEAR($E139),MONTH($E139),1))))</f>
        <v>0</v>
      </c>
    </row>
    <row r="140" spans="1:20" ht="18" customHeight="1" x14ac:dyDescent="0.3">
      <c r="A140" s="2"/>
      <c r="B140" s="65" t="str">
        <f t="shared" si="10"/>
        <v>T00134</v>
      </c>
      <c r="C140" s="65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M011</v>
      </c>
      <c r="D140" s="61" t="s">
        <v>593</v>
      </c>
      <c r="E140" s="66">
        <v>46088</v>
      </c>
      <c r="F140" s="67">
        <v>3000</v>
      </c>
      <c r="G140" s="60" t="s">
        <v>713</v>
      </c>
      <c r="H140" s="60" t="s">
        <v>568</v>
      </c>
      <c r="I140" s="61"/>
      <c r="J140" s="61" t="s">
        <v>717</v>
      </c>
      <c r="K140" s="61"/>
      <c r="L140" s="73">
        <f t="shared" si="11"/>
        <v>46082</v>
      </c>
      <c r="M140" s="65" t="str">
        <f t="shared" ca="1" si="12"/>
        <v>UYGUN</v>
      </c>
      <c r="N140" s="74" t="str">
        <f>IF($C140="","",IF($C140="TANIMSIZ MÜŞTERİ","—",INDEX(MUSTERILER!$C$7:$C$156,MATCH($C140,MUSTERILER!$B$7:$B$156,0))))</f>
        <v>EĞLENGÖR LTD.ŞTİ.</v>
      </c>
      <c r="O140" s="2"/>
      <c r="P140" s="2"/>
      <c r="Q140" s="1" t="str">
        <f>IF($D140="","",$C140&amp;"|"&amp;COUNTIFS($C$7:$C140,$C140))</f>
        <v>M011|9</v>
      </c>
      <c r="R140" s="1" t="str">
        <f t="shared" si="13"/>
        <v>EGLENGORLTDSTI</v>
      </c>
      <c r="S140" s="1" t="str">
        <f t="shared" si="14"/>
        <v>M011|46088|3000|</v>
      </c>
      <c r="T140" s="1">
        <f>IF($E140="",0,SUMPRODUCT((AY_SONU!$O$7:$O$42="Evet")*(AY_SONU!$B$7:$B$42=DATE(YEAR($E140),MONTH($E140),1))))</f>
        <v>0</v>
      </c>
    </row>
    <row r="141" spans="1:20" ht="18" customHeight="1" x14ac:dyDescent="0.3">
      <c r="A141" s="2"/>
      <c r="B141" s="65" t="str">
        <f t="shared" si="10"/>
        <v>T00135</v>
      </c>
      <c r="C141" s="65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M002</v>
      </c>
      <c r="D141" s="61" t="s">
        <v>597</v>
      </c>
      <c r="E141" s="66">
        <v>46088</v>
      </c>
      <c r="F141" s="67">
        <v>3500</v>
      </c>
      <c r="G141" s="60" t="s">
        <v>713</v>
      </c>
      <c r="H141" s="60" t="s">
        <v>568</v>
      </c>
      <c r="I141" s="61"/>
      <c r="J141" s="61" t="s">
        <v>717</v>
      </c>
      <c r="K141" s="61"/>
      <c r="L141" s="73">
        <f t="shared" si="11"/>
        <v>46082</v>
      </c>
      <c r="M141" s="65" t="str">
        <f t="shared" ca="1" si="12"/>
        <v>UYGUN</v>
      </c>
      <c r="N141" s="74" t="str">
        <f>IF($C141="","",IF($C141="TANIMSIZ MÜŞTERİ","—",INDEX(MUSTERILER!$C$7:$C$156,MATCH($C141,MUSTERILER!$B$7:$B$156,0))))</f>
        <v>ESERLİ LTD.ŞTİ.</v>
      </c>
      <c r="O141" s="2"/>
      <c r="P141" s="2"/>
      <c r="Q141" s="1" t="str">
        <f>IF($D141="","",$C141&amp;"|"&amp;COUNTIFS($C$7:$C141,$C141))</f>
        <v>M002|1</v>
      </c>
      <c r="R141" s="1" t="str">
        <f t="shared" si="13"/>
        <v>ESERLILTDSTI</v>
      </c>
      <c r="S141" s="1" t="str">
        <f t="shared" si="14"/>
        <v>M002|46088|3500|</v>
      </c>
      <c r="T141" s="1">
        <f>IF($E141="",0,SUMPRODUCT((AY_SONU!$O$7:$O$42="Evet")*(AY_SONU!$B$7:$B$42=DATE(YEAR($E141),MONTH($E141),1))))</f>
        <v>0</v>
      </c>
    </row>
    <row r="142" spans="1:20" ht="18" customHeight="1" x14ac:dyDescent="0.3">
      <c r="A142" s="2"/>
      <c r="B142" s="65" t="str">
        <f t="shared" si="10"/>
        <v>T00136</v>
      </c>
      <c r="C142" s="65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M020</v>
      </c>
      <c r="D142" s="61" t="s">
        <v>619</v>
      </c>
      <c r="E142" s="66">
        <v>46088</v>
      </c>
      <c r="F142" s="67">
        <v>3000</v>
      </c>
      <c r="G142" s="60" t="s">
        <v>713</v>
      </c>
      <c r="H142" s="60" t="s">
        <v>568</v>
      </c>
      <c r="I142" s="61"/>
      <c r="J142" s="61" t="s">
        <v>717</v>
      </c>
      <c r="K142" s="61"/>
      <c r="L142" s="73">
        <f t="shared" si="11"/>
        <v>46082</v>
      </c>
      <c r="M142" s="65" t="str">
        <f t="shared" ca="1" si="12"/>
        <v>UYGUN</v>
      </c>
      <c r="N142" s="74" t="str">
        <f>IF($C142="","",IF($C142="TANIMSIZ MÜŞTERİ","—",INDEX(MUSTERILER!$C$7:$C$156,MATCH($C142,MUSTERILER!$B$7:$B$156,0))))</f>
        <v>KRİSTAL LTD.ŞTİ.</v>
      </c>
      <c r="O142" s="2"/>
      <c r="P142" s="2"/>
      <c r="Q142" s="1" t="str">
        <f>IF($D142="","",$C142&amp;"|"&amp;COUNTIFS($C$7:$C142,$C142))</f>
        <v>M020|9</v>
      </c>
      <c r="R142" s="1" t="str">
        <f t="shared" si="13"/>
        <v>KRISTALLTDSTI</v>
      </c>
      <c r="S142" s="1" t="str">
        <f t="shared" si="14"/>
        <v>M020|46088|3000|</v>
      </c>
      <c r="T142" s="1">
        <f>IF($E142="",0,SUMPRODUCT((AY_SONU!$O$7:$O$42="Evet")*(AY_SONU!$B$7:$B$42=DATE(YEAR($E142),MONTH($E142),1))))</f>
        <v>0</v>
      </c>
    </row>
    <row r="143" spans="1:20" ht="18" customHeight="1" x14ac:dyDescent="0.3">
      <c r="A143" s="2"/>
      <c r="B143" s="65" t="str">
        <f t="shared" si="10"/>
        <v>T00137</v>
      </c>
      <c r="C143" s="65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M047</v>
      </c>
      <c r="D143" s="61" t="s">
        <v>649</v>
      </c>
      <c r="E143" s="66">
        <v>46088</v>
      </c>
      <c r="F143" s="67">
        <v>4000</v>
      </c>
      <c r="G143" s="60" t="s">
        <v>713</v>
      </c>
      <c r="H143" s="60" t="s">
        <v>568</v>
      </c>
      <c r="I143" s="61"/>
      <c r="J143" s="61" t="s">
        <v>717</v>
      </c>
      <c r="K143" s="61"/>
      <c r="L143" s="73">
        <f t="shared" si="11"/>
        <v>46082</v>
      </c>
      <c r="M143" s="65" t="str">
        <f t="shared" ca="1" si="12"/>
        <v>UYGUN</v>
      </c>
      <c r="N143" s="74" t="str">
        <f>IF($C143="","",IF($C143="TANIMSIZ MÜŞTERİ","—",INDEX(MUSTERILER!$C$7:$C$156,MATCH($C143,MUSTERILER!$B$7:$B$156,0))))</f>
        <v>PALAOĞULLARI LTD.ŞTİ.</v>
      </c>
      <c r="O143" s="2"/>
      <c r="P143" s="2"/>
      <c r="Q143" s="1" t="str">
        <f>IF($D143="","",$C143&amp;"|"&amp;COUNTIFS($C$7:$C143,$C143))</f>
        <v>M047|2</v>
      </c>
      <c r="R143" s="1" t="str">
        <f t="shared" si="13"/>
        <v>PALAOGULLARILTDSTI</v>
      </c>
      <c r="S143" s="1" t="str">
        <f t="shared" si="14"/>
        <v>M047|46088|4000|</v>
      </c>
      <c r="T143" s="1">
        <f>IF($E143="",0,SUMPRODUCT((AY_SONU!$O$7:$O$42="Evet")*(AY_SONU!$B$7:$B$42=DATE(YEAR($E143),MONTH($E143),1))))</f>
        <v>0</v>
      </c>
    </row>
    <row r="144" spans="1:20" ht="18" customHeight="1" x14ac:dyDescent="0.3">
      <c r="A144" s="2"/>
      <c r="B144" s="65" t="str">
        <f t="shared" si="10"/>
        <v>T00138</v>
      </c>
      <c r="C144" s="65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M019</v>
      </c>
      <c r="D144" s="61" t="s">
        <v>566</v>
      </c>
      <c r="E144" s="66">
        <v>46090</v>
      </c>
      <c r="F144" s="67">
        <v>4000</v>
      </c>
      <c r="G144" s="60" t="s">
        <v>713</v>
      </c>
      <c r="H144" s="60" t="s">
        <v>568</v>
      </c>
      <c r="I144" s="61"/>
      <c r="J144" s="61" t="s">
        <v>717</v>
      </c>
      <c r="K144" s="61"/>
      <c r="L144" s="73">
        <f t="shared" si="11"/>
        <v>46082</v>
      </c>
      <c r="M144" s="65" t="str">
        <f t="shared" ca="1" si="12"/>
        <v>UYGUN</v>
      </c>
      <c r="N144" s="74" t="str">
        <f>IF($C144="","",IF($C144="TANIMSIZ MÜŞTERİ","—",INDEX(MUSTERILER!$C$7:$C$156,MATCH($C144,MUSTERILER!$B$7:$B$156,0))))</f>
        <v>AC OTEL LTD.ŞTİ.</v>
      </c>
      <c r="O144" s="2"/>
      <c r="P144" s="2"/>
      <c r="Q144" s="1" t="str">
        <f>IF($D144="","",$C144&amp;"|"&amp;COUNTIFS($C$7:$C144,$C144))</f>
        <v>M019|3</v>
      </c>
      <c r="R144" s="1" t="str">
        <f t="shared" si="13"/>
        <v>ACOTELLTDSTI</v>
      </c>
      <c r="S144" s="1" t="str">
        <f t="shared" si="14"/>
        <v>M019|46090|4000|</v>
      </c>
      <c r="T144" s="1">
        <f>IF($E144="",0,SUMPRODUCT((AY_SONU!$O$7:$O$42="Evet")*(AY_SONU!$B$7:$B$42=DATE(YEAR($E144),MONTH($E144),1))))</f>
        <v>0</v>
      </c>
    </row>
    <row r="145" spans="1:20" ht="18" customHeight="1" x14ac:dyDescent="0.3">
      <c r="A145" s="2"/>
      <c r="B145" s="65" t="str">
        <f t="shared" si="10"/>
        <v>T00139</v>
      </c>
      <c r="C145" s="65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M040</v>
      </c>
      <c r="D145" s="61" t="s">
        <v>627</v>
      </c>
      <c r="E145" s="66">
        <v>46093</v>
      </c>
      <c r="F145" s="67">
        <v>17000</v>
      </c>
      <c r="G145" s="60" t="s">
        <v>715</v>
      </c>
      <c r="H145" s="60" t="s">
        <v>568</v>
      </c>
      <c r="I145" s="61"/>
      <c r="J145" s="61" t="s">
        <v>735</v>
      </c>
      <c r="K145" s="61"/>
      <c r="L145" s="73">
        <f t="shared" si="11"/>
        <v>46082</v>
      </c>
      <c r="M145" s="65" t="str">
        <f t="shared" ca="1" si="12"/>
        <v>UYGUN</v>
      </c>
      <c r="N145" s="74" t="str">
        <f>IF($C145="","",IF($C145="TANIMSIZ MÜŞTERİ","—",INDEX(MUSTERILER!$C$7:$C$156,MATCH($C145,MUSTERILER!$B$7:$B$156,0))))</f>
        <v>MENEKŞE AKAN</v>
      </c>
      <c r="O145" s="2"/>
      <c r="P145" s="2"/>
      <c r="Q145" s="1" t="str">
        <f>IF($D145="","",$C145&amp;"|"&amp;COUNTIFS($C$7:$C145,$C145))</f>
        <v>M040|2</v>
      </c>
      <c r="R145" s="1" t="str">
        <f t="shared" si="13"/>
        <v>MENEKSEAKAN</v>
      </c>
      <c r="S145" s="1" t="str">
        <f t="shared" si="14"/>
        <v>M040|46093|17000|</v>
      </c>
      <c r="T145" s="1">
        <f>IF($E145="",0,SUMPRODUCT((AY_SONU!$O$7:$O$42="Evet")*(AY_SONU!$B$7:$B$42=DATE(YEAR($E145),MONTH($E145),1))))</f>
        <v>0</v>
      </c>
    </row>
    <row r="146" spans="1:20" ht="18" customHeight="1" x14ac:dyDescent="0.3">
      <c r="A146" s="2"/>
      <c r="B146" s="65" t="str">
        <f t="shared" si="10"/>
        <v>T00140</v>
      </c>
      <c r="C146" s="65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M011</v>
      </c>
      <c r="D146" s="61" t="s">
        <v>593</v>
      </c>
      <c r="E146" s="66">
        <v>46095</v>
      </c>
      <c r="F146" s="67">
        <v>3000</v>
      </c>
      <c r="G146" s="60" t="s">
        <v>713</v>
      </c>
      <c r="H146" s="60" t="s">
        <v>568</v>
      </c>
      <c r="I146" s="61"/>
      <c r="J146" s="61" t="s">
        <v>717</v>
      </c>
      <c r="K146" s="61"/>
      <c r="L146" s="73">
        <f t="shared" si="11"/>
        <v>46082</v>
      </c>
      <c r="M146" s="65" t="str">
        <f t="shared" ca="1" si="12"/>
        <v>UYGUN</v>
      </c>
      <c r="N146" s="74" t="str">
        <f>IF($C146="","",IF($C146="TANIMSIZ MÜŞTERİ","—",INDEX(MUSTERILER!$C$7:$C$156,MATCH($C146,MUSTERILER!$B$7:$B$156,0))))</f>
        <v>EĞLENGÖR LTD.ŞTİ.</v>
      </c>
      <c r="O146" s="2"/>
      <c r="P146" s="2"/>
      <c r="Q146" s="1" t="str">
        <f>IF($D146="","",$C146&amp;"|"&amp;COUNTIFS($C$7:$C146,$C146))</f>
        <v>M011|10</v>
      </c>
      <c r="R146" s="1" t="str">
        <f t="shared" si="13"/>
        <v>EGLENGORLTDSTI</v>
      </c>
      <c r="S146" s="1" t="str">
        <f t="shared" si="14"/>
        <v>M011|46095|3000|</v>
      </c>
      <c r="T146" s="1">
        <f>IF($E146="",0,SUMPRODUCT((AY_SONU!$O$7:$O$42="Evet")*(AY_SONU!$B$7:$B$42=DATE(YEAR($E146),MONTH($E146),1))))</f>
        <v>0</v>
      </c>
    </row>
    <row r="147" spans="1:20" ht="18" customHeight="1" x14ac:dyDescent="0.3">
      <c r="A147" s="2"/>
      <c r="B147" s="65" t="str">
        <f t="shared" si="10"/>
        <v>T00141</v>
      </c>
      <c r="C147" s="65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M025</v>
      </c>
      <c r="D147" s="61" t="s">
        <v>579</v>
      </c>
      <c r="E147" s="66">
        <v>46096</v>
      </c>
      <c r="F147" s="67">
        <v>2000</v>
      </c>
      <c r="G147" s="60" t="s">
        <v>713</v>
      </c>
      <c r="H147" s="60" t="s">
        <v>568</v>
      </c>
      <c r="I147" s="61"/>
      <c r="J147" s="61" t="s">
        <v>717</v>
      </c>
      <c r="K147" s="61"/>
      <c r="L147" s="73">
        <f t="shared" si="11"/>
        <v>46082</v>
      </c>
      <c r="M147" s="65" t="str">
        <f t="shared" ca="1" si="12"/>
        <v>UYGUN</v>
      </c>
      <c r="N147" s="74" t="str">
        <f>IF($C147="","",IF($C147="TANIMSIZ MÜŞTERİ","—",INDEX(MUSTERILER!$C$7:$C$156,MATCH($C147,MUSTERILER!$B$7:$B$156,0))))</f>
        <v>ASIM AÇIKGÖZ</v>
      </c>
      <c r="O147" s="2"/>
      <c r="P147" s="2"/>
      <c r="Q147" s="1" t="str">
        <f>IF($D147="","",$C147&amp;"|"&amp;COUNTIFS($C$7:$C147,$C147))</f>
        <v>M025|8</v>
      </c>
      <c r="R147" s="1" t="str">
        <f t="shared" si="13"/>
        <v>ASIMACIKGOZ</v>
      </c>
      <c r="S147" s="1" t="str">
        <f t="shared" si="14"/>
        <v>M025|46096|2000|</v>
      </c>
      <c r="T147" s="1">
        <f>IF($E147="",0,SUMPRODUCT((AY_SONU!$O$7:$O$42="Evet")*(AY_SONU!$B$7:$B$42=DATE(YEAR($E147),MONTH($E147),1))))</f>
        <v>0</v>
      </c>
    </row>
    <row r="148" spans="1:20" ht="18" customHeight="1" x14ac:dyDescent="0.3">
      <c r="A148" s="2"/>
      <c r="B148" s="65" t="str">
        <f t="shared" si="10"/>
        <v>T00142</v>
      </c>
      <c r="C148" s="65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M017</v>
      </c>
      <c r="D148" s="61" t="s">
        <v>581</v>
      </c>
      <c r="E148" s="66">
        <v>46096</v>
      </c>
      <c r="F148" s="67">
        <v>2500</v>
      </c>
      <c r="G148" s="60" t="s">
        <v>715</v>
      </c>
      <c r="H148" s="60" t="s">
        <v>568</v>
      </c>
      <c r="I148" s="61"/>
      <c r="J148" s="61" t="s">
        <v>717</v>
      </c>
      <c r="K148" s="61"/>
      <c r="L148" s="73">
        <f t="shared" si="11"/>
        <v>46082</v>
      </c>
      <c r="M148" s="65" t="str">
        <f t="shared" ca="1" si="12"/>
        <v>UYGUN</v>
      </c>
      <c r="N148" s="74" t="str">
        <f>IF($C148="","",IF($C148="TANIMSIZ MÜŞTERİ","—",INDEX(MUSTERILER!$C$7:$C$156,MATCH($C148,MUSTERILER!$B$7:$B$156,0))))</f>
        <v>ASM EĞLENCE LTD.ŞTİ.</v>
      </c>
      <c r="O148" s="2"/>
      <c r="P148" s="2"/>
      <c r="Q148" s="1" t="str">
        <f>IF($D148="","",$C148&amp;"|"&amp;COUNTIFS($C$7:$C148,$C148))</f>
        <v>M017|8</v>
      </c>
      <c r="R148" s="1" t="str">
        <f t="shared" si="13"/>
        <v>ASMEGLENCELTDSTI</v>
      </c>
      <c r="S148" s="1" t="str">
        <f t="shared" si="14"/>
        <v>M017|46096|2500|</v>
      </c>
      <c r="T148" s="1">
        <f>IF($E148="",0,SUMPRODUCT((AY_SONU!$O$7:$O$42="Evet")*(AY_SONU!$B$7:$B$42=DATE(YEAR($E148),MONTH($E148),1))))</f>
        <v>0</v>
      </c>
    </row>
    <row r="149" spans="1:20" ht="18" customHeight="1" x14ac:dyDescent="0.3">
      <c r="A149" s="2"/>
      <c r="B149" s="65" t="str">
        <f t="shared" si="10"/>
        <v>T00143</v>
      </c>
      <c r="C149" s="65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M015</v>
      </c>
      <c r="D149" s="61" t="s">
        <v>723</v>
      </c>
      <c r="E149" s="66">
        <v>46096</v>
      </c>
      <c r="F149" s="67">
        <v>11500</v>
      </c>
      <c r="G149" s="60" t="s">
        <v>715</v>
      </c>
      <c r="H149" s="60" t="s">
        <v>568</v>
      </c>
      <c r="I149" s="61"/>
      <c r="J149" s="61" t="s">
        <v>716</v>
      </c>
      <c r="K149" s="61"/>
      <c r="L149" s="73">
        <f t="shared" si="11"/>
        <v>46082</v>
      </c>
      <c r="M149" s="65" t="str">
        <f t="shared" ca="1" si="12"/>
        <v>UYGUN</v>
      </c>
      <c r="N149" s="74" t="str">
        <f>IF($C149="","",IF($C149="TANIMSIZ MÜŞTERİ","—",INDEX(MUSTERILER!$C$7:$C$156,MATCH($C149,MUSTERILER!$B$7:$B$156,0))))</f>
        <v>ÇAYIRALAN LTD.ŞTİ.</v>
      </c>
      <c r="O149" s="2"/>
      <c r="P149" s="2"/>
      <c r="Q149" s="1" t="str">
        <f>IF($D149="","",$C149&amp;"|"&amp;COUNTIFS($C$7:$C149,$C149))</f>
        <v>M015|7</v>
      </c>
      <c r="R149" s="1" t="str">
        <f t="shared" si="13"/>
        <v>CAYIRALANLTDSTI</v>
      </c>
      <c r="S149" s="1" t="str">
        <f t="shared" si="14"/>
        <v>M015|46096|11500|</v>
      </c>
      <c r="T149" s="1">
        <f>IF($E149="",0,SUMPRODUCT((AY_SONU!$O$7:$O$42="Evet")*(AY_SONU!$B$7:$B$42=DATE(YEAR($E149),MONTH($E149),1))))</f>
        <v>0</v>
      </c>
    </row>
    <row r="150" spans="1:20" ht="18" customHeight="1" x14ac:dyDescent="0.3">
      <c r="A150" s="2"/>
      <c r="B150" s="65" t="str">
        <f t="shared" si="10"/>
        <v>T00144</v>
      </c>
      <c r="C150" s="65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M014</v>
      </c>
      <c r="D150" s="61" t="s">
        <v>725</v>
      </c>
      <c r="E150" s="66">
        <v>46096</v>
      </c>
      <c r="F150" s="67">
        <v>2000</v>
      </c>
      <c r="G150" s="60" t="s">
        <v>713</v>
      </c>
      <c r="H150" s="60" t="s">
        <v>568</v>
      </c>
      <c r="I150" s="61"/>
      <c r="J150" s="61" t="s">
        <v>717</v>
      </c>
      <c r="K150" s="61"/>
      <c r="L150" s="73">
        <f t="shared" si="11"/>
        <v>46082</v>
      </c>
      <c r="M150" s="65" t="str">
        <f t="shared" ca="1" si="12"/>
        <v>UYGUN</v>
      </c>
      <c r="N150" s="74" t="str">
        <f>IF($C150="","",IF($C150="TANIMSIZ MÜŞTERİ","—",INDEX(MUSTERILER!$C$7:$C$156,MATCH($C150,MUSTERILER!$B$7:$B$156,0))))</f>
        <v>FİNAL SİYAH BEYAZ LTD.ŞTİ.</v>
      </c>
      <c r="O150" s="2"/>
      <c r="P150" s="2"/>
      <c r="Q150" s="1" t="str">
        <f>IF($D150="","",$C150&amp;"|"&amp;COUNTIFS($C$7:$C150,$C150))</f>
        <v>M014|9</v>
      </c>
      <c r="R150" s="1" t="str">
        <f t="shared" si="13"/>
        <v>FINALSIYAHBEYAZLTDSTI</v>
      </c>
      <c r="S150" s="1" t="str">
        <f t="shared" si="14"/>
        <v>M014|46096|2000|</v>
      </c>
      <c r="T150" s="1">
        <f>IF($E150="",0,SUMPRODUCT((AY_SONU!$O$7:$O$42="Evet")*(AY_SONU!$B$7:$B$42=DATE(YEAR($E150),MONTH($E150),1))))</f>
        <v>0</v>
      </c>
    </row>
    <row r="151" spans="1:20" ht="18" customHeight="1" x14ac:dyDescent="0.3">
      <c r="A151" s="2"/>
      <c r="B151" s="65" t="str">
        <f t="shared" si="10"/>
        <v>T00145</v>
      </c>
      <c r="C151" s="65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M034</v>
      </c>
      <c r="D151" s="61" t="s">
        <v>726</v>
      </c>
      <c r="E151" s="66">
        <v>46096</v>
      </c>
      <c r="F151" s="67">
        <v>4000</v>
      </c>
      <c r="G151" s="60" t="s">
        <v>715</v>
      </c>
      <c r="H151" s="60" t="s">
        <v>568</v>
      </c>
      <c r="I151" s="61"/>
      <c r="J151" s="61" t="s">
        <v>716</v>
      </c>
      <c r="K151" s="61"/>
      <c r="L151" s="73">
        <f t="shared" si="11"/>
        <v>46082</v>
      </c>
      <c r="M151" s="65" t="str">
        <f t="shared" ca="1" si="12"/>
        <v>UYGUN</v>
      </c>
      <c r="N151" s="74" t="str">
        <f>IF($C151="","",IF($C151="TANIMSIZ MÜŞTERİ","—",INDEX(MUSTERILER!$C$7:$C$156,MATCH($C151,MUSTERILER!$B$7:$B$156,0))))</f>
        <v>İBRAHİM MALDAN</v>
      </c>
      <c r="O151" s="2"/>
      <c r="P151" s="2"/>
      <c r="Q151" s="1" t="str">
        <f>IF($D151="","",$C151&amp;"|"&amp;COUNTIFS($C$7:$C151,$C151))</f>
        <v>M034|7</v>
      </c>
      <c r="R151" s="1" t="str">
        <f t="shared" si="13"/>
        <v>IBRAHIMMALDAN</v>
      </c>
      <c r="S151" s="1" t="str">
        <f t="shared" si="14"/>
        <v>M034|46096|4000|</v>
      </c>
      <c r="T151" s="1">
        <f>IF($E151="",0,SUMPRODUCT((AY_SONU!$O$7:$O$42="Evet")*(AY_SONU!$B$7:$B$42=DATE(YEAR($E151),MONTH($E151),1))))</f>
        <v>0</v>
      </c>
    </row>
    <row r="152" spans="1:20" ht="18" customHeight="1" x14ac:dyDescent="0.3">
      <c r="A152" s="2"/>
      <c r="B152" s="65" t="str">
        <f t="shared" si="10"/>
        <v>T00146</v>
      </c>
      <c r="C152" s="65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M012</v>
      </c>
      <c r="D152" s="61" t="s">
        <v>727</v>
      </c>
      <c r="E152" s="66">
        <v>46096</v>
      </c>
      <c r="F152" s="67">
        <v>4000</v>
      </c>
      <c r="G152" s="60" t="s">
        <v>713</v>
      </c>
      <c r="H152" s="60" t="s">
        <v>568</v>
      </c>
      <c r="I152" s="61"/>
      <c r="J152" s="61" t="s">
        <v>717</v>
      </c>
      <c r="K152" s="61"/>
      <c r="L152" s="73">
        <f t="shared" si="11"/>
        <v>46082</v>
      </c>
      <c r="M152" s="65" t="str">
        <f t="shared" ca="1" si="12"/>
        <v>UYGUN</v>
      </c>
      <c r="N152" s="74" t="str">
        <f>IF($C152="","",IF($C152="TANIMSIZ MÜŞTERİ","—",INDEX(MUSTERILER!$C$7:$C$156,MATCH($C152,MUSTERILER!$B$7:$B$156,0))))</f>
        <v>İLDEŞ LTD.ŞTİ.</v>
      </c>
      <c r="O152" s="2"/>
      <c r="P152" s="2"/>
      <c r="Q152" s="1" t="str">
        <f>IF($D152="","",$C152&amp;"|"&amp;COUNTIFS($C$7:$C152,$C152))</f>
        <v>M012|8</v>
      </c>
      <c r="R152" s="1" t="str">
        <f t="shared" si="13"/>
        <v>ILDESLTDSTI</v>
      </c>
      <c r="S152" s="1" t="str">
        <f t="shared" si="14"/>
        <v>M012|46096|4000|</v>
      </c>
      <c r="T152" s="1">
        <f>IF($E152="",0,SUMPRODUCT((AY_SONU!$O$7:$O$42="Evet")*(AY_SONU!$B$7:$B$42=DATE(YEAR($E152),MONTH($E152),1))))</f>
        <v>0</v>
      </c>
    </row>
    <row r="153" spans="1:20" ht="18" customHeight="1" x14ac:dyDescent="0.3">
      <c r="A153" s="2"/>
      <c r="B153" s="65" t="str">
        <f t="shared" si="10"/>
        <v>T00147</v>
      </c>
      <c r="C153" s="65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M007</v>
      </c>
      <c r="D153" s="61" t="s">
        <v>728</v>
      </c>
      <c r="E153" s="66">
        <v>46096</v>
      </c>
      <c r="F153" s="67">
        <v>3500</v>
      </c>
      <c r="G153" s="60" t="s">
        <v>713</v>
      </c>
      <c r="H153" s="60" t="s">
        <v>568</v>
      </c>
      <c r="I153" s="61"/>
      <c r="J153" s="61" t="s">
        <v>717</v>
      </c>
      <c r="K153" s="61"/>
      <c r="L153" s="73">
        <f t="shared" si="11"/>
        <v>46082</v>
      </c>
      <c r="M153" s="65" t="str">
        <f t="shared" ca="1" si="12"/>
        <v>UYGUN</v>
      </c>
      <c r="N153" s="74" t="str">
        <f>IF($C153="","",IF($C153="TANIMSIZ MÜŞTERİ","—",INDEX(MUSTERILER!$C$7:$C$156,MATCH($C153,MUSTERILER!$B$7:$B$156,0))))</f>
        <v>MONAMOUR LTD.ŞTİ.</v>
      </c>
      <c r="O153" s="2"/>
      <c r="P153" s="2"/>
      <c r="Q153" s="1" t="str">
        <f>IF($D153="","",$C153&amp;"|"&amp;COUNTIFS($C$7:$C153,$C153))</f>
        <v>M007|8</v>
      </c>
      <c r="R153" s="1" t="str">
        <f t="shared" si="13"/>
        <v>MONAMOURLTDSTI</v>
      </c>
      <c r="S153" s="1" t="str">
        <f t="shared" si="14"/>
        <v>M007|46096|3500|</v>
      </c>
      <c r="T153" s="1">
        <f>IF($E153="",0,SUMPRODUCT((AY_SONU!$O$7:$O$42="Evet")*(AY_SONU!$B$7:$B$42=DATE(YEAR($E153),MONTH($E153),1))))</f>
        <v>0</v>
      </c>
    </row>
    <row r="154" spans="1:20" ht="18" customHeight="1" x14ac:dyDescent="0.3">
      <c r="A154" s="2"/>
      <c r="B154" s="65" t="str">
        <f t="shared" si="10"/>
        <v>T00148</v>
      </c>
      <c r="C154" s="65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M016</v>
      </c>
      <c r="D154" s="61" t="s">
        <v>731</v>
      </c>
      <c r="E154" s="66">
        <v>46096</v>
      </c>
      <c r="F154" s="67">
        <v>3000</v>
      </c>
      <c r="G154" s="60" t="s">
        <v>715</v>
      </c>
      <c r="H154" s="60" t="s">
        <v>568</v>
      </c>
      <c r="I154" s="61"/>
      <c r="J154" s="61" t="s">
        <v>716</v>
      </c>
      <c r="K154" s="61"/>
      <c r="L154" s="73">
        <f t="shared" si="11"/>
        <v>46082</v>
      </c>
      <c r="M154" s="65" t="str">
        <f t="shared" ca="1" si="12"/>
        <v>UYGUN</v>
      </c>
      <c r="N154" s="74" t="str">
        <f>IF($C154="","",IF($C154="TANIMSIZ MÜŞTERİ","—",INDEX(MUSTERILER!$C$7:$C$156,MATCH($C154,MUSTERILER!$B$7:$B$156,0))))</f>
        <v>RİX ŞOW LTD.ŞTİ.</v>
      </c>
      <c r="O154" s="2"/>
      <c r="P154" s="2"/>
      <c r="Q154" s="1" t="str">
        <f>IF($D154="","",$C154&amp;"|"&amp;COUNTIFS($C$7:$C154,$C154))</f>
        <v>M016|10</v>
      </c>
      <c r="R154" s="1" t="str">
        <f t="shared" si="13"/>
        <v>RIXSOWLTDSTI</v>
      </c>
      <c r="S154" s="1" t="str">
        <f t="shared" si="14"/>
        <v>M016|46096|3000|</v>
      </c>
      <c r="T154" s="1">
        <f>IF($E154="",0,SUMPRODUCT((AY_SONU!$O$7:$O$42="Evet")*(AY_SONU!$B$7:$B$42=DATE(YEAR($E154),MONTH($E154),1))))</f>
        <v>0</v>
      </c>
    </row>
    <row r="155" spans="1:20" ht="18" customHeight="1" x14ac:dyDescent="0.3">
      <c r="A155" s="2"/>
      <c r="B155" s="65" t="str">
        <f t="shared" si="10"/>
        <v>T00149</v>
      </c>
      <c r="C155" s="65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M005</v>
      </c>
      <c r="D155" s="61" t="s">
        <v>732</v>
      </c>
      <c r="E155" s="66">
        <v>46096</v>
      </c>
      <c r="F155" s="67">
        <v>1750</v>
      </c>
      <c r="G155" s="60" t="s">
        <v>713</v>
      </c>
      <c r="H155" s="60" t="s">
        <v>568</v>
      </c>
      <c r="I155" s="61"/>
      <c r="J155" s="61" t="s">
        <v>717</v>
      </c>
      <c r="K155" s="61"/>
      <c r="L155" s="73">
        <f t="shared" si="11"/>
        <v>46082</v>
      </c>
      <c r="M155" s="65" t="str">
        <f t="shared" ca="1" si="12"/>
        <v>UYGUN</v>
      </c>
      <c r="N155" s="74" t="str">
        <f>IF($C155="","",IF($C155="TANIMSIZ MÜŞTERİ","—",INDEX(MUSTERILER!$C$7:$C$156,MATCH($C155,MUSTERILER!$B$7:$B$156,0))))</f>
        <v>ZÜMRÜT GRUP LTD.ŞTİ.</v>
      </c>
      <c r="O155" s="2"/>
      <c r="P155" s="2"/>
      <c r="Q155" s="1" t="str">
        <f>IF($D155="","",$C155&amp;"|"&amp;COUNTIFS($C$7:$C155,$C155))</f>
        <v>M005|9</v>
      </c>
      <c r="R155" s="1" t="str">
        <f t="shared" si="13"/>
        <v>ZUMRUTGRUPLTDSTI</v>
      </c>
      <c r="S155" s="1" t="str">
        <f t="shared" si="14"/>
        <v>M005|46096|1750|</v>
      </c>
      <c r="T155" s="1">
        <f>IF($E155="",0,SUMPRODUCT((AY_SONU!$O$7:$O$42="Evet")*(AY_SONU!$B$7:$B$42=DATE(YEAR($E155),MONTH($E155),1))))</f>
        <v>0</v>
      </c>
    </row>
    <row r="156" spans="1:20" ht="18" customHeight="1" x14ac:dyDescent="0.3">
      <c r="A156" s="2"/>
      <c r="B156" s="65" t="str">
        <f t="shared" si="10"/>
        <v>T00150</v>
      </c>
      <c r="C156" s="65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M020</v>
      </c>
      <c r="D156" s="61" t="s">
        <v>619</v>
      </c>
      <c r="E156" s="66">
        <v>46096</v>
      </c>
      <c r="F156" s="67">
        <v>3000</v>
      </c>
      <c r="G156" s="60" t="s">
        <v>713</v>
      </c>
      <c r="H156" s="60" t="s">
        <v>568</v>
      </c>
      <c r="I156" s="61"/>
      <c r="J156" s="61" t="s">
        <v>717</v>
      </c>
      <c r="K156" s="61"/>
      <c r="L156" s="73">
        <f t="shared" si="11"/>
        <v>46082</v>
      </c>
      <c r="M156" s="65" t="str">
        <f t="shared" ca="1" si="12"/>
        <v>UYGUN</v>
      </c>
      <c r="N156" s="74" t="str">
        <f>IF($C156="","",IF($C156="TANIMSIZ MÜŞTERİ","—",INDEX(MUSTERILER!$C$7:$C$156,MATCH($C156,MUSTERILER!$B$7:$B$156,0))))</f>
        <v>KRİSTAL LTD.ŞTİ.</v>
      </c>
      <c r="O156" s="2"/>
      <c r="P156" s="2"/>
      <c r="Q156" s="1" t="str">
        <f>IF($D156="","",$C156&amp;"|"&amp;COUNTIFS($C$7:$C156,$C156))</f>
        <v>M020|10</v>
      </c>
      <c r="R156" s="1" t="str">
        <f t="shared" si="13"/>
        <v>KRISTALLTDSTI</v>
      </c>
      <c r="S156" s="1" t="str">
        <f t="shared" si="14"/>
        <v>M020|46096|3000|</v>
      </c>
      <c r="T156" s="1">
        <f>IF($E156="",0,SUMPRODUCT((AY_SONU!$O$7:$O$42="Evet")*(AY_SONU!$B$7:$B$42=DATE(YEAR($E156),MONTH($E156),1))))</f>
        <v>0</v>
      </c>
    </row>
    <row r="157" spans="1:20" ht="18" customHeight="1" x14ac:dyDescent="0.3">
      <c r="A157" s="2"/>
      <c r="B157" s="65" t="str">
        <f t="shared" si="10"/>
        <v>T00151</v>
      </c>
      <c r="C157" s="65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M047</v>
      </c>
      <c r="D157" s="61" t="s">
        <v>649</v>
      </c>
      <c r="E157" s="66">
        <v>46096</v>
      </c>
      <c r="F157" s="67">
        <v>4000</v>
      </c>
      <c r="G157" s="60" t="s">
        <v>715</v>
      </c>
      <c r="H157" s="60" t="s">
        <v>568</v>
      </c>
      <c r="I157" s="61"/>
      <c r="J157" s="61" t="s">
        <v>717</v>
      </c>
      <c r="K157" s="61"/>
      <c r="L157" s="73">
        <f t="shared" si="11"/>
        <v>46082</v>
      </c>
      <c r="M157" s="65" t="str">
        <f t="shared" ca="1" si="12"/>
        <v>UYGUN</v>
      </c>
      <c r="N157" s="74" t="str">
        <f>IF($C157="","",IF($C157="TANIMSIZ MÜŞTERİ","—",INDEX(MUSTERILER!$C$7:$C$156,MATCH($C157,MUSTERILER!$B$7:$B$156,0))))</f>
        <v>PALAOĞULLARI LTD.ŞTİ.</v>
      </c>
      <c r="O157" s="2"/>
      <c r="P157" s="2"/>
      <c r="Q157" s="1" t="str">
        <f>IF($D157="","",$C157&amp;"|"&amp;COUNTIFS($C$7:$C157,$C157))</f>
        <v>M047|3</v>
      </c>
      <c r="R157" s="1" t="str">
        <f t="shared" si="13"/>
        <v>PALAOGULLARILTDSTI</v>
      </c>
      <c r="S157" s="1" t="str">
        <f t="shared" si="14"/>
        <v>M047|46096|4000|</v>
      </c>
      <c r="T157" s="1">
        <f>IF($E157="",0,SUMPRODUCT((AY_SONU!$O$7:$O$42="Evet")*(AY_SONU!$B$7:$B$42=DATE(YEAR($E157),MONTH($E157),1))))</f>
        <v>0</v>
      </c>
    </row>
    <row r="158" spans="1:20" ht="18" customHeight="1" x14ac:dyDescent="0.3">
      <c r="A158" s="2"/>
      <c r="B158" s="65" t="str">
        <f t="shared" si="10"/>
        <v>T00152</v>
      </c>
      <c r="C158" s="65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M003</v>
      </c>
      <c r="D158" s="61" t="s">
        <v>661</v>
      </c>
      <c r="E158" s="66">
        <v>46096</v>
      </c>
      <c r="F158" s="67">
        <v>4000</v>
      </c>
      <c r="G158" s="60" t="s">
        <v>715</v>
      </c>
      <c r="H158" s="60" t="s">
        <v>568</v>
      </c>
      <c r="I158" s="61"/>
      <c r="J158" s="61" t="s">
        <v>717</v>
      </c>
      <c r="K158" s="61"/>
      <c r="L158" s="73">
        <f t="shared" si="11"/>
        <v>46082</v>
      </c>
      <c r="M158" s="65" t="str">
        <f t="shared" ca="1" si="12"/>
        <v>UYGUN</v>
      </c>
      <c r="N158" s="74" t="str">
        <f>IF($C158="","",IF($C158="TANIMSIZ MÜŞTERİ","—",INDEX(MUSTERILER!$C$7:$C$156,MATCH($C158,MUSTERILER!$B$7:$B$156,0))))</f>
        <v>TYANA LTD.ŞTİ.</v>
      </c>
      <c r="O158" s="2"/>
      <c r="P158" s="2"/>
      <c r="Q158" s="1" t="str">
        <f>IF($D158="","",$C158&amp;"|"&amp;COUNTIFS($C$7:$C158,$C158))</f>
        <v>M003|3</v>
      </c>
      <c r="R158" s="1" t="str">
        <f t="shared" si="13"/>
        <v>TYANALTDSTI</v>
      </c>
      <c r="S158" s="1" t="str">
        <f t="shared" si="14"/>
        <v>M003|46096|4000|</v>
      </c>
      <c r="T158" s="1">
        <f>IF($E158="",0,SUMPRODUCT((AY_SONU!$O$7:$O$42="Evet")*(AY_SONU!$B$7:$B$42=DATE(YEAR($E158),MONTH($E158),1))))</f>
        <v>0</v>
      </c>
    </row>
    <row r="159" spans="1:20" ht="18" customHeight="1" x14ac:dyDescent="0.3">
      <c r="A159" s="2"/>
      <c r="B159" s="65" t="str">
        <f t="shared" si="10"/>
        <v>T00153</v>
      </c>
      <c r="C159" s="65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M054</v>
      </c>
      <c r="D159" s="61" t="s">
        <v>669</v>
      </c>
      <c r="E159" s="66">
        <v>46096</v>
      </c>
      <c r="F159" s="67">
        <v>4000</v>
      </c>
      <c r="G159" s="60" t="s">
        <v>713</v>
      </c>
      <c r="H159" s="60" t="s">
        <v>568</v>
      </c>
      <c r="I159" s="61"/>
      <c r="J159" s="61" t="s">
        <v>717</v>
      </c>
      <c r="K159" s="61"/>
      <c r="L159" s="73">
        <f t="shared" si="11"/>
        <v>46082</v>
      </c>
      <c r="M159" s="65" t="str">
        <f t="shared" ca="1" si="12"/>
        <v>UYGUN</v>
      </c>
      <c r="N159" s="74" t="str">
        <f>IF($C159="","",IF($C159="TANIMSIZ MÜŞTERİ","—",INDEX(MUSTERILER!$C$7:$C$156,MATCH($C159,MUSTERILER!$B$7:$B$156,0))))</f>
        <v>YALIKENT LTD.ŞTİ.</v>
      </c>
      <c r="O159" s="2"/>
      <c r="P159" s="2"/>
      <c r="Q159" s="1" t="str">
        <f>IF($D159="","",$C159&amp;"|"&amp;COUNTIFS($C$7:$C159,$C159))</f>
        <v>M054|2</v>
      </c>
      <c r="R159" s="1" t="str">
        <f t="shared" si="13"/>
        <v>YALIKENTLTDSTI</v>
      </c>
      <c r="S159" s="1" t="str">
        <f t="shared" si="14"/>
        <v>M054|46096|4000|</v>
      </c>
      <c r="T159" s="1">
        <f>IF($E159="",0,SUMPRODUCT((AY_SONU!$O$7:$O$42="Evet")*(AY_SONU!$B$7:$B$42=DATE(YEAR($E159),MONTH($E159),1))))</f>
        <v>0</v>
      </c>
    </row>
    <row r="160" spans="1:20" ht="18" customHeight="1" x14ac:dyDescent="0.3">
      <c r="A160" s="2"/>
      <c r="B160" s="65" t="str">
        <f t="shared" si="10"/>
        <v>T00154</v>
      </c>
      <c r="C160" s="65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M055</v>
      </c>
      <c r="D160" s="61" t="s">
        <v>655</v>
      </c>
      <c r="E160" s="66">
        <v>46098</v>
      </c>
      <c r="F160" s="67">
        <v>4000</v>
      </c>
      <c r="G160" s="60" t="s">
        <v>713</v>
      </c>
      <c r="H160" s="60" t="s">
        <v>568</v>
      </c>
      <c r="I160" s="61"/>
      <c r="J160" s="61" t="s">
        <v>717</v>
      </c>
      <c r="K160" s="61"/>
      <c r="L160" s="73">
        <f t="shared" si="11"/>
        <v>46082</v>
      </c>
      <c r="M160" s="65" t="str">
        <f t="shared" ca="1" si="12"/>
        <v>MÜKERRER?</v>
      </c>
      <c r="N160" s="74" t="str">
        <f>IF($C160="","",IF($C160="TANIMSIZ MÜŞTERİ","—",INDEX(MUSTERILER!$C$7:$C$156,MATCH($C160,MUSTERILER!$B$7:$B$156,0))))</f>
        <v>SEMRA GÜMÜŞ</v>
      </c>
      <c r="O160" s="2"/>
      <c r="P160" s="2"/>
      <c r="Q160" s="1" t="str">
        <f>IF($D160="","",$C160&amp;"|"&amp;COUNTIFS($C$7:$C160,$C160))</f>
        <v>M055|1</v>
      </c>
      <c r="R160" s="1" t="str">
        <f t="shared" si="13"/>
        <v>SEMRAGUMUS</v>
      </c>
      <c r="S160" s="1" t="str">
        <f t="shared" si="14"/>
        <v>M055|46098|4000|</v>
      </c>
      <c r="T160" s="1">
        <f>IF($E160="",0,SUMPRODUCT((AY_SONU!$O$7:$O$42="Evet")*(AY_SONU!$B$7:$B$42=DATE(YEAR($E160),MONTH($E160),1))))</f>
        <v>0</v>
      </c>
    </row>
    <row r="161" spans="1:20" ht="18" customHeight="1" x14ac:dyDescent="0.3">
      <c r="A161" s="2"/>
      <c r="B161" s="65" t="str">
        <f t="shared" si="10"/>
        <v>T00155</v>
      </c>
      <c r="C161" s="65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M055</v>
      </c>
      <c r="D161" s="61" t="s">
        <v>655</v>
      </c>
      <c r="E161" s="66">
        <v>46098</v>
      </c>
      <c r="F161" s="67">
        <v>4000</v>
      </c>
      <c r="G161" s="60" t="s">
        <v>713</v>
      </c>
      <c r="H161" s="60" t="s">
        <v>568</v>
      </c>
      <c r="I161" s="61"/>
      <c r="J161" s="61" t="s">
        <v>717</v>
      </c>
      <c r="K161" s="61"/>
      <c r="L161" s="73">
        <f t="shared" si="11"/>
        <v>46082</v>
      </c>
      <c r="M161" s="65" t="str">
        <f t="shared" ca="1" si="12"/>
        <v>MÜKERRER?</v>
      </c>
      <c r="N161" s="74" t="str">
        <f>IF($C161="","",IF($C161="TANIMSIZ MÜŞTERİ","—",INDEX(MUSTERILER!$C$7:$C$156,MATCH($C161,MUSTERILER!$B$7:$B$156,0))))</f>
        <v>SEMRA GÜMÜŞ</v>
      </c>
      <c r="O161" s="2"/>
      <c r="P161" s="2"/>
      <c r="Q161" s="1" t="str">
        <f>IF($D161="","",$C161&amp;"|"&amp;COUNTIFS($C$7:$C161,$C161))</f>
        <v>M055|2</v>
      </c>
      <c r="R161" s="1" t="str">
        <f t="shared" si="13"/>
        <v>SEMRAGUMUS</v>
      </c>
      <c r="S161" s="1" t="str">
        <f t="shared" si="14"/>
        <v>M055|46098|4000|</v>
      </c>
      <c r="T161" s="1">
        <f>IF($E161="",0,SUMPRODUCT((AY_SONU!$O$7:$O$42="Evet")*(AY_SONU!$B$7:$B$42=DATE(YEAR($E161),MONTH($E161),1))))</f>
        <v>0</v>
      </c>
    </row>
    <row r="162" spans="1:20" ht="18" customHeight="1" x14ac:dyDescent="0.3">
      <c r="A162" s="2"/>
      <c r="B162" s="65" t="str">
        <f t="shared" si="10"/>
        <v>T00156</v>
      </c>
      <c r="C162" s="65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M051</v>
      </c>
      <c r="D162" s="61" t="s">
        <v>663</v>
      </c>
      <c r="E162" s="66">
        <v>46099</v>
      </c>
      <c r="F162" s="67">
        <v>3000</v>
      </c>
      <c r="G162" s="60" t="s">
        <v>713</v>
      </c>
      <c r="H162" s="60" t="s">
        <v>568</v>
      </c>
      <c r="I162" s="61"/>
      <c r="J162" s="61" t="s">
        <v>717</v>
      </c>
      <c r="K162" s="61"/>
      <c r="L162" s="73">
        <f t="shared" si="11"/>
        <v>46082</v>
      </c>
      <c r="M162" s="65" t="str">
        <f t="shared" ca="1" si="12"/>
        <v>UYGUN</v>
      </c>
      <c r="N162" s="74" t="str">
        <f>IF($C162="","",IF($C162="TANIMSIZ MÜŞTERİ","—",INDEX(MUSTERILER!$C$7:$C$156,MATCH($C162,MUSTERILER!$B$7:$B$156,0))))</f>
        <v>UFUK YILMAZ</v>
      </c>
      <c r="O162" s="2"/>
      <c r="P162" s="2"/>
      <c r="Q162" s="1" t="str">
        <f>IF($D162="","",$C162&amp;"|"&amp;COUNTIFS($C$7:$C162,$C162))</f>
        <v>M051|1</v>
      </c>
      <c r="R162" s="1" t="str">
        <f t="shared" si="13"/>
        <v>UFUKYILMAZ</v>
      </c>
      <c r="S162" s="1" t="str">
        <f t="shared" si="14"/>
        <v>M051|46099|3000|</v>
      </c>
      <c r="T162" s="1">
        <f>IF($E162="",0,SUMPRODUCT((AY_SONU!$O$7:$O$42="Evet")*(AY_SONU!$B$7:$B$42=DATE(YEAR($E162),MONTH($E162),1))))</f>
        <v>0</v>
      </c>
    </row>
    <row r="163" spans="1:20" ht="18" customHeight="1" x14ac:dyDescent="0.3">
      <c r="A163" s="2"/>
      <c r="B163" s="65" t="str">
        <f t="shared" si="10"/>
        <v>T00157</v>
      </c>
      <c r="C163" s="65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M024</v>
      </c>
      <c r="D163" s="61" t="s">
        <v>575</v>
      </c>
      <c r="E163" s="66">
        <v>46100</v>
      </c>
      <c r="F163" s="67">
        <v>3000</v>
      </c>
      <c r="G163" s="60" t="s">
        <v>713</v>
      </c>
      <c r="H163" s="60" t="s">
        <v>568</v>
      </c>
      <c r="I163" s="61"/>
      <c r="J163" s="61" t="s">
        <v>717</v>
      </c>
      <c r="K163" s="61"/>
      <c r="L163" s="73">
        <f t="shared" si="11"/>
        <v>46082</v>
      </c>
      <c r="M163" s="65" t="str">
        <f t="shared" ca="1" si="12"/>
        <v>UYGUN</v>
      </c>
      <c r="N163" s="74" t="str">
        <f>IF($C163="","",IF($C163="TANIMSIZ MÜŞTERİ","—",INDEX(MUSTERILER!$C$7:$C$156,MATCH($C163,MUSTERILER!$B$7:$B$156,0))))</f>
        <v>ARMAN DİK</v>
      </c>
      <c r="O163" s="2"/>
      <c r="P163" s="2"/>
      <c r="Q163" s="1" t="str">
        <f>IF($D163="","",$C163&amp;"|"&amp;COUNTIFS($C$7:$C163,$C163))</f>
        <v>M024|2</v>
      </c>
      <c r="R163" s="1" t="str">
        <f t="shared" si="13"/>
        <v>ARMANDIK</v>
      </c>
      <c r="S163" s="1" t="str">
        <f t="shared" si="14"/>
        <v>M024|46100|3000|</v>
      </c>
      <c r="T163" s="1">
        <f>IF($E163="",0,SUMPRODUCT((AY_SONU!$O$7:$O$42="Evet")*(AY_SONU!$B$7:$B$42=DATE(YEAR($E163),MONTH($E163),1))))</f>
        <v>0</v>
      </c>
    </row>
    <row r="164" spans="1:20" ht="18" customHeight="1" x14ac:dyDescent="0.3">
      <c r="A164" s="2"/>
      <c r="B164" s="65" t="str">
        <f t="shared" si="10"/>
        <v>T00158</v>
      </c>
      <c r="C164" s="65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M011</v>
      </c>
      <c r="D164" s="61" t="s">
        <v>593</v>
      </c>
      <c r="E164" s="66">
        <v>46102</v>
      </c>
      <c r="F164" s="67">
        <v>1000</v>
      </c>
      <c r="G164" s="60" t="s">
        <v>713</v>
      </c>
      <c r="H164" s="60" t="s">
        <v>568</v>
      </c>
      <c r="I164" s="61"/>
      <c r="J164" s="61" t="s">
        <v>717</v>
      </c>
      <c r="K164" s="61"/>
      <c r="L164" s="73">
        <f t="shared" si="11"/>
        <v>46082</v>
      </c>
      <c r="M164" s="65" t="str">
        <f t="shared" ca="1" si="12"/>
        <v>UYGUN</v>
      </c>
      <c r="N164" s="74" t="str">
        <f>IF($C164="","",IF($C164="TANIMSIZ MÜŞTERİ","—",INDEX(MUSTERILER!$C$7:$C$156,MATCH($C164,MUSTERILER!$B$7:$B$156,0))))</f>
        <v>EĞLENGÖR LTD.ŞTİ.</v>
      </c>
      <c r="O164" s="2"/>
      <c r="P164" s="2"/>
      <c r="Q164" s="1" t="str">
        <f>IF($D164="","",$C164&amp;"|"&amp;COUNTIFS($C$7:$C164,$C164))</f>
        <v>M011|11</v>
      </c>
      <c r="R164" s="1" t="str">
        <f t="shared" si="13"/>
        <v>EGLENGORLTDSTI</v>
      </c>
      <c r="S164" s="1" t="str">
        <f t="shared" si="14"/>
        <v>M011|46102|1000|</v>
      </c>
      <c r="T164" s="1">
        <f>IF($E164="",0,SUMPRODUCT((AY_SONU!$O$7:$O$42="Evet")*(AY_SONU!$B$7:$B$42=DATE(YEAR($E164),MONTH($E164),1))))</f>
        <v>0</v>
      </c>
    </row>
    <row r="165" spans="1:20" ht="18" customHeight="1" x14ac:dyDescent="0.3">
      <c r="A165" s="2"/>
      <c r="B165" s="65" t="str">
        <f t="shared" si="10"/>
        <v>T00159</v>
      </c>
      <c r="C165" s="65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M017</v>
      </c>
      <c r="D165" s="61" t="s">
        <v>581</v>
      </c>
      <c r="E165" s="66">
        <v>46103</v>
      </c>
      <c r="F165" s="67">
        <v>5000</v>
      </c>
      <c r="G165" s="60" t="s">
        <v>713</v>
      </c>
      <c r="H165" s="60" t="s">
        <v>568</v>
      </c>
      <c r="I165" s="61"/>
      <c r="J165" s="61" t="s">
        <v>717</v>
      </c>
      <c r="K165" s="61"/>
      <c r="L165" s="73">
        <f t="shared" si="11"/>
        <v>46082</v>
      </c>
      <c r="M165" s="65" t="str">
        <f t="shared" ca="1" si="12"/>
        <v>UYGUN</v>
      </c>
      <c r="N165" s="74" t="str">
        <f>IF($C165="","",IF($C165="TANIMSIZ MÜŞTERİ","—",INDEX(MUSTERILER!$C$7:$C$156,MATCH($C165,MUSTERILER!$B$7:$B$156,0))))</f>
        <v>ASM EĞLENCE LTD.ŞTİ.</v>
      </c>
      <c r="O165" s="2"/>
      <c r="P165" s="2"/>
      <c r="Q165" s="1" t="str">
        <f>IF($D165="","",$C165&amp;"|"&amp;COUNTIFS($C$7:$C165,$C165))</f>
        <v>M017|9</v>
      </c>
      <c r="R165" s="1" t="str">
        <f t="shared" si="13"/>
        <v>ASMEGLENCELTDSTI</v>
      </c>
      <c r="S165" s="1" t="str">
        <f t="shared" si="14"/>
        <v>M017|46103|5000|</v>
      </c>
      <c r="T165" s="1">
        <f>IF($E165="",0,SUMPRODUCT((AY_SONU!$O$7:$O$42="Evet")*(AY_SONU!$B$7:$B$42=DATE(YEAR($E165),MONTH($E165),1))))</f>
        <v>0</v>
      </c>
    </row>
    <row r="166" spans="1:20" ht="18" customHeight="1" x14ac:dyDescent="0.3">
      <c r="A166" s="2"/>
      <c r="B166" s="65" t="str">
        <f t="shared" si="10"/>
        <v>T00160</v>
      </c>
      <c r="C166" s="65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M015</v>
      </c>
      <c r="D166" s="61" t="s">
        <v>723</v>
      </c>
      <c r="E166" s="66">
        <v>46103</v>
      </c>
      <c r="F166" s="67">
        <v>3000</v>
      </c>
      <c r="G166" s="60" t="s">
        <v>713</v>
      </c>
      <c r="H166" s="60" t="s">
        <v>568</v>
      </c>
      <c r="I166" s="61"/>
      <c r="J166" s="61" t="s">
        <v>717</v>
      </c>
      <c r="K166" s="61"/>
      <c r="L166" s="73">
        <f t="shared" si="11"/>
        <v>46082</v>
      </c>
      <c r="M166" s="65" t="str">
        <f t="shared" ca="1" si="12"/>
        <v>UYGUN</v>
      </c>
      <c r="N166" s="74" t="str">
        <f>IF($C166="","",IF($C166="TANIMSIZ MÜŞTERİ","—",INDEX(MUSTERILER!$C$7:$C$156,MATCH($C166,MUSTERILER!$B$7:$B$156,0))))</f>
        <v>ÇAYIRALAN LTD.ŞTİ.</v>
      </c>
      <c r="O166" s="2"/>
      <c r="P166" s="2"/>
      <c r="Q166" s="1" t="str">
        <f>IF($D166="","",$C166&amp;"|"&amp;COUNTIFS($C$7:$C166,$C166))</f>
        <v>M015|8</v>
      </c>
      <c r="R166" s="1" t="str">
        <f t="shared" si="13"/>
        <v>CAYIRALANLTDSTI</v>
      </c>
      <c r="S166" s="1" t="str">
        <f t="shared" si="14"/>
        <v>M015|46103|3000|</v>
      </c>
      <c r="T166" s="1">
        <f>IF($E166="",0,SUMPRODUCT((AY_SONU!$O$7:$O$42="Evet")*(AY_SONU!$B$7:$B$42=DATE(YEAR($E166),MONTH($E166),1))))</f>
        <v>0</v>
      </c>
    </row>
    <row r="167" spans="1:20" ht="18" customHeight="1" x14ac:dyDescent="0.3">
      <c r="A167" s="2"/>
      <c r="B167" s="65" t="str">
        <f t="shared" si="10"/>
        <v>T00161</v>
      </c>
      <c r="C167" s="65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M014</v>
      </c>
      <c r="D167" s="61" t="s">
        <v>725</v>
      </c>
      <c r="E167" s="66">
        <v>46103</v>
      </c>
      <c r="F167" s="67">
        <v>2000</v>
      </c>
      <c r="G167" s="60" t="s">
        <v>713</v>
      </c>
      <c r="H167" s="60" t="s">
        <v>568</v>
      </c>
      <c r="I167" s="61"/>
      <c r="J167" s="61" t="s">
        <v>717</v>
      </c>
      <c r="K167" s="61"/>
      <c r="L167" s="73">
        <f t="shared" si="11"/>
        <v>46082</v>
      </c>
      <c r="M167" s="65" t="str">
        <f t="shared" ca="1" si="12"/>
        <v>UYGUN</v>
      </c>
      <c r="N167" s="74" t="str">
        <f>IF($C167="","",IF($C167="TANIMSIZ MÜŞTERİ","—",INDEX(MUSTERILER!$C$7:$C$156,MATCH($C167,MUSTERILER!$B$7:$B$156,0))))</f>
        <v>FİNAL SİYAH BEYAZ LTD.ŞTİ.</v>
      </c>
      <c r="O167" s="2"/>
      <c r="P167" s="2"/>
      <c r="Q167" s="1" t="str">
        <f>IF($D167="","",$C167&amp;"|"&amp;COUNTIFS($C$7:$C167,$C167))</f>
        <v>M014|10</v>
      </c>
      <c r="R167" s="1" t="str">
        <f t="shared" si="13"/>
        <v>FINALSIYAHBEYAZLTDSTI</v>
      </c>
      <c r="S167" s="1" t="str">
        <f t="shared" si="14"/>
        <v>M014|46103|2000|</v>
      </c>
      <c r="T167" s="1">
        <f>IF($E167="",0,SUMPRODUCT((AY_SONU!$O$7:$O$42="Evet")*(AY_SONU!$B$7:$B$42=DATE(YEAR($E167),MONTH($E167),1))))</f>
        <v>0</v>
      </c>
    </row>
    <row r="168" spans="1:20" ht="18" customHeight="1" x14ac:dyDescent="0.3">
      <c r="A168" s="2"/>
      <c r="B168" s="65" t="str">
        <f t="shared" si="10"/>
        <v>T00162</v>
      </c>
      <c r="C168" s="65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M012</v>
      </c>
      <c r="D168" s="61" t="s">
        <v>727</v>
      </c>
      <c r="E168" s="66">
        <v>46103</v>
      </c>
      <c r="F168" s="67">
        <v>4000</v>
      </c>
      <c r="G168" s="60" t="s">
        <v>713</v>
      </c>
      <c r="H168" s="60" t="s">
        <v>568</v>
      </c>
      <c r="I168" s="61"/>
      <c r="J168" s="61" t="s">
        <v>717</v>
      </c>
      <c r="K168" s="61"/>
      <c r="L168" s="73">
        <f t="shared" si="11"/>
        <v>46082</v>
      </c>
      <c r="M168" s="65" t="str">
        <f t="shared" ca="1" si="12"/>
        <v>UYGUN</v>
      </c>
      <c r="N168" s="74" t="str">
        <f>IF($C168="","",IF($C168="TANIMSIZ MÜŞTERİ","—",INDEX(MUSTERILER!$C$7:$C$156,MATCH($C168,MUSTERILER!$B$7:$B$156,0))))</f>
        <v>İLDEŞ LTD.ŞTİ.</v>
      </c>
      <c r="O168" s="2"/>
      <c r="P168" s="2"/>
      <c r="Q168" s="1" t="str">
        <f>IF($D168="","",$C168&amp;"|"&amp;COUNTIFS($C$7:$C168,$C168))</f>
        <v>M012|9</v>
      </c>
      <c r="R168" s="1" t="str">
        <f t="shared" si="13"/>
        <v>ILDESLTDSTI</v>
      </c>
      <c r="S168" s="1" t="str">
        <f t="shared" si="14"/>
        <v>M012|46103|4000|</v>
      </c>
      <c r="T168" s="1">
        <f>IF($E168="",0,SUMPRODUCT((AY_SONU!$O$7:$O$42="Evet")*(AY_SONU!$B$7:$B$42=DATE(YEAR($E168),MONTH($E168),1))))</f>
        <v>0</v>
      </c>
    </row>
    <row r="169" spans="1:20" ht="18" customHeight="1" x14ac:dyDescent="0.3">
      <c r="A169" s="2"/>
      <c r="B169" s="65" t="str">
        <f t="shared" si="10"/>
        <v>T00163</v>
      </c>
      <c r="C169" s="65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M009</v>
      </c>
      <c r="D169" s="61" t="s">
        <v>730</v>
      </c>
      <c r="E169" s="66">
        <v>46103</v>
      </c>
      <c r="F169" s="67">
        <v>2000</v>
      </c>
      <c r="G169" s="60" t="s">
        <v>713</v>
      </c>
      <c r="H169" s="60" t="s">
        <v>568</v>
      </c>
      <c r="I169" s="61"/>
      <c r="J169" s="61" t="s">
        <v>717</v>
      </c>
      <c r="K169" s="61"/>
      <c r="L169" s="73">
        <f t="shared" si="11"/>
        <v>46082</v>
      </c>
      <c r="M169" s="65" t="str">
        <f t="shared" ca="1" si="12"/>
        <v>UYGUN</v>
      </c>
      <c r="N169" s="74" t="str">
        <f>IF($C169="","",IF($C169="TANIMSIZ MÜŞTERİ","—",INDEX(MUSTERILER!$C$7:$C$156,MATCH($C169,MUSTERILER!$B$7:$B$156,0))))</f>
        <v>PAKYILDIZ LTD.ŞTİ.</v>
      </c>
      <c r="O169" s="2"/>
      <c r="P169" s="2"/>
      <c r="Q169" s="1" t="str">
        <f>IF($D169="","",$C169&amp;"|"&amp;COUNTIFS($C$7:$C169,$C169))</f>
        <v>M009|7</v>
      </c>
      <c r="R169" s="1" t="str">
        <f t="shared" si="13"/>
        <v>PAKYILDIZLTDSTI</v>
      </c>
      <c r="S169" s="1" t="str">
        <f t="shared" si="14"/>
        <v>M009|46103|2000|</v>
      </c>
      <c r="T169" s="1">
        <f>IF($E169="",0,SUMPRODUCT((AY_SONU!$O$7:$O$42="Evet")*(AY_SONU!$B$7:$B$42=DATE(YEAR($E169),MONTH($E169),1))))</f>
        <v>0</v>
      </c>
    </row>
    <row r="170" spans="1:20" ht="18" customHeight="1" x14ac:dyDescent="0.3">
      <c r="A170" s="2"/>
      <c r="B170" s="65" t="str">
        <f t="shared" si="10"/>
        <v>T00164</v>
      </c>
      <c r="C170" s="65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M016</v>
      </c>
      <c r="D170" s="61" t="s">
        <v>731</v>
      </c>
      <c r="E170" s="66">
        <v>46103</v>
      </c>
      <c r="F170" s="67">
        <v>3000</v>
      </c>
      <c r="G170" s="60" t="s">
        <v>713</v>
      </c>
      <c r="H170" s="60" t="s">
        <v>568</v>
      </c>
      <c r="I170" s="61"/>
      <c r="J170" s="61" t="s">
        <v>717</v>
      </c>
      <c r="K170" s="61"/>
      <c r="L170" s="73">
        <f t="shared" si="11"/>
        <v>46082</v>
      </c>
      <c r="M170" s="65" t="str">
        <f t="shared" ca="1" si="12"/>
        <v>UYGUN</v>
      </c>
      <c r="N170" s="74" t="str">
        <f>IF($C170="","",IF($C170="TANIMSIZ MÜŞTERİ","—",INDEX(MUSTERILER!$C$7:$C$156,MATCH($C170,MUSTERILER!$B$7:$B$156,0))))</f>
        <v>RİX ŞOW LTD.ŞTİ.</v>
      </c>
      <c r="O170" s="2"/>
      <c r="P170" s="2"/>
      <c r="Q170" s="1" t="str">
        <f>IF($D170="","",$C170&amp;"|"&amp;COUNTIFS($C$7:$C170,$C170))</f>
        <v>M016|11</v>
      </c>
      <c r="R170" s="1" t="str">
        <f t="shared" si="13"/>
        <v>RIXSOWLTDSTI</v>
      </c>
      <c r="S170" s="1" t="str">
        <f t="shared" si="14"/>
        <v>M016|46103|3000|</v>
      </c>
      <c r="T170" s="1">
        <f>IF($E170="",0,SUMPRODUCT((AY_SONU!$O$7:$O$42="Evet")*(AY_SONU!$B$7:$B$42=DATE(YEAR($E170),MONTH($E170),1))))</f>
        <v>0</v>
      </c>
    </row>
    <row r="171" spans="1:20" ht="18" customHeight="1" x14ac:dyDescent="0.3">
      <c r="A171" s="2"/>
      <c r="B171" s="65" t="str">
        <f t="shared" si="10"/>
        <v>T00165</v>
      </c>
      <c r="C171" s="65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M005</v>
      </c>
      <c r="D171" s="61" t="s">
        <v>732</v>
      </c>
      <c r="E171" s="66">
        <v>46103</v>
      </c>
      <c r="F171" s="67">
        <v>1750</v>
      </c>
      <c r="G171" s="60" t="s">
        <v>713</v>
      </c>
      <c r="H171" s="60" t="s">
        <v>568</v>
      </c>
      <c r="I171" s="61"/>
      <c r="J171" s="61" t="s">
        <v>717</v>
      </c>
      <c r="K171" s="61"/>
      <c r="L171" s="73">
        <f t="shared" si="11"/>
        <v>46082</v>
      </c>
      <c r="M171" s="65" t="str">
        <f t="shared" ca="1" si="12"/>
        <v>UYGUN</v>
      </c>
      <c r="N171" s="74" t="str">
        <f>IF($C171="","",IF($C171="TANIMSIZ MÜŞTERİ","—",INDEX(MUSTERILER!$C$7:$C$156,MATCH($C171,MUSTERILER!$B$7:$B$156,0))))</f>
        <v>ZÜMRÜT GRUP LTD.ŞTİ.</v>
      </c>
      <c r="O171" s="2"/>
      <c r="P171" s="2"/>
      <c r="Q171" s="1" t="str">
        <f>IF($D171="","",$C171&amp;"|"&amp;COUNTIFS($C$7:$C171,$C171))</f>
        <v>M005|10</v>
      </c>
      <c r="R171" s="1" t="str">
        <f t="shared" si="13"/>
        <v>ZUMRUTGRUPLTDSTI</v>
      </c>
      <c r="S171" s="1" t="str">
        <f t="shared" si="14"/>
        <v>M005|46103|1750|</v>
      </c>
      <c r="T171" s="1">
        <f>IF($E171="",0,SUMPRODUCT((AY_SONU!$O$7:$O$42="Evet")*(AY_SONU!$B$7:$B$42=DATE(YEAR($E171),MONTH($E171),1))))</f>
        <v>0</v>
      </c>
    </row>
    <row r="172" spans="1:20" ht="18" customHeight="1" x14ac:dyDescent="0.3">
      <c r="A172" s="2"/>
      <c r="B172" s="65" t="str">
        <f t="shared" si="10"/>
        <v>T00166</v>
      </c>
      <c r="C172" s="65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M018</v>
      </c>
      <c r="D172" s="61" t="s">
        <v>589</v>
      </c>
      <c r="E172" s="66">
        <v>46103</v>
      </c>
      <c r="F172" s="67">
        <v>2500</v>
      </c>
      <c r="G172" s="60" t="s">
        <v>713</v>
      </c>
      <c r="H172" s="60" t="s">
        <v>568</v>
      </c>
      <c r="I172" s="61"/>
      <c r="J172" s="61" t="s">
        <v>717</v>
      </c>
      <c r="K172" s="61"/>
      <c r="L172" s="73">
        <f t="shared" si="11"/>
        <v>46082</v>
      </c>
      <c r="M172" s="65" t="str">
        <f t="shared" ca="1" si="12"/>
        <v>UYGUN</v>
      </c>
      <c r="N172" s="74" t="str">
        <f>IF($C172="","",IF($C172="TANIMSIZ MÜŞTERİ","—",INDEX(MUSTERILER!$C$7:$C$156,MATCH($C172,MUSTERILER!$B$7:$B$156,0))))</f>
        <v>ÇINARHAN LTD.ŞTİ.</v>
      </c>
      <c r="O172" s="2"/>
      <c r="P172" s="2"/>
      <c r="Q172" s="1" t="str">
        <f>IF($D172="","",$C172&amp;"|"&amp;COUNTIFS($C$7:$C172,$C172))</f>
        <v>M018|5</v>
      </c>
      <c r="R172" s="1" t="str">
        <f t="shared" si="13"/>
        <v>CINARHANLTDSTI</v>
      </c>
      <c r="S172" s="1" t="str">
        <f t="shared" si="14"/>
        <v>M018|46103|2500|</v>
      </c>
      <c r="T172" s="1">
        <f>IF($E172="",0,SUMPRODUCT((AY_SONU!$O$7:$O$42="Evet")*(AY_SONU!$B$7:$B$42=DATE(YEAR($E172),MONTH($E172),1))))</f>
        <v>0</v>
      </c>
    </row>
    <row r="173" spans="1:20" ht="18" customHeight="1" x14ac:dyDescent="0.3">
      <c r="A173" s="2"/>
      <c r="B173" s="65" t="str">
        <f t="shared" si="10"/>
        <v>T00167</v>
      </c>
      <c r="C173" s="65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M020</v>
      </c>
      <c r="D173" s="61" t="s">
        <v>619</v>
      </c>
      <c r="E173" s="66">
        <v>46103</v>
      </c>
      <c r="F173" s="67">
        <v>3000</v>
      </c>
      <c r="G173" s="60" t="s">
        <v>713</v>
      </c>
      <c r="H173" s="60" t="s">
        <v>568</v>
      </c>
      <c r="I173" s="61"/>
      <c r="J173" s="61" t="s">
        <v>717</v>
      </c>
      <c r="K173" s="61"/>
      <c r="L173" s="73">
        <f t="shared" si="11"/>
        <v>46082</v>
      </c>
      <c r="M173" s="65" t="str">
        <f t="shared" ca="1" si="12"/>
        <v>UYGUN</v>
      </c>
      <c r="N173" s="74" t="str">
        <f>IF($C173="","",IF($C173="TANIMSIZ MÜŞTERİ","—",INDEX(MUSTERILER!$C$7:$C$156,MATCH($C173,MUSTERILER!$B$7:$B$156,0))))</f>
        <v>KRİSTAL LTD.ŞTİ.</v>
      </c>
      <c r="O173" s="2"/>
      <c r="P173" s="2"/>
      <c r="Q173" s="1" t="str">
        <f>IF($D173="","",$C173&amp;"|"&amp;COUNTIFS($C$7:$C173,$C173))</f>
        <v>M020|11</v>
      </c>
      <c r="R173" s="1" t="str">
        <f t="shared" si="13"/>
        <v>KRISTALLTDSTI</v>
      </c>
      <c r="S173" s="1" t="str">
        <f t="shared" si="14"/>
        <v>M020|46103|3000|</v>
      </c>
      <c r="T173" s="1">
        <f>IF($E173="",0,SUMPRODUCT((AY_SONU!$O$7:$O$42="Evet")*(AY_SONU!$B$7:$B$42=DATE(YEAR($E173),MONTH($E173),1))))</f>
        <v>0</v>
      </c>
    </row>
    <row r="174" spans="1:20" ht="18" customHeight="1" x14ac:dyDescent="0.3">
      <c r="A174" s="2"/>
      <c r="B174" s="65" t="str">
        <f t="shared" si="10"/>
        <v>T00168</v>
      </c>
      <c r="C174" s="65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M047</v>
      </c>
      <c r="D174" s="61" t="s">
        <v>649</v>
      </c>
      <c r="E174" s="66">
        <v>46103</v>
      </c>
      <c r="F174" s="67">
        <v>4000</v>
      </c>
      <c r="G174" s="60" t="s">
        <v>713</v>
      </c>
      <c r="H174" s="60" t="s">
        <v>568</v>
      </c>
      <c r="I174" s="61"/>
      <c r="J174" s="61" t="s">
        <v>717</v>
      </c>
      <c r="K174" s="61"/>
      <c r="L174" s="73">
        <f t="shared" si="11"/>
        <v>46082</v>
      </c>
      <c r="M174" s="65" t="str">
        <f t="shared" ca="1" si="12"/>
        <v>UYGUN</v>
      </c>
      <c r="N174" s="74" t="str">
        <f>IF($C174="","",IF($C174="TANIMSIZ MÜŞTERİ","—",INDEX(MUSTERILER!$C$7:$C$156,MATCH($C174,MUSTERILER!$B$7:$B$156,0))))</f>
        <v>PALAOĞULLARI LTD.ŞTİ.</v>
      </c>
      <c r="O174" s="2"/>
      <c r="P174" s="2"/>
      <c r="Q174" s="1" t="str">
        <f>IF($D174="","",$C174&amp;"|"&amp;COUNTIFS($C$7:$C174,$C174))</f>
        <v>M047|4</v>
      </c>
      <c r="R174" s="1" t="str">
        <f t="shared" si="13"/>
        <v>PALAOGULLARILTDSTI</v>
      </c>
      <c r="S174" s="1" t="str">
        <f t="shared" si="14"/>
        <v>M047|46103|4000|</v>
      </c>
      <c r="T174" s="1">
        <f>IF($E174="",0,SUMPRODUCT((AY_SONU!$O$7:$O$42="Evet")*(AY_SONU!$B$7:$B$42=DATE(YEAR($E174),MONTH($E174),1))))</f>
        <v>0</v>
      </c>
    </row>
    <row r="175" spans="1:20" ht="18" customHeight="1" x14ac:dyDescent="0.3">
      <c r="A175" s="2"/>
      <c r="B175" s="65" t="str">
        <f t="shared" si="10"/>
        <v>T00169</v>
      </c>
      <c r="C175" s="65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M013</v>
      </c>
      <c r="D175" s="61" t="s">
        <v>729</v>
      </c>
      <c r="E175" s="66">
        <v>46107</v>
      </c>
      <c r="F175" s="67">
        <v>6000</v>
      </c>
      <c r="G175" s="60" t="s">
        <v>715</v>
      </c>
      <c r="H175" s="60" t="s">
        <v>568</v>
      </c>
      <c r="I175" s="61"/>
      <c r="J175" s="61" t="s">
        <v>716</v>
      </c>
      <c r="K175" s="61"/>
      <c r="L175" s="73">
        <f t="shared" si="11"/>
        <v>46082</v>
      </c>
      <c r="M175" s="65" t="str">
        <f t="shared" ca="1" si="12"/>
        <v>UYGUN</v>
      </c>
      <c r="N175" s="74" t="str">
        <f>IF($C175="","",IF($C175="TANIMSIZ MÜŞTERİ","—",INDEX(MUSTERILER!$C$7:$C$156,MATCH($C175,MUSTERILER!$B$7:$B$156,0))))</f>
        <v>NAZ 1 GIDA LTD.ŞTİ.</v>
      </c>
      <c r="O175" s="2"/>
      <c r="P175" s="2"/>
      <c r="Q175" s="1" t="str">
        <f>IF($D175="","",$C175&amp;"|"&amp;COUNTIFS($C$7:$C175,$C175))</f>
        <v>M013|7</v>
      </c>
      <c r="R175" s="1" t="str">
        <f t="shared" si="13"/>
        <v>NAZ1GIDALTDSTI</v>
      </c>
      <c r="S175" s="1" t="str">
        <f t="shared" si="14"/>
        <v>M013|46107|6000|</v>
      </c>
      <c r="T175" s="1">
        <f>IF($E175="",0,SUMPRODUCT((AY_SONU!$O$7:$O$42="Evet")*(AY_SONU!$B$7:$B$42=DATE(YEAR($E175),MONTH($E175),1))))</f>
        <v>0</v>
      </c>
    </row>
    <row r="176" spans="1:20" ht="18" customHeight="1" x14ac:dyDescent="0.3">
      <c r="A176" s="2"/>
      <c r="B176" s="65" t="str">
        <f t="shared" si="10"/>
        <v>T00170</v>
      </c>
      <c r="C176" s="65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M025</v>
      </c>
      <c r="D176" s="61" t="s">
        <v>579</v>
      </c>
      <c r="E176" s="66">
        <v>46109</v>
      </c>
      <c r="F176" s="67">
        <v>2000</v>
      </c>
      <c r="G176" s="60" t="s">
        <v>713</v>
      </c>
      <c r="H176" s="60" t="s">
        <v>568</v>
      </c>
      <c r="I176" s="61"/>
      <c r="J176" s="61" t="s">
        <v>717</v>
      </c>
      <c r="K176" s="61"/>
      <c r="L176" s="73">
        <f t="shared" si="11"/>
        <v>46082</v>
      </c>
      <c r="M176" s="65" t="str">
        <f t="shared" ca="1" si="12"/>
        <v>UYGUN</v>
      </c>
      <c r="N176" s="74" t="str">
        <f>IF($C176="","",IF($C176="TANIMSIZ MÜŞTERİ","—",INDEX(MUSTERILER!$C$7:$C$156,MATCH($C176,MUSTERILER!$B$7:$B$156,0))))</f>
        <v>ASIM AÇIKGÖZ</v>
      </c>
      <c r="O176" s="2"/>
      <c r="P176" s="2"/>
      <c r="Q176" s="1" t="str">
        <f>IF($D176="","",$C176&amp;"|"&amp;COUNTIFS($C$7:$C176,$C176))</f>
        <v>M025|9</v>
      </c>
      <c r="R176" s="1" t="str">
        <f t="shared" si="13"/>
        <v>ASIMACIKGOZ</v>
      </c>
      <c r="S176" s="1" t="str">
        <f t="shared" si="14"/>
        <v>M025|46109|2000|</v>
      </c>
      <c r="T176" s="1">
        <f>IF($E176="",0,SUMPRODUCT((AY_SONU!$O$7:$O$42="Evet")*(AY_SONU!$B$7:$B$42=DATE(YEAR($E176),MONTH($E176),1))))</f>
        <v>0</v>
      </c>
    </row>
    <row r="177" spans="1:20" ht="18" customHeight="1" x14ac:dyDescent="0.3">
      <c r="A177" s="2"/>
      <c r="B177" s="65" t="str">
        <f t="shared" si="10"/>
        <v>T00171</v>
      </c>
      <c r="C177" s="65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M017</v>
      </c>
      <c r="D177" s="61" t="s">
        <v>581</v>
      </c>
      <c r="E177" s="66">
        <v>46109</v>
      </c>
      <c r="F177" s="67">
        <v>2500</v>
      </c>
      <c r="G177" s="60" t="s">
        <v>713</v>
      </c>
      <c r="H177" s="60" t="s">
        <v>568</v>
      </c>
      <c r="I177" s="61"/>
      <c r="J177" s="61" t="s">
        <v>717</v>
      </c>
      <c r="K177" s="61"/>
      <c r="L177" s="73">
        <f t="shared" si="11"/>
        <v>46082</v>
      </c>
      <c r="M177" s="65" t="str">
        <f t="shared" ca="1" si="12"/>
        <v>UYGUN</v>
      </c>
      <c r="N177" s="74" t="str">
        <f>IF($C177="","",IF($C177="TANIMSIZ MÜŞTERİ","—",INDEX(MUSTERILER!$C$7:$C$156,MATCH($C177,MUSTERILER!$B$7:$B$156,0))))</f>
        <v>ASM EĞLENCE LTD.ŞTİ.</v>
      </c>
      <c r="O177" s="2"/>
      <c r="P177" s="2"/>
      <c r="Q177" s="1" t="str">
        <f>IF($D177="","",$C177&amp;"|"&amp;COUNTIFS($C$7:$C177,$C177))</f>
        <v>M017|10</v>
      </c>
      <c r="R177" s="1" t="str">
        <f t="shared" si="13"/>
        <v>ASMEGLENCELTDSTI</v>
      </c>
      <c r="S177" s="1" t="str">
        <f t="shared" si="14"/>
        <v>M017|46109|2500|</v>
      </c>
      <c r="T177" s="1">
        <f>IF($E177="",0,SUMPRODUCT((AY_SONU!$O$7:$O$42="Evet")*(AY_SONU!$B$7:$B$42=DATE(YEAR($E177),MONTH($E177),1))))</f>
        <v>0</v>
      </c>
    </row>
    <row r="178" spans="1:20" ht="18" customHeight="1" x14ac:dyDescent="0.3">
      <c r="A178" s="2"/>
      <c r="B178" s="65" t="str">
        <f t="shared" si="10"/>
        <v>T00172</v>
      </c>
      <c r="C178" s="65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M015</v>
      </c>
      <c r="D178" s="61" t="s">
        <v>723</v>
      </c>
      <c r="E178" s="66">
        <v>46109</v>
      </c>
      <c r="F178" s="67">
        <v>3000</v>
      </c>
      <c r="G178" s="60" t="s">
        <v>713</v>
      </c>
      <c r="H178" s="60" t="s">
        <v>568</v>
      </c>
      <c r="I178" s="61"/>
      <c r="J178" s="61" t="s">
        <v>717</v>
      </c>
      <c r="K178" s="61"/>
      <c r="L178" s="73">
        <f t="shared" si="11"/>
        <v>46082</v>
      </c>
      <c r="M178" s="65" t="str">
        <f t="shared" ca="1" si="12"/>
        <v>UYGUN</v>
      </c>
      <c r="N178" s="74" t="str">
        <f>IF($C178="","",IF($C178="TANIMSIZ MÜŞTERİ","—",INDEX(MUSTERILER!$C$7:$C$156,MATCH($C178,MUSTERILER!$B$7:$B$156,0))))</f>
        <v>ÇAYIRALAN LTD.ŞTİ.</v>
      </c>
      <c r="O178" s="2"/>
      <c r="P178" s="2"/>
      <c r="Q178" s="1" t="str">
        <f>IF($D178="","",$C178&amp;"|"&amp;COUNTIFS($C$7:$C178,$C178))</f>
        <v>M015|9</v>
      </c>
      <c r="R178" s="1" t="str">
        <f t="shared" si="13"/>
        <v>CAYIRALANLTDSTI</v>
      </c>
      <c r="S178" s="1" t="str">
        <f t="shared" si="14"/>
        <v>M015|46109|3000|</v>
      </c>
      <c r="T178" s="1">
        <f>IF($E178="",0,SUMPRODUCT((AY_SONU!$O$7:$O$42="Evet")*(AY_SONU!$B$7:$B$42=DATE(YEAR($E178),MONTH($E178),1))))</f>
        <v>0</v>
      </c>
    </row>
    <row r="179" spans="1:20" ht="18" customHeight="1" x14ac:dyDescent="0.3">
      <c r="A179" s="2"/>
      <c r="B179" s="65" t="str">
        <f t="shared" si="10"/>
        <v>T00173</v>
      </c>
      <c r="C179" s="65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M011</v>
      </c>
      <c r="D179" s="61" t="s">
        <v>724</v>
      </c>
      <c r="E179" s="66">
        <v>46109</v>
      </c>
      <c r="F179" s="67">
        <v>3000</v>
      </c>
      <c r="G179" s="60" t="s">
        <v>713</v>
      </c>
      <c r="H179" s="60" t="s">
        <v>568</v>
      </c>
      <c r="I179" s="61"/>
      <c r="J179" s="61" t="s">
        <v>717</v>
      </c>
      <c r="K179" s="61"/>
      <c r="L179" s="73">
        <f t="shared" si="11"/>
        <v>46082</v>
      </c>
      <c r="M179" s="65" t="str">
        <f t="shared" ca="1" si="12"/>
        <v>UYGUN</v>
      </c>
      <c r="N179" s="74" t="str">
        <f>IF($C179="","",IF($C179="TANIMSIZ MÜŞTERİ","—",INDEX(MUSTERILER!$C$7:$C$156,MATCH($C179,MUSTERILER!$B$7:$B$156,0))))</f>
        <v>EĞLENGÖR LTD.ŞTİ.</v>
      </c>
      <c r="O179" s="2"/>
      <c r="P179" s="2"/>
      <c r="Q179" s="1" t="str">
        <f>IF($D179="","",$C179&amp;"|"&amp;COUNTIFS($C$7:$C179,$C179))</f>
        <v>M011|12</v>
      </c>
      <c r="R179" s="1" t="str">
        <f t="shared" si="13"/>
        <v>EGLENGORLTDSTI</v>
      </c>
      <c r="S179" s="1" t="str">
        <f t="shared" si="14"/>
        <v>M011|46109|3000|</v>
      </c>
      <c r="T179" s="1">
        <f>IF($E179="",0,SUMPRODUCT((AY_SONU!$O$7:$O$42="Evet")*(AY_SONU!$B$7:$B$42=DATE(YEAR($E179),MONTH($E179),1))))</f>
        <v>0</v>
      </c>
    </row>
    <row r="180" spans="1:20" ht="18" customHeight="1" x14ac:dyDescent="0.3">
      <c r="A180" s="2"/>
      <c r="B180" s="65" t="str">
        <f t="shared" si="10"/>
        <v>T00174</v>
      </c>
      <c r="C180" s="65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M014</v>
      </c>
      <c r="D180" s="61" t="s">
        <v>725</v>
      </c>
      <c r="E180" s="66">
        <v>46109</v>
      </c>
      <c r="F180" s="67">
        <v>2000</v>
      </c>
      <c r="G180" s="60" t="s">
        <v>713</v>
      </c>
      <c r="H180" s="60" t="s">
        <v>568</v>
      </c>
      <c r="I180" s="61"/>
      <c r="J180" s="61" t="s">
        <v>717</v>
      </c>
      <c r="K180" s="61"/>
      <c r="L180" s="73">
        <f t="shared" si="11"/>
        <v>46082</v>
      </c>
      <c r="M180" s="65" t="str">
        <f t="shared" ca="1" si="12"/>
        <v>UYGUN</v>
      </c>
      <c r="N180" s="74" t="str">
        <f>IF($C180="","",IF($C180="TANIMSIZ MÜŞTERİ","—",INDEX(MUSTERILER!$C$7:$C$156,MATCH($C180,MUSTERILER!$B$7:$B$156,0))))</f>
        <v>FİNAL SİYAH BEYAZ LTD.ŞTİ.</v>
      </c>
      <c r="O180" s="2"/>
      <c r="P180" s="2"/>
      <c r="Q180" s="1" t="str">
        <f>IF($D180="","",$C180&amp;"|"&amp;COUNTIFS($C$7:$C180,$C180))</f>
        <v>M014|11</v>
      </c>
      <c r="R180" s="1" t="str">
        <f t="shared" si="13"/>
        <v>FINALSIYAHBEYAZLTDSTI</v>
      </c>
      <c r="S180" s="1" t="str">
        <f t="shared" si="14"/>
        <v>M014|46109|2000|</v>
      </c>
      <c r="T180" s="1">
        <f>IF($E180="",0,SUMPRODUCT((AY_SONU!$O$7:$O$42="Evet")*(AY_SONU!$B$7:$B$42=DATE(YEAR($E180),MONTH($E180),1))))</f>
        <v>0</v>
      </c>
    </row>
    <row r="181" spans="1:20" ht="18" customHeight="1" x14ac:dyDescent="0.3">
      <c r="A181" s="2"/>
      <c r="B181" s="65" t="str">
        <f t="shared" si="10"/>
        <v>T00175</v>
      </c>
      <c r="C181" s="65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M034</v>
      </c>
      <c r="D181" s="61" t="s">
        <v>726</v>
      </c>
      <c r="E181" s="66">
        <v>46109</v>
      </c>
      <c r="F181" s="67">
        <v>4000</v>
      </c>
      <c r="G181" s="60" t="s">
        <v>713</v>
      </c>
      <c r="H181" s="60" t="s">
        <v>568</v>
      </c>
      <c r="I181" s="61"/>
      <c r="J181" s="61" t="s">
        <v>717</v>
      </c>
      <c r="K181" s="61"/>
      <c r="L181" s="73">
        <f t="shared" si="11"/>
        <v>46082</v>
      </c>
      <c r="M181" s="65" t="str">
        <f t="shared" ca="1" si="12"/>
        <v>UYGUN</v>
      </c>
      <c r="N181" s="74" t="str">
        <f>IF($C181="","",IF($C181="TANIMSIZ MÜŞTERİ","—",INDEX(MUSTERILER!$C$7:$C$156,MATCH($C181,MUSTERILER!$B$7:$B$156,0))))</f>
        <v>İBRAHİM MALDAN</v>
      </c>
      <c r="O181" s="2"/>
      <c r="P181" s="2"/>
      <c r="Q181" s="1" t="str">
        <f>IF($D181="","",$C181&amp;"|"&amp;COUNTIFS($C$7:$C181,$C181))</f>
        <v>M034|8</v>
      </c>
      <c r="R181" s="1" t="str">
        <f t="shared" si="13"/>
        <v>IBRAHIMMALDAN</v>
      </c>
      <c r="S181" s="1" t="str">
        <f t="shared" si="14"/>
        <v>M034|46109|4000|</v>
      </c>
      <c r="T181" s="1">
        <f>IF($E181="",0,SUMPRODUCT((AY_SONU!$O$7:$O$42="Evet")*(AY_SONU!$B$7:$B$42=DATE(YEAR($E181),MONTH($E181),1))))</f>
        <v>0</v>
      </c>
    </row>
    <row r="182" spans="1:20" ht="18" customHeight="1" x14ac:dyDescent="0.3">
      <c r="A182" s="2"/>
      <c r="B182" s="65" t="str">
        <f t="shared" si="10"/>
        <v>T00176</v>
      </c>
      <c r="C182" s="65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M012</v>
      </c>
      <c r="D182" s="61" t="s">
        <v>727</v>
      </c>
      <c r="E182" s="66">
        <v>46109</v>
      </c>
      <c r="F182" s="67">
        <v>4000</v>
      </c>
      <c r="G182" s="60" t="s">
        <v>713</v>
      </c>
      <c r="H182" s="60" t="s">
        <v>568</v>
      </c>
      <c r="I182" s="61"/>
      <c r="J182" s="61" t="s">
        <v>717</v>
      </c>
      <c r="K182" s="61"/>
      <c r="L182" s="73">
        <f t="shared" si="11"/>
        <v>46082</v>
      </c>
      <c r="M182" s="65" t="str">
        <f t="shared" ca="1" si="12"/>
        <v>UYGUN</v>
      </c>
      <c r="N182" s="74" t="str">
        <f>IF($C182="","",IF($C182="TANIMSIZ MÜŞTERİ","—",INDEX(MUSTERILER!$C$7:$C$156,MATCH($C182,MUSTERILER!$B$7:$B$156,0))))</f>
        <v>İLDEŞ LTD.ŞTİ.</v>
      </c>
      <c r="O182" s="2"/>
      <c r="P182" s="2"/>
      <c r="Q182" s="1" t="str">
        <f>IF($D182="","",$C182&amp;"|"&amp;COUNTIFS($C$7:$C182,$C182))</f>
        <v>M012|10</v>
      </c>
      <c r="R182" s="1" t="str">
        <f t="shared" si="13"/>
        <v>ILDESLTDSTI</v>
      </c>
      <c r="S182" s="1" t="str">
        <f t="shared" si="14"/>
        <v>M012|46109|4000|</v>
      </c>
      <c r="T182" s="1">
        <f>IF($E182="",0,SUMPRODUCT((AY_SONU!$O$7:$O$42="Evet")*(AY_SONU!$B$7:$B$42=DATE(YEAR($E182),MONTH($E182),1))))</f>
        <v>0</v>
      </c>
    </row>
    <row r="183" spans="1:20" ht="18" customHeight="1" x14ac:dyDescent="0.3">
      <c r="A183" s="2"/>
      <c r="B183" s="65" t="str">
        <f t="shared" si="10"/>
        <v>T00177</v>
      </c>
      <c r="C183" s="65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M007</v>
      </c>
      <c r="D183" s="61" t="s">
        <v>728</v>
      </c>
      <c r="E183" s="66">
        <v>46109</v>
      </c>
      <c r="F183" s="67">
        <v>10500</v>
      </c>
      <c r="G183" s="60" t="s">
        <v>713</v>
      </c>
      <c r="H183" s="60" t="s">
        <v>568</v>
      </c>
      <c r="I183" s="61"/>
      <c r="J183" s="61" t="s">
        <v>717</v>
      </c>
      <c r="K183" s="61"/>
      <c r="L183" s="73">
        <f t="shared" si="11"/>
        <v>46082</v>
      </c>
      <c r="M183" s="65" t="str">
        <f t="shared" ca="1" si="12"/>
        <v>UYGUN</v>
      </c>
      <c r="N183" s="74" t="str">
        <f>IF($C183="","",IF($C183="TANIMSIZ MÜŞTERİ","—",INDEX(MUSTERILER!$C$7:$C$156,MATCH($C183,MUSTERILER!$B$7:$B$156,0))))</f>
        <v>MONAMOUR LTD.ŞTİ.</v>
      </c>
      <c r="O183" s="2"/>
      <c r="P183" s="2"/>
      <c r="Q183" s="1" t="str">
        <f>IF($D183="","",$C183&amp;"|"&amp;COUNTIFS($C$7:$C183,$C183))</f>
        <v>M007|9</v>
      </c>
      <c r="R183" s="1" t="str">
        <f t="shared" si="13"/>
        <v>MONAMOURLTDSTI</v>
      </c>
      <c r="S183" s="1" t="str">
        <f t="shared" si="14"/>
        <v>M007|46109|10500|</v>
      </c>
      <c r="T183" s="1">
        <f>IF($E183="",0,SUMPRODUCT((AY_SONU!$O$7:$O$42="Evet")*(AY_SONU!$B$7:$B$42=DATE(YEAR($E183),MONTH($E183),1))))</f>
        <v>0</v>
      </c>
    </row>
    <row r="184" spans="1:20" ht="18" customHeight="1" x14ac:dyDescent="0.3">
      <c r="A184" s="2"/>
      <c r="B184" s="65" t="str">
        <f t="shared" si="10"/>
        <v>T00178</v>
      </c>
      <c r="C184" s="65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M013</v>
      </c>
      <c r="D184" s="61" t="s">
        <v>729</v>
      </c>
      <c r="E184" s="66">
        <v>46109</v>
      </c>
      <c r="F184" s="67">
        <v>2000</v>
      </c>
      <c r="G184" s="60" t="s">
        <v>713</v>
      </c>
      <c r="H184" s="60" t="s">
        <v>568</v>
      </c>
      <c r="I184" s="61"/>
      <c r="J184" s="61" t="s">
        <v>717</v>
      </c>
      <c r="K184" s="61"/>
      <c r="L184" s="73">
        <f t="shared" si="11"/>
        <v>46082</v>
      </c>
      <c r="M184" s="65" t="str">
        <f t="shared" ca="1" si="12"/>
        <v>UYGUN</v>
      </c>
      <c r="N184" s="74" t="str">
        <f>IF($C184="","",IF($C184="TANIMSIZ MÜŞTERİ","—",INDEX(MUSTERILER!$C$7:$C$156,MATCH($C184,MUSTERILER!$B$7:$B$156,0))))</f>
        <v>NAZ 1 GIDA LTD.ŞTİ.</v>
      </c>
      <c r="O184" s="2"/>
      <c r="P184" s="2"/>
      <c r="Q184" s="1" t="str">
        <f>IF($D184="","",$C184&amp;"|"&amp;COUNTIFS($C$7:$C184,$C184))</f>
        <v>M013|8</v>
      </c>
      <c r="R184" s="1" t="str">
        <f t="shared" si="13"/>
        <v>NAZ1GIDALTDSTI</v>
      </c>
      <c r="S184" s="1" t="str">
        <f t="shared" si="14"/>
        <v>M013|46109|2000|</v>
      </c>
      <c r="T184" s="1">
        <f>IF($E184="",0,SUMPRODUCT((AY_SONU!$O$7:$O$42="Evet")*(AY_SONU!$B$7:$B$42=DATE(YEAR($E184),MONTH($E184),1))))</f>
        <v>0</v>
      </c>
    </row>
    <row r="185" spans="1:20" ht="18" customHeight="1" x14ac:dyDescent="0.3">
      <c r="A185" s="2"/>
      <c r="B185" s="65" t="str">
        <f t="shared" si="10"/>
        <v>T00179</v>
      </c>
      <c r="C185" s="65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M016</v>
      </c>
      <c r="D185" s="61" t="s">
        <v>731</v>
      </c>
      <c r="E185" s="66">
        <v>46109</v>
      </c>
      <c r="F185" s="67">
        <v>3000</v>
      </c>
      <c r="G185" s="60" t="s">
        <v>713</v>
      </c>
      <c r="H185" s="60" t="s">
        <v>568</v>
      </c>
      <c r="I185" s="61"/>
      <c r="J185" s="61" t="s">
        <v>717</v>
      </c>
      <c r="K185" s="61"/>
      <c r="L185" s="73">
        <f t="shared" si="11"/>
        <v>46082</v>
      </c>
      <c r="M185" s="65" t="str">
        <f t="shared" ca="1" si="12"/>
        <v>MÜKERRER?</v>
      </c>
      <c r="N185" s="74" t="str">
        <f>IF($C185="","",IF($C185="TANIMSIZ MÜŞTERİ","—",INDEX(MUSTERILER!$C$7:$C$156,MATCH($C185,MUSTERILER!$B$7:$B$156,0))))</f>
        <v>RİX ŞOW LTD.ŞTİ.</v>
      </c>
      <c r="O185" s="2"/>
      <c r="P185" s="2"/>
      <c r="Q185" s="1" t="str">
        <f>IF($D185="","",$C185&amp;"|"&amp;COUNTIFS($C$7:$C185,$C185))</f>
        <v>M016|12</v>
      </c>
      <c r="R185" s="1" t="str">
        <f t="shared" si="13"/>
        <v>RIXSOWLTDSTI</v>
      </c>
      <c r="S185" s="1" t="str">
        <f t="shared" si="14"/>
        <v>M016|46109|3000|</v>
      </c>
      <c r="T185" s="1">
        <f>IF($E185="",0,SUMPRODUCT((AY_SONU!$O$7:$O$42="Evet")*(AY_SONU!$B$7:$B$42=DATE(YEAR($E185),MONTH($E185),1))))</f>
        <v>0</v>
      </c>
    </row>
    <row r="186" spans="1:20" ht="18" customHeight="1" x14ac:dyDescent="0.3">
      <c r="A186" s="2"/>
      <c r="B186" s="65" t="str">
        <f t="shared" si="10"/>
        <v>T00180</v>
      </c>
      <c r="C186" s="65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M016</v>
      </c>
      <c r="D186" s="61" t="s">
        <v>731</v>
      </c>
      <c r="E186" s="66">
        <v>46109</v>
      </c>
      <c r="F186" s="67">
        <v>3000</v>
      </c>
      <c r="G186" s="60" t="s">
        <v>713</v>
      </c>
      <c r="H186" s="60" t="s">
        <v>568</v>
      </c>
      <c r="I186" s="61"/>
      <c r="J186" s="61" t="s">
        <v>717</v>
      </c>
      <c r="K186" s="61"/>
      <c r="L186" s="73">
        <f t="shared" si="11"/>
        <v>46082</v>
      </c>
      <c r="M186" s="65" t="str">
        <f t="shared" ca="1" si="12"/>
        <v>MÜKERRER?</v>
      </c>
      <c r="N186" s="74" t="str">
        <f>IF($C186="","",IF($C186="TANIMSIZ MÜŞTERİ","—",INDEX(MUSTERILER!$C$7:$C$156,MATCH($C186,MUSTERILER!$B$7:$B$156,0))))</f>
        <v>RİX ŞOW LTD.ŞTİ.</v>
      </c>
      <c r="O186" s="2"/>
      <c r="P186" s="2"/>
      <c r="Q186" s="1" t="str">
        <f>IF($D186="","",$C186&amp;"|"&amp;COUNTIFS($C$7:$C186,$C186))</f>
        <v>M016|13</v>
      </c>
      <c r="R186" s="1" t="str">
        <f t="shared" si="13"/>
        <v>RIXSOWLTDSTI</v>
      </c>
      <c r="S186" s="1" t="str">
        <f t="shared" si="14"/>
        <v>M016|46109|3000|</v>
      </c>
      <c r="T186" s="1">
        <f>IF($E186="",0,SUMPRODUCT((AY_SONU!$O$7:$O$42="Evet")*(AY_SONU!$B$7:$B$42=DATE(YEAR($E186),MONTH($E186),1))))</f>
        <v>0</v>
      </c>
    </row>
    <row r="187" spans="1:20" ht="18" customHeight="1" x14ac:dyDescent="0.3">
      <c r="A187" s="2"/>
      <c r="B187" s="65" t="str">
        <f t="shared" si="10"/>
        <v>T00181</v>
      </c>
      <c r="C187" s="65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M004</v>
      </c>
      <c r="D187" s="61" t="s">
        <v>734</v>
      </c>
      <c r="E187" s="66">
        <v>46109</v>
      </c>
      <c r="F187" s="67">
        <v>3000</v>
      </c>
      <c r="G187" s="60" t="s">
        <v>713</v>
      </c>
      <c r="H187" s="60" t="s">
        <v>568</v>
      </c>
      <c r="I187" s="61"/>
      <c r="J187" s="61" t="s">
        <v>717</v>
      </c>
      <c r="K187" s="61"/>
      <c r="L187" s="73">
        <f t="shared" si="11"/>
        <v>46082</v>
      </c>
      <c r="M187" s="65" t="str">
        <f t="shared" ca="1" si="12"/>
        <v>UYGUN</v>
      </c>
      <c r="N187" s="74" t="str">
        <f>IF($C187="","",IF($C187="TANIMSIZ MÜŞTERİ","—",INDEX(MUSTERILER!$C$7:$C$156,MATCH($C187,MUSTERILER!$B$7:$B$156,0))))</f>
        <v>ZÜMRÜT EĞLENCE LTD.ŞTİ.</v>
      </c>
      <c r="O187" s="2"/>
      <c r="P187" s="2"/>
      <c r="Q187" s="1" t="str">
        <f>IF($D187="","",$C187&amp;"|"&amp;COUNTIFS($C$7:$C187,$C187))</f>
        <v>M004|6</v>
      </c>
      <c r="R187" s="1" t="str">
        <f t="shared" si="13"/>
        <v>ZUMRUTEGLENCELTDSTI</v>
      </c>
      <c r="S187" s="1" t="str">
        <f t="shared" si="14"/>
        <v>M004|46109|3000|</v>
      </c>
      <c r="T187" s="1">
        <f>IF($E187="",0,SUMPRODUCT((AY_SONU!$O$7:$O$42="Evet")*(AY_SONU!$B$7:$B$42=DATE(YEAR($E187),MONTH($E187),1))))</f>
        <v>0</v>
      </c>
    </row>
    <row r="188" spans="1:20" ht="18" customHeight="1" x14ac:dyDescent="0.3">
      <c r="A188" s="2"/>
      <c r="B188" s="65" t="str">
        <f t="shared" si="10"/>
        <v>T00182</v>
      </c>
      <c r="C188" s="65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M004</v>
      </c>
      <c r="D188" s="61" t="s">
        <v>734</v>
      </c>
      <c r="E188" s="66">
        <v>46109</v>
      </c>
      <c r="F188" s="67">
        <v>5500</v>
      </c>
      <c r="G188" s="60" t="s">
        <v>715</v>
      </c>
      <c r="H188" s="60" t="s">
        <v>568</v>
      </c>
      <c r="I188" s="61"/>
      <c r="J188" s="61" t="s">
        <v>716</v>
      </c>
      <c r="K188" s="61"/>
      <c r="L188" s="73">
        <f t="shared" si="11"/>
        <v>46082</v>
      </c>
      <c r="M188" s="65" t="str">
        <f t="shared" ca="1" si="12"/>
        <v>UYGUN</v>
      </c>
      <c r="N188" s="74" t="str">
        <f>IF($C188="","",IF($C188="TANIMSIZ MÜŞTERİ","—",INDEX(MUSTERILER!$C$7:$C$156,MATCH($C188,MUSTERILER!$B$7:$B$156,0))))</f>
        <v>ZÜMRÜT EĞLENCE LTD.ŞTİ.</v>
      </c>
      <c r="O188" s="2"/>
      <c r="P188" s="2"/>
      <c r="Q188" s="1" t="str">
        <f>IF($D188="","",$C188&amp;"|"&amp;COUNTIFS($C$7:$C188,$C188))</f>
        <v>M004|7</v>
      </c>
      <c r="R188" s="1" t="str">
        <f t="shared" si="13"/>
        <v>ZUMRUTEGLENCELTDSTI</v>
      </c>
      <c r="S188" s="1" t="str">
        <f t="shared" si="14"/>
        <v>M004|46109|5500|</v>
      </c>
      <c r="T188" s="1">
        <f>IF($E188="",0,SUMPRODUCT((AY_SONU!$O$7:$O$42="Evet")*(AY_SONU!$B$7:$B$42=DATE(YEAR($E188),MONTH($E188),1))))</f>
        <v>0</v>
      </c>
    </row>
    <row r="189" spans="1:20" ht="18" customHeight="1" x14ac:dyDescent="0.3">
      <c r="A189" s="2"/>
      <c r="B189" s="65" t="str">
        <f t="shared" si="10"/>
        <v>T00183</v>
      </c>
      <c r="C189" s="65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M018</v>
      </c>
      <c r="D189" s="61" t="s">
        <v>589</v>
      </c>
      <c r="E189" s="66">
        <v>46109</v>
      </c>
      <c r="F189" s="67">
        <v>2500</v>
      </c>
      <c r="G189" s="60" t="s">
        <v>713</v>
      </c>
      <c r="H189" s="60" t="s">
        <v>568</v>
      </c>
      <c r="I189" s="61"/>
      <c r="J189" s="61" t="s">
        <v>717</v>
      </c>
      <c r="K189" s="61"/>
      <c r="L189" s="73">
        <f t="shared" si="11"/>
        <v>46082</v>
      </c>
      <c r="M189" s="65" t="str">
        <f t="shared" ca="1" si="12"/>
        <v>UYGUN</v>
      </c>
      <c r="N189" s="74" t="str">
        <f>IF($C189="","",IF($C189="TANIMSIZ MÜŞTERİ","—",INDEX(MUSTERILER!$C$7:$C$156,MATCH($C189,MUSTERILER!$B$7:$B$156,0))))</f>
        <v>ÇINARHAN LTD.ŞTİ.</v>
      </c>
      <c r="O189" s="2"/>
      <c r="P189" s="2"/>
      <c r="Q189" s="1" t="str">
        <f>IF($D189="","",$C189&amp;"|"&amp;COUNTIFS($C$7:$C189,$C189))</f>
        <v>M018|6</v>
      </c>
      <c r="R189" s="1" t="str">
        <f t="shared" si="13"/>
        <v>CINARHANLTDSTI</v>
      </c>
      <c r="S189" s="1" t="str">
        <f t="shared" si="14"/>
        <v>M018|46109|2500|</v>
      </c>
      <c r="T189" s="1">
        <f>IF($E189="",0,SUMPRODUCT((AY_SONU!$O$7:$O$42="Evet")*(AY_SONU!$B$7:$B$42=DATE(YEAR($E189),MONTH($E189),1))))</f>
        <v>0</v>
      </c>
    </row>
    <row r="190" spans="1:20" ht="18" customHeight="1" x14ac:dyDescent="0.3">
      <c r="A190" s="2"/>
      <c r="B190" s="65" t="str">
        <f t="shared" si="10"/>
        <v>T00184</v>
      </c>
      <c r="C190" s="65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M035</v>
      </c>
      <c r="D190" s="61" t="s">
        <v>611</v>
      </c>
      <c r="E190" s="66">
        <v>46109</v>
      </c>
      <c r="F190" s="67">
        <v>3500</v>
      </c>
      <c r="G190" s="60" t="s">
        <v>713</v>
      </c>
      <c r="H190" s="60" t="s">
        <v>568</v>
      </c>
      <c r="I190" s="61"/>
      <c r="J190" s="61" t="s">
        <v>717</v>
      </c>
      <c r="K190" s="61"/>
      <c r="L190" s="73">
        <f t="shared" si="11"/>
        <v>46082</v>
      </c>
      <c r="M190" s="65" t="str">
        <f t="shared" ca="1" si="12"/>
        <v>UYGUN</v>
      </c>
      <c r="N190" s="74" t="str">
        <f>IF($C190="","",IF($C190="TANIMSIZ MÜŞTERİ","—",INDEX(MUSTERILER!$C$7:$C$156,MATCH($C190,MUSTERILER!$B$7:$B$156,0))))</f>
        <v>İSA DEMİRCİ</v>
      </c>
      <c r="O190" s="2"/>
      <c r="P190" s="2"/>
      <c r="Q190" s="1" t="str">
        <f>IF($D190="","",$C190&amp;"|"&amp;COUNTIFS($C$7:$C190,$C190))</f>
        <v>M035|2</v>
      </c>
      <c r="R190" s="1" t="str">
        <f t="shared" si="13"/>
        <v>ISADEMIRCI</v>
      </c>
      <c r="S190" s="1" t="str">
        <f t="shared" si="14"/>
        <v>M035|46109|3500|</v>
      </c>
      <c r="T190" s="1">
        <f>IF($E190="",0,SUMPRODUCT((AY_SONU!$O$7:$O$42="Evet")*(AY_SONU!$B$7:$B$42=DATE(YEAR($E190),MONTH($E190),1))))</f>
        <v>0</v>
      </c>
    </row>
    <row r="191" spans="1:20" ht="18" customHeight="1" x14ac:dyDescent="0.3">
      <c r="A191" s="2"/>
      <c r="B191" s="65" t="str">
        <f t="shared" si="10"/>
        <v>T00185</v>
      </c>
      <c r="C191" s="65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M020</v>
      </c>
      <c r="D191" s="61" t="s">
        <v>619</v>
      </c>
      <c r="E191" s="66">
        <v>46109</v>
      </c>
      <c r="F191" s="67">
        <v>3000</v>
      </c>
      <c r="G191" s="60" t="s">
        <v>713</v>
      </c>
      <c r="H191" s="60" t="s">
        <v>568</v>
      </c>
      <c r="I191" s="61"/>
      <c r="J191" s="61" t="s">
        <v>717</v>
      </c>
      <c r="K191" s="61"/>
      <c r="L191" s="73">
        <f t="shared" si="11"/>
        <v>46082</v>
      </c>
      <c r="M191" s="65" t="str">
        <f t="shared" ca="1" si="12"/>
        <v>UYGUN</v>
      </c>
      <c r="N191" s="74" t="str">
        <f>IF($C191="","",IF($C191="TANIMSIZ MÜŞTERİ","—",INDEX(MUSTERILER!$C$7:$C$156,MATCH($C191,MUSTERILER!$B$7:$B$156,0))))</f>
        <v>KRİSTAL LTD.ŞTİ.</v>
      </c>
      <c r="O191" s="2"/>
      <c r="P191" s="2"/>
      <c r="Q191" s="1" t="str">
        <f>IF($D191="","",$C191&amp;"|"&amp;COUNTIFS($C$7:$C191,$C191))</f>
        <v>M020|12</v>
      </c>
      <c r="R191" s="1" t="str">
        <f t="shared" si="13"/>
        <v>KRISTALLTDSTI</v>
      </c>
      <c r="S191" s="1" t="str">
        <f t="shared" si="14"/>
        <v>M020|46109|3000|</v>
      </c>
      <c r="T191" s="1">
        <f>IF($E191="",0,SUMPRODUCT((AY_SONU!$O$7:$O$42="Evet")*(AY_SONU!$B$7:$B$42=DATE(YEAR($E191),MONTH($E191),1))))</f>
        <v>0</v>
      </c>
    </row>
    <row r="192" spans="1:20" ht="18" customHeight="1" x14ac:dyDescent="0.3">
      <c r="A192" s="2"/>
      <c r="B192" s="65" t="str">
        <f t="shared" si="10"/>
        <v>T00186</v>
      </c>
      <c r="C192" s="65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M047</v>
      </c>
      <c r="D192" s="61" t="s">
        <v>649</v>
      </c>
      <c r="E192" s="66">
        <v>46109</v>
      </c>
      <c r="F192" s="67">
        <v>4000</v>
      </c>
      <c r="G192" s="60" t="s">
        <v>713</v>
      </c>
      <c r="H192" s="60" t="s">
        <v>568</v>
      </c>
      <c r="I192" s="61"/>
      <c r="J192" s="61" t="s">
        <v>717</v>
      </c>
      <c r="K192" s="61"/>
      <c r="L192" s="73">
        <f t="shared" si="11"/>
        <v>46082</v>
      </c>
      <c r="M192" s="65" t="str">
        <f t="shared" ca="1" si="12"/>
        <v>UYGUN</v>
      </c>
      <c r="N192" s="74" t="str">
        <f>IF($C192="","",IF($C192="TANIMSIZ MÜŞTERİ","—",INDEX(MUSTERILER!$C$7:$C$156,MATCH($C192,MUSTERILER!$B$7:$B$156,0))))</f>
        <v>PALAOĞULLARI LTD.ŞTİ.</v>
      </c>
      <c r="O192" s="2"/>
      <c r="P192" s="2"/>
      <c r="Q192" s="1" t="str">
        <f>IF($D192="","",$C192&amp;"|"&amp;COUNTIFS($C$7:$C192,$C192))</f>
        <v>M047|5</v>
      </c>
      <c r="R192" s="1" t="str">
        <f t="shared" si="13"/>
        <v>PALAOGULLARILTDSTI</v>
      </c>
      <c r="S192" s="1" t="str">
        <f t="shared" si="14"/>
        <v>M047|46109|4000|</v>
      </c>
      <c r="T192" s="1">
        <f>IF($E192="",0,SUMPRODUCT((AY_SONU!$O$7:$O$42="Evet")*(AY_SONU!$B$7:$B$42=DATE(YEAR($E192),MONTH($E192),1))))</f>
        <v>0</v>
      </c>
    </row>
    <row r="193" spans="1:20" ht="18" customHeight="1" x14ac:dyDescent="0.3">
      <c r="A193" s="2"/>
      <c r="B193" s="65" t="str">
        <f t="shared" si="10"/>
        <v>T00187</v>
      </c>
      <c r="C193" s="65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M037</v>
      </c>
      <c r="D193" s="61" t="s">
        <v>621</v>
      </c>
      <c r="E193" s="66">
        <v>46111</v>
      </c>
      <c r="F193" s="67">
        <v>2000</v>
      </c>
      <c r="G193" s="60" t="s">
        <v>713</v>
      </c>
      <c r="H193" s="60" t="s">
        <v>568</v>
      </c>
      <c r="I193" s="61"/>
      <c r="J193" s="61" t="s">
        <v>717</v>
      </c>
      <c r="K193" s="61"/>
      <c r="L193" s="73">
        <f t="shared" si="11"/>
        <v>46082</v>
      </c>
      <c r="M193" s="65" t="str">
        <f t="shared" ca="1" si="12"/>
        <v>UYGUN</v>
      </c>
      <c r="N193" s="74" t="str">
        <f>IF($C193="","",IF($C193="TANIMSIZ MÜŞTERİ","—",INDEX(MUSTERILER!$C$7:$C$156,MATCH($C193,MUSTERILER!$B$7:$B$156,0))))</f>
        <v>MEHMET EVREN KILINÇ</v>
      </c>
      <c r="O193" s="2"/>
      <c r="P193" s="2"/>
      <c r="Q193" s="1" t="str">
        <f>IF($D193="","",$C193&amp;"|"&amp;COUNTIFS($C$7:$C193,$C193))</f>
        <v>M037|2</v>
      </c>
      <c r="R193" s="1" t="str">
        <f t="shared" si="13"/>
        <v>MEHMETEVRENKILINC</v>
      </c>
      <c r="S193" s="1" t="str">
        <f t="shared" si="14"/>
        <v>M037|46111|2000|</v>
      </c>
      <c r="T193" s="1">
        <f>IF($E193="",0,SUMPRODUCT((AY_SONU!$O$7:$O$42="Evet")*(AY_SONU!$B$7:$B$42=DATE(YEAR($E193),MONTH($E193),1))))</f>
        <v>0</v>
      </c>
    </row>
    <row r="194" spans="1:20" ht="18" customHeight="1" x14ac:dyDescent="0.3">
      <c r="A194" s="2"/>
      <c r="B194" s="65" t="str">
        <f t="shared" si="10"/>
        <v>T00188</v>
      </c>
      <c r="C194" s="65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M023</v>
      </c>
      <c r="D194" s="61" t="s">
        <v>572</v>
      </c>
      <c r="E194" s="66">
        <v>46112</v>
      </c>
      <c r="F194" s="67">
        <v>12000</v>
      </c>
      <c r="G194" s="60" t="s">
        <v>715</v>
      </c>
      <c r="H194" s="60" t="s">
        <v>568</v>
      </c>
      <c r="I194" s="61"/>
      <c r="J194" s="61" t="s">
        <v>718</v>
      </c>
      <c r="K194" s="61"/>
      <c r="L194" s="73">
        <f t="shared" si="11"/>
        <v>46082</v>
      </c>
      <c r="M194" s="65" t="str">
        <f t="shared" ca="1" si="12"/>
        <v>UYGUN</v>
      </c>
      <c r="N194" s="74" t="str">
        <f>IF($C194="","",IF($C194="TANIMSIZ MÜŞTERİ","—",INDEX(MUSTERILER!$C$7:$C$156,MATCH($C194,MUSTERILER!$B$7:$B$156,0))))</f>
        <v>ALTINEL LTD.ŞTİ.</v>
      </c>
      <c r="O194" s="2"/>
      <c r="P194" s="2"/>
      <c r="Q194" s="1" t="str">
        <f>IF($D194="","",$C194&amp;"|"&amp;COUNTIFS($C$7:$C194,$C194))</f>
        <v>M023|3</v>
      </c>
      <c r="R194" s="1" t="str">
        <f t="shared" si="13"/>
        <v>ALTINELLTDSTI</v>
      </c>
      <c r="S194" s="1" t="str">
        <f t="shared" si="14"/>
        <v>M023|46112|12000|</v>
      </c>
      <c r="T194" s="1">
        <f>IF($E194="",0,SUMPRODUCT((AY_SONU!$O$7:$O$42="Evet")*(AY_SONU!$B$7:$B$42=DATE(YEAR($E194),MONTH($E194),1))))</f>
        <v>0</v>
      </c>
    </row>
    <row r="195" spans="1:20" ht="18" customHeight="1" x14ac:dyDescent="0.3">
      <c r="A195" s="2"/>
      <c r="B195" s="65" t="str">
        <f t="shared" si="10"/>
        <v>T00189</v>
      </c>
      <c r="C195" s="65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M007</v>
      </c>
      <c r="D195" s="61" t="s">
        <v>728</v>
      </c>
      <c r="E195" s="66">
        <v>46112</v>
      </c>
      <c r="F195" s="67">
        <v>7000</v>
      </c>
      <c r="G195" s="60" t="s">
        <v>715</v>
      </c>
      <c r="H195" s="60" t="s">
        <v>568</v>
      </c>
      <c r="I195" s="61"/>
      <c r="J195" s="61" t="s">
        <v>716</v>
      </c>
      <c r="K195" s="61"/>
      <c r="L195" s="73">
        <f t="shared" si="11"/>
        <v>46082</v>
      </c>
      <c r="M195" s="65" t="str">
        <f t="shared" ca="1" si="12"/>
        <v>UYGUN</v>
      </c>
      <c r="N195" s="74" t="str">
        <f>IF($C195="","",IF($C195="TANIMSIZ MÜŞTERİ","—",INDEX(MUSTERILER!$C$7:$C$156,MATCH($C195,MUSTERILER!$B$7:$B$156,0))))</f>
        <v>MONAMOUR LTD.ŞTİ.</v>
      </c>
      <c r="O195" s="2"/>
      <c r="P195" s="2"/>
      <c r="Q195" s="1" t="str">
        <f>IF($D195="","",$C195&amp;"|"&amp;COUNTIFS($C$7:$C195,$C195))</f>
        <v>M007|10</v>
      </c>
      <c r="R195" s="1" t="str">
        <f t="shared" si="13"/>
        <v>MONAMOURLTDSTI</v>
      </c>
      <c r="S195" s="1" t="str">
        <f t="shared" si="14"/>
        <v>M007|46112|7000|</v>
      </c>
      <c r="T195" s="1">
        <f>IF($E195="",0,SUMPRODUCT((AY_SONU!$O$7:$O$42="Evet")*(AY_SONU!$B$7:$B$42=DATE(YEAR($E195),MONTH($E195),1))))</f>
        <v>0</v>
      </c>
    </row>
    <row r="196" spans="1:20" ht="18" customHeight="1" x14ac:dyDescent="0.3">
      <c r="A196" s="2"/>
      <c r="B196" s="65" t="str">
        <f t="shared" si="10"/>
        <v>T00190</v>
      </c>
      <c r="C196" s="65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M017</v>
      </c>
      <c r="D196" s="61" t="s">
        <v>581</v>
      </c>
      <c r="E196" s="66">
        <v>46116</v>
      </c>
      <c r="F196" s="67">
        <v>2500</v>
      </c>
      <c r="G196" s="60" t="s">
        <v>713</v>
      </c>
      <c r="H196" s="60" t="s">
        <v>568</v>
      </c>
      <c r="I196" s="61"/>
      <c r="J196" s="61" t="s">
        <v>717</v>
      </c>
      <c r="K196" s="61"/>
      <c r="L196" s="73">
        <f t="shared" si="11"/>
        <v>46113</v>
      </c>
      <c r="M196" s="65" t="str">
        <f t="shared" ca="1" si="12"/>
        <v>UYGUN</v>
      </c>
      <c r="N196" s="74" t="str">
        <f>IF($C196="","",IF($C196="TANIMSIZ MÜŞTERİ","—",INDEX(MUSTERILER!$C$7:$C$156,MATCH($C196,MUSTERILER!$B$7:$B$156,0))))</f>
        <v>ASM EĞLENCE LTD.ŞTİ.</v>
      </c>
      <c r="O196" s="2"/>
      <c r="P196" s="2"/>
      <c r="Q196" s="1" t="str">
        <f>IF($D196="","",$C196&amp;"|"&amp;COUNTIFS($C$7:$C196,$C196))</f>
        <v>M017|11</v>
      </c>
      <c r="R196" s="1" t="str">
        <f t="shared" si="13"/>
        <v>ASMEGLENCELTDSTI</v>
      </c>
      <c r="S196" s="1" t="str">
        <f t="shared" si="14"/>
        <v>M017|46116|2500|</v>
      </c>
      <c r="T196" s="1">
        <f>IF($E196="",0,SUMPRODUCT((AY_SONU!$O$7:$O$42="Evet")*(AY_SONU!$B$7:$B$42=DATE(YEAR($E196),MONTH($E196),1))))</f>
        <v>0</v>
      </c>
    </row>
    <row r="197" spans="1:20" ht="18" customHeight="1" x14ac:dyDescent="0.3">
      <c r="A197" s="2"/>
      <c r="B197" s="65" t="str">
        <f t="shared" si="10"/>
        <v>T00191</v>
      </c>
      <c r="C197" s="65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M015</v>
      </c>
      <c r="D197" s="61" t="s">
        <v>723</v>
      </c>
      <c r="E197" s="66">
        <v>46116</v>
      </c>
      <c r="F197" s="67">
        <v>3000</v>
      </c>
      <c r="G197" s="60" t="s">
        <v>713</v>
      </c>
      <c r="H197" s="60" t="s">
        <v>568</v>
      </c>
      <c r="I197" s="61"/>
      <c r="J197" s="61" t="s">
        <v>717</v>
      </c>
      <c r="K197" s="61"/>
      <c r="L197" s="73">
        <f t="shared" si="11"/>
        <v>46113</v>
      </c>
      <c r="M197" s="65" t="str">
        <f t="shared" ca="1" si="12"/>
        <v>UYGUN</v>
      </c>
      <c r="N197" s="74" t="str">
        <f>IF($C197="","",IF($C197="TANIMSIZ MÜŞTERİ","—",INDEX(MUSTERILER!$C$7:$C$156,MATCH($C197,MUSTERILER!$B$7:$B$156,0))))</f>
        <v>ÇAYIRALAN LTD.ŞTİ.</v>
      </c>
      <c r="O197" s="2"/>
      <c r="P197" s="2"/>
      <c r="Q197" s="1" t="str">
        <f>IF($D197="","",$C197&amp;"|"&amp;COUNTIFS($C$7:$C197,$C197))</f>
        <v>M015|10</v>
      </c>
      <c r="R197" s="1" t="str">
        <f t="shared" si="13"/>
        <v>CAYIRALANLTDSTI</v>
      </c>
      <c r="S197" s="1" t="str">
        <f t="shared" si="14"/>
        <v>M015|46116|3000|</v>
      </c>
      <c r="T197" s="1">
        <f>IF($E197="",0,SUMPRODUCT((AY_SONU!$O$7:$O$42="Evet")*(AY_SONU!$B$7:$B$42=DATE(YEAR($E197),MONTH($E197),1))))</f>
        <v>0</v>
      </c>
    </row>
    <row r="198" spans="1:20" ht="18" customHeight="1" x14ac:dyDescent="0.3">
      <c r="A198" s="2"/>
      <c r="B198" s="65" t="str">
        <f t="shared" si="10"/>
        <v>T00192</v>
      </c>
      <c r="C198" s="65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M011</v>
      </c>
      <c r="D198" s="61" t="s">
        <v>724</v>
      </c>
      <c r="E198" s="66">
        <v>46116</v>
      </c>
      <c r="F198" s="67">
        <v>4000</v>
      </c>
      <c r="G198" s="60" t="s">
        <v>713</v>
      </c>
      <c r="H198" s="60" t="s">
        <v>568</v>
      </c>
      <c r="I198" s="61"/>
      <c r="J198" s="61" t="s">
        <v>717</v>
      </c>
      <c r="K198" s="61"/>
      <c r="L198" s="73">
        <f t="shared" si="11"/>
        <v>46113</v>
      </c>
      <c r="M198" s="65" t="str">
        <f t="shared" ca="1" si="12"/>
        <v>UYGUN</v>
      </c>
      <c r="N198" s="74" t="str">
        <f>IF($C198="","",IF($C198="TANIMSIZ MÜŞTERİ","—",INDEX(MUSTERILER!$C$7:$C$156,MATCH($C198,MUSTERILER!$B$7:$B$156,0))))</f>
        <v>EĞLENGÖR LTD.ŞTİ.</v>
      </c>
      <c r="O198" s="2"/>
      <c r="P198" s="2"/>
      <c r="Q198" s="1" t="str">
        <f>IF($D198="","",$C198&amp;"|"&amp;COUNTIFS($C$7:$C198,$C198))</f>
        <v>M011|13</v>
      </c>
      <c r="R198" s="1" t="str">
        <f t="shared" si="13"/>
        <v>EGLENGORLTDSTI</v>
      </c>
      <c r="S198" s="1" t="str">
        <f t="shared" si="14"/>
        <v>M011|46116|4000|</v>
      </c>
      <c r="T198" s="1">
        <f>IF($E198="",0,SUMPRODUCT((AY_SONU!$O$7:$O$42="Evet")*(AY_SONU!$B$7:$B$42=DATE(YEAR($E198),MONTH($E198),1))))</f>
        <v>0</v>
      </c>
    </row>
    <row r="199" spans="1:20" ht="18" customHeight="1" x14ac:dyDescent="0.3">
      <c r="A199" s="2"/>
      <c r="B199" s="65" t="str">
        <f t="shared" ref="B199:B262" si="15">IF($D199="","","T"&amp;TEXT(ROW()-6,"00000"))</f>
        <v>T00193</v>
      </c>
      <c r="C199" s="65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M014</v>
      </c>
      <c r="D199" s="61" t="s">
        <v>725</v>
      </c>
      <c r="E199" s="66">
        <v>46116</v>
      </c>
      <c r="F199" s="67">
        <v>4000</v>
      </c>
      <c r="G199" s="60" t="s">
        <v>713</v>
      </c>
      <c r="H199" s="60" t="s">
        <v>568</v>
      </c>
      <c r="I199" s="61"/>
      <c r="J199" s="61" t="s">
        <v>717</v>
      </c>
      <c r="K199" s="61"/>
      <c r="L199" s="73">
        <f t="shared" ref="L199:L262" si="16">IF($E199="","",DATE(YEAR($E199),MONTH($E199),1))</f>
        <v>46113</v>
      </c>
      <c r="M199" s="65" t="str">
        <f t="shared" ref="M199:M262" ca="1" si="17">IF($D199="","",IF($C199="TANIMSIZ MÜŞTERİ","HATA",IF(OR($E199="",$F199&lt;=0,$G199=""),"EKSİK",IF($E199&gt;TODAY(),"İLERİ TARİH",IF(COUNTIF($S$7:$S$2506,$S199)&gt;1,"MÜKERRER?",IF($T199&gt;0,"KAPALI DÖNEM","UYGUN"))))))</f>
        <v>UYGUN</v>
      </c>
      <c r="N199" s="74" t="str">
        <f>IF($C199="","",IF($C199="TANIMSIZ MÜŞTERİ","—",INDEX(MUSTERILER!$C$7:$C$156,MATCH($C199,MUSTERILER!$B$7:$B$156,0))))</f>
        <v>FİNAL SİYAH BEYAZ LTD.ŞTİ.</v>
      </c>
      <c r="O199" s="2"/>
      <c r="P199" s="2"/>
      <c r="Q199" s="1" t="str">
        <f>IF($D199="","",$C199&amp;"|"&amp;COUNTIFS($C$7:$C199,$C199))</f>
        <v>M014|12</v>
      </c>
      <c r="R199" s="1" t="str">
        <f t="shared" ref="R199:R262" si="18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FINALSIYAHBEYAZLTDSTI</v>
      </c>
      <c r="S199" s="1" t="str">
        <f t="shared" ref="S199:S262" si="19">IF($D199="","",$C199&amp;"|"&amp;TEXT($E199,"0")&amp;"|"&amp;TEXT($F199,"0")&amp;"|"&amp;$I199)</f>
        <v>M014|46116|4000|</v>
      </c>
      <c r="T199" s="1">
        <f>IF($E199="",0,SUMPRODUCT((AY_SONU!$O$7:$O$42="Evet")*(AY_SONU!$B$7:$B$42=DATE(YEAR($E199),MONTH($E199),1))))</f>
        <v>0</v>
      </c>
    </row>
    <row r="200" spans="1:20" ht="18" customHeight="1" x14ac:dyDescent="0.3">
      <c r="A200" s="2"/>
      <c r="B200" s="65" t="str">
        <f t="shared" si="15"/>
        <v>T00194</v>
      </c>
      <c r="C200" s="65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M034</v>
      </c>
      <c r="D200" s="61" t="s">
        <v>726</v>
      </c>
      <c r="E200" s="66">
        <v>46116</v>
      </c>
      <c r="F200" s="67">
        <v>4000</v>
      </c>
      <c r="G200" s="60" t="s">
        <v>713</v>
      </c>
      <c r="H200" s="60" t="s">
        <v>568</v>
      </c>
      <c r="I200" s="61"/>
      <c r="J200" s="61" t="s">
        <v>717</v>
      </c>
      <c r="K200" s="61"/>
      <c r="L200" s="73">
        <f t="shared" si="16"/>
        <v>46113</v>
      </c>
      <c r="M200" s="65" t="str">
        <f t="shared" ca="1" si="17"/>
        <v>UYGUN</v>
      </c>
      <c r="N200" s="74" t="str">
        <f>IF($C200="","",IF($C200="TANIMSIZ MÜŞTERİ","—",INDEX(MUSTERILER!$C$7:$C$156,MATCH($C200,MUSTERILER!$B$7:$B$156,0))))</f>
        <v>İBRAHİM MALDAN</v>
      </c>
      <c r="O200" s="2"/>
      <c r="P200" s="2"/>
      <c r="Q200" s="1" t="str">
        <f>IF($D200="","",$C200&amp;"|"&amp;COUNTIFS($C$7:$C200,$C200))</f>
        <v>M034|9</v>
      </c>
      <c r="R200" s="1" t="str">
        <f t="shared" si="18"/>
        <v>IBRAHIMMALDAN</v>
      </c>
      <c r="S200" s="1" t="str">
        <f t="shared" si="19"/>
        <v>M034|46116|4000|</v>
      </c>
      <c r="T200" s="1">
        <f>IF($E200="",0,SUMPRODUCT((AY_SONU!$O$7:$O$42="Evet")*(AY_SONU!$B$7:$B$42=DATE(YEAR($E200),MONTH($E200),1))))</f>
        <v>0</v>
      </c>
    </row>
    <row r="201" spans="1:20" ht="18" customHeight="1" x14ac:dyDescent="0.3">
      <c r="A201" s="2"/>
      <c r="B201" s="65" t="str">
        <f t="shared" si="15"/>
        <v>T00195</v>
      </c>
      <c r="C201" s="65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M012</v>
      </c>
      <c r="D201" s="61" t="s">
        <v>727</v>
      </c>
      <c r="E201" s="66">
        <v>46116</v>
      </c>
      <c r="F201" s="67">
        <v>4000</v>
      </c>
      <c r="G201" s="60" t="s">
        <v>713</v>
      </c>
      <c r="H201" s="60" t="s">
        <v>568</v>
      </c>
      <c r="I201" s="61"/>
      <c r="J201" s="61" t="s">
        <v>717</v>
      </c>
      <c r="K201" s="61"/>
      <c r="L201" s="73">
        <f t="shared" si="16"/>
        <v>46113</v>
      </c>
      <c r="M201" s="65" t="str">
        <f t="shared" ca="1" si="17"/>
        <v>MÜKERRER?</v>
      </c>
      <c r="N201" s="74" t="str">
        <f>IF($C201="","",IF($C201="TANIMSIZ MÜŞTERİ","—",INDEX(MUSTERILER!$C$7:$C$156,MATCH($C201,MUSTERILER!$B$7:$B$156,0))))</f>
        <v>İLDEŞ LTD.ŞTİ.</v>
      </c>
      <c r="O201" s="2"/>
      <c r="P201" s="2"/>
      <c r="Q201" s="1" t="str">
        <f>IF($D201="","",$C201&amp;"|"&amp;COUNTIFS($C$7:$C201,$C201))</f>
        <v>M012|11</v>
      </c>
      <c r="R201" s="1" t="str">
        <f t="shared" si="18"/>
        <v>ILDESLTDSTI</v>
      </c>
      <c r="S201" s="1" t="str">
        <f t="shared" si="19"/>
        <v>M012|46116|4000|</v>
      </c>
      <c r="T201" s="1">
        <f>IF($E201="",0,SUMPRODUCT((AY_SONU!$O$7:$O$42="Evet")*(AY_SONU!$B$7:$B$42=DATE(YEAR($E201),MONTH($E201),1))))</f>
        <v>0</v>
      </c>
    </row>
    <row r="202" spans="1:20" ht="18" customHeight="1" x14ac:dyDescent="0.3">
      <c r="A202" s="2"/>
      <c r="B202" s="65" t="str">
        <f t="shared" si="15"/>
        <v>T00196</v>
      </c>
      <c r="C202" s="65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M012</v>
      </c>
      <c r="D202" s="61" t="s">
        <v>609</v>
      </c>
      <c r="E202" s="66">
        <v>46116</v>
      </c>
      <c r="F202" s="67">
        <v>4000</v>
      </c>
      <c r="G202" s="60" t="s">
        <v>713</v>
      </c>
      <c r="H202" s="60" t="s">
        <v>568</v>
      </c>
      <c r="I202" s="61"/>
      <c r="J202" s="61" t="s">
        <v>717</v>
      </c>
      <c r="K202" s="61"/>
      <c r="L202" s="73">
        <f t="shared" si="16"/>
        <v>46113</v>
      </c>
      <c r="M202" s="65" t="str">
        <f t="shared" ca="1" si="17"/>
        <v>MÜKERRER?</v>
      </c>
      <c r="N202" s="74" t="str">
        <f>IF($C202="","",IF($C202="TANIMSIZ MÜŞTERİ","—",INDEX(MUSTERILER!$C$7:$C$156,MATCH($C202,MUSTERILER!$B$7:$B$156,0))))</f>
        <v>İLDEŞ LTD.ŞTİ.</v>
      </c>
      <c r="O202" s="2"/>
      <c r="P202" s="2"/>
      <c r="Q202" s="1" t="str">
        <f>IF($D202="","",$C202&amp;"|"&amp;COUNTIFS($C$7:$C202,$C202))</f>
        <v>M012|12</v>
      </c>
      <c r="R202" s="1" t="str">
        <f t="shared" si="18"/>
        <v>ILDESLTDSTI</v>
      </c>
      <c r="S202" s="1" t="str">
        <f t="shared" si="19"/>
        <v>M012|46116|4000|</v>
      </c>
      <c r="T202" s="1">
        <f>IF($E202="",0,SUMPRODUCT((AY_SONU!$O$7:$O$42="Evet")*(AY_SONU!$B$7:$B$42=DATE(YEAR($E202),MONTH($E202),1))))</f>
        <v>0</v>
      </c>
    </row>
    <row r="203" spans="1:20" ht="18" customHeight="1" x14ac:dyDescent="0.3">
      <c r="A203" s="2"/>
      <c r="B203" s="65" t="str">
        <f t="shared" si="15"/>
        <v>T00197</v>
      </c>
      <c r="C203" s="65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M007</v>
      </c>
      <c r="D203" s="61" t="s">
        <v>728</v>
      </c>
      <c r="E203" s="66">
        <v>46116</v>
      </c>
      <c r="F203" s="67">
        <v>3500</v>
      </c>
      <c r="G203" s="60" t="s">
        <v>713</v>
      </c>
      <c r="H203" s="60" t="s">
        <v>568</v>
      </c>
      <c r="I203" s="61"/>
      <c r="J203" s="61" t="s">
        <v>717</v>
      </c>
      <c r="K203" s="61"/>
      <c r="L203" s="73">
        <f t="shared" si="16"/>
        <v>46113</v>
      </c>
      <c r="M203" s="65" t="str">
        <f t="shared" ca="1" si="17"/>
        <v>UYGUN</v>
      </c>
      <c r="N203" s="74" t="str">
        <f>IF($C203="","",IF($C203="TANIMSIZ MÜŞTERİ","—",INDEX(MUSTERILER!$C$7:$C$156,MATCH($C203,MUSTERILER!$B$7:$B$156,0))))</f>
        <v>MONAMOUR LTD.ŞTİ.</v>
      </c>
      <c r="O203" s="2"/>
      <c r="P203" s="2"/>
      <c r="Q203" s="1" t="str">
        <f>IF($D203="","",$C203&amp;"|"&amp;COUNTIFS($C$7:$C203,$C203))</f>
        <v>M007|11</v>
      </c>
      <c r="R203" s="1" t="str">
        <f t="shared" si="18"/>
        <v>MONAMOURLTDSTI</v>
      </c>
      <c r="S203" s="1" t="str">
        <f t="shared" si="19"/>
        <v>M007|46116|3500|</v>
      </c>
      <c r="T203" s="1">
        <f>IF($E203="",0,SUMPRODUCT((AY_SONU!$O$7:$O$42="Evet")*(AY_SONU!$B$7:$B$42=DATE(YEAR($E203),MONTH($E203),1))))</f>
        <v>0</v>
      </c>
    </row>
    <row r="204" spans="1:20" ht="18" customHeight="1" x14ac:dyDescent="0.3">
      <c r="A204" s="2"/>
      <c r="B204" s="65" t="str">
        <f t="shared" si="15"/>
        <v>T00198</v>
      </c>
      <c r="C204" s="65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M009</v>
      </c>
      <c r="D204" s="61" t="s">
        <v>730</v>
      </c>
      <c r="E204" s="66">
        <v>46116</v>
      </c>
      <c r="F204" s="67">
        <v>4000</v>
      </c>
      <c r="G204" s="60" t="s">
        <v>713</v>
      </c>
      <c r="H204" s="60" t="s">
        <v>568</v>
      </c>
      <c r="I204" s="61"/>
      <c r="J204" s="61" t="s">
        <v>717</v>
      </c>
      <c r="K204" s="61"/>
      <c r="L204" s="73">
        <f t="shared" si="16"/>
        <v>46113</v>
      </c>
      <c r="M204" s="65" t="str">
        <f t="shared" ca="1" si="17"/>
        <v>UYGUN</v>
      </c>
      <c r="N204" s="74" t="str">
        <f>IF($C204="","",IF($C204="TANIMSIZ MÜŞTERİ","—",INDEX(MUSTERILER!$C$7:$C$156,MATCH($C204,MUSTERILER!$B$7:$B$156,0))))</f>
        <v>PAKYILDIZ LTD.ŞTİ.</v>
      </c>
      <c r="O204" s="2"/>
      <c r="P204" s="2"/>
      <c r="Q204" s="1" t="str">
        <f>IF($D204="","",$C204&amp;"|"&amp;COUNTIFS($C$7:$C204,$C204))</f>
        <v>M009|8</v>
      </c>
      <c r="R204" s="1" t="str">
        <f t="shared" si="18"/>
        <v>PAKYILDIZLTDSTI</v>
      </c>
      <c r="S204" s="1" t="str">
        <f t="shared" si="19"/>
        <v>M009|46116|4000|</v>
      </c>
      <c r="T204" s="1">
        <f>IF($E204="",0,SUMPRODUCT((AY_SONU!$O$7:$O$42="Evet")*(AY_SONU!$B$7:$B$42=DATE(YEAR($E204),MONTH($E204),1))))</f>
        <v>0</v>
      </c>
    </row>
    <row r="205" spans="1:20" ht="18" customHeight="1" x14ac:dyDescent="0.3">
      <c r="A205" s="2"/>
      <c r="B205" s="65" t="str">
        <f t="shared" si="15"/>
        <v>T00199</v>
      </c>
      <c r="C205" s="65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M003</v>
      </c>
      <c r="D205" s="61" t="s">
        <v>661</v>
      </c>
      <c r="E205" s="66">
        <v>46116</v>
      </c>
      <c r="F205" s="67">
        <v>6000</v>
      </c>
      <c r="G205" s="60" t="s">
        <v>713</v>
      </c>
      <c r="H205" s="60" t="s">
        <v>568</v>
      </c>
      <c r="I205" s="61"/>
      <c r="J205" s="61" t="s">
        <v>717</v>
      </c>
      <c r="K205" s="61"/>
      <c r="L205" s="73">
        <f t="shared" si="16"/>
        <v>46113</v>
      </c>
      <c r="M205" s="65" t="str">
        <f t="shared" ca="1" si="17"/>
        <v>UYGUN</v>
      </c>
      <c r="N205" s="74" t="str">
        <f>IF($C205="","",IF($C205="TANIMSIZ MÜŞTERİ","—",INDEX(MUSTERILER!$C$7:$C$156,MATCH($C205,MUSTERILER!$B$7:$B$156,0))))</f>
        <v>TYANA LTD.ŞTİ.</v>
      </c>
      <c r="O205" s="2"/>
      <c r="P205" s="2"/>
      <c r="Q205" s="1" t="str">
        <f>IF($D205="","",$C205&amp;"|"&amp;COUNTIFS($C$7:$C205,$C205))</f>
        <v>M003|4</v>
      </c>
      <c r="R205" s="1" t="str">
        <f t="shared" si="18"/>
        <v>TYANALTDSTI</v>
      </c>
      <c r="S205" s="1" t="str">
        <f t="shared" si="19"/>
        <v>M003|46116|6000|</v>
      </c>
      <c r="T205" s="1">
        <f>IF($E205="",0,SUMPRODUCT((AY_SONU!$O$7:$O$42="Evet")*(AY_SONU!$B$7:$B$42=DATE(YEAR($E205),MONTH($E205),1))))</f>
        <v>0</v>
      </c>
    </row>
    <row r="206" spans="1:20" ht="18" customHeight="1" x14ac:dyDescent="0.3">
      <c r="A206" s="2"/>
      <c r="B206" s="65" t="str">
        <f t="shared" si="15"/>
        <v>T00200</v>
      </c>
      <c r="C206" s="65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M004</v>
      </c>
      <c r="D206" s="61" t="s">
        <v>734</v>
      </c>
      <c r="E206" s="66">
        <v>46116</v>
      </c>
      <c r="F206" s="67">
        <v>3000</v>
      </c>
      <c r="G206" s="60" t="s">
        <v>713</v>
      </c>
      <c r="H206" s="60" t="s">
        <v>568</v>
      </c>
      <c r="I206" s="61"/>
      <c r="J206" s="61" t="s">
        <v>717</v>
      </c>
      <c r="K206" s="61"/>
      <c r="L206" s="73">
        <f t="shared" si="16"/>
        <v>46113</v>
      </c>
      <c r="M206" s="65" t="str">
        <f t="shared" ca="1" si="17"/>
        <v>UYGUN</v>
      </c>
      <c r="N206" s="74" t="str">
        <f>IF($C206="","",IF($C206="TANIMSIZ MÜŞTERİ","—",INDEX(MUSTERILER!$C$7:$C$156,MATCH($C206,MUSTERILER!$B$7:$B$156,0))))</f>
        <v>ZÜMRÜT EĞLENCE LTD.ŞTİ.</v>
      </c>
      <c r="O206" s="2"/>
      <c r="P206" s="2"/>
      <c r="Q206" s="1" t="str">
        <f>IF($D206="","",$C206&amp;"|"&amp;COUNTIFS($C$7:$C206,$C206))</f>
        <v>M004|8</v>
      </c>
      <c r="R206" s="1" t="str">
        <f t="shared" si="18"/>
        <v>ZUMRUTEGLENCELTDSTI</v>
      </c>
      <c r="S206" s="1" t="str">
        <f t="shared" si="19"/>
        <v>M004|46116|3000|</v>
      </c>
      <c r="T206" s="1">
        <f>IF($E206="",0,SUMPRODUCT((AY_SONU!$O$7:$O$42="Evet")*(AY_SONU!$B$7:$B$42=DATE(YEAR($E206),MONTH($E206),1))))</f>
        <v>0</v>
      </c>
    </row>
    <row r="207" spans="1:20" ht="18" customHeight="1" x14ac:dyDescent="0.3">
      <c r="A207" s="2"/>
      <c r="B207" s="65" t="str">
        <f t="shared" si="15"/>
        <v>T00201</v>
      </c>
      <c r="C207" s="65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M005</v>
      </c>
      <c r="D207" s="61" t="s">
        <v>732</v>
      </c>
      <c r="E207" s="66">
        <v>46116</v>
      </c>
      <c r="F207" s="67">
        <v>1750</v>
      </c>
      <c r="G207" s="60" t="s">
        <v>713</v>
      </c>
      <c r="H207" s="60" t="s">
        <v>568</v>
      </c>
      <c r="I207" s="61"/>
      <c r="J207" s="61" t="s">
        <v>717</v>
      </c>
      <c r="K207" s="61"/>
      <c r="L207" s="73">
        <f t="shared" si="16"/>
        <v>46113</v>
      </c>
      <c r="M207" s="65" t="str">
        <f t="shared" ca="1" si="17"/>
        <v>UYGUN</v>
      </c>
      <c r="N207" s="74" t="str">
        <f>IF($C207="","",IF($C207="TANIMSIZ MÜŞTERİ","—",INDEX(MUSTERILER!$C$7:$C$156,MATCH($C207,MUSTERILER!$B$7:$B$156,0))))</f>
        <v>ZÜMRÜT GRUP LTD.ŞTİ.</v>
      </c>
      <c r="O207" s="2"/>
      <c r="P207" s="2"/>
      <c r="Q207" s="1" t="str">
        <f>IF($D207="","",$C207&amp;"|"&amp;COUNTIFS($C$7:$C207,$C207))</f>
        <v>M005|11</v>
      </c>
      <c r="R207" s="1" t="str">
        <f t="shared" si="18"/>
        <v>ZUMRUTGRUPLTDSTI</v>
      </c>
      <c r="S207" s="1" t="str">
        <f t="shared" si="19"/>
        <v>M005|46116|1750|</v>
      </c>
      <c r="T207" s="1">
        <f>IF($E207="",0,SUMPRODUCT((AY_SONU!$O$7:$O$42="Evet")*(AY_SONU!$B$7:$B$42=DATE(YEAR($E207),MONTH($E207),1))))</f>
        <v>0</v>
      </c>
    </row>
    <row r="208" spans="1:20" ht="18" customHeight="1" x14ac:dyDescent="0.3">
      <c r="A208" s="2"/>
      <c r="B208" s="65" t="str">
        <f t="shared" si="15"/>
        <v>T00202</v>
      </c>
      <c r="C208" s="65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M002</v>
      </c>
      <c r="D208" s="61" t="s">
        <v>597</v>
      </c>
      <c r="E208" s="66">
        <v>46116</v>
      </c>
      <c r="F208" s="67">
        <v>3500</v>
      </c>
      <c r="G208" s="60" t="s">
        <v>713</v>
      </c>
      <c r="H208" s="60" t="s">
        <v>568</v>
      </c>
      <c r="I208" s="61"/>
      <c r="J208" s="61" t="s">
        <v>717</v>
      </c>
      <c r="K208" s="61"/>
      <c r="L208" s="73">
        <f t="shared" si="16"/>
        <v>46113</v>
      </c>
      <c r="M208" s="65" t="str">
        <f t="shared" ca="1" si="17"/>
        <v>UYGUN</v>
      </c>
      <c r="N208" s="74" t="str">
        <f>IF($C208="","",IF($C208="TANIMSIZ MÜŞTERİ","—",INDEX(MUSTERILER!$C$7:$C$156,MATCH($C208,MUSTERILER!$B$7:$B$156,0))))</f>
        <v>ESERLİ LTD.ŞTİ.</v>
      </c>
      <c r="O208" s="2"/>
      <c r="P208" s="2"/>
      <c r="Q208" s="1" t="str">
        <f>IF($D208="","",$C208&amp;"|"&amp;COUNTIFS($C$7:$C208,$C208))</f>
        <v>M002|2</v>
      </c>
      <c r="R208" s="1" t="str">
        <f t="shared" si="18"/>
        <v>ESERLILTDSTI</v>
      </c>
      <c r="S208" s="1" t="str">
        <f t="shared" si="19"/>
        <v>M002|46116|3500|</v>
      </c>
      <c r="T208" s="1">
        <f>IF($E208="",0,SUMPRODUCT((AY_SONU!$O$7:$O$42="Evet")*(AY_SONU!$B$7:$B$42=DATE(YEAR($E208),MONTH($E208),1))))</f>
        <v>0</v>
      </c>
    </row>
    <row r="209" spans="1:20" ht="18" customHeight="1" x14ac:dyDescent="0.3">
      <c r="A209" s="2"/>
      <c r="B209" s="65" t="str">
        <f t="shared" si="15"/>
        <v>T00203</v>
      </c>
      <c r="C209" s="65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M020</v>
      </c>
      <c r="D209" s="61" t="s">
        <v>619</v>
      </c>
      <c r="E209" s="66">
        <v>46116</v>
      </c>
      <c r="F209" s="67">
        <v>3000</v>
      </c>
      <c r="G209" s="60" t="s">
        <v>713</v>
      </c>
      <c r="H209" s="60" t="s">
        <v>568</v>
      </c>
      <c r="I209" s="61"/>
      <c r="J209" s="61" t="s">
        <v>717</v>
      </c>
      <c r="K209" s="61"/>
      <c r="L209" s="73">
        <f t="shared" si="16"/>
        <v>46113</v>
      </c>
      <c r="M209" s="65" t="str">
        <f t="shared" ca="1" si="17"/>
        <v>UYGUN</v>
      </c>
      <c r="N209" s="74" t="str">
        <f>IF($C209="","",IF($C209="TANIMSIZ MÜŞTERİ","—",INDEX(MUSTERILER!$C$7:$C$156,MATCH($C209,MUSTERILER!$B$7:$B$156,0))))</f>
        <v>KRİSTAL LTD.ŞTİ.</v>
      </c>
      <c r="O209" s="2"/>
      <c r="P209" s="2"/>
      <c r="Q209" s="1" t="str">
        <f>IF($D209="","",$C209&amp;"|"&amp;COUNTIFS($C$7:$C209,$C209))</f>
        <v>M020|13</v>
      </c>
      <c r="R209" s="1" t="str">
        <f t="shared" si="18"/>
        <v>KRISTALLTDSTI</v>
      </c>
      <c r="S209" s="1" t="str">
        <f t="shared" si="19"/>
        <v>M020|46116|3000|</v>
      </c>
      <c r="T209" s="1">
        <f>IF($E209="",0,SUMPRODUCT((AY_SONU!$O$7:$O$42="Evet")*(AY_SONU!$B$7:$B$42=DATE(YEAR($E209),MONTH($E209),1))))</f>
        <v>0</v>
      </c>
    </row>
    <row r="210" spans="1:20" ht="18" customHeight="1" x14ac:dyDescent="0.3">
      <c r="A210" s="2"/>
      <c r="B210" s="65" t="str">
        <f t="shared" si="15"/>
        <v>T00204</v>
      </c>
      <c r="C210" s="65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M047</v>
      </c>
      <c r="D210" s="61" t="s">
        <v>649</v>
      </c>
      <c r="E210" s="66">
        <v>46116</v>
      </c>
      <c r="F210" s="67">
        <v>4000</v>
      </c>
      <c r="G210" s="60" t="s">
        <v>713</v>
      </c>
      <c r="H210" s="60" t="s">
        <v>568</v>
      </c>
      <c r="I210" s="61"/>
      <c r="J210" s="61" t="s">
        <v>717</v>
      </c>
      <c r="K210" s="61"/>
      <c r="L210" s="73">
        <f t="shared" si="16"/>
        <v>46113</v>
      </c>
      <c r="M210" s="65" t="str">
        <f t="shared" ca="1" si="17"/>
        <v>UYGUN</v>
      </c>
      <c r="N210" s="74" t="str">
        <f>IF($C210="","",IF($C210="TANIMSIZ MÜŞTERİ","—",INDEX(MUSTERILER!$C$7:$C$156,MATCH($C210,MUSTERILER!$B$7:$B$156,0))))</f>
        <v>PALAOĞULLARI LTD.ŞTİ.</v>
      </c>
      <c r="O210" s="2"/>
      <c r="P210" s="2"/>
      <c r="Q210" s="1" t="str">
        <f>IF($D210="","",$C210&amp;"|"&amp;COUNTIFS($C$7:$C210,$C210))</f>
        <v>M047|6</v>
      </c>
      <c r="R210" s="1" t="str">
        <f t="shared" si="18"/>
        <v>PALAOGULLARILTDSTI</v>
      </c>
      <c r="S210" s="1" t="str">
        <f t="shared" si="19"/>
        <v>M047|46116|4000|</v>
      </c>
      <c r="T210" s="1">
        <f>IF($E210="",0,SUMPRODUCT((AY_SONU!$O$7:$O$42="Evet")*(AY_SONU!$B$7:$B$42=DATE(YEAR($E210),MONTH($E210),1))))</f>
        <v>0</v>
      </c>
    </row>
    <row r="211" spans="1:20" ht="18" customHeight="1" x14ac:dyDescent="0.3">
      <c r="A211" s="2"/>
      <c r="B211" s="65" t="str">
        <f t="shared" si="15"/>
        <v>T00205</v>
      </c>
      <c r="C211" s="65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M048</v>
      </c>
      <c r="D211" s="61" t="s">
        <v>651</v>
      </c>
      <c r="E211" s="66">
        <v>46122</v>
      </c>
      <c r="F211" s="67">
        <v>10000</v>
      </c>
      <c r="G211" s="60" t="s">
        <v>715</v>
      </c>
      <c r="H211" s="60" t="s">
        <v>568</v>
      </c>
      <c r="I211" s="61"/>
      <c r="J211" s="61" t="s">
        <v>717</v>
      </c>
      <c r="K211" s="61"/>
      <c r="L211" s="73">
        <f t="shared" si="16"/>
        <v>46113</v>
      </c>
      <c r="M211" s="65" t="str">
        <f t="shared" ca="1" si="17"/>
        <v>UYGUN</v>
      </c>
      <c r="N211" s="74" t="str">
        <f>IF($C211="","",IF($C211="TANIMSIZ MÜŞTERİ","—",INDEX(MUSTERILER!$C$7:$C$156,MATCH($C211,MUSTERILER!$B$7:$B$156,0))))</f>
        <v>RASİM DEMİRCİ</v>
      </c>
      <c r="O211" s="2"/>
      <c r="P211" s="2"/>
      <c r="Q211" s="1" t="str">
        <f>IF($D211="","",$C211&amp;"|"&amp;COUNTIFS($C$7:$C211,$C211))</f>
        <v>M048|1</v>
      </c>
      <c r="R211" s="1" t="str">
        <f t="shared" si="18"/>
        <v>RASIMDEMIRCI</v>
      </c>
      <c r="S211" s="1" t="str">
        <f t="shared" si="19"/>
        <v>M048|46122|10000|</v>
      </c>
      <c r="T211" s="1">
        <f>IF($E211="",0,SUMPRODUCT((AY_SONU!$O$7:$O$42="Evet")*(AY_SONU!$B$7:$B$42=DATE(YEAR($E211),MONTH($E211),1))))</f>
        <v>0</v>
      </c>
    </row>
    <row r="212" spans="1:20" ht="18" customHeight="1" x14ac:dyDescent="0.3">
      <c r="A212" s="2"/>
      <c r="B212" s="65" t="str">
        <f t="shared" si="15"/>
        <v>T00206</v>
      </c>
      <c r="C212" s="65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M025</v>
      </c>
      <c r="D212" s="61" t="s">
        <v>579</v>
      </c>
      <c r="E212" s="66">
        <v>46123</v>
      </c>
      <c r="F212" s="67">
        <v>2000</v>
      </c>
      <c r="G212" s="60" t="s">
        <v>715</v>
      </c>
      <c r="H212" s="60" t="s">
        <v>568</v>
      </c>
      <c r="I212" s="61"/>
      <c r="J212" s="61" t="s">
        <v>717</v>
      </c>
      <c r="K212" s="61"/>
      <c r="L212" s="73">
        <f t="shared" si="16"/>
        <v>46113</v>
      </c>
      <c r="M212" s="65" t="str">
        <f t="shared" ca="1" si="17"/>
        <v>UYGUN</v>
      </c>
      <c r="N212" s="74" t="str">
        <f>IF($C212="","",IF($C212="TANIMSIZ MÜŞTERİ","—",INDEX(MUSTERILER!$C$7:$C$156,MATCH($C212,MUSTERILER!$B$7:$B$156,0))))</f>
        <v>ASIM AÇIKGÖZ</v>
      </c>
      <c r="O212" s="2"/>
      <c r="P212" s="2"/>
      <c r="Q212" s="1" t="str">
        <f>IF($D212="","",$C212&amp;"|"&amp;COUNTIFS($C$7:$C212,$C212))</f>
        <v>M025|10</v>
      </c>
      <c r="R212" s="1" t="str">
        <f t="shared" si="18"/>
        <v>ASIMACIKGOZ</v>
      </c>
      <c r="S212" s="1" t="str">
        <f t="shared" si="19"/>
        <v>M025|46123|2000|</v>
      </c>
      <c r="T212" s="1">
        <f>IF($E212="",0,SUMPRODUCT((AY_SONU!$O$7:$O$42="Evet")*(AY_SONU!$B$7:$B$42=DATE(YEAR($E212),MONTH($E212),1))))</f>
        <v>0</v>
      </c>
    </row>
    <row r="213" spans="1:20" ht="18" customHeight="1" x14ac:dyDescent="0.3">
      <c r="A213" s="2"/>
      <c r="B213" s="65" t="str">
        <f t="shared" si="15"/>
        <v>T00207</v>
      </c>
      <c r="C213" s="65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M017</v>
      </c>
      <c r="D213" s="61" t="s">
        <v>581</v>
      </c>
      <c r="E213" s="66">
        <v>46123</v>
      </c>
      <c r="F213" s="67">
        <v>2500</v>
      </c>
      <c r="G213" s="60" t="s">
        <v>715</v>
      </c>
      <c r="H213" s="60" t="s">
        <v>568</v>
      </c>
      <c r="I213" s="61"/>
      <c r="J213" s="61" t="s">
        <v>717</v>
      </c>
      <c r="K213" s="61"/>
      <c r="L213" s="73">
        <f t="shared" si="16"/>
        <v>46113</v>
      </c>
      <c r="M213" s="65" t="str">
        <f t="shared" ca="1" si="17"/>
        <v>UYGUN</v>
      </c>
      <c r="N213" s="74" t="str">
        <f>IF($C213="","",IF($C213="TANIMSIZ MÜŞTERİ","—",INDEX(MUSTERILER!$C$7:$C$156,MATCH($C213,MUSTERILER!$B$7:$B$156,0))))</f>
        <v>ASM EĞLENCE LTD.ŞTİ.</v>
      </c>
      <c r="O213" s="2"/>
      <c r="P213" s="2"/>
      <c r="Q213" s="1" t="str">
        <f>IF($D213="","",$C213&amp;"|"&amp;COUNTIFS($C$7:$C213,$C213))</f>
        <v>M017|12</v>
      </c>
      <c r="R213" s="1" t="str">
        <f t="shared" si="18"/>
        <v>ASMEGLENCELTDSTI</v>
      </c>
      <c r="S213" s="1" t="str">
        <f t="shared" si="19"/>
        <v>M017|46123|2500|</v>
      </c>
      <c r="T213" s="1">
        <f>IF($E213="",0,SUMPRODUCT((AY_SONU!$O$7:$O$42="Evet")*(AY_SONU!$B$7:$B$42=DATE(YEAR($E213),MONTH($E213),1))))</f>
        <v>0</v>
      </c>
    </row>
    <row r="214" spans="1:20" ht="18" customHeight="1" x14ac:dyDescent="0.3">
      <c r="A214" s="2"/>
      <c r="B214" s="65" t="str">
        <f t="shared" si="15"/>
        <v>T00208</v>
      </c>
      <c r="C214" s="65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M015</v>
      </c>
      <c r="D214" s="61" t="s">
        <v>723</v>
      </c>
      <c r="E214" s="66">
        <v>46123</v>
      </c>
      <c r="F214" s="67">
        <v>3000</v>
      </c>
      <c r="G214" s="60" t="s">
        <v>715</v>
      </c>
      <c r="H214" s="60" t="s">
        <v>568</v>
      </c>
      <c r="I214" s="61"/>
      <c r="J214" s="61" t="s">
        <v>716</v>
      </c>
      <c r="K214" s="61"/>
      <c r="L214" s="73">
        <f t="shared" si="16"/>
        <v>46113</v>
      </c>
      <c r="M214" s="65" t="str">
        <f t="shared" ca="1" si="17"/>
        <v>UYGUN</v>
      </c>
      <c r="N214" s="74" t="str">
        <f>IF($C214="","",IF($C214="TANIMSIZ MÜŞTERİ","—",INDEX(MUSTERILER!$C$7:$C$156,MATCH($C214,MUSTERILER!$B$7:$B$156,0))))</f>
        <v>ÇAYIRALAN LTD.ŞTİ.</v>
      </c>
      <c r="O214" s="2"/>
      <c r="P214" s="2"/>
      <c r="Q214" s="1" t="str">
        <f>IF($D214="","",$C214&amp;"|"&amp;COUNTIFS($C$7:$C214,$C214))</f>
        <v>M015|11</v>
      </c>
      <c r="R214" s="1" t="str">
        <f t="shared" si="18"/>
        <v>CAYIRALANLTDSTI</v>
      </c>
      <c r="S214" s="1" t="str">
        <f t="shared" si="19"/>
        <v>M015|46123|3000|</v>
      </c>
      <c r="T214" s="1">
        <f>IF($E214="",0,SUMPRODUCT((AY_SONU!$O$7:$O$42="Evet")*(AY_SONU!$B$7:$B$42=DATE(YEAR($E214),MONTH($E214),1))))</f>
        <v>0</v>
      </c>
    </row>
    <row r="215" spans="1:20" ht="18" customHeight="1" x14ac:dyDescent="0.3">
      <c r="A215" s="2"/>
      <c r="B215" s="65" t="str">
        <f t="shared" si="15"/>
        <v>T00209</v>
      </c>
      <c r="C215" s="65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M014</v>
      </c>
      <c r="D215" s="61" t="s">
        <v>725</v>
      </c>
      <c r="E215" s="66">
        <v>46123</v>
      </c>
      <c r="F215" s="67">
        <v>4000</v>
      </c>
      <c r="G215" s="60" t="s">
        <v>713</v>
      </c>
      <c r="H215" s="60" t="s">
        <v>568</v>
      </c>
      <c r="I215" s="61"/>
      <c r="J215" s="61" t="s">
        <v>717</v>
      </c>
      <c r="K215" s="61"/>
      <c r="L215" s="73">
        <f t="shared" si="16"/>
        <v>46113</v>
      </c>
      <c r="M215" s="65" t="str">
        <f t="shared" ca="1" si="17"/>
        <v>UYGUN</v>
      </c>
      <c r="N215" s="74" t="str">
        <f>IF($C215="","",IF($C215="TANIMSIZ MÜŞTERİ","—",INDEX(MUSTERILER!$C$7:$C$156,MATCH($C215,MUSTERILER!$B$7:$B$156,0))))</f>
        <v>FİNAL SİYAH BEYAZ LTD.ŞTİ.</v>
      </c>
      <c r="O215" s="2"/>
      <c r="P215" s="2"/>
      <c r="Q215" s="1" t="str">
        <f>IF($D215="","",$C215&amp;"|"&amp;COUNTIFS($C$7:$C215,$C215))</f>
        <v>M014|13</v>
      </c>
      <c r="R215" s="1" t="str">
        <f t="shared" si="18"/>
        <v>FINALSIYAHBEYAZLTDSTI</v>
      </c>
      <c r="S215" s="1" t="str">
        <f t="shared" si="19"/>
        <v>M014|46123|4000|</v>
      </c>
      <c r="T215" s="1">
        <f>IF($E215="",0,SUMPRODUCT((AY_SONU!$O$7:$O$42="Evet")*(AY_SONU!$B$7:$B$42=DATE(YEAR($E215),MONTH($E215),1))))</f>
        <v>0</v>
      </c>
    </row>
    <row r="216" spans="1:20" ht="18" customHeight="1" x14ac:dyDescent="0.3">
      <c r="A216" s="2"/>
      <c r="B216" s="65" t="str">
        <f t="shared" si="15"/>
        <v>T00210</v>
      </c>
      <c r="C216" s="65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M034</v>
      </c>
      <c r="D216" s="61" t="s">
        <v>726</v>
      </c>
      <c r="E216" s="66">
        <v>46123</v>
      </c>
      <c r="F216" s="67">
        <v>4000</v>
      </c>
      <c r="G216" s="60" t="s">
        <v>715</v>
      </c>
      <c r="H216" s="60" t="s">
        <v>568</v>
      </c>
      <c r="I216" s="61"/>
      <c r="J216" s="61" t="s">
        <v>716</v>
      </c>
      <c r="K216" s="61"/>
      <c r="L216" s="73">
        <f t="shared" si="16"/>
        <v>46113</v>
      </c>
      <c r="M216" s="65" t="str">
        <f t="shared" ca="1" si="17"/>
        <v>UYGUN</v>
      </c>
      <c r="N216" s="74" t="str">
        <f>IF($C216="","",IF($C216="TANIMSIZ MÜŞTERİ","—",INDEX(MUSTERILER!$C$7:$C$156,MATCH($C216,MUSTERILER!$B$7:$B$156,0))))</f>
        <v>İBRAHİM MALDAN</v>
      </c>
      <c r="O216" s="2"/>
      <c r="P216" s="2"/>
      <c r="Q216" s="1" t="str">
        <f>IF($D216="","",$C216&amp;"|"&amp;COUNTIFS($C$7:$C216,$C216))</f>
        <v>M034|10</v>
      </c>
      <c r="R216" s="1" t="str">
        <f t="shared" si="18"/>
        <v>IBRAHIMMALDAN</v>
      </c>
      <c r="S216" s="1" t="str">
        <f t="shared" si="19"/>
        <v>M034|46123|4000|</v>
      </c>
      <c r="T216" s="1">
        <f>IF($E216="",0,SUMPRODUCT((AY_SONU!$O$7:$O$42="Evet")*(AY_SONU!$B$7:$B$42=DATE(YEAR($E216),MONTH($E216),1))))</f>
        <v>0</v>
      </c>
    </row>
    <row r="217" spans="1:20" ht="18" customHeight="1" x14ac:dyDescent="0.3">
      <c r="A217" s="2"/>
      <c r="B217" s="65" t="str">
        <f t="shared" si="15"/>
        <v>T00211</v>
      </c>
      <c r="C217" s="65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M012</v>
      </c>
      <c r="D217" s="61" t="s">
        <v>727</v>
      </c>
      <c r="E217" s="66">
        <v>46123</v>
      </c>
      <c r="F217" s="67">
        <v>4000</v>
      </c>
      <c r="G217" s="60" t="s">
        <v>713</v>
      </c>
      <c r="H217" s="60" t="s">
        <v>568</v>
      </c>
      <c r="I217" s="61"/>
      <c r="J217" s="61" t="s">
        <v>717</v>
      </c>
      <c r="K217" s="61"/>
      <c r="L217" s="73">
        <f t="shared" si="16"/>
        <v>46113</v>
      </c>
      <c r="M217" s="65" t="str">
        <f t="shared" ca="1" si="17"/>
        <v>UYGUN</v>
      </c>
      <c r="N217" s="74" t="str">
        <f>IF($C217="","",IF($C217="TANIMSIZ MÜŞTERİ","—",INDEX(MUSTERILER!$C$7:$C$156,MATCH($C217,MUSTERILER!$B$7:$B$156,0))))</f>
        <v>İLDEŞ LTD.ŞTİ.</v>
      </c>
      <c r="O217" s="2"/>
      <c r="P217" s="2"/>
      <c r="Q217" s="1" t="str">
        <f>IF($D217="","",$C217&amp;"|"&amp;COUNTIFS($C$7:$C217,$C217))</f>
        <v>M012|13</v>
      </c>
      <c r="R217" s="1" t="str">
        <f t="shared" si="18"/>
        <v>ILDESLTDSTI</v>
      </c>
      <c r="S217" s="1" t="str">
        <f t="shared" si="19"/>
        <v>M012|46123|4000|</v>
      </c>
      <c r="T217" s="1">
        <f>IF($E217="",0,SUMPRODUCT((AY_SONU!$O$7:$O$42="Evet")*(AY_SONU!$B$7:$B$42=DATE(YEAR($E217),MONTH($E217),1))))</f>
        <v>0</v>
      </c>
    </row>
    <row r="218" spans="1:20" ht="18" customHeight="1" x14ac:dyDescent="0.3">
      <c r="A218" s="2"/>
      <c r="B218" s="65" t="str">
        <f t="shared" si="15"/>
        <v>T00212</v>
      </c>
      <c r="C218" s="65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M013</v>
      </c>
      <c r="D218" s="61" t="s">
        <v>729</v>
      </c>
      <c r="E218" s="66">
        <v>46123</v>
      </c>
      <c r="F218" s="67">
        <v>4200</v>
      </c>
      <c r="G218" s="60" t="s">
        <v>713</v>
      </c>
      <c r="H218" s="60" t="s">
        <v>568</v>
      </c>
      <c r="I218" s="61"/>
      <c r="J218" s="61" t="s">
        <v>717</v>
      </c>
      <c r="K218" s="61"/>
      <c r="L218" s="73">
        <f t="shared" si="16"/>
        <v>46113</v>
      </c>
      <c r="M218" s="65" t="str">
        <f t="shared" ca="1" si="17"/>
        <v>UYGUN</v>
      </c>
      <c r="N218" s="74" t="str">
        <f>IF($C218="","",IF($C218="TANIMSIZ MÜŞTERİ","—",INDEX(MUSTERILER!$C$7:$C$156,MATCH($C218,MUSTERILER!$B$7:$B$156,0))))</f>
        <v>NAZ 1 GIDA LTD.ŞTİ.</v>
      </c>
      <c r="O218" s="2"/>
      <c r="P218" s="2"/>
      <c r="Q218" s="1" t="str">
        <f>IF($D218="","",$C218&amp;"|"&amp;COUNTIFS($C$7:$C218,$C218))</f>
        <v>M013|9</v>
      </c>
      <c r="R218" s="1" t="str">
        <f t="shared" si="18"/>
        <v>NAZ1GIDALTDSTI</v>
      </c>
      <c r="S218" s="1" t="str">
        <f t="shared" si="19"/>
        <v>M013|46123|4200|</v>
      </c>
      <c r="T218" s="1">
        <f>IF($E218="",0,SUMPRODUCT((AY_SONU!$O$7:$O$42="Evet")*(AY_SONU!$B$7:$B$42=DATE(YEAR($E218),MONTH($E218),1))))</f>
        <v>0</v>
      </c>
    </row>
    <row r="219" spans="1:20" ht="18" customHeight="1" x14ac:dyDescent="0.3">
      <c r="A219" s="2"/>
      <c r="B219" s="65" t="str">
        <f t="shared" si="15"/>
        <v>T00213</v>
      </c>
      <c r="C219" s="65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M009</v>
      </c>
      <c r="D219" s="61" t="s">
        <v>730</v>
      </c>
      <c r="E219" s="66">
        <v>46123</v>
      </c>
      <c r="F219" s="67">
        <v>4000</v>
      </c>
      <c r="G219" s="60" t="s">
        <v>715</v>
      </c>
      <c r="H219" s="60" t="s">
        <v>568</v>
      </c>
      <c r="I219" s="61"/>
      <c r="J219" s="61" t="s">
        <v>716</v>
      </c>
      <c r="K219" s="61"/>
      <c r="L219" s="73">
        <f t="shared" si="16"/>
        <v>46113</v>
      </c>
      <c r="M219" s="65" t="str">
        <f t="shared" ca="1" si="17"/>
        <v>UYGUN</v>
      </c>
      <c r="N219" s="74" t="str">
        <f>IF($C219="","",IF($C219="TANIMSIZ MÜŞTERİ","—",INDEX(MUSTERILER!$C$7:$C$156,MATCH($C219,MUSTERILER!$B$7:$B$156,0))))</f>
        <v>PAKYILDIZ LTD.ŞTİ.</v>
      </c>
      <c r="O219" s="2"/>
      <c r="P219" s="2"/>
      <c r="Q219" s="1" t="str">
        <f>IF($D219="","",$C219&amp;"|"&amp;COUNTIFS($C$7:$C219,$C219))</f>
        <v>M009|9</v>
      </c>
      <c r="R219" s="1" t="str">
        <f t="shared" si="18"/>
        <v>PAKYILDIZLTDSTI</v>
      </c>
      <c r="S219" s="1" t="str">
        <f t="shared" si="19"/>
        <v>M009|46123|4000|</v>
      </c>
      <c r="T219" s="1">
        <f>IF($E219="",0,SUMPRODUCT((AY_SONU!$O$7:$O$42="Evet")*(AY_SONU!$B$7:$B$42=DATE(YEAR($E219),MONTH($E219),1))))</f>
        <v>0</v>
      </c>
    </row>
    <row r="220" spans="1:20" ht="18" customHeight="1" x14ac:dyDescent="0.3">
      <c r="A220" s="2"/>
      <c r="B220" s="65" t="str">
        <f t="shared" si="15"/>
        <v>T00214</v>
      </c>
      <c r="C220" s="65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M016</v>
      </c>
      <c r="D220" s="61" t="s">
        <v>731</v>
      </c>
      <c r="E220" s="66">
        <v>46123</v>
      </c>
      <c r="F220" s="67">
        <v>3000</v>
      </c>
      <c r="G220" s="60" t="s">
        <v>715</v>
      </c>
      <c r="H220" s="60" t="s">
        <v>568</v>
      </c>
      <c r="I220" s="61"/>
      <c r="J220" s="61" t="s">
        <v>716</v>
      </c>
      <c r="K220" s="61"/>
      <c r="L220" s="73">
        <f t="shared" si="16"/>
        <v>46113</v>
      </c>
      <c r="M220" s="65" t="str">
        <f t="shared" ca="1" si="17"/>
        <v>UYGUN</v>
      </c>
      <c r="N220" s="74" t="str">
        <f>IF($C220="","",IF($C220="TANIMSIZ MÜŞTERİ","—",INDEX(MUSTERILER!$C$7:$C$156,MATCH($C220,MUSTERILER!$B$7:$B$156,0))))</f>
        <v>RİX ŞOW LTD.ŞTİ.</v>
      </c>
      <c r="O220" s="2"/>
      <c r="P220" s="2"/>
      <c r="Q220" s="1" t="str">
        <f>IF($D220="","",$C220&amp;"|"&amp;COUNTIFS($C$7:$C220,$C220))</f>
        <v>M016|14</v>
      </c>
      <c r="R220" s="1" t="str">
        <f t="shared" si="18"/>
        <v>RIXSOWLTDSTI</v>
      </c>
      <c r="S220" s="1" t="str">
        <f t="shared" si="19"/>
        <v>M016|46123|3000|</v>
      </c>
      <c r="T220" s="1">
        <f>IF($E220="",0,SUMPRODUCT((AY_SONU!$O$7:$O$42="Evet")*(AY_SONU!$B$7:$B$42=DATE(YEAR($E220),MONTH($E220),1))))</f>
        <v>0</v>
      </c>
    </row>
    <row r="221" spans="1:20" ht="18" customHeight="1" x14ac:dyDescent="0.3">
      <c r="A221" s="2"/>
      <c r="B221" s="65" t="str">
        <f t="shared" si="15"/>
        <v>T00215</v>
      </c>
      <c r="C221" s="65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M018</v>
      </c>
      <c r="D221" s="61" t="s">
        <v>589</v>
      </c>
      <c r="E221" s="66">
        <v>46123</v>
      </c>
      <c r="F221" s="67">
        <v>2500</v>
      </c>
      <c r="G221" s="60" t="s">
        <v>715</v>
      </c>
      <c r="H221" s="60" t="s">
        <v>568</v>
      </c>
      <c r="I221" s="61"/>
      <c r="J221" s="61" t="s">
        <v>717</v>
      </c>
      <c r="K221" s="61"/>
      <c r="L221" s="73">
        <f t="shared" si="16"/>
        <v>46113</v>
      </c>
      <c r="M221" s="65" t="str">
        <f t="shared" ca="1" si="17"/>
        <v>UYGUN</v>
      </c>
      <c r="N221" s="74" t="str">
        <f>IF($C221="","",IF($C221="TANIMSIZ MÜŞTERİ","—",INDEX(MUSTERILER!$C$7:$C$156,MATCH($C221,MUSTERILER!$B$7:$B$156,0))))</f>
        <v>ÇINARHAN LTD.ŞTİ.</v>
      </c>
      <c r="O221" s="2"/>
      <c r="P221" s="2"/>
      <c r="Q221" s="1" t="str">
        <f>IF($D221="","",$C221&amp;"|"&amp;COUNTIFS($C$7:$C221,$C221))</f>
        <v>M018|7</v>
      </c>
      <c r="R221" s="1" t="str">
        <f t="shared" si="18"/>
        <v>CINARHANLTDSTI</v>
      </c>
      <c r="S221" s="1" t="str">
        <f t="shared" si="19"/>
        <v>M018|46123|2500|</v>
      </c>
      <c r="T221" s="1">
        <f>IF($E221="",0,SUMPRODUCT((AY_SONU!$O$7:$O$42="Evet")*(AY_SONU!$B$7:$B$42=DATE(YEAR($E221),MONTH($E221),1))))</f>
        <v>0</v>
      </c>
    </row>
    <row r="222" spans="1:20" ht="18" customHeight="1" x14ac:dyDescent="0.3">
      <c r="A222" s="2"/>
      <c r="B222" s="65" t="str">
        <f t="shared" si="15"/>
        <v>T00216</v>
      </c>
      <c r="C222" s="65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M020</v>
      </c>
      <c r="D222" s="61" t="s">
        <v>619</v>
      </c>
      <c r="E222" s="66">
        <v>46123</v>
      </c>
      <c r="F222" s="67">
        <v>3000</v>
      </c>
      <c r="G222" s="60" t="s">
        <v>715</v>
      </c>
      <c r="H222" s="60" t="s">
        <v>568</v>
      </c>
      <c r="I222" s="61"/>
      <c r="J222" s="61" t="s">
        <v>717</v>
      </c>
      <c r="K222" s="61"/>
      <c r="L222" s="73">
        <f t="shared" si="16"/>
        <v>46113</v>
      </c>
      <c r="M222" s="65" t="str">
        <f t="shared" ca="1" si="17"/>
        <v>UYGUN</v>
      </c>
      <c r="N222" s="74" t="str">
        <f>IF($C222="","",IF($C222="TANIMSIZ MÜŞTERİ","—",INDEX(MUSTERILER!$C$7:$C$156,MATCH($C222,MUSTERILER!$B$7:$B$156,0))))</f>
        <v>KRİSTAL LTD.ŞTİ.</v>
      </c>
      <c r="O222" s="2"/>
      <c r="P222" s="2"/>
      <c r="Q222" s="1" t="str">
        <f>IF($D222="","",$C222&amp;"|"&amp;COUNTIFS($C$7:$C222,$C222))</f>
        <v>M020|14</v>
      </c>
      <c r="R222" s="1" t="str">
        <f t="shared" si="18"/>
        <v>KRISTALLTDSTI</v>
      </c>
      <c r="S222" s="1" t="str">
        <f t="shared" si="19"/>
        <v>M020|46123|3000|</v>
      </c>
      <c r="T222" s="1">
        <f>IF($E222="",0,SUMPRODUCT((AY_SONU!$O$7:$O$42="Evet")*(AY_SONU!$B$7:$B$42=DATE(YEAR($E222),MONTH($E222),1))))</f>
        <v>0</v>
      </c>
    </row>
    <row r="223" spans="1:20" ht="18" customHeight="1" x14ac:dyDescent="0.3">
      <c r="A223" s="2"/>
      <c r="B223" s="65" t="str">
        <f t="shared" si="15"/>
        <v>T00217</v>
      </c>
      <c r="C223" s="65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M047</v>
      </c>
      <c r="D223" s="61" t="s">
        <v>649</v>
      </c>
      <c r="E223" s="66">
        <v>46123</v>
      </c>
      <c r="F223" s="67">
        <v>4000</v>
      </c>
      <c r="G223" s="60" t="s">
        <v>715</v>
      </c>
      <c r="H223" s="60" t="s">
        <v>568</v>
      </c>
      <c r="I223" s="61"/>
      <c r="J223" s="61" t="s">
        <v>717</v>
      </c>
      <c r="K223" s="61"/>
      <c r="L223" s="73">
        <f t="shared" si="16"/>
        <v>46113</v>
      </c>
      <c r="M223" s="65" t="str">
        <f t="shared" ca="1" si="17"/>
        <v>UYGUN</v>
      </c>
      <c r="N223" s="74" t="str">
        <f>IF($C223="","",IF($C223="TANIMSIZ MÜŞTERİ","—",INDEX(MUSTERILER!$C$7:$C$156,MATCH($C223,MUSTERILER!$B$7:$B$156,0))))</f>
        <v>PALAOĞULLARI LTD.ŞTİ.</v>
      </c>
      <c r="O223" s="2"/>
      <c r="P223" s="2"/>
      <c r="Q223" s="1" t="str">
        <f>IF($D223="","",$C223&amp;"|"&amp;COUNTIFS($C$7:$C223,$C223))</f>
        <v>M047|7</v>
      </c>
      <c r="R223" s="1" t="str">
        <f t="shared" si="18"/>
        <v>PALAOGULLARILTDSTI</v>
      </c>
      <c r="S223" s="1" t="str">
        <f t="shared" si="19"/>
        <v>M047|46123|4000|</v>
      </c>
      <c r="T223" s="1">
        <f>IF($E223="",0,SUMPRODUCT((AY_SONU!$O$7:$O$42="Evet")*(AY_SONU!$B$7:$B$42=DATE(YEAR($E223),MONTH($E223),1))))</f>
        <v>0</v>
      </c>
    </row>
    <row r="224" spans="1:20" ht="18" customHeight="1" x14ac:dyDescent="0.3">
      <c r="A224" s="2"/>
      <c r="B224" s="65" t="str">
        <f t="shared" si="15"/>
        <v>T00218</v>
      </c>
      <c r="C224" s="65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M054</v>
      </c>
      <c r="D224" s="61" t="s">
        <v>669</v>
      </c>
      <c r="E224" s="66">
        <v>46123</v>
      </c>
      <c r="F224" s="67">
        <v>4000</v>
      </c>
      <c r="G224" s="60" t="s">
        <v>713</v>
      </c>
      <c r="H224" s="60" t="s">
        <v>568</v>
      </c>
      <c r="I224" s="61"/>
      <c r="J224" s="61" t="s">
        <v>717</v>
      </c>
      <c r="K224" s="61"/>
      <c r="L224" s="73">
        <f t="shared" si="16"/>
        <v>46113</v>
      </c>
      <c r="M224" s="65" t="str">
        <f t="shared" ca="1" si="17"/>
        <v>UYGUN</v>
      </c>
      <c r="N224" s="74" t="str">
        <f>IF($C224="","",IF($C224="TANIMSIZ MÜŞTERİ","—",INDEX(MUSTERILER!$C$7:$C$156,MATCH($C224,MUSTERILER!$B$7:$B$156,0))))</f>
        <v>YALIKENT LTD.ŞTİ.</v>
      </c>
      <c r="O224" s="2"/>
      <c r="P224" s="2"/>
      <c r="Q224" s="1" t="str">
        <f>IF($D224="","",$C224&amp;"|"&amp;COUNTIFS($C$7:$C224,$C224))</f>
        <v>M054|3</v>
      </c>
      <c r="R224" s="1" t="str">
        <f t="shared" si="18"/>
        <v>YALIKENTLTDSTI</v>
      </c>
      <c r="S224" s="1" t="str">
        <f t="shared" si="19"/>
        <v>M054|46123|4000|</v>
      </c>
      <c r="T224" s="1">
        <f>IF($E224="",0,SUMPRODUCT((AY_SONU!$O$7:$O$42="Evet")*(AY_SONU!$B$7:$B$42=DATE(YEAR($E224),MONTH($E224),1))))</f>
        <v>0</v>
      </c>
    </row>
    <row r="225" spans="1:20" ht="18" customHeight="1" x14ac:dyDescent="0.3">
      <c r="A225" s="2"/>
      <c r="B225" s="65" t="str">
        <f t="shared" si="15"/>
        <v>T00219</v>
      </c>
      <c r="C225" s="65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M007</v>
      </c>
      <c r="D225" s="61" t="s">
        <v>728</v>
      </c>
      <c r="E225" s="66">
        <v>46124</v>
      </c>
      <c r="F225" s="67">
        <v>3500</v>
      </c>
      <c r="G225" s="60" t="s">
        <v>715</v>
      </c>
      <c r="H225" s="60" t="s">
        <v>568</v>
      </c>
      <c r="I225" s="61"/>
      <c r="J225" s="61" t="s">
        <v>716</v>
      </c>
      <c r="K225" s="61"/>
      <c r="L225" s="73">
        <f t="shared" si="16"/>
        <v>46113</v>
      </c>
      <c r="M225" s="65" t="str">
        <f t="shared" ca="1" si="17"/>
        <v>UYGUN</v>
      </c>
      <c r="N225" s="74" t="str">
        <f>IF($C225="","",IF($C225="TANIMSIZ MÜŞTERİ","—",INDEX(MUSTERILER!$C$7:$C$156,MATCH($C225,MUSTERILER!$B$7:$B$156,0))))</f>
        <v>MONAMOUR LTD.ŞTİ.</v>
      </c>
      <c r="O225" s="2"/>
      <c r="P225" s="2"/>
      <c r="Q225" s="1" t="str">
        <f>IF($D225="","",$C225&amp;"|"&amp;COUNTIFS($C$7:$C225,$C225))</f>
        <v>M007|12</v>
      </c>
      <c r="R225" s="1" t="str">
        <f t="shared" si="18"/>
        <v>MONAMOURLTDSTI</v>
      </c>
      <c r="S225" s="1" t="str">
        <f t="shared" si="19"/>
        <v>M007|46124|3500|</v>
      </c>
      <c r="T225" s="1">
        <f>IF($E225="",0,SUMPRODUCT((AY_SONU!$O$7:$O$42="Evet")*(AY_SONU!$B$7:$B$42=DATE(YEAR($E225),MONTH($E225),1))))</f>
        <v>0</v>
      </c>
    </row>
    <row r="226" spans="1:20" ht="18" customHeight="1" x14ac:dyDescent="0.3">
      <c r="A226" s="2"/>
      <c r="B226" s="65" t="str">
        <f t="shared" si="15"/>
        <v>T00220</v>
      </c>
      <c r="C226" s="65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M006</v>
      </c>
      <c r="D226" s="61" t="s">
        <v>667</v>
      </c>
      <c r="E226" s="66">
        <v>46125</v>
      </c>
      <c r="F226" s="67">
        <v>3000</v>
      </c>
      <c r="G226" s="60" t="s">
        <v>713</v>
      </c>
      <c r="H226" s="60" t="s">
        <v>568</v>
      </c>
      <c r="I226" s="61"/>
      <c r="J226" s="61" t="s">
        <v>717</v>
      </c>
      <c r="K226" s="61"/>
      <c r="L226" s="73">
        <f t="shared" si="16"/>
        <v>46113</v>
      </c>
      <c r="M226" s="65" t="str">
        <f t="shared" ca="1" si="17"/>
        <v>UYGUN</v>
      </c>
      <c r="N226" s="74" t="str">
        <f>IF($C226="","",IF($C226="TANIMSIZ MÜŞTERİ","—",INDEX(MUSTERILER!$C$7:$C$156,MATCH($C226,MUSTERILER!$B$7:$B$156,0))))</f>
        <v>VOLKAN AÇIK</v>
      </c>
      <c r="O226" s="2"/>
      <c r="P226" s="2"/>
      <c r="Q226" s="1" t="str">
        <f>IF($D226="","",$C226&amp;"|"&amp;COUNTIFS($C$7:$C226,$C226))</f>
        <v>M006|2</v>
      </c>
      <c r="R226" s="1" t="str">
        <f t="shared" si="18"/>
        <v>VOLKANACIK</v>
      </c>
      <c r="S226" s="1" t="str">
        <f t="shared" si="19"/>
        <v>M006|46125|3000|</v>
      </c>
      <c r="T226" s="1">
        <f>IF($E226="",0,SUMPRODUCT((AY_SONU!$O$7:$O$42="Evet")*(AY_SONU!$B$7:$B$42=DATE(YEAR($E226),MONTH($E226),1))))</f>
        <v>0</v>
      </c>
    </row>
    <row r="227" spans="1:20" ht="18" customHeight="1" x14ac:dyDescent="0.3">
      <c r="A227" s="2"/>
      <c r="B227" s="65" t="str">
        <f t="shared" si="15"/>
        <v>T00221</v>
      </c>
      <c r="C227" s="65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M027</v>
      </c>
      <c r="D227" s="61" t="s">
        <v>587</v>
      </c>
      <c r="E227" s="66">
        <v>46127</v>
      </c>
      <c r="F227" s="67">
        <v>7500</v>
      </c>
      <c r="G227" s="60" t="s">
        <v>713</v>
      </c>
      <c r="H227" s="60" t="s">
        <v>568</v>
      </c>
      <c r="I227" s="61"/>
      <c r="J227" s="61" t="s">
        <v>717</v>
      </c>
      <c r="K227" s="61"/>
      <c r="L227" s="73">
        <f t="shared" si="16"/>
        <v>46113</v>
      </c>
      <c r="M227" s="65" t="str">
        <f t="shared" ca="1" si="17"/>
        <v>UYGUN</v>
      </c>
      <c r="N227" s="74" t="str">
        <f>IF($C227="","",IF($C227="TANIMSIZ MÜŞTERİ","—",INDEX(MUSTERILER!$C$7:$C$156,MATCH($C227,MUSTERILER!$B$7:$B$156,0))))</f>
        <v>CEREN DEMİRCİ</v>
      </c>
      <c r="O227" s="2"/>
      <c r="P227" s="2"/>
      <c r="Q227" s="1" t="str">
        <f>IF($D227="","",$C227&amp;"|"&amp;COUNTIFS($C$7:$C227,$C227))</f>
        <v>M027|1</v>
      </c>
      <c r="R227" s="1" t="str">
        <f t="shared" si="18"/>
        <v>CERENDEMIRCI</v>
      </c>
      <c r="S227" s="1" t="str">
        <f t="shared" si="19"/>
        <v>M027|46127|7500|</v>
      </c>
      <c r="T227" s="1">
        <f>IF($E227="",0,SUMPRODUCT((AY_SONU!$O$7:$O$42="Evet")*(AY_SONU!$B$7:$B$42=DATE(YEAR($E227),MONTH($E227),1))))</f>
        <v>0</v>
      </c>
    </row>
    <row r="228" spans="1:20" ht="18" customHeight="1" x14ac:dyDescent="0.3">
      <c r="A228" s="2"/>
      <c r="B228" s="65" t="str">
        <f t="shared" si="15"/>
        <v>T00222</v>
      </c>
      <c r="C228" s="65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M015</v>
      </c>
      <c r="D228" s="61" t="s">
        <v>723</v>
      </c>
      <c r="E228" s="66">
        <v>46130</v>
      </c>
      <c r="F228" s="67">
        <v>3000</v>
      </c>
      <c r="G228" s="60" t="s">
        <v>713</v>
      </c>
      <c r="H228" s="60" t="s">
        <v>568</v>
      </c>
      <c r="I228" s="61"/>
      <c r="J228" s="61" t="s">
        <v>717</v>
      </c>
      <c r="K228" s="61"/>
      <c r="L228" s="73">
        <f t="shared" si="16"/>
        <v>46113</v>
      </c>
      <c r="M228" s="65" t="str">
        <f t="shared" ca="1" si="17"/>
        <v>UYGUN</v>
      </c>
      <c r="N228" s="74" t="str">
        <f>IF($C228="","",IF($C228="TANIMSIZ MÜŞTERİ","—",INDEX(MUSTERILER!$C$7:$C$156,MATCH($C228,MUSTERILER!$B$7:$B$156,0))))</f>
        <v>ÇAYIRALAN LTD.ŞTİ.</v>
      </c>
      <c r="O228" s="2"/>
      <c r="P228" s="2"/>
      <c r="Q228" s="1" t="str">
        <f>IF($D228="","",$C228&amp;"|"&amp;COUNTIFS($C$7:$C228,$C228))</f>
        <v>M015|12</v>
      </c>
      <c r="R228" s="1" t="str">
        <f t="shared" si="18"/>
        <v>CAYIRALANLTDSTI</v>
      </c>
      <c r="S228" s="1" t="str">
        <f t="shared" si="19"/>
        <v>M015|46130|3000|</v>
      </c>
      <c r="T228" s="1">
        <f>IF($E228="",0,SUMPRODUCT((AY_SONU!$O$7:$O$42="Evet")*(AY_SONU!$B$7:$B$42=DATE(YEAR($E228),MONTH($E228),1))))</f>
        <v>0</v>
      </c>
    </row>
    <row r="229" spans="1:20" ht="18" customHeight="1" x14ac:dyDescent="0.3">
      <c r="A229" s="2"/>
      <c r="B229" s="65" t="str">
        <f t="shared" si="15"/>
        <v>T00223</v>
      </c>
      <c r="C229" s="65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M011</v>
      </c>
      <c r="D229" s="61" t="s">
        <v>724</v>
      </c>
      <c r="E229" s="66">
        <v>46130</v>
      </c>
      <c r="F229" s="67">
        <v>4000</v>
      </c>
      <c r="G229" s="60" t="s">
        <v>713</v>
      </c>
      <c r="H229" s="60" t="s">
        <v>568</v>
      </c>
      <c r="I229" s="61"/>
      <c r="J229" s="61" t="s">
        <v>717</v>
      </c>
      <c r="K229" s="61"/>
      <c r="L229" s="73">
        <f t="shared" si="16"/>
        <v>46113</v>
      </c>
      <c r="M229" s="65" t="str">
        <f t="shared" ca="1" si="17"/>
        <v>UYGUN</v>
      </c>
      <c r="N229" s="74" t="str">
        <f>IF($C229="","",IF($C229="TANIMSIZ MÜŞTERİ","—",INDEX(MUSTERILER!$C$7:$C$156,MATCH($C229,MUSTERILER!$B$7:$B$156,0))))</f>
        <v>EĞLENGÖR LTD.ŞTİ.</v>
      </c>
      <c r="O229" s="2"/>
      <c r="P229" s="2"/>
      <c r="Q229" s="1" t="str">
        <f>IF($D229="","",$C229&amp;"|"&amp;COUNTIFS($C$7:$C229,$C229))</f>
        <v>M011|14</v>
      </c>
      <c r="R229" s="1" t="str">
        <f t="shared" si="18"/>
        <v>EGLENGORLTDSTI</v>
      </c>
      <c r="S229" s="1" t="str">
        <f t="shared" si="19"/>
        <v>M011|46130|4000|</v>
      </c>
      <c r="T229" s="1">
        <f>IF($E229="",0,SUMPRODUCT((AY_SONU!$O$7:$O$42="Evet")*(AY_SONU!$B$7:$B$42=DATE(YEAR($E229),MONTH($E229),1))))</f>
        <v>0</v>
      </c>
    </row>
    <row r="230" spans="1:20" ht="18" customHeight="1" x14ac:dyDescent="0.3">
      <c r="A230" s="2"/>
      <c r="B230" s="65" t="str">
        <f t="shared" si="15"/>
        <v>T00224</v>
      </c>
      <c r="C230" s="65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M014</v>
      </c>
      <c r="D230" s="61" t="s">
        <v>725</v>
      </c>
      <c r="E230" s="66">
        <v>46130</v>
      </c>
      <c r="F230" s="67">
        <v>4000</v>
      </c>
      <c r="G230" s="60" t="s">
        <v>713</v>
      </c>
      <c r="H230" s="60" t="s">
        <v>568</v>
      </c>
      <c r="I230" s="61"/>
      <c r="J230" s="61" t="s">
        <v>717</v>
      </c>
      <c r="K230" s="61"/>
      <c r="L230" s="73">
        <f t="shared" si="16"/>
        <v>46113</v>
      </c>
      <c r="M230" s="65" t="str">
        <f t="shared" ca="1" si="17"/>
        <v>UYGUN</v>
      </c>
      <c r="N230" s="74" t="str">
        <f>IF($C230="","",IF($C230="TANIMSIZ MÜŞTERİ","—",INDEX(MUSTERILER!$C$7:$C$156,MATCH($C230,MUSTERILER!$B$7:$B$156,0))))</f>
        <v>FİNAL SİYAH BEYAZ LTD.ŞTİ.</v>
      </c>
      <c r="O230" s="2"/>
      <c r="P230" s="2"/>
      <c r="Q230" s="1" t="str">
        <f>IF($D230="","",$C230&amp;"|"&amp;COUNTIFS($C$7:$C230,$C230))</f>
        <v>M014|14</v>
      </c>
      <c r="R230" s="1" t="str">
        <f t="shared" si="18"/>
        <v>FINALSIYAHBEYAZLTDSTI</v>
      </c>
      <c r="S230" s="1" t="str">
        <f t="shared" si="19"/>
        <v>M014|46130|4000|</v>
      </c>
      <c r="T230" s="1">
        <f>IF($E230="",0,SUMPRODUCT((AY_SONU!$O$7:$O$42="Evet")*(AY_SONU!$B$7:$B$42=DATE(YEAR($E230),MONTH($E230),1))))</f>
        <v>0</v>
      </c>
    </row>
    <row r="231" spans="1:20" ht="18" customHeight="1" x14ac:dyDescent="0.3">
      <c r="A231" s="2"/>
      <c r="B231" s="65" t="str">
        <f t="shared" si="15"/>
        <v>T00225</v>
      </c>
      <c r="C231" s="65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M034</v>
      </c>
      <c r="D231" s="61" t="s">
        <v>726</v>
      </c>
      <c r="E231" s="66">
        <v>46130</v>
      </c>
      <c r="F231" s="67">
        <v>4000</v>
      </c>
      <c r="G231" s="60" t="s">
        <v>713</v>
      </c>
      <c r="H231" s="60" t="s">
        <v>568</v>
      </c>
      <c r="I231" s="61"/>
      <c r="J231" s="61" t="s">
        <v>717</v>
      </c>
      <c r="K231" s="61"/>
      <c r="L231" s="73">
        <f t="shared" si="16"/>
        <v>46113</v>
      </c>
      <c r="M231" s="65" t="str">
        <f t="shared" ca="1" si="17"/>
        <v>UYGUN</v>
      </c>
      <c r="N231" s="74" t="str">
        <f>IF($C231="","",IF($C231="TANIMSIZ MÜŞTERİ","—",INDEX(MUSTERILER!$C$7:$C$156,MATCH($C231,MUSTERILER!$B$7:$B$156,0))))</f>
        <v>İBRAHİM MALDAN</v>
      </c>
      <c r="O231" s="2"/>
      <c r="P231" s="2"/>
      <c r="Q231" s="1" t="str">
        <f>IF($D231="","",$C231&amp;"|"&amp;COUNTIFS($C$7:$C231,$C231))</f>
        <v>M034|11</v>
      </c>
      <c r="R231" s="1" t="str">
        <f t="shared" si="18"/>
        <v>IBRAHIMMALDAN</v>
      </c>
      <c r="S231" s="1" t="str">
        <f t="shared" si="19"/>
        <v>M034|46130|4000|</v>
      </c>
      <c r="T231" s="1">
        <f>IF($E231="",0,SUMPRODUCT((AY_SONU!$O$7:$O$42="Evet")*(AY_SONU!$B$7:$B$42=DATE(YEAR($E231),MONTH($E231),1))))</f>
        <v>0</v>
      </c>
    </row>
    <row r="232" spans="1:20" ht="18" customHeight="1" x14ac:dyDescent="0.3">
      <c r="A232" s="2"/>
      <c r="B232" s="65" t="str">
        <f t="shared" si="15"/>
        <v>T00226</v>
      </c>
      <c r="C232" s="65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M012</v>
      </c>
      <c r="D232" s="61" t="s">
        <v>727</v>
      </c>
      <c r="E232" s="66">
        <v>46130</v>
      </c>
      <c r="F232" s="67">
        <v>4000</v>
      </c>
      <c r="G232" s="60" t="s">
        <v>713</v>
      </c>
      <c r="H232" s="60" t="s">
        <v>568</v>
      </c>
      <c r="I232" s="61"/>
      <c r="J232" s="61" t="s">
        <v>717</v>
      </c>
      <c r="K232" s="61"/>
      <c r="L232" s="73">
        <f t="shared" si="16"/>
        <v>46113</v>
      </c>
      <c r="M232" s="65" t="str">
        <f t="shared" ca="1" si="17"/>
        <v>UYGUN</v>
      </c>
      <c r="N232" s="74" t="str">
        <f>IF($C232="","",IF($C232="TANIMSIZ MÜŞTERİ","—",INDEX(MUSTERILER!$C$7:$C$156,MATCH($C232,MUSTERILER!$B$7:$B$156,0))))</f>
        <v>İLDEŞ LTD.ŞTİ.</v>
      </c>
      <c r="O232" s="2"/>
      <c r="P232" s="2"/>
      <c r="Q232" s="1" t="str">
        <f>IF($D232="","",$C232&amp;"|"&amp;COUNTIFS($C$7:$C232,$C232))</f>
        <v>M012|14</v>
      </c>
      <c r="R232" s="1" t="str">
        <f t="shared" si="18"/>
        <v>ILDESLTDSTI</v>
      </c>
      <c r="S232" s="1" t="str">
        <f t="shared" si="19"/>
        <v>M012|46130|4000|</v>
      </c>
      <c r="T232" s="1">
        <f>IF($E232="",0,SUMPRODUCT((AY_SONU!$O$7:$O$42="Evet")*(AY_SONU!$B$7:$B$42=DATE(YEAR($E232),MONTH($E232),1))))</f>
        <v>0</v>
      </c>
    </row>
    <row r="233" spans="1:20" ht="18" customHeight="1" x14ac:dyDescent="0.3">
      <c r="A233" s="2"/>
      <c r="B233" s="65" t="str">
        <f t="shared" si="15"/>
        <v>T00227</v>
      </c>
      <c r="C233" s="65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M007</v>
      </c>
      <c r="D233" s="61" t="s">
        <v>728</v>
      </c>
      <c r="E233" s="66">
        <v>46130</v>
      </c>
      <c r="F233" s="67">
        <v>3500</v>
      </c>
      <c r="G233" s="60" t="s">
        <v>713</v>
      </c>
      <c r="H233" s="60" t="s">
        <v>568</v>
      </c>
      <c r="I233" s="61"/>
      <c r="J233" s="61" t="s">
        <v>717</v>
      </c>
      <c r="K233" s="61"/>
      <c r="L233" s="73">
        <f t="shared" si="16"/>
        <v>46113</v>
      </c>
      <c r="M233" s="65" t="str">
        <f t="shared" ca="1" si="17"/>
        <v>UYGUN</v>
      </c>
      <c r="N233" s="74" t="str">
        <f>IF($C233="","",IF($C233="TANIMSIZ MÜŞTERİ","—",INDEX(MUSTERILER!$C$7:$C$156,MATCH($C233,MUSTERILER!$B$7:$B$156,0))))</f>
        <v>MONAMOUR LTD.ŞTİ.</v>
      </c>
      <c r="O233" s="2"/>
      <c r="P233" s="2"/>
      <c r="Q233" s="1" t="str">
        <f>IF($D233="","",$C233&amp;"|"&amp;COUNTIFS($C$7:$C233,$C233))</f>
        <v>M007|13</v>
      </c>
      <c r="R233" s="1" t="str">
        <f t="shared" si="18"/>
        <v>MONAMOURLTDSTI</v>
      </c>
      <c r="S233" s="1" t="str">
        <f t="shared" si="19"/>
        <v>M007|46130|3500|</v>
      </c>
      <c r="T233" s="1">
        <f>IF($E233="",0,SUMPRODUCT((AY_SONU!$O$7:$O$42="Evet")*(AY_SONU!$B$7:$B$42=DATE(YEAR($E233),MONTH($E233),1))))</f>
        <v>0</v>
      </c>
    </row>
    <row r="234" spans="1:20" ht="18" customHeight="1" x14ac:dyDescent="0.3">
      <c r="A234" s="2"/>
      <c r="B234" s="65" t="str">
        <f t="shared" si="15"/>
        <v>T00228</v>
      </c>
      <c r="C234" s="65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M013</v>
      </c>
      <c r="D234" s="61" t="s">
        <v>729</v>
      </c>
      <c r="E234" s="66">
        <v>46130</v>
      </c>
      <c r="F234" s="67">
        <v>4000</v>
      </c>
      <c r="G234" s="60" t="s">
        <v>713</v>
      </c>
      <c r="H234" s="60" t="s">
        <v>568</v>
      </c>
      <c r="I234" s="61"/>
      <c r="J234" s="61" t="s">
        <v>717</v>
      </c>
      <c r="K234" s="61"/>
      <c r="L234" s="73">
        <f t="shared" si="16"/>
        <v>46113</v>
      </c>
      <c r="M234" s="65" t="str">
        <f t="shared" ca="1" si="17"/>
        <v>UYGUN</v>
      </c>
      <c r="N234" s="74" t="str">
        <f>IF($C234="","",IF($C234="TANIMSIZ MÜŞTERİ","—",INDEX(MUSTERILER!$C$7:$C$156,MATCH($C234,MUSTERILER!$B$7:$B$156,0))))</f>
        <v>NAZ 1 GIDA LTD.ŞTİ.</v>
      </c>
      <c r="O234" s="2"/>
      <c r="P234" s="2"/>
      <c r="Q234" s="1" t="str">
        <f>IF($D234="","",$C234&amp;"|"&amp;COUNTIFS($C$7:$C234,$C234))</f>
        <v>M013|10</v>
      </c>
      <c r="R234" s="1" t="str">
        <f t="shared" si="18"/>
        <v>NAZ1GIDALTDSTI</v>
      </c>
      <c r="S234" s="1" t="str">
        <f t="shared" si="19"/>
        <v>M013|46130|4000|</v>
      </c>
      <c r="T234" s="1">
        <f>IF($E234="",0,SUMPRODUCT((AY_SONU!$O$7:$O$42="Evet")*(AY_SONU!$B$7:$B$42=DATE(YEAR($E234),MONTH($E234),1))))</f>
        <v>0</v>
      </c>
    </row>
    <row r="235" spans="1:20" ht="18" customHeight="1" x14ac:dyDescent="0.3">
      <c r="A235" s="2"/>
      <c r="B235" s="65" t="str">
        <f t="shared" si="15"/>
        <v>T00229</v>
      </c>
      <c r="C235" s="65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M009</v>
      </c>
      <c r="D235" s="61" t="s">
        <v>730</v>
      </c>
      <c r="E235" s="66">
        <v>46130</v>
      </c>
      <c r="F235" s="67">
        <v>4000</v>
      </c>
      <c r="G235" s="60" t="s">
        <v>713</v>
      </c>
      <c r="H235" s="60" t="s">
        <v>568</v>
      </c>
      <c r="I235" s="61"/>
      <c r="J235" s="61" t="s">
        <v>717</v>
      </c>
      <c r="K235" s="61"/>
      <c r="L235" s="73">
        <f t="shared" si="16"/>
        <v>46113</v>
      </c>
      <c r="M235" s="65" t="str">
        <f t="shared" ca="1" si="17"/>
        <v>UYGUN</v>
      </c>
      <c r="N235" s="74" t="str">
        <f>IF($C235="","",IF($C235="TANIMSIZ MÜŞTERİ","—",INDEX(MUSTERILER!$C$7:$C$156,MATCH($C235,MUSTERILER!$B$7:$B$156,0))))</f>
        <v>PAKYILDIZ LTD.ŞTİ.</v>
      </c>
      <c r="O235" s="2"/>
      <c r="P235" s="2"/>
      <c r="Q235" s="1" t="str">
        <f>IF($D235="","",$C235&amp;"|"&amp;COUNTIFS($C$7:$C235,$C235))</f>
        <v>M009|10</v>
      </c>
      <c r="R235" s="1" t="str">
        <f t="shared" si="18"/>
        <v>PAKYILDIZLTDSTI</v>
      </c>
      <c r="S235" s="1" t="str">
        <f t="shared" si="19"/>
        <v>M009|46130|4000|</v>
      </c>
      <c r="T235" s="1">
        <f>IF($E235="",0,SUMPRODUCT((AY_SONU!$O$7:$O$42="Evet")*(AY_SONU!$B$7:$B$42=DATE(YEAR($E235),MONTH($E235),1))))</f>
        <v>0</v>
      </c>
    </row>
    <row r="236" spans="1:20" ht="18" customHeight="1" x14ac:dyDescent="0.3">
      <c r="A236" s="2"/>
      <c r="B236" s="65" t="str">
        <f t="shared" si="15"/>
        <v>T00230</v>
      </c>
      <c r="C236" s="65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M016</v>
      </c>
      <c r="D236" s="61" t="s">
        <v>731</v>
      </c>
      <c r="E236" s="66">
        <v>46130</v>
      </c>
      <c r="F236" s="67">
        <v>3000</v>
      </c>
      <c r="G236" s="60" t="s">
        <v>713</v>
      </c>
      <c r="H236" s="60" t="s">
        <v>568</v>
      </c>
      <c r="I236" s="61"/>
      <c r="J236" s="61" t="s">
        <v>717</v>
      </c>
      <c r="K236" s="61"/>
      <c r="L236" s="73">
        <f t="shared" si="16"/>
        <v>46113</v>
      </c>
      <c r="M236" s="65" t="str">
        <f t="shared" ca="1" si="17"/>
        <v>UYGUN</v>
      </c>
      <c r="N236" s="74" t="str">
        <f>IF($C236="","",IF($C236="TANIMSIZ MÜŞTERİ","—",INDEX(MUSTERILER!$C$7:$C$156,MATCH($C236,MUSTERILER!$B$7:$B$156,0))))</f>
        <v>RİX ŞOW LTD.ŞTİ.</v>
      </c>
      <c r="O236" s="2"/>
      <c r="P236" s="2"/>
      <c r="Q236" s="1" t="str">
        <f>IF($D236="","",$C236&amp;"|"&amp;COUNTIFS($C$7:$C236,$C236))</f>
        <v>M016|15</v>
      </c>
      <c r="R236" s="1" t="str">
        <f t="shared" si="18"/>
        <v>RIXSOWLTDSTI</v>
      </c>
      <c r="S236" s="1" t="str">
        <f t="shared" si="19"/>
        <v>M016|46130|3000|</v>
      </c>
      <c r="T236" s="1">
        <f>IF($E236="",0,SUMPRODUCT((AY_SONU!$O$7:$O$42="Evet")*(AY_SONU!$B$7:$B$42=DATE(YEAR($E236),MONTH($E236),1))))</f>
        <v>0</v>
      </c>
    </row>
    <row r="237" spans="1:20" ht="18" customHeight="1" x14ac:dyDescent="0.3">
      <c r="A237" s="2"/>
      <c r="B237" s="65" t="str">
        <f t="shared" si="15"/>
        <v>T00231</v>
      </c>
      <c r="C237" s="65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M004</v>
      </c>
      <c r="D237" s="61" t="s">
        <v>734</v>
      </c>
      <c r="E237" s="66">
        <v>46130</v>
      </c>
      <c r="F237" s="67">
        <v>3000</v>
      </c>
      <c r="G237" s="60" t="s">
        <v>713</v>
      </c>
      <c r="H237" s="60" t="s">
        <v>568</v>
      </c>
      <c r="I237" s="61"/>
      <c r="J237" s="61" t="s">
        <v>717</v>
      </c>
      <c r="K237" s="61"/>
      <c r="L237" s="73">
        <f t="shared" si="16"/>
        <v>46113</v>
      </c>
      <c r="M237" s="65" t="str">
        <f t="shared" ca="1" si="17"/>
        <v>UYGUN</v>
      </c>
      <c r="N237" s="74" t="str">
        <f>IF($C237="","",IF($C237="TANIMSIZ MÜŞTERİ","—",INDEX(MUSTERILER!$C$7:$C$156,MATCH($C237,MUSTERILER!$B$7:$B$156,0))))</f>
        <v>ZÜMRÜT EĞLENCE LTD.ŞTİ.</v>
      </c>
      <c r="O237" s="2"/>
      <c r="P237" s="2"/>
      <c r="Q237" s="1" t="str">
        <f>IF($D237="","",$C237&amp;"|"&amp;COUNTIFS($C$7:$C237,$C237))</f>
        <v>M004|9</v>
      </c>
      <c r="R237" s="1" t="str">
        <f t="shared" si="18"/>
        <v>ZUMRUTEGLENCELTDSTI</v>
      </c>
      <c r="S237" s="1" t="str">
        <f t="shared" si="19"/>
        <v>M004|46130|3000|</v>
      </c>
      <c r="T237" s="1">
        <f>IF($E237="",0,SUMPRODUCT((AY_SONU!$O$7:$O$42="Evet")*(AY_SONU!$B$7:$B$42=DATE(YEAR($E237),MONTH($E237),1))))</f>
        <v>0</v>
      </c>
    </row>
    <row r="238" spans="1:20" ht="18" customHeight="1" x14ac:dyDescent="0.3">
      <c r="A238" s="2"/>
      <c r="B238" s="65" t="str">
        <f t="shared" si="15"/>
        <v>T00232</v>
      </c>
      <c r="C238" s="65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M005</v>
      </c>
      <c r="D238" s="61" t="s">
        <v>732</v>
      </c>
      <c r="E238" s="66">
        <v>46130</v>
      </c>
      <c r="F238" s="67">
        <v>1750</v>
      </c>
      <c r="G238" s="60" t="s">
        <v>713</v>
      </c>
      <c r="H238" s="60" t="s">
        <v>568</v>
      </c>
      <c r="I238" s="61"/>
      <c r="J238" s="61" t="s">
        <v>717</v>
      </c>
      <c r="K238" s="61"/>
      <c r="L238" s="73">
        <f t="shared" si="16"/>
        <v>46113</v>
      </c>
      <c r="M238" s="65" t="str">
        <f t="shared" ca="1" si="17"/>
        <v>UYGUN</v>
      </c>
      <c r="N238" s="74" t="str">
        <f>IF($C238="","",IF($C238="TANIMSIZ MÜŞTERİ","—",INDEX(MUSTERILER!$C$7:$C$156,MATCH($C238,MUSTERILER!$B$7:$B$156,0))))</f>
        <v>ZÜMRÜT GRUP LTD.ŞTİ.</v>
      </c>
      <c r="O238" s="2"/>
      <c r="P238" s="2"/>
      <c r="Q238" s="1" t="str">
        <f>IF($D238="","",$C238&amp;"|"&amp;COUNTIFS($C$7:$C238,$C238))</f>
        <v>M005|12</v>
      </c>
      <c r="R238" s="1" t="str">
        <f t="shared" si="18"/>
        <v>ZUMRUTGRUPLTDSTI</v>
      </c>
      <c r="S238" s="1" t="str">
        <f t="shared" si="19"/>
        <v>M005|46130|1750|</v>
      </c>
      <c r="T238" s="1">
        <f>IF($E238="",0,SUMPRODUCT((AY_SONU!$O$7:$O$42="Evet")*(AY_SONU!$B$7:$B$42=DATE(YEAR($E238),MONTH($E238),1))))</f>
        <v>0</v>
      </c>
    </row>
    <row r="239" spans="1:20" ht="18" customHeight="1" x14ac:dyDescent="0.3">
      <c r="A239" s="2"/>
      <c r="B239" s="65" t="str">
        <f t="shared" si="15"/>
        <v>T00233</v>
      </c>
      <c r="C239" s="65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M018</v>
      </c>
      <c r="D239" s="61" t="s">
        <v>589</v>
      </c>
      <c r="E239" s="66">
        <v>46130</v>
      </c>
      <c r="F239" s="67">
        <v>2500</v>
      </c>
      <c r="G239" s="60" t="s">
        <v>713</v>
      </c>
      <c r="H239" s="60" t="s">
        <v>568</v>
      </c>
      <c r="I239" s="61"/>
      <c r="J239" s="61" t="s">
        <v>717</v>
      </c>
      <c r="K239" s="61"/>
      <c r="L239" s="73">
        <f t="shared" si="16"/>
        <v>46113</v>
      </c>
      <c r="M239" s="65" t="str">
        <f t="shared" ca="1" si="17"/>
        <v>UYGUN</v>
      </c>
      <c r="N239" s="74" t="str">
        <f>IF($C239="","",IF($C239="TANIMSIZ MÜŞTERİ","—",INDEX(MUSTERILER!$C$7:$C$156,MATCH($C239,MUSTERILER!$B$7:$B$156,0))))</f>
        <v>ÇINARHAN LTD.ŞTİ.</v>
      </c>
      <c r="O239" s="2"/>
      <c r="P239" s="2"/>
      <c r="Q239" s="1" t="str">
        <f>IF($D239="","",$C239&amp;"|"&amp;COUNTIFS($C$7:$C239,$C239))</f>
        <v>M018|8</v>
      </c>
      <c r="R239" s="1" t="str">
        <f t="shared" si="18"/>
        <v>CINARHANLTDSTI</v>
      </c>
      <c r="S239" s="1" t="str">
        <f t="shared" si="19"/>
        <v>M018|46130|2500|</v>
      </c>
      <c r="T239" s="1">
        <f>IF($E239="",0,SUMPRODUCT((AY_SONU!$O$7:$O$42="Evet")*(AY_SONU!$B$7:$B$42=DATE(YEAR($E239),MONTH($E239),1))))</f>
        <v>0</v>
      </c>
    </row>
    <row r="240" spans="1:20" ht="18" customHeight="1" x14ac:dyDescent="0.3">
      <c r="A240" s="2"/>
      <c r="B240" s="65" t="str">
        <f t="shared" si="15"/>
        <v>T00234</v>
      </c>
      <c r="C240" s="65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M035</v>
      </c>
      <c r="D240" s="61" t="s">
        <v>611</v>
      </c>
      <c r="E240" s="66">
        <v>46130</v>
      </c>
      <c r="F240" s="67">
        <v>3500</v>
      </c>
      <c r="G240" s="60" t="s">
        <v>713</v>
      </c>
      <c r="H240" s="60" t="s">
        <v>568</v>
      </c>
      <c r="I240" s="61"/>
      <c r="J240" s="61" t="s">
        <v>717</v>
      </c>
      <c r="K240" s="61"/>
      <c r="L240" s="73">
        <f t="shared" si="16"/>
        <v>46113</v>
      </c>
      <c r="M240" s="65" t="str">
        <f t="shared" ca="1" si="17"/>
        <v>UYGUN</v>
      </c>
      <c r="N240" s="74" t="str">
        <f>IF($C240="","",IF($C240="TANIMSIZ MÜŞTERİ","—",INDEX(MUSTERILER!$C$7:$C$156,MATCH($C240,MUSTERILER!$B$7:$B$156,0))))</f>
        <v>İSA DEMİRCİ</v>
      </c>
      <c r="O240" s="2"/>
      <c r="P240" s="2"/>
      <c r="Q240" s="1" t="str">
        <f>IF($D240="","",$C240&amp;"|"&amp;COUNTIFS($C$7:$C240,$C240))</f>
        <v>M035|3</v>
      </c>
      <c r="R240" s="1" t="str">
        <f t="shared" si="18"/>
        <v>ISADEMIRCI</v>
      </c>
      <c r="S240" s="1" t="str">
        <f t="shared" si="19"/>
        <v>M035|46130|3500|</v>
      </c>
      <c r="T240" s="1">
        <f>IF($E240="",0,SUMPRODUCT((AY_SONU!$O$7:$O$42="Evet")*(AY_SONU!$B$7:$B$42=DATE(YEAR($E240),MONTH($E240),1))))</f>
        <v>0</v>
      </c>
    </row>
    <row r="241" spans="1:20" ht="18" customHeight="1" x14ac:dyDescent="0.3">
      <c r="A241" s="2"/>
      <c r="B241" s="65" t="str">
        <f t="shared" si="15"/>
        <v>T00235</v>
      </c>
      <c r="C241" s="65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M020</v>
      </c>
      <c r="D241" s="61" t="s">
        <v>619</v>
      </c>
      <c r="E241" s="66">
        <v>46130</v>
      </c>
      <c r="F241" s="67">
        <v>3000</v>
      </c>
      <c r="G241" s="60" t="s">
        <v>713</v>
      </c>
      <c r="H241" s="60" t="s">
        <v>568</v>
      </c>
      <c r="I241" s="61"/>
      <c r="J241" s="61" t="s">
        <v>717</v>
      </c>
      <c r="K241" s="61"/>
      <c r="L241" s="73">
        <f t="shared" si="16"/>
        <v>46113</v>
      </c>
      <c r="M241" s="65" t="str">
        <f t="shared" ca="1" si="17"/>
        <v>UYGUN</v>
      </c>
      <c r="N241" s="74" t="str">
        <f>IF($C241="","",IF($C241="TANIMSIZ MÜŞTERİ","—",INDEX(MUSTERILER!$C$7:$C$156,MATCH($C241,MUSTERILER!$B$7:$B$156,0))))</f>
        <v>KRİSTAL LTD.ŞTİ.</v>
      </c>
      <c r="O241" s="2"/>
      <c r="P241" s="2"/>
      <c r="Q241" s="1" t="str">
        <f>IF($D241="","",$C241&amp;"|"&amp;COUNTIFS($C$7:$C241,$C241))</f>
        <v>M020|15</v>
      </c>
      <c r="R241" s="1" t="str">
        <f t="shared" si="18"/>
        <v>KRISTALLTDSTI</v>
      </c>
      <c r="S241" s="1" t="str">
        <f t="shared" si="19"/>
        <v>M020|46130|3000|</v>
      </c>
      <c r="T241" s="1">
        <f>IF($E241="",0,SUMPRODUCT((AY_SONU!$O$7:$O$42="Evet")*(AY_SONU!$B$7:$B$42=DATE(YEAR($E241),MONTH($E241),1))))</f>
        <v>0</v>
      </c>
    </row>
    <row r="242" spans="1:20" ht="18" customHeight="1" x14ac:dyDescent="0.3">
      <c r="A242" s="2"/>
      <c r="B242" s="65" t="str">
        <f t="shared" si="15"/>
        <v>T00236</v>
      </c>
      <c r="C242" s="65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M054</v>
      </c>
      <c r="D242" s="61" t="s">
        <v>669</v>
      </c>
      <c r="E242" s="66">
        <v>46130</v>
      </c>
      <c r="F242" s="67">
        <v>4000</v>
      </c>
      <c r="G242" s="60" t="s">
        <v>713</v>
      </c>
      <c r="H242" s="60" t="s">
        <v>568</v>
      </c>
      <c r="I242" s="61"/>
      <c r="J242" s="61" t="s">
        <v>717</v>
      </c>
      <c r="K242" s="61"/>
      <c r="L242" s="73">
        <f t="shared" si="16"/>
        <v>46113</v>
      </c>
      <c r="M242" s="65" t="str">
        <f t="shared" ca="1" si="17"/>
        <v>UYGUN</v>
      </c>
      <c r="N242" s="74" t="str">
        <f>IF($C242="","",IF($C242="TANIMSIZ MÜŞTERİ","—",INDEX(MUSTERILER!$C$7:$C$156,MATCH($C242,MUSTERILER!$B$7:$B$156,0))))</f>
        <v>YALIKENT LTD.ŞTİ.</v>
      </c>
      <c r="O242" s="2"/>
      <c r="P242" s="2"/>
      <c r="Q242" s="1" t="str">
        <f>IF($D242="","",$C242&amp;"|"&amp;COUNTIFS($C$7:$C242,$C242))</f>
        <v>M054|4</v>
      </c>
      <c r="R242" s="1" t="str">
        <f t="shared" si="18"/>
        <v>YALIKENTLTDSTI</v>
      </c>
      <c r="S242" s="1" t="str">
        <f t="shared" si="19"/>
        <v>M054|46130|4000|</v>
      </c>
      <c r="T242" s="1">
        <f>IF($E242="",0,SUMPRODUCT((AY_SONU!$O$7:$O$42="Evet")*(AY_SONU!$B$7:$B$42=DATE(YEAR($E242),MONTH($E242),1))))</f>
        <v>0</v>
      </c>
    </row>
    <row r="243" spans="1:20" ht="18" customHeight="1" x14ac:dyDescent="0.3">
      <c r="A243" s="2"/>
      <c r="B243" s="65" t="str">
        <f t="shared" si="15"/>
        <v>T00237</v>
      </c>
      <c r="C243" s="65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M021</v>
      </c>
      <c r="D243" s="61" t="s">
        <v>577</v>
      </c>
      <c r="E243" s="66">
        <v>46136</v>
      </c>
      <c r="F243" s="67">
        <v>20000</v>
      </c>
      <c r="G243" s="60" t="s">
        <v>713</v>
      </c>
      <c r="H243" s="60" t="s">
        <v>568</v>
      </c>
      <c r="I243" s="61"/>
      <c r="J243" s="61" t="s">
        <v>717</v>
      </c>
      <c r="K243" s="61"/>
      <c r="L243" s="73">
        <f t="shared" si="16"/>
        <v>46113</v>
      </c>
      <c r="M243" s="65" t="str">
        <f t="shared" ca="1" si="17"/>
        <v>UYGUN</v>
      </c>
      <c r="N243" s="74" t="str">
        <f>IF($C243="","",IF($C243="TANIMSIZ MÜŞTERİ","—",INDEX(MUSTERILER!$C$7:$C$156,MATCH($C243,MUSTERILER!$B$7:$B$156,0))))</f>
        <v>ARON TOPTAN LTD.ŞTİ.</v>
      </c>
      <c r="O243" s="2"/>
      <c r="P243" s="2"/>
      <c r="Q243" s="1" t="str">
        <f>IF($D243="","",$C243&amp;"|"&amp;COUNTIFS($C$7:$C243,$C243))</f>
        <v>M021|3</v>
      </c>
      <c r="R243" s="1" t="str">
        <f t="shared" si="18"/>
        <v>ARONTOPTANLTDSTI</v>
      </c>
      <c r="S243" s="1" t="str">
        <f t="shared" si="19"/>
        <v>M021|46136|20000|</v>
      </c>
      <c r="T243" s="1">
        <f>IF($E243="",0,SUMPRODUCT((AY_SONU!$O$7:$O$42="Evet")*(AY_SONU!$B$7:$B$42=DATE(YEAR($E243),MONTH($E243),1))))</f>
        <v>0</v>
      </c>
    </row>
    <row r="244" spans="1:20" ht="18" customHeight="1" x14ac:dyDescent="0.3">
      <c r="A244" s="2"/>
      <c r="B244" s="65" t="str">
        <f t="shared" si="15"/>
        <v>T00238</v>
      </c>
      <c r="C244" s="65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M001</v>
      </c>
      <c r="D244" s="61" t="s">
        <v>722</v>
      </c>
      <c r="E244" s="66">
        <v>46137</v>
      </c>
      <c r="F244" s="67">
        <v>4000</v>
      </c>
      <c r="G244" s="60" t="s">
        <v>713</v>
      </c>
      <c r="H244" s="60" t="s">
        <v>568</v>
      </c>
      <c r="I244" s="61"/>
      <c r="J244" s="61" t="s">
        <v>717</v>
      </c>
      <c r="K244" s="61"/>
      <c r="L244" s="73">
        <f t="shared" si="16"/>
        <v>46113</v>
      </c>
      <c r="M244" s="65" t="str">
        <f t="shared" ca="1" si="17"/>
        <v>UYGUN</v>
      </c>
      <c r="N244" s="74" t="str">
        <f>IF($C244="","",IF($C244="TANIMSIZ MÜŞTERİ","—",INDEX(MUSTERILER!$C$7:$C$156,MATCH($C244,MUSTERILER!$B$7:$B$156,0))))</f>
        <v>ANKARA HAVANA LTD.ŞTİ.</v>
      </c>
      <c r="O244" s="2"/>
      <c r="P244" s="2"/>
      <c r="Q244" s="1" t="str">
        <f>IF($D244="","",$C244&amp;"|"&amp;COUNTIFS($C$7:$C244,$C244))</f>
        <v>M001|6</v>
      </c>
      <c r="R244" s="1" t="str">
        <f t="shared" si="18"/>
        <v>ANKARAHAVANALTDSTI</v>
      </c>
      <c r="S244" s="1" t="str">
        <f t="shared" si="19"/>
        <v>M001|46137|4000|</v>
      </c>
      <c r="T244" s="1">
        <f>IF($E244="",0,SUMPRODUCT((AY_SONU!$O$7:$O$42="Evet")*(AY_SONU!$B$7:$B$42=DATE(YEAR($E244),MONTH($E244),1))))</f>
        <v>0</v>
      </c>
    </row>
    <row r="245" spans="1:20" ht="18" customHeight="1" x14ac:dyDescent="0.3">
      <c r="A245" s="2"/>
      <c r="B245" s="65" t="str">
        <f t="shared" si="15"/>
        <v>T00239</v>
      </c>
      <c r="C245" s="65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M025</v>
      </c>
      <c r="D245" s="61" t="s">
        <v>579</v>
      </c>
      <c r="E245" s="66">
        <v>46137</v>
      </c>
      <c r="F245" s="67">
        <v>2000</v>
      </c>
      <c r="G245" s="60" t="s">
        <v>713</v>
      </c>
      <c r="H245" s="60" t="s">
        <v>568</v>
      </c>
      <c r="I245" s="61"/>
      <c r="J245" s="61" t="s">
        <v>717</v>
      </c>
      <c r="K245" s="61"/>
      <c r="L245" s="73">
        <f t="shared" si="16"/>
        <v>46113</v>
      </c>
      <c r="M245" s="65" t="str">
        <f t="shared" ca="1" si="17"/>
        <v>UYGUN</v>
      </c>
      <c r="N245" s="74" t="str">
        <f>IF($C245="","",IF($C245="TANIMSIZ MÜŞTERİ","—",INDEX(MUSTERILER!$C$7:$C$156,MATCH($C245,MUSTERILER!$B$7:$B$156,0))))</f>
        <v>ASIM AÇIKGÖZ</v>
      </c>
      <c r="O245" s="2"/>
      <c r="P245" s="2"/>
      <c r="Q245" s="1" t="str">
        <f>IF($D245="","",$C245&amp;"|"&amp;COUNTIFS($C$7:$C245,$C245))</f>
        <v>M025|11</v>
      </c>
      <c r="R245" s="1" t="str">
        <f t="shared" si="18"/>
        <v>ASIMACIKGOZ</v>
      </c>
      <c r="S245" s="1" t="str">
        <f t="shared" si="19"/>
        <v>M025|46137|2000|</v>
      </c>
      <c r="T245" s="1">
        <f>IF($E245="",0,SUMPRODUCT((AY_SONU!$O$7:$O$42="Evet")*(AY_SONU!$B$7:$B$42=DATE(YEAR($E245),MONTH($E245),1))))</f>
        <v>0</v>
      </c>
    </row>
    <row r="246" spans="1:20" ht="18" customHeight="1" x14ac:dyDescent="0.3">
      <c r="A246" s="2"/>
      <c r="B246" s="65" t="str">
        <f t="shared" si="15"/>
        <v>T00240</v>
      </c>
      <c r="C246" s="65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M017</v>
      </c>
      <c r="D246" s="61" t="s">
        <v>581</v>
      </c>
      <c r="E246" s="66">
        <v>46137</v>
      </c>
      <c r="F246" s="67">
        <v>2500</v>
      </c>
      <c r="G246" s="60" t="s">
        <v>713</v>
      </c>
      <c r="H246" s="60" t="s">
        <v>568</v>
      </c>
      <c r="I246" s="61"/>
      <c r="J246" s="61" t="s">
        <v>717</v>
      </c>
      <c r="K246" s="61"/>
      <c r="L246" s="73">
        <f t="shared" si="16"/>
        <v>46113</v>
      </c>
      <c r="M246" s="65" t="str">
        <f t="shared" ca="1" si="17"/>
        <v>UYGUN</v>
      </c>
      <c r="N246" s="74" t="str">
        <f>IF($C246="","",IF($C246="TANIMSIZ MÜŞTERİ","—",INDEX(MUSTERILER!$C$7:$C$156,MATCH($C246,MUSTERILER!$B$7:$B$156,0))))</f>
        <v>ASM EĞLENCE LTD.ŞTİ.</v>
      </c>
      <c r="O246" s="2"/>
      <c r="P246" s="2"/>
      <c r="Q246" s="1" t="str">
        <f>IF($D246="","",$C246&amp;"|"&amp;COUNTIFS($C$7:$C246,$C246))</f>
        <v>M017|13</v>
      </c>
      <c r="R246" s="1" t="str">
        <f t="shared" si="18"/>
        <v>ASMEGLENCELTDSTI</v>
      </c>
      <c r="S246" s="1" t="str">
        <f t="shared" si="19"/>
        <v>M017|46137|2500|</v>
      </c>
      <c r="T246" s="1">
        <f>IF($E246="",0,SUMPRODUCT((AY_SONU!$O$7:$O$42="Evet")*(AY_SONU!$B$7:$B$42=DATE(YEAR($E246),MONTH($E246),1))))</f>
        <v>0</v>
      </c>
    </row>
    <row r="247" spans="1:20" ht="18" customHeight="1" x14ac:dyDescent="0.3">
      <c r="A247" s="2"/>
      <c r="B247" s="65" t="str">
        <f t="shared" si="15"/>
        <v>T00241</v>
      </c>
      <c r="C247" s="65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M015</v>
      </c>
      <c r="D247" s="61" t="s">
        <v>723</v>
      </c>
      <c r="E247" s="66">
        <v>46137</v>
      </c>
      <c r="F247" s="67">
        <v>3000</v>
      </c>
      <c r="G247" s="60" t="s">
        <v>713</v>
      </c>
      <c r="H247" s="60" t="s">
        <v>568</v>
      </c>
      <c r="I247" s="61"/>
      <c r="J247" s="61" t="s">
        <v>717</v>
      </c>
      <c r="K247" s="61"/>
      <c r="L247" s="73">
        <f t="shared" si="16"/>
        <v>46113</v>
      </c>
      <c r="M247" s="65" t="str">
        <f t="shared" ca="1" si="17"/>
        <v>UYGUN</v>
      </c>
      <c r="N247" s="74" t="str">
        <f>IF($C247="","",IF($C247="TANIMSIZ MÜŞTERİ","—",INDEX(MUSTERILER!$C$7:$C$156,MATCH($C247,MUSTERILER!$B$7:$B$156,0))))</f>
        <v>ÇAYIRALAN LTD.ŞTİ.</v>
      </c>
      <c r="O247" s="2"/>
      <c r="P247" s="2"/>
      <c r="Q247" s="1" t="str">
        <f>IF($D247="","",$C247&amp;"|"&amp;COUNTIFS($C$7:$C247,$C247))</f>
        <v>M015|13</v>
      </c>
      <c r="R247" s="1" t="str">
        <f t="shared" si="18"/>
        <v>CAYIRALANLTDSTI</v>
      </c>
      <c r="S247" s="1" t="str">
        <f t="shared" si="19"/>
        <v>M015|46137|3000|</v>
      </c>
      <c r="T247" s="1">
        <f>IF($E247="",0,SUMPRODUCT((AY_SONU!$O$7:$O$42="Evet")*(AY_SONU!$B$7:$B$42=DATE(YEAR($E247),MONTH($E247),1))))</f>
        <v>0</v>
      </c>
    </row>
    <row r="248" spans="1:20" ht="18" customHeight="1" x14ac:dyDescent="0.3">
      <c r="A248" s="2"/>
      <c r="B248" s="65" t="str">
        <f t="shared" si="15"/>
        <v>T00242</v>
      </c>
      <c r="C248" s="65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M011</v>
      </c>
      <c r="D248" s="61" t="s">
        <v>724</v>
      </c>
      <c r="E248" s="66">
        <v>46137</v>
      </c>
      <c r="F248" s="67">
        <v>4000</v>
      </c>
      <c r="G248" s="60" t="s">
        <v>713</v>
      </c>
      <c r="H248" s="60" t="s">
        <v>568</v>
      </c>
      <c r="I248" s="61"/>
      <c r="J248" s="61" t="s">
        <v>717</v>
      </c>
      <c r="K248" s="61"/>
      <c r="L248" s="73">
        <f t="shared" si="16"/>
        <v>46113</v>
      </c>
      <c r="M248" s="65" t="str">
        <f t="shared" ca="1" si="17"/>
        <v>UYGUN</v>
      </c>
      <c r="N248" s="74" t="str">
        <f>IF($C248="","",IF($C248="TANIMSIZ MÜŞTERİ","—",INDEX(MUSTERILER!$C$7:$C$156,MATCH($C248,MUSTERILER!$B$7:$B$156,0))))</f>
        <v>EĞLENGÖR LTD.ŞTİ.</v>
      </c>
      <c r="O248" s="2"/>
      <c r="P248" s="2"/>
      <c r="Q248" s="1" t="str">
        <f>IF($D248="","",$C248&amp;"|"&amp;COUNTIFS($C$7:$C248,$C248))</f>
        <v>M011|15</v>
      </c>
      <c r="R248" s="1" t="str">
        <f t="shared" si="18"/>
        <v>EGLENGORLTDSTI</v>
      </c>
      <c r="S248" s="1" t="str">
        <f t="shared" si="19"/>
        <v>M011|46137|4000|</v>
      </c>
      <c r="T248" s="1">
        <f>IF($E248="",0,SUMPRODUCT((AY_SONU!$O$7:$O$42="Evet")*(AY_SONU!$B$7:$B$42=DATE(YEAR($E248),MONTH($E248),1))))</f>
        <v>0</v>
      </c>
    </row>
    <row r="249" spans="1:20" ht="18" customHeight="1" x14ac:dyDescent="0.3">
      <c r="A249" s="2"/>
      <c r="B249" s="65" t="str">
        <f t="shared" si="15"/>
        <v>T00243</v>
      </c>
      <c r="C249" s="65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M014</v>
      </c>
      <c r="D249" s="61" t="s">
        <v>725</v>
      </c>
      <c r="E249" s="66">
        <v>46137</v>
      </c>
      <c r="F249" s="67">
        <v>4000</v>
      </c>
      <c r="G249" s="60" t="s">
        <v>713</v>
      </c>
      <c r="H249" s="60" t="s">
        <v>568</v>
      </c>
      <c r="I249" s="61"/>
      <c r="J249" s="61" t="s">
        <v>717</v>
      </c>
      <c r="K249" s="61"/>
      <c r="L249" s="73">
        <f t="shared" si="16"/>
        <v>46113</v>
      </c>
      <c r="M249" s="65" t="str">
        <f t="shared" ca="1" si="17"/>
        <v>UYGUN</v>
      </c>
      <c r="N249" s="74" t="str">
        <f>IF($C249="","",IF($C249="TANIMSIZ MÜŞTERİ","—",INDEX(MUSTERILER!$C$7:$C$156,MATCH($C249,MUSTERILER!$B$7:$B$156,0))))</f>
        <v>FİNAL SİYAH BEYAZ LTD.ŞTİ.</v>
      </c>
      <c r="O249" s="2"/>
      <c r="P249" s="2"/>
      <c r="Q249" s="1" t="str">
        <f>IF($D249="","",$C249&amp;"|"&amp;COUNTIFS($C$7:$C249,$C249))</f>
        <v>M014|15</v>
      </c>
      <c r="R249" s="1" t="str">
        <f t="shared" si="18"/>
        <v>FINALSIYAHBEYAZLTDSTI</v>
      </c>
      <c r="S249" s="1" t="str">
        <f t="shared" si="19"/>
        <v>M014|46137|4000|</v>
      </c>
      <c r="T249" s="1">
        <f>IF($E249="",0,SUMPRODUCT((AY_SONU!$O$7:$O$42="Evet")*(AY_SONU!$B$7:$B$42=DATE(YEAR($E249),MONTH($E249),1))))</f>
        <v>0</v>
      </c>
    </row>
    <row r="250" spans="1:20" ht="18" customHeight="1" x14ac:dyDescent="0.3">
      <c r="A250" s="2"/>
      <c r="B250" s="65" t="str">
        <f t="shared" si="15"/>
        <v>T00244</v>
      </c>
      <c r="C250" s="65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M034</v>
      </c>
      <c r="D250" s="61" t="s">
        <v>726</v>
      </c>
      <c r="E250" s="66">
        <v>46137</v>
      </c>
      <c r="F250" s="67">
        <v>4000</v>
      </c>
      <c r="G250" s="60" t="s">
        <v>713</v>
      </c>
      <c r="H250" s="60" t="s">
        <v>568</v>
      </c>
      <c r="I250" s="61"/>
      <c r="J250" s="61" t="s">
        <v>717</v>
      </c>
      <c r="K250" s="61"/>
      <c r="L250" s="73">
        <f t="shared" si="16"/>
        <v>46113</v>
      </c>
      <c r="M250" s="65" t="str">
        <f t="shared" ca="1" si="17"/>
        <v>UYGUN</v>
      </c>
      <c r="N250" s="74" t="str">
        <f>IF($C250="","",IF($C250="TANIMSIZ MÜŞTERİ","—",INDEX(MUSTERILER!$C$7:$C$156,MATCH($C250,MUSTERILER!$B$7:$B$156,0))))</f>
        <v>İBRAHİM MALDAN</v>
      </c>
      <c r="O250" s="2"/>
      <c r="P250" s="2"/>
      <c r="Q250" s="1" t="str">
        <f>IF($D250="","",$C250&amp;"|"&amp;COUNTIFS($C$7:$C250,$C250))</f>
        <v>M034|12</v>
      </c>
      <c r="R250" s="1" t="str">
        <f t="shared" si="18"/>
        <v>IBRAHIMMALDAN</v>
      </c>
      <c r="S250" s="1" t="str">
        <f t="shared" si="19"/>
        <v>M034|46137|4000|</v>
      </c>
      <c r="T250" s="1">
        <f>IF($E250="",0,SUMPRODUCT((AY_SONU!$O$7:$O$42="Evet")*(AY_SONU!$B$7:$B$42=DATE(YEAR($E250),MONTH($E250),1))))</f>
        <v>0</v>
      </c>
    </row>
    <row r="251" spans="1:20" ht="18" customHeight="1" x14ac:dyDescent="0.3">
      <c r="A251" s="2"/>
      <c r="B251" s="65" t="str">
        <f t="shared" si="15"/>
        <v>T00245</v>
      </c>
      <c r="C251" s="65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M012</v>
      </c>
      <c r="D251" s="61" t="s">
        <v>727</v>
      </c>
      <c r="E251" s="66">
        <v>46137</v>
      </c>
      <c r="F251" s="67">
        <v>4000</v>
      </c>
      <c r="G251" s="60" t="s">
        <v>713</v>
      </c>
      <c r="H251" s="60" t="s">
        <v>568</v>
      </c>
      <c r="I251" s="61"/>
      <c r="J251" s="61" t="s">
        <v>717</v>
      </c>
      <c r="K251" s="61"/>
      <c r="L251" s="73">
        <f t="shared" si="16"/>
        <v>46113</v>
      </c>
      <c r="M251" s="65" t="str">
        <f t="shared" ca="1" si="17"/>
        <v>UYGUN</v>
      </c>
      <c r="N251" s="74" t="str">
        <f>IF($C251="","",IF($C251="TANIMSIZ MÜŞTERİ","—",INDEX(MUSTERILER!$C$7:$C$156,MATCH($C251,MUSTERILER!$B$7:$B$156,0))))</f>
        <v>İLDEŞ LTD.ŞTİ.</v>
      </c>
      <c r="O251" s="2"/>
      <c r="P251" s="2"/>
      <c r="Q251" s="1" t="str">
        <f>IF($D251="","",$C251&amp;"|"&amp;COUNTIFS($C$7:$C251,$C251))</f>
        <v>M012|15</v>
      </c>
      <c r="R251" s="1" t="str">
        <f t="shared" si="18"/>
        <v>ILDESLTDSTI</v>
      </c>
      <c r="S251" s="1" t="str">
        <f t="shared" si="19"/>
        <v>M012|46137|4000|</v>
      </c>
      <c r="T251" s="1">
        <f>IF($E251="",0,SUMPRODUCT((AY_SONU!$O$7:$O$42="Evet")*(AY_SONU!$B$7:$B$42=DATE(YEAR($E251),MONTH($E251),1))))</f>
        <v>0</v>
      </c>
    </row>
    <row r="252" spans="1:20" ht="18" customHeight="1" x14ac:dyDescent="0.3">
      <c r="A252" s="2"/>
      <c r="B252" s="65" t="str">
        <f t="shared" si="15"/>
        <v>T00246</v>
      </c>
      <c r="C252" s="65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M007</v>
      </c>
      <c r="D252" s="61" t="s">
        <v>728</v>
      </c>
      <c r="E252" s="66">
        <v>46137</v>
      </c>
      <c r="F252" s="67">
        <v>3500</v>
      </c>
      <c r="G252" s="60" t="s">
        <v>713</v>
      </c>
      <c r="H252" s="60" t="s">
        <v>568</v>
      </c>
      <c r="I252" s="61"/>
      <c r="J252" s="61" t="s">
        <v>717</v>
      </c>
      <c r="K252" s="61"/>
      <c r="L252" s="73">
        <f t="shared" si="16"/>
        <v>46113</v>
      </c>
      <c r="M252" s="65" t="str">
        <f t="shared" ca="1" si="17"/>
        <v>UYGUN</v>
      </c>
      <c r="N252" s="74" t="str">
        <f>IF($C252="","",IF($C252="TANIMSIZ MÜŞTERİ","—",INDEX(MUSTERILER!$C$7:$C$156,MATCH($C252,MUSTERILER!$B$7:$B$156,0))))</f>
        <v>MONAMOUR LTD.ŞTİ.</v>
      </c>
      <c r="O252" s="2"/>
      <c r="P252" s="2"/>
      <c r="Q252" s="1" t="str">
        <f>IF($D252="","",$C252&amp;"|"&amp;COUNTIFS($C$7:$C252,$C252))</f>
        <v>M007|14</v>
      </c>
      <c r="R252" s="1" t="str">
        <f t="shared" si="18"/>
        <v>MONAMOURLTDSTI</v>
      </c>
      <c r="S252" s="1" t="str">
        <f t="shared" si="19"/>
        <v>M007|46137|3500|</v>
      </c>
      <c r="T252" s="1">
        <f>IF($E252="",0,SUMPRODUCT((AY_SONU!$O$7:$O$42="Evet")*(AY_SONU!$B$7:$B$42=DATE(YEAR($E252),MONTH($E252),1))))</f>
        <v>0</v>
      </c>
    </row>
    <row r="253" spans="1:20" ht="18" customHeight="1" x14ac:dyDescent="0.3">
      <c r="A253" s="2"/>
      <c r="B253" s="65" t="str">
        <f t="shared" si="15"/>
        <v>T00247</v>
      </c>
      <c r="C253" s="65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M013</v>
      </c>
      <c r="D253" s="61" t="s">
        <v>729</v>
      </c>
      <c r="E253" s="66">
        <v>46137</v>
      </c>
      <c r="F253" s="67">
        <v>4000</v>
      </c>
      <c r="G253" s="60" t="s">
        <v>713</v>
      </c>
      <c r="H253" s="60" t="s">
        <v>568</v>
      </c>
      <c r="I253" s="61"/>
      <c r="J253" s="61" t="s">
        <v>717</v>
      </c>
      <c r="K253" s="61"/>
      <c r="L253" s="73">
        <f t="shared" si="16"/>
        <v>46113</v>
      </c>
      <c r="M253" s="65" t="str">
        <f t="shared" ca="1" si="17"/>
        <v>UYGUN</v>
      </c>
      <c r="N253" s="74" t="str">
        <f>IF($C253="","",IF($C253="TANIMSIZ MÜŞTERİ","—",INDEX(MUSTERILER!$C$7:$C$156,MATCH($C253,MUSTERILER!$B$7:$B$156,0))))</f>
        <v>NAZ 1 GIDA LTD.ŞTİ.</v>
      </c>
      <c r="O253" s="2"/>
      <c r="P253" s="2"/>
      <c r="Q253" s="1" t="str">
        <f>IF($D253="","",$C253&amp;"|"&amp;COUNTIFS($C$7:$C253,$C253))</f>
        <v>M013|11</v>
      </c>
      <c r="R253" s="1" t="str">
        <f t="shared" si="18"/>
        <v>NAZ1GIDALTDSTI</v>
      </c>
      <c r="S253" s="1" t="str">
        <f t="shared" si="19"/>
        <v>M013|46137|4000|</v>
      </c>
      <c r="T253" s="1">
        <f>IF($E253="",0,SUMPRODUCT((AY_SONU!$O$7:$O$42="Evet")*(AY_SONU!$B$7:$B$42=DATE(YEAR($E253),MONTH($E253),1))))</f>
        <v>0</v>
      </c>
    </row>
    <row r="254" spans="1:20" ht="18" customHeight="1" x14ac:dyDescent="0.3">
      <c r="A254" s="2"/>
      <c r="B254" s="65" t="str">
        <f t="shared" si="15"/>
        <v>T00248</v>
      </c>
      <c r="C254" s="65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M009</v>
      </c>
      <c r="D254" s="61" t="s">
        <v>730</v>
      </c>
      <c r="E254" s="66">
        <v>46137</v>
      </c>
      <c r="F254" s="67">
        <v>4000</v>
      </c>
      <c r="G254" s="60" t="s">
        <v>713</v>
      </c>
      <c r="H254" s="60" t="s">
        <v>568</v>
      </c>
      <c r="I254" s="61"/>
      <c r="J254" s="61" t="s">
        <v>717</v>
      </c>
      <c r="K254" s="61"/>
      <c r="L254" s="73">
        <f t="shared" si="16"/>
        <v>46113</v>
      </c>
      <c r="M254" s="65" t="str">
        <f t="shared" ca="1" si="17"/>
        <v>UYGUN</v>
      </c>
      <c r="N254" s="74" t="str">
        <f>IF($C254="","",IF($C254="TANIMSIZ MÜŞTERİ","—",INDEX(MUSTERILER!$C$7:$C$156,MATCH($C254,MUSTERILER!$B$7:$B$156,0))))</f>
        <v>PAKYILDIZ LTD.ŞTİ.</v>
      </c>
      <c r="O254" s="2"/>
      <c r="P254" s="2"/>
      <c r="Q254" s="1" t="str">
        <f>IF($D254="","",$C254&amp;"|"&amp;COUNTIFS($C$7:$C254,$C254))</f>
        <v>M009|11</v>
      </c>
      <c r="R254" s="1" t="str">
        <f t="shared" si="18"/>
        <v>PAKYILDIZLTDSTI</v>
      </c>
      <c r="S254" s="1" t="str">
        <f t="shared" si="19"/>
        <v>M009|46137|4000|</v>
      </c>
      <c r="T254" s="1">
        <f>IF($E254="",0,SUMPRODUCT((AY_SONU!$O$7:$O$42="Evet")*(AY_SONU!$B$7:$B$42=DATE(YEAR($E254),MONTH($E254),1))))</f>
        <v>0</v>
      </c>
    </row>
    <row r="255" spans="1:20" ht="18" customHeight="1" x14ac:dyDescent="0.3">
      <c r="A255" s="2"/>
      <c r="B255" s="65" t="str">
        <f t="shared" si="15"/>
        <v>T00249</v>
      </c>
      <c r="C255" s="65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M016</v>
      </c>
      <c r="D255" s="61" t="s">
        <v>731</v>
      </c>
      <c r="E255" s="66">
        <v>46137</v>
      </c>
      <c r="F255" s="67">
        <v>3000</v>
      </c>
      <c r="G255" s="60" t="s">
        <v>713</v>
      </c>
      <c r="H255" s="60" t="s">
        <v>568</v>
      </c>
      <c r="I255" s="61"/>
      <c r="J255" s="61" t="s">
        <v>717</v>
      </c>
      <c r="K255" s="61"/>
      <c r="L255" s="73">
        <f t="shared" si="16"/>
        <v>46113</v>
      </c>
      <c r="M255" s="65" t="str">
        <f t="shared" ca="1" si="17"/>
        <v>UYGUN</v>
      </c>
      <c r="N255" s="74" t="str">
        <f>IF($C255="","",IF($C255="TANIMSIZ MÜŞTERİ","—",INDEX(MUSTERILER!$C$7:$C$156,MATCH($C255,MUSTERILER!$B$7:$B$156,0))))</f>
        <v>RİX ŞOW LTD.ŞTİ.</v>
      </c>
      <c r="O255" s="2"/>
      <c r="P255" s="2"/>
      <c r="Q255" s="1" t="str">
        <f>IF($D255="","",$C255&amp;"|"&amp;COUNTIFS($C$7:$C255,$C255))</f>
        <v>M016|16</v>
      </c>
      <c r="R255" s="1" t="str">
        <f t="shared" si="18"/>
        <v>RIXSOWLTDSTI</v>
      </c>
      <c r="S255" s="1" t="str">
        <f t="shared" si="19"/>
        <v>M016|46137|3000|</v>
      </c>
      <c r="T255" s="1">
        <f>IF($E255="",0,SUMPRODUCT((AY_SONU!$O$7:$O$42="Evet")*(AY_SONU!$B$7:$B$42=DATE(YEAR($E255),MONTH($E255),1))))</f>
        <v>0</v>
      </c>
    </row>
    <row r="256" spans="1:20" ht="18" customHeight="1" x14ac:dyDescent="0.3">
      <c r="A256" s="2"/>
      <c r="B256" s="65" t="str">
        <f t="shared" si="15"/>
        <v>T00250</v>
      </c>
      <c r="C256" s="65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M004</v>
      </c>
      <c r="D256" s="61" t="s">
        <v>734</v>
      </c>
      <c r="E256" s="66">
        <v>46137</v>
      </c>
      <c r="F256" s="67">
        <v>3000</v>
      </c>
      <c r="G256" s="60" t="s">
        <v>713</v>
      </c>
      <c r="H256" s="60" t="s">
        <v>568</v>
      </c>
      <c r="I256" s="61"/>
      <c r="J256" s="61" t="s">
        <v>717</v>
      </c>
      <c r="K256" s="61"/>
      <c r="L256" s="73">
        <f t="shared" si="16"/>
        <v>46113</v>
      </c>
      <c r="M256" s="65" t="str">
        <f t="shared" ca="1" si="17"/>
        <v>UYGUN</v>
      </c>
      <c r="N256" s="74" t="str">
        <f>IF($C256="","",IF($C256="TANIMSIZ MÜŞTERİ","—",INDEX(MUSTERILER!$C$7:$C$156,MATCH($C256,MUSTERILER!$B$7:$B$156,0))))</f>
        <v>ZÜMRÜT EĞLENCE LTD.ŞTİ.</v>
      </c>
      <c r="O256" s="2"/>
      <c r="P256" s="2"/>
      <c r="Q256" s="1" t="str">
        <f>IF($D256="","",$C256&amp;"|"&amp;COUNTIFS($C$7:$C256,$C256))</f>
        <v>M004|10</v>
      </c>
      <c r="R256" s="1" t="str">
        <f t="shared" si="18"/>
        <v>ZUMRUTEGLENCELTDSTI</v>
      </c>
      <c r="S256" s="1" t="str">
        <f t="shared" si="19"/>
        <v>M004|46137|3000|</v>
      </c>
      <c r="T256" s="1">
        <f>IF($E256="",0,SUMPRODUCT((AY_SONU!$O$7:$O$42="Evet")*(AY_SONU!$B$7:$B$42=DATE(YEAR($E256),MONTH($E256),1))))</f>
        <v>0</v>
      </c>
    </row>
    <row r="257" spans="1:20" ht="18" customHeight="1" x14ac:dyDescent="0.3">
      <c r="A257" s="2"/>
      <c r="B257" s="65" t="str">
        <f t="shared" si="15"/>
        <v>T00251</v>
      </c>
      <c r="C257" s="65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M018</v>
      </c>
      <c r="D257" s="61" t="s">
        <v>589</v>
      </c>
      <c r="E257" s="66">
        <v>46137</v>
      </c>
      <c r="F257" s="67">
        <v>2500</v>
      </c>
      <c r="G257" s="60" t="s">
        <v>713</v>
      </c>
      <c r="H257" s="60" t="s">
        <v>568</v>
      </c>
      <c r="I257" s="61"/>
      <c r="J257" s="61" t="s">
        <v>717</v>
      </c>
      <c r="K257" s="61"/>
      <c r="L257" s="73">
        <f t="shared" si="16"/>
        <v>46113</v>
      </c>
      <c r="M257" s="65" t="str">
        <f t="shared" ca="1" si="17"/>
        <v>UYGUN</v>
      </c>
      <c r="N257" s="74" t="str">
        <f>IF($C257="","",IF($C257="TANIMSIZ MÜŞTERİ","—",INDEX(MUSTERILER!$C$7:$C$156,MATCH($C257,MUSTERILER!$B$7:$B$156,0))))</f>
        <v>ÇINARHAN LTD.ŞTİ.</v>
      </c>
      <c r="O257" s="2"/>
      <c r="P257" s="2"/>
      <c r="Q257" s="1" t="str">
        <f>IF($D257="","",$C257&amp;"|"&amp;COUNTIFS($C$7:$C257,$C257))</f>
        <v>M018|9</v>
      </c>
      <c r="R257" s="1" t="str">
        <f t="shared" si="18"/>
        <v>CINARHANLTDSTI</v>
      </c>
      <c r="S257" s="1" t="str">
        <f t="shared" si="19"/>
        <v>M018|46137|2500|</v>
      </c>
      <c r="T257" s="1">
        <f>IF($E257="",0,SUMPRODUCT((AY_SONU!$O$7:$O$42="Evet")*(AY_SONU!$B$7:$B$42=DATE(YEAR($E257),MONTH($E257),1))))</f>
        <v>0</v>
      </c>
    </row>
    <row r="258" spans="1:20" ht="18" customHeight="1" x14ac:dyDescent="0.3">
      <c r="A258" s="2"/>
      <c r="B258" s="65" t="str">
        <f t="shared" si="15"/>
        <v>T00252</v>
      </c>
      <c r="C258" s="65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M020</v>
      </c>
      <c r="D258" s="61" t="s">
        <v>619</v>
      </c>
      <c r="E258" s="66">
        <v>46137</v>
      </c>
      <c r="F258" s="67">
        <v>3000</v>
      </c>
      <c r="G258" s="60" t="s">
        <v>713</v>
      </c>
      <c r="H258" s="60" t="s">
        <v>568</v>
      </c>
      <c r="I258" s="61"/>
      <c r="J258" s="61" t="s">
        <v>717</v>
      </c>
      <c r="K258" s="61"/>
      <c r="L258" s="73">
        <f t="shared" si="16"/>
        <v>46113</v>
      </c>
      <c r="M258" s="65" t="str">
        <f t="shared" ca="1" si="17"/>
        <v>UYGUN</v>
      </c>
      <c r="N258" s="74" t="str">
        <f>IF($C258="","",IF($C258="TANIMSIZ MÜŞTERİ","—",INDEX(MUSTERILER!$C$7:$C$156,MATCH($C258,MUSTERILER!$B$7:$B$156,0))))</f>
        <v>KRİSTAL LTD.ŞTİ.</v>
      </c>
      <c r="O258" s="2"/>
      <c r="P258" s="2"/>
      <c r="Q258" s="1" t="str">
        <f>IF($D258="","",$C258&amp;"|"&amp;COUNTIFS($C$7:$C258,$C258))</f>
        <v>M020|16</v>
      </c>
      <c r="R258" s="1" t="str">
        <f t="shared" si="18"/>
        <v>KRISTALLTDSTI</v>
      </c>
      <c r="S258" s="1" t="str">
        <f t="shared" si="19"/>
        <v>M020|46137|3000|</v>
      </c>
      <c r="T258" s="1">
        <f>IF($E258="",0,SUMPRODUCT((AY_SONU!$O$7:$O$42="Evet")*(AY_SONU!$B$7:$B$42=DATE(YEAR($E258),MONTH($E258),1))))</f>
        <v>0</v>
      </c>
    </row>
    <row r="259" spans="1:20" ht="18" customHeight="1" x14ac:dyDescent="0.3">
      <c r="A259" s="2"/>
      <c r="B259" s="65" t="str">
        <f t="shared" si="15"/>
        <v>T00253</v>
      </c>
      <c r="C259" s="65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M047</v>
      </c>
      <c r="D259" s="61" t="s">
        <v>649</v>
      </c>
      <c r="E259" s="66">
        <v>46137</v>
      </c>
      <c r="F259" s="67">
        <v>4000</v>
      </c>
      <c r="G259" s="60" t="s">
        <v>713</v>
      </c>
      <c r="H259" s="60" t="s">
        <v>568</v>
      </c>
      <c r="I259" s="61"/>
      <c r="J259" s="61" t="s">
        <v>717</v>
      </c>
      <c r="K259" s="61"/>
      <c r="L259" s="73">
        <f t="shared" si="16"/>
        <v>46113</v>
      </c>
      <c r="M259" s="65" t="str">
        <f t="shared" ca="1" si="17"/>
        <v>UYGUN</v>
      </c>
      <c r="N259" s="74" t="str">
        <f>IF($C259="","",IF($C259="TANIMSIZ MÜŞTERİ","—",INDEX(MUSTERILER!$C$7:$C$156,MATCH($C259,MUSTERILER!$B$7:$B$156,0))))</f>
        <v>PALAOĞULLARI LTD.ŞTİ.</v>
      </c>
      <c r="O259" s="2"/>
      <c r="P259" s="2"/>
      <c r="Q259" s="1" t="str">
        <f>IF($D259="","",$C259&amp;"|"&amp;COUNTIFS($C$7:$C259,$C259))</f>
        <v>M047|8</v>
      </c>
      <c r="R259" s="1" t="str">
        <f t="shared" si="18"/>
        <v>PALAOGULLARILTDSTI</v>
      </c>
      <c r="S259" s="1" t="str">
        <f t="shared" si="19"/>
        <v>M047|46137|4000|</v>
      </c>
      <c r="T259" s="1">
        <f>IF($E259="",0,SUMPRODUCT((AY_SONU!$O$7:$O$42="Evet")*(AY_SONU!$B$7:$B$42=DATE(YEAR($E259),MONTH($E259),1))))</f>
        <v>0</v>
      </c>
    </row>
    <row r="260" spans="1:20" ht="18" customHeight="1" x14ac:dyDescent="0.3">
      <c r="A260" s="2"/>
      <c r="B260" s="65" t="str">
        <f t="shared" si="15"/>
        <v>T00254</v>
      </c>
      <c r="C260" s="65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M054</v>
      </c>
      <c r="D260" s="61" t="s">
        <v>669</v>
      </c>
      <c r="E260" s="66">
        <v>46137</v>
      </c>
      <c r="F260" s="67">
        <v>4000</v>
      </c>
      <c r="G260" s="60" t="s">
        <v>713</v>
      </c>
      <c r="H260" s="60" t="s">
        <v>568</v>
      </c>
      <c r="I260" s="61"/>
      <c r="J260" s="61" t="s">
        <v>717</v>
      </c>
      <c r="K260" s="61"/>
      <c r="L260" s="73">
        <f t="shared" si="16"/>
        <v>46113</v>
      </c>
      <c r="M260" s="65" t="str">
        <f t="shared" ca="1" si="17"/>
        <v>UYGUN</v>
      </c>
      <c r="N260" s="74" t="str">
        <f>IF($C260="","",IF($C260="TANIMSIZ MÜŞTERİ","—",INDEX(MUSTERILER!$C$7:$C$156,MATCH($C260,MUSTERILER!$B$7:$B$156,0))))</f>
        <v>YALIKENT LTD.ŞTİ.</v>
      </c>
      <c r="O260" s="2"/>
      <c r="P260" s="2"/>
      <c r="Q260" s="1" t="str">
        <f>IF($D260="","",$C260&amp;"|"&amp;COUNTIFS($C$7:$C260,$C260))</f>
        <v>M054|5</v>
      </c>
      <c r="R260" s="1" t="str">
        <f t="shared" si="18"/>
        <v>YALIKENTLTDSTI</v>
      </c>
      <c r="S260" s="1" t="str">
        <f t="shared" si="19"/>
        <v>M054|46137|4000|</v>
      </c>
      <c r="T260" s="1">
        <f>IF($E260="",0,SUMPRODUCT((AY_SONU!$O$7:$O$42="Evet")*(AY_SONU!$B$7:$B$42=DATE(YEAR($E260),MONTH($E260),1))))</f>
        <v>0</v>
      </c>
    </row>
    <row r="261" spans="1:20" ht="18" customHeight="1" x14ac:dyDescent="0.3">
      <c r="A261" s="2"/>
      <c r="B261" s="65" t="str">
        <f t="shared" si="15"/>
        <v>T00255</v>
      </c>
      <c r="C261" s="65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M037</v>
      </c>
      <c r="D261" s="61" t="s">
        <v>621</v>
      </c>
      <c r="E261" s="66">
        <v>46140</v>
      </c>
      <c r="F261" s="67">
        <v>2000</v>
      </c>
      <c r="G261" s="60" t="s">
        <v>713</v>
      </c>
      <c r="H261" s="60" t="s">
        <v>568</v>
      </c>
      <c r="I261" s="61"/>
      <c r="J261" s="61" t="s">
        <v>717</v>
      </c>
      <c r="K261" s="61"/>
      <c r="L261" s="73">
        <f t="shared" si="16"/>
        <v>46113</v>
      </c>
      <c r="M261" s="65" t="str">
        <f t="shared" ca="1" si="17"/>
        <v>UYGUN</v>
      </c>
      <c r="N261" s="74" t="str">
        <f>IF($C261="","",IF($C261="TANIMSIZ MÜŞTERİ","—",INDEX(MUSTERILER!$C$7:$C$156,MATCH($C261,MUSTERILER!$B$7:$B$156,0))))</f>
        <v>MEHMET EVREN KILINÇ</v>
      </c>
      <c r="O261" s="2"/>
      <c r="P261" s="2"/>
      <c r="Q261" s="1" t="str">
        <f>IF($D261="","",$C261&amp;"|"&amp;COUNTIFS($C$7:$C261,$C261))</f>
        <v>M037|3</v>
      </c>
      <c r="R261" s="1" t="str">
        <f t="shared" si="18"/>
        <v>MEHMETEVRENKILINC</v>
      </c>
      <c r="S261" s="1" t="str">
        <f t="shared" si="19"/>
        <v>M037|46140|2000|</v>
      </c>
      <c r="T261" s="1">
        <f>IF($E261="",0,SUMPRODUCT((AY_SONU!$O$7:$O$42="Evet")*(AY_SONU!$B$7:$B$42=DATE(YEAR($E261),MONTH($E261),1))))</f>
        <v>0</v>
      </c>
    </row>
    <row r="262" spans="1:20" ht="18" customHeight="1" x14ac:dyDescent="0.3">
      <c r="A262" s="2"/>
      <c r="B262" s="65" t="str">
        <f t="shared" si="15"/>
        <v>T00256</v>
      </c>
      <c r="C262" s="65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M038</v>
      </c>
      <c r="D262" s="61" t="s">
        <v>623</v>
      </c>
      <c r="E262" s="66">
        <v>46140</v>
      </c>
      <c r="F262" s="67">
        <v>6000</v>
      </c>
      <c r="G262" s="60" t="s">
        <v>713</v>
      </c>
      <c r="H262" s="60" t="s">
        <v>568</v>
      </c>
      <c r="I262" s="61"/>
      <c r="J262" s="61" t="s">
        <v>717</v>
      </c>
      <c r="K262" s="61"/>
      <c r="L262" s="73">
        <f t="shared" si="16"/>
        <v>46113</v>
      </c>
      <c r="M262" s="65" t="str">
        <f t="shared" ca="1" si="17"/>
        <v>UYGUN</v>
      </c>
      <c r="N262" s="74" t="str">
        <f>IF($C262="","",IF($C262="TANIMSIZ MÜŞTERİ","—",INDEX(MUSTERILER!$C$7:$C$156,MATCH($C262,MUSTERILER!$B$7:$B$156,0))))</f>
        <v>MELEK GÜLER</v>
      </c>
      <c r="O262" s="2"/>
      <c r="P262" s="2"/>
      <c r="Q262" s="1" t="str">
        <f>IF($D262="","",$C262&amp;"|"&amp;COUNTIFS($C$7:$C262,$C262))</f>
        <v>M038|1</v>
      </c>
      <c r="R262" s="1" t="str">
        <f t="shared" si="18"/>
        <v>MELEKGULER</v>
      </c>
      <c r="S262" s="1" t="str">
        <f t="shared" si="19"/>
        <v>M038|46140|6000|</v>
      </c>
      <c r="T262" s="1">
        <f>IF($E262="",0,SUMPRODUCT((AY_SONU!$O$7:$O$42="Evet")*(AY_SONU!$B$7:$B$42=DATE(YEAR($E262),MONTH($E262),1))))</f>
        <v>0</v>
      </c>
    </row>
    <row r="263" spans="1:20" ht="18" customHeight="1" x14ac:dyDescent="0.3">
      <c r="A263" s="2"/>
      <c r="B263" s="65" t="str">
        <f t="shared" ref="B263:B326" si="20">IF($D263="","","T"&amp;TEXT(ROW()-6,"00000"))</f>
        <v>T00257</v>
      </c>
      <c r="C263" s="65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M043</v>
      </c>
      <c r="D263" s="61" t="s">
        <v>637</v>
      </c>
      <c r="E263" s="66">
        <v>46141</v>
      </c>
      <c r="F263" s="67">
        <v>6000</v>
      </c>
      <c r="G263" s="60" t="s">
        <v>713</v>
      </c>
      <c r="H263" s="60" t="s">
        <v>568</v>
      </c>
      <c r="I263" s="61"/>
      <c r="J263" s="61" t="s">
        <v>717</v>
      </c>
      <c r="K263" s="61"/>
      <c r="L263" s="73">
        <f t="shared" ref="L263:L326" si="21">IF($E263="","",DATE(YEAR($E263),MONTH($E263),1))</f>
        <v>46113</v>
      </c>
      <c r="M263" s="65" t="str">
        <f t="shared" ref="M263:M326" ca="1" si="22">IF($D263="","",IF($C263="TANIMSIZ MÜŞTERİ","HATA",IF(OR($E263="",$F263&lt;=0,$G263=""),"EKSİK",IF($E263&gt;TODAY(),"İLERİ TARİH",IF(COUNTIF($S$7:$S$2506,$S263)&gt;1,"MÜKERRER?",IF($T263&gt;0,"KAPALI DÖNEM","UYGUN"))))))</f>
        <v>UYGUN</v>
      </c>
      <c r="N263" s="74" t="str">
        <f>IF($C263="","",IF($C263="TANIMSIZ MÜŞTERİ","—",INDEX(MUSTERILER!$C$7:$C$156,MATCH($C263,MUSTERILER!$B$7:$B$156,0))))</f>
        <v>MUSTAFA UMUT KOYUN</v>
      </c>
      <c r="O263" s="2"/>
      <c r="P263" s="2"/>
      <c r="Q263" s="1" t="str">
        <f>IF($D263="","",$C263&amp;"|"&amp;COUNTIFS($C$7:$C263,$C263))</f>
        <v>M043|1</v>
      </c>
      <c r="R263" s="1" t="str">
        <f t="shared" ref="R263:R326" si="23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MUSTAFAUMUTKOYUN</v>
      </c>
      <c r="S263" s="1" t="str">
        <f t="shared" ref="S263:S326" si="24">IF($D263="","",$C263&amp;"|"&amp;TEXT($E263,"0")&amp;"|"&amp;TEXT($F263,"0")&amp;"|"&amp;$I263)</f>
        <v>M043|46141|6000|</v>
      </c>
      <c r="T263" s="1">
        <f>IF($E263="",0,SUMPRODUCT((AY_SONU!$O$7:$O$42="Evet")*(AY_SONU!$B$7:$B$42=DATE(YEAR($E263),MONTH($E263),1))))</f>
        <v>0</v>
      </c>
    </row>
    <row r="264" spans="1:20" ht="18" customHeight="1" x14ac:dyDescent="0.3">
      <c r="A264" s="2"/>
      <c r="B264" s="65" t="str">
        <f t="shared" si="20"/>
        <v>T00258</v>
      </c>
      <c r="C264" s="65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M023</v>
      </c>
      <c r="D264" s="61" t="s">
        <v>572</v>
      </c>
      <c r="E264" s="66">
        <v>46142</v>
      </c>
      <c r="F264" s="67">
        <v>12000</v>
      </c>
      <c r="G264" s="60" t="s">
        <v>715</v>
      </c>
      <c r="H264" s="60" t="s">
        <v>568</v>
      </c>
      <c r="I264" s="61"/>
      <c r="J264" s="61" t="s">
        <v>718</v>
      </c>
      <c r="K264" s="61"/>
      <c r="L264" s="73">
        <f t="shared" si="21"/>
        <v>46113</v>
      </c>
      <c r="M264" s="65" t="str">
        <f t="shared" ca="1" si="22"/>
        <v>UYGUN</v>
      </c>
      <c r="N264" s="74" t="str">
        <f>IF($C264="","",IF($C264="TANIMSIZ MÜŞTERİ","—",INDEX(MUSTERILER!$C$7:$C$156,MATCH($C264,MUSTERILER!$B$7:$B$156,0))))</f>
        <v>ALTINEL LTD.ŞTİ.</v>
      </c>
      <c r="O264" s="2"/>
      <c r="P264" s="2"/>
      <c r="Q264" s="1" t="str">
        <f>IF($D264="","",$C264&amp;"|"&amp;COUNTIFS($C$7:$C264,$C264))</f>
        <v>M023|4</v>
      </c>
      <c r="R264" s="1" t="str">
        <f t="shared" si="23"/>
        <v>ALTINELLTDSTI</v>
      </c>
      <c r="S264" s="1" t="str">
        <f t="shared" si="24"/>
        <v>M023|46142|12000|</v>
      </c>
      <c r="T264" s="1">
        <f>IF($E264="",0,SUMPRODUCT((AY_SONU!$O$7:$O$42="Evet")*(AY_SONU!$B$7:$B$42=DATE(YEAR($E264),MONTH($E264),1))))</f>
        <v>0</v>
      </c>
    </row>
    <row r="265" spans="1:20" ht="18" customHeight="1" x14ac:dyDescent="0.3">
      <c r="A265" s="2"/>
      <c r="B265" s="65" t="str">
        <f t="shared" si="20"/>
        <v>T00259</v>
      </c>
      <c r="C265" s="65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M009</v>
      </c>
      <c r="D265" s="61" t="s">
        <v>647</v>
      </c>
      <c r="E265" s="66">
        <v>46143</v>
      </c>
      <c r="F265" s="67">
        <v>31000</v>
      </c>
      <c r="G265" s="60" t="s">
        <v>713</v>
      </c>
      <c r="H265" s="60" t="s">
        <v>568</v>
      </c>
      <c r="I265" s="61"/>
      <c r="J265" s="61" t="s">
        <v>717</v>
      </c>
      <c r="K265" s="61"/>
      <c r="L265" s="73">
        <f t="shared" si="21"/>
        <v>46143</v>
      </c>
      <c r="M265" s="65" t="str">
        <f t="shared" ca="1" si="22"/>
        <v>UYGUN</v>
      </c>
      <c r="N265" s="74" t="str">
        <f>IF($C265="","",IF($C265="TANIMSIZ MÜŞTERİ","—",INDEX(MUSTERILER!$C$7:$C$156,MATCH($C265,MUSTERILER!$B$7:$B$156,0))))</f>
        <v>PAKYILDIZ LTD.ŞTİ.</v>
      </c>
      <c r="O265" s="2"/>
      <c r="P265" s="2"/>
      <c r="Q265" s="1" t="str">
        <f>IF($D265="","",$C265&amp;"|"&amp;COUNTIFS($C$7:$C265,$C265))</f>
        <v>M009|12</v>
      </c>
      <c r="R265" s="1" t="str">
        <f t="shared" si="23"/>
        <v>PAKYILDIZLTDSTI</v>
      </c>
      <c r="S265" s="1" t="str">
        <f t="shared" si="24"/>
        <v>M009|46143|31000|</v>
      </c>
      <c r="T265" s="1">
        <f>IF($E265="",0,SUMPRODUCT((AY_SONU!$O$7:$O$42="Evet")*(AY_SONU!$B$7:$B$42=DATE(YEAR($E265),MONTH($E265),1))))</f>
        <v>0</v>
      </c>
    </row>
    <row r="266" spans="1:20" ht="18" customHeight="1" x14ac:dyDescent="0.3">
      <c r="A266" s="2"/>
      <c r="B266" s="65" t="str">
        <f t="shared" si="20"/>
        <v>T00260</v>
      </c>
      <c r="C266" s="65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M001</v>
      </c>
      <c r="D266" s="61" t="s">
        <v>722</v>
      </c>
      <c r="E266" s="66">
        <v>46144</v>
      </c>
      <c r="F266" s="67">
        <v>14000</v>
      </c>
      <c r="G266" s="60" t="s">
        <v>713</v>
      </c>
      <c r="H266" s="60" t="s">
        <v>568</v>
      </c>
      <c r="I266" s="61"/>
      <c r="J266" s="61" t="s">
        <v>717</v>
      </c>
      <c r="K266" s="61"/>
      <c r="L266" s="73">
        <f t="shared" si="21"/>
        <v>46143</v>
      </c>
      <c r="M266" s="65" t="str">
        <f t="shared" ca="1" si="22"/>
        <v>UYGUN</v>
      </c>
      <c r="N266" s="74" t="str">
        <f>IF($C266="","",IF($C266="TANIMSIZ MÜŞTERİ","—",INDEX(MUSTERILER!$C$7:$C$156,MATCH($C266,MUSTERILER!$B$7:$B$156,0))))</f>
        <v>ANKARA HAVANA LTD.ŞTİ.</v>
      </c>
      <c r="O266" s="2"/>
      <c r="P266" s="2"/>
      <c r="Q266" s="1" t="str">
        <f>IF($D266="","",$C266&amp;"|"&amp;COUNTIFS($C$7:$C266,$C266))</f>
        <v>M001|7</v>
      </c>
      <c r="R266" s="1" t="str">
        <f t="shared" si="23"/>
        <v>ANKARAHAVANALTDSTI</v>
      </c>
      <c r="S266" s="1" t="str">
        <f t="shared" si="24"/>
        <v>M001|46144|14000|</v>
      </c>
      <c r="T266" s="1">
        <f>IF($E266="",0,SUMPRODUCT((AY_SONU!$O$7:$O$42="Evet")*(AY_SONU!$B$7:$B$42=DATE(YEAR($E266),MONTH($E266),1))))</f>
        <v>0</v>
      </c>
    </row>
    <row r="267" spans="1:20" ht="18" customHeight="1" x14ac:dyDescent="0.3">
      <c r="A267" s="2"/>
      <c r="B267" s="65" t="str">
        <f t="shared" si="20"/>
        <v>T00261</v>
      </c>
      <c r="C267" s="65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M025</v>
      </c>
      <c r="D267" s="61" t="s">
        <v>579</v>
      </c>
      <c r="E267" s="66">
        <v>46144</v>
      </c>
      <c r="F267" s="67">
        <v>2000</v>
      </c>
      <c r="G267" s="60" t="s">
        <v>713</v>
      </c>
      <c r="H267" s="60" t="s">
        <v>568</v>
      </c>
      <c r="I267" s="61"/>
      <c r="J267" s="61" t="s">
        <v>717</v>
      </c>
      <c r="K267" s="61"/>
      <c r="L267" s="73">
        <f t="shared" si="21"/>
        <v>46143</v>
      </c>
      <c r="M267" s="65" t="str">
        <f t="shared" ca="1" si="22"/>
        <v>UYGUN</v>
      </c>
      <c r="N267" s="74" t="str">
        <f>IF($C267="","",IF($C267="TANIMSIZ MÜŞTERİ","—",INDEX(MUSTERILER!$C$7:$C$156,MATCH($C267,MUSTERILER!$B$7:$B$156,0))))</f>
        <v>ASIM AÇIKGÖZ</v>
      </c>
      <c r="O267" s="2"/>
      <c r="P267" s="2"/>
      <c r="Q267" s="1" t="str">
        <f>IF($D267="","",$C267&amp;"|"&amp;COUNTIFS($C$7:$C267,$C267))</f>
        <v>M025|12</v>
      </c>
      <c r="R267" s="1" t="str">
        <f t="shared" si="23"/>
        <v>ASIMACIKGOZ</v>
      </c>
      <c r="S267" s="1" t="str">
        <f t="shared" si="24"/>
        <v>M025|46144|2000|</v>
      </c>
      <c r="T267" s="1">
        <f>IF($E267="",0,SUMPRODUCT((AY_SONU!$O$7:$O$42="Evet")*(AY_SONU!$B$7:$B$42=DATE(YEAR($E267),MONTH($E267),1))))</f>
        <v>0</v>
      </c>
    </row>
    <row r="268" spans="1:20" ht="18" customHeight="1" x14ac:dyDescent="0.3">
      <c r="A268" s="2"/>
      <c r="B268" s="65" t="str">
        <f t="shared" si="20"/>
        <v>T00262</v>
      </c>
      <c r="C268" s="65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M017</v>
      </c>
      <c r="D268" s="61" t="s">
        <v>581</v>
      </c>
      <c r="E268" s="66">
        <v>46144</v>
      </c>
      <c r="F268" s="67">
        <v>2500</v>
      </c>
      <c r="G268" s="60" t="s">
        <v>713</v>
      </c>
      <c r="H268" s="60" t="s">
        <v>568</v>
      </c>
      <c r="I268" s="61"/>
      <c r="J268" s="61" t="s">
        <v>717</v>
      </c>
      <c r="K268" s="61"/>
      <c r="L268" s="73">
        <f t="shared" si="21"/>
        <v>46143</v>
      </c>
      <c r="M268" s="65" t="str">
        <f t="shared" ca="1" si="22"/>
        <v>UYGUN</v>
      </c>
      <c r="N268" s="74" t="str">
        <f>IF($C268="","",IF($C268="TANIMSIZ MÜŞTERİ","—",INDEX(MUSTERILER!$C$7:$C$156,MATCH($C268,MUSTERILER!$B$7:$B$156,0))))</f>
        <v>ASM EĞLENCE LTD.ŞTİ.</v>
      </c>
      <c r="O268" s="2"/>
      <c r="P268" s="2"/>
      <c r="Q268" s="1" t="str">
        <f>IF($D268="","",$C268&amp;"|"&amp;COUNTIFS($C$7:$C268,$C268))</f>
        <v>M017|14</v>
      </c>
      <c r="R268" s="1" t="str">
        <f t="shared" si="23"/>
        <v>ASMEGLENCELTDSTI</v>
      </c>
      <c r="S268" s="1" t="str">
        <f t="shared" si="24"/>
        <v>M017|46144|2500|</v>
      </c>
      <c r="T268" s="1">
        <f>IF($E268="",0,SUMPRODUCT((AY_SONU!$O$7:$O$42="Evet")*(AY_SONU!$B$7:$B$42=DATE(YEAR($E268),MONTH($E268),1))))</f>
        <v>0</v>
      </c>
    </row>
    <row r="269" spans="1:20" ht="18" customHeight="1" x14ac:dyDescent="0.3">
      <c r="A269" s="2"/>
      <c r="B269" s="65" t="str">
        <f t="shared" si="20"/>
        <v>T00263</v>
      </c>
      <c r="C269" s="65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M015</v>
      </c>
      <c r="D269" s="61" t="s">
        <v>723</v>
      </c>
      <c r="E269" s="66">
        <v>46144</v>
      </c>
      <c r="F269" s="67">
        <v>3000</v>
      </c>
      <c r="G269" s="60" t="s">
        <v>713</v>
      </c>
      <c r="H269" s="60" t="s">
        <v>568</v>
      </c>
      <c r="I269" s="61"/>
      <c r="J269" s="61" t="s">
        <v>717</v>
      </c>
      <c r="K269" s="61"/>
      <c r="L269" s="73">
        <f t="shared" si="21"/>
        <v>46143</v>
      </c>
      <c r="M269" s="65" t="str">
        <f t="shared" ca="1" si="22"/>
        <v>UYGUN</v>
      </c>
      <c r="N269" s="74" t="str">
        <f>IF($C269="","",IF($C269="TANIMSIZ MÜŞTERİ","—",INDEX(MUSTERILER!$C$7:$C$156,MATCH($C269,MUSTERILER!$B$7:$B$156,0))))</f>
        <v>ÇAYIRALAN LTD.ŞTİ.</v>
      </c>
      <c r="O269" s="2"/>
      <c r="P269" s="2"/>
      <c r="Q269" s="1" t="str">
        <f>IF($D269="","",$C269&amp;"|"&amp;COUNTIFS($C$7:$C269,$C269))</f>
        <v>M015|14</v>
      </c>
      <c r="R269" s="1" t="str">
        <f t="shared" si="23"/>
        <v>CAYIRALANLTDSTI</v>
      </c>
      <c r="S269" s="1" t="str">
        <f t="shared" si="24"/>
        <v>M015|46144|3000|</v>
      </c>
      <c r="T269" s="1">
        <f>IF($E269="",0,SUMPRODUCT((AY_SONU!$O$7:$O$42="Evet")*(AY_SONU!$B$7:$B$42=DATE(YEAR($E269),MONTH($E269),1))))</f>
        <v>0</v>
      </c>
    </row>
    <row r="270" spans="1:20" ht="18" customHeight="1" x14ac:dyDescent="0.3">
      <c r="A270" s="2"/>
      <c r="B270" s="65" t="str">
        <f t="shared" si="20"/>
        <v>T00264</v>
      </c>
      <c r="C270" s="65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M011</v>
      </c>
      <c r="D270" s="61" t="s">
        <v>724</v>
      </c>
      <c r="E270" s="66">
        <v>46144</v>
      </c>
      <c r="F270" s="67">
        <v>4000</v>
      </c>
      <c r="G270" s="60" t="s">
        <v>713</v>
      </c>
      <c r="H270" s="60" t="s">
        <v>568</v>
      </c>
      <c r="I270" s="61"/>
      <c r="J270" s="61" t="s">
        <v>717</v>
      </c>
      <c r="K270" s="61"/>
      <c r="L270" s="73">
        <f t="shared" si="21"/>
        <v>46143</v>
      </c>
      <c r="M270" s="65" t="str">
        <f t="shared" ca="1" si="22"/>
        <v>UYGUN</v>
      </c>
      <c r="N270" s="74" t="str">
        <f>IF($C270="","",IF($C270="TANIMSIZ MÜŞTERİ","—",INDEX(MUSTERILER!$C$7:$C$156,MATCH($C270,MUSTERILER!$B$7:$B$156,0))))</f>
        <v>EĞLENGÖR LTD.ŞTİ.</v>
      </c>
      <c r="O270" s="2"/>
      <c r="P270" s="2"/>
      <c r="Q270" s="1" t="str">
        <f>IF($D270="","",$C270&amp;"|"&amp;COUNTIFS($C$7:$C270,$C270))</f>
        <v>M011|16</v>
      </c>
      <c r="R270" s="1" t="str">
        <f t="shared" si="23"/>
        <v>EGLENGORLTDSTI</v>
      </c>
      <c r="S270" s="1" t="str">
        <f t="shared" si="24"/>
        <v>M011|46144|4000|</v>
      </c>
      <c r="T270" s="1">
        <f>IF($E270="",0,SUMPRODUCT((AY_SONU!$O$7:$O$42="Evet")*(AY_SONU!$B$7:$B$42=DATE(YEAR($E270),MONTH($E270),1))))</f>
        <v>0</v>
      </c>
    </row>
    <row r="271" spans="1:20" ht="18" customHeight="1" x14ac:dyDescent="0.3">
      <c r="A271" s="2"/>
      <c r="B271" s="65" t="str">
        <f t="shared" si="20"/>
        <v>T00265</v>
      </c>
      <c r="C271" s="65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M034</v>
      </c>
      <c r="D271" s="61" t="s">
        <v>726</v>
      </c>
      <c r="E271" s="66">
        <v>46144</v>
      </c>
      <c r="F271" s="67">
        <v>4000</v>
      </c>
      <c r="G271" s="60" t="s">
        <v>713</v>
      </c>
      <c r="H271" s="60" t="s">
        <v>568</v>
      </c>
      <c r="I271" s="61"/>
      <c r="J271" s="61" t="s">
        <v>717</v>
      </c>
      <c r="K271" s="61"/>
      <c r="L271" s="73">
        <f t="shared" si="21"/>
        <v>46143</v>
      </c>
      <c r="M271" s="65" t="str">
        <f t="shared" ca="1" si="22"/>
        <v>UYGUN</v>
      </c>
      <c r="N271" s="74" t="str">
        <f>IF($C271="","",IF($C271="TANIMSIZ MÜŞTERİ","—",INDEX(MUSTERILER!$C$7:$C$156,MATCH($C271,MUSTERILER!$B$7:$B$156,0))))</f>
        <v>İBRAHİM MALDAN</v>
      </c>
      <c r="O271" s="2"/>
      <c r="P271" s="2"/>
      <c r="Q271" s="1" t="str">
        <f>IF($D271="","",$C271&amp;"|"&amp;COUNTIFS($C$7:$C271,$C271))</f>
        <v>M034|13</v>
      </c>
      <c r="R271" s="1" t="str">
        <f t="shared" si="23"/>
        <v>IBRAHIMMALDAN</v>
      </c>
      <c r="S271" s="1" t="str">
        <f t="shared" si="24"/>
        <v>M034|46144|4000|</v>
      </c>
      <c r="T271" s="1">
        <f>IF($E271="",0,SUMPRODUCT((AY_SONU!$O$7:$O$42="Evet")*(AY_SONU!$B$7:$B$42=DATE(YEAR($E271),MONTH($E271),1))))</f>
        <v>0</v>
      </c>
    </row>
    <row r="272" spans="1:20" ht="18" customHeight="1" x14ac:dyDescent="0.3">
      <c r="A272" s="2"/>
      <c r="B272" s="65" t="str">
        <f t="shared" si="20"/>
        <v>T00266</v>
      </c>
      <c r="C272" s="65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M012</v>
      </c>
      <c r="D272" s="61" t="s">
        <v>727</v>
      </c>
      <c r="E272" s="66">
        <v>46144</v>
      </c>
      <c r="F272" s="67">
        <v>4000</v>
      </c>
      <c r="G272" s="60" t="s">
        <v>713</v>
      </c>
      <c r="H272" s="60" t="s">
        <v>568</v>
      </c>
      <c r="I272" s="61"/>
      <c r="J272" s="61" t="s">
        <v>717</v>
      </c>
      <c r="K272" s="61"/>
      <c r="L272" s="73">
        <f t="shared" si="21"/>
        <v>46143</v>
      </c>
      <c r="M272" s="65" t="str">
        <f t="shared" ca="1" si="22"/>
        <v>UYGUN</v>
      </c>
      <c r="N272" s="74" t="str">
        <f>IF($C272="","",IF($C272="TANIMSIZ MÜŞTERİ","—",INDEX(MUSTERILER!$C$7:$C$156,MATCH($C272,MUSTERILER!$B$7:$B$156,0))))</f>
        <v>İLDEŞ LTD.ŞTİ.</v>
      </c>
      <c r="O272" s="2"/>
      <c r="P272" s="2"/>
      <c r="Q272" s="1" t="str">
        <f>IF($D272="","",$C272&amp;"|"&amp;COUNTIFS($C$7:$C272,$C272))</f>
        <v>M012|16</v>
      </c>
      <c r="R272" s="1" t="str">
        <f t="shared" si="23"/>
        <v>ILDESLTDSTI</v>
      </c>
      <c r="S272" s="1" t="str">
        <f t="shared" si="24"/>
        <v>M012|46144|4000|</v>
      </c>
      <c r="T272" s="1">
        <f>IF($E272="",0,SUMPRODUCT((AY_SONU!$O$7:$O$42="Evet")*(AY_SONU!$B$7:$B$42=DATE(YEAR($E272),MONTH($E272),1))))</f>
        <v>0</v>
      </c>
    </row>
    <row r="273" spans="1:20" ht="18" customHeight="1" x14ac:dyDescent="0.3">
      <c r="A273" s="2"/>
      <c r="B273" s="65" t="str">
        <f t="shared" si="20"/>
        <v>T00267</v>
      </c>
      <c r="C273" s="65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M009</v>
      </c>
      <c r="D273" s="61" t="s">
        <v>730</v>
      </c>
      <c r="E273" s="66">
        <v>46144</v>
      </c>
      <c r="F273" s="67">
        <v>4000</v>
      </c>
      <c r="G273" s="60" t="s">
        <v>713</v>
      </c>
      <c r="H273" s="60" t="s">
        <v>568</v>
      </c>
      <c r="I273" s="61"/>
      <c r="J273" s="61" t="s">
        <v>717</v>
      </c>
      <c r="K273" s="61"/>
      <c r="L273" s="73">
        <f t="shared" si="21"/>
        <v>46143</v>
      </c>
      <c r="M273" s="65" t="str">
        <f t="shared" ca="1" si="22"/>
        <v>UYGUN</v>
      </c>
      <c r="N273" s="74" t="str">
        <f>IF($C273="","",IF($C273="TANIMSIZ MÜŞTERİ","—",INDEX(MUSTERILER!$C$7:$C$156,MATCH($C273,MUSTERILER!$B$7:$B$156,0))))</f>
        <v>PAKYILDIZ LTD.ŞTİ.</v>
      </c>
      <c r="O273" s="2"/>
      <c r="P273" s="2"/>
      <c r="Q273" s="1" t="str">
        <f>IF($D273="","",$C273&amp;"|"&amp;COUNTIFS($C$7:$C273,$C273))</f>
        <v>M009|13</v>
      </c>
      <c r="R273" s="1" t="str">
        <f t="shared" si="23"/>
        <v>PAKYILDIZLTDSTI</v>
      </c>
      <c r="S273" s="1" t="str">
        <f t="shared" si="24"/>
        <v>M009|46144|4000|</v>
      </c>
      <c r="T273" s="1">
        <f>IF($E273="",0,SUMPRODUCT((AY_SONU!$O$7:$O$42="Evet")*(AY_SONU!$B$7:$B$42=DATE(YEAR($E273),MONTH($E273),1))))</f>
        <v>0</v>
      </c>
    </row>
    <row r="274" spans="1:20" ht="18" customHeight="1" x14ac:dyDescent="0.3">
      <c r="A274" s="2"/>
      <c r="B274" s="65" t="str">
        <f t="shared" si="20"/>
        <v>T00268</v>
      </c>
      <c r="C274" s="65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M016</v>
      </c>
      <c r="D274" s="61" t="s">
        <v>731</v>
      </c>
      <c r="E274" s="66">
        <v>46144</v>
      </c>
      <c r="F274" s="67">
        <v>3000</v>
      </c>
      <c r="G274" s="60" t="s">
        <v>713</v>
      </c>
      <c r="H274" s="60" t="s">
        <v>568</v>
      </c>
      <c r="I274" s="61"/>
      <c r="J274" s="61" t="s">
        <v>717</v>
      </c>
      <c r="K274" s="61"/>
      <c r="L274" s="73">
        <f t="shared" si="21"/>
        <v>46143</v>
      </c>
      <c r="M274" s="65" t="str">
        <f t="shared" ca="1" si="22"/>
        <v>UYGUN</v>
      </c>
      <c r="N274" s="74" t="str">
        <f>IF($C274="","",IF($C274="TANIMSIZ MÜŞTERİ","—",INDEX(MUSTERILER!$C$7:$C$156,MATCH($C274,MUSTERILER!$B$7:$B$156,0))))</f>
        <v>RİX ŞOW LTD.ŞTİ.</v>
      </c>
      <c r="O274" s="2"/>
      <c r="P274" s="2"/>
      <c r="Q274" s="1" t="str">
        <f>IF($D274="","",$C274&amp;"|"&amp;COUNTIFS($C$7:$C274,$C274))</f>
        <v>M016|17</v>
      </c>
      <c r="R274" s="1" t="str">
        <f t="shared" si="23"/>
        <v>RIXSOWLTDSTI</v>
      </c>
      <c r="S274" s="1" t="str">
        <f t="shared" si="24"/>
        <v>M016|46144|3000|</v>
      </c>
      <c r="T274" s="1">
        <f>IF($E274="",0,SUMPRODUCT((AY_SONU!$O$7:$O$42="Evet")*(AY_SONU!$B$7:$B$42=DATE(YEAR($E274),MONTH($E274),1))))</f>
        <v>0</v>
      </c>
    </row>
    <row r="275" spans="1:20" ht="18" customHeight="1" x14ac:dyDescent="0.3">
      <c r="A275" s="2"/>
      <c r="B275" s="65" t="str">
        <f t="shared" si="20"/>
        <v>T00269</v>
      </c>
      <c r="C275" s="65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M005</v>
      </c>
      <c r="D275" s="61" t="s">
        <v>732</v>
      </c>
      <c r="E275" s="66">
        <v>46144</v>
      </c>
      <c r="F275" s="67">
        <v>1750</v>
      </c>
      <c r="G275" s="60" t="s">
        <v>713</v>
      </c>
      <c r="H275" s="60" t="s">
        <v>568</v>
      </c>
      <c r="I275" s="61"/>
      <c r="J275" s="61" t="s">
        <v>717</v>
      </c>
      <c r="K275" s="61"/>
      <c r="L275" s="73">
        <f t="shared" si="21"/>
        <v>46143</v>
      </c>
      <c r="M275" s="65" t="str">
        <f t="shared" ca="1" si="22"/>
        <v>UYGUN</v>
      </c>
      <c r="N275" s="74" t="str">
        <f>IF($C275="","",IF($C275="TANIMSIZ MÜŞTERİ","—",INDEX(MUSTERILER!$C$7:$C$156,MATCH($C275,MUSTERILER!$B$7:$B$156,0))))</f>
        <v>ZÜMRÜT GRUP LTD.ŞTİ.</v>
      </c>
      <c r="O275" s="2"/>
      <c r="P275" s="2"/>
      <c r="Q275" s="1" t="str">
        <f>IF($D275="","",$C275&amp;"|"&amp;COUNTIFS($C$7:$C275,$C275))</f>
        <v>M005|13</v>
      </c>
      <c r="R275" s="1" t="str">
        <f t="shared" si="23"/>
        <v>ZUMRUTGRUPLTDSTI</v>
      </c>
      <c r="S275" s="1" t="str">
        <f t="shared" si="24"/>
        <v>M005|46144|1750|</v>
      </c>
      <c r="T275" s="1">
        <f>IF($E275="",0,SUMPRODUCT((AY_SONU!$O$7:$O$42="Evet")*(AY_SONU!$B$7:$B$42=DATE(YEAR($E275),MONTH($E275),1))))</f>
        <v>0</v>
      </c>
    </row>
    <row r="276" spans="1:20" ht="18" customHeight="1" x14ac:dyDescent="0.3">
      <c r="A276" s="2"/>
      <c r="B276" s="65" t="str">
        <f t="shared" si="20"/>
        <v>T00270</v>
      </c>
      <c r="C276" s="65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M018</v>
      </c>
      <c r="D276" s="61" t="s">
        <v>589</v>
      </c>
      <c r="E276" s="66">
        <v>46144</v>
      </c>
      <c r="F276" s="67">
        <v>2500</v>
      </c>
      <c r="G276" s="60" t="s">
        <v>713</v>
      </c>
      <c r="H276" s="60" t="s">
        <v>568</v>
      </c>
      <c r="I276" s="61"/>
      <c r="J276" s="61" t="s">
        <v>717</v>
      </c>
      <c r="K276" s="61"/>
      <c r="L276" s="73">
        <f t="shared" si="21"/>
        <v>46143</v>
      </c>
      <c r="M276" s="65" t="str">
        <f t="shared" ca="1" si="22"/>
        <v>UYGUN</v>
      </c>
      <c r="N276" s="74" t="str">
        <f>IF($C276="","",IF($C276="TANIMSIZ MÜŞTERİ","—",INDEX(MUSTERILER!$C$7:$C$156,MATCH($C276,MUSTERILER!$B$7:$B$156,0))))</f>
        <v>ÇINARHAN LTD.ŞTİ.</v>
      </c>
      <c r="O276" s="2"/>
      <c r="P276" s="2"/>
      <c r="Q276" s="1" t="str">
        <f>IF($D276="","",$C276&amp;"|"&amp;COUNTIFS($C$7:$C276,$C276))</f>
        <v>M018|10</v>
      </c>
      <c r="R276" s="1" t="str">
        <f t="shared" si="23"/>
        <v>CINARHANLTDSTI</v>
      </c>
      <c r="S276" s="1" t="str">
        <f t="shared" si="24"/>
        <v>M018|46144|2500|</v>
      </c>
      <c r="T276" s="1">
        <f>IF($E276="",0,SUMPRODUCT((AY_SONU!$O$7:$O$42="Evet")*(AY_SONU!$B$7:$B$42=DATE(YEAR($E276),MONTH($E276),1))))</f>
        <v>0</v>
      </c>
    </row>
    <row r="277" spans="1:20" ht="18" customHeight="1" x14ac:dyDescent="0.3">
      <c r="A277" s="2"/>
      <c r="B277" s="65" t="str">
        <f t="shared" si="20"/>
        <v>T00271</v>
      </c>
      <c r="C277" s="65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M035</v>
      </c>
      <c r="D277" s="61" t="s">
        <v>611</v>
      </c>
      <c r="E277" s="66">
        <v>46144</v>
      </c>
      <c r="F277" s="67">
        <v>3500</v>
      </c>
      <c r="G277" s="60" t="s">
        <v>713</v>
      </c>
      <c r="H277" s="60" t="s">
        <v>568</v>
      </c>
      <c r="I277" s="61"/>
      <c r="J277" s="61" t="s">
        <v>717</v>
      </c>
      <c r="K277" s="61"/>
      <c r="L277" s="73">
        <f t="shared" si="21"/>
        <v>46143</v>
      </c>
      <c r="M277" s="65" t="str">
        <f t="shared" ca="1" si="22"/>
        <v>UYGUN</v>
      </c>
      <c r="N277" s="74" t="str">
        <f>IF($C277="","",IF($C277="TANIMSIZ MÜŞTERİ","—",INDEX(MUSTERILER!$C$7:$C$156,MATCH($C277,MUSTERILER!$B$7:$B$156,0))))</f>
        <v>İSA DEMİRCİ</v>
      </c>
      <c r="O277" s="2"/>
      <c r="P277" s="2"/>
      <c r="Q277" s="1" t="str">
        <f>IF($D277="","",$C277&amp;"|"&amp;COUNTIFS($C$7:$C277,$C277))</f>
        <v>M035|4</v>
      </c>
      <c r="R277" s="1" t="str">
        <f t="shared" si="23"/>
        <v>ISADEMIRCI</v>
      </c>
      <c r="S277" s="1" t="str">
        <f t="shared" si="24"/>
        <v>M035|46144|3500|</v>
      </c>
      <c r="T277" s="1">
        <f>IF($E277="",0,SUMPRODUCT((AY_SONU!$O$7:$O$42="Evet")*(AY_SONU!$B$7:$B$42=DATE(YEAR($E277),MONTH($E277),1))))</f>
        <v>0</v>
      </c>
    </row>
    <row r="278" spans="1:20" ht="18" customHeight="1" x14ac:dyDescent="0.3">
      <c r="A278" s="2"/>
      <c r="B278" s="65" t="str">
        <f t="shared" si="20"/>
        <v>T00272</v>
      </c>
      <c r="C278" s="65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M020</v>
      </c>
      <c r="D278" s="61" t="s">
        <v>619</v>
      </c>
      <c r="E278" s="66">
        <v>46144</v>
      </c>
      <c r="F278" s="67">
        <v>3000</v>
      </c>
      <c r="G278" s="60" t="s">
        <v>713</v>
      </c>
      <c r="H278" s="60" t="s">
        <v>568</v>
      </c>
      <c r="I278" s="61"/>
      <c r="J278" s="61" t="s">
        <v>717</v>
      </c>
      <c r="K278" s="61"/>
      <c r="L278" s="73">
        <f t="shared" si="21"/>
        <v>46143</v>
      </c>
      <c r="M278" s="65" t="str">
        <f t="shared" ca="1" si="22"/>
        <v>UYGUN</v>
      </c>
      <c r="N278" s="74" t="str">
        <f>IF($C278="","",IF($C278="TANIMSIZ MÜŞTERİ","—",INDEX(MUSTERILER!$C$7:$C$156,MATCH($C278,MUSTERILER!$B$7:$B$156,0))))</f>
        <v>KRİSTAL LTD.ŞTİ.</v>
      </c>
      <c r="O278" s="2"/>
      <c r="P278" s="2"/>
      <c r="Q278" s="1" t="str">
        <f>IF($D278="","",$C278&amp;"|"&amp;COUNTIFS($C$7:$C278,$C278))</f>
        <v>M020|17</v>
      </c>
      <c r="R278" s="1" t="str">
        <f t="shared" si="23"/>
        <v>KRISTALLTDSTI</v>
      </c>
      <c r="S278" s="1" t="str">
        <f t="shared" si="24"/>
        <v>M020|46144|3000|</v>
      </c>
      <c r="T278" s="1">
        <f>IF($E278="",0,SUMPRODUCT((AY_SONU!$O$7:$O$42="Evet")*(AY_SONU!$B$7:$B$42=DATE(YEAR($E278),MONTH($E278),1))))</f>
        <v>0</v>
      </c>
    </row>
    <row r="279" spans="1:20" ht="18" customHeight="1" x14ac:dyDescent="0.3">
      <c r="A279" s="2"/>
      <c r="B279" s="65" t="str">
        <f t="shared" si="20"/>
        <v>T00273</v>
      </c>
      <c r="C279" s="65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M047</v>
      </c>
      <c r="D279" s="61" t="s">
        <v>649</v>
      </c>
      <c r="E279" s="66">
        <v>46144</v>
      </c>
      <c r="F279" s="67">
        <v>4000</v>
      </c>
      <c r="G279" s="60" t="s">
        <v>713</v>
      </c>
      <c r="H279" s="60" t="s">
        <v>568</v>
      </c>
      <c r="I279" s="61"/>
      <c r="J279" s="61" t="s">
        <v>717</v>
      </c>
      <c r="K279" s="61"/>
      <c r="L279" s="73">
        <f t="shared" si="21"/>
        <v>46143</v>
      </c>
      <c r="M279" s="65" t="str">
        <f t="shared" ca="1" si="22"/>
        <v>UYGUN</v>
      </c>
      <c r="N279" s="74" t="str">
        <f>IF($C279="","",IF($C279="TANIMSIZ MÜŞTERİ","—",INDEX(MUSTERILER!$C$7:$C$156,MATCH($C279,MUSTERILER!$B$7:$B$156,0))))</f>
        <v>PALAOĞULLARI LTD.ŞTİ.</v>
      </c>
      <c r="O279" s="2"/>
      <c r="P279" s="2"/>
      <c r="Q279" s="1" t="str">
        <f>IF($D279="","",$C279&amp;"|"&amp;COUNTIFS($C$7:$C279,$C279))</f>
        <v>M047|9</v>
      </c>
      <c r="R279" s="1" t="str">
        <f t="shared" si="23"/>
        <v>PALAOGULLARILTDSTI</v>
      </c>
      <c r="S279" s="1" t="str">
        <f t="shared" si="24"/>
        <v>M047|46144|4000|</v>
      </c>
      <c r="T279" s="1">
        <f>IF($E279="",0,SUMPRODUCT((AY_SONU!$O$7:$O$42="Evet")*(AY_SONU!$B$7:$B$42=DATE(YEAR($E279),MONTH($E279),1))))</f>
        <v>0</v>
      </c>
    </row>
    <row r="280" spans="1:20" ht="18" customHeight="1" x14ac:dyDescent="0.3">
      <c r="A280" s="2"/>
      <c r="B280" s="65" t="str">
        <f t="shared" si="20"/>
        <v>T00274</v>
      </c>
      <c r="C280" s="65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M054</v>
      </c>
      <c r="D280" s="61" t="s">
        <v>669</v>
      </c>
      <c r="E280" s="66">
        <v>46144</v>
      </c>
      <c r="F280" s="67">
        <v>4000</v>
      </c>
      <c r="G280" s="60" t="s">
        <v>713</v>
      </c>
      <c r="H280" s="60" t="s">
        <v>568</v>
      </c>
      <c r="I280" s="61"/>
      <c r="J280" s="61" t="s">
        <v>717</v>
      </c>
      <c r="K280" s="61"/>
      <c r="L280" s="73">
        <f t="shared" si="21"/>
        <v>46143</v>
      </c>
      <c r="M280" s="65" t="str">
        <f t="shared" ca="1" si="22"/>
        <v>UYGUN</v>
      </c>
      <c r="N280" s="74" t="str">
        <f>IF($C280="","",IF($C280="TANIMSIZ MÜŞTERİ","—",INDEX(MUSTERILER!$C$7:$C$156,MATCH($C280,MUSTERILER!$B$7:$B$156,0))))</f>
        <v>YALIKENT LTD.ŞTİ.</v>
      </c>
      <c r="O280" s="2"/>
      <c r="P280" s="2"/>
      <c r="Q280" s="1" t="str">
        <f>IF($D280="","",$C280&amp;"|"&amp;COUNTIFS($C$7:$C280,$C280))</f>
        <v>M054|6</v>
      </c>
      <c r="R280" s="1" t="str">
        <f t="shared" si="23"/>
        <v>YALIKENTLTDSTI</v>
      </c>
      <c r="S280" s="1" t="str">
        <f t="shared" si="24"/>
        <v>M054|46144|4000|</v>
      </c>
      <c r="T280" s="1">
        <f>IF($E280="",0,SUMPRODUCT((AY_SONU!$O$7:$O$42="Evet")*(AY_SONU!$B$7:$B$42=DATE(YEAR($E280),MONTH($E280),1))))</f>
        <v>0</v>
      </c>
    </row>
    <row r="281" spans="1:20" ht="18" customHeight="1" x14ac:dyDescent="0.3">
      <c r="A281" s="2"/>
      <c r="B281" s="65" t="str">
        <f t="shared" si="20"/>
        <v>T00275</v>
      </c>
      <c r="C281" s="65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M006</v>
      </c>
      <c r="D281" s="61" t="s">
        <v>667</v>
      </c>
      <c r="E281" s="66">
        <v>46146</v>
      </c>
      <c r="F281" s="67">
        <v>5000</v>
      </c>
      <c r="G281" s="60" t="s">
        <v>713</v>
      </c>
      <c r="H281" s="60" t="s">
        <v>568</v>
      </c>
      <c r="I281" s="61"/>
      <c r="J281" s="61" t="s">
        <v>736</v>
      </c>
      <c r="K281" s="61"/>
      <c r="L281" s="73">
        <f t="shared" si="21"/>
        <v>46143</v>
      </c>
      <c r="M281" s="65" t="str">
        <f t="shared" ca="1" si="22"/>
        <v>UYGUN</v>
      </c>
      <c r="N281" s="74" t="str">
        <f>IF($C281="","",IF($C281="TANIMSIZ MÜŞTERİ","—",INDEX(MUSTERILER!$C$7:$C$156,MATCH($C281,MUSTERILER!$B$7:$B$156,0))))</f>
        <v>VOLKAN AÇIK</v>
      </c>
      <c r="O281" s="2"/>
      <c r="P281" s="2"/>
      <c r="Q281" s="1" t="str">
        <f>IF($D281="","",$C281&amp;"|"&amp;COUNTIFS($C$7:$C281,$C281))</f>
        <v>M006|3</v>
      </c>
      <c r="R281" s="1" t="str">
        <f t="shared" si="23"/>
        <v>VOLKANACIK</v>
      </c>
      <c r="S281" s="1" t="str">
        <f t="shared" si="24"/>
        <v>M006|46146|5000|</v>
      </c>
      <c r="T281" s="1">
        <f>IF($E281="",0,SUMPRODUCT((AY_SONU!$O$7:$O$42="Evet")*(AY_SONU!$B$7:$B$42=DATE(YEAR($E281),MONTH($E281),1))))</f>
        <v>0</v>
      </c>
    </row>
    <row r="282" spans="1:20" ht="18" customHeight="1" x14ac:dyDescent="0.3">
      <c r="A282" s="2"/>
      <c r="B282" s="65" t="str">
        <f t="shared" si="20"/>
        <v>T00276</v>
      </c>
      <c r="C282" s="65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M001</v>
      </c>
      <c r="D282" s="61" t="s">
        <v>722</v>
      </c>
      <c r="E282" s="66">
        <v>46151</v>
      </c>
      <c r="F282" s="67">
        <v>14000</v>
      </c>
      <c r="G282" s="60" t="s">
        <v>713</v>
      </c>
      <c r="H282" s="60" t="s">
        <v>568</v>
      </c>
      <c r="I282" s="61"/>
      <c r="J282" s="61" t="s">
        <v>717</v>
      </c>
      <c r="K282" s="61"/>
      <c r="L282" s="73">
        <f t="shared" si="21"/>
        <v>46143</v>
      </c>
      <c r="M282" s="65" t="str">
        <f t="shared" ca="1" si="22"/>
        <v>UYGUN</v>
      </c>
      <c r="N282" s="74" t="str">
        <f>IF($C282="","",IF($C282="TANIMSIZ MÜŞTERİ","—",INDEX(MUSTERILER!$C$7:$C$156,MATCH($C282,MUSTERILER!$B$7:$B$156,0))))</f>
        <v>ANKARA HAVANA LTD.ŞTİ.</v>
      </c>
      <c r="O282" s="2"/>
      <c r="P282" s="2"/>
      <c r="Q282" s="1" t="str">
        <f>IF($D282="","",$C282&amp;"|"&amp;COUNTIFS($C$7:$C282,$C282))</f>
        <v>M001|8</v>
      </c>
      <c r="R282" s="1" t="str">
        <f t="shared" si="23"/>
        <v>ANKARAHAVANALTDSTI</v>
      </c>
      <c r="S282" s="1" t="str">
        <f t="shared" si="24"/>
        <v>M001|46151|14000|</v>
      </c>
      <c r="T282" s="1">
        <f>IF($E282="",0,SUMPRODUCT((AY_SONU!$O$7:$O$42="Evet")*(AY_SONU!$B$7:$B$42=DATE(YEAR($E282),MONTH($E282),1))))</f>
        <v>0</v>
      </c>
    </row>
    <row r="283" spans="1:20" ht="18" customHeight="1" x14ac:dyDescent="0.3">
      <c r="A283" s="2"/>
      <c r="B283" s="65" t="str">
        <f t="shared" si="20"/>
        <v>T00277</v>
      </c>
      <c r="C283" s="65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M025</v>
      </c>
      <c r="D283" s="61" t="s">
        <v>579</v>
      </c>
      <c r="E283" s="66">
        <v>46151</v>
      </c>
      <c r="F283" s="67">
        <v>2000</v>
      </c>
      <c r="G283" s="60" t="s">
        <v>713</v>
      </c>
      <c r="H283" s="60" t="s">
        <v>568</v>
      </c>
      <c r="I283" s="61"/>
      <c r="J283" s="61" t="s">
        <v>717</v>
      </c>
      <c r="K283" s="61"/>
      <c r="L283" s="73">
        <f t="shared" si="21"/>
        <v>46143</v>
      </c>
      <c r="M283" s="65" t="str">
        <f t="shared" ca="1" si="22"/>
        <v>UYGUN</v>
      </c>
      <c r="N283" s="74" t="str">
        <f>IF($C283="","",IF($C283="TANIMSIZ MÜŞTERİ","—",INDEX(MUSTERILER!$C$7:$C$156,MATCH($C283,MUSTERILER!$B$7:$B$156,0))))</f>
        <v>ASIM AÇIKGÖZ</v>
      </c>
      <c r="O283" s="2"/>
      <c r="P283" s="2"/>
      <c r="Q283" s="1" t="str">
        <f>IF($D283="","",$C283&amp;"|"&amp;COUNTIFS($C$7:$C283,$C283))</f>
        <v>M025|13</v>
      </c>
      <c r="R283" s="1" t="str">
        <f t="shared" si="23"/>
        <v>ASIMACIKGOZ</v>
      </c>
      <c r="S283" s="1" t="str">
        <f t="shared" si="24"/>
        <v>M025|46151|2000|</v>
      </c>
      <c r="T283" s="1">
        <f>IF($E283="",0,SUMPRODUCT((AY_SONU!$O$7:$O$42="Evet")*(AY_SONU!$B$7:$B$42=DATE(YEAR($E283),MONTH($E283),1))))</f>
        <v>0</v>
      </c>
    </row>
    <row r="284" spans="1:20" ht="18" customHeight="1" x14ac:dyDescent="0.3">
      <c r="A284" s="2"/>
      <c r="B284" s="65" t="str">
        <f t="shared" si="20"/>
        <v>T00278</v>
      </c>
      <c r="C284" s="65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M015</v>
      </c>
      <c r="D284" s="61" t="s">
        <v>723</v>
      </c>
      <c r="E284" s="66">
        <v>46151</v>
      </c>
      <c r="F284" s="67">
        <v>3000</v>
      </c>
      <c r="G284" s="60" t="s">
        <v>713</v>
      </c>
      <c r="H284" s="60" t="s">
        <v>568</v>
      </c>
      <c r="I284" s="61"/>
      <c r="J284" s="61" t="s">
        <v>717</v>
      </c>
      <c r="K284" s="61"/>
      <c r="L284" s="73">
        <f t="shared" si="21"/>
        <v>46143</v>
      </c>
      <c r="M284" s="65" t="str">
        <f t="shared" ca="1" si="22"/>
        <v>UYGUN</v>
      </c>
      <c r="N284" s="74" t="str">
        <f>IF($C284="","",IF($C284="TANIMSIZ MÜŞTERİ","—",INDEX(MUSTERILER!$C$7:$C$156,MATCH($C284,MUSTERILER!$B$7:$B$156,0))))</f>
        <v>ÇAYIRALAN LTD.ŞTİ.</v>
      </c>
      <c r="O284" s="2"/>
      <c r="P284" s="2"/>
      <c r="Q284" s="1" t="str">
        <f>IF($D284="","",$C284&amp;"|"&amp;COUNTIFS($C$7:$C284,$C284))</f>
        <v>M015|15</v>
      </c>
      <c r="R284" s="1" t="str">
        <f t="shared" si="23"/>
        <v>CAYIRALANLTDSTI</v>
      </c>
      <c r="S284" s="1" t="str">
        <f t="shared" si="24"/>
        <v>M015|46151|3000|</v>
      </c>
      <c r="T284" s="1">
        <f>IF($E284="",0,SUMPRODUCT((AY_SONU!$O$7:$O$42="Evet")*(AY_SONU!$B$7:$B$42=DATE(YEAR($E284),MONTH($E284),1))))</f>
        <v>0</v>
      </c>
    </row>
    <row r="285" spans="1:20" ht="18" customHeight="1" x14ac:dyDescent="0.3">
      <c r="A285" s="2"/>
      <c r="B285" s="65" t="str">
        <f t="shared" si="20"/>
        <v>T00279</v>
      </c>
      <c r="C285" s="65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M011</v>
      </c>
      <c r="D285" s="61" t="s">
        <v>724</v>
      </c>
      <c r="E285" s="66">
        <v>46151</v>
      </c>
      <c r="F285" s="67">
        <v>4000</v>
      </c>
      <c r="G285" s="60" t="s">
        <v>715</v>
      </c>
      <c r="H285" s="60" t="s">
        <v>568</v>
      </c>
      <c r="I285" s="61"/>
      <c r="J285" s="61" t="s">
        <v>716</v>
      </c>
      <c r="K285" s="61"/>
      <c r="L285" s="73">
        <f t="shared" si="21"/>
        <v>46143</v>
      </c>
      <c r="M285" s="65" t="str">
        <f t="shared" ca="1" si="22"/>
        <v>UYGUN</v>
      </c>
      <c r="N285" s="74" t="str">
        <f>IF($C285="","",IF($C285="TANIMSIZ MÜŞTERİ","—",INDEX(MUSTERILER!$C$7:$C$156,MATCH($C285,MUSTERILER!$B$7:$B$156,0))))</f>
        <v>EĞLENGÖR LTD.ŞTİ.</v>
      </c>
      <c r="O285" s="2"/>
      <c r="P285" s="2"/>
      <c r="Q285" s="1" t="str">
        <f>IF($D285="","",$C285&amp;"|"&amp;COUNTIFS($C$7:$C285,$C285))</f>
        <v>M011|17</v>
      </c>
      <c r="R285" s="1" t="str">
        <f t="shared" si="23"/>
        <v>EGLENGORLTDSTI</v>
      </c>
      <c r="S285" s="1" t="str">
        <f t="shared" si="24"/>
        <v>M011|46151|4000|</v>
      </c>
      <c r="T285" s="1">
        <f>IF($E285="",0,SUMPRODUCT((AY_SONU!$O$7:$O$42="Evet")*(AY_SONU!$B$7:$B$42=DATE(YEAR($E285),MONTH($E285),1))))</f>
        <v>0</v>
      </c>
    </row>
    <row r="286" spans="1:20" ht="18" customHeight="1" x14ac:dyDescent="0.3">
      <c r="A286" s="2"/>
      <c r="B286" s="65" t="str">
        <f t="shared" si="20"/>
        <v>T00280</v>
      </c>
      <c r="C286" s="65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M014</v>
      </c>
      <c r="D286" s="61" t="s">
        <v>725</v>
      </c>
      <c r="E286" s="66">
        <v>46151</v>
      </c>
      <c r="F286" s="67">
        <v>4000</v>
      </c>
      <c r="G286" s="60" t="s">
        <v>713</v>
      </c>
      <c r="H286" s="60" t="s">
        <v>568</v>
      </c>
      <c r="I286" s="61"/>
      <c r="J286" s="61" t="s">
        <v>717</v>
      </c>
      <c r="K286" s="61"/>
      <c r="L286" s="73">
        <f t="shared" si="21"/>
        <v>46143</v>
      </c>
      <c r="M286" s="65" t="str">
        <f t="shared" ca="1" si="22"/>
        <v>UYGUN</v>
      </c>
      <c r="N286" s="74" t="str">
        <f>IF($C286="","",IF($C286="TANIMSIZ MÜŞTERİ","—",INDEX(MUSTERILER!$C$7:$C$156,MATCH($C286,MUSTERILER!$B$7:$B$156,0))))</f>
        <v>FİNAL SİYAH BEYAZ LTD.ŞTİ.</v>
      </c>
      <c r="O286" s="2"/>
      <c r="P286" s="2"/>
      <c r="Q286" s="1" t="str">
        <f>IF($D286="","",$C286&amp;"|"&amp;COUNTIFS($C$7:$C286,$C286))</f>
        <v>M014|16</v>
      </c>
      <c r="R286" s="1" t="str">
        <f t="shared" si="23"/>
        <v>FINALSIYAHBEYAZLTDSTI</v>
      </c>
      <c r="S286" s="1" t="str">
        <f t="shared" si="24"/>
        <v>M014|46151|4000|</v>
      </c>
      <c r="T286" s="1">
        <f>IF($E286="",0,SUMPRODUCT((AY_SONU!$O$7:$O$42="Evet")*(AY_SONU!$B$7:$B$42=DATE(YEAR($E286),MONTH($E286),1))))</f>
        <v>0</v>
      </c>
    </row>
    <row r="287" spans="1:20" ht="18" customHeight="1" x14ac:dyDescent="0.3">
      <c r="A287" s="2"/>
      <c r="B287" s="65" t="str">
        <f t="shared" si="20"/>
        <v>T00281</v>
      </c>
      <c r="C287" s="65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M034</v>
      </c>
      <c r="D287" s="61" t="s">
        <v>726</v>
      </c>
      <c r="E287" s="66">
        <v>46151</v>
      </c>
      <c r="F287" s="67">
        <v>4000</v>
      </c>
      <c r="G287" s="60" t="s">
        <v>713</v>
      </c>
      <c r="H287" s="60" t="s">
        <v>568</v>
      </c>
      <c r="I287" s="61"/>
      <c r="J287" s="61" t="s">
        <v>717</v>
      </c>
      <c r="K287" s="61"/>
      <c r="L287" s="73">
        <f t="shared" si="21"/>
        <v>46143</v>
      </c>
      <c r="M287" s="65" t="str">
        <f t="shared" ca="1" si="22"/>
        <v>UYGUN</v>
      </c>
      <c r="N287" s="74" t="str">
        <f>IF($C287="","",IF($C287="TANIMSIZ MÜŞTERİ","—",INDEX(MUSTERILER!$C$7:$C$156,MATCH($C287,MUSTERILER!$B$7:$B$156,0))))</f>
        <v>İBRAHİM MALDAN</v>
      </c>
      <c r="O287" s="2"/>
      <c r="P287" s="2"/>
      <c r="Q287" s="1" t="str">
        <f>IF($D287="","",$C287&amp;"|"&amp;COUNTIFS($C$7:$C287,$C287))</f>
        <v>M034|14</v>
      </c>
      <c r="R287" s="1" t="str">
        <f t="shared" si="23"/>
        <v>IBRAHIMMALDAN</v>
      </c>
      <c r="S287" s="1" t="str">
        <f t="shared" si="24"/>
        <v>M034|46151|4000|</v>
      </c>
      <c r="T287" s="1">
        <f>IF($E287="",0,SUMPRODUCT((AY_SONU!$O$7:$O$42="Evet")*(AY_SONU!$B$7:$B$42=DATE(YEAR($E287),MONTH($E287),1))))</f>
        <v>0</v>
      </c>
    </row>
    <row r="288" spans="1:20" ht="18" customHeight="1" x14ac:dyDescent="0.3">
      <c r="A288" s="2"/>
      <c r="B288" s="65" t="str">
        <f t="shared" si="20"/>
        <v>T00282</v>
      </c>
      <c r="C288" s="65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M012</v>
      </c>
      <c r="D288" s="61" t="s">
        <v>727</v>
      </c>
      <c r="E288" s="66">
        <v>46151</v>
      </c>
      <c r="F288" s="67">
        <v>4000</v>
      </c>
      <c r="G288" s="60" t="s">
        <v>715</v>
      </c>
      <c r="H288" s="60" t="s">
        <v>568</v>
      </c>
      <c r="I288" s="61"/>
      <c r="J288" s="61" t="s">
        <v>716</v>
      </c>
      <c r="K288" s="61"/>
      <c r="L288" s="73">
        <f t="shared" si="21"/>
        <v>46143</v>
      </c>
      <c r="M288" s="65" t="str">
        <f t="shared" ca="1" si="22"/>
        <v>UYGUN</v>
      </c>
      <c r="N288" s="74" t="str">
        <f>IF($C288="","",IF($C288="TANIMSIZ MÜŞTERİ","—",INDEX(MUSTERILER!$C$7:$C$156,MATCH($C288,MUSTERILER!$B$7:$B$156,0))))</f>
        <v>İLDEŞ LTD.ŞTİ.</v>
      </c>
      <c r="O288" s="2"/>
      <c r="P288" s="2"/>
      <c r="Q288" s="1" t="str">
        <f>IF($D288="","",$C288&amp;"|"&amp;COUNTIFS($C$7:$C288,$C288))</f>
        <v>M012|17</v>
      </c>
      <c r="R288" s="1" t="str">
        <f t="shared" si="23"/>
        <v>ILDESLTDSTI</v>
      </c>
      <c r="S288" s="1" t="str">
        <f t="shared" si="24"/>
        <v>M012|46151|4000|</v>
      </c>
      <c r="T288" s="1">
        <f>IF($E288="",0,SUMPRODUCT((AY_SONU!$O$7:$O$42="Evet")*(AY_SONU!$B$7:$B$42=DATE(YEAR($E288),MONTH($E288),1))))</f>
        <v>0</v>
      </c>
    </row>
    <row r="289" spans="1:20" ht="18" customHeight="1" x14ac:dyDescent="0.3">
      <c r="A289" s="2"/>
      <c r="B289" s="65" t="str">
        <f t="shared" si="20"/>
        <v>T00283</v>
      </c>
      <c r="C289" s="65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M013</v>
      </c>
      <c r="D289" s="61" t="s">
        <v>729</v>
      </c>
      <c r="E289" s="66">
        <v>46151</v>
      </c>
      <c r="F289" s="67">
        <v>650</v>
      </c>
      <c r="G289" s="60" t="s">
        <v>713</v>
      </c>
      <c r="H289" s="60" t="s">
        <v>568</v>
      </c>
      <c r="I289" s="61"/>
      <c r="J289" s="61" t="s">
        <v>717</v>
      </c>
      <c r="K289" s="61"/>
      <c r="L289" s="73">
        <f t="shared" si="21"/>
        <v>46143</v>
      </c>
      <c r="M289" s="65" t="str">
        <f t="shared" ca="1" si="22"/>
        <v>UYGUN</v>
      </c>
      <c r="N289" s="74" t="str">
        <f>IF($C289="","",IF($C289="TANIMSIZ MÜŞTERİ","—",INDEX(MUSTERILER!$C$7:$C$156,MATCH($C289,MUSTERILER!$B$7:$B$156,0))))</f>
        <v>NAZ 1 GIDA LTD.ŞTİ.</v>
      </c>
      <c r="O289" s="2"/>
      <c r="P289" s="2"/>
      <c r="Q289" s="1" t="str">
        <f>IF($D289="","",$C289&amp;"|"&amp;COUNTIFS($C$7:$C289,$C289))</f>
        <v>M013|12</v>
      </c>
      <c r="R289" s="1" t="str">
        <f t="shared" si="23"/>
        <v>NAZ1GIDALTDSTI</v>
      </c>
      <c r="S289" s="1" t="str">
        <f t="shared" si="24"/>
        <v>M013|46151|650|</v>
      </c>
      <c r="T289" s="1">
        <f>IF($E289="",0,SUMPRODUCT((AY_SONU!$O$7:$O$42="Evet")*(AY_SONU!$B$7:$B$42=DATE(YEAR($E289),MONTH($E289),1))))</f>
        <v>0</v>
      </c>
    </row>
    <row r="290" spans="1:20" ht="18" customHeight="1" x14ac:dyDescent="0.3">
      <c r="A290" s="2"/>
      <c r="B290" s="65" t="str">
        <f t="shared" si="20"/>
        <v>T00284</v>
      </c>
      <c r="C290" s="65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M009</v>
      </c>
      <c r="D290" s="61" t="s">
        <v>730</v>
      </c>
      <c r="E290" s="66">
        <v>46151</v>
      </c>
      <c r="F290" s="67">
        <v>4000</v>
      </c>
      <c r="G290" s="60" t="s">
        <v>715</v>
      </c>
      <c r="H290" s="60" t="s">
        <v>568</v>
      </c>
      <c r="I290" s="61"/>
      <c r="J290" s="61" t="s">
        <v>716</v>
      </c>
      <c r="K290" s="61"/>
      <c r="L290" s="73">
        <f t="shared" si="21"/>
        <v>46143</v>
      </c>
      <c r="M290" s="65" t="str">
        <f t="shared" ca="1" si="22"/>
        <v>UYGUN</v>
      </c>
      <c r="N290" s="74" t="str">
        <f>IF($C290="","",IF($C290="TANIMSIZ MÜŞTERİ","—",INDEX(MUSTERILER!$C$7:$C$156,MATCH($C290,MUSTERILER!$B$7:$B$156,0))))</f>
        <v>PAKYILDIZ LTD.ŞTİ.</v>
      </c>
      <c r="O290" s="2"/>
      <c r="P290" s="2"/>
      <c r="Q290" s="1" t="str">
        <f>IF($D290="","",$C290&amp;"|"&amp;COUNTIFS($C$7:$C290,$C290))</f>
        <v>M009|14</v>
      </c>
      <c r="R290" s="1" t="str">
        <f t="shared" si="23"/>
        <v>PAKYILDIZLTDSTI</v>
      </c>
      <c r="S290" s="1" t="str">
        <f t="shared" si="24"/>
        <v>M009|46151|4000|</v>
      </c>
      <c r="T290" s="1">
        <f>IF($E290="",0,SUMPRODUCT((AY_SONU!$O$7:$O$42="Evet")*(AY_SONU!$B$7:$B$42=DATE(YEAR($E290),MONTH($E290),1))))</f>
        <v>0</v>
      </c>
    </row>
    <row r="291" spans="1:20" ht="18" customHeight="1" x14ac:dyDescent="0.3">
      <c r="A291" s="2"/>
      <c r="B291" s="65" t="str">
        <f t="shared" si="20"/>
        <v>T00285</v>
      </c>
      <c r="C291" s="65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M016</v>
      </c>
      <c r="D291" s="61" t="s">
        <v>731</v>
      </c>
      <c r="E291" s="66">
        <v>46151</v>
      </c>
      <c r="F291" s="67">
        <v>3000</v>
      </c>
      <c r="G291" s="60" t="s">
        <v>713</v>
      </c>
      <c r="H291" s="60" t="s">
        <v>568</v>
      </c>
      <c r="I291" s="61"/>
      <c r="J291" s="61" t="s">
        <v>717</v>
      </c>
      <c r="K291" s="61"/>
      <c r="L291" s="73">
        <f t="shared" si="21"/>
        <v>46143</v>
      </c>
      <c r="M291" s="65" t="str">
        <f t="shared" ca="1" si="22"/>
        <v>UYGUN</v>
      </c>
      <c r="N291" s="74" t="str">
        <f>IF($C291="","",IF($C291="TANIMSIZ MÜŞTERİ","—",INDEX(MUSTERILER!$C$7:$C$156,MATCH($C291,MUSTERILER!$B$7:$B$156,0))))</f>
        <v>RİX ŞOW LTD.ŞTİ.</v>
      </c>
      <c r="O291" s="2"/>
      <c r="P291" s="2"/>
      <c r="Q291" s="1" t="str">
        <f>IF($D291="","",$C291&amp;"|"&amp;COUNTIFS($C$7:$C291,$C291))</f>
        <v>M016|18</v>
      </c>
      <c r="R291" s="1" t="str">
        <f t="shared" si="23"/>
        <v>RIXSOWLTDSTI</v>
      </c>
      <c r="S291" s="1" t="str">
        <f t="shared" si="24"/>
        <v>M016|46151|3000|</v>
      </c>
      <c r="T291" s="1">
        <f>IF($E291="",0,SUMPRODUCT((AY_SONU!$O$7:$O$42="Evet")*(AY_SONU!$B$7:$B$42=DATE(YEAR($E291),MONTH($E291),1))))</f>
        <v>0</v>
      </c>
    </row>
    <row r="292" spans="1:20" ht="18" customHeight="1" x14ac:dyDescent="0.3">
      <c r="A292" s="2"/>
      <c r="B292" s="65" t="str">
        <f t="shared" si="20"/>
        <v>T00286</v>
      </c>
      <c r="C292" s="65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M005</v>
      </c>
      <c r="D292" s="61" t="s">
        <v>732</v>
      </c>
      <c r="E292" s="66">
        <v>46151</v>
      </c>
      <c r="F292" s="67">
        <v>1750</v>
      </c>
      <c r="G292" s="60" t="s">
        <v>713</v>
      </c>
      <c r="H292" s="60" t="s">
        <v>568</v>
      </c>
      <c r="I292" s="61"/>
      <c r="J292" s="61" t="s">
        <v>717</v>
      </c>
      <c r="K292" s="61"/>
      <c r="L292" s="73">
        <f t="shared" si="21"/>
        <v>46143</v>
      </c>
      <c r="M292" s="65" t="str">
        <f t="shared" ca="1" si="22"/>
        <v>UYGUN</v>
      </c>
      <c r="N292" s="74" t="str">
        <f>IF($C292="","",IF($C292="TANIMSIZ MÜŞTERİ","—",INDEX(MUSTERILER!$C$7:$C$156,MATCH($C292,MUSTERILER!$B$7:$B$156,0))))</f>
        <v>ZÜMRÜT GRUP LTD.ŞTİ.</v>
      </c>
      <c r="O292" s="2"/>
      <c r="P292" s="2"/>
      <c r="Q292" s="1" t="str">
        <f>IF($D292="","",$C292&amp;"|"&amp;COUNTIFS($C$7:$C292,$C292))</f>
        <v>M005|14</v>
      </c>
      <c r="R292" s="1" t="str">
        <f t="shared" si="23"/>
        <v>ZUMRUTGRUPLTDSTI</v>
      </c>
      <c r="S292" s="1" t="str">
        <f t="shared" si="24"/>
        <v>M005|46151|1750|</v>
      </c>
      <c r="T292" s="1">
        <f>IF($E292="",0,SUMPRODUCT((AY_SONU!$O$7:$O$42="Evet")*(AY_SONU!$B$7:$B$42=DATE(YEAR($E292),MONTH($E292),1))))</f>
        <v>0</v>
      </c>
    </row>
    <row r="293" spans="1:20" ht="18" customHeight="1" x14ac:dyDescent="0.3">
      <c r="A293" s="2"/>
      <c r="B293" s="65" t="str">
        <f t="shared" si="20"/>
        <v>T00287</v>
      </c>
      <c r="C293" s="65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M018</v>
      </c>
      <c r="D293" s="61" t="s">
        <v>589</v>
      </c>
      <c r="E293" s="66">
        <v>46151</v>
      </c>
      <c r="F293" s="67">
        <v>2500</v>
      </c>
      <c r="G293" s="60" t="s">
        <v>715</v>
      </c>
      <c r="H293" s="60" t="s">
        <v>568</v>
      </c>
      <c r="I293" s="61"/>
      <c r="J293" s="61" t="s">
        <v>717</v>
      </c>
      <c r="K293" s="61"/>
      <c r="L293" s="73">
        <f t="shared" si="21"/>
        <v>46143</v>
      </c>
      <c r="M293" s="65" t="str">
        <f t="shared" ca="1" si="22"/>
        <v>UYGUN</v>
      </c>
      <c r="N293" s="74" t="str">
        <f>IF($C293="","",IF($C293="TANIMSIZ MÜŞTERİ","—",INDEX(MUSTERILER!$C$7:$C$156,MATCH($C293,MUSTERILER!$B$7:$B$156,0))))</f>
        <v>ÇINARHAN LTD.ŞTİ.</v>
      </c>
      <c r="O293" s="2"/>
      <c r="P293" s="2"/>
      <c r="Q293" s="1" t="str">
        <f>IF($D293="","",$C293&amp;"|"&amp;COUNTIFS($C$7:$C293,$C293))</f>
        <v>M018|11</v>
      </c>
      <c r="R293" s="1" t="str">
        <f t="shared" si="23"/>
        <v>CINARHANLTDSTI</v>
      </c>
      <c r="S293" s="1" t="str">
        <f t="shared" si="24"/>
        <v>M018|46151|2500|</v>
      </c>
      <c r="T293" s="1">
        <f>IF($E293="",0,SUMPRODUCT((AY_SONU!$O$7:$O$42="Evet")*(AY_SONU!$B$7:$B$42=DATE(YEAR($E293),MONTH($E293),1))))</f>
        <v>0</v>
      </c>
    </row>
    <row r="294" spans="1:20" ht="18" customHeight="1" x14ac:dyDescent="0.3">
      <c r="A294" s="2"/>
      <c r="B294" s="65" t="str">
        <f t="shared" si="20"/>
        <v>T00288</v>
      </c>
      <c r="C294" s="65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M018</v>
      </c>
      <c r="D294" s="61" t="s">
        <v>589</v>
      </c>
      <c r="E294" s="66">
        <v>46151</v>
      </c>
      <c r="F294" s="67">
        <v>17500</v>
      </c>
      <c r="G294" s="60" t="s">
        <v>715</v>
      </c>
      <c r="H294" s="60" t="s">
        <v>568</v>
      </c>
      <c r="I294" s="61"/>
      <c r="J294" s="61" t="s">
        <v>717</v>
      </c>
      <c r="K294" s="61"/>
      <c r="L294" s="73">
        <f t="shared" si="21"/>
        <v>46143</v>
      </c>
      <c r="M294" s="65" t="str">
        <f t="shared" ca="1" si="22"/>
        <v>UYGUN</v>
      </c>
      <c r="N294" s="74" t="str">
        <f>IF($C294="","",IF($C294="TANIMSIZ MÜŞTERİ","—",INDEX(MUSTERILER!$C$7:$C$156,MATCH($C294,MUSTERILER!$B$7:$B$156,0))))</f>
        <v>ÇINARHAN LTD.ŞTİ.</v>
      </c>
      <c r="O294" s="2"/>
      <c r="P294" s="2"/>
      <c r="Q294" s="1" t="str">
        <f>IF($D294="","",$C294&amp;"|"&amp;COUNTIFS($C$7:$C294,$C294))</f>
        <v>M018|12</v>
      </c>
      <c r="R294" s="1" t="str">
        <f t="shared" si="23"/>
        <v>CINARHANLTDSTI</v>
      </c>
      <c r="S294" s="1" t="str">
        <f t="shared" si="24"/>
        <v>M018|46151|17500|</v>
      </c>
      <c r="T294" s="1">
        <f>IF($E294="",0,SUMPRODUCT((AY_SONU!$O$7:$O$42="Evet")*(AY_SONU!$B$7:$B$42=DATE(YEAR($E294),MONTH($E294),1))))</f>
        <v>0</v>
      </c>
    </row>
    <row r="295" spans="1:20" ht="18" customHeight="1" x14ac:dyDescent="0.3">
      <c r="A295" s="2"/>
      <c r="B295" s="65" t="str">
        <f t="shared" si="20"/>
        <v>T00289</v>
      </c>
      <c r="C295" s="65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M020</v>
      </c>
      <c r="D295" s="61" t="s">
        <v>619</v>
      </c>
      <c r="E295" s="66">
        <v>46151</v>
      </c>
      <c r="F295" s="67">
        <v>3000</v>
      </c>
      <c r="G295" s="60" t="s">
        <v>713</v>
      </c>
      <c r="H295" s="60" t="s">
        <v>568</v>
      </c>
      <c r="I295" s="61"/>
      <c r="J295" s="61" t="s">
        <v>717</v>
      </c>
      <c r="K295" s="61"/>
      <c r="L295" s="73">
        <f t="shared" si="21"/>
        <v>46143</v>
      </c>
      <c r="M295" s="65" t="str">
        <f t="shared" ca="1" si="22"/>
        <v>UYGUN</v>
      </c>
      <c r="N295" s="74" t="str">
        <f>IF($C295="","",IF($C295="TANIMSIZ MÜŞTERİ","—",INDEX(MUSTERILER!$C$7:$C$156,MATCH($C295,MUSTERILER!$B$7:$B$156,0))))</f>
        <v>KRİSTAL LTD.ŞTİ.</v>
      </c>
      <c r="O295" s="2"/>
      <c r="P295" s="2"/>
      <c r="Q295" s="1" t="str">
        <f>IF($D295="","",$C295&amp;"|"&amp;COUNTIFS($C$7:$C295,$C295))</f>
        <v>M020|18</v>
      </c>
      <c r="R295" s="1" t="str">
        <f t="shared" si="23"/>
        <v>KRISTALLTDSTI</v>
      </c>
      <c r="S295" s="1" t="str">
        <f t="shared" si="24"/>
        <v>M020|46151|3000|</v>
      </c>
      <c r="T295" s="1">
        <f>IF($E295="",0,SUMPRODUCT((AY_SONU!$O$7:$O$42="Evet")*(AY_SONU!$B$7:$B$42=DATE(YEAR($E295),MONTH($E295),1))))</f>
        <v>0</v>
      </c>
    </row>
    <row r="296" spans="1:20" ht="18" customHeight="1" x14ac:dyDescent="0.3">
      <c r="A296" s="2"/>
      <c r="B296" s="65" t="str">
        <f t="shared" si="20"/>
        <v>T00290</v>
      </c>
      <c r="C296" s="65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M047</v>
      </c>
      <c r="D296" s="61" t="s">
        <v>649</v>
      </c>
      <c r="E296" s="66">
        <v>46151</v>
      </c>
      <c r="F296" s="67">
        <v>4000</v>
      </c>
      <c r="G296" s="60" t="s">
        <v>715</v>
      </c>
      <c r="H296" s="60" t="s">
        <v>568</v>
      </c>
      <c r="I296" s="61"/>
      <c r="J296" s="61" t="s">
        <v>717</v>
      </c>
      <c r="K296" s="61"/>
      <c r="L296" s="73">
        <f t="shared" si="21"/>
        <v>46143</v>
      </c>
      <c r="M296" s="65" t="str">
        <f t="shared" ca="1" si="22"/>
        <v>UYGUN</v>
      </c>
      <c r="N296" s="74" t="str">
        <f>IF($C296="","",IF($C296="TANIMSIZ MÜŞTERİ","—",INDEX(MUSTERILER!$C$7:$C$156,MATCH($C296,MUSTERILER!$B$7:$B$156,0))))</f>
        <v>PALAOĞULLARI LTD.ŞTİ.</v>
      </c>
      <c r="O296" s="2"/>
      <c r="P296" s="2"/>
      <c r="Q296" s="1" t="str">
        <f>IF($D296="","",$C296&amp;"|"&amp;COUNTIFS($C$7:$C296,$C296))</f>
        <v>M047|10</v>
      </c>
      <c r="R296" s="1" t="str">
        <f t="shared" si="23"/>
        <v>PALAOGULLARILTDSTI</v>
      </c>
      <c r="S296" s="1" t="str">
        <f t="shared" si="24"/>
        <v>M047|46151|4000|</v>
      </c>
      <c r="T296" s="1">
        <f>IF($E296="",0,SUMPRODUCT((AY_SONU!$O$7:$O$42="Evet")*(AY_SONU!$B$7:$B$42=DATE(YEAR($E296),MONTH($E296),1))))</f>
        <v>0</v>
      </c>
    </row>
    <row r="297" spans="1:20" ht="18" customHeight="1" x14ac:dyDescent="0.3">
      <c r="A297" s="2"/>
      <c r="B297" s="65" t="str">
        <f t="shared" si="20"/>
        <v>T00291</v>
      </c>
      <c r="C297" s="65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M054</v>
      </c>
      <c r="D297" s="61" t="s">
        <v>669</v>
      </c>
      <c r="E297" s="66">
        <v>46151</v>
      </c>
      <c r="F297" s="67">
        <v>4000</v>
      </c>
      <c r="G297" s="60" t="s">
        <v>713</v>
      </c>
      <c r="H297" s="60" t="s">
        <v>568</v>
      </c>
      <c r="I297" s="61"/>
      <c r="J297" s="61" t="s">
        <v>717</v>
      </c>
      <c r="K297" s="61"/>
      <c r="L297" s="73">
        <f t="shared" si="21"/>
        <v>46143</v>
      </c>
      <c r="M297" s="65" t="str">
        <f t="shared" ca="1" si="22"/>
        <v>UYGUN</v>
      </c>
      <c r="N297" s="74" t="str">
        <f>IF($C297="","",IF($C297="TANIMSIZ MÜŞTERİ","—",INDEX(MUSTERILER!$C$7:$C$156,MATCH($C297,MUSTERILER!$B$7:$B$156,0))))</f>
        <v>YALIKENT LTD.ŞTİ.</v>
      </c>
      <c r="O297" s="2"/>
      <c r="P297" s="2"/>
      <c r="Q297" s="1" t="str">
        <f>IF($D297="","",$C297&amp;"|"&amp;COUNTIFS($C$7:$C297,$C297))</f>
        <v>M054|7</v>
      </c>
      <c r="R297" s="1" t="str">
        <f t="shared" si="23"/>
        <v>YALIKENTLTDSTI</v>
      </c>
      <c r="S297" s="1" t="str">
        <f t="shared" si="24"/>
        <v>M054|46151|4000|</v>
      </c>
      <c r="T297" s="1">
        <f>IF($E297="",0,SUMPRODUCT((AY_SONU!$O$7:$O$42="Evet")*(AY_SONU!$B$7:$B$42=DATE(YEAR($E297),MONTH($E297),1))))</f>
        <v>0</v>
      </c>
    </row>
    <row r="298" spans="1:20" ht="18" customHeight="1" x14ac:dyDescent="0.3">
      <c r="A298" s="2"/>
      <c r="B298" s="65" t="str">
        <f t="shared" si="20"/>
        <v>T00292</v>
      </c>
      <c r="C298" s="65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M001</v>
      </c>
      <c r="D298" s="61" t="s">
        <v>722</v>
      </c>
      <c r="E298" s="66">
        <v>46158</v>
      </c>
      <c r="F298" s="67">
        <v>14000</v>
      </c>
      <c r="G298" s="60" t="s">
        <v>713</v>
      </c>
      <c r="H298" s="60" t="s">
        <v>568</v>
      </c>
      <c r="I298" s="61"/>
      <c r="J298" s="61" t="s">
        <v>717</v>
      </c>
      <c r="K298" s="61"/>
      <c r="L298" s="73">
        <f t="shared" si="21"/>
        <v>46143</v>
      </c>
      <c r="M298" s="65" t="str">
        <f t="shared" ca="1" si="22"/>
        <v>UYGUN</v>
      </c>
      <c r="N298" s="74" t="str">
        <f>IF($C298="","",IF($C298="TANIMSIZ MÜŞTERİ","—",INDEX(MUSTERILER!$C$7:$C$156,MATCH($C298,MUSTERILER!$B$7:$B$156,0))))</f>
        <v>ANKARA HAVANA LTD.ŞTİ.</v>
      </c>
      <c r="O298" s="2"/>
      <c r="P298" s="2"/>
      <c r="Q298" s="1" t="str">
        <f>IF($D298="","",$C298&amp;"|"&amp;COUNTIFS($C$7:$C298,$C298))</f>
        <v>M001|9</v>
      </c>
      <c r="R298" s="1" t="str">
        <f t="shared" si="23"/>
        <v>ANKARAHAVANALTDSTI</v>
      </c>
      <c r="S298" s="1" t="str">
        <f t="shared" si="24"/>
        <v>M001|46158|14000|</v>
      </c>
      <c r="T298" s="1">
        <f>IF($E298="",0,SUMPRODUCT((AY_SONU!$O$7:$O$42="Evet")*(AY_SONU!$B$7:$B$42=DATE(YEAR($E298),MONTH($E298),1))))</f>
        <v>0</v>
      </c>
    </row>
    <row r="299" spans="1:20" ht="18" customHeight="1" x14ac:dyDescent="0.3">
      <c r="A299" s="2"/>
      <c r="B299" s="65" t="str">
        <f t="shared" si="20"/>
        <v>T00293</v>
      </c>
      <c r="C299" s="65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M025</v>
      </c>
      <c r="D299" s="61" t="s">
        <v>579</v>
      </c>
      <c r="E299" s="66">
        <v>46158</v>
      </c>
      <c r="F299" s="67">
        <v>2000</v>
      </c>
      <c r="G299" s="60" t="s">
        <v>713</v>
      </c>
      <c r="H299" s="60" t="s">
        <v>568</v>
      </c>
      <c r="I299" s="61"/>
      <c r="J299" s="61" t="s">
        <v>717</v>
      </c>
      <c r="K299" s="61"/>
      <c r="L299" s="73">
        <f t="shared" si="21"/>
        <v>46143</v>
      </c>
      <c r="M299" s="65" t="str">
        <f t="shared" ca="1" si="22"/>
        <v>UYGUN</v>
      </c>
      <c r="N299" s="74" t="str">
        <f>IF($C299="","",IF($C299="TANIMSIZ MÜŞTERİ","—",INDEX(MUSTERILER!$C$7:$C$156,MATCH($C299,MUSTERILER!$B$7:$B$156,0))))</f>
        <v>ASIM AÇIKGÖZ</v>
      </c>
      <c r="O299" s="2"/>
      <c r="P299" s="2"/>
      <c r="Q299" s="1" t="str">
        <f>IF($D299="","",$C299&amp;"|"&amp;COUNTIFS($C$7:$C299,$C299))</f>
        <v>M025|14</v>
      </c>
      <c r="R299" s="1" t="str">
        <f t="shared" si="23"/>
        <v>ASIMACIKGOZ</v>
      </c>
      <c r="S299" s="1" t="str">
        <f t="shared" si="24"/>
        <v>M025|46158|2000|</v>
      </c>
      <c r="T299" s="1">
        <f>IF($E299="",0,SUMPRODUCT((AY_SONU!$O$7:$O$42="Evet")*(AY_SONU!$B$7:$B$42=DATE(YEAR($E299),MONTH($E299),1))))</f>
        <v>0</v>
      </c>
    </row>
    <row r="300" spans="1:20" ht="18" customHeight="1" x14ac:dyDescent="0.3">
      <c r="A300" s="2"/>
      <c r="B300" s="65" t="str">
        <f t="shared" si="20"/>
        <v>T00294</v>
      </c>
      <c r="C300" s="65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M017</v>
      </c>
      <c r="D300" s="61" t="s">
        <v>581</v>
      </c>
      <c r="E300" s="66">
        <v>46158</v>
      </c>
      <c r="F300" s="67">
        <v>2500</v>
      </c>
      <c r="G300" s="60" t="s">
        <v>715</v>
      </c>
      <c r="H300" s="60" t="s">
        <v>568</v>
      </c>
      <c r="I300" s="61"/>
      <c r="J300" s="61" t="s">
        <v>717</v>
      </c>
      <c r="K300" s="61"/>
      <c r="L300" s="73">
        <f t="shared" si="21"/>
        <v>46143</v>
      </c>
      <c r="M300" s="65" t="str">
        <f t="shared" ca="1" si="22"/>
        <v>UYGUN</v>
      </c>
      <c r="N300" s="74" t="str">
        <f>IF($C300="","",IF($C300="TANIMSIZ MÜŞTERİ","—",INDEX(MUSTERILER!$C$7:$C$156,MATCH($C300,MUSTERILER!$B$7:$B$156,0))))</f>
        <v>ASM EĞLENCE LTD.ŞTİ.</v>
      </c>
      <c r="O300" s="2"/>
      <c r="P300" s="2"/>
      <c r="Q300" s="1" t="str">
        <f>IF($D300="","",$C300&amp;"|"&amp;COUNTIFS($C$7:$C300,$C300))</f>
        <v>M017|15</v>
      </c>
      <c r="R300" s="1" t="str">
        <f t="shared" si="23"/>
        <v>ASMEGLENCELTDSTI</v>
      </c>
      <c r="S300" s="1" t="str">
        <f t="shared" si="24"/>
        <v>M017|46158|2500|</v>
      </c>
      <c r="T300" s="1">
        <f>IF($E300="",0,SUMPRODUCT((AY_SONU!$O$7:$O$42="Evet")*(AY_SONU!$B$7:$B$42=DATE(YEAR($E300),MONTH($E300),1))))</f>
        <v>0</v>
      </c>
    </row>
    <row r="301" spans="1:20" ht="18" customHeight="1" x14ac:dyDescent="0.3">
      <c r="A301" s="2"/>
      <c r="B301" s="65" t="str">
        <f t="shared" si="20"/>
        <v>T00295</v>
      </c>
      <c r="C301" s="65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M015</v>
      </c>
      <c r="D301" s="61" t="s">
        <v>723</v>
      </c>
      <c r="E301" s="66">
        <v>46158</v>
      </c>
      <c r="F301" s="67">
        <v>4000</v>
      </c>
      <c r="G301" s="60" t="s">
        <v>713</v>
      </c>
      <c r="H301" s="60" t="s">
        <v>568</v>
      </c>
      <c r="I301" s="61"/>
      <c r="J301" s="61" t="s">
        <v>717</v>
      </c>
      <c r="K301" s="61"/>
      <c r="L301" s="73">
        <f t="shared" si="21"/>
        <v>46143</v>
      </c>
      <c r="M301" s="65" t="str">
        <f t="shared" ca="1" si="22"/>
        <v>UYGUN</v>
      </c>
      <c r="N301" s="74" t="str">
        <f>IF($C301="","",IF($C301="TANIMSIZ MÜŞTERİ","—",INDEX(MUSTERILER!$C$7:$C$156,MATCH($C301,MUSTERILER!$B$7:$B$156,0))))</f>
        <v>ÇAYIRALAN LTD.ŞTİ.</v>
      </c>
      <c r="O301" s="2"/>
      <c r="P301" s="2"/>
      <c r="Q301" s="1" t="str">
        <f>IF($D301="","",$C301&amp;"|"&amp;COUNTIFS($C$7:$C301,$C301))</f>
        <v>M015|16</v>
      </c>
      <c r="R301" s="1" t="str">
        <f t="shared" si="23"/>
        <v>CAYIRALANLTDSTI</v>
      </c>
      <c r="S301" s="1" t="str">
        <f t="shared" si="24"/>
        <v>M015|46158|4000|</v>
      </c>
      <c r="T301" s="1">
        <f>IF($E301="",0,SUMPRODUCT((AY_SONU!$O$7:$O$42="Evet")*(AY_SONU!$B$7:$B$42=DATE(YEAR($E301),MONTH($E301),1))))</f>
        <v>0</v>
      </c>
    </row>
    <row r="302" spans="1:20" ht="18" customHeight="1" x14ac:dyDescent="0.3">
      <c r="A302" s="2"/>
      <c r="B302" s="65" t="str">
        <f t="shared" si="20"/>
        <v>T00296</v>
      </c>
      <c r="C302" s="65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M011</v>
      </c>
      <c r="D302" s="61" t="s">
        <v>724</v>
      </c>
      <c r="E302" s="66">
        <v>46158</v>
      </c>
      <c r="F302" s="67">
        <v>4000</v>
      </c>
      <c r="G302" s="60" t="s">
        <v>713</v>
      </c>
      <c r="H302" s="60" t="s">
        <v>568</v>
      </c>
      <c r="I302" s="61"/>
      <c r="J302" s="61" t="s">
        <v>717</v>
      </c>
      <c r="K302" s="61"/>
      <c r="L302" s="73">
        <f t="shared" si="21"/>
        <v>46143</v>
      </c>
      <c r="M302" s="65" t="str">
        <f t="shared" ca="1" si="22"/>
        <v>UYGUN</v>
      </c>
      <c r="N302" s="74" t="str">
        <f>IF($C302="","",IF($C302="TANIMSIZ MÜŞTERİ","—",INDEX(MUSTERILER!$C$7:$C$156,MATCH($C302,MUSTERILER!$B$7:$B$156,0))))</f>
        <v>EĞLENGÖR LTD.ŞTİ.</v>
      </c>
      <c r="O302" s="2"/>
      <c r="P302" s="2"/>
      <c r="Q302" s="1" t="str">
        <f>IF($D302="","",$C302&amp;"|"&amp;COUNTIFS($C$7:$C302,$C302))</f>
        <v>M011|18</v>
      </c>
      <c r="R302" s="1" t="str">
        <f t="shared" si="23"/>
        <v>EGLENGORLTDSTI</v>
      </c>
      <c r="S302" s="1" t="str">
        <f t="shared" si="24"/>
        <v>M011|46158|4000|</v>
      </c>
      <c r="T302" s="1">
        <f>IF($E302="",0,SUMPRODUCT((AY_SONU!$O$7:$O$42="Evet")*(AY_SONU!$B$7:$B$42=DATE(YEAR($E302),MONTH($E302),1))))</f>
        <v>0</v>
      </c>
    </row>
    <row r="303" spans="1:20" ht="18" customHeight="1" x14ac:dyDescent="0.3">
      <c r="A303" s="2"/>
      <c r="B303" s="65" t="str">
        <f t="shared" si="20"/>
        <v>T00297</v>
      </c>
      <c r="C303" s="65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M014</v>
      </c>
      <c r="D303" s="61" t="s">
        <v>725</v>
      </c>
      <c r="E303" s="66">
        <v>46158</v>
      </c>
      <c r="F303" s="67">
        <v>4000</v>
      </c>
      <c r="G303" s="60" t="s">
        <v>713</v>
      </c>
      <c r="H303" s="60" t="s">
        <v>568</v>
      </c>
      <c r="I303" s="61"/>
      <c r="J303" s="61" t="s">
        <v>717</v>
      </c>
      <c r="K303" s="61"/>
      <c r="L303" s="73">
        <f t="shared" si="21"/>
        <v>46143</v>
      </c>
      <c r="M303" s="65" t="str">
        <f t="shared" ca="1" si="22"/>
        <v>UYGUN</v>
      </c>
      <c r="N303" s="74" t="str">
        <f>IF($C303="","",IF($C303="TANIMSIZ MÜŞTERİ","—",INDEX(MUSTERILER!$C$7:$C$156,MATCH($C303,MUSTERILER!$B$7:$B$156,0))))</f>
        <v>FİNAL SİYAH BEYAZ LTD.ŞTİ.</v>
      </c>
      <c r="O303" s="2"/>
      <c r="P303" s="2"/>
      <c r="Q303" s="1" t="str">
        <f>IF($D303="","",$C303&amp;"|"&amp;COUNTIFS($C$7:$C303,$C303))</f>
        <v>M014|17</v>
      </c>
      <c r="R303" s="1" t="str">
        <f t="shared" si="23"/>
        <v>FINALSIYAHBEYAZLTDSTI</v>
      </c>
      <c r="S303" s="1" t="str">
        <f t="shared" si="24"/>
        <v>M014|46158|4000|</v>
      </c>
      <c r="T303" s="1">
        <f>IF($E303="",0,SUMPRODUCT((AY_SONU!$O$7:$O$42="Evet")*(AY_SONU!$B$7:$B$42=DATE(YEAR($E303),MONTH($E303),1))))</f>
        <v>0</v>
      </c>
    </row>
    <row r="304" spans="1:20" ht="18" customHeight="1" x14ac:dyDescent="0.3">
      <c r="A304" s="2"/>
      <c r="B304" s="65" t="str">
        <f t="shared" si="20"/>
        <v>T00298</v>
      </c>
      <c r="C304" s="65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M034</v>
      </c>
      <c r="D304" s="61" t="s">
        <v>726</v>
      </c>
      <c r="E304" s="66">
        <v>46158</v>
      </c>
      <c r="F304" s="67">
        <v>4000</v>
      </c>
      <c r="G304" s="60" t="s">
        <v>713</v>
      </c>
      <c r="H304" s="60" t="s">
        <v>568</v>
      </c>
      <c r="I304" s="61"/>
      <c r="J304" s="61" t="s">
        <v>717</v>
      </c>
      <c r="K304" s="61"/>
      <c r="L304" s="73">
        <f t="shared" si="21"/>
        <v>46143</v>
      </c>
      <c r="M304" s="65" t="str">
        <f t="shared" ca="1" si="22"/>
        <v>UYGUN</v>
      </c>
      <c r="N304" s="74" t="str">
        <f>IF($C304="","",IF($C304="TANIMSIZ MÜŞTERİ","—",INDEX(MUSTERILER!$C$7:$C$156,MATCH($C304,MUSTERILER!$B$7:$B$156,0))))</f>
        <v>İBRAHİM MALDAN</v>
      </c>
      <c r="O304" s="2"/>
      <c r="P304" s="2"/>
      <c r="Q304" s="1" t="str">
        <f>IF($D304="","",$C304&amp;"|"&amp;COUNTIFS($C$7:$C304,$C304))</f>
        <v>M034|15</v>
      </c>
      <c r="R304" s="1" t="str">
        <f t="shared" si="23"/>
        <v>IBRAHIMMALDAN</v>
      </c>
      <c r="S304" s="1" t="str">
        <f t="shared" si="24"/>
        <v>M034|46158|4000|</v>
      </c>
      <c r="T304" s="1">
        <f>IF($E304="",0,SUMPRODUCT((AY_SONU!$O$7:$O$42="Evet")*(AY_SONU!$B$7:$B$42=DATE(YEAR($E304),MONTH($E304),1))))</f>
        <v>0</v>
      </c>
    </row>
    <row r="305" spans="1:20" ht="18" customHeight="1" x14ac:dyDescent="0.3">
      <c r="A305" s="2"/>
      <c r="B305" s="65" t="str">
        <f t="shared" si="20"/>
        <v>T00299</v>
      </c>
      <c r="C305" s="65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M012</v>
      </c>
      <c r="D305" s="61" t="s">
        <v>727</v>
      </c>
      <c r="E305" s="66">
        <v>46158</v>
      </c>
      <c r="F305" s="67">
        <v>4000</v>
      </c>
      <c r="G305" s="60" t="s">
        <v>713</v>
      </c>
      <c r="H305" s="60" t="s">
        <v>568</v>
      </c>
      <c r="I305" s="61"/>
      <c r="J305" s="61" t="s">
        <v>717</v>
      </c>
      <c r="K305" s="61"/>
      <c r="L305" s="73">
        <f t="shared" si="21"/>
        <v>46143</v>
      </c>
      <c r="M305" s="65" t="str">
        <f t="shared" ca="1" si="22"/>
        <v>UYGUN</v>
      </c>
      <c r="N305" s="74" t="str">
        <f>IF($C305="","",IF($C305="TANIMSIZ MÜŞTERİ","—",INDEX(MUSTERILER!$C$7:$C$156,MATCH($C305,MUSTERILER!$B$7:$B$156,0))))</f>
        <v>İLDEŞ LTD.ŞTİ.</v>
      </c>
      <c r="O305" s="2"/>
      <c r="P305" s="2"/>
      <c r="Q305" s="1" t="str">
        <f>IF($D305="","",$C305&amp;"|"&amp;COUNTIFS($C$7:$C305,$C305))</f>
        <v>M012|18</v>
      </c>
      <c r="R305" s="1" t="str">
        <f t="shared" si="23"/>
        <v>ILDESLTDSTI</v>
      </c>
      <c r="S305" s="1" t="str">
        <f t="shared" si="24"/>
        <v>M012|46158|4000|</v>
      </c>
      <c r="T305" s="1">
        <f>IF($E305="",0,SUMPRODUCT((AY_SONU!$O$7:$O$42="Evet")*(AY_SONU!$B$7:$B$42=DATE(YEAR($E305),MONTH($E305),1))))</f>
        <v>0</v>
      </c>
    </row>
    <row r="306" spans="1:20" ht="18" customHeight="1" x14ac:dyDescent="0.3">
      <c r="A306" s="2"/>
      <c r="B306" s="65" t="str">
        <f t="shared" si="20"/>
        <v>T00300</v>
      </c>
      <c r="C306" s="65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M007</v>
      </c>
      <c r="D306" s="61" t="s">
        <v>728</v>
      </c>
      <c r="E306" s="66">
        <v>46158</v>
      </c>
      <c r="F306" s="67">
        <v>3500</v>
      </c>
      <c r="G306" s="60" t="s">
        <v>713</v>
      </c>
      <c r="H306" s="60" t="s">
        <v>568</v>
      </c>
      <c r="I306" s="61"/>
      <c r="J306" s="61" t="s">
        <v>717</v>
      </c>
      <c r="K306" s="61"/>
      <c r="L306" s="73">
        <f t="shared" si="21"/>
        <v>46143</v>
      </c>
      <c r="M306" s="65" t="str">
        <f t="shared" ca="1" si="22"/>
        <v>UYGUN</v>
      </c>
      <c r="N306" s="74" t="str">
        <f>IF($C306="","",IF($C306="TANIMSIZ MÜŞTERİ","—",INDEX(MUSTERILER!$C$7:$C$156,MATCH($C306,MUSTERILER!$B$7:$B$156,0))))</f>
        <v>MONAMOUR LTD.ŞTİ.</v>
      </c>
      <c r="O306" s="2"/>
      <c r="P306" s="2"/>
      <c r="Q306" s="1" t="str">
        <f>IF($D306="","",$C306&amp;"|"&amp;COUNTIFS($C$7:$C306,$C306))</f>
        <v>M007|15</v>
      </c>
      <c r="R306" s="1" t="str">
        <f t="shared" si="23"/>
        <v>MONAMOURLTDSTI</v>
      </c>
      <c r="S306" s="1" t="str">
        <f t="shared" si="24"/>
        <v>M007|46158|3500|</v>
      </c>
      <c r="T306" s="1">
        <f>IF($E306="",0,SUMPRODUCT((AY_SONU!$O$7:$O$42="Evet")*(AY_SONU!$B$7:$B$42=DATE(YEAR($E306),MONTH($E306),1))))</f>
        <v>0</v>
      </c>
    </row>
    <row r="307" spans="1:20" ht="18" customHeight="1" x14ac:dyDescent="0.3">
      <c r="A307" s="2"/>
      <c r="B307" s="65" t="str">
        <f t="shared" si="20"/>
        <v>T00301</v>
      </c>
      <c r="C307" s="65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M013</v>
      </c>
      <c r="D307" s="61" t="s">
        <v>729</v>
      </c>
      <c r="E307" s="66">
        <v>46158</v>
      </c>
      <c r="F307" s="67">
        <v>2000</v>
      </c>
      <c r="G307" s="60" t="s">
        <v>713</v>
      </c>
      <c r="H307" s="60" t="s">
        <v>568</v>
      </c>
      <c r="I307" s="61"/>
      <c r="J307" s="61" t="s">
        <v>717</v>
      </c>
      <c r="K307" s="61"/>
      <c r="L307" s="73">
        <f t="shared" si="21"/>
        <v>46143</v>
      </c>
      <c r="M307" s="65" t="str">
        <f t="shared" ca="1" si="22"/>
        <v>UYGUN</v>
      </c>
      <c r="N307" s="74" t="str">
        <f>IF($C307="","",IF($C307="TANIMSIZ MÜŞTERİ","—",INDEX(MUSTERILER!$C$7:$C$156,MATCH($C307,MUSTERILER!$B$7:$B$156,0))))</f>
        <v>NAZ 1 GIDA LTD.ŞTİ.</v>
      </c>
      <c r="O307" s="2"/>
      <c r="P307" s="2"/>
      <c r="Q307" s="1" t="str">
        <f>IF($D307="","",$C307&amp;"|"&amp;COUNTIFS($C$7:$C307,$C307))</f>
        <v>M013|13</v>
      </c>
      <c r="R307" s="1" t="str">
        <f t="shared" si="23"/>
        <v>NAZ1GIDALTDSTI</v>
      </c>
      <c r="S307" s="1" t="str">
        <f t="shared" si="24"/>
        <v>M013|46158|2000|</v>
      </c>
      <c r="T307" s="1">
        <f>IF($E307="",0,SUMPRODUCT((AY_SONU!$O$7:$O$42="Evet")*(AY_SONU!$B$7:$B$42=DATE(YEAR($E307),MONTH($E307),1))))</f>
        <v>0</v>
      </c>
    </row>
    <row r="308" spans="1:20" ht="18" customHeight="1" x14ac:dyDescent="0.3">
      <c r="A308" s="2"/>
      <c r="B308" s="65" t="str">
        <f t="shared" si="20"/>
        <v>T00302</v>
      </c>
      <c r="C308" s="65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M009</v>
      </c>
      <c r="D308" s="61" t="s">
        <v>730</v>
      </c>
      <c r="E308" s="66">
        <v>46158</v>
      </c>
      <c r="F308" s="67">
        <v>4000</v>
      </c>
      <c r="G308" s="60" t="s">
        <v>713</v>
      </c>
      <c r="H308" s="60" t="s">
        <v>568</v>
      </c>
      <c r="I308" s="61"/>
      <c r="J308" s="61" t="s">
        <v>717</v>
      </c>
      <c r="K308" s="61"/>
      <c r="L308" s="73">
        <f t="shared" si="21"/>
        <v>46143</v>
      </c>
      <c r="M308" s="65" t="str">
        <f t="shared" ca="1" si="22"/>
        <v>UYGUN</v>
      </c>
      <c r="N308" s="74" t="str">
        <f>IF($C308="","",IF($C308="TANIMSIZ MÜŞTERİ","—",INDEX(MUSTERILER!$C$7:$C$156,MATCH($C308,MUSTERILER!$B$7:$B$156,0))))</f>
        <v>PAKYILDIZ LTD.ŞTİ.</v>
      </c>
      <c r="O308" s="2"/>
      <c r="P308" s="2"/>
      <c r="Q308" s="1" t="str">
        <f>IF($D308="","",$C308&amp;"|"&amp;COUNTIFS($C$7:$C308,$C308))</f>
        <v>M009|15</v>
      </c>
      <c r="R308" s="1" t="str">
        <f t="shared" si="23"/>
        <v>PAKYILDIZLTDSTI</v>
      </c>
      <c r="S308" s="1" t="str">
        <f t="shared" si="24"/>
        <v>M009|46158|4000|</v>
      </c>
      <c r="T308" s="1">
        <f>IF($E308="",0,SUMPRODUCT((AY_SONU!$O$7:$O$42="Evet")*(AY_SONU!$B$7:$B$42=DATE(YEAR($E308),MONTH($E308),1))))</f>
        <v>0</v>
      </c>
    </row>
    <row r="309" spans="1:20" ht="18" customHeight="1" x14ac:dyDescent="0.3">
      <c r="A309" s="2"/>
      <c r="B309" s="65" t="str">
        <f t="shared" si="20"/>
        <v>T00303</v>
      </c>
      <c r="C309" s="65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M005</v>
      </c>
      <c r="D309" s="61" t="s">
        <v>732</v>
      </c>
      <c r="E309" s="66">
        <v>46158</v>
      </c>
      <c r="F309" s="67">
        <v>1750</v>
      </c>
      <c r="G309" s="60" t="s">
        <v>713</v>
      </c>
      <c r="H309" s="60" t="s">
        <v>568</v>
      </c>
      <c r="I309" s="61"/>
      <c r="J309" s="61" t="s">
        <v>717</v>
      </c>
      <c r="K309" s="61"/>
      <c r="L309" s="73">
        <f t="shared" si="21"/>
        <v>46143</v>
      </c>
      <c r="M309" s="65" t="str">
        <f t="shared" ca="1" si="22"/>
        <v>UYGUN</v>
      </c>
      <c r="N309" s="74" t="str">
        <f>IF($C309="","",IF($C309="TANIMSIZ MÜŞTERİ","—",INDEX(MUSTERILER!$C$7:$C$156,MATCH($C309,MUSTERILER!$B$7:$B$156,0))))</f>
        <v>ZÜMRÜT GRUP LTD.ŞTİ.</v>
      </c>
      <c r="O309" s="2"/>
      <c r="P309" s="2"/>
      <c r="Q309" s="1" t="str">
        <f>IF($D309="","",$C309&amp;"|"&amp;COUNTIFS($C$7:$C309,$C309))</f>
        <v>M005|15</v>
      </c>
      <c r="R309" s="1" t="str">
        <f t="shared" si="23"/>
        <v>ZUMRUTGRUPLTDSTI</v>
      </c>
      <c r="S309" s="1" t="str">
        <f t="shared" si="24"/>
        <v>M005|46158|1750|</v>
      </c>
      <c r="T309" s="1">
        <f>IF($E309="",0,SUMPRODUCT((AY_SONU!$O$7:$O$42="Evet")*(AY_SONU!$B$7:$B$42=DATE(YEAR($E309),MONTH($E309),1))))</f>
        <v>0</v>
      </c>
    </row>
    <row r="310" spans="1:20" ht="18" customHeight="1" x14ac:dyDescent="0.3">
      <c r="A310" s="2"/>
      <c r="B310" s="65" t="str">
        <f t="shared" si="20"/>
        <v>T00304</v>
      </c>
      <c r="C310" s="65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M018</v>
      </c>
      <c r="D310" s="61" t="s">
        <v>589</v>
      </c>
      <c r="E310" s="66">
        <v>46158</v>
      </c>
      <c r="F310" s="67">
        <v>2500</v>
      </c>
      <c r="G310" s="60" t="s">
        <v>713</v>
      </c>
      <c r="H310" s="60" t="s">
        <v>568</v>
      </c>
      <c r="I310" s="61"/>
      <c r="J310" s="61" t="s">
        <v>717</v>
      </c>
      <c r="K310" s="61"/>
      <c r="L310" s="73">
        <f t="shared" si="21"/>
        <v>46143</v>
      </c>
      <c r="M310" s="65" t="str">
        <f t="shared" ca="1" si="22"/>
        <v>UYGUN</v>
      </c>
      <c r="N310" s="74" t="str">
        <f>IF($C310="","",IF($C310="TANIMSIZ MÜŞTERİ","—",INDEX(MUSTERILER!$C$7:$C$156,MATCH($C310,MUSTERILER!$B$7:$B$156,0))))</f>
        <v>ÇINARHAN LTD.ŞTİ.</v>
      </c>
      <c r="O310" s="2"/>
      <c r="P310" s="2"/>
      <c r="Q310" s="1" t="str">
        <f>IF($D310="","",$C310&amp;"|"&amp;COUNTIFS($C$7:$C310,$C310))</f>
        <v>M018|13</v>
      </c>
      <c r="R310" s="1" t="str">
        <f t="shared" si="23"/>
        <v>CINARHANLTDSTI</v>
      </c>
      <c r="S310" s="1" t="str">
        <f t="shared" si="24"/>
        <v>M018|46158|2500|</v>
      </c>
      <c r="T310" s="1">
        <f>IF($E310="",0,SUMPRODUCT((AY_SONU!$O$7:$O$42="Evet")*(AY_SONU!$B$7:$B$42=DATE(YEAR($E310),MONTH($E310),1))))</f>
        <v>0</v>
      </c>
    </row>
    <row r="311" spans="1:20" ht="18" customHeight="1" x14ac:dyDescent="0.3">
      <c r="A311" s="2"/>
      <c r="B311" s="65" t="str">
        <f t="shared" si="20"/>
        <v>T00305</v>
      </c>
      <c r="C311" s="65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M020</v>
      </c>
      <c r="D311" s="61" t="s">
        <v>619</v>
      </c>
      <c r="E311" s="66">
        <v>46158</v>
      </c>
      <c r="F311" s="67">
        <v>3000</v>
      </c>
      <c r="G311" s="60" t="s">
        <v>713</v>
      </c>
      <c r="H311" s="60" t="s">
        <v>568</v>
      </c>
      <c r="I311" s="61"/>
      <c r="J311" s="61" t="s">
        <v>717</v>
      </c>
      <c r="K311" s="61"/>
      <c r="L311" s="73">
        <f t="shared" si="21"/>
        <v>46143</v>
      </c>
      <c r="M311" s="65" t="str">
        <f t="shared" ca="1" si="22"/>
        <v>UYGUN</v>
      </c>
      <c r="N311" s="74" t="str">
        <f>IF($C311="","",IF($C311="TANIMSIZ MÜŞTERİ","—",INDEX(MUSTERILER!$C$7:$C$156,MATCH($C311,MUSTERILER!$B$7:$B$156,0))))</f>
        <v>KRİSTAL LTD.ŞTİ.</v>
      </c>
      <c r="O311" s="2"/>
      <c r="P311" s="2"/>
      <c r="Q311" s="1" t="str">
        <f>IF($D311="","",$C311&amp;"|"&amp;COUNTIFS($C$7:$C311,$C311))</f>
        <v>M020|19</v>
      </c>
      <c r="R311" s="1" t="str">
        <f t="shared" si="23"/>
        <v>KRISTALLTDSTI</v>
      </c>
      <c r="S311" s="1" t="str">
        <f t="shared" si="24"/>
        <v>M020|46158|3000|</v>
      </c>
      <c r="T311" s="1">
        <f>IF($E311="",0,SUMPRODUCT((AY_SONU!$O$7:$O$42="Evet")*(AY_SONU!$B$7:$B$42=DATE(YEAR($E311),MONTH($E311),1))))</f>
        <v>0</v>
      </c>
    </row>
    <row r="312" spans="1:20" ht="18" customHeight="1" x14ac:dyDescent="0.3">
      <c r="A312" s="2"/>
      <c r="B312" s="65" t="str">
        <f t="shared" si="20"/>
        <v>T00306</v>
      </c>
      <c r="C312" s="65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M047</v>
      </c>
      <c r="D312" s="61" t="s">
        <v>649</v>
      </c>
      <c r="E312" s="66">
        <v>46158</v>
      </c>
      <c r="F312" s="67">
        <v>4000</v>
      </c>
      <c r="G312" s="60" t="s">
        <v>713</v>
      </c>
      <c r="H312" s="60" t="s">
        <v>568</v>
      </c>
      <c r="I312" s="61"/>
      <c r="J312" s="61" t="s">
        <v>717</v>
      </c>
      <c r="K312" s="61"/>
      <c r="L312" s="73">
        <f t="shared" si="21"/>
        <v>46143</v>
      </c>
      <c r="M312" s="65" t="str">
        <f t="shared" ca="1" si="22"/>
        <v>UYGUN</v>
      </c>
      <c r="N312" s="74" t="str">
        <f>IF($C312="","",IF($C312="TANIMSIZ MÜŞTERİ","—",INDEX(MUSTERILER!$C$7:$C$156,MATCH($C312,MUSTERILER!$B$7:$B$156,0))))</f>
        <v>PALAOĞULLARI LTD.ŞTİ.</v>
      </c>
      <c r="O312" s="2"/>
      <c r="P312" s="2"/>
      <c r="Q312" s="1" t="str">
        <f>IF($D312="","",$C312&amp;"|"&amp;COUNTIFS($C$7:$C312,$C312))</f>
        <v>M047|11</v>
      </c>
      <c r="R312" s="1" t="str">
        <f t="shared" si="23"/>
        <v>PALAOGULLARILTDSTI</v>
      </c>
      <c r="S312" s="1" t="str">
        <f t="shared" si="24"/>
        <v>M047|46158|4000|</v>
      </c>
      <c r="T312" s="1">
        <f>IF($E312="",0,SUMPRODUCT((AY_SONU!$O$7:$O$42="Evet")*(AY_SONU!$B$7:$B$42=DATE(YEAR($E312),MONTH($E312),1))))</f>
        <v>0</v>
      </c>
    </row>
    <row r="313" spans="1:20" ht="18" customHeight="1" x14ac:dyDescent="0.3">
      <c r="A313" s="2"/>
      <c r="B313" s="65" t="str">
        <f t="shared" si="20"/>
        <v>T00307</v>
      </c>
      <c r="C313" s="65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M054</v>
      </c>
      <c r="D313" s="61" t="s">
        <v>669</v>
      </c>
      <c r="E313" s="66">
        <v>46158</v>
      </c>
      <c r="F313" s="67">
        <v>4000</v>
      </c>
      <c r="G313" s="60" t="s">
        <v>713</v>
      </c>
      <c r="H313" s="60" t="s">
        <v>568</v>
      </c>
      <c r="I313" s="61"/>
      <c r="J313" s="61" t="s">
        <v>717</v>
      </c>
      <c r="K313" s="61"/>
      <c r="L313" s="73">
        <f t="shared" si="21"/>
        <v>46143</v>
      </c>
      <c r="M313" s="65" t="str">
        <f t="shared" ca="1" si="22"/>
        <v>UYGUN</v>
      </c>
      <c r="N313" s="74" t="str">
        <f>IF($C313="","",IF($C313="TANIMSIZ MÜŞTERİ","—",INDEX(MUSTERILER!$C$7:$C$156,MATCH($C313,MUSTERILER!$B$7:$B$156,0))))</f>
        <v>YALIKENT LTD.ŞTİ.</v>
      </c>
      <c r="O313" s="2"/>
      <c r="P313" s="2"/>
      <c r="Q313" s="1" t="str">
        <f>IF($D313="","",$C313&amp;"|"&amp;COUNTIFS($C$7:$C313,$C313))</f>
        <v>M054|8</v>
      </c>
      <c r="R313" s="1" t="str">
        <f t="shared" si="23"/>
        <v>YALIKENTLTDSTI</v>
      </c>
      <c r="S313" s="1" t="str">
        <f t="shared" si="24"/>
        <v>M054|46158|4000|</v>
      </c>
      <c r="T313" s="1">
        <f>IF($E313="",0,SUMPRODUCT((AY_SONU!$O$7:$O$42="Evet")*(AY_SONU!$B$7:$B$42=DATE(YEAR($E313),MONTH($E313),1))))</f>
        <v>0</v>
      </c>
    </row>
    <row r="314" spans="1:20" ht="18" customHeight="1" x14ac:dyDescent="0.3">
      <c r="A314" s="2"/>
      <c r="B314" s="65" t="str">
        <f t="shared" si="20"/>
        <v>T00308</v>
      </c>
      <c r="C314" s="65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M031</v>
      </c>
      <c r="D314" s="61" t="s">
        <v>603</v>
      </c>
      <c r="E314" s="66">
        <v>46164</v>
      </c>
      <c r="F314" s="67">
        <v>6000</v>
      </c>
      <c r="G314" s="60" t="s">
        <v>713</v>
      </c>
      <c r="H314" s="60" t="s">
        <v>568</v>
      </c>
      <c r="I314" s="61"/>
      <c r="J314" s="61" t="s">
        <v>717</v>
      </c>
      <c r="K314" s="61"/>
      <c r="L314" s="73">
        <f t="shared" si="21"/>
        <v>46143</v>
      </c>
      <c r="M314" s="65" t="str">
        <f t="shared" ca="1" si="22"/>
        <v>UYGUN</v>
      </c>
      <c r="N314" s="74" t="str">
        <f>IF($C314="","",IF($C314="TANIMSIZ MÜŞTERİ","—",INDEX(MUSTERILER!$C$7:$C$156,MATCH($C314,MUSTERILER!$B$7:$B$156,0))))</f>
        <v>HALİL AVŞAR</v>
      </c>
      <c r="O314" s="2"/>
      <c r="P314" s="2"/>
      <c r="Q314" s="1" t="str">
        <f>IF($D314="","",$C314&amp;"|"&amp;COUNTIFS($C$7:$C314,$C314))</f>
        <v>M031|1</v>
      </c>
      <c r="R314" s="1" t="str">
        <f t="shared" si="23"/>
        <v>HALILAVSAR</v>
      </c>
      <c r="S314" s="1" t="str">
        <f t="shared" si="24"/>
        <v>M031|46164|6000|</v>
      </c>
      <c r="T314" s="1">
        <f>IF($E314="",0,SUMPRODUCT((AY_SONU!$O$7:$O$42="Evet")*(AY_SONU!$B$7:$B$42=DATE(YEAR($E314),MONTH($E314),1))))</f>
        <v>0</v>
      </c>
    </row>
    <row r="315" spans="1:20" ht="18" customHeight="1" x14ac:dyDescent="0.3">
      <c r="A315" s="2"/>
      <c r="B315" s="65" t="str">
        <f t="shared" si="20"/>
        <v>T00309</v>
      </c>
      <c r="C315" s="65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M025</v>
      </c>
      <c r="D315" s="61" t="s">
        <v>579</v>
      </c>
      <c r="E315" s="66">
        <v>46165</v>
      </c>
      <c r="F315" s="67">
        <v>2000</v>
      </c>
      <c r="G315" s="60" t="s">
        <v>713</v>
      </c>
      <c r="H315" s="60" t="s">
        <v>568</v>
      </c>
      <c r="I315" s="61"/>
      <c r="J315" s="61" t="s">
        <v>717</v>
      </c>
      <c r="K315" s="61"/>
      <c r="L315" s="73">
        <f t="shared" si="21"/>
        <v>46143</v>
      </c>
      <c r="M315" s="65" t="str">
        <f t="shared" ca="1" si="22"/>
        <v>UYGUN</v>
      </c>
      <c r="N315" s="74" t="str">
        <f>IF($C315="","",IF($C315="TANIMSIZ MÜŞTERİ","—",INDEX(MUSTERILER!$C$7:$C$156,MATCH($C315,MUSTERILER!$B$7:$B$156,0))))</f>
        <v>ASIM AÇIKGÖZ</v>
      </c>
      <c r="O315" s="2"/>
      <c r="P315" s="2"/>
      <c r="Q315" s="1" t="str">
        <f>IF($D315="","",$C315&amp;"|"&amp;COUNTIFS($C$7:$C315,$C315))</f>
        <v>M025|15</v>
      </c>
      <c r="R315" s="1" t="str">
        <f t="shared" si="23"/>
        <v>ASIMACIKGOZ</v>
      </c>
      <c r="S315" s="1" t="str">
        <f t="shared" si="24"/>
        <v>M025|46165|2000|</v>
      </c>
      <c r="T315" s="1">
        <f>IF($E315="",0,SUMPRODUCT((AY_SONU!$O$7:$O$42="Evet")*(AY_SONU!$B$7:$B$42=DATE(YEAR($E315),MONTH($E315),1))))</f>
        <v>0</v>
      </c>
    </row>
    <row r="316" spans="1:20" ht="18" customHeight="1" x14ac:dyDescent="0.3">
      <c r="A316" s="2"/>
      <c r="B316" s="65" t="str">
        <f t="shared" si="20"/>
        <v>T00310</v>
      </c>
      <c r="C316" s="65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M017</v>
      </c>
      <c r="D316" s="61" t="s">
        <v>581</v>
      </c>
      <c r="E316" s="66">
        <v>46165</v>
      </c>
      <c r="F316" s="67">
        <v>2500</v>
      </c>
      <c r="G316" s="60" t="s">
        <v>713</v>
      </c>
      <c r="H316" s="60" t="s">
        <v>568</v>
      </c>
      <c r="I316" s="61"/>
      <c r="J316" s="61" t="s">
        <v>717</v>
      </c>
      <c r="K316" s="61"/>
      <c r="L316" s="73">
        <f t="shared" si="21"/>
        <v>46143</v>
      </c>
      <c r="M316" s="65" t="str">
        <f t="shared" ca="1" si="22"/>
        <v>UYGUN</v>
      </c>
      <c r="N316" s="74" t="str">
        <f>IF($C316="","",IF($C316="TANIMSIZ MÜŞTERİ","—",INDEX(MUSTERILER!$C$7:$C$156,MATCH($C316,MUSTERILER!$B$7:$B$156,0))))</f>
        <v>ASM EĞLENCE LTD.ŞTİ.</v>
      </c>
      <c r="O316" s="2"/>
      <c r="P316" s="2"/>
      <c r="Q316" s="1" t="str">
        <f>IF($D316="","",$C316&amp;"|"&amp;COUNTIFS($C$7:$C316,$C316))</f>
        <v>M017|16</v>
      </c>
      <c r="R316" s="1" t="str">
        <f t="shared" si="23"/>
        <v>ASMEGLENCELTDSTI</v>
      </c>
      <c r="S316" s="1" t="str">
        <f t="shared" si="24"/>
        <v>M017|46165|2500|</v>
      </c>
      <c r="T316" s="1">
        <f>IF($E316="",0,SUMPRODUCT((AY_SONU!$O$7:$O$42="Evet")*(AY_SONU!$B$7:$B$42=DATE(YEAR($E316),MONTH($E316),1))))</f>
        <v>0</v>
      </c>
    </row>
    <row r="317" spans="1:20" ht="18" customHeight="1" x14ac:dyDescent="0.3">
      <c r="A317" s="2"/>
      <c r="B317" s="65" t="str">
        <f t="shared" si="20"/>
        <v>T00311</v>
      </c>
      <c r="C317" s="65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M015</v>
      </c>
      <c r="D317" s="61" t="s">
        <v>723</v>
      </c>
      <c r="E317" s="66">
        <v>46165</v>
      </c>
      <c r="F317" s="67">
        <v>3000</v>
      </c>
      <c r="G317" s="60" t="s">
        <v>713</v>
      </c>
      <c r="H317" s="60" t="s">
        <v>568</v>
      </c>
      <c r="I317" s="61"/>
      <c r="J317" s="61" t="s">
        <v>717</v>
      </c>
      <c r="K317" s="61"/>
      <c r="L317" s="73">
        <f t="shared" si="21"/>
        <v>46143</v>
      </c>
      <c r="M317" s="65" t="str">
        <f t="shared" ca="1" si="22"/>
        <v>UYGUN</v>
      </c>
      <c r="N317" s="74" t="str">
        <f>IF($C317="","",IF($C317="TANIMSIZ MÜŞTERİ","—",INDEX(MUSTERILER!$C$7:$C$156,MATCH($C317,MUSTERILER!$B$7:$B$156,0))))</f>
        <v>ÇAYIRALAN LTD.ŞTİ.</v>
      </c>
      <c r="O317" s="2"/>
      <c r="P317" s="2"/>
      <c r="Q317" s="1" t="str">
        <f>IF($D317="","",$C317&amp;"|"&amp;COUNTIFS($C$7:$C317,$C317))</f>
        <v>M015|17</v>
      </c>
      <c r="R317" s="1" t="str">
        <f t="shared" si="23"/>
        <v>CAYIRALANLTDSTI</v>
      </c>
      <c r="S317" s="1" t="str">
        <f t="shared" si="24"/>
        <v>M015|46165|3000|</v>
      </c>
      <c r="T317" s="1">
        <f>IF($E317="",0,SUMPRODUCT((AY_SONU!$O$7:$O$42="Evet")*(AY_SONU!$B$7:$B$42=DATE(YEAR($E317),MONTH($E317),1))))</f>
        <v>0</v>
      </c>
    </row>
    <row r="318" spans="1:20" ht="18" customHeight="1" x14ac:dyDescent="0.3">
      <c r="A318" s="2"/>
      <c r="B318" s="65" t="str">
        <f t="shared" si="20"/>
        <v>T00312</v>
      </c>
      <c r="C318" s="65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M011</v>
      </c>
      <c r="D318" s="61" t="s">
        <v>724</v>
      </c>
      <c r="E318" s="66">
        <v>46165</v>
      </c>
      <c r="F318" s="67">
        <v>4000</v>
      </c>
      <c r="G318" s="60" t="s">
        <v>713</v>
      </c>
      <c r="H318" s="60" t="s">
        <v>568</v>
      </c>
      <c r="I318" s="61"/>
      <c r="J318" s="61" t="s">
        <v>717</v>
      </c>
      <c r="K318" s="61"/>
      <c r="L318" s="73">
        <f t="shared" si="21"/>
        <v>46143</v>
      </c>
      <c r="M318" s="65" t="str">
        <f t="shared" ca="1" si="22"/>
        <v>UYGUN</v>
      </c>
      <c r="N318" s="74" t="str">
        <f>IF($C318="","",IF($C318="TANIMSIZ MÜŞTERİ","—",INDEX(MUSTERILER!$C$7:$C$156,MATCH($C318,MUSTERILER!$B$7:$B$156,0))))</f>
        <v>EĞLENGÖR LTD.ŞTİ.</v>
      </c>
      <c r="O318" s="2"/>
      <c r="P318" s="2"/>
      <c r="Q318" s="1" t="str">
        <f>IF($D318="","",$C318&amp;"|"&amp;COUNTIFS($C$7:$C318,$C318))</f>
        <v>M011|19</v>
      </c>
      <c r="R318" s="1" t="str">
        <f t="shared" si="23"/>
        <v>EGLENGORLTDSTI</v>
      </c>
      <c r="S318" s="1" t="str">
        <f t="shared" si="24"/>
        <v>M011|46165|4000|</v>
      </c>
      <c r="T318" s="1">
        <f>IF($E318="",0,SUMPRODUCT((AY_SONU!$O$7:$O$42="Evet")*(AY_SONU!$B$7:$B$42=DATE(YEAR($E318),MONTH($E318),1))))</f>
        <v>0</v>
      </c>
    </row>
    <row r="319" spans="1:20" ht="18" customHeight="1" x14ac:dyDescent="0.3">
      <c r="A319" s="2"/>
      <c r="B319" s="65" t="str">
        <f t="shared" si="20"/>
        <v>T00313</v>
      </c>
      <c r="C319" s="65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M014</v>
      </c>
      <c r="D319" s="61" t="s">
        <v>725</v>
      </c>
      <c r="E319" s="66">
        <v>46165</v>
      </c>
      <c r="F319" s="67">
        <v>4000</v>
      </c>
      <c r="G319" s="60" t="s">
        <v>713</v>
      </c>
      <c r="H319" s="60" t="s">
        <v>568</v>
      </c>
      <c r="I319" s="61"/>
      <c r="J319" s="61" t="s">
        <v>717</v>
      </c>
      <c r="K319" s="61"/>
      <c r="L319" s="73">
        <f t="shared" si="21"/>
        <v>46143</v>
      </c>
      <c r="M319" s="65" t="str">
        <f t="shared" ca="1" si="22"/>
        <v>UYGUN</v>
      </c>
      <c r="N319" s="74" t="str">
        <f>IF($C319="","",IF($C319="TANIMSIZ MÜŞTERİ","—",INDEX(MUSTERILER!$C$7:$C$156,MATCH($C319,MUSTERILER!$B$7:$B$156,0))))</f>
        <v>FİNAL SİYAH BEYAZ LTD.ŞTİ.</v>
      </c>
      <c r="O319" s="2"/>
      <c r="P319" s="2"/>
      <c r="Q319" s="1" t="str">
        <f>IF($D319="","",$C319&amp;"|"&amp;COUNTIFS($C$7:$C319,$C319))</f>
        <v>M014|18</v>
      </c>
      <c r="R319" s="1" t="str">
        <f t="shared" si="23"/>
        <v>FINALSIYAHBEYAZLTDSTI</v>
      </c>
      <c r="S319" s="1" t="str">
        <f t="shared" si="24"/>
        <v>M014|46165|4000|</v>
      </c>
      <c r="T319" s="1">
        <f>IF($E319="",0,SUMPRODUCT((AY_SONU!$O$7:$O$42="Evet")*(AY_SONU!$B$7:$B$42=DATE(YEAR($E319),MONTH($E319),1))))</f>
        <v>0</v>
      </c>
    </row>
    <row r="320" spans="1:20" ht="18" customHeight="1" x14ac:dyDescent="0.3">
      <c r="A320" s="2"/>
      <c r="B320" s="65" t="str">
        <f t="shared" si="20"/>
        <v>T00314</v>
      </c>
      <c r="C320" s="65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M012</v>
      </c>
      <c r="D320" s="61" t="s">
        <v>727</v>
      </c>
      <c r="E320" s="66">
        <v>46165</v>
      </c>
      <c r="F320" s="67">
        <v>4000</v>
      </c>
      <c r="G320" s="60" t="s">
        <v>713</v>
      </c>
      <c r="H320" s="60" t="s">
        <v>568</v>
      </c>
      <c r="I320" s="61"/>
      <c r="J320" s="61" t="s">
        <v>717</v>
      </c>
      <c r="K320" s="61"/>
      <c r="L320" s="73">
        <f t="shared" si="21"/>
        <v>46143</v>
      </c>
      <c r="M320" s="65" t="str">
        <f t="shared" ca="1" si="22"/>
        <v>UYGUN</v>
      </c>
      <c r="N320" s="74" t="str">
        <f>IF($C320="","",IF($C320="TANIMSIZ MÜŞTERİ","—",INDEX(MUSTERILER!$C$7:$C$156,MATCH($C320,MUSTERILER!$B$7:$B$156,0))))</f>
        <v>İLDEŞ LTD.ŞTİ.</v>
      </c>
      <c r="O320" s="2"/>
      <c r="P320" s="2"/>
      <c r="Q320" s="1" t="str">
        <f>IF($D320="","",$C320&amp;"|"&amp;COUNTIFS($C$7:$C320,$C320))</f>
        <v>M012|19</v>
      </c>
      <c r="R320" s="1" t="str">
        <f t="shared" si="23"/>
        <v>ILDESLTDSTI</v>
      </c>
      <c r="S320" s="1" t="str">
        <f t="shared" si="24"/>
        <v>M012|46165|4000|</v>
      </c>
      <c r="T320" s="1">
        <f>IF($E320="",0,SUMPRODUCT((AY_SONU!$O$7:$O$42="Evet")*(AY_SONU!$B$7:$B$42=DATE(YEAR($E320),MONTH($E320),1))))</f>
        <v>0</v>
      </c>
    </row>
    <row r="321" spans="1:20" ht="18" customHeight="1" x14ac:dyDescent="0.3">
      <c r="A321" s="2"/>
      <c r="B321" s="65" t="str">
        <f t="shared" si="20"/>
        <v>T00315</v>
      </c>
      <c r="C321" s="65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M007</v>
      </c>
      <c r="D321" s="61" t="s">
        <v>728</v>
      </c>
      <c r="E321" s="66">
        <v>46165</v>
      </c>
      <c r="F321" s="67">
        <v>3500</v>
      </c>
      <c r="G321" s="60" t="s">
        <v>713</v>
      </c>
      <c r="H321" s="60" t="s">
        <v>568</v>
      </c>
      <c r="I321" s="61"/>
      <c r="J321" s="61" t="s">
        <v>717</v>
      </c>
      <c r="K321" s="61"/>
      <c r="L321" s="73">
        <f t="shared" si="21"/>
        <v>46143</v>
      </c>
      <c r="M321" s="65" t="str">
        <f t="shared" ca="1" si="22"/>
        <v>UYGUN</v>
      </c>
      <c r="N321" s="74" t="str">
        <f>IF($C321="","",IF($C321="TANIMSIZ MÜŞTERİ","—",INDEX(MUSTERILER!$C$7:$C$156,MATCH($C321,MUSTERILER!$B$7:$B$156,0))))</f>
        <v>MONAMOUR LTD.ŞTİ.</v>
      </c>
      <c r="O321" s="2"/>
      <c r="P321" s="2"/>
      <c r="Q321" s="1" t="str">
        <f>IF($D321="","",$C321&amp;"|"&amp;COUNTIFS($C$7:$C321,$C321))</f>
        <v>M007|16</v>
      </c>
      <c r="R321" s="1" t="str">
        <f t="shared" si="23"/>
        <v>MONAMOURLTDSTI</v>
      </c>
      <c r="S321" s="1" t="str">
        <f t="shared" si="24"/>
        <v>M007|46165|3500|</v>
      </c>
      <c r="T321" s="1">
        <f>IF($E321="",0,SUMPRODUCT((AY_SONU!$O$7:$O$42="Evet")*(AY_SONU!$B$7:$B$42=DATE(YEAR($E321),MONTH($E321),1))))</f>
        <v>0</v>
      </c>
    </row>
    <row r="322" spans="1:20" ht="18" customHeight="1" x14ac:dyDescent="0.3">
      <c r="A322" s="2"/>
      <c r="B322" s="65" t="str">
        <f t="shared" si="20"/>
        <v>T00316</v>
      </c>
      <c r="C322" s="65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M009</v>
      </c>
      <c r="D322" s="61" t="s">
        <v>730</v>
      </c>
      <c r="E322" s="66">
        <v>46165</v>
      </c>
      <c r="F322" s="67">
        <v>4000</v>
      </c>
      <c r="G322" s="60" t="s">
        <v>713</v>
      </c>
      <c r="H322" s="60" t="s">
        <v>568</v>
      </c>
      <c r="I322" s="61"/>
      <c r="J322" s="61" t="s">
        <v>717</v>
      </c>
      <c r="K322" s="61"/>
      <c r="L322" s="73">
        <f t="shared" si="21"/>
        <v>46143</v>
      </c>
      <c r="M322" s="65" t="str">
        <f t="shared" ca="1" si="22"/>
        <v>UYGUN</v>
      </c>
      <c r="N322" s="74" t="str">
        <f>IF($C322="","",IF($C322="TANIMSIZ MÜŞTERİ","—",INDEX(MUSTERILER!$C$7:$C$156,MATCH($C322,MUSTERILER!$B$7:$B$156,0))))</f>
        <v>PAKYILDIZ LTD.ŞTİ.</v>
      </c>
      <c r="O322" s="2"/>
      <c r="P322" s="2"/>
      <c r="Q322" s="1" t="str">
        <f>IF($D322="","",$C322&amp;"|"&amp;COUNTIFS($C$7:$C322,$C322))</f>
        <v>M009|16</v>
      </c>
      <c r="R322" s="1" t="str">
        <f t="shared" si="23"/>
        <v>PAKYILDIZLTDSTI</v>
      </c>
      <c r="S322" s="1" t="str">
        <f t="shared" si="24"/>
        <v>M009|46165|4000|</v>
      </c>
      <c r="T322" s="1">
        <f>IF($E322="",0,SUMPRODUCT((AY_SONU!$O$7:$O$42="Evet")*(AY_SONU!$B$7:$B$42=DATE(YEAR($E322),MONTH($E322),1))))</f>
        <v>0</v>
      </c>
    </row>
    <row r="323" spans="1:20" ht="18" customHeight="1" x14ac:dyDescent="0.3">
      <c r="A323" s="2"/>
      <c r="B323" s="65" t="str">
        <f t="shared" si="20"/>
        <v>T00317</v>
      </c>
      <c r="C323" s="65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M016</v>
      </c>
      <c r="D323" s="61" t="s">
        <v>731</v>
      </c>
      <c r="E323" s="66">
        <v>46165</v>
      </c>
      <c r="F323" s="67">
        <v>3000</v>
      </c>
      <c r="G323" s="60" t="s">
        <v>713</v>
      </c>
      <c r="H323" s="60" t="s">
        <v>568</v>
      </c>
      <c r="I323" s="61"/>
      <c r="J323" s="61" t="s">
        <v>717</v>
      </c>
      <c r="K323" s="61"/>
      <c r="L323" s="73">
        <f t="shared" si="21"/>
        <v>46143</v>
      </c>
      <c r="M323" s="65" t="str">
        <f t="shared" ca="1" si="22"/>
        <v>UYGUN</v>
      </c>
      <c r="N323" s="74" t="str">
        <f>IF($C323="","",IF($C323="TANIMSIZ MÜŞTERİ","—",INDEX(MUSTERILER!$C$7:$C$156,MATCH($C323,MUSTERILER!$B$7:$B$156,0))))</f>
        <v>RİX ŞOW LTD.ŞTİ.</v>
      </c>
      <c r="O323" s="2"/>
      <c r="P323" s="2"/>
      <c r="Q323" s="1" t="str">
        <f>IF($D323="","",$C323&amp;"|"&amp;COUNTIFS($C$7:$C323,$C323))</f>
        <v>M016|19</v>
      </c>
      <c r="R323" s="1" t="str">
        <f t="shared" si="23"/>
        <v>RIXSOWLTDSTI</v>
      </c>
      <c r="S323" s="1" t="str">
        <f t="shared" si="24"/>
        <v>M016|46165|3000|</v>
      </c>
      <c r="T323" s="1">
        <f>IF($E323="",0,SUMPRODUCT((AY_SONU!$O$7:$O$42="Evet")*(AY_SONU!$B$7:$B$42=DATE(YEAR($E323),MONTH($E323),1))))</f>
        <v>0</v>
      </c>
    </row>
    <row r="324" spans="1:20" ht="18" customHeight="1" x14ac:dyDescent="0.3">
      <c r="A324" s="2"/>
      <c r="B324" s="65" t="str">
        <f t="shared" si="20"/>
        <v>T00318</v>
      </c>
      <c r="C324" s="65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M018</v>
      </c>
      <c r="D324" s="61" t="s">
        <v>589</v>
      </c>
      <c r="E324" s="66">
        <v>46165</v>
      </c>
      <c r="F324" s="67">
        <v>2500</v>
      </c>
      <c r="G324" s="60" t="s">
        <v>713</v>
      </c>
      <c r="H324" s="60" t="s">
        <v>568</v>
      </c>
      <c r="I324" s="61"/>
      <c r="J324" s="61" t="s">
        <v>717</v>
      </c>
      <c r="K324" s="61"/>
      <c r="L324" s="73">
        <f t="shared" si="21"/>
        <v>46143</v>
      </c>
      <c r="M324" s="65" t="str">
        <f t="shared" ca="1" si="22"/>
        <v>UYGUN</v>
      </c>
      <c r="N324" s="74" t="str">
        <f>IF($C324="","",IF($C324="TANIMSIZ MÜŞTERİ","—",INDEX(MUSTERILER!$C$7:$C$156,MATCH($C324,MUSTERILER!$B$7:$B$156,0))))</f>
        <v>ÇINARHAN LTD.ŞTİ.</v>
      </c>
      <c r="O324" s="2"/>
      <c r="P324" s="2"/>
      <c r="Q324" s="1" t="str">
        <f>IF($D324="","",$C324&amp;"|"&amp;COUNTIFS($C$7:$C324,$C324))</f>
        <v>M018|14</v>
      </c>
      <c r="R324" s="1" t="str">
        <f t="shared" si="23"/>
        <v>CINARHANLTDSTI</v>
      </c>
      <c r="S324" s="1" t="str">
        <f t="shared" si="24"/>
        <v>M018|46165|2500|</v>
      </c>
      <c r="T324" s="1">
        <f>IF($E324="",0,SUMPRODUCT((AY_SONU!$O$7:$O$42="Evet")*(AY_SONU!$B$7:$B$42=DATE(YEAR($E324),MONTH($E324),1))))</f>
        <v>0</v>
      </c>
    </row>
    <row r="325" spans="1:20" ht="18" customHeight="1" x14ac:dyDescent="0.3">
      <c r="A325" s="2"/>
      <c r="B325" s="65" t="str">
        <f t="shared" si="20"/>
        <v>T00319</v>
      </c>
      <c r="C325" s="65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M054</v>
      </c>
      <c r="D325" s="61" t="s">
        <v>669</v>
      </c>
      <c r="E325" s="66">
        <v>46165</v>
      </c>
      <c r="F325" s="67">
        <v>4000</v>
      </c>
      <c r="G325" s="60" t="s">
        <v>713</v>
      </c>
      <c r="H325" s="60" t="s">
        <v>568</v>
      </c>
      <c r="I325" s="61"/>
      <c r="J325" s="61" t="s">
        <v>717</v>
      </c>
      <c r="K325" s="61"/>
      <c r="L325" s="73">
        <f t="shared" si="21"/>
        <v>46143</v>
      </c>
      <c r="M325" s="65" t="str">
        <f t="shared" ca="1" si="22"/>
        <v>UYGUN</v>
      </c>
      <c r="N325" s="74" t="str">
        <f>IF($C325="","",IF($C325="TANIMSIZ MÜŞTERİ","—",INDEX(MUSTERILER!$C$7:$C$156,MATCH($C325,MUSTERILER!$B$7:$B$156,0))))</f>
        <v>YALIKENT LTD.ŞTİ.</v>
      </c>
      <c r="O325" s="2"/>
      <c r="P325" s="2"/>
      <c r="Q325" s="1" t="str">
        <f>IF($D325="","",$C325&amp;"|"&amp;COUNTIFS($C$7:$C325,$C325))</f>
        <v>M054|9</v>
      </c>
      <c r="R325" s="1" t="str">
        <f t="shared" si="23"/>
        <v>YALIKENTLTDSTI</v>
      </c>
      <c r="S325" s="1" t="str">
        <f t="shared" si="24"/>
        <v>M054|46165|4000|</v>
      </c>
      <c r="T325" s="1">
        <f>IF($E325="",0,SUMPRODUCT((AY_SONU!$O$7:$O$42="Evet")*(AY_SONU!$B$7:$B$42=DATE(YEAR($E325),MONTH($E325),1))))</f>
        <v>0</v>
      </c>
    </row>
    <row r="326" spans="1:20" ht="18" customHeight="1" x14ac:dyDescent="0.3">
      <c r="A326" s="2"/>
      <c r="B326" s="65" t="str">
        <f t="shared" si="20"/>
        <v>T00320</v>
      </c>
      <c r="C326" s="65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M030</v>
      </c>
      <c r="D326" s="61" t="s">
        <v>599</v>
      </c>
      <c r="E326" s="66">
        <v>46168</v>
      </c>
      <c r="F326" s="67">
        <v>2000</v>
      </c>
      <c r="G326" s="60" t="s">
        <v>713</v>
      </c>
      <c r="H326" s="60" t="s">
        <v>568</v>
      </c>
      <c r="I326" s="61"/>
      <c r="J326" s="61" t="s">
        <v>717</v>
      </c>
      <c r="K326" s="61"/>
      <c r="L326" s="73">
        <f t="shared" si="21"/>
        <v>46143</v>
      </c>
      <c r="M326" s="65" t="str">
        <f t="shared" ca="1" si="22"/>
        <v>UYGUN</v>
      </c>
      <c r="N326" s="74" t="str">
        <f>IF($C326="","",IF($C326="TANIMSIZ MÜŞTERİ","—",INDEX(MUSTERILER!$C$7:$C$156,MATCH($C326,MUSTERILER!$B$7:$B$156,0))))</f>
        <v>FARUK DEMİRCİ</v>
      </c>
      <c r="O326" s="2"/>
      <c r="P326" s="2"/>
      <c r="Q326" s="1" t="str">
        <f>IF($D326="","",$C326&amp;"|"&amp;COUNTIFS($C$7:$C326,$C326))</f>
        <v>M030|1</v>
      </c>
      <c r="R326" s="1" t="str">
        <f t="shared" si="23"/>
        <v>FARUKDEMIRCI</v>
      </c>
      <c r="S326" s="1" t="str">
        <f t="shared" si="24"/>
        <v>M030|46168|2000|</v>
      </c>
      <c r="T326" s="1">
        <f>IF($E326="",0,SUMPRODUCT((AY_SONU!$O$7:$O$42="Evet")*(AY_SONU!$B$7:$B$42=DATE(YEAR($E326),MONTH($E326),1))))</f>
        <v>0</v>
      </c>
    </row>
    <row r="327" spans="1:20" ht="18" customHeight="1" x14ac:dyDescent="0.3">
      <c r="A327" s="2"/>
      <c r="B327" s="65" t="str">
        <f t="shared" ref="B327:B390" si="25">IF($D327="","","T"&amp;TEXT(ROW()-6,"00000"))</f>
        <v>T00321</v>
      </c>
      <c r="C327" s="65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M005</v>
      </c>
      <c r="D327" s="61" t="s">
        <v>732</v>
      </c>
      <c r="E327" s="66">
        <v>46168</v>
      </c>
      <c r="F327" s="67">
        <v>1500</v>
      </c>
      <c r="G327" s="60" t="s">
        <v>713</v>
      </c>
      <c r="H327" s="60" t="s">
        <v>568</v>
      </c>
      <c r="I327" s="61"/>
      <c r="J327" s="61" t="s">
        <v>717</v>
      </c>
      <c r="K327" s="61"/>
      <c r="L327" s="73">
        <f t="shared" ref="L327:L390" si="26">IF($E327="","",DATE(YEAR($E327),MONTH($E327),1))</f>
        <v>46143</v>
      </c>
      <c r="M327" s="65" t="str">
        <f t="shared" ref="M327:M390" ca="1" si="27">IF($D327="","",IF($C327="TANIMSIZ MÜŞTERİ","HATA",IF(OR($E327="",$F327&lt;=0,$G327=""),"EKSİK",IF($E327&gt;TODAY(),"İLERİ TARİH",IF(COUNTIF($S$7:$S$2506,$S327)&gt;1,"MÜKERRER?",IF($T327&gt;0,"KAPALI DÖNEM","UYGUN"))))))</f>
        <v>UYGUN</v>
      </c>
      <c r="N327" s="74" t="str">
        <f>IF($C327="","",IF($C327="TANIMSIZ MÜŞTERİ","—",INDEX(MUSTERILER!$C$7:$C$156,MATCH($C327,MUSTERILER!$B$7:$B$156,0))))</f>
        <v>ZÜMRÜT GRUP LTD.ŞTİ.</v>
      </c>
      <c r="O327" s="2"/>
      <c r="P327" s="2"/>
      <c r="Q327" s="1" t="str">
        <f>IF($D327="","",$C327&amp;"|"&amp;COUNTIFS($C$7:$C327,$C327))</f>
        <v>M005|16</v>
      </c>
      <c r="R327" s="1" t="str">
        <f t="shared" ref="R327:R390" si="28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ZUMRUTGRUPLTDSTI</v>
      </c>
      <c r="S327" s="1" t="str">
        <f t="shared" ref="S327:S390" si="29">IF($D327="","",$C327&amp;"|"&amp;TEXT($E327,"0")&amp;"|"&amp;TEXT($F327,"0")&amp;"|"&amp;$I327)</f>
        <v>M005|46168|1500|</v>
      </c>
      <c r="T327" s="1">
        <f>IF($E327="",0,SUMPRODUCT((AY_SONU!$O$7:$O$42="Evet")*(AY_SONU!$B$7:$B$42=DATE(YEAR($E327),MONTH($E327),1))))</f>
        <v>0</v>
      </c>
    </row>
    <row r="328" spans="1:20" ht="18" customHeight="1" x14ac:dyDescent="0.3">
      <c r="A328" s="2"/>
      <c r="B328" s="65" t="str">
        <f t="shared" si="25"/>
        <v>T00322</v>
      </c>
      <c r="C328" s="65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M037</v>
      </c>
      <c r="D328" s="61" t="s">
        <v>621</v>
      </c>
      <c r="E328" s="66">
        <v>46169</v>
      </c>
      <c r="F328" s="67">
        <v>2000</v>
      </c>
      <c r="G328" s="60" t="s">
        <v>713</v>
      </c>
      <c r="H328" s="60" t="s">
        <v>568</v>
      </c>
      <c r="I328" s="61"/>
      <c r="J328" s="61" t="s">
        <v>717</v>
      </c>
      <c r="K328" s="61"/>
      <c r="L328" s="73">
        <f t="shared" si="26"/>
        <v>46143</v>
      </c>
      <c r="M328" s="65" t="str">
        <f t="shared" ca="1" si="27"/>
        <v>UYGUN</v>
      </c>
      <c r="N328" s="74" t="str">
        <f>IF($C328="","",IF($C328="TANIMSIZ MÜŞTERİ","—",INDEX(MUSTERILER!$C$7:$C$156,MATCH($C328,MUSTERILER!$B$7:$B$156,0))))</f>
        <v>MEHMET EVREN KILINÇ</v>
      </c>
      <c r="O328" s="2"/>
      <c r="P328" s="2"/>
      <c r="Q328" s="1" t="str">
        <f>IF($D328="","",$C328&amp;"|"&amp;COUNTIFS($C$7:$C328,$C328))</f>
        <v>M037|4</v>
      </c>
      <c r="R328" s="1" t="str">
        <f t="shared" si="28"/>
        <v>MEHMETEVRENKILINC</v>
      </c>
      <c r="S328" s="1" t="str">
        <f t="shared" si="29"/>
        <v>M037|46169|2000|</v>
      </c>
      <c r="T328" s="1">
        <f>IF($E328="",0,SUMPRODUCT((AY_SONU!$O$7:$O$42="Evet")*(AY_SONU!$B$7:$B$42=DATE(YEAR($E328),MONTH($E328),1))))</f>
        <v>0</v>
      </c>
    </row>
    <row r="329" spans="1:20" ht="18" customHeight="1" x14ac:dyDescent="0.3">
      <c r="A329" s="2"/>
      <c r="B329" s="65" t="str">
        <f t="shared" si="25"/>
        <v>T00323</v>
      </c>
      <c r="C329" s="65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M001</v>
      </c>
      <c r="D329" s="61" t="s">
        <v>722</v>
      </c>
      <c r="E329" s="66">
        <v>46172</v>
      </c>
      <c r="F329" s="67">
        <v>4000</v>
      </c>
      <c r="G329" s="60" t="s">
        <v>713</v>
      </c>
      <c r="H329" s="60" t="s">
        <v>568</v>
      </c>
      <c r="I329" s="61"/>
      <c r="J329" s="61" t="s">
        <v>717</v>
      </c>
      <c r="K329" s="61"/>
      <c r="L329" s="73">
        <f t="shared" si="26"/>
        <v>46143</v>
      </c>
      <c r="M329" s="65" t="str">
        <f t="shared" ca="1" si="27"/>
        <v>UYGUN</v>
      </c>
      <c r="N329" s="74" t="str">
        <f>IF($C329="","",IF($C329="TANIMSIZ MÜŞTERİ","—",INDEX(MUSTERILER!$C$7:$C$156,MATCH($C329,MUSTERILER!$B$7:$B$156,0))))</f>
        <v>ANKARA HAVANA LTD.ŞTİ.</v>
      </c>
      <c r="O329" s="2"/>
      <c r="P329" s="2"/>
      <c r="Q329" s="1" t="str">
        <f>IF($D329="","",$C329&amp;"|"&amp;COUNTIFS($C$7:$C329,$C329))</f>
        <v>M001|10</v>
      </c>
      <c r="R329" s="1" t="str">
        <f t="shared" si="28"/>
        <v>ANKARAHAVANALTDSTI</v>
      </c>
      <c r="S329" s="1" t="str">
        <f t="shared" si="29"/>
        <v>M001|46172|4000|</v>
      </c>
      <c r="T329" s="1">
        <f>IF($E329="",0,SUMPRODUCT((AY_SONU!$O$7:$O$42="Evet")*(AY_SONU!$B$7:$B$42=DATE(YEAR($E329),MONTH($E329),1))))</f>
        <v>0</v>
      </c>
    </row>
    <row r="330" spans="1:20" ht="18" customHeight="1" x14ac:dyDescent="0.3">
      <c r="A330" s="2"/>
      <c r="B330" s="65" t="str">
        <f t="shared" si="25"/>
        <v>T00324</v>
      </c>
      <c r="C330" s="65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M025</v>
      </c>
      <c r="D330" s="61" t="s">
        <v>579</v>
      </c>
      <c r="E330" s="66">
        <v>46172</v>
      </c>
      <c r="F330" s="67">
        <v>2000</v>
      </c>
      <c r="G330" s="60" t="s">
        <v>713</v>
      </c>
      <c r="H330" s="60" t="s">
        <v>568</v>
      </c>
      <c r="I330" s="61"/>
      <c r="J330" s="61" t="s">
        <v>717</v>
      </c>
      <c r="K330" s="61"/>
      <c r="L330" s="73">
        <f t="shared" si="26"/>
        <v>46143</v>
      </c>
      <c r="M330" s="65" t="str">
        <f t="shared" ca="1" si="27"/>
        <v>UYGUN</v>
      </c>
      <c r="N330" s="74" t="str">
        <f>IF($C330="","",IF($C330="TANIMSIZ MÜŞTERİ","—",INDEX(MUSTERILER!$C$7:$C$156,MATCH($C330,MUSTERILER!$B$7:$B$156,0))))</f>
        <v>ASIM AÇIKGÖZ</v>
      </c>
      <c r="O330" s="2"/>
      <c r="P330" s="2"/>
      <c r="Q330" s="1" t="str">
        <f>IF($D330="","",$C330&amp;"|"&amp;COUNTIFS($C$7:$C330,$C330))</f>
        <v>M025|16</v>
      </c>
      <c r="R330" s="1" t="str">
        <f t="shared" si="28"/>
        <v>ASIMACIKGOZ</v>
      </c>
      <c r="S330" s="1" t="str">
        <f t="shared" si="29"/>
        <v>M025|46172|2000|</v>
      </c>
      <c r="T330" s="1">
        <f>IF($E330="",0,SUMPRODUCT((AY_SONU!$O$7:$O$42="Evet")*(AY_SONU!$B$7:$B$42=DATE(YEAR($E330),MONTH($E330),1))))</f>
        <v>0</v>
      </c>
    </row>
    <row r="331" spans="1:20" ht="18" customHeight="1" x14ac:dyDescent="0.3">
      <c r="A331" s="2"/>
      <c r="B331" s="65" t="str">
        <f t="shared" si="25"/>
        <v>T00325</v>
      </c>
      <c r="C331" s="65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M017</v>
      </c>
      <c r="D331" s="61" t="s">
        <v>581</v>
      </c>
      <c r="E331" s="66">
        <v>46172</v>
      </c>
      <c r="F331" s="67">
        <v>2500</v>
      </c>
      <c r="G331" s="60" t="s">
        <v>713</v>
      </c>
      <c r="H331" s="60" t="s">
        <v>568</v>
      </c>
      <c r="I331" s="61"/>
      <c r="J331" s="61" t="s">
        <v>717</v>
      </c>
      <c r="K331" s="61"/>
      <c r="L331" s="73">
        <f t="shared" si="26"/>
        <v>46143</v>
      </c>
      <c r="M331" s="65" t="str">
        <f t="shared" ca="1" si="27"/>
        <v>UYGUN</v>
      </c>
      <c r="N331" s="74" t="str">
        <f>IF($C331="","",IF($C331="TANIMSIZ MÜŞTERİ","—",INDEX(MUSTERILER!$C$7:$C$156,MATCH($C331,MUSTERILER!$B$7:$B$156,0))))</f>
        <v>ASM EĞLENCE LTD.ŞTİ.</v>
      </c>
      <c r="O331" s="2"/>
      <c r="P331" s="2"/>
      <c r="Q331" s="1" t="str">
        <f>IF($D331="","",$C331&amp;"|"&amp;COUNTIFS($C$7:$C331,$C331))</f>
        <v>M017|17</v>
      </c>
      <c r="R331" s="1" t="str">
        <f t="shared" si="28"/>
        <v>ASMEGLENCELTDSTI</v>
      </c>
      <c r="S331" s="1" t="str">
        <f t="shared" si="29"/>
        <v>M017|46172|2500|</v>
      </c>
      <c r="T331" s="1">
        <f>IF($E331="",0,SUMPRODUCT((AY_SONU!$O$7:$O$42="Evet")*(AY_SONU!$B$7:$B$42=DATE(YEAR($E331),MONTH($E331),1))))</f>
        <v>0</v>
      </c>
    </row>
    <row r="332" spans="1:20" ht="18" customHeight="1" x14ac:dyDescent="0.3">
      <c r="A332" s="2"/>
      <c r="B332" s="65" t="str">
        <f t="shared" si="25"/>
        <v>T00326</v>
      </c>
      <c r="C332" s="65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M015</v>
      </c>
      <c r="D332" s="61" t="s">
        <v>723</v>
      </c>
      <c r="E332" s="66">
        <v>46172</v>
      </c>
      <c r="F332" s="67">
        <v>3000</v>
      </c>
      <c r="G332" s="60" t="s">
        <v>713</v>
      </c>
      <c r="H332" s="60" t="s">
        <v>568</v>
      </c>
      <c r="I332" s="61"/>
      <c r="J332" s="61" t="s">
        <v>717</v>
      </c>
      <c r="K332" s="61"/>
      <c r="L332" s="73">
        <f t="shared" si="26"/>
        <v>46143</v>
      </c>
      <c r="M332" s="65" t="str">
        <f t="shared" ca="1" si="27"/>
        <v>UYGUN</v>
      </c>
      <c r="N332" s="74" t="str">
        <f>IF($C332="","",IF($C332="TANIMSIZ MÜŞTERİ","—",INDEX(MUSTERILER!$C$7:$C$156,MATCH($C332,MUSTERILER!$B$7:$B$156,0))))</f>
        <v>ÇAYIRALAN LTD.ŞTİ.</v>
      </c>
      <c r="O332" s="2"/>
      <c r="P332" s="2"/>
      <c r="Q332" s="1" t="str">
        <f>IF($D332="","",$C332&amp;"|"&amp;COUNTIFS($C$7:$C332,$C332))</f>
        <v>M015|18</v>
      </c>
      <c r="R332" s="1" t="str">
        <f t="shared" si="28"/>
        <v>CAYIRALANLTDSTI</v>
      </c>
      <c r="S332" s="1" t="str">
        <f t="shared" si="29"/>
        <v>M015|46172|3000|</v>
      </c>
      <c r="T332" s="1">
        <f>IF($E332="",0,SUMPRODUCT((AY_SONU!$O$7:$O$42="Evet")*(AY_SONU!$B$7:$B$42=DATE(YEAR($E332),MONTH($E332),1))))</f>
        <v>0</v>
      </c>
    </row>
    <row r="333" spans="1:20" ht="18" customHeight="1" x14ac:dyDescent="0.3">
      <c r="A333" s="2"/>
      <c r="B333" s="65" t="str">
        <f t="shared" si="25"/>
        <v>T00327</v>
      </c>
      <c r="C333" s="65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M011</v>
      </c>
      <c r="D333" s="61" t="s">
        <v>724</v>
      </c>
      <c r="E333" s="66">
        <v>46172</v>
      </c>
      <c r="F333" s="67">
        <v>4000</v>
      </c>
      <c r="G333" s="60" t="s">
        <v>713</v>
      </c>
      <c r="H333" s="60" t="s">
        <v>568</v>
      </c>
      <c r="I333" s="61"/>
      <c r="J333" s="61" t="s">
        <v>717</v>
      </c>
      <c r="K333" s="61"/>
      <c r="L333" s="73">
        <f t="shared" si="26"/>
        <v>46143</v>
      </c>
      <c r="M333" s="65" t="str">
        <f t="shared" ca="1" si="27"/>
        <v>UYGUN</v>
      </c>
      <c r="N333" s="74" t="str">
        <f>IF($C333="","",IF($C333="TANIMSIZ MÜŞTERİ","—",INDEX(MUSTERILER!$C$7:$C$156,MATCH($C333,MUSTERILER!$B$7:$B$156,0))))</f>
        <v>EĞLENGÖR LTD.ŞTİ.</v>
      </c>
      <c r="O333" s="2"/>
      <c r="P333" s="2"/>
      <c r="Q333" s="1" t="str">
        <f>IF($D333="","",$C333&amp;"|"&amp;COUNTIFS($C$7:$C333,$C333))</f>
        <v>M011|20</v>
      </c>
      <c r="R333" s="1" t="str">
        <f t="shared" si="28"/>
        <v>EGLENGORLTDSTI</v>
      </c>
      <c r="S333" s="1" t="str">
        <f t="shared" si="29"/>
        <v>M011|46172|4000|</v>
      </c>
      <c r="T333" s="1">
        <f>IF($E333="",0,SUMPRODUCT((AY_SONU!$O$7:$O$42="Evet")*(AY_SONU!$B$7:$B$42=DATE(YEAR($E333),MONTH($E333),1))))</f>
        <v>0</v>
      </c>
    </row>
    <row r="334" spans="1:20" ht="18" customHeight="1" x14ac:dyDescent="0.3">
      <c r="A334" s="2"/>
      <c r="B334" s="65" t="str">
        <f t="shared" si="25"/>
        <v>T00328</v>
      </c>
      <c r="C334" s="65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M014</v>
      </c>
      <c r="D334" s="61" t="s">
        <v>725</v>
      </c>
      <c r="E334" s="66">
        <v>46172</v>
      </c>
      <c r="F334" s="67">
        <v>4000</v>
      </c>
      <c r="G334" s="60" t="s">
        <v>713</v>
      </c>
      <c r="H334" s="60" t="s">
        <v>568</v>
      </c>
      <c r="I334" s="61"/>
      <c r="J334" s="61" t="s">
        <v>717</v>
      </c>
      <c r="K334" s="61"/>
      <c r="L334" s="73">
        <f t="shared" si="26"/>
        <v>46143</v>
      </c>
      <c r="M334" s="65" t="str">
        <f t="shared" ca="1" si="27"/>
        <v>UYGUN</v>
      </c>
      <c r="N334" s="74" t="str">
        <f>IF($C334="","",IF($C334="TANIMSIZ MÜŞTERİ","—",INDEX(MUSTERILER!$C$7:$C$156,MATCH($C334,MUSTERILER!$B$7:$B$156,0))))</f>
        <v>FİNAL SİYAH BEYAZ LTD.ŞTİ.</v>
      </c>
      <c r="O334" s="2"/>
      <c r="P334" s="2"/>
      <c r="Q334" s="1" t="str">
        <f>IF($D334="","",$C334&amp;"|"&amp;COUNTIFS($C$7:$C334,$C334))</f>
        <v>M014|19</v>
      </c>
      <c r="R334" s="1" t="str">
        <f t="shared" si="28"/>
        <v>FINALSIYAHBEYAZLTDSTI</v>
      </c>
      <c r="S334" s="1" t="str">
        <f t="shared" si="29"/>
        <v>M014|46172|4000|</v>
      </c>
      <c r="T334" s="1">
        <f>IF($E334="",0,SUMPRODUCT((AY_SONU!$O$7:$O$42="Evet")*(AY_SONU!$B$7:$B$42=DATE(YEAR($E334),MONTH($E334),1))))</f>
        <v>0</v>
      </c>
    </row>
    <row r="335" spans="1:20" ht="18" customHeight="1" x14ac:dyDescent="0.3">
      <c r="A335" s="2"/>
      <c r="B335" s="65" t="str">
        <f t="shared" si="25"/>
        <v>T00329</v>
      </c>
      <c r="C335" s="65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M012</v>
      </c>
      <c r="D335" s="61" t="s">
        <v>727</v>
      </c>
      <c r="E335" s="66">
        <v>46172</v>
      </c>
      <c r="F335" s="67">
        <v>4000</v>
      </c>
      <c r="G335" s="60" t="s">
        <v>713</v>
      </c>
      <c r="H335" s="60" t="s">
        <v>568</v>
      </c>
      <c r="I335" s="61"/>
      <c r="J335" s="61" t="s">
        <v>717</v>
      </c>
      <c r="K335" s="61"/>
      <c r="L335" s="73">
        <f t="shared" si="26"/>
        <v>46143</v>
      </c>
      <c r="M335" s="65" t="str">
        <f t="shared" ca="1" si="27"/>
        <v>UYGUN</v>
      </c>
      <c r="N335" s="74" t="str">
        <f>IF($C335="","",IF($C335="TANIMSIZ MÜŞTERİ","—",INDEX(MUSTERILER!$C$7:$C$156,MATCH($C335,MUSTERILER!$B$7:$B$156,0))))</f>
        <v>İLDEŞ LTD.ŞTİ.</v>
      </c>
      <c r="O335" s="2"/>
      <c r="P335" s="2"/>
      <c r="Q335" s="1" t="str">
        <f>IF($D335="","",$C335&amp;"|"&amp;COUNTIFS($C$7:$C335,$C335))</f>
        <v>M012|20</v>
      </c>
      <c r="R335" s="1" t="str">
        <f t="shared" si="28"/>
        <v>ILDESLTDSTI</v>
      </c>
      <c r="S335" s="1" t="str">
        <f t="shared" si="29"/>
        <v>M012|46172|4000|</v>
      </c>
      <c r="T335" s="1">
        <f>IF($E335="",0,SUMPRODUCT((AY_SONU!$O$7:$O$42="Evet")*(AY_SONU!$B$7:$B$42=DATE(YEAR($E335),MONTH($E335),1))))</f>
        <v>0</v>
      </c>
    </row>
    <row r="336" spans="1:20" ht="18" customHeight="1" x14ac:dyDescent="0.3">
      <c r="A336" s="2"/>
      <c r="B336" s="65" t="str">
        <f t="shared" si="25"/>
        <v>T00330</v>
      </c>
      <c r="C336" s="65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M009</v>
      </c>
      <c r="D336" s="61" t="s">
        <v>730</v>
      </c>
      <c r="E336" s="66">
        <v>46172</v>
      </c>
      <c r="F336" s="67">
        <v>4000</v>
      </c>
      <c r="G336" s="60" t="s">
        <v>713</v>
      </c>
      <c r="H336" s="60" t="s">
        <v>568</v>
      </c>
      <c r="I336" s="61"/>
      <c r="J336" s="61" t="s">
        <v>717</v>
      </c>
      <c r="K336" s="61"/>
      <c r="L336" s="73">
        <f t="shared" si="26"/>
        <v>46143</v>
      </c>
      <c r="M336" s="65" t="str">
        <f t="shared" ca="1" si="27"/>
        <v>UYGUN</v>
      </c>
      <c r="N336" s="74" t="str">
        <f>IF($C336="","",IF($C336="TANIMSIZ MÜŞTERİ","—",INDEX(MUSTERILER!$C$7:$C$156,MATCH($C336,MUSTERILER!$B$7:$B$156,0))))</f>
        <v>PAKYILDIZ LTD.ŞTİ.</v>
      </c>
      <c r="O336" s="2"/>
      <c r="P336" s="2"/>
      <c r="Q336" s="1" t="str">
        <f>IF($D336="","",$C336&amp;"|"&amp;COUNTIFS($C$7:$C336,$C336))</f>
        <v>M009|17</v>
      </c>
      <c r="R336" s="1" t="str">
        <f t="shared" si="28"/>
        <v>PAKYILDIZLTDSTI</v>
      </c>
      <c r="S336" s="1" t="str">
        <f t="shared" si="29"/>
        <v>M009|46172|4000|</v>
      </c>
      <c r="T336" s="1">
        <f>IF($E336="",0,SUMPRODUCT((AY_SONU!$O$7:$O$42="Evet")*(AY_SONU!$B$7:$B$42=DATE(YEAR($E336),MONTH($E336),1))))</f>
        <v>0</v>
      </c>
    </row>
    <row r="337" spans="1:20" ht="18" customHeight="1" x14ac:dyDescent="0.3">
      <c r="A337" s="2"/>
      <c r="B337" s="65" t="str">
        <f t="shared" si="25"/>
        <v>T00331</v>
      </c>
      <c r="C337" s="65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M016</v>
      </c>
      <c r="D337" s="61" t="s">
        <v>731</v>
      </c>
      <c r="E337" s="66">
        <v>46172</v>
      </c>
      <c r="F337" s="67">
        <v>3000</v>
      </c>
      <c r="G337" s="60" t="s">
        <v>713</v>
      </c>
      <c r="H337" s="60" t="s">
        <v>568</v>
      </c>
      <c r="I337" s="61"/>
      <c r="J337" s="61" t="s">
        <v>717</v>
      </c>
      <c r="K337" s="61"/>
      <c r="L337" s="73">
        <f t="shared" si="26"/>
        <v>46143</v>
      </c>
      <c r="M337" s="65" t="str">
        <f t="shared" ca="1" si="27"/>
        <v>UYGUN</v>
      </c>
      <c r="N337" s="74" t="str">
        <f>IF($C337="","",IF($C337="TANIMSIZ MÜŞTERİ","—",INDEX(MUSTERILER!$C$7:$C$156,MATCH($C337,MUSTERILER!$B$7:$B$156,0))))</f>
        <v>RİX ŞOW LTD.ŞTİ.</v>
      </c>
      <c r="O337" s="2"/>
      <c r="P337" s="2"/>
      <c r="Q337" s="1" t="str">
        <f>IF($D337="","",$C337&amp;"|"&amp;COUNTIFS($C$7:$C337,$C337))</f>
        <v>M016|20</v>
      </c>
      <c r="R337" s="1" t="str">
        <f t="shared" si="28"/>
        <v>RIXSOWLTDSTI</v>
      </c>
      <c r="S337" s="1" t="str">
        <f t="shared" si="29"/>
        <v>M016|46172|3000|</v>
      </c>
      <c r="T337" s="1">
        <f>IF($E337="",0,SUMPRODUCT((AY_SONU!$O$7:$O$42="Evet")*(AY_SONU!$B$7:$B$42=DATE(YEAR($E337),MONTH($E337),1))))</f>
        <v>0</v>
      </c>
    </row>
    <row r="338" spans="1:20" ht="18" customHeight="1" x14ac:dyDescent="0.3">
      <c r="A338" s="2"/>
      <c r="B338" s="65" t="str">
        <f t="shared" si="25"/>
        <v>T00332</v>
      </c>
      <c r="C338" s="65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M005</v>
      </c>
      <c r="D338" s="61" t="s">
        <v>732</v>
      </c>
      <c r="E338" s="66">
        <v>46172</v>
      </c>
      <c r="F338" s="67">
        <v>1750</v>
      </c>
      <c r="G338" s="60" t="s">
        <v>713</v>
      </c>
      <c r="H338" s="60" t="s">
        <v>568</v>
      </c>
      <c r="I338" s="61"/>
      <c r="J338" s="61" t="s">
        <v>717</v>
      </c>
      <c r="K338" s="61"/>
      <c r="L338" s="73">
        <f t="shared" si="26"/>
        <v>46143</v>
      </c>
      <c r="M338" s="65" t="str">
        <f t="shared" ca="1" si="27"/>
        <v>UYGUN</v>
      </c>
      <c r="N338" s="74" t="str">
        <f>IF($C338="","",IF($C338="TANIMSIZ MÜŞTERİ","—",INDEX(MUSTERILER!$C$7:$C$156,MATCH($C338,MUSTERILER!$B$7:$B$156,0))))</f>
        <v>ZÜMRÜT GRUP LTD.ŞTİ.</v>
      </c>
      <c r="O338" s="2"/>
      <c r="P338" s="2"/>
      <c r="Q338" s="1" t="str">
        <f>IF($D338="","",$C338&amp;"|"&amp;COUNTIFS($C$7:$C338,$C338))</f>
        <v>M005|17</v>
      </c>
      <c r="R338" s="1" t="str">
        <f t="shared" si="28"/>
        <v>ZUMRUTGRUPLTDSTI</v>
      </c>
      <c r="S338" s="1" t="str">
        <f t="shared" si="29"/>
        <v>M005|46172|1750|</v>
      </c>
      <c r="T338" s="1">
        <f>IF($E338="",0,SUMPRODUCT((AY_SONU!$O$7:$O$42="Evet")*(AY_SONU!$B$7:$B$42=DATE(YEAR($E338),MONTH($E338),1))))</f>
        <v>0</v>
      </c>
    </row>
    <row r="339" spans="1:20" ht="18" customHeight="1" x14ac:dyDescent="0.3">
      <c r="A339" s="2"/>
      <c r="B339" s="65" t="str">
        <f t="shared" si="25"/>
        <v>T00333</v>
      </c>
      <c r="C339" s="65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M018</v>
      </c>
      <c r="D339" s="61" t="s">
        <v>589</v>
      </c>
      <c r="E339" s="66">
        <v>46172</v>
      </c>
      <c r="F339" s="67">
        <v>2500</v>
      </c>
      <c r="G339" s="60" t="s">
        <v>713</v>
      </c>
      <c r="H339" s="60" t="s">
        <v>568</v>
      </c>
      <c r="I339" s="61"/>
      <c r="J339" s="61" t="s">
        <v>717</v>
      </c>
      <c r="K339" s="61"/>
      <c r="L339" s="73">
        <f t="shared" si="26"/>
        <v>46143</v>
      </c>
      <c r="M339" s="65" t="str">
        <f t="shared" ca="1" si="27"/>
        <v>UYGUN</v>
      </c>
      <c r="N339" s="74" t="str">
        <f>IF($C339="","",IF($C339="TANIMSIZ MÜŞTERİ","—",INDEX(MUSTERILER!$C$7:$C$156,MATCH($C339,MUSTERILER!$B$7:$B$156,0))))</f>
        <v>ÇINARHAN LTD.ŞTİ.</v>
      </c>
      <c r="O339" s="2"/>
      <c r="P339" s="2"/>
      <c r="Q339" s="1" t="str">
        <f>IF($D339="","",$C339&amp;"|"&amp;COUNTIFS($C$7:$C339,$C339))</f>
        <v>M018|15</v>
      </c>
      <c r="R339" s="1" t="str">
        <f t="shared" si="28"/>
        <v>CINARHANLTDSTI</v>
      </c>
      <c r="S339" s="1" t="str">
        <f t="shared" si="29"/>
        <v>M018|46172|2500|</v>
      </c>
      <c r="T339" s="1">
        <f>IF($E339="",0,SUMPRODUCT((AY_SONU!$O$7:$O$42="Evet")*(AY_SONU!$B$7:$B$42=DATE(YEAR($E339),MONTH($E339),1))))</f>
        <v>0</v>
      </c>
    </row>
    <row r="340" spans="1:20" ht="18" customHeight="1" x14ac:dyDescent="0.3">
      <c r="A340" s="2"/>
      <c r="B340" s="65" t="str">
        <f t="shared" si="25"/>
        <v>T00334</v>
      </c>
      <c r="C340" s="65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M020</v>
      </c>
      <c r="D340" s="61" t="s">
        <v>619</v>
      </c>
      <c r="E340" s="66">
        <v>46172</v>
      </c>
      <c r="F340" s="67">
        <v>6000</v>
      </c>
      <c r="G340" s="60" t="s">
        <v>715</v>
      </c>
      <c r="H340" s="60" t="s">
        <v>568</v>
      </c>
      <c r="I340" s="61"/>
      <c r="J340" s="61" t="s">
        <v>717</v>
      </c>
      <c r="K340" s="61"/>
      <c r="L340" s="73">
        <f t="shared" si="26"/>
        <v>46143</v>
      </c>
      <c r="M340" s="65" t="str">
        <f t="shared" ca="1" si="27"/>
        <v>UYGUN</v>
      </c>
      <c r="N340" s="74" t="str">
        <f>IF($C340="","",IF($C340="TANIMSIZ MÜŞTERİ","—",INDEX(MUSTERILER!$C$7:$C$156,MATCH($C340,MUSTERILER!$B$7:$B$156,0))))</f>
        <v>KRİSTAL LTD.ŞTİ.</v>
      </c>
      <c r="O340" s="2"/>
      <c r="P340" s="2"/>
      <c r="Q340" s="1" t="str">
        <f>IF($D340="","",$C340&amp;"|"&amp;COUNTIFS($C$7:$C340,$C340))</f>
        <v>M020|20</v>
      </c>
      <c r="R340" s="1" t="str">
        <f t="shared" si="28"/>
        <v>KRISTALLTDSTI</v>
      </c>
      <c r="S340" s="1" t="str">
        <f t="shared" si="29"/>
        <v>M020|46172|6000|</v>
      </c>
      <c r="T340" s="1">
        <f>IF($E340="",0,SUMPRODUCT((AY_SONU!$O$7:$O$42="Evet")*(AY_SONU!$B$7:$B$42=DATE(YEAR($E340),MONTH($E340),1))))</f>
        <v>0</v>
      </c>
    </row>
    <row r="341" spans="1:20" ht="18" customHeight="1" x14ac:dyDescent="0.3">
      <c r="A341" s="2"/>
      <c r="B341" s="65" t="str">
        <f t="shared" si="25"/>
        <v>T00335</v>
      </c>
      <c r="C341" s="65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M047</v>
      </c>
      <c r="D341" s="61" t="s">
        <v>649</v>
      </c>
      <c r="E341" s="66">
        <v>46172</v>
      </c>
      <c r="F341" s="67">
        <v>4000</v>
      </c>
      <c r="G341" s="60" t="s">
        <v>713</v>
      </c>
      <c r="H341" s="60" t="s">
        <v>568</v>
      </c>
      <c r="I341" s="61"/>
      <c r="J341" s="61" t="s">
        <v>717</v>
      </c>
      <c r="K341" s="61"/>
      <c r="L341" s="73">
        <f t="shared" si="26"/>
        <v>46143</v>
      </c>
      <c r="M341" s="65" t="str">
        <f t="shared" ca="1" si="27"/>
        <v>UYGUN</v>
      </c>
      <c r="N341" s="74" t="str">
        <f>IF($C341="","",IF($C341="TANIMSIZ MÜŞTERİ","—",INDEX(MUSTERILER!$C$7:$C$156,MATCH($C341,MUSTERILER!$B$7:$B$156,0))))</f>
        <v>PALAOĞULLARI LTD.ŞTİ.</v>
      </c>
      <c r="O341" s="2"/>
      <c r="P341" s="2"/>
      <c r="Q341" s="1" t="str">
        <f>IF($D341="","",$C341&amp;"|"&amp;COUNTIFS($C$7:$C341,$C341))</f>
        <v>M047|12</v>
      </c>
      <c r="R341" s="1" t="str">
        <f t="shared" si="28"/>
        <v>PALAOGULLARILTDSTI</v>
      </c>
      <c r="S341" s="1" t="str">
        <f t="shared" si="29"/>
        <v>M047|46172|4000|</v>
      </c>
      <c r="T341" s="1">
        <f>IF($E341="",0,SUMPRODUCT((AY_SONU!$O$7:$O$42="Evet")*(AY_SONU!$B$7:$B$42=DATE(YEAR($E341),MONTH($E341),1))))</f>
        <v>0</v>
      </c>
    </row>
    <row r="342" spans="1:20" ht="18" customHeight="1" x14ac:dyDescent="0.3">
      <c r="A342" s="2"/>
      <c r="B342" s="65" t="str">
        <f t="shared" si="25"/>
        <v>T00336</v>
      </c>
      <c r="C342" s="65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M054</v>
      </c>
      <c r="D342" s="61" t="s">
        <v>669</v>
      </c>
      <c r="E342" s="66">
        <v>46172</v>
      </c>
      <c r="F342" s="67">
        <v>4000</v>
      </c>
      <c r="G342" s="60" t="s">
        <v>713</v>
      </c>
      <c r="H342" s="60" t="s">
        <v>568</v>
      </c>
      <c r="I342" s="61"/>
      <c r="J342" s="61" t="s">
        <v>717</v>
      </c>
      <c r="K342" s="61"/>
      <c r="L342" s="73">
        <f t="shared" si="26"/>
        <v>46143</v>
      </c>
      <c r="M342" s="65" t="str">
        <f t="shared" ca="1" si="27"/>
        <v>UYGUN</v>
      </c>
      <c r="N342" s="74" t="str">
        <f>IF($C342="","",IF($C342="TANIMSIZ MÜŞTERİ","—",INDEX(MUSTERILER!$C$7:$C$156,MATCH($C342,MUSTERILER!$B$7:$B$156,0))))</f>
        <v>YALIKENT LTD.ŞTİ.</v>
      </c>
      <c r="O342" s="2"/>
      <c r="P342" s="2"/>
      <c r="Q342" s="1" t="str">
        <f>IF($D342="","",$C342&amp;"|"&amp;COUNTIFS($C$7:$C342,$C342))</f>
        <v>M054|10</v>
      </c>
      <c r="R342" s="1" t="str">
        <f t="shared" si="28"/>
        <v>YALIKENTLTDSTI</v>
      </c>
      <c r="S342" s="1" t="str">
        <f t="shared" si="29"/>
        <v>M054|46172|4000|</v>
      </c>
      <c r="T342" s="1">
        <f>IF($E342="",0,SUMPRODUCT((AY_SONU!$O$7:$O$42="Evet")*(AY_SONU!$B$7:$B$42=DATE(YEAR($E342),MONTH($E342),1))))</f>
        <v>0</v>
      </c>
    </row>
    <row r="343" spans="1:20" ht="18" customHeight="1" x14ac:dyDescent="0.3">
      <c r="A343" s="2"/>
      <c r="B343" s="65" t="str">
        <f t="shared" si="25"/>
        <v>T00337</v>
      </c>
      <c r="C343" s="65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M023</v>
      </c>
      <c r="D343" s="61" t="s">
        <v>572</v>
      </c>
      <c r="E343" s="66">
        <v>46173</v>
      </c>
      <c r="F343" s="67">
        <v>12000</v>
      </c>
      <c r="G343" s="60" t="s">
        <v>715</v>
      </c>
      <c r="H343" s="60" t="s">
        <v>568</v>
      </c>
      <c r="I343" s="61"/>
      <c r="J343" s="61" t="s">
        <v>718</v>
      </c>
      <c r="K343" s="61"/>
      <c r="L343" s="73">
        <f t="shared" si="26"/>
        <v>46143</v>
      </c>
      <c r="M343" s="65" t="str">
        <f t="shared" ca="1" si="27"/>
        <v>UYGUN</v>
      </c>
      <c r="N343" s="74" t="str">
        <f>IF($C343="","",IF($C343="TANIMSIZ MÜŞTERİ","—",INDEX(MUSTERILER!$C$7:$C$156,MATCH($C343,MUSTERILER!$B$7:$B$156,0))))</f>
        <v>ALTINEL LTD.ŞTİ.</v>
      </c>
      <c r="O343" s="2"/>
      <c r="P343" s="2"/>
      <c r="Q343" s="1" t="str">
        <f>IF($D343="","",$C343&amp;"|"&amp;COUNTIFS($C$7:$C343,$C343))</f>
        <v>M023|5</v>
      </c>
      <c r="R343" s="1" t="str">
        <f t="shared" si="28"/>
        <v>ALTINELLTDSTI</v>
      </c>
      <c r="S343" s="1" t="str">
        <f t="shared" si="29"/>
        <v>M023|46173|12000|</v>
      </c>
      <c r="T343" s="1">
        <f>IF($E343="",0,SUMPRODUCT((AY_SONU!$O$7:$O$42="Evet")*(AY_SONU!$B$7:$B$42=DATE(YEAR($E343),MONTH($E343),1))))</f>
        <v>0</v>
      </c>
    </row>
    <row r="344" spans="1:20" ht="18" customHeight="1" x14ac:dyDescent="0.3">
      <c r="A344" s="2"/>
      <c r="B344" s="65" t="str">
        <f t="shared" si="25"/>
        <v>T00338</v>
      </c>
      <c r="C344" s="65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M023</v>
      </c>
      <c r="D344" s="61" t="s">
        <v>572</v>
      </c>
      <c r="E344" s="66">
        <v>46174</v>
      </c>
      <c r="F344" s="67">
        <v>12000</v>
      </c>
      <c r="G344" s="60" t="s">
        <v>715</v>
      </c>
      <c r="H344" s="60" t="s">
        <v>568</v>
      </c>
      <c r="I344" s="61"/>
      <c r="J344" s="61" t="s">
        <v>718</v>
      </c>
      <c r="K344" s="61"/>
      <c r="L344" s="73">
        <f t="shared" si="26"/>
        <v>46174</v>
      </c>
      <c r="M344" s="65" t="str">
        <f t="shared" ca="1" si="27"/>
        <v>UYGUN</v>
      </c>
      <c r="N344" s="74" t="str">
        <f>IF($C344="","",IF($C344="TANIMSIZ MÜŞTERİ","—",INDEX(MUSTERILER!$C$7:$C$156,MATCH($C344,MUSTERILER!$B$7:$B$156,0))))</f>
        <v>ALTINEL LTD.ŞTİ.</v>
      </c>
      <c r="O344" s="2"/>
      <c r="P344" s="2"/>
      <c r="Q344" s="1" t="str">
        <f>IF($D344="","",$C344&amp;"|"&amp;COUNTIFS($C$7:$C344,$C344))</f>
        <v>M023|6</v>
      </c>
      <c r="R344" s="1" t="str">
        <f t="shared" si="28"/>
        <v>ALTINELLTDSTI</v>
      </c>
      <c r="S344" s="1" t="str">
        <f t="shared" si="29"/>
        <v>M023|46174|12000|</v>
      </c>
      <c r="T344" s="1">
        <f>IF($E344="",0,SUMPRODUCT((AY_SONU!$O$7:$O$42="Evet")*(AY_SONU!$B$7:$B$42=DATE(YEAR($E344),MONTH($E344),1))))</f>
        <v>0</v>
      </c>
    </row>
    <row r="345" spans="1:20" ht="18" customHeight="1" x14ac:dyDescent="0.3">
      <c r="A345" s="2"/>
      <c r="B345" s="65" t="str">
        <f t="shared" si="25"/>
        <v>T00339</v>
      </c>
      <c r="C345" s="65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M001</v>
      </c>
      <c r="D345" s="61" t="s">
        <v>722</v>
      </c>
      <c r="E345" s="66">
        <v>46179</v>
      </c>
      <c r="F345" s="67">
        <v>4000</v>
      </c>
      <c r="G345" s="60" t="s">
        <v>713</v>
      </c>
      <c r="H345" s="60" t="s">
        <v>568</v>
      </c>
      <c r="I345" s="61"/>
      <c r="J345" s="61" t="s">
        <v>717</v>
      </c>
      <c r="K345" s="61"/>
      <c r="L345" s="73">
        <f t="shared" si="26"/>
        <v>46174</v>
      </c>
      <c r="M345" s="65" t="str">
        <f t="shared" ca="1" si="27"/>
        <v>UYGUN</v>
      </c>
      <c r="N345" s="74" t="str">
        <f>IF($C345="","",IF($C345="TANIMSIZ MÜŞTERİ","—",INDEX(MUSTERILER!$C$7:$C$156,MATCH($C345,MUSTERILER!$B$7:$B$156,0))))</f>
        <v>ANKARA HAVANA LTD.ŞTİ.</v>
      </c>
      <c r="O345" s="2"/>
      <c r="P345" s="2"/>
      <c r="Q345" s="1" t="str">
        <f>IF($D345="","",$C345&amp;"|"&amp;COUNTIFS($C$7:$C345,$C345))</f>
        <v>M001|11</v>
      </c>
      <c r="R345" s="1" t="str">
        <f t="shared" si="28"/>
        <v>ANKARAHAVANALTDSTI</v>
      </c>
      <c r="S345" s="1" t="str">
        <f t="shared" si="29"/>
        <v>M001|46179|4000|</v>
      </c>
      <c r="T345" s="1">
        <f>IF($E345="",0,SUMPRODUCT((AY_SONU!$O$7:$O$42="Evet")*(AY_SONU!$B$7:$B$42=DATE(YEAR($E345),MONTH($E345),1))))</f>
        <v>0</v>
      </c>
    </row>
    <row r="346" spans="1:20" ht="18" customHeight="1" x14ac:dyDescent="0.3">
      <c r="A346" s="2"/>
      <c r="B346" s="65" t="str">
        <f t="shared" si="25"/>
        <v>T00340</v>
      </c>
      <c r="C346" s="65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M025</v>
      </c>
      <c r="D346" s="61" t="s">
        <v>579</v>
      </c>
      <c r="E346" s="66">
        <v>46179</v>
      </c>
      <c r="F346" s="67">
        <v>2000</v>
      </c>
      <c r="G346" s="60" t="s">
        <v>713</v>
      </c>
      <c r="H346" s="60" t="s">
        <v>568</v>
      </c>
      <c r="I346" s="61"/>
      <c r="J346" s="61" t="s">
        <v>717</v>
      </c>
      <c r="K346" s="61"/>
      <c r="L346" s="73">
        <f t="shared" si="26"/>
        <v>46174</v>
      </c>
      <c r="M346" s="65" t="str">
        <f t="shared" ca="1" si="27"/>
        <v>UYGUN</v>
      </c>
      <c r="N346" s="74" t="str">
        <f>IF($C346="","",IF($C346="TANIMSIZ MÜŞTERİ","—",INDEX(MUSTERILER!$C$7:$C$156,MATCH($C346,MUSTERILER!$B$7:$B$156,0))))</f>
        <v>ASIM AÇIKGÖZ</v>
      </c>
      <c r="O346" s="2"/>
      <c r="P346" s="2"/>
      <c r="Q346" s="1" t="str">
        <f>IF($D346="","",$C346&amp;"|"&amp;COUNTIFS($C$7:$C346,$C346))</f>
        <v>M025|17</v>
      </c>
      <c r="R346" s="1" t="str">
        <f t="shared" si="28"/>
        <v>ASIMACIKGOZ</v>
      </c>
      <c r="S346" s="1" t="str">
        <f t="shared" si="29"/>
        <v>M025|46179|2000|</v>
      </c>
      <c r="T346" s="1">
        <f>IF($E346="",0,SUMPRODUCT((AY_SONU!$O$7:$O$42="Evet")*(AY_SONU!$B$7:$B$42=DATE(YEAR($E346),MONTH($E346),1))))</f>
        <v>0</v>
      </c>
    </row>
    <row r="347" spans="1:20" ht="18" customHeight="1" x14ac:dyDescent="0.3">
      <c r="A347" s="2"/>
      <c r="B347" s="65" t="str">
        <f t="shared" si="25"/>
        <v>T00341</v>
      </c>
      <c r="C347" s="65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M017</v>
      </c>
      <c r="D347" s="61" t="s">
        <v>581</v>
      </c>
      <c r="E347" s="66">
        <v>46179</v>
      </c>
      <c r="F347" s="67">
        <v>2500</v>
      </c>
      <c r="G347" s="60" t="s">
        <v>713</v>
      </c>
      <c r="H347" s="60" t="s">
        <v>568</v>
      </c>
      <c r="I347" s="61"/>
      <c r="J347" s="61" t="s">
        <v>717</v>
      </c>
      <c r="K347" s="61"/>
      <c r="L347" s="73">
        <f t="shared" si="26"/>
        <v>46174</v>
      </c>
      <c r="M347" s="65" t="str">
        <f t="shared" ca="1" si="27"/>
        <v>UYGUN</v>
      </c>
      <c r="N347" s="74" t="str">
        <f>IF($C347="","",IF($C347="TANIMSIZ MÜŞTERİ","—",INDEX(MUSTERILER!$C$7:$C$156,MATCH($C347,MUSTERILER!$B$7:$B$156,0))))</f>
        <v>ASM EĞLENCE LTD.ŞTİ.</v>
      </c>
      <c r="O347" s="2"/>
      <c r="P347" s="2"/>
      <c r="Q347" s="1" t="str">
        <f>IF($D347="","",$C347&amp;"|"&amp;COUNTIFS($C$7:$C347,$C347))</f>
        <v>M017|18</v>
      </c>
      <c r="R347" s="1" t="str">
        <f t="shared" si="28"/>
        <v>ASMEGLENCELTDSTI</v>
      </c>
      <c r="S347" s="1" t="str">
        <f t="shared" si="29"/>
        <v>M017|46179|2500|</v>
      </c>
      <c r="T347" s="1">
        <f>IF($E347="",0,SUMPRODUCT((AY_SONU!$O$7:$O$42="Evet")*(AY_SONU!$B$7:$B$42=DATE(YEAR($E347),MONTH($E347),1))))</f>
        <v>0</v>
      </c>
    </row>
    <row r="348" spans="1:20" ht="18" customHeight="1" x14ac:dyDescent="0.3">
      <c r="A348" s="2"/>
      <c r="B348" s="65" t="str">
        <f t="shared" si="25"/>
        <v>T00342</v>
      </c>
      <c r="C348" s="65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M015</v>
      </c>
      <c r="D348" s="61" t="s">
        <v>723</v>
      </c>
      <c r="E348" s="66">
        <v>46179</v>
      </c>
      <c r="F348" s="67">
        <v>3000</v>
      </c>
      <c r="G348" s="60" t="s">
        <v>713</v>
      </c>
      <c r="H348" s="60" t="s">
        <v>568</v>
      </c>
      <c r="I348" s="61"/>
      <c r="J348" s="61" t="s">
        <v>717</v>
      </c>
      <c r="K348" s="61"/>
      <c r="L348" s="73">
        <f t="shared" si="26"/>
        <v>46174</v>
      </c>
      <c r="M348" s="65" t="str">
        <f t="shared" ca="1" si="27"/>
        <v>UYGUN</v>
      </c>
      <c r="N348" s="74" t="str">
        <f>IF($C348="","",IF($C348="TANIMSIZ MÜŞTERİ","—",INDEX(MUSTERILER!$C$7:$C$156,MATCH($C348,MUSTERILER!$B$7:$B$156,0))))</f>
        <v>ÇAYIRALAN LTD.ŞTİ.</v>
      </c>
      <c r="O348" s="2"/>
      <c r="P348" s="2"/>
      <c r="Q348" s="1" t="str">
        <f>IF($D348="","",$C348&amp;"|"&amp;COUNTIFS($C$7:$C348,$C348))</f>
        <v>M015|19</v>
      </c>
      <c r="R348" s="1" t="str">
        <f t="shared" si="28"/>
        <v>CAYIRALANLTDSTI</v>
      </c>
      <c r="S348" s="1" t="str">
        <f t="shared" si="29"/>
        <v>M015|46179|3000|</v>
      </c>
      <c r="T348" s="1">
        <f>IF($E348="",0,SUMPRODUCT((AY_SONU!$O$7:$O$42="Evet")*(AY_SONU!$B$7:$B$42=DATE(YEAR($E348),MONTH($E348),1))))</f>
        <v>0</v>
      </c>
    </row>
    <row r="349" spans="1:20" ht="18" customHeight="1" x14ac:dyDescent="0.3">
      <c r="A349" s="2"/>
      <c r="B349" s="65" t="str">
        <f t="shared" si="25"/>
        <v>T00343</v>
      </c>
      <c r="C349" s="65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M011</v>
      </c>
      <c r="D349" s="61" t="s">
        <v>724</v>
      </c>
      <c r="E349" s="66">
        <v>46179</v>
      </c>
      <c r="F349" s="67">
        <v>4000</v>
      </c>
      <c r="G349" s="60" t="s">
        <v>713</v>
      </c>
      <c r="H349" s="60" t="s">
        <v>568</v>
      </c>
      <c r="I349" s="61"/>
      <c r="J349" s="61" t="s">
        <v>717</v>
      </c>
      <c r="K349" s="61"/>
      <c r="L349" s="73">
        <f t="shared" si="26"/>
        <v>46174</v>
      </c>
      <c r="M349" s="65" t="str">
        <f t="shared" ca="1" si="27"/>
        <v>UYGUN</v>
      </c>
      <c r="N349" s="74" t="str">
        <f>IF($C349="","",IF($C349="TANIMSIZ MÜŞTERİ","—",INDEX(MUSTERILER!$C$7:$C$156,MATCH($C349,MUSTERILER!$B$7:$B$156,0))))</f>
        <v>EĞLENGÖR LTD.ŞTİ.</v>
      </c>
      <c r="O349" s="2"/>
      <c r="P349" s="2"/>
      <c r="Q349" s="1" t="str">
        <f>IF($D349="","",$C349&amp;"|"&amp;COUNTIFS($C$7:$C349,$C349))</f>
        <v>M011|21</v>
      </c>
      <c r="R349" s="1" t="str">
        <f t="shared" si="28"/>
        <v>EGLENGORLTDSTI</v>
      </c>
      <c r="S349" s="1" t="str">
        <f t="shared" si="29"/>
        <v>M011|46179|4000|</v>
      </c>
      <c r="T349" s="1">
        <f>IF($E349="",0,SUMPRODUCT((AY_SONU!$O$7:$O$42="Evet")*(AY_SONU!$B$7:$B$42=DATE(YEAR($E349),MONTH($E349),1))))</f>
        <v>0</v>
      </c>
    </row>
    <row r="350" spans="1:20" ht="18" customHeight="1" x14ac:dyDescent="0.3">
      <c r="A350" s="2"/>
      <c r="B350" s="65" t="str">
        <f t="shared" si="25"/>
        <v>T00344</v>
      </c>
      <c r="C350" s="65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M014</v>
      </c>
      <c r="D350" s="61" t="s">
        <v>725</v>
      </c>
      <c r="E350" s="66">
        <v>46179</v>
      </c>
      <c r="F350" s="67">
        <v>4000</v>
      </c>
      <c r="G350" s="60" t="s">
        <v>713</v>
      </c>
      <c r="H350" s="60" t="s">
        <v>568</v>
      </c>
      <c r="I350" s="61"/>
      <c r="J350" s="61" t="s">
        <v>717</v>
      </c>
      <c r="K350" s="61"/>
      <c r="L350" s="73">
        <f t="shared" si="26"/>
        <v>46174</v>
      </c>
      <c r="M350" s="65" t="str">
        <f t="shared" ca="1" si="27"/>
        <v>UYGUN</v>
      </c>
      <c r="N350" s="74" t="str">
        <f>IF($C350="","",IF($C350="TANIMSIZ MÜŞTERİ","—",INDEX(MUSTERILER!$C$7:$C$156,MATCH($C350,MUSTERILER!$B$7:$B$156,0))))</f>
        <v>FİNAL SİYAH BEYAZ LTD.ŞTİ.</v>
      </c>
      <c r="O350" s="2"/>
      <c r="P350" s="2"/>
      <c r="Q350" s="1" t="str">
        <f>IF($D350="","",$C350&amp;"|"&amp;COUNTIFS($C$7:$C350,$C350))</f>
        <v>M014|20</v>
      </c>
      <c r="R350" s="1" t="str">
        <f t="shared" si="28"/>
        <v>FINALSIYAHBEYAZLTDSTI</v>
      </c>
      <c r="S350" s="1" t="str">
        <f t="shared" si="29"/>
        <v>M014|46179|4000|</v>
      </c>
      <c r="T350" s="1">
        <f>IF($E350="",0,SUMPRODUCT((AY_SONU!$O$7:$O$42="Evet")*(AY_SONU!$B$7:$B$42=DATE(YEAR($E350),MONTH($E350),1))))</f>
        <v>0</v>
      </c>
    </row>
    <row r="351" spans="1:20" ht="18" customHeight="1" x14ac:dyDescent="0.3">
      <c r="A351" s="2"/>
      <c r="B351" s="65" t="str">
        <f t="shared" si="25"/>
        <v>T00345</v>
      </c>
      <c r="C351" s="65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M012</v>
      </c>
      <c r="D351" s="61" t="s">
        <v>727</v>
      </c>
      <c r="E351" s="66">
        <v>46179</v>
      </c>
      <c r="F351" s="67">
        <v>5000</v>
      </c>
      <c r="G351" s="60" t="s">
        <v>713</v>
      </c>
      <c r="H351" s="60" t="s">
        <v>568</v>
      </c>
      <c r="I351" s="61"/>
      <c r="J351" s="61" t="s">
        <v>717</v>
      </c>
      <c r="K351" s="61"/>
      <c r="L351" s="73">
        <f t="shared" si="26"/>
        <v>46174</v>
      </c>
      <c r="M351" s="65" t="str">
        <f t="shared" ca="1" si="27"/>
        <v>UYGUN</v>
      </c>
      <c r="N351" s="74" t="str">
        <f>IF($C351="","",IF($C351="TANIMSIZ MÜŞTERİ","—",INDEX(MUSTERILER!$C$7:$C$156,MATCH($C351,MUSTERILER!$B$7:$B$156,0))))</f>
        <v>İLDEŞ LTD.ŞTİ.</v>
      </c>
      <c r="O351" s="2"/>
      <c r="P351" s="2"/>
      <c r="Q351" s="1" t="str">
        <f>IF($D351="","",$C351&amp;"|"&amp;COUNTIFS($C$7:$C351,$C351))</f>
        <v>M012|21</v>
      </c>
      <c r="R351" s="1" t="str">
        <f t="shared" si="28"/>
        <v>ILDESLTDSTI</v>
      </c>
      <c r="S351" s="1" t="str">
        <f t="shared" si="29"/>
        <v>M012|46179|5000|</v>
      </c>
      <c r="T351" s="1">
        <f>IF($E351="",0,SUMPRODUCT((AY_SONU!$O$7:$O$42="Evet")*(AY_SONU!$B$7:$B$42=DATE(YEAR($E351),MONTH($E351),1))))</f>
        <v>0</v>
      </c>
    </row>
    <row r="352" spans="1:20" ht="18" customHeight="1" x14ac:dyDescent="0.3">
      <c r="A352" s="2"/>
      <c r="B352" s="65" t="str">
        <f t="shared" si="25"/>
        <v>T00346</v>
      </c>
      <c r="C352" s="65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M013</v>
      </c>
      <c r="D352" s="61" t="s">
        <v>729</v>
      </c>
      <c r="E352" s="66">
        <v>46179</v>
      </c>
      <c r="F352" s="67">
        <v>2000</v>
      </c>
      <c r="G352" s="60" t="s">
        <v>713</v>
      </c>
      <c r="H352" s="60" t="s">
        <v>568</v>
      </c>
      <c r="I352" s="61"/>
      <c r="J352" s="61" t="s">
        <v>717</v>
      </c>
      <c r="K352" s="61"/>
      <c r="L352" s="73">
        <f t="shared" si="26"/>
        <v>46174</v>
      </c>
      <c r="M352" s="65" t="str">
        <f t="shared" ca="1" si="27"/>
        <v>UYGUN</v>
      </c>
      <c r="N352" s="74" t="str">
        <f>IF($C352="","",IF($C352="TANIMSIZ MÜŞTERİ","—",INDEX(MUSTERILER!$C$7:$C$156,MATCH($C352,MUSTERILER!$B$7:$B$156,0))))</f>
        <v>NAZ 1 GIDA LTD.ŞTİ.</v>
      </c>
      <c r="O352" s="2"/>
      <c r="P352" s="2"/>
      <c r="Q352" s="1" t="str">
        <f>IF($D352="","",$C352&amp;"|"&amp;COUNTIFS($C$7:$C352,$C352))</f>
        <v>M013|14</v>
      </c>
      <c r="R352" s="1" t="str">
        <f t="shared" si="28"/>
        <v>NAZ1GIDALTDSTI</v>
      </c>
      <c r="S352" s="1" t="str">
        <f t="shared" si="29"/>
        <v>M013|46179|2000|</v>
      </c>
      <c r="T352" s="1">
        <f>IF($E352="",0,SUMPRODUCT((AY_SONU!$O$7:$O$42="Evet")*(AY_SONU!$B$7:$B$42=DATE(YEAR($E352),MONTH($E352),1))))</f>
        <v>0</v>
      </c>
    </row>
    <row r="353" spans="1:20" ht="18" customHeight="1" x14ac:dyDescent="0.3">
      <c r="A353" s="2"/>
      <c r="B353" s="65" t="str">
        <f t="shared" si="25"/>
        <v>T00347</v>
      </c>
      <c r="C353" s="65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M009</v>
      </c>
      <c r="D353" s="61" t="s">
        <v>730</v>
      </c>
      <c r="E353" s="66">
        <v>46179</v>
      </c>
      <c r="F353" s="67">
        <v>4000</v>
      </c>
      <c r="G353" s="60" t="s">
        <v>713</v>
      </c>
      <c r="H353" s="60" t="s">
        <v>568</v>
      </c>
      <c r="I353" s="61"/>
      <c r="J353" s="61" t="s">
        <v>717</v>
      </c>
      <c r="K353" s="61"/>
      <c r="L353" s="73">
        <f t="shared" si="26"/>
        <v>46174</v>
      </c>
      <c r="M353" s="65" t="str">
        <f t="shared" ca="1" si="27"/>
        <v>UYGUN</v>
      </c>
      <c r="N353" s="74" t="str">
        <f>IF($C353="","",IF($C353="TANIMSIZ MÜŞTERİ","—",INDEX(MUSTERILER!$C$7:$C$156,MATCH($C353,MUSTERILER!$B$7:$B$156,0))))</f>
        <v>PAKYILDIZ LTD.ŞTİ.</v>
      </c>
      <c r="O353" s="2"/>
      <c r="P353" s="2"/>
      <c r="Q353" s="1" t="str">
        <f>IF($D353="","",$C353&amp;"|"&amp;COUNTIFS($C$7:$C353,$C353))</f>
        <v>M009|18</v>
      </c>
      <c r="R353" s="1" t="str">
        <f t="shared" si="28"/>
        <v>PAKYILDIZLTDSTI</v>
      </c>
      <c r="S353" s="1" t="str">
        <f t="shared" si="29"/>
        <v>M009|46179|4000|</v>
      </c>
      <c r="T353" s="1">
        <f>IF($E353="",0,SUMPRODUCT((AY_SONU!$O$7:$O$42="Evet")*(AY_SONU!$B$7:$B$42=DATE(YEAR($E353),MONTH($E353),1))))</f>
        <v>0</v>
      </c>
    </row>
    <row r="354" spans="1:20" ht="18" customHeight="1" x14ac:dyDescent="0.3">
      <c r="A354" s="2"/>
      <c r="B354" s="65" t="str">
        <f t="shared" si="25"/>
        <v>T00348</v>
      </c>
      <c r="C354" s="65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M016</v>
      </c>
      <c r="D354" s="61" t="s">
        <v>731</v>
      </c>
      <c r="E354" s="66">
        <v>46179</v>
      </c>
      <c r="F354" s="67">
        <v>3000</v>
      </c>
      <c r="G354" s="60" t="s">
        <v>713</v>
      </c>
      <c r="H354" s="60" t="s">
        <v>568</v>
      </c>
      <c r="I354" s="61"/>
      <c r="J354" s="61" t="s">
        <v>717</v>
      </c>
      <c r="K354" s="61"/>
      <c r="L354" s="73">
        <f t="shared" si="26"/>
        <v>46174</v>
      </c>
      <c r="M354" s="65" t="str">
        <f t="shared" ca="1" si="27"/>
        <v>UYGUN</v>
      </c>
      <c r="N354" s="74" t="str">
        <f>IF($C354="","",IF($C354="TANIMSIZ MÜŞTERİ","—",INDEX(MUSTERILER!$C$7:$C$156,MATCH($C354,MUSTERILER!$B$7:$B$156,0))))</f>
        <v>RİX ŞOW LTD.ŞTİ.</v>
      </c>
      <c r="O354" s="2"/>
      <c r="P354" s="2"/>
      <c r="Q354" s="1" t="str">
        <f>IF($D354="","",$C354&amp;"|"&amp;COUNTIFS($C$7:$C354,$C354))</f>
        <v>M016|21</v>
      </c>
      <c r="R354" s="1" t="str">
        <f t="shared" si="28"/>
        <v>RIXSOWLTDSTI</v>
      </c>
      <c r="S354" s="1" t="str">
        <f t="shared" si="29"/>
        <v>M016|46179|3000|</v>
      </c>
      <c r="T354" s="1">
        <f>IF($E354="",0,SUMPRODUCT((AY_SONU!$O$7:$O$42="Evet")*(AY_SONU!$B$7:$B$42=DATE(YEAR($E354),MONTH($E354),1))))</f>
        <v>0</v>
      </c>
    </row>
    <row r="355" spans="1:20" ht="18" customHeight="1" x14ac:dyDescent="0.3">
      <c r="A355" s="2"/>
      <c r="B355" s="65" t="str">
        <f t="shared" si="25"/>
        <v>T00349</v>
      </c>
      <c r="C355" s="65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M018</v>
      </c>
      <c r="D355" s="61" t="s">
        <v>589</v>
      </c>
      <c r="E355" s="66">
        <v>46179</v>
      </c>
      <c r="F355" s="67">
        <v>2500</v>
      </c>
      <c r="G355" s="60" t="s">
        <v>713</v>
      </c>
      <c r="H355" s="60" t="s">
        <v>568</v>
      </c>
      <c r="I355" s="61"/>
      <c r="J355" s="61" t="s">
        <v>717</v>
      </c>
      <c r="K355" s="61"/>
      <c r="L355" s="73">
        <f t="shared" si="26"/>
        <v>46174</v>
      </c>
      <c r="M355" s="65" t="str">
        <f t="shared" ca="1" si="27"/>
        <v>UYGUN</v>
      </c>
      <c r="N355" s="74" t="str">
        <f>IF($C355="","",IF($C355="TANIMSIZ MÜŞTERİ","—",INDEX(MUSTERILER!$C$7:$C$156,MATCH($C355,MUSTERILER!$B$7:$B$156,0))))</f>
        <v>ÇINARHAN LTD.ŞTİ.</v>
      </c>
      <c r="O355" s="2"/>
      <c r="P355" s="2"/>
      <c r="Q355" s="1" t="str">
        <f>IF($D355="","",$C355&amp;"|"&amp;COUNTIFS($C$7:$C355,$C355))</f>
        <v>M018|16</v>
      </c>
      <c r="R355" s="1" t="str">
        <f t="shared" si="28"/>
        <v>CINARHANLTDSTI</v>
      </c>
      <c r="S355" s="1" t="str">
        <f t="shared" si="29"/>
        <v>M018|46179|2500|</v>
      </c>
      <c r="T355" s="1">
        <f>IF($E355="",0,SUMPRODUCT((AY_SONU!$O$7:$O$42="Evet")*(AY_SONU!$B$7:$B$42=DATE(YEAR($E355),MONTH($E355),1))))</f>
        <v>0</v>
      </c>
    </row>
    <row r="356" spans="1:20" ht="18" customHeight="1" x14ac:dyDescent="0.3">
      <c r="A356" s="2"/>
      <c r="B356" s="65" t="str">
        <f t="shared" si="25"/>
        <v>T00350</v>
      </c>
      <c r="C356" s="65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M035</v>
      </c>
      <c r="D356" s="61" t="s">
        <v>611</v>
      </c>
      <c r="E356" s="66">
        <v>46179</v>
      </c>
      <c r="F356" s="67">
        <v>3500</v>
      </c>
      <c r="G356" s="60" t="s">
        <v>713</v>
      </c>
      <c r="H356" s="60" t="s">
        <v>568</v>
      </c>
      <c r="I356" s="61"/>
      <c r="J356" s="61" t="s">
        <v>717</v>
      </c>
      <c r="K356" s="61"/>
      <c r="L356" s="73">
        <f t="shared" si="26"/>
        <v>46174</v>
      </c>
      <c r="M356" s="65" t="str">
        <f t="shared" ca="1" si="27"/>
        <v>UYGUN</v>
      </c>
      <c r="N356" s="74" t="str">
        <f>IF($C356="","",IF($C356="TANIMSIZ MÜŞTERİ","—",INDEX(MUSTERILER!$C$7:$C$156,MATCH($C356,MUSTERILER!$B$7:$B$156,0))))</f>
        <v>İSA DEMİRCİ</v>
      </c>
      <c r="O356" s="2"/>
      <c r="P356" s="2"/>
      <c r="Q356" s="1" t="str">
        <f>IF($D356="","",$C356&amp;"|"&amp;COUNTIFS($C$7:$C356,$C356))</f>
        <v>M035|5</v>
      </c>
      <c r="R356" s="1" t="str">
        <f t="shared" si="28"/>
        <v>ISADEMIRCI</v>
      </c>
      <c r="S356" s="1" t="str">
        <f t="shared" si="29"/>
        <v>M035|46179|3500|</v>
      </c>
      <c r="T356" s="1">
        <f>IF($E356="",0,SUMPRODUCT((AY_SONU!$O$7:$O$42="Evet")*(AY_SONU!$B$7:$B$42=DATE(YEAR($E356),MONTH($E356),1))))</f>
        <v>0</v>
      </c>
    </row>
    <row r="357" spans="1:20" ht="18" customHeight="1" x14ac:dyDescent="0.3">
      <c r="A357" s="2"/>
      <c r="B357" s="65" t="str">
        <f t="shared" si="25"/>
        <v>T00351</v>
      </c>
      <c r="C357" s="65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M020</v>
      </c>
      <c r="D357" s="61" t="s">
        <v>619</v>
      </c>
      <c r="E357" s="66">
        <v>46179</v>
      </c>
      <c r="F357" s="67">
        <v>4000</v>
      </c>
      <c r="G357" s="60" t="s">
        <v>713</v>
      </c>
      <c r="H357" s="60" t="s">
        <v>568</v>
      </c>
      <c r="I357" s="61"/>
      <c r="J357" s="61" t="s">
        <v>717</v>
      </c>
      <c r="K357" s="61"/>
      <c r="L357" s="73">
        <f t="shared" si="26"/>
        <v>46174</v>
      </c>
      <c r="M357" s="65" t="str">
        <f t="shared" ca="1" si="27"/>
        <v>UYGUN</v>
      </c>
      <c r="N357" s="74" t="str">
        <f>IF($C357="","",IF($C357="TANIMSIZ MÜŞTERİ","—",INDEX(MUSTERILER!$C$7:$C$156,MATCH($C357,MUSTERILER!$B$7:$B$156,0))))</f>
        <v>KRİSTAL LTD.ŞTİ.</v>
      </c>
      <c r="O357" s="2"/>
      <c r="P357" s="2"/>
      <c r="Q357" s="1" t="str">
        <f>IF($D357="","",$C357&amp;"|"&amp;COUNTIFS($C$7:$C357,$C357))</f>
        <v>M020|21</v>
      </c>
      <c r="R357" s="1" t="str">
        <f t="shared" si="28"/>
        <v>KRISTALLTDSTI</v>
      </c>
      <c r="S357" s="1" t="str">
        <f t="shared" si="29"/>
        <v>M020|46179|4000|</v>
      </c>
      <c r="T357" s="1">
        <f>IF($E357="",0,SUMPRODUCT((AY_SONU!$O$7:$O$42="Evet")*(AY_SONU!$B$7:$B$42=DATE(YEAR($E357),MONTH($E357),1))))</f>
        <v>0</v>
      </c>
    </row>
    <row r="358" spans="1:20" ht="18" customHeight="1" x14ac:dyDescent="0.3">
      <c r="A358" s="2"/>
      <c r="B358" s="65" t="str">
        <f t="shared" si="25"/>
        <v>T00352</v>
      </c>
      <c r="C358" s="65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M020</v>
      </c>
      <c r="D358" s="61" t="s">
        <v>619</v>
      </c>
      <c r="E358" s="66">
        <v>46179</v>
      </c>
      <c r="F358" s="67">
        <v>3000</v>
      </c>
      <c r="G358" s="60" t="s">
        <v>715</v>
      </c>
      <c r="H358" s="60" t="s">
        <v>568</v>
      </c>
      <c r="I358" s="61"/>
      <c r="J358" s="61" t="s">
        <v>717</v>
      </c>
      <c r="K358" s="61"/>
      <c r="L358" s="73">
        <f t="shared" si="26"/>
        <v>46174</v>
      </c>
      <c r="M358" s="65" t="str">
        <f t="shared" ca="1" si="27"/>
        <v>UYGUN</v>
      </c>
      <c r="N358" s="74" t="str">
        <f>IF($C358="","",IF($C358="TANIMSIZ MÜŞTERİ","—",INDEX(MUSTERILER!$C$7:$C$156,MATCH($C358,MUSTERILER!$B$7:$B$156,0))))</f>
        <v>KRİSTAL LTD.ŞTİ.</v>
      </c>
      <c r="O358" s="2"/>
      <c r="P358" s="2"/>
      <c r="Q358" s="1" t="str">
        <f>IF($D358="","",$C358&amp;"|"&amp;COUNTIFS($C$7:$C358,$C358))</f>
        <v>M020|22</v>
      </c>
      <c r="R358" s="1" t="str">
        <f t="shared" si="28"/>
        <v>KRISTALLTDSTI</v>
      </c>
      <c r="S358" s="1" t="str">
        <f t="shared" si="29"/>
        <v>M020|46179|3000|</v>
      </c>
      <c r="T358" s="1">
        <f>IF($E358="",0,SUMPRODUCT((AY_SONU!$O$7:$O$42="Evet")*(AY_SONU!$B$7:$B$42=DATE(YEAR($E358),MONTH($E358),1))))</f>
        <v>0</v>
      </c>
    </row>
    <row r="359" spans="1:20" ht="18" customHeight="1" x14ac:dyDescent="0.3">
      <c r="A359" s="2"/>
      <c r="B359" s="65" t="str">
        <f t="shared" si="25"/>
        <v>T00353</v>
      </c>
      <c r="C359" s="65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M047</v>
      </c>
      <c r="D359" s="61" t="s">
        <v>649</v>
      </c>
      <c r="E359" s="66">
        <v>46179</v>
      </c>
      <c r="F359" s="67">
        <v>4000</v>
      </c>
      <c r="G359" s="60" t="s">
        <v>713</v>
      </c>
      <c r="H359" s="60" t="s">
        <v>568</v>
      </c>
      <c r="I359" s="61"/>
      <c r="J359" s="61" t="s">
        <v>717</v>
      </c>
      <c r="K359" s="61"/>
      <c r="L359" s="73">
        <f t="shared" si="26"/>
        <v>46174</v>
      </c>
      <c r="M359" s="65" t="str">
        <f t="shared" ca="1" si="27"/>
        <v>UYGUN</v>
      </c>
      <c r="N359" s="74" t="str">
        <f>IF($C359="","",IF($C359="TANIMSIZ MÜŞTERİ","—",INDEX(MUSTERILER!$C$7:$C$156,MATCH($C359,MUSTERILER!$B$7:$B$156,0))))</f>
        <v>PALAOĞULLARI LTD.ŞTİ.</v>
      </c>
      <c r="O359" s="2"/>
      <c r="P359" s="2"/>
      <c r="Q359" s="1" t="str">
        <f>IF($D359="","",$C359&amp;"|"&amp;COUNTIFS($C$7:$C359,$C359))</f>
        <v>M047|13</v>
      </c>
      <c r="R359" s="1" t="str">
        <f t="shared" si="28"/>
        <v>PALAOGULLARILTDSTI</v>
      </c>
      <c r="S359" s="1" t="str">
        <f t="shared" si="29"/>
        <v>M047|46179|4000|</v>
      </c>
      <c r="T359" s="1">
        <f>IF($E359="",0,SUMPRODUCT((AY_SONU!$O$7:$O$42="Evet")*(AY_SONU!$B$7:$B$42=DATE(YEAR($E359),MONTH($E359),1))))</f>
        <v>0</v>
      </c>
    </row>
    <row r="360" spans="1:20" ht="18" customHeight="1" x14ac:dyDescent="0.3">
      <c r="A360" s="2"/>
      <c r="B360" s="65" t="str">
        <f t="shared" si="25"/>
        <v>T00354</v>
      </c>
      <c r="C360" s="65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M054</v>
      </c>
      <c r="D360" s="61" t="s">
        <v>669</v>
      </c>
      <c r="E360" s="66">
        <v>46179</v>
      </c>
      <c r="F360" s="67">
        <v>4000</v>
      </c>
      <c r="G360" s="60" t="s">
        <v>713</v>
      </c>
      <c r="H360" s="60" t="s">
        <v>568</v>
      </c>
      <c r="I360" s="61"/>
      <c r="J360" s="61" t="s">
        <v>717</v>
      </c>
      <c r="K360" s="61"/>
      <c r="L360" s="73">
        <f t="shared" si="26"/>
        <v>46174</v>
      </c>
      <c r="M360" s="65" t="str">
        <f t="shared" ca="1" si="27"/>
        <v>UYGUN</v>
      </c>
      <c r="N360" s="74" t="str">
        <f>IF($C360="","",IF($C360="TANIMSIZ MÜŞTERİ","—",INDEX(MUSTERILER!$C$7:$C$156,MATCH($C360,MUSTERILER!$B$7:$B$156,0))))</f>
        <v>YALIKENT LTD.ŞTİ.</v>
      </c>
      <c r="O360" s="2"/>
      <c r="P360" s="2"/>
      <c r="Q360" s="1" t="str">
        <f>IF($D360="","",$C360&amp;"|"&amp;COUNTIFS($C$7:$C360,$C360))</f>
        <v>M054|11</v>
      </c>
      <c r="R360" s="1" t="str">
        <f t="shared" si="28"/>
        <v>YALIKENTLTDSTI</v>
      </c>
      <c r="S360" s="1" t="str">
        <f t="shared" si="29"/>
        <v>M054|46179|4000|</v>
      </c>
      <c r="T360" s="1">
        <f>IF($E360="",0,SUMPRODUCT((AY_SONU!$O$7:$O$42="Evet")*(AY_SONU!$B$7:$B$42=DATE(YEAR($E360),MONTH($E360),1))))</f>
        <v>0</v>
      </c>
    </row>
    <row r="361" spans="1:20" ht="18" customHeight="1" x14ac:dyDescent="0.3">
      <c r="A361" s="2"/>
      <c r="B361" s="65" t="str">
        <f t="shared" si="25"/>
        <v>T00355</v>
      </c>
      <c r="C361" s="65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M019</v>
      </c>
      <c r="D361" s="61" t="s">
        <v>566</v>
      </c>
      <c r="E361" s="66">
        <v>46183</v>
      </c>
      <c r="F361" s="67">
        <v>5000</v>
      </c>
      <c r="G361" s="60" t="s">
        <v>713</v>
      </c>
      <c r="H361" s="60" t="s">
        <v>568</v>
      </c>
      <c r="I361" s="61"/>
      <c r="J361" s="61" t="s">
        <v>717</v>
      </c>
      <c r="K361" s="61"/>
      <c r="L361" s="73">
        <f t="shared" si="26"/>
        <v>46174</v>
      </c>
      <c r="M361" s="65" t="str">
        <f t="shared" ca="1" si="27"/>
        <v>UYGUN</v>
      </c>
      <c r="N361" s="74" t="str">
        <f>IF($C361="","",IF($C361="TANIMSIZ MÜŞTERİ","—",INDEX(MUSTERILER!$C$7:$C$156,MATCH($C361,MUSTERILER!$B$7:$B$156,0))))</f>
        <v>AC OTEL LTD.ŞTİ.</v>
      </c>
      <c r="O361" s="2"/>
      <c r="P361" s="2"/>
      <c r="Q361" s="1" t="str">
        <f>IF($D361="","",$C361&amp;"|"&amp;COUNTIFS($C$7:$C361,$C361))</f>
        <v>M019|4</v>
      </c>
      <c r="R361" s="1" t="str">
        <f t="shared" si="28"/>
        <v>ACOTELLTDSTI</v>
      </c>
      <c r="S361" s="1" t="str">
        <f t="shared" si="29"/>
        <v>M019|46183|5000|</v>
      </c>
      <c r="T361" s="1">
        <f>IF($E361="",0,SUMPRODUCT((AY_SONU!$O$7:$O$42="Evet")*(AY_SONU!$B$7:$B$42=DATE(YEAR($E361),MONTH($E361),1))))</f>
        <v>0</v>
      </c>
    </row>
    <row r="362" spans="1:20" ht="18" customHeight="1" x14ac:dyDescent="0.3">
      <c r="A362" s="2"/>
      <c r="B362" s="65" t="str">
        <f t="shared" si="25"/>
        <v>T00356</v>
      </c>
      <c r="C362" s="65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M025</v>
      </c>
      <c r="D362" s="61" t="s">
        <v>579</v>
      </c>
      <c r="E362" s="66">
        <v>46186</v>
      </c>
      <c r="F362" s="67">
        <v>2000</v>
      </c>
      <c r="G362" s="60" t="s">
        <v>713</v>
      </c>
      <c r="H362" s="60" t="s">
        <v>568</v>
      </c>
      <c r="I362" s="61"/>
      <c r="J362" s="61" t="s">
        <v>717</v>
      </c>
      <c r="K362" s="61"/>
      <c r="L362" s="73">
        <f t="shared" si="26"/>
        <v>46174</v>
      </c>
      <c r="M362" s="65" t="str">
        <f t="shared" ca="1" si="27"/>
        <v>UYGUN</v>
      </c>
      <c r="N362" s="74" t="str">
        <f>IF($C362="","",IF($C362="TANIMSIZ MÜŞTERİ","—",INDEX(MUSTERILER!$C$7:$C$156,MATCH($C362,MUSTERILER!$B$7:$B$156,0))))</f>
        <v>ASIM AÇIKGÖZ</v>
      </c>
      <c r="O362" s="2"/>
      <c r="P362" s="2"/>
      <c r="Q362" s="1" t="str">
        <f>IF($D362="","",$C362&amp;"|"&amp;COUNTIFS($C$7:$C362,$C362))</f>
        <v>M025|18</v>
      </c>
      <c r="R362" s="1" t="str">
        <f t="shared" si="28"/>
        <v>ASIMACIKGOZ</v>
      </c>
      <c r="S362" s="1" t="str">
        <f t="shared" si="29"/>
        <v>M025|46186|2000|</v>
      </c>
      <c r="T362" s="1">
        <f>IF($E362="",0,SUMPRODUCT((AY_SONU!$O$7:$O$42="Evet")*(AY_SONU!$B$7:$B$42=DATE(YEAR($E362),MONTH($E362),1))))</f>
        <v>0</v>
      </c>
    </row>
    <row r="363" spans="1:20" ht="18" customHeight="1" x14ac:dyDescent="0.3">
      <c r="A363" s="2"/>
      <c r="B363" s="65" t="str">
        <f t="shared" si="25"/>
        <v>T00357</v>
      </c>
      <c r="C363" s="65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M017</v>
      </c>
      <c r="D363" s="61" t="s">
        <v>581</v>
      </c>
      <c r="E363" s="66">
        <v>46186</v>
      </c>
      <c r="F363" s="67">
        <v>2500</v>
      </c>
      <c r="G363" s="60" t="s">
        <v>713</v>
      </c>
      <c r="H363" s="60" t="s">
        <v>568</v>
      </c>
      <c r="I363" s="61"/>
      <c r="J363" s="61" t="s">
        <v>717</v>
      </c>
      <c r="K363" s="61"/>
      <c r="L363" s="73">
        <f t="shared" si="26"/>
        <v>46174</v>
      </c>
      <c r="M363" s="65" t="str">
        <f t="shared" ca="1" si="27"/>
        <v>UYGUN</v>
      </c>
      <c r="N363" s="74" t="str">
        <f>IF($C363="","",IF($C363="TANIMSIZ MÜŞTERİ","—",INDEX(MUSTERILER!$C$7:$C$156,MATCH($C363,MUSTERILER!$B$7:$B$156,0))))</f>
        <v>ASM EĞLENCE LTD.ŞTİ.</v>
      </c>
      <c r="O363" s="2"/>
      <c r="P363" s="2"/>
      <c r="Q363" s="1" t="str">
        <f>IF($D363="","",$C363&amp;"|"&amp;COUNTIFS($C$7:$C363,$C363))</f>
        <v>M017|19</v>
      </c>
      <c r="R363" s="1" t="str">
        <f t="shared" si="28"/>
        <v>ASMEGLENCELTDSTI</v>
      </c>
      <c r="S363" s="1" t="str">
        <f t="shared" si="29"/>
        <v>M017|46186|2500|</v>
      </c>
      <c r="T363" s="1">
        <f>IF($E363="",0,SUMPRODUCT((AY_SONU!$O$7:$O$42="Evet")*(AY_SONU!$B$7:$B$42=DATE(YEAR($E363),MONTH($E363),1))))</f>
        <v>0</v>
      </c>
    </row>
    <row r="364" spans="1:20" ht="18" customHeight="1" x14ac:dyDescent="0.3">
      <c r="A364" s="2"/>
      <c r="B364" s="65" t="str">
        <f t="shared" si="25"/>
        <v>T00358</v>
      </c>
      <c r="C364" s="65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M015</v>
      </c>
      <c r="D364" s="61" t="s">
        <v>723</v>
      </c>
      <c r="E364" s="66">
        <v>46186</v>
      </c>
      <c r="F364" s="67">
        <v>3000</v>
      </c>
      <c r="G364" s="60" t="s">
        <v>713</v>
      </c>
      <c r="H364" s="60" t="s">
        <v>568</v>
      </c>
      <c r="I364" s="61"/>
      <c r="J364" s="61" t="s">
        <v>717</v>
      </c>
      <c r="K364" s="61"/>
      <c r="L364" s="73">
        <f t="shared" si="26"/>
        <v>46174</v>
      </c>
      <c r="M364" s="65" t="str">
        <f t="shared" ca="1" si="27"/>
        <v>UYGUN</v>
      </c>
      <c r="N364" s="74" t="str">
        <f>IF($C364="","",IF($C364="TANIMSIZ MÜŞTERİ","—",INDEX(MUSTERILER!$C$7:$C$156,MATCH($C364,MUSTERILER!$B$7:$B$156,0))))</f>
        <v>ÇAYIRALAN LTD.ŞTİ.</v>
      </c>
      <c r="O364" s="2"/>
      <c r="P364" s="2"/>
      <c r="Q364" s="1" t="str">
        <f>IF($D364="","",$C364&amp;"|"&amp;COUNTIFS($C$7:$C364,$C364))</f>
        <v>M015|20</v>
      </c>
      <c r="R364" s="1" t="str">
        <f t="shared" si="28"/>
        <v>CAYIRALANLTDSTI</v>
      </c>
      <c r="S364" s="1" t="str">
        <f t="shared" si="29"/>
        <v>M015|46186|3000|</v>
      </c>
      <c r="T364" s="1">
        <f>IF($E364="",0,SUMPRODUCT((AY_SONU!$O$7:$O$42="Evet")*(AY_SONU!$B$7:$B$42=DATE(YEAR($E364),MONTH($E364),1))))</f>
        <v>0</v>
      </c>
    </row>
    <row r="365" spans="1:20" ht="18" customHeight="1" x14ac:dyDescent="0.3">
      <c r="A365" s="2"/>
      <c r="B365" s="65" t="str">
        <f t="shared" si="25"/>
        <v>T00359</v>
      </c>
      <c r="C365" s="65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M011</v>
      </c>
      <c r="D365" s="61" t="s">
        <v>724</v>
      </c>
      <c r="E365" s="66">
        <v>46186</v>
      </c>
      <c r="F365" s="67">
        <v>4000</v>
      </c>
      <c r="G365" s="60" t="s">
        <v>713</v>
      </c>
      <c r="H365" s="60" t="s">
        <v>568</v>
      </c>
      <c r="I365" s="61"/>
      <c r="J365" s="61" t="s">
        <v>717</v>
      </c>
      <c r="K365" s="61"/>
      <c r="L365" s="73">
        <f t="shared" si="26"/>
        <v>46174</v>
      </c>
      <c r="M365" s="65" t="str">
        <f t="shared" ca="1" si="27"/>
        <v>UYGUN</v>
      </c>
      <c r="N365" s="74" t="str">
        <f>IF($C365="","",IF($C365="TANIMSIZ MÜŞTERİ","—",INDEX(MUSTERILER!$C$7:$C$156,MATCH($C365,MUSTERILER!$B$7:$B$156,0))))</f>
        <v>EĞLENGÖR LTD.ŞTİ.</v>
      </c>
      <c r="O365" s="2"/>
      <c r="P365" s="2"/>
      <c r="Q365" s="1" t="str">
        <f>IF($D365="","",$C365&amp;"|"&amp;COUNTIFS($C$7:$C365,$C365))</f>
        <v>M011|22</v>
      </c>
      <c r="R365" s="1" t="str">
        <f t="shared" si="28"/>
        <v>EGLENGORLTDSTI</v>
      </c>
      <c r="S365" s="1" t="str">
        <f t="shared" si="29"/>
        <v>M011|46186|4000|</v>
      </c>
      <c r="T365" s="1">
        <f>IF($E365="",0,SUMPRODUCT((AY_SONU!$O$7:$O$42="Evet")*(AY_SONU!$B$7:$B$42=DATE(YEAR($E365),MONTH($E365),1))))</f>
        <v>0</v>
      </c>
    </row>
    <row r="366" spans="1:20" ht="18" customHeight="1" x14ac:dyDescent="0.3">
      <c r="A366" s="2"/>
      <c r="B366" s="65" t="str">
        <f t="shared" si="25"/>
        <v>T00360</v>
      </c>
      <c r="C366" s="65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M014</v>
      </c>
      <c r="D366" s="61" t="s">
        <v>725</v>
      </c>
      <c r="E366" s="66">
        <v>46186</v>
      </c>
      <c r="F366" s="67">
        <v>4000</v>
      </c>
      <c r="G366" s="60" t="s">
        <v>713</v>
      </c>
      <c r="H366" s="60" t="s">
        <v>568</v>
      </c>
      <c r="I366" s="61"/>
      <c r="J366" s="61" t="s">
        <v>717</v>
      </c>
      <c r="K366" s="61"/>
      <c r="L366" s="73">
        <f t="shared" si="26"/>
        <v>46174</v>
      </c>
      <c r="M366" s="65" t="str">
        <f t="shared" ca="1" si="27"/>
        <v>UYGUN</v>
      </c>
      <c r="N366" s="74" t="str">
        <f>IF($C366="","",IF($C366="TANIMSIZ MÜŞTERİ","—",INDEX(MUSTERILER!$C$7:$C$156,MATCH($C366,MUSTERILER!$B$7:$B$156,0))))</f>
        <v>FİNAL SİYAH BEYAZ LTD.ŞTİ.</v>
      </c>
      <c r="O366" s="2"/>
      <c r="P366" s="2"/>
      <c r="Q366" s="1" t="str">
        <f>IF($D366="","",$C366&amp;"|"&amp;COUNTIFS($C$7:$C366,$C366))</f>
        <v>M014|21</v>
      </c>
      <c r="R366" s="1" t="str">
        <f t="shared" si="28"/>
        <v>FINALSIYAHBEYAZLTDSTI</v>
      </c>
      <c r="S366" s="1" t="str">
        <f t="shared" si="29"/>
        <v>M014|46186|4000|</v>
      </c>
      <c r="T366" s="1">
        <f>IF($E366="",0,SUMPRODUCT((AY_SONU!$O$7:$O$42="Evet")*(AY_SONU!$B$7:$B$42=DATE(YEAR($E366),MONTH($E366),1))))</f>
        <v>0</v>
      </c>
    </row>
    <row r="367" spans="1:20" ht="18" customHeight="1" x14ac:dyDescent="0.3">
      <c r="A367" s="2"/>
      <c r="B367" s="65" t="str">
        <f t="shared" si="25"/>
        <v>T00361</v>
      </c>
      <c r="C367" s="65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M012</v>
      </c>
      <c r="D367" s="61" t="s">
        <v>727</v>
      </c>
      <c r="E367" s="66">
        <v>46186</v>
      </c>
      <c r="F367" s="67">
        <v>4000</v>
      </c>
      <c r="G367" s="60" t="s">
        <v>713</v>
      </c>
      <c r="H367" s="60" t="s">
        <v>568</v>
      </c>
      <c r="I367" s="61"/>
      <c r="J367" s="61" t="s">
        <v>717</v>
      </c>
      <c r="K367" s="61"/>
      <c r="L367" s="73">
        <f t="shared" si="26"/>
        <v>46174</v>
      </c>
      <c r="M367" s="65" t="str">
        <f t="shared" ca="1" si="27"/>
        <v>UYGUN</v>
      </c>
      <c r="N367" s="74" t="str">
        <f>IF($C367="","",IF($C367="TANIMSIZ MÜŞTERİ","—",INDEX(MUSTERILER!$C$7:$C$156,MATCH($C367,MUSTERILER!$B$7:$B$156,0))))</f>
        <v>İLDEŞ LTD.ŞTİ.</v>
      </c>
      <c r="O367" s="2"/>
      <c r="P367" s="2"/>
      <c r="Q367" s="1" t="str">
        <f>IF($D367="","",$C367&amp;"|"&amp;COUNTIFS($C$7:$C367,$C367))</f>
        <v>M012|22</v>
      </c>
      <c r="R367" s="1" t="str">
        <f t="shared" si="28"/>
        <v>ILDESLTDSTI</v>
      </c>
      <c r="S367" s="1" t="str">
        <f t="shared" si="29"/>
        <v>M012|46186|4000|</v>
      </c>
      <c r="T367" s="1">
        <f>IF($E367="",0,SUMPRODUCT((AY_SONU!$O$7:$O$42="Evet")*(AY_SONU!$B$7:$B$42=DATE(YEAR($E367),MONTH($E367),1))))</f>
        <v>0</v>
      </c>
    </row>
    <row r="368" spans="1:20" ht="18" customHeight="1" x14ac:dyDescent="0.3">
      <c r="A368" s="2"/>
      <c r="B368" s="65" t="str">
        <f t="shared" si="25"/>
        <v>T00362</v>
      </c>
      <c r="C368" s="65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M007</v>
      </c>
      <c r="D368" s="61" t="s">
        <v>728</v>
      </c>
      <c r="E368" s="66">
        <v>46186</v>
      </c>
      <c r="F368" s="67">
        <v>3500</v>
      </c>
      <c r="G368" s="60" t="s">
        <v>713</v>
      </c>
      <c r="H368" s="60" t="s">
        <v>568</v>
      </c>
      <c r="I368" s="61"/>
      <c r="J368" s="61" t="s">
        <v>717</v>
      </c>
      <c r="K368" s="61"/>
      <c r="L368" s="73">
        <f t="shared" si="26"/>
        <v>46174</v>
      </c>
      <c r="M368" s="65" t="str">
        <f t="shared" ca="1" si="27"/>
        <v>UYGUN</v>
      </c>
      <c r="N368" s="74" t="str">
        <f>IF($C368="","",IF($C368="TANIMSIZ MÜŞTERİ","—",INDEX(MUSTERILER!$C$7:$C$156,MATCH($C368,MUSTERILER!$B$7:$B$156,0))))</f>
        <v>MONAMOUR LTD.ŞTİ.</v>
      </c>
      <c r="O368" s="2"/>
      <c r="P368" s="2"/>
      <c r="Q368" s="1" t="str">
        <f>IF($D368="","",$C368&amp;"|"&amp;COUNTIFS($C$7:$C368,$C368))</f>
        <v>M007|17</v>
      </c>
      <c r="R368" s="1" t="str">
        <f t="shared" si="28"/>
        <v>MONAMOURLTDSTI</v>
      </c>
      <c r="S368" s="1" t="str">
        <f t="shared" si="29"/>
        <v>M007|46186|3500|</v>
      </c>
      <c r="T368" s="1">
        <f>IF($E368="",0,SUMPRODUCT((AY_SONU!$O$7:$O$42="Evet")*(AY_SONU!$B$7:$B$42=DATE(YEAR($E368),MONTH($E368),1))))</f>
        <v>0</v>
      </c>
    </row>
    <row r="369" spans="1:20" ht="18" customHeight="1" x14ac:dyDescent="0.3">
      <c r="A369" s="2"/>
      <c r="B369" s="65" t="str">
        <f t="shared" si="25"/>
        <v>T00363</v>
      </c>
      <c r="C369" s="65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M013</v>
      </c>
      <c r="D369" s="61" t="s">
        <v>729</v>
      </c>
      <c r="E369" s="66">
        <v>46186</v>
      </c>
      <c r="F369" s="67">
        <v>2000</v>
      </c>
      <c r="G369" s="60" t="s">
        <v>713</v>
      </c>
      <c r="H369" s="60" t="s">
        <v>568</v>
      </c>
      <c r="I369" s="61"/>
      <c r="J369" s="61" t="s">
        <v>717</v>
      </c>
      <c r="K369" s="61"/>
      <c r="L369" s="73">
        <f t="shared" si="26"/>
        <v>46174</v>
      </c>
      <c r="M369" s="65" t="str">
        <f t="shared" ca="1" si="27"/>
        <v>UYGUN</v>
      </c>
      <c r="N369" s="74" t="str">
        <f>IF($C369="","",IF($C369="TANIMSIZ MÜŞTERİ","—",INDEX(MUSTERILER!$C$7:$C$156,MATCH($C369,MUSTERILER!$B$7:$B$156,0))))</f>
        <v>NAZ 1 GIDA LTD.ŞTİ.</v>
      </c>
      <c r="O369" s="2"/>
      <c r="P369" s="2"/>
      <c r="Q369" s="1" t="str">
        <f>IF($D369="","",$C369&amp;"|"&amp;COUNTIFS($C$7:$C369,$C369))</f>
        <v>M013|15</v>
      </c>
      <c r="R369" s="1" t="str">
        <f t="shared" si="28"/>
        <v>NAZ1GIDALTDSTI</v>
      </c>
      <c r="S369" s="1" t="str">
        <f t="shared" si="29"/>
        <v>M013|46186|2000|</v>
      </c>
      <c r="T369" s="1">
        <f>IF($E369="",0,SUMPRODUCT((AY_SONU!$O$7:$O$42="Evet")*(AY_SONU!$B$7:$B$42=DATE(YEAR($E369),MONTH($E369),1))))</f>
        <v>0</v>
      </c>
    </row>
    <row r="370" spans="1:20" ht="18" customHeight="1" x14ac:dyDescent="0.3">
      <c r="A370" s="2"/>
      <c r="B370" s="65" t="str">
        <f t="shared" si="25"/>
        <v>T00364</v>
      </c>
      <c r="C370" s="65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M009</v>
      </c>
      <c r="D370" s="61" t="s">
        <v>730</v>
      </c>
      <c r="E370" s="66">
        <v>46186</v>
      </c>
      <c r="F370" s="67">
        <v>4000</v>
      </c>
      <c r="G370" s="60" t="s">
        <v>713</v>
      </c>
      <c r="H370" s="60" t="s">
        <v>568</v>
      </c>
      <c r="I370" s="61"/>
      <c r="J370" s="61" t="s">
        <v>717</v>
      </c>
      <c r="K370" s="61"/>
      <c r="L370" s="73">
        <f t="shared" si="26"/>
        <v>46174</v>
      </c>
      <c r="M370" s="65" t="str">
        <f t="shared" ca="1" si="27"/>
        <v>UYGUN</v>
      </c>
      <c r="N370" s="74" t="str">
        <f>IF($C370="","",IF($C370="TANIMSIZ MÜŞTERİ","—",INDEX(MUSTERILER!$C$7:$C$156,MATCH($C370,MUSTERILER!$B$7:$B$156,0))))</f>
        <v>PAKYILDIZ LTD.ŞTİ.</v>
      </c>
      <c r="O370" s="2"/>
      <c r="P370" s="2"/>
      <c r="Q370" s="1" t="str">
        <f>IF($D370="","",$C370&amp;"|"&amp;COUNTIFS($C$7:$C370,$C370))</f>
        <v>M009|19</v>
      </c>
      <c r="R370" s="1" t="str">
        <f t="shared" si="28"/>
        <v>PAKYILDIZLTDSTI</v>
      </c>
      <c r="S370" s="1" t="str">
        <f t="shared" si="29"/>
        <v>M009|46186|4000|</v>
      </c>
      <c r="T370" s="1">
        <f>IF($E370="",0,SUMPRODUCT((AY_SONU!$O$7:$O$42="Evet")*(AY_SONU!$B$7:$B$42=DATE(YEAR($E370),MONTH($E370),1))))</f>
        <v>0</v>
      </c>
    </row>
    <row r="371" spans="1:20" ht="18" customHeight="1" x14ac:dyDescent="0.3">
      <c r="A371" s="2"/>
      <c r="B371" s="65" t="str">
        <f t="shared" si="25"/>
        <v>T00365</v>
      </c>
      <c r="C371" s="65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M016</v>
      </c>
      <c r="D371" s="61" t="s">
        <v>731</v>
      </c>
      <c r="E371" s="66">
        <v>46186</v>
      </c>
      <c r="F371" s="67">
        <v>3000</v>
      </c>
      <c r="G371" s="60" t="s">
        <v>713</v>
      </c>
      <c r="H371" s="60" t="s">
        <v>568</v>
      </c>
      <c r="I371" s="61"/>
      <c r="J371" s="61" t="s">
        <v>717</v>
      </c>
      <c r="K371" s="61"/>
      <c r="L371" s="73">
        <f t="shared" si="26"/>
        <v>46174</v>
      </c>
      <c r="M371" s="65" t="str">
        <f t="shared" ca="1" si="27"/>
        <v>UYGUN</v>
      </c>
      <c r="N371" s="74" t="str">
        <f>IF($C371="","",IF($C371="TANIMSIZ MÜŞTERİ","—",INDEX(MUSTERILER!$C$7:$C$156,MATCH($C371,MUSTERILER!$B$7:$B$156,0))))</f>
        <v>RİX ŞOW LTD.ŞTİ.</v>
      </c>
      <c r="O371" s="2"/>
      <c r="P371" s="2"/>
      <c r="Q371" s="1" t="str">
        <f>IF($D371="","",$C371&amp;"|"&amp;COUNTIFS($C$7:$C371,$C371))</f>
        <v>M016|22</v>
      </c>
      <c r="R371" s="1" t="str">
        <f t="shared" si="28"/>
        <v>RIXSOWLTDSTI</v>
      </c>
      <c r="S371" s="1" t="str">
        <f t="shared" si="29"/>
        <v>M016|46186|3000|</v>
      </c>
      <c r="T371" s="1">
        <f>IF($E371="",0,SUMPRODUCT((AY_SONU!$O$7:$O$42="Evet")*(AY_SONU!$B$7:$B$42=DATE(YEAR($E371),MONTH($E371),1))))</f>
        <v>0</v>
      </c>
    </row>
    <row r="372" spans="1:20" ht="18" customHeight="1" x14ac:dyDescent="0.3">
      <c r="A372" s="2"/>
      <c r="B372" s="65" t="str">
        <f t="shared" si="25"/>
        <v>T00366</v>
      </c>
      <c r="C372" s="65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M005</v>
      </c>
      <c r="D372" s="61" t="s">
        <v>732</v>
      </c>
      <c r="E372" s="66">
        <v>46186</v>
      </c>
      <c r="F372" s="67">
        <v>1750</v>
      </c>
      <c r="G372" s="60" t="s">
        <v>713</v>
      </c>
      <c r="H372" s="60" t="s">
        <v>568</v>
      </c>
      <c r="I372" s="61"/>
      <c r="J372" s="61" t="s">
        <v>717</v>
      </c>
      <c r="K372" s="61"/>
      <c r="L372" s="73">
        <f t="shared" si="26"/>
        <v>46174</v>
      </c>
      <c r="M372" s="65" t="str">
        <f t="shared" ca="1" si="27"/>
        <v>UYGUN</v>
      </c>
      <c r="N372" s="74" t="str">
        <f>IF($C372="","",IF($C372="TANIMSIZ MÜŞTERİ","—",INDEX(MUSTERILER!$C$7:$C$156,MATCH($C372,MUSTERILER!$B$7:$B$156,0))))</f>
        <v>ZÜMRÜT GRUP LTD.ŞTİ.</v>
      </c>
      <c r="O372" s="2"/>
      <c r="P372" s="2"/>
      <c r="Q372" s="1" t="str">
        <f>IF($D372="","",$C372&amp;"|"&amp;COUNTIFS($C$7:$C372,$C372))</f>
        <v>M005|18</v>
      </c>
      <c r="R372" s="1" t="str">
        <f t="shared" si="28"/>
        <v>ZUMRUTGRUPLTDSTI</v>
      </c>
      <c r="S372" s="1" t="str">
        <f t="shared" si="29"/>
        <v>M005|46186|1750|</v>
      </c>
      <c r="T372" s="1">
        <f>IF($E372="",0,SUMPRODUCT((AY_SONU!$O$7:$O$42="Evet")*(AY_SONU!$B$7:$B$42=DATE(YEAR($E372),MONTH($E372),1))))</f>
        <v>0</v>
      </c>
    </row>
    <row r="373" spans="1:20" ht="18" customHeight="1" x14ac:dyDescent="0.3">
      <c r="A373" s="2"/>
      <c r="B373" s="65" t="str">
        <f t="shared" si="25"/>
        <v>T00367</v>
      </c>
      <c r="C373" s="65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M018</v>
      </c>
      <c r="D373" s="61" t="s">
        <v>589</v>
      </c>
      <c r="E373" s="66">
        <v>46186</v>
      </c>
      <c r="F373" s="67">
        <v>2500</v>
      </c>
      <c r="G373" s="60" t="s">
        <v>713</v>
      </c>
      <c r="H373" s="60" t="s">
        <v>568</v>
      </c>
      <c r="I373" s="61"/>
      <c r="J373" s="61" t="s">
        <v>717</v>
      </c>
      <c r="K373" s="61"/>
      <c r="L373" s="73">
        <f t="shared" si="26"/>
        <v>46174</v>
      </c>
      <c r="M373" s="65" t="str">
        <f t="shared" ca="1" si="27"/>
        <v>UYGUN</v>
      </c>
      <c r="N373" s="74" t="str">
        <f>IF($C373="","",IF($C373="TANIMSIZ MÜŞTERİ","—",INDEX(MUSTERILER!$C$7:$C$156,MATCH($C373,MUSTERILER!$B$7:$B$156,0))))</f>
        <v>ÇINARHAN LTD.ŞTİ.</v>
      </c>
      <c r="O373" s="2"/>
      <c r="P373" s="2"/>
      <c r="Q373" s="1" t="str">
        <f>IF($D373="","",$C373&amp;"|"&amp;COUNTIFS($C$7:$C373,$C373))</f>
        <v>M018|17</v>
      </c>
      <c r="R373" s="1" t="str">
        <f t="shared" si="28"/>
        <v>CINARHANLTDSTI</v>
      </c>
      <c r="S373" s="1" t="str">
        <f t="shared" si="29"/>
        <v>M018|46186|2500|</v>
      </c>
      <c r="T373" s="1">
        <f>IF($E373="",0,SUMPRODUCT((AY_SONU!$O$7:$O$42="Evet")*(AY_SONU!$B$7:$B$42=DATE(YEAR($E373),MONTH($E373),1))))</f>
        <v>0</v>
      </c>
    </row>
    <row r="374" spans="1:20" ht="18" customHeight="1" x14ac:dyDescent="0.3">
      <c r="A374" s="2"/>
      <c r="B374" s="65" t="str">
        <f t="shared" si="25"/>
        <v>T00368</v>
      </c>
      <c r="C374" s="65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M020</v>
      </c>
      <c r="D374" s="61" t="s">
        <v>619</v>
      </c>
      <c r="E374" s="66">
        <v>46186</v>
      </c>
      <c r="F374" s="67">
        <v>3000</v>
      </c>
      <c r="G374" s="60" t="s">
        <v>713</v>
      </c>
      <c r="H374" s="60" t="s">
        <v>568</v>
      </c>
      <c r="I374" s="61"/>
      <c r="J374" s="61" t="s">
        <v>717</v>
      </c>
      <c r="K374" s="61"/>
      <c r="L374" s="73">
        <f t="shared" si="26"/>
        <v>46174</v>
      </c>
      <c r="M374" s="65" t="str">
        <f t="shared" ca="1" si="27"/>
        <v>UYGUN</v>
      </c>
      <c r="N374" s="74" t="str">
        <f>IF($C374="","",IF($C374="TANIMSIZ MÜŞTERİ","—",INDEX(MUSTERILER!$C$7:$C$156,MATCH($C374,MUSTERILER!$B$7:$B$156,0))))</f>
        <v>KRİSTAL LTD.ŞTİ.</v>
      </c>
      <c r="O374" s="2"/>
      <c r="P374" s="2"/>
      <c r="Q374" s="1" t="str">
        <f>IF($D374="","",$C374&amp;"|"&amp;COUNTIFS($C$7:$C374,$C374))</f>
        <v>M020|23</v>
      </c>
      <c r="R374" s="1" t="str">
        <f t="shared" si="28"/>
        <v>KRISTALLTDSTI</v>
      </c>
      <c r="S374" s="1" t="str">
        <f t="shared" si="29"/>
        <v>M020|46186|3000|</v>
      </c>
      <c r="T374" s="1">
        <f>IF($E374="",0,SUMPRODUCT((AY_SONU!$O$7:$O$42="Evet")*(AY_SONU!$B$7:$B$42=DATE(YEAR($E374),MONTH($E374),1))))</f>
        <v>0</v>
      </c>
    </row>
    <row r="375" spans="1:20" ht="18" customHeight="1" x14ac:dyDescent="0.3">
      <c r="A375" s="2"/>
      <c r="B375" s="65" t="str">
        <f t="shared" si="25"/>
        <v>T00369</v>
      </c>
      <c r="C375" s="65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M047</v>
      </c>
      <c r="D375" s="61" t="s">
        <v>649</v>
      </c>
      <c r="E375" s="66">
        <v>46186</v>
      </c>
      <c r="F375" s="67">
        <v>4000</v>
      </c>
      <c r="G375" s="60" t="s">
        <v>713</v>
      </c>
      <c r="H375" s="60" t="s">
        <v>568</v>
      </c>
      <c r="I375" s="61"/>
      <c r="J375" s="61" t="s">
        <v>717</v>
      </c>
      <c r="K375" s="61"/>
      <c r="L375" s="73">
        <f t="shared" si="26"/>
        <v>46174</v>
      </c>
      <c r="M375" s="65" t="str">
        <f t="shared" ca="1" si="27"/>
        <v>UYGUN</v>
      </c>
      <c r="N375" s="74" t="str">
        <f>IF($C375="","",IF($C375="TANIMSIZ MÜŞTERİ","—",INDEX(MUSTERILER!$C$7:$C$156,MATCH($C375,MUSTERILER!$B$7:$B$156,0))))</f>
        <v>PALAOĞULLARI LTD.ŞTİ.</v>
      </c>
      <c r="O375" s="2"/>
      <c r="P375" s="2"/>
      <c r="Q375" s="1" t="str">
        <f>IF($D375="","",$C375&amp;"|"&amp;COUNTIFS($C$7:$C375,$C375))</f>
        <v>M047|14</v>
      </c>
      <c r="R375" s="1" t="str">
        <f t="shared" si="28"/>
        <v>PALAOGULLARILTDSTI</v>
      </c>
      <c r="S375" s="1" t="str">
        <f t="shared" si="29"/>
        <v>M047|46186|4000|</v>
      </c>
      <c r="T375" s="1">
        <f>IF($E375="",0,SUMPRODUCT((AY_SONU!$O$7:$O$42="Evet")*(AY_SONU!$B$7:$B$42=DATE(YEAR($E375),MONTH($E375),1))))</f>
        <v>0</v>
      </c>
    </row>
    <row r="376" spans="1:20" ht="18" customHeight="1" x14ac:dyDescent="0.3">
      <c r="A376" s="2"/>
      <c r="B376" s="65" t="str">
        <f t="shared" si="25"/>
        <v>T00370</v>
      </c>
      <c r="C376" s="65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M054</v>
      </c>
      <c r="D376" s="61" t="s">
        <v>669</v>
      </c>
      <c r="E376" s="66">
        <v>46186</v>
      </c>
      <c r="F376" s="67">
        <v>4000</v>
      </c>
      <c r="G376" s="60" t="s">
        <v>713</v>
      </c>
      <c r="H376" s="60" t="s">
        <v>568</v>
      </c>
      <c r="I376" s="61"/>
      <c r="J376" s="61" t="s">
        <v>717</v>
      </c>
      <c r="K376" s="61"/>
      <c r="L376" s="73">
        <f t="shared" si="26"/>
        <v>46174</v>
      </c>
      <c r="M376" s="65" t="str">
        <f t="shared" ca="1" si="27"/>
        <v>UYGUN</v>
      </c>
      <c r="N376" s="74" t="str">
        <f>IF($C376="","",IF($C376="TANIMSIZ MÜŞTERİ","—",INDEX(MUSTERILER!$C$7:$C$156,MATCH($C376,MUSTERILER!$B$7:$B$156,0))))</f>
        <v>YALIKENT LTD.ŞTİ.</v>
      </c>
      <c r="O376" s="2"/>
      <c r="P376" s="2"/>
      <c r="Q376" s="1" t="str">
        <f>IF($D376="","",$C376&amp;"|"&amp;COUNTIFS($C$7:$C376,$C376))</f>
        <v>M054|12</v>
      </c>
      <c r="R376" s="1" t="str">
        <f t="shared" si="28"/>
        <v>YALIKENTLTDSTI</v>
      </c>
      <c r="S376" s="1" t="str">
        <f t="shared" si="29"/>
        <v>M054|46186|4000|</v>
      </c>
      <c r="T376" s="1">
        <f>IF($E376="",0,SUMPRODUCT((AY_SONU!$O$7:$O$42="Evet")*(AY_SONU!$B$7:$B$42=DATE(YEAR($E376),MONTH($E376),1))))</f>
        <v>0</v>
      </c>
    </row>
    <row r="377" spans="1:20" ht="18" customHeight="1" x14ac:dyDescent="0.3">
      <c r="A377" s="2"/>
      <c r="B377" s="65" t="str">
        <f t="shared" si="25"/>
        <v>T00371</v>
      </c>
      <c r="C377" s="65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M021</v>
      </c>
      <c r="D377" s="61" t="s">
        <v>577</v>
      </c>
      <c r="E377" s="66">
        <v>46193</v>
      </c>
      <c r="F377" s="67">
        <v>10000</v>
      </c>
      <c r="G377" s="60" t="s">
        <v>713</v>
      </c>
      <c r="H377" s="60" t="s">
        <v>568</v>
      </c>
      <c r="I377" s="61"/>
      <c r="J377" s="61" t="s">
        <v>717</v>
      </c>
      <c r="K377" s="61"/>
      <c r="L377" s="73">
        <f t="shared" si="26"/>
        <v>46174</v>
      </c>
      <c r="M377" s="65" t="str">
        <f t="shared" ca="1" si="27"/>
        <v>UYGUN</v>
      </c>
      <c r="N377" s="74" t="str">
        <f>IF($C377="","",IF($C377="TANIMSIZ MÜŞTERİ","—",INDEX(MUSTERILER!$C$7:$C$156,MATCH($C377,MUSTERILER!$B$7:$B$156,0))))</f>
        <v>ARON TOPTAN LTD.ŞTİ.</v>
      </c>
      <c r="O377" s="2"/>
      <c r="P377" s="2"/>
      <c r="Q377" s="1" t="str">
        <f>IF($D377="","",$C377&amp;"|"&amp;COUNTIFS($C$7:$C377,$C377))</f>
        <v>M021|4</v>
      </c>
      <c r="R377" s="1" t="str">
        <f t="shared" si="28"/>
        <v>ARONTOPTANLTDSTI</v>
      </c>
      <c r="S377" s="1" t="str">
        <f t="shared" si="29"/>
        <v>M021|46193|10000|</v>
      </c>
      <c r="T377" s="1">
        <f>IF($E377="",0,SUMPRODUCT((AY_SONU!$O$7:$O$42="Evet")*(AY_SONU!$B$7:$B$42=DATE(YEAR($E377),MONTH($E377),1))))</f>
        <v>0</v>
      </c>
    </row>
    <row r="378" spans="1:20" ht="18" customHeight="1" x14ac:dyDescent="0.3">
      <c r="A378" s="2"/>
      <c r="B378" s="65" t="str">
        <f t="shared" si="25"/>
        <v>T00372</v>
      </c>
      <c r="C378" s="65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M025</v>
      </c>
      <c r="D378" s="61" t="s">
        <v>579</v>
      </c>
      <c r="E378" s="66">
        <v>46194</v>
      </c>
      <c r="F378" s="67">
        <v>2000</v>
      </c>
      <c r="G378" s="60" t="s">
        <v>715</v>
      </c>
      <c r="H378" s="60" t="s">
        <v>568</v>
      </c>
      <c r="I378" s="61"/>
      <c r="J378" s="61" t="s">
        <v>717</v>
      </c>
      <c r="K378" s="61"/>
      <c r="L378" s="73">
        <f t="shared" si="26"/>
        <v>46174</v>
      </c>
      <c r="M378" s="65" t="str">
        <f t="shared" ca="1" si="27"/>
        <v>UYGUN</v>
      </c>
      <c r="N378" s="74" t="str">
        <f>IF($C378="","",IF($C378="TANIMSIZ MÜŞTERİ","—",INDEX(MUSTERILER!$C$7:$C$156,MATCH($C378,MUSTERILER!$B$7:$B$156,0))))</f>
        <v>ASIM AÇIKGÖZ</v>
      </c>
      <c r="O378" s="2"/>
      <c r="P378" s="2"/>
      <c r="Q378" s="1" t="str">
        <f>IF($D378="","",$C378&amp;"|"&amp;COUNTIFS($C$7:$C378,$C378))</f>
        <v>M025|19</v>
      </c>
      <c r="R378" s="1" t="str">
        <f t="shared" si="28"/>
        <v>ASIMACIKGOZ</v>
      </c>
      <c r="S378" s="1" t="str">
        <f t="shared" si="29"/>
        <v>M025|46194|2000|</v>
      </c>
      <c r="T378" s="1">
        <f>IF($E378="",0,SUMPRODUCT((AY_SONU!$O$7:$O$42="Evet")*(AY_SONU!$B$7:$B$42=DATE(YEAR($E378),MONTH($E378),1))))</f>
        <v>0</v>
      </c>
    </row>
    <row r="379" spans="1:20" ht="18" customHeight="1" x14ac:dyDescent="0.3">
      <c r="A379" s="2"/>
      <c r="B379" s="65" t="str">
        <f t="shared" si="25"/>
        <v>T00373</v>
      </c>
      <c r="C379" s="65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M017</v>
      </c>
      <c r="D379" s="61" t="s">
        <v>581</v>
      </c>
      <c r="E379" s="66">
        <v>46194</v>
      </c>
      <c r="F379" s="67">
        <v>2500</v>
      </c>
      <c r="G379" s="60" t="s">
        <v>715</v>
      </c>
      <c r="H379" s="60" t="s">
        <v>568</v>
      </c>
      <c r="I379" s="61"/>
      <c r="J379" s="61" t="s">
        <v>717</v>
      </c>
      <c r="K379" s="61"/>
      <c r="L379" s="73">
        <f t="shared" si="26"/>
        <v>46174</v>
      </c>
      <c r="M379" s="65" t="str">
        <f t="shared" ca="1" si="27"/>
        <v>UYGUN</v>
      </c>
      <c r="N379" s="74" t="str">
        <f>IF($C379="","",IF($C379="TANIMSIZ MÜŞTERİ","—",INDEX(MUSTERILER!$C$7:$C$156,MATCH($C379,MUSTERILER!$B$7:$B$156,0))))</f>
        <v>ASM EĞLENCE LTD.ŞTİ.</v>
      </c>
      <c r="O379" s="2"/>
      <c r="P379" s="2"/>
      <c r="Q379" s="1" t="str">
        <f>IF($D379="","",$C379&amp;"|"&amp;COUNTIFS($C$7:$C379,$C379))</f>
        <v>M017|20</v>
      </c>
      <c r="R379" s="1" t="str">
        <f t="shared" si="28"/>
        <v>ASMEGLENCELTDSTI</v>
      </c>
      <c r="S379" s="1" t="str">
        <f t="shared" si="29"/>
        <v>M017|46194|2500|</v>
      </c>
      <c r="T379" s="1">
        <f>IF($E379="",0,SUMPRODUCT((AY_SONU!$O$7:$O$42="Evet")*(AY_SONU!$B$7:$B$42=DATE(YEAR($E379),MONTH($E379),1))))</f>
        <v>0</v>
      </c>
    </row>
    <row r="380" spans="1:20" ht="18" customHeight="1" x14ac:dyDescent="0.3">
      <c r="A380" s="2"/>
      <c r="B380" s="65" t="str">
        <f t="shared" si="25"/>
        <v>T00374</v>
      </c>
      <c r="C380" s="65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M015</v>
      </c>
      <c r="D380" s="61" t="s">
        <v>723</v>
      </c>
      <c r="E380" s="66">
        <v>46194</v>
      </c>
      <c r="F380" s="67">
        <v>3000</v>
      </c>
      <c r="G380" s="60" t="s">
        <v>715</v>
      </c>
      <c r="H380" s="60" t="s">
        <v>568</v>
      </c>
      <c r="I380" s="61"/>
      <c r="J380" s="61" t="s">
        <v>716</v>
      </c>
      <c r="K380" s="61"/>
      <c r="L380" s="73">
        <f t="shared" si="26"/>
        <v>46174</v>
      </c>
      <c r="M380" s="65" t="str">
        <f t="shared" ca="1" si="27"/>
        <v>UYGUN</v>
      </c>
      <c r="N380" s="74" t="str">
        <f>IF($C380="","",IF($C380="TANIMSIZ MÜŞTERİ","—",INDEX(MUSTERILER!$C$7:$C$156,MATCH($C380,MUSTERILER!$B$7:$B$156,0))))</f>
        <v>ÇAYIRALAN LTD.ŞTİ.</v>
      </c>
      <c r="O380" s="2"/>
      <c r="P380" s="2"/>
      <c r="Q380" s="1" t="str">
        <f>IF($D380="","",$C380&amp;"|"&amp;COUNTIFS($C$7:$C380,$C380))</f>
        <v>M015|21</v>
      </c>
      <c r="R380" s="1" t="str">
        <f t="shared" si="28"/>
        <v>CAYIRALANLTDSTI</v>
      </c>
      <c r="S380" s="1" t="str">
        <f t="shared" si="29"/>
        <v>M015|46194|3000|</v>
      </c>
      <c r="T380" s="1">
        <f>IF($E380="",0,SUMPRODUCT((AY_SONU!$O$7:$O$42="Evet")*(AY_SONU!$B$7:$B$42=DATE(YEAR($E380),MONTH($E380),1))))</f>
        <v>0</v>
      </c>
    </row>
    <row r="381" spans="1:20" ht="18" customHeight="1" x14ac:dyDescent="0.3">
      <c r="A381" s="2"/>
      <c r="B381" s="65" t="str">
        <f t="shared" si="25"/>
        <v>T00375</v>
      </c>
      <c r="C381" s="65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M011</v>
      </c>
      <c r="D381" s="61" t="s">
        <v>724</v>
      </c>
      <c r="E381" s="66">
        <v>46194</v>
      </c>
      <c r="F381" s="67">
        <v>4000</v>
      </c>
      <c r="G381" s="60" t="s">
        <v>713</v>
      </c>
      <c r="H381" s="60" t="s">
        <v>568</v>
      </c>
      <c r="I381" s="61"/>
      <c r="J381" s="61" t="s">
        <v>717</v>
      </c>
      <c r="K381" s="61"/>
      <c r="L381" s="73">
        <f t="shared" si="26"/>
        <v>46174</v>
      </c>
      <c r="M381" s="65" t="str">
        <f t="shared" ca="1" si="27"/>
        <v>UYGUN</v>
      </c>
      <c r="N381" s="74" t="str">
        <f>IF($C381="","",IF($C381="TANIMSIZ MÜŞTERİ","—",INDEX(MUSTERILER!$C$7:$C$156,MATCH($C381,MUSTERILER!$B$7:$B$156,0))))</f>
        <v>EĞLENGÖR LTD.ŞTİ.</v>
      </c>
      <c r="O381" s="2"/>
      <c r="P381" s="2"/>
      <c r="Q381" s="1" t="str">
        <f>IF($D381="","",$C381&amp;"|"&amp;COUNTIFS($C$7:$C381,$C381))</f>
        <v>M011|23</v>
      </c>
      <c r="R381" s="1" t="str">
        <f t="shared" si="28"/>
        <v>EGLENGORLTDSTI</v>
      </c>
      <c r="S381" s="1" t="str">
        <f t="shared" si="29"/>
        <v>M011|46194|4000|</v>
      </c>
      <c r="T381" s="1">
        <f>IF($E381="",0,SUMPRODUCT((AY_SONU!$O$7:$O$42="Evet")*(AY_SONU!$B$7:$B$42=DATE(YEAR($E381),MONTH($E381),1))))</f>
        <v>0</v>
      </c>
    </row>
    <row r="382" spans="1:20" ht="18" customHeight="1" x14ac:dyDescent="0.3">
      <c r="A382" s="2"/>
      <c r="B382" s="65" t="str">
        <f t="shared" si="25"/>
        <v>T00376</v>
      </c>
      <c r="C382" s="65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M014</v>
      </c>
      <c r="D382" s="61" t="s">
        <v>725</v>
      </c>
      <c r="E382" s="66">
        <v>46194</v>
      </c>
      <c r="F382" s="67">
        <v>4000</v>
      </c>
      <c r="G382" s="60" t="s">
        <v>713</v>
      </c>
      <c r="H382" s="60" t="s">
        <v>568</v>
      </c>
      <c r="I382" s="61"/>
      <c r="J382" s="61" t="s">
        <v>717</v>
      </c>
      <c r="K382" s="61"/>
      <c r="L382" s="73">
        <f t="shared" si="26"/>
        <v>46174</v>
      </c>
      <c r="M382" s="65" t="str">
        <f t="shared" ca="1" si="27"/>
        <v>UYGUN</v>
      </c>
      <c r="N382" s="74" t="str">
        <f>IF($C382="","",IF($C382="TANIMSIZ MÜŞTERİ","—",INDEX(MUSTERILER!$C$7:$C$156,MATCH($C382,MUSTERILER!$B$7:$B$156,0))))</f>
        <v>FİNAL SİYAH BEYAZ LTD.ŞTİ.</v>
      </c>
      <c r="O382" s="2"/>
      <c r="P382" s="2"/>
      <c r="Q382" s="1" t="str">
        <f>IF($D382="","",$C382&amp;"|"&amp;COUNTIFS($C$7:$C382,$C382))</f>
        <v>M014|22</v>
      </c>
      <c r="R382" s="1" t="str">
        <f t="shared" si="28"/>
        <v>FINALSIYAHBEYAZLTDSTI</v>
      </c>
      <c r="S382" s="1" t="str">
        <f t="shared" si="29"/>
        <v>M014|46194|4000|</v>
      </c>
      <c r="T382" s="1">
        <f>IF($E382="",0,SUMPRODUCT((AY_SONU!$O$7:$O$42="Evet")*(AY_SONU!$B$7:$B$42=DATE(YEAR($E382),MONTH($E382),1))))</f>
        <v>0</v>
      </c>
    </row>
    <row r="383" spans="1:20" ht="18" customHeight="1" x14ac:dyDescent="0.3">
      <c r="A383" s="2"/>
      <c r="B383" s="65" t="str">
        <f t="shared" si="25"/>
        <v>T00377</v>
      </c>
      <c r="C383" s="65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M012</v>
      </c>
      <c r="D383" s="61" t="s">
        <v>727</v>
      </c>
      <c r="E383" s="66">
        <v>46194</v>
      </c>
      <c r="F383" s="67">
        <v>5000</v>
      </c>
      <c r="G383" s="60" t="s">
        <v>713</v>
      </c>
      <c r="H383" s="60" t="s">
        <v>568</v>
      </c>
      <c r="I383" s="61"/>
      <c r="J383" s="61" t="s">
        <v>717</v>
      </c>
      <c r="K383" s="61"/>
      <c r="L383" s="73">
        <f t="shared" si="26"/>
        <v>46174</v>
      </c>
      <c r="M383" s="65" t="str">
        <f t="shared" ca="1" si="27"/>
        <v>UYGUN</v>
      </c>
      <c r="N383" s="74" t="str">
        <f>IF($C383="","",IF($C383="TANIMSIZ MÜŞTERİ","—",INDEX(MUSTERILER!$C$7:$C$156,MATCH($C383,MUSTERILER!$B$7:$B$156,0))))</f>
        <v>İLDEŞ LTD.ŞTİ.</v>
      </c>
      <c r="O383" s="2"/>
      <c r="P383" s="2"/>
      <c r="Q383" s="1" t="str">
        <f>IF($D383="","",$C383&amp;"|"&amp;COUNTIFS($C$7:$C383,$C383))</f>
        <v>M012|23</v>
      </c>
      <c r="R383" s="1" t="str">
        <f t="shared" si="28"/>
        <v>ILDESLTDSTI</v>
      </c>
      <c r="S383" s="1" t="str">
        <f t="shared" si="29"/>
        <v>M012|46194|5000|</v>
      </c>
      <c r="T383" s="1">
        <f>IF($E383="",0,SUMPRODUCT((AY_SONU!$O$7:$O$42="Evet")*(AY_SONU!$B$7:$B$42=DATE(YEAR($E383),MONTH($E383),1))))</f>
        <v>0</v>
      </c>
    </row>
    <row r="384" spans="1:20" ht="18" customHeight="1" x14ac:dyDescent="0.3">
      <c r="A384" s="2"/>
      <c r="B384" s="65" t="str">
        <f t="shared" si="25"/>
        <v>T00378</v>
      </c>
      <c r="C384" s="65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M007</v>
      </c>
      <c r="D384" s="61" t="s">
        <v>728</v>
      </c>
      <c r="E384" s="66">
        <v>46194</v>
      </c>
      <c r="F384" s="67">
        <v>3500</v>
      </c>
      <c r="G384" s="60" t="s">
        <v>715</v>
      </c>
      <c r="H384" s="60" t="s">
        <v>568</v>
      </c>
      <c r="I384" s="61"/>
      <c r="J384" s="61" t="s">
        <v>716</v>
      </c>
      <c r="K384" s="61"/>
      <c r="L384" s="73">
        <f t="shared" si="26"/>
        <v>46174</v>
      </c>
      <c r="M384" s="65" t="str">
        <f t="shared" ca="1" si="27"/>
        <v>UYGUN</v>
      </c>
      <c r="N384" s="74" t="str">
        <f>IF($C384="","",IF($C384="TANIMSIZ MÜŞTERİ","—",INDEX(MUSTERILER!$C$7:$C$156,MATCH($C384,MUSTERILER!$B$7:$B$156,0))))</f>
        <v>MONAMOUR LTD.ŞTİ.</v>
      </c>
      <c r="O384" s="2"/>
      <c r="P384" s="2"/>
      <c r="Q384" s="1" t="str">
        <f>IF($D384="","",$C384&amp;"|"&amp;COUNTIFS($C$7:$C384,$C384))</f>
        <v>M007|18</v>
      </c>
      <c r="R384" s="1" t="str">
        <f t="shared" si="28"/>
        <v>MONAMOURLTDSTI</v>
      </c>
      <c r="S384" s="1" t="str">
        <f t="shared" si="29"/>
        <v>M007|46194|3500|</v>
      </c>
      <c r="T384" s="1">
        <f>IF($E384="",0,SUMPRODUCT((AY_SONU!$O$7:$O$42="Evet")*(AY_SONU!$B$7:$B$42=DATE(YEAR($E384),MONTH($E384),1))))</f>
        <v>0</v>
      </c>
    </row>
    <row r="385" spans="1:20" ht="18" customHeight="1" x14ac:dyDescent="0.3">
      <c r="A385" s="2"/>
      <c r="B385" s="65" t="str">
        <f t="shared" si="25"/>
        <v>T00379</v>
      </c>
      <c r="C385" s="65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M009</v>
      </c>
      <c r="D385" s="61" t="s">
        <v>730</v>
      </c>
      <c r="E385" s="66">
        <v>46194</v>
      </c>
      <c r="F385" s="67">
        <v>4000</v>
      </c>
      <c r="G385" s="60" t="s">
        <v>715</v>
      </c>
      <c r="H385" s="60" t="s">
        <v>568</v>
      </c>
      <c r="I385" s="61"/>
      <c r="J385" s="61" t="s">
        <v>716</v>
      </c>
      <c r="K385" s="61"/>
      <c r="L385" s="73">
        <f t="shared" si="26"/>
        <v>46174</v>
      </c>
      <c r="M385" s="65" t="str">
        <f t="shared" ca="1" si="27"/>
        <v>UYGUN</v>
      </c>
      <c r="N385" s="74" t="str">
        <f>IF($C385="","",IF($C385="TANIMSIZ MÜŞTERİ","—",INDEX(MUSTERILER!$C$7:$C$156,MATCH($C385,MUSTERILER!$B$7:$B$156,0))))</f>
        <v>PAKYILDIZ LTD.ŞTİ.</v>
      </c>
      <c r="O385" s="2"/>
      <c r="P385" s="2"/>
      <c r="Q385" s="1" t="str">
        <f>IF($D385="","",$C385&amp;"|"&amp;COUNTIFS($C$7:$C385,$C385))</f>
        <v>M009|20</v>
      </c>
      <c r="R385" s="1" t="str">
        <f t="shared" si="28"/>
        <v>PAKYILDIZLTDSTI</v>
      </c>
      <c r="S385" s="1" t="str">
        <f t="shared" si="29"/>
        <v>M009|46194|4000|</v>
      </c>
      <c r="T385" s="1">
        <f>IF($E385="",0,SUMPRODUCT((AY_SONU!$O$7:$O$42="Evet")*(AY_SONU!$B$7:$B$42=DATE(YEAR($E385),MONTH($E385),1))))</f>
        <v>0</v>
      </c>
    </row>
    <row r="386" spans="1:20" ht="18" customHeight="1" x14ac:dyDescent="0.3">
      <c r="A386" s="2"/>
      <c r="B386" s="65" t="str">
        <f t="shared" si="25"/>
        <v>T00380</v>
      </c>
      <c r="C386" s="65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M016</v>
      </c>
      <c r="D386" s="61" t="s">
        <v>731</v>
      </c>
      <c r="E386" s="66">
        <v>46194</v>
      </c>
      <c r="F386" s="67">
        <v>3000</v>
      </c>
      <c r="G386" s="60" t="s">
        <v>715</v>
      </c>
      <c r="H386" s="60" t="s">
        <v>568</v>
      </c>
      <c r="I386" s="61"/>
      <c r="J386" s="61" t="s">
        <v>716</v>
      </c>
      <c r="K386" s="61"/>
      <c r="L386" s="73">
        <f t="shared" si="26"/>
        <v>46174</v>
      </c>
      <c r="M386" s="65" t="str">
        <f t="shared" ca="1" si="27"/>
        <v>UYGUN</v>
      </c>
      <c r="N386" s="74" t="str">
        <f>IF($C386="","",IF($C386="TANIMSIZ MÜŞTERİ","—",INDEX(MUSTERILER!$C$7:$C$156,MATCH($C386,MUSTERILER!$B$7:$B$156,0))))</f>
        <v>RİX ŞOW LTD.ŞTİ.</v>
      </c>
      <c r="O386" s="2"/>
      <c r="P386" s="2"/>
      <c r="Q386" s="1" t="str">
        <f>IF($D386="","",$C386&amp;"|"&amp;COUNTIFS($C$7:$C386,$C386))</f>
        <v>M016|23</v>
      </c>
      <c r="R386" s="1" t="str">
        <f t="shared" si="28"/>
        <v>RIXSOWLTDSTI</v>
      </c>
      <c r="S386" s="1" t="str">
        <f t="shared" si="29"/>
        <v>M016|46194|3000|</v>
      </c>
      <c r="T386" s="1">
        <f>IF($E386="",0,SUMPRODUCT((AY_SONU!$O$7:$O$42="Evet")*(AY_SONU!$B$7:$B$42=DATE(YEAR($E386),MONTH($E386),1))))</f>
        <v>0</v>
      </c>
    </row>
    <row r="387" spans="1:20" ht="18" customHeight="1" x14ac:dyDescent="0.3">
      <c r="A387" s="2"/>
      <c r="B387" s="65" t="str">
        <f t="shared" si="25"/>
        <v>T00381</v>
      </c>
      <c r="C387" s="65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M020</v>
      </c>
      <c r="D387" s="61" t="s">
        <v>619</v>
      </c>
      <c r="E387" s="66">
        <v>46194</v>
      </c>
      <c r="F387" s="67">
        <v>3000</v>
      </c>
      <c r="G387" s="60" t="s">
        <v>713</v>
      </c>
      <c r="H387" s="60" t="s">
        <v>568</v>
      </c>
      <c r="I387" s="61"/>
      <c r="J387" s="61" t="s">
        <v>717</v>
      </c>
      <c r="K387" s="61"/>
      <c r="L387" s="73">
        <f t="shared" si="26"/>
        <v>46174</v>
      </c>
      <c r="M387" s="65" t="str">
        <f t="shared" ca="1" si="27"/>
        <v>UYGUN</v>
      </c>
      <c r="N387" s="74" t="str">
        <f>IF($C387="","",IF($C387="TANIMSIZ MÜŞTERİ","—",INDEX(MUSTERILER!$C$7:$C$156,MATCH($C387,MUSTERILER!$B$7:$B$156,0))))</f>
        <v>KRİSTAL LTD.ŞTİ.</v>
      </c>
      <c r="O387" s="2"/>
      <c r="P387" s="2"/>
      <c r="Q387" s="1" t="str">
        <f>IF($D387="","",$C387&amp;"|"&amp;COUNTIFS($C$7:$C387,$C387))</f>
        <v>M020|24</v>
      </c>
      <c r="R387" s="1" t="str">
        <f t="shared" si="28"/>
        <v>KRISTALLTDSTI</v>
      </c>
      <c r="S387" s="1" t="str">
        <f t="shared" si="29"/>
        <v>M020|46194|3000|</v>
      </c>
      <c r="T387" s="1">
        <f>IF($E387="",0,SUMPRODUCT((AY_SONU!$O$7:$O$42="Evet")*(AY_SONU!$B$7:$B$42=DATE(YEAR($E387),MONTH($E387),1))))</f>
        <v>0</v>
      </c>
    </row>
    <row r="388" spans="1:20" ht="18" customHeight="1" x14ac:dyDescent="0.3">
      <c r="A388" s="2"/>
      <c r="B388" s="65" t="str">
        <f t="shared" si="25"/>
        <v>T00382</v>
      </c>
      <c r="C388" s="65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M047</v>
      </c>
      <c r="D388" s="61" t="s">
        <v>649</v>
      </c>
      <c r="E388" s="66">
        <v>46194</v>
      </c>
      <c r="F388" s="67">
        <v>1000</v>
      </c>
      <c r="G388" s="60" t="s">
        <v>713</v>
      </c>
      <c r="H388" s="60" t="s">
        <v>568</v>
      </c>
      <c r="I388" s="61"/>
      <c r="J388" s="61" t="s">
        <v>717</v>
      </c>
      <c r="K388" s="61"/>
      <c r="L388" s="73">
        <f t="shared" si="26"/>
        <v>46174</v>
      </c>
      <c r="M388" s="65" t="str">
        <f t="shared" ca="1" si="27"/>
        <v>UYGUN</v>
      </c>
      <c r="N388" s="74" t="str">
        <f>IF($C388="","",IF($C388="TANIMSIZ MÜŞTERİ","—",INDEX(MUSTERILER!$C$7:$C$156,MATCH($C388,MUSTERILER!$B$7:$B$156,0))))</f>
        <v>PALAOĞULLARI LTD.ŞTİ.</v>
      </c>
      <c r="O388" s="2"/>
      <c r="P388" s="2"/>
      <c r="Q388" s="1" t="str">
        <f>IF($D388="","",$C388&amp;"|"&amp;COUNTIFS($C$7:$C388,$C388))</f>
        <v>M047|15</v>
      </c>
      <c r="R388" s="1" t="str">
        <f t="shared" si="28"/>
        <v>PALAOGULLARILTDSTI</v>
      </c>
      <c r="S388" s="1" t="str">
        <f t="shared" si="29"/>
        <v>M047|46194|1000|</v>
      </c>
      <c r="T388" s="1">
        <f>IF($E388="",0,SUMPRODUCT((AY_SONU!$O$7:$O$42="Evet")*(AY_SONU!$B$7:$B$42=DATE(YEAR($E388),MONTH($E388),1))))</f>
        <v>0</v>
      </c>
    </row>
    <row r="389" spans="1:20" ht="18" customHeight="1" x14ac:dyDescent="0.3">
      <c r="A389" s="2"/>
      <c r="B389" s="65" t="str">
        <f t="shared" si="25"/>
        <v>T00383</v>
      </c>
      <c r="C389" s="65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M047</v>
      </c>
      <c r="D389" s="61" t="s">
        <v>649</v>
      </c>
      <c r="E389" s="66">
        <v>46194</v>
      </c>
      <c r="F389" s="67">
        <v>5000</v>
      </c>
      <c r="G389" s="60" t="s">
        <v>713</v>
      </c>
      <c r="H389" s="60" t="s">
        <v>568</v>
      </c>
      <c r="I389" s="61"/>
      <c r="J389" s="61" t="s">
        <v>717</v>
      </c>
      <c r="K389" s="61"/>
      <c r="L389" s="73">
        <f t="shared" si="26"/>
        <v>46174</v>
      </c>
      <c r="M389" s="65" t="str">
        <f t="shared" ca="1" si="27"/>
        <v>UYGUN</v>
      </c>
      <c r="N389" s="74" t="str">
        <f>IF($C389="","",IF($C389="TANIMSIZ MÜŞTERİ","—",INDEX(MUSTERILER!$C$7:$C$156,MATCH($C389,MUSTERILER!$B$7:$B$156,0))))</f>
        <v>PALAOĞULLARI LTD.ŞTİ.</v>
      </c>
      <c r="O389" s="2"/>
      <c r="P389" s="2"/>
      <c r="Q389" s="1" t="str">
        <f>IF($D389="","",$C389&amp;"|"&amp;COUNTIFS($C$7:$C389,$C389))</f>
        <v>M047|16</v>
      </c>
      <c r="R389" s="1" t="str">
        <f t="shared" si="28"/>
        <v>PALAOGULLARILTDSTI</v>
      </c>
      <c r="S389" s="1" t="str">
        <f t="shared" si="29"/>
        <v>M047|46194|5000|</v>
      </c>
      <c r="T389" s="1">
        <f>IF($E389="",0,SUMPRODUCT((AY_SONU!$O$7:$O$42="Evet")*(AY_SONU!$B$7:$B$42=DATE(YEAR($E389),MONTH($E389),1))))</f>
        <v>0</v>
      </c>
    </row>
    <row r="390" spans="1:20" ht="18" customHeight="1" x14ac:dyDescent="0.3">
      <c r="A390" s="2"/>
      <c r="B390" s="65" t="str">
        <f t="shared" si="25"/>
        <v>T00384</v>
      </c>
      <c r="C390" s="65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M054</v>
      </c>
      <c r="D390" s="61" t="s">
        <v>669</v>
      </c>
      <c r="E390" s="66">
        <v>46194</v>
      </c>
      <c r="F390" s="67">
        <v>4000</v>
      </c>
      <c r="G390" s="60" t="s">
        <v>713</v>
      </c>
      <c r="H390" s="60" t="s">
        <v>568</v>
      </c>
      <c r="I390" s="61"/>
      <c r="J390" s="61" t="s">
        <v>717</v>
      </c>
      <c r="K390" s="61"/>
      <c r="L390" s="73">
        <f t="shared" si="26"/>
        <v>46174</v>
      </c>
      <c r="M390" s="65" t="str">
        <f t="shared" ca="1" si="27"/>
        <v>UYGUN</v>
      </c>
      <c r="N390" s="74" t="str">
        <f>IF($C390="","",IF($C390="TANIMSIZ MÜŞTERİ","—",INDEX(MUSTERILER!$C$7:$C$156,MATCH($C390,MUSTERILER!$B$7:$B$156,0))))</f>
        <v>YALIKENT LTD.ŞTİ.</v>
      </c>
      <c r="O390" s="2"/>
      <c r="P390" s="2"/>
      <c r="Q390" s="1" t="str">
        <f>IF($D390="","",$C390&amp;"|"&amp;COUNTIFS($C$7:$C390,$C390))</f>
        <v>M054|13</v>
      </c>
      <c r="R390" s="1" t="str">
        <f t="shared" si="28"/>
        <v>YALIKENTLTDSTI</v>
      </c>
      <c r="S390" s="1" t="str">
        <f t="shared" si="29"/>
        <v>M054|46194|4000|</v>
      </c>
      <c r="T390" s="1">
        <f>IF($E390="",0,SUMPRODUCT((AY_SONU!$O$7:$O$42="Evet")*(AY_SONU!$B$7:$B$42=DATE(YEAR($E390),MONTH($E390),1))))</f>
        <v>0</v>
      </c>
    </row>
    <row r="391" spans="1:20" ht="18" customHeight="1" x14ac:dyDescent="0.3">
      <c r="A391" s="2"/>
      <c r="B391" s="65" t="str">
        <f t="shared" ref="B391:B454" si="30">IF($D391="","","T"&amp;TEXT(ROW()-6,"00000"))</f>
        <v>T00385</v>
      </c>
      <c r="C391" s="65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M037</v>
      </c>
      <c r="D391" s="61" t="s">
        <v>621</v>
      </c>
      <c r="E391" s="66">
        <v>46195</v>
      </c>
      <c r="F391" s="67">
        <v>2000</v>
      </c>
      <c r="G391" s="60" t="s">
        <v>713</v>
      </c>
      <c r="H391" s="60" t="s">
        <v>568</v>
      </c>
      <c r="I391" s="61"/>
      <c r="J391" s="61" t="s">
        <v>717</v>
      </c>
      <c r="K391" s="61"/>
      <c r="L391" s="73">
        <f t="shared" ref="L391:L454" si="31">IF($E391="","",DATE(YEAR($E391),MONTH($E391),1))</f>
        <v>46174</v>
      </c>
      <c r="M391" s="65" t="str">
        <f t="shared" ref="M391:M454" ca="1" si="32">IF($D391="","",IF($C391="TANIMSIZ MÜŞTERİ","HATA",IF(OR($E391="",$F391&lt;=0,$G391=""),"EKSİK",IF($E391&gt;TODAY(),"İLERİ TARİH",IF(COUNTIF($S$7:$S$2506,$S391)&gt;1,"MÜKERRER?",IF($T391&gt;0,"KAPALI DÖNEM","UYGUN"))))))</f>
        <v>UYGUN</v>
      </c>
      <c r="N391" s="74" t="str">
        <f>IF($C391="","",IF($C391="TANIMSIZ MÜŞTERİ","—",INDEX(MUSTERILER!$C$7:$C$156,MATCH($C391,MUSTERILER!$B$7:$B$156,0))))</f>
        <v>MEHMET EVREN KILINÇ</v>
      </c>
      <c r="O391" s="2"/>
      <c r="P391" s="2"/>
      <c r="Q391" s="1" t="str">
        <f>IF($D391="","",$C391&amp;"|"&amp;COUNTIFS($C$7:$C391,$C391))</f>
        <v>M037|5</v>
      </c>
      <c r="R391" s="1" t="str">
        <f t="shared" ref="R391:R454" si="33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MEHMETEVRENKILINC</v>
      </c>
      <c r="S391" s="1" t="str">
        <f t="shared" ref="S391:S454" si="34">IF($D391="","",$C391&amp;"|"&amp;TEXT($E391,"0")&amp;"|"&amp;TEXT($F391,"0")&amp;"|"&amp;$I391)</f>
        <v>M037|46195|2000|</v>
      </c>
      <c r="T391" s="1">
        <f>IF($E391="",0,SUMPRODUCT((AY_SONU!$O$7:$O$42="Evet")*(AY_SONU!$B$7:$B$42=DATE(YEAR($E391),MONTH($E391),1))))</f>
        <v>0</v>
      </c>
    </row>
    <row r="392" spans="1:20" ht="18" customHeight="1" x14ac:dyDescent="0.3">
      <c r="A392" s="2"/>
      <c r="B392" s="65" t="str">
        <f t="shared" si="30"/>
        <v>T00386</v>
      </c>
      <c r="C392" s="65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M030</v>
      </c>
      <c r="D392" s="61" t="s">
        <v>599</v>
      </c>
      <c r="E392" s="66">
        <v>46196</v>
      </c>
      <c r="F392" s="67">
        <v>2000</v>
      </c>
      <c r="G392" s="60" t="s">
        <v>713</v>
      </c>
      <c r="H392" s="60" t="s">
        <v>568</v>
      </c>
      <c r="I392" s="61"/>
      <c r="J392" s="61" t="s">
        <v>717</v>
      </c>
      <c r="K392" s="61"/>
      <c r="L392" s="73">
        <f t="shared" si="31"/>
        <v>46174</v>
      </c>
      <c r="M392" s="65" t="str">
        <f t="shared" ca="1" si="32"/>
        <v>UYGUN</v>
      </c>
      <c r="N392" s="74" t="str">
        <f>IF($C392="","",IF($C392="TANIMSIZ MÜŞTERİ","—",INDEX(MUSTERILER!$C$7:$C$156,MATCH($C392,MUSTERILER!$B$7:$B$156,0))))</f>
        <v>FARUK DEMİRCİ</v>
      </c>
      <c r="O392" s="2"/>
      <c r="P392" s="2"/>
      <c r="Q392" s="1" t="str">
        <f>IF($D392="","",$C392&amp;"|"&amp;COUNTIFS($C$7:$C392,$C392))</f>
        <v>M030|2</v>
      </c>
      <c r="R392" s="1" t="str">
        <f t="shared" si="33"/>
        <v>FARUKDEMIRCI</v>
      </c>
      <c r="S392" s="1" t="str">
        <f t="shared" si="34"/>
        <v>M030|46196|2000|</v>
      </c>
      <c r="T392" s="1">
        <f>IF($E392="",0,SUMPRODUCT((AY_SONU!$O$7:$O$42="Evet")*(AY_SONU!$B$7:$B$42=DATE(YEAR($E392),MONTH($E392),1))))</f>
        <v>0</v>
      </c>
    </row>
    <row r="393" spans="1:20" ht="18" customHeight="1" x14ac:dyDescent="0.3">
      <c r="A393" s="2"/>
      <c r="B393" s="65" t="str">
        <f t="shared" si="30"/>
        <v>T00387</v>
      </c>
      <c r="C393" s="65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M047</v>
      </c>
      <c r="D393" s="61" t="s">
        <v>649</v>
      </c>
      <c r="E393" s="66">
        <v>46196</v>
      </c>
      <c r="F393" s="67">
        <v>23600</v>
      </c>
      <c r="G393" s="60" t="s">
        <v>713</v>
      </c>
      <c r="H393" s="60" t="s">
        <v>568</v>
      </c>
      <c r="I393" s="61"/>
      <c r="J393" s="61" t="s">
        <v>737</v>
      </c>
      <c r="K393" s="61"/>
      <c r="L393" s="73">
        <f t="shared" si="31"/>
        <v>46174</v>
      </c>
      <c r="M393" s="65" t="str">
        <f t="shared" ca="1" si="32"/>
        <v>UYGUN</v>
      </c>
      <c r="N393" s="74" t="str">
        <f>IF($C393="","",IF($C393="TANIMSIZ MÜŞTERİ","—",INDEX(MUSTERILER!$C$7:$C$156,MATCH($C393,MUSTERILER!$B$7:$B$156,0))))</f>
        <v>PALAOĞULLARI LTD.ŞTİ.</v>
      </c>
      <c r="O393" s="2"/>
      <c r="P393" s="2"/>
      <c r="Q393" s="1" t="str">
        <f>IF($D393="","",$C393&amp;"|"&amp;COUNTIFS($C$7:$C393,$C393))</f>
        <v>M047|17</v>
      </c>
      <c r="R393" s="1" t="str">
        <f t="shared" si="33"/>
        <v>PALAOGULLARILTDSTI</v>
      </c>
      <c r="S393" s="1" t="str">
        <f t="shared" si="34"/>
        <v>M047|46196|23600|</v>
      </c>
      <c r="T393" s="1">
        <f>IF($E393="",0,SUMPRODUCT((AY_SONU!$O$7:$O$42="Evet")*(AY_SONU!$B$7:$B$42=DATE(YEAR($E393),MONTH($E393),1))))</f>
        <v>0</v>
      </c>
    </row>
    <row r="394" spans="1:20" ht="18" customHeight="1" x14ac:dyDescent="0.3">
      <c r="A394" s="2"/>
      <c r="B394" s="65" t="str">
        <f t="shared" si="30"/>
        <v>T00388</v>
      </c>
      <c r="C394" s="65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M053</v>
      </c>
      <c r="D394" s="61" t="s">
        <v>671</v>
      </c>
      <c r="E394" s="66">
        <v>46197</v>
      </c>
      <c r="F394" s="67">
        <v>20000</v>
      </c>
      <c r="G394" s="60" t="s">
        <v>713</v>
      </c>
      <c r="H394" s="60" t="s">
        <v>568</v>
      </c>
      <c r="I394" s="61"/>
      <c r="J394" s="61" t="s">
        <v>717</v>
      </c>
      <c r="K394" s="61"/>
      <c r="L394" s="73">
        <f t="shared" si="31"/>
        <v>46174</v>
      </c>
      <c r="M394" s="65" t="str">
        <f t="shared" ca="1" si="32"/>
        <v>UYGUN</v>
      </c>
      <c r="N394" s="74" t="str">
        <f>IF($C394="","",IF($C394="TANIMSIZ MÜŞTERİ","—",INDEX(MUSTERILER!$C$7:$C$156,MATCH($C394,MUSTERILER!$B$7:$B$156,0))))</f>
        <v>YEDİYİRMİDÖRT LTD.ŞTİ.</v>
      </c>
      <c r="O394" s="2"/>
      <c r="P394" s="2"/>
      <c r="Q394" s="1" t="str">
        <f>IF($D394="","",$C394&amp;"|"&amp;COUNTIFS($C$7:$C394,$C394))</f>
        <v>M053|3</v>
      </c>
      <c r="R394" s="1" t="str">
        <f t="shared" si="33"/>
        <v>YEDIYIRMIDORTLTDSTI</v>
      </c>
      <c r="S394" s="1" t="str">
        <f t="shared" si="34"/>
        <v>M053|46197|20000|</v>
      </c>
      <c r="T394" s="1">
        <f>IF($E394="",0,SUMPRODUCT((AY_SONU!$O$7:$O$42="Evet")*(AY_SONU!$B$7:$B$42=DATE(YEAR($E394),MONTH($E394),1))))</f>
        <v>0</v>
      </c>
    </row>
    <row r="395" spans="1:20" ht="18" customHeight="1" x14ac:dyDescent="0.3">
      <c r="A395" s="2"/>
      <c r="B395" s="65" t="str">
        <f t="shared" si="30"/>
        <v>T00389</v>
      </c>
      <c r="C395" s="65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M041</v>
      </c>
      <c r="D395" s="61" t="s">
        <v>629</v>
      </c>
      <c r="E395" s="66">
        <v>46198</v>
      </c>
      <c r="F395" s="67">
        <v>5000</v>
      </c>
      <c r="G395" s="60" t="s">
        <v>713</v>
      </c>
      <c r="H395" s="60" t="s">
        <v>568</v>
      </c>
      <c r="I395" s="61"/>
      <c r="J395" s="61" t="s">
        <v>717</v>
      </c>
      <c r="K395" s="61"/>
      <c r="L395" s="73">
        <f t="shared" si="31"/>
        <v>46174</v>
      </c>
      <c r="M395" s="65" t="str">
        <f t="shared" ca="1" si="32"/>
        <v>UYGUN</v>
      </c>
      <c r="N395" s="74" t="str">
        <f>IF($C395="","",IF($C395="TANIMSIZ MÜŞTERİ","—",INDEX(MUSTERILER!$C$7:$C$156,MATCH($C395,MUSTERILER!$B$7:$B$156,0))))</f>
        <v>MESUT KÖKLÜ</v>
      </c>
      <c r="O395" s="2"/>
      <c r="P395" s="2"/>
      <c r="Q395" s="1" t="str">
        <f>IF($D395="","",$C395&amp;"|"&amp;COUNTIFS($C$7:$C395,$C395))</f>
        <v>M041|1</v>
      </c>
      <c r="R395" s="1" t="str">
        <f t="shared" si="33"/>
        <v>MESUTKOKLU</v>
      </c>
      <c r="S395" s="1" t="str">
        <f t="shared" si="34"/>
        <v>M041|46198|5000|</v>
      </c>
      <c r="T395" s="1">
        <f>IF($E395="",0,SUMPRODUCT((AY_SONU!$O$7:$O$42="Evet")*(AY_SONU!$B$7:$B$42=DATE(YEAR($E395),MONTH($E395),1))))</f>
        <v>0</v>
      </c>
    </row>
    <row r="396" spans="1:20" ht="18" customHeight="1" x14ac:dyDescent="0.3">
      <c r="A396" s="2"/>
      <c r="B396" s="65" t="str">
        <f t="shared" si="30"/>
        <v>T00390</v>
      </c>
      <c r="C396" s="65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M001</v>
      </c>
      <c r="D396" s="61" t="s">
        <v>722</v>
      </c>
      <c r="E396" s="66">
        <v>46200</v>
      </c>
      <c r="F396" s="67">
        <v>4000</v>
      </c>
      <c r="G396" s="60" t="s">
        <v>713</v>
      </c>
      <c r="H396" s="60" t="s">
        <v>568</v>
      </c>
      <c r="I396" s="61"/>
      <c r="J396" s="61" t="s">
        <v>717</v>
      </c>
      <c r="K396" s="61"/>
      <c r="L396" s="73">
        <f t="shared" si="31"/>
        <v>46174</v>
      </c>
      <c r="M396" s="65" t="str">
        <f t="shared" ca="1" si="32"/>
        <v>UYGUN</v>
      </c>
      <c r="N396" s="74" t="str">
        <f>IF($C396="","",IF($C396="TANIMSIZ MÜŞTERİ","—",INDEX(MUSTERILER!$C$7:$C$156,MATCH($C396,MUSTERILER!$B$7:$B$156,0))))</f>
        <v>ANKARA HAVANA LTD.ŞTİ.</v>
      </c>
      <c r="O396" s="2"/>
      <c r="P396" s="2"/>
      <c r="Q396" s="1" t="str">
        <f>IF($D396="","",$C396&amp;"|"&amp;COUNTIFS($C$7:$C396,$C396))</f>
        <v>M001|12</v>
      </c>
      <c r="R396" s="1" t="str">
        <f t="shared" si="33"/>
        <v>ANKARAHAVANALTDSTI</v>
      </c>
      <c r="S396" s="1" t="str">
        <f t="shared" si="34"/>
        <v>M001|46200|4000|</v>
      </c>
      <c r="T396" s="1">
        <f>IF($E396="",0,SUMPRODUCT((AY_SONU!$O$7:$O$42="Evet")*(AY_SONU!$B$7:$B$42=DATE(YEAR($E396),MONTH($E396),1))))</f>
        <v>0</v>
      </c>
    </row>
    <row r="397" spans="1:20" ht="18" customHeight="1" x14ac:dyDescent="0.3">
      <c r="A397" s="2"/>
      <c r="B397" s="65" t="str">
        <f t="shared" si="30"/>
        <v>T00391</v>
      </c>
      <c r="C397" s="65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M025</v>
      </c>
      <c r="D397" s="61" t="s">
        <v>579</v>
      </c>
      <c r="E397" s="66">
        <v>46200</v>
      </c>
      <c r="F397" s="67">
        <v>2000</v>
      </c>
      <c r="G397" s="60" t="s">
        <v>713</v>
      </c>
      <c r="H397" s="60" t="s">
        <v>568</v>
      </c>
      <c r="I397" s="61"/>
      <c r="J397" s="61" t="s">
        <v>717</v>
      </c>
      <c r="K397" s="61"/>
      <c r="L397" s="73">
        <f t="shared" si="31"/>
        <v>46174</v>
      </c>
      <c r="M397" s="65" t="str">
        <f t="shared" ca="1" si="32"/>
        <v>UYGUN</v>
      </c>
      <c r="N397" s="74" t="str">
        <f>IF($C397="","",IF($C397="TANIMSIZ MÜŞTERİ","—",INDEX(MUSTERILER!$C$7:$C$156,MATCH($C397,MUSTERILER!$B$7:$B$156,0))))</f>
        <v>ASIM AÇIKGÖZ</v>
      </c>
      <c r="O397" s="2"/>
      <c r="P397" s="2"/>
      <c r="Q397" s="1" t="str">
        <f>IF($D397="","",$C397&amp;"|"&amp;COUNTIFS($C$7:$C397,$C397))</f>
        <v>M025|20</v>
      </c>
      <c r="R397" s="1" t="str">
        <f t="shared" si="33"/>
        <v>ASIMACIKGOZ</v>
      </c>
      <c r="S397" s="1" t="str">
        <f t="shared" si="34"/>
        <v>M025|46200|2000|</v>
      </c>
      <c r="T397" s="1">
        <f>IF($E397="",0,SUMPRODUCT((AY_SONU!$O$7:$O$42="Evet")*(AY_SONU!$B$7:$B$42=DATE(YEAR($E397),MONTH($E397),1))))</f>
        <v>0</v>
      </c>
    </row>
    <row r="398" spans="1:20" ht="18" customHeight="1" x14ac:dyDescent="0.3">
      <c r="A398" s="2"/>
      <c r="B398" s="65" t="str">
        <f t="shared" si="30"/>
        <v>T00392</v>
      </c>
      <c r="C398" s="65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M017</v>
      </c>
      <c r="D398" s="61" t="s">
        <v>581</v>
      </c>
      <c r="E398" s="66">
        <v>46200</v>
      </c>
      <c r="F398" s="67">
        <v>2500</v>
      </c>
      <c r="G398" s="60" t="s">
        <v>713</v>
      </c>
      <c r="H398" s="60" t="s">
        <v>568</v>
      </c>
      <c r="I398" s="61"/>
      <c r="J398" s="61" t="s">
        <v>717</v>
      </c>
      <c r="K398" s="61"/>
      <c r="L398" s="73">
        <f t="shared" si="31"/>
        <v>46174</v>
      </c>
      <c r="M398" s="65" t="str">
        <f t="shared" ca="1" si="32"/>
        <v>UYGUN</v>
      </c>
      <c r="N398" s="74" t="str">
        <f>IF($C398="","",IF($C398="TANIMSIZ MÜŞTERİ","—",INDEX(MUSTERILER!$C$7:$C$156,MATCH($C398,MUSTERILER!$B$7:$B$156,0))))</f>
        <v>ASM EĞLENCE LTD.ŞTİ.</v>
      </c>
      <c r="O398" s="2"/>
      <c r="P398" s="2"/>
      <c r="Q398" s="1" t="str">
        <f>IF($D398="","",$C398&amp;"|"&amp;COUNTIFS($C$7:$C398,$C398))</f>
        <v>M017|21</v>
      </c>
      <c r="R398" s="1" t="str">
        <f t="shared" si="33"/>
        <v>ASMEGLENCELTDSTI</v>
      </c>
      <c r="S398" s="1" t="str">
        <f t="shared" si="34"/>
        <v>M017|46200|2500|</v>
      </c>
      <c r="T398" s="1">
        <f>IF($E398="",0,SUMPRODUCT((AY_SONU!$O$7:$O$42="Evet")*(AY_SONU!$B$7:$B$42=DATE(YEAR($E398),MONTH($E398),1))))</f>
        <v>0</v>
      </c>
    </row>
    <row r="399" spans="1:20" ht="18" customHeight="1" x14ac:dyDescent="0.3">
      <c r="A399" s="2"/>
      <c r="B399" s="65" t="str">
        <f t="shared" si="30"/>
        <v>T00393</v>
      </c>
      <c r="C399" s="65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M015</v>
      </c>
      <c r="D399" s="61" t="s">
        <v>723</v>
      </c>
      <c r="E399" s="66">
        <v>46200</v>
      </c>
      <c r="F399" s="67">
        <v>3000</v>
      </c>
      <c r="G399" s="60" t="s">
        <v>713</v>
      </c>
      <c r="H399" s="60" t="s">
        <v>568</v>
      </c>
      <c r="I399" s="61"/>
      <c r="J399" s="61" t="s">
        <v>717</v>
      </c>
      <c r="K399" s="61"/>
      <c r="L399" s="73">
        <f t="shared" si="31"/>
        <v>46174</v>
      </c>
      <c r="M399" s="65" t="str">
        <f t="shared" ca="1" si="32"/>
        <v>UYGUN</v>
      </c>
      <c r="N399" s="74" t="str">
        <f>IF($C399="","",IF($C399="TANIMSIZ MÜŞTERİ","—",INDEX(MUSTERILER!$C$7:$C$156,MATCH($C399,MUSTERILER!$B$7:$B$156,0))))</f>
        <v>ÇAYIRALAN LTD.ŞTİ.</v>
      </c>
      <c r="O399" s="2"/>
      <c r="P399" s="2"/>
      <c r="Q399" s="1" t="str">
        <f>IF($D399="","",$C399&amp;"|"&amp;COUNTIFS($C$7:$C399,$C399))</f>
        <v>M015|22</v>
      </c>
      <c r="R399" s="1" t="str">
        <f t="shared" si="33"/>
        <v>CAYIRALANLTDSTI</v>
      </c>
      <c r="S399" s="1" t="str">
        <f t="shared" si="34"/>
        <v>M015|46200|3000|</v>
      </c>
      <c r="T399" s="1">
        <f>IF($E399="",0,SUMPRODUCT((AY_SONU!$O$7:$O$42="Evet")*(AY_SONU!$B$7:$B$42=DATE(YEAR($E399),MONTH($E399),1))))</f>
        <v>0</v>
      </c>
    </row>
    <row r="400" spans="1:20" ht="18" customHeight="1" x14ac:dyDescent="0.3">
      <c r="A400" s="2"/>
      <c r="B400" s="65" t="str">
        <f t="shared" si="30"/>
        <v>T00394</v>
      </c>
      <c r="C400" s="65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M011</v>
      </c>
      <c r="D400" s="61" t="s">
        <v>724</v>
      </c>
      <c r="E400" s="66">
        <v>46200</v>
      </c>
      <c r="F400" s="67">
        <v>4000</v>
      </c>
      <c r="G400" s="60" t="s">
        <v>713</v>
      </c>
      <c r="H400" s="60" t="s">
        <v>568</v>
      </c>
      <c r="I400" s="61"/>
      <c r="J400" s="61" t="s">
        <v>717</v>
      </c>
      <c r="K400" s="61"/>
      <c r="L400" s="73">
        <f t="shared" si="31"/>
        <v>46174</v>
      </c>
      <c r="M400" s="65" t="str">
        <f t="shared" ca="1" si="32"/>
        <v>UYGUN</v>
      </c>
      <c r="N400" s="74" t="str">
        <f>IF($C400="","",IF($C400="TANIMSIZ MÜŞTERİ","—",INDEX(MUSTERILER!$C$7:$C$156,MATCH($C400,MUSTERILER!$B$7:$B$156,0))))</f>
        <v>EĞLENGÖR LTD.ŞTİ.</v>
      </c>
      <c r="O400" s="2"/>
      <c r="P400" s="2"/>
      <c r="Q400" s="1" t="str">
        <f>IF($D400="","",$C400&amp;"|"&amp;COUNTIFS($C$7:$C400,$C400))</f>
        <v>M011|24</v>
      </c>
      <c r="R400" s="1" t="str">
        <f t="shared" si="33"/>
        <v>EGLENGORLTDSTI</v>
      </c>
      <c r="S400" s="1" t="str">
        <f t="shared" si="34"/>
        <v>M011|46200|4000|</v>
      </c>
      <c r="T400" s="1">
        <f>IF($E400="",0,SUMPRODUCT((AY_SONU!$O$7:$O$42="Evet")*(AY_SONU!$B$7:$B$42=DATE(YEAR($E400),MONTH($E400),1))))</f>
        <v>0</v>
      </c>
    </row>
    <row r="401" spans="1:20" ht="18" customHeight="1" x14ac:dyDescent="0.3">
      <c r="A401" s="2"/>
      <c r="B401" s="65" t="str">
        <f t="shared" si="30"/>
        <v>T00395</v>
      </c>
      <c r="C401" s="65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M014</v>
      </c>
      <c r="D401" s="61" t="s">
        <v>725</v>
      </c>
      <c r="E401" s="66">
        <v>46200</v>
      </c>
      <c r="F401" s="67">
        <v>4000</v>
      </c>
      <c r="G401" s="60" t="s">
        <v>713</v>
      </c>
      <c r="H401" s="60" t="s">
        <v>568</v>
      </c>
      <c r="I401" s="61"/>
      <c r="J401" s="61" t="s">
        <v>717</v>
      </c>
      <c r="K401" s="61"/>
      <c r="L401" s="73">
        <f t="shared" si="31"/>
        <v>46174</v>
      </c>
      <c r="M401" s="65" t="str">
        <f t="shared" ca="1" si="32"/>
        <v>UYGUN</v>
      </c>
      <c r="N401" s="74" t="str">
        <f>IF($C401="","",IF($C401="TANIMSIZ MÜŞTERİ","—",INDEX(MUSTERILER!$C$7:$C$156,MATCH($C401,MUSTERILER!$B$7:$B$156,0))))</f>
        <v>FİNAL SİYAH BEYAZ LTD.ŞTİ.</v>
      </c>
      <c r="O401" s="2"/>
      <c r="P401" s="2"/>
      <c r="Q401" s="1" t="str">
        <f>IF($D401="","",$C401&amp;"|"&amp;COUNTIFS($C$7:$C401,$C401))</f>
        <v>M014|23</v>
      </c>
      <c r="R401" s="1" t="str">
        <f t="shared" si="33"/>
        <v>FINALSIYAHBEYAZLTDSTI</v>
      </c>
      <c r="S401" s="1" t="str">
        <f t="shared" si="34"/>
        <v>M014|46200|4000|</v>
      </c>
      <c r="T401" s="1">
        <f>IF($E401="",0,SUMPRODUCT((AY_SONU!$O$7:$O$42="Evet")*(AY_SONU!$B$7:$B$42=DATE(YEAR($E401),MONTH($E401),1))))</f>
        <v>0</v>
      </c>
    </row>
    <row r="402" spans="1:20" ht="18" customHeight="1" x14ac:dyDescent="0.3">
      <c r="A402" s="2"/>
      <c r="B402" s="65" t="str">
        <f t="shared" si="30"/>
        <v>T00396</v>
      </c>
      <c r="C402" s="65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M012</v>
      </c>
      <c r="D402" s="61" t="s">
        <v>727</v>
      </c>
      <c r="E402" s="66">
        <v>46200</v>
      </c>
      <c r="F402" s="67">
        <v>5000</v>
      </c>
      <c r="G402" s="60" t="s">
        <v>713</v>
      </c>
      <c r="H402" s="60" t="s">
        <v>568</v>
      </c>
      <c r="I402" s="61"/>
      <c r="J402" s="61" t="s">
        <v>717</v>
      </c>
      <c r="K402" s="61"/>
      <c r="L402" s="73">
        <f t="shared" si="31"/>
        <v>46174</v>
      </c>
      <c r="M402" s="65" t="str">
        <f t="shared" ca="1" si="32"/>
        <v>UYGUN</v>
      </c>
      <c r="N402" s="74" t="str">
        <f>IF($C402="","",IF($C402="TANIMSIZ MÜŞTERİ","—",INDEX(MUSTERILER!$C$7:$C$156,MATCH($C402,MUSTERILER!$B$7:$B$156,0))))</f>
        <v>İLDEŞ LTD.ŞTİ.</v>
      </c>
      <c r="O402" s="2"/>
      <c r="P402" s="2"/>
      <c r="Q402" s="1" t="str">
        <f>IF($D402="","",$C402&amp;"|"&amp;COUNTIFS($C$7:$C402,$C402))</f>
        <v>M012|24</v>
      </c>
      <c r="R402" s="1" t="str">
        <f t="shared" si="33"/>
        <v>ILDESLTDSTI</v>
      </c>
      <c r="S402" s="1" t="str">
        <f t="shared" si="34"/>
        <v>M012|46200|5000|</v>
      </c>
      <c r="T402" s="1">
        <f>IF($E402="",0,SUMPRODUCT((AY_SONU!$O$7:$O$42="Evet")*(AY_SONU!$B$7:$B$42=DATE(YEAR($E402),MONTH($E402),1))))</f>
        <v>0</v>
      </c>
    </row>
    <row r="403" spans="1:20" ht="18" customHeight="1" x14ac:dyDescent="0.3">
      <c r="A403" s="2"/>
      <c r="B403" s="65" t="str">
        <f t="shared" si="30"/>
        <v>T00397</v>
      </c>
      <c r="C403" s="65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M007</v>
      </c>
      <c r="D403" s="61" t="s">
        <v>728</v>
      </c>
      <c r="E403" s="66">
        <v>46200</v>
      </c>
      <c r="F403" s="67">
        <v>3500</v>
      </c>
      <c r="G403" s="60" t="s">
        <v>715</v>
      </c>
      <c r="H403" s="60" t="s">
        <v>568</v>
      </c>
      <c r="I403" s="61"/>
      <c r="J403" s="61" t="s">
        <v>716</v>
      </c>
      <c r="K403" s="61"/>
      <c r="L403" s="73">
        <f t="shared" si="31"/>
        <v>46174</v>
      </c>
      <c r="M403" s="65" t="str">
        <f t="shared" ca="1" si="32"/>
        <v>UYGUN</v>
      </c>
      <c r="N403" s="74" t="str">
        <f>IF($C403="","",IF($C403="TANIMSIZ MÜŞTERİ","—",INDEX(MUSTERILER!$C$7:$C$156,MATCH($C403,MUSTERILER!$B$7:$B$156,0))))</f>
        <v>MONAMOUR LTD.ŞTİ.</v>
      </c>
      <c r="O403" s="2"/>
      <c r="P403" s="2"/>
      <c r="Q403" s="1" t="str">
        <f>IF($D403="","",$C403&amp;"|"&amp;COUNTIFS($C$7:$C403,$C403))</f>
        <v>M007|19</v>
      </c>
      <c r="R403" s="1" t="str">
        <f t="shared" si="33"/>
        <v>MONAMOURLTDSTI</v>
      </c>
      <c r="S403" s="1" t="str">
        <f t="shared" si="34"/>
        <v>M007|46200|3500|</v>
      </c>
      <c r="T403" s="1">
        <f>IF($E403="",0,SUMPRODUCT((AY_SONU!$O$7:$O$42="Evet")*(AY_SONU!$B$7:$B$42=DATE(YEAR($E403),MONTH($E403),1))))</f>
        <v>0</v>
      </c>
    </row>
    <row r="404" spans="1:20" ht="18" customHeight="1" x14ac:dyDescent="0.3">
      <c r="A404" s="2"/>
      <c r="B404" s="65" t="str">
        <f t="shared" si="30"/>
        <v>T00398</v>
      </c>
      <c r="C404" s="65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M013</v>
      </c>
      <c r="D404" s="61" t="s">
        <v>729</v>
      </c>
      <c r="E404" s="66">
        <v>46200</v>
      </c>
      <c r="F404" s="67">
        <v>2000</v>
      </c>
      <c r="G404" s="60" t="s">
        <v>713</v>
      </c>
      <c r="H404" s="60" t="s">
        <v>568</v>
      </c>
      <c r="I404" s="61"/>
      <c r="J404" s="61" t="s">
        <v>717</v>
      </c>
      <c r="K404" s="61"/>
      <c r="L404" s="73">
        <f t="shared" si="31"/>
        <v>46174</v>
      </c>
      <c r="M404" s="65" t="str">
        <f t="shared" ca="1" si="32"/>
        <v>UYGUN</v>
      </c>
      <c r="N404" s="74" t="str">
        <f>IF($C404="","",IF($C404="TANIMSIZ MÜŞTERİ","—",INDEX(MUSTERILER!$C$7:$C$156,MATCH($C404,MUSTERILER!$B$7:$B$156,0))))</f>
        <v>NAZ 1 GIDA LTD.ŞTİ.</v>
      </c>
      <c r="O404" s="2"/>
      <c r="P404" s="2"/>
      <c r="Q404" s="1" t="str">
        <f>IF($D404="","",$C404&amp;"|"&amp;COUNTIFS($C$7:$C404,$C404))</f>
        <v>M013|16</v>
      </c>
      <c r="R404" s="1" t="str">
        <f t="shared" si="33"/>
        <v>NAZ1GIDALTDSTI</v>
      </c>
      <c r="S404" s="1" t="str">
        <f t="shared" si="34"/>
        <v>M013|46200|2000|</v>
      </c>
      <c r="T404" s="1">
        <f>IF($E404="",0,SUMPRODUCT((AY_SONU!$O$7:$O$42="Evet")*(AY_SONU!$B$7:$B$42=DATE(YEAR($E404),MONTH($E404),1))))</f>
        <v>0</v>
      </c>
    </row>
    <row r="405" spans="1:20" ht="18" customHeight="1" x14ac:dyDescent="0.3">
      <c r="A405" s="2"/>
      <c r="B405" s="65" t="str">
        <f t="shared" si="30"/>
        <v>T00399</v>
      </c>
      <c r="C405" s="65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M009</v>
      </c>
      <c r="D405" s="61" t="s">
        <v>730</v>
      </c>
      <c r="E405" s="66">
        <v>46200</v>
      </c>
      <c r="F405" s="67">
        <v>4000</v>
      </c>
      <c r="G405" s="60" t="s">
        <v>713</v>
      </c>
      <c r="H405" s="60" t="s">
        <v>568</v>
      </c>
      <c r="I405" s="61"/>
      <c r="J405" s="61" t="s">
        <v>717</v>
      </c>
      <c r="K405" s="61"/>
      <c r="L405" s="73">
        <f t="shared" si="31"/>
        <v>46174</v>
      </c>
      <c r="M405" s="65" t="str">
        <f t="shared" ca="1" si="32"/>
        <v>UYGUN</v>
      </c>
      <c r="N405" s="74" t="str">
        <f>IF($C405="","",IF($C405="TANIMSIZ MÜŞTERİ","—",INDEX(MUSTERILER!$C$7:$C$156,MATCH($C405,MUSTERILER!$B$7:$B$156,0))))</f>
        <v>PAKYILDIZ LTD.ŞTİ.</v>
      </c>
      <c r="O405" s="2"/>
      <c r="P405" s="2"/>
      <c r="Q405" s="1" t="str">
        <f>IF($D405="","",$C405&amp;"|"&amp;COUNTIFS($C$7:$C405,$C405))</f>
        <v>M009|21</v>
      </c>
      <c r="R405" s="1" t="str">
        <f t="shared" si="33"/>
        <v>PAKYILDIZLTDSTI</v>
      </c>
      <c r="S405" s="1" t="str">
        <f t="shared" si="34"/>
        <v>M009|46200|4000|</v>
      </c>
      <c r="T405" s="1">
        <f>IF($E405="",0,SUMPRODUCT((AY_SONU!$O$7:$O$42="Evet")*(AY_SONU!$B$7:$B$42=DATE(YEAR($E405),MONTH($E405),1))))</f>
        <v>0</v>
      </c>
    </row>
    <row r="406" spans="1:20" ht="18" customHeight="1" x14ac:dyDescent="0.3">
      <c r="A406" s="2"/>
      <c r="B406" s="65" t="str">
        <f t="shared" si="30"/>
        <v>T00400</v>
      </c>
      <c r="C406" s="65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M016</v>
      </c>
      <c r="D406" s="61" t="s">
        <v>731</v>
      </c>
      <c r="E406" s="66">
        <v>46200</v>
      </c>
      <c r="F406" s="67">
        <v>3000</v>
      </c>
      <c r="G406" s="60" t="s">
        <v>713</v>
      </c>
      <c r="H406" s="60" t="s">
        <v>568</v>
      </c>
      <c r="I406" s="61"/>
      <c r="J406" s="61" t="s">
        <v>717</v>
      </c>
      <c r="K406" s="61"/>
      <c r="L406" s="73">
        <f t="shared" si="31"/>
        <v>46174</v>
      </c>
      <c r="M406" s="65" t="str">
        <f t="shared" ca="1" si="32"/>
        <v>UYGUN</v>
      </c>
      <c r="N406" s="74" t="str">
        <f>IF($C406="","",IF($C406="TANIMSIZ MÜŞTERİ","—",INDEX(MUSTERILER!$C$7:$C$156,MATCH($C406,MUSTERILER!$B$7:$B$156,0))))</f>
        <v>RİX ŞOW LTD.ŞTİ.</v>
      </c>
      <c r="O406" s="2"/>
      <c r="P406" s="2"/>
      <c r="Q406" s="1" t="str">
        <f>IF($D406="","",$C406&amp;"|"&amp;COUNTIFS($C$7:$C406,$C406))</f>
        <v>M016|24</v>
      </c>
      <c r="R406" s="1" t="str">
        <f t="shared" si="33"/>
        <v>RIXSOWLTDSTI</v>
      </c>
      <c r="S406" s="1" t="str">
        <f t="shared" si="34"/>
        <v>M016|46200|3000|</v>
      </c>
      <c r="T406" s="1">
        <f>IF($E406="",0,SUMPRODUCT((AY_SONU!$O$7:$O$42="Evet")*(AY_SONU!$B$7:$B$42=DATE(YEAR($E406),MONTH($E406),1))))</f>
        <v>0</v>
      </c>
    </row>
    <row r="407" spans="1:20" ht="18" customHeight="1" x14ac:dyDescent="0.3">
      <c r="A407" s="2"/>
      <c r="B407" s="65" t="str">
        <f t="shared" si="30"/>
        <v>T00401</v>
      </c>
      <c r="C407" s="65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M035</v>
      </c>
      <c r="D407" s="61" t="s">
        <v>611</v>
      </c>
      <c r="E407" s="66">
        <v>46200</v>
      </c>
      <c r="F407" s="67">
        <v>3500</v>
      </c>
      <c r="G407" s="60" t="s">
        <v>715</v>
      </c>
      <c r="H407" s="60" t="s">
        <v>568</v>
      </c>
      <c r="I407" s="61"/>
      <c r="J407" s="61" t="s">
        <v>717</v>
      </c>
      <c r="K407" s="61"/>
      <c r="L407" s="73">
        <f t="shared" si="31"/>
        <v>46174</v>
      </c>
      <c r="M407" s="65" t="str">
        <f t="shared" ca="1" si="32"/>
        <v>UYGUN</v>
      </c>
      <c r="N407" s="74" t="str">
        <f>IF($C407="","",IF($C407="TANIMSIZ MÜŞTERİ","—",INDEX(MUSTERILER!$C$7:$C$156,MATCH($C407,MUSTERILER!$B$7:$B$156,0))))</f>
        <v>İSA DEMİRCİ</v>
      </c>
      <c r="O407" s="2"/>
      <c r="P407" s="2"/>
      <c r="Q407" s="1" t="str">
        <f>IF($D407="","",$C407&amp;"|"&amp;COUNTIFS($C$7:$C407,$C407))</f>
        <v>M035|6</v>
      </c>
      <c r="R407" s="1" t="str">
        <f t="shared" si="33"/>
        <v>ISADEMIRCI</v>
      </c>
      <c r="S407" s="1" t="str">
        <f t="shared" si="34"/>
        <v>M035|46200|3500|</v>
      </c>
      <c r="T407" s="1">
        <f>IF($E407="",0,SUMPRODUCT((AY_SONU!$O$7:$O$42="Evet")*(AY_SONU!$B$7:$B$42=DATE(YEAR($E407),MONTH($E407),1))))</f>
        <v>0</v>
      </c>
    </row>
    <row r="408" spans="1:20" ht="18" customHeight="1" x14ac:dyDescent="0.3">
      <c r="A408" s="2"/>
      <c r="B408" s="65" t="str">
        <f t="shared" si="30"/>
        <v>T00402</v>
      </c>
      <c r="C408" s="65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M020</v>
      </c>
      <c r="D408" s="61" t="s">
        <v>619</v>
      </c>
      <c r="E408" s="66">
        <v>46200</v>
      </c>
      <c r="F408" s="67">
        <v>3000</v>
      </c>
      <c r="G408" s="60" t="s">
        <v>713</v>
      </c>
      <c r="H408" s="60" t="s">
        <v>568</v>
      </c>
      <c r="I408" s="61"/>
      <c r="J408" s="61" t="s">
        <v>717</v>
      </c>
      <c r="K408" s="61"/>
      <c r="L408" s="73">
        <f t="shared" si="31"/>
        <v>46174</v>
      </c>
      <c r="M408" s="65" t="str">
        <f t="shared" ca="1" si="32"/>
        <v>UYGUN</v>
      </c>
      <c r="N408" s="74" t="str">
        <f>IF($C408="","",IF($C408="TANIMSIZ MÜŞTERİ","—",INDEX(MUSTERILER!$C$7:$C$156,MATCH($C408,MUSTERILER!$B$7:$B$156,0))))</f>
        <v>KRİSTAL LTD.ŞTİ.</v>
      </c>
      <c r="O408" s="2"/>
      <c r="P408" s="2"/>
      <c r="Q408" s="1" t="str">
        <f>IF($D408="","",$C408&amp;"|"&amp;COUNTIFS($C$7:$C408,$C408))</f>
        <v>M020|25</v>
      </c>
      <c r="R408" s="1" t="str">
        <f t="shared" si="33"/>
        <v>KRISTALLTDSTI</v>
      </c>
      <c r="S408" s="1" t="str">
        <f t="shared" si="34"/>
        <v>M020|46200|3000|</v>
      </c>
      <c r="T408" s="1">
        <f>IF($E408="",0,SUMPRODUCT((AY_SONU!$O$7:$O$42="Evet")*(AY_SONU!$B$7:$B$42=DATE(YEAR($E408),MONTH($E408),1))))</f>
        <v>0</v>
      </c>
    </row>
    <row r="409" spans="1:20" ht="18" customHeight="1" x14ac:dyDescent="0.3">
      <c r="A409" s="2"/>
      <c r="B409" s="65" t="str">
        <f t="shared" si="30"/>
        <v>T00403</v>
      </c>
      <c r="C409" s="65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M054</v>
      </c>
      <c r="D409" s="61" t="s">
        <v>669</v>
      </c>
      <c r="E409" s="66">
        <v>46200</v>
      </c>
      <c r="F409" s="67">
        <v>4000</v>
      </c>
      <c r="G409" s="60" t="s">
        <v>713</v>
      </c>
      <c r="H409" s="60" t="s">
        <v>568</v>
      </c>
      <c r="I409" s="61"/>
      <c r="J409" s="61" t="s">
        <v>717</v>
      </c>
      <c r="K409" s="61"/>
      <c r="L409" s="73">
        <f t="shared" si="31"/>
        <v>46174</v>
      </c>
      <c r="M409" s="65" t="str">
        <f t="shared" ca="1" si="32"/>
        <v>UYGUN</v>
      </c>
      <c r="N409" s="74" t="str">
        <f>IF($C409="","",IF($C409="TANIMSIZ MÜŞTERİ","—",INDEX(MUSTERILER!$C$7:$C$156,MATCH($C409,MUSTERILER!$B$7:$B$156,0))))</f>
        <v>YALIKENT LTD.ŞTİ.</v>
      </c>
      <c r="O409" s="2"/>
      <c r="P409" s="2"/>
      <c r="Q409" s="1" t="str">
        <f>IF($D409="","",$C409&amp;"|"&amp;COUNTIFS($C$7:$C409,$C409))</f>
        <v>M054|14</v>
      </c>
      <c r="R409" s="1" t="str">
        <f t="shared" si="33"/>
        <v>YALIKENTLTDSTI</v>
      </c>
      <c r="S409" s="1" t="str">
        <f t="shared" si="34"/>
        <v>M054|46200|4000|</v>
      </c>
      <c r="T409" s="1">
        <f>IF($E409="",0,SUMPRODUCT((AY_SONU!$O$7:$O$42="Evet")*(AY_SONU!$B$7:$B$42=DATE(YEAR($E409),MONTH($E409),1))))</f>
        <v>0</v>
      </c>
    </row>
    <row r="410" spans="1:20" ht="18" customHeight="1" x14ac:dyDescent="0.3">
      <c r="A410" s="2"/>
      <c r="B410" s="65" t="str">
        <f t="shared" si="30"/>
        <v>T00404</v>
      </c>
      <c r="C410" s="65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M054</v>
      </c>
      <c r="D410" s="61" t="s">
        <v>669</v>
      </c>
      <c r="E410" s="66">
        <v>46200</v>
      </c>
      <c r="F410" s="67">
        <v>23000</v>
      </c>
      <c r="G410" s="60" t="s">
        <v>715</v>
      </c>
      <c r="H410" s="60" t="s">
        <v>568</v>
      </c>
      <c r="I410" s="61"/>
      <c r="J410" s="61" t="s">
        <v>717</v>
      </c>
      <c r="K410" s="61"/>
      <c r="L410" s="73">
        <f t="shared" si="31"/>
        <v>46174</v>
      </c>
      <c r="M410" s="65" t="str">
        <f t="shared" ca="1" si="32"/>
        <v>UYGUN</v>
      </c>
      <c r="N410" s="74" t="str">
        <f>IF($C410="","",IF($C410="TANIMSIZ MÜŞTERİ","—",INDEX(MUSTERILER!$C$7:$C$156,MATCH($C410,MUSTERILER!$B$7:$B$156,0))))</f>
        <v>YALIKENT LTD.ŞTİ.</v>
      </c>
      <c r="O410" s="2"/>
      <c r="P410" s="2"/>
      <c r="Q410" s="1" t="str">
        <f>IF($D410="","",$C410&amp;"|"&amp;COUNTIFS($C$7:$C410,$C410))</f>
        <v>M054|15</v>
      </c>
      <c r="R410" s="1" t="str">
        <f t="shared" si="33"/>
        <v>YALIKENTLTDSTI</v>
      </c>
      <c r="S410" s="1" t="str">
        <f t="shared" si="34"/>
        <v>M054|46200|23000|</v>
      </c>
      <c r="T410" s="1">
        <f>IF($E410="",0,SUMPRODUCT((AY_SONU!$O$7:$O$42="Evet")*(AY_SONU!$B$7:$B$42=DATE(YEAR($E410),MONTH($E410),1))))</f>
        <v>0</v>
      </c>
    </row>
    <row r="411" spans="1:20" ht="18" customHeight="1" x14ac:dyDescent="0.3">
      <c r="A411" s="2"/>
      <c r="B411" s="65" t="str">
        <f t="shared" si="30"/>
        <v>T00405</v>
      </c>
      <c r="C411" s="65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M053</v>
      </c>
      <c r="D411" s="61" t="s">
        <v>671</v>
      </c>
      <c r="E411" s="66">
        <v>46203</v>
      </c>
      <c r="F411" s="67">
        <v>6000</v>
      </c>
      <c r="G411" s="60" t="s">
        <v>713</v>
      </c>
      <c r="H411" s="60" t="s">
        <v>568</v>
      </c>
      <c r="I411" s="61"/>
      <c r="J411" s="61" t="s">
        <v>717</v>
      </c>
      <c r="K411" s="61"/>
      <c r="L411" s="73">
        <f t="shared" si="31"/>
        <v>46174</v>
      </c>
      <c r="M411" s="65" t="str">
        <f t="shared" ca="1" si="32"/>
        <v>UYGUN</v>
      </c>
      <c r="N411" s="74" t="str">
        <f>IF($C411="","",IF($C411="TANIMSIZ MÜŞTERİ","—",INDEX(MUSTERILER!$C$7:$C$156,MATCH($C411,MUSTERILER!$B$7:$B$156,0))))</f>
        <v>YEDİYİRMİDÖRT LTD.ŞTİ.</v>
      </c>
      <c r="O411" s="2"/>
      <c r="P411" s="2"/>
      <c r="Q411" s="1" t="str">
        <f>IF($D411="","",$C411&amp;"|"&amp;COUNTIFS($C$7:$C411,$C411))</f>
        <v>M053|4</v>
      </c>
      <c r="R411" s="1" t="str">
        <f t="shared" si="33"/>
        <v>YEDIYIRMIDORTLTDSTI</v>
      </c>
      <c r="S411" s="1" t="str">
        <f t="shared" si="34"/>
        <v>M053|46203|6000|</v>
      </c>
      <c r="T411" s="1">
        <f>IF($E411="",0,SUMPRODUCT((AY_SONU!$O$7:$O$42="Evet")*(AY_SONU!$B$7:$B$42=DATE(YEAR($E411),MONTH($E411),1))))</f>
        <v>0</v>
      </c>
    </row>
    <row r="412" spans="1:20" ht="18" customHeight="1" x14ac:dyDescent="0.3">
      <c r="A412" s="2"/>
      <c r="B412" s="65" t="str">
        <f t="shared" si="30"/>
        <v>T00406</v>
      </c>
      <c r="C412" s="65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M023</v>
      </c>
      <c r="D412" s="61" t="s">
        <v>572</v>
      </c>
      <c r="E412" s="66">
        <v>46204</v>
      </c>
      <c r="F412" s="67">
        <v>12000</v>
      </c>
      <c r="G412" s="60" t="s">
        <v>715</v>
      </c>
      <c r="H412" s="60" t="s">
        <v>568</v>
      </c>
      <c r="I412" s="61"/>
      <c r="J412" s="61" t="s">
        <v>718</v>
      </c>
      <c r="K412" s="61"/>
      <c r="L412" s="73">
        <f t="shared" si="31"/>
        <v>46204</v>
      </c>
      <c r="M412" s="65" t="str">
        <f t="shared" ca="1" si="32"/>
        <v>UYGUN</v>
      </c>
      <c r="N412" s="74" t="str">
        <f>IF($C412="","",IF($C412="TANIMSIZ MÜŞTERİ","—",INDEX(MUSTERILER!$C$7:$C$156,MATCH($C412,MUSTERILER!$B$7:$B$156,0))))</f>
        <v>ALTINEL LTD.ŞTİ.</v>
      </c>
      <c r="O412" s="2"/>
      <c r="P412" s="2"/>
      <c r="Q412" s="1" t="str">
        <f>IF($D412="","",$C412&amp;"|"&amp;COUNTIFS($C$7:$C412,$C412))</f>
        <v>M023|7</v>
      </c>
      <c r="R412" s="1" t="str">
        <f t="shared" si="33"/>
        <v>ALTINELLTDSTI</v>
      </c>
      <c r="S412" s="1" t="str">
        <f t="shared" si="34"/>
        <v>M023|46204|12000|</v>
      </c>
      <c r="T412" s="1">
        <f>IF($E412="",0,SUMPRODUCT((AY_SONU!$O$7:$O$42="Evet")*(AY_SONU!$B$7:$B$42=DATE(YEAR($E412),MONTH($E412),1))))</f>
        <v>0</v>
      </c>
    </row>
    <row r="413" spans="1:20" ht="18" customHeight="1" x14ac:dyDescent="0.3">
      <c r="A413" s="2"/>
      <c r="B413" s="65" t="str">
        <f t="shared" si="30"/>
        <v>T00407</v>
      </c>
      <c r="C413" s="65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M025</v>
      </c>
      <c r="D413" s="61" t="s">
        <v>579</v>
      </c>
      <c r="E413" s="66">
        <v>46207</v>
      </c>
      <c r="F413" s="67">
        <v>2000</v>
      </c>
      <c r="G413" s="60" t="s">
        <v>715</v>
      </c>
      <c r="H413" s="60" t="s">
        <v>568</v>
      </c>
      <c r="I413" s="61"/>
      <c r="J413" s="61" t="s">
        <v>717</v>
      </c>
      <c r="K413" s="61"/>
      <c r="L413" s="73">
        <f t="shared" si="31"/>
        <v>46204</v>
      </c>
      <c r="M413" s="65" t="str">
        <f t="shared" ca="1" si="32"/>
        <v>UYGUN</v>
      </c>
      <c r="N413" s="74" t="str">
        <f>IF($C413="","",IF($C413="TANIMSIZ MÜŞTERİ","—",INDEX(MUSTERILER!$C$7:$C$156,MATCH($C413,MUSTERILER!$B$7:$B$156,0))))</f>
        <v>ASIM AÇIKGÖZ</v>
      </c>
      <c r="O413" s="2"/>
      <c r="P413" s="2"/>
      <c r="Q413" s="1" t="str">
        <f>IF($D413="","",$C413&amp;"|"&amp;COUNTIFS($C$7:$C413,$C413))</f>
        <v>M025|21</v>
      </c>
      <c r="R413" s="1" t="str">
        <f t="shared" si="33"/>
        <v>ASIMACIKGOZ</v>
      </c>
      <c r="S413" s="1" t="str">
        <f t="shared" si="34"/>
        <v>M025|46207|2000|</v>
      </c>
      <c r="T413" s="1">
        <f>IF($E413="",0,SUMPRODUCT((AY_SONU!$O$7:$O$42="Evet")*(AY_SONU!$B$7:$B$42=DATE(YEAR($E413),MONTH($E413),1))))</f>
        <v>0</v>
      </c>
    </row>
    <row r="414" spans="1:20" ht="18" customHeight="1" x14ac:dyDescent="0.3">
      <c r="A414" s="2"/>
      <c r="B414" s="65" t="str">
        <f t="shared" si="30"/>
        <v>T00408</v>
      </c>
      <c r="C414" s="65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M017</v>
      </c>
      <c r="D414" s="61" t="s">
        <v>581</v>
      </c>
      <c r="E414" s="66">
        <v>46207</v>
      </c>
      <c r="F414" s="67">
        <v>2500</v>
      </c>
      <c r="G414" s="60" t="s">
        <v>715</v>
      </c>
      <c r="H414" s="60" t="s">
        <v>568</v>
      </c>
      <c r="I414" s="61"/>
      <c r="J414" s="61" t="s">
        <v>717</v>
      </c>
      <c r="K414" s="61"/>
      <c r="L414" s="73">
        <f t="shared" si="31"/>
        <v>46204</v>
      </c>
      <c r="M414" s="65" t="str">
        <f t="shared" ca="1" si="32"/>
        <v>UYGUN</v>
      </c>
      <c r="N414" s="74" t="str">
        <f>IF($C414="","",IF($C414="TANIMSIZ MÜŞTERİ","—",INDEX(MUSTERILER!$C$7:$C$156,MATCH($C414,MUSTERILER!$B$7:$B$156,0))))</f>
        <v>ASM EĞLENCE LTD.ŞTİ.</v>
      </c>
      <c r="O414" s="2"/>
      <c r="P414" s="2"/>
      <c r="Q414" s="1" t="str">
        <f>IF($D414="","",$C414&amp;"|"&amp;COUNTIFS($C$7:$C414,$C414))</f>
        <v>M017|22</v>
      </c>
      <c r="R414" s="1" t="str">
        <f t="shared" si="33"/>
        <v>ASMEGLENCELTDSTI</v>
      </c>
      <c r="S414" s="1" t="str">
        <f t="shared" si="34"/>
        <v>M017|46207|2500|</v>
      </c>
      <c r="T414" s="1">
        <f>IF($E414="",0,SUMPRODUCT((AY_SONU!$O$7:$O$42="Evet")*(AY_SONU!$B$7:$B$42=DATE(YEAR($E414),MONTH($E414),1))))</f>
        <v>0</v>
      </c>
    </row>
    <row r="415" spans="1:20" ht="18" customHeight="1" x14ac:dyDescent="0.3">
      <c r="A415" s="2"/>
      <c r="B415" s="65" t="str">
        <f t="shared" si="30"/>
        <v>T00409</v>
      </c>
      <c r="C415" s="65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M015</v>
      </c>
      <c r="D415" s="61" t="s">
        <v>723</v>
      </c>
      <c r="E415" s="66">
        <v>46207</v>
      </c>
      <c r="F415" s="67">
        <v>3000</v>
      </c>
      <c r="G415" s="60" t="s">
        <v>715</v>
      </c>
      <c r="H415" s="60" t="s">
        <v>568</v>
      </c>
      <c r="I415" s="61"/>
      <c r="J415" s="61" t="s">
        <v>716</v>
      </c>
      <c r="K415" s="61"/>
      <c r="L415" s="73">
        <f t="shared" si="31"/>
        <v>46204</v>
      </c>
      <c r="M415" s="65" t="str">
        <f t="shared" ca="1" si="32"/>
        <v>UYGUN</v>
      </c>
      <c r="N415" s="74" t="str">
        <f>IF($C415="","",IF($C415="TANIMSIZ MÜŞTERİ","—",INDEX(MUSTERILER!$C$7:$C$156,MATCH($C415,MUSTERILER!$B$7:$B$156,0))))</f>
        <v>ÇAYIRALAN LTD.ŞTİ.</v>
      </c>
      <c r="O415" s="2"/>
      <c r="P415" s="2"/>
      <c r="Q415" s="1" t="str">
        <f>IF($D415="","",$C415&amp;"|"&amp;COUNTIFS($C$7:$C415,$C415))</f>
        <v>M015|23</v>
      </c>
      <c r="R415" s="1" t="str">
        <f t="shared" si="33"/>
        <v>CAYIRALANLTDSTI</v>
      </c>
      <c r="S415" s="1" t="str">
        <f t="shared" si="34"/>
        <v>M015|46207|3000|</v>
      </c>
      <c r="T415" s="1">
        <f>IF($E415="",0,SUMPRODUCT((AY_SONU!$O$7:$O$42="Evet")*(AY_SONU!$B$7:$B$42=DATE(YEAR($E415),MONTH($E415),1))))</f>
        <v>0</v>
      </c>
    </row>
    <row r="416" spans="1:20" ht="18" customHeight="1" x14ac:dyDescent="0.3">
      <c r="A416" s="2"/>
      <c r="B416" s="65" t="str">
        <f t="shared" si="30"/>
        <v>T00410</v>
      </c>
      <c r="C416" s="65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M011</v>
      </c>
      <c r="D416" s="61" t="s">
        <v>724</v>
      </c>
      <c r="E416" s="66">
        <v>46207</v>
      </c>
      <c r="F416" s="67">
        <v>4000</v>
      </c>
      <c r="G416" s="60" t="s">
        <v>715</v>
      </c>
      <c r="H416" s="60" t="s">
        <v>568</v>
      </c>
      <c r="I416" s="61"/>
      <c r="J416" s="61" t="s">
        <v>716</v>
      </c>
      <c r="K416" s="61"/>
      <c r="L416" s="73">
        <f t="shared" si="31"/>
        <v>46204</v>
      </c>
      <c r="M416" s="65" t="str">
        <f t="shared" ca="1" si="32"/>
        <v>UYGUN</v>
      </c>
      <c r="N416" s="74" t="str">
        <f>IF($C416="","",IF($C416="TANIMSIZ MÜŞTERİ","—",INDEX(MUSTERILER!$C$7:$C$156,MATCH($C416,MUSTERILER!$B$7:$B$156,0))))</f>
        <v>EĞLENGÖR LTD.ŞTİ.</v>
      </c>
      <c r="O416" s="2"/>
      <c r="P416" s="2"/>
      <c r="Q416" s="1" t="str">
        <f>IF($D416="","",$C416&amp;"|"&amp;COUNTIFS($C$7:$C416,$C416))</f>
        <v>M011|25</v>
      </c>
      <c r="R416" s="1" t="str">
        <f t="shared" si="33"/>
        <v>EGLENGORLTDSTI</v>
      </c>
      <c r="S416" s="1" t="str">
        <f t="shared" si="34"/>
        <v>M011|46207|4000|</v>
      </c>
      <c r="T416" s="1">
        <f>IF($E416="",0,SUMPRODUCT((AY_SONU!$O$7:$O$42="Evet")*(AY_SONU!$B$7:$B$42=DATE(YEAR($E416),MONTH($E416),1))))</f>
        <v>0</v>
      </c>
    </row>
    <row r="417" spans="1:20" ht="18" customHeight="1" x14ac:dyDescent="0.3">
      <c r="A417" s="2"/>
      <c r="B417" s="65" t="str">
        <f t="shared" si="30"/>
        <v>T00411</v>
      </c>
      <c r="C417" s="65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M014</v>
      </c>
      <c r="D417" s="61" t="s">
        <v>725</v>
      </c>
      <c r="E417" s="66">
        <v>46207</v>
      </c>
      <c r="F417" s="67">
        <v>4000</v>
      </c>
      <c r="G417" s="60" t="s">
        <v>715</v>
      </c>
      <c r="H417" s="60" t="s">
        <v>568</v>
      </c>
      <c r="I417" s="61"/>
      <c r="J417" s="61" t="s">
        <v>716</v>
      </c>
      <c r="K417" s="61"/>
      <c r="L417" s="73">
        <f t="shared" si="31"/>
        <v>46204</v>
      </c>
      <c r="M417" s="65" t="str">
        <f t="shared" ca="1" si="32"/>
        <v>UYGUN</v>
      </c>
      <c r="N417" s="74" t="str">
        <f>IF($C417="","",IF($C417="TANIMSIZ MÜŞTERİ","—",INDEX(MUSTERILER!$C$7:$C$156,MATCH($C417,MUSTERILER!$B$7:$B$156,0))))</f>
        <v>FİNAL SİYAH BEYAZ LTD.ŞTİ.</v>
      </c>
      <c r="O417" s="2"/>
      <c r="P417" s="2"/>
      <c r="Q417" s="1" t="str">
        <f>IF($D417="","",$C417&amp;"|"&amp;COUNTIFS($C$7:$C417,$C417))</f>
        <v>M014|24</v>
      </c>
      <c r="R417" s="1" t="str">
        <f t="shared" si="33"/>
        <v>FINALSIYAHBEYAZLTDSTI</v>
      </c>
      <c r="S417" s="1" t="str">
        <f t="shared" si="34"/>
        <v>M014|46207|4000|</v>
      </c>
      <c r="T417" s="1">
        <f>IF($E417="",0,SUMPRODUCT((AY_SONU!$O$7:$O$42="Evet")*(AY_SONU!$B$7:$B$42=DATE(YEAR($E417),MONTH($E417),1))))</f>
        <v>0</v>
      </c>
    </row>
    <row r="418" spans="1:20" ht="18" customHeight="1" x14ac:dyDescent="0.3">
      <c r="A418" s="2"/>
      <c r="B418" s="65" t="str">
        <f t="shared" si="30"/>
        <v>T00412</v>
      </c>
      <c r="C418" s="65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M013</v>
      </c>
      <c r="D418" s="61" t="s">
        <v>729</v>
      </c>
      <c r="E418" s="66">
        <v>46207</v>
      </c>
      <c r="F418" s="67">
        <v>2000</v>
      </c>
      <c r="G418" s="60" t="s">
        <v>715</v>
      </c>
      <c r="H418" s="60" t="s">
        <v>568</v>
      </c>
      <c r="I418" s="61"/>
      <c r="J418" s="61" t="s">
        <v>716</v>
      </c>
      <c r="K418" s="61"/>
      <c r="L418" s="73">
        <f t="shared" si="31"/>
        <v>46204</v>
      </c>
      <c r="M418" s="65" t="str">
        <f t="shared" ca="1" si="32"/>
        <v>UYGUN</v>
      </c>
      <c r="N418" s="74" t="str">
        <f>IF($C418="","",IF($C418="TANIMSIZ MÜŞTERİ","—",INDEX(MUSTERILER!$C$7:$C$156,MATCH($C418,MUSTERILER!$B$7:$B$156,0))))</f>
        <v>NAZ 1 GIDA LTD.ŞTİ.</v>
      </c>
      <c r="O418" s="2"/>
      <c r="P418" s="2"/>
      <c r="Q418" s="1" t="str">
        <f>IF($D418="","",$C418&amp;"|"&amp;COUNTIFS($C$7:$C418,$C418))</f>
        <v>M013|17</v>
      </c>
      <c r="R418" s="1" t="str">
        <f t="shared" si="33"/>
        <v>NAZ1GIDALTDSTI</v>
      </c>
      <c r="S418" s="1" t="str">
        <f t="shared" si="34"/>
        <v>M013|46207|2000|</v>
      </c>
      <c r="T418" s="1">
        <f>IF($E418="",0,SUMPRODUCT((AY_SONU!$O$7:$O$42="Evet")*(AY_SONU!$B$7:$B$42=DATE(YEAR($E418),MONTH($E418),1))))</f>
        <v>0</v>
      </c>
    </row>
    <row r="419" spans="1:20" ht="18" customHeight="1" x14ac:dyDescent="0.3">
      <c r="A419" s="2"/>
      <c r="B419" s="65" t="str">
        <f t="shared" si="30"/>
        <v>T00413</v>
      </c>
      <c r="C419" s="65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M009</v>
      </c>
      <c r="D419" s="61" t="s">
        <v>730</v>
      </c>
      <c r="E419" s="66">
        <v>46207</v>
      </c>
      <c r="F419" s="67">
        <v>4000</v>
      </c>
      <c r="G419" s="60" t="s">
        <v>715</v>
      </c>
      <c r="H419" s="60" t="s">
        <v>568</v>
      </c>
      <c r="I419" s="61"/>
      <c r="J419" s="61" t="s">
        <v>716</v>
      </c>
      <c r="K419" s="61"/>
      <c r="L419" s="73">
        <f t="shared" si="31"/>
        <v>46204</v>
      </c>
      <c r="M419" s="65" t="str">
        <f t="shared" ca="1" si="32"/>
        <v>UYGUN</v>
      </c>
      <c r="N419" s="74" t="str">
        <f>IF($C419="","",IF($C419="TANIMSIZ MÜŞTERİ","—",INDEX(MUSTERILER!$C$7:$C$156,MATCH($C419,MUSTERILER!$B$7:$B$156,0))))</f>
        <v>PAKYILDIZ LTD.ŞTİ.</v>
      </c>
      <c r="O419" s="2"/>
      <c r="P419" s="2"/>
      <c r="Q419" s="1" t="str">
        <f>IF($D419="","",$C419&amp;"|"&amp;COUNTIFS($C$7:$C419,$C419))</f>
        <v>M009|22</v>
      </c>
      <c r="R419" s="1" t="str">
        <f t="shared" si="33"/>
        <v>PAKYILDIZLTDSTI</v>
      </c>
      <c r="S419" s="1" t="str">
        <f t="shared" si="34"/>
        <v>M009|46207|4000|</v>
      </c>
      <c r="T419" s="1">
        <f>IF($E419="",0,SUMPRODUCT((AY_SONU!$O$7:$O$42="Evet")*(AY_SONU!$B$7:$B$42=DATE(YEAR($E419),MONTH($E419),1))))</f>
        <v>0</v>
      </c>
    </row>
    <row r="420" spans="1:20" ht="18" customHeight="1" x14ac:dyDescent="0.3">
      <c r="A420" s="2"/>
      <c r="B420" s="65" t="str">
        <f t="shared" si="30"/>
        <v>T00414</v>
      </c>
      <c r="C420" s="65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M016</v>
      </c>
      <c r="D420" s="61" t="s">
        <v>731</v>
      </c>
      <c r="E420" s="66">
        <v>46207</v>
      </c>
      <c r="F420" s="67">
        <v>3000</v>
      </c>
      <c r="G420" s="60" t="s">
        <v>715</v>
      </c>
      <c r="H420" s="60" t="s">
        <v>568</v>
      </c>
      <c r="I420" s="61"/>
      <c r="J420" s="61" t="s">
        <v>716</v>
      </c>
      <c r="K420" s="61"/>
      <c r="L420" s="73">
        <f t="shared" si="31"/>
        <v>46204</v>
      </c>
      <c r="M420" s="65" t="str">
        <f t="shared" ca="1" si="32"/>
        <v>UYGUN</v>
      </c>
      <c r="N420" s="74" t="str">
        <f>IF($C420="","",IF($C420="TANIMSIZ MÜŞTERİ","—",INDEX(MUSTERILER!$C$7:$C$156,MATCH($C420,MUSTERILER!$B$7:$B$156,0))))</f>
        <v>RİX ŞOW LTD.ŞTİ.</v>
      </c>
      <c r="O420" s="2"/>
      <c r="P420" s="2"/>
      <c r="Q420" s="1" t="str">
        <f>IF($D420="","",$C420&amp;"|"&amp;COUNTIFS($C$7:$C420,$C420))</f>
        <v>M016|25</v>
      </c>
      <c r="R420" s="1" t="str">
        <f t="shared" si="33"/>
        <v>RIXSOWLTDSTI</v>
      </c>
      <c r="S420" s="1" t="str">
        <f t="shared" si="34"/>
        <v>M016|46207|3000|</v>
      </c>
      <c r="T420" s="1">
        <f>IF($E420="",0,SUMPRODUCT((AY_SONU!$O$7:$O$42="Evet")*(AY_SONU!$B$7:$B$42=DATE(YEAR($E420),MONTH($E420),1))))</f>
        <v>0</v>
      </c>
    </row>
    <row r="421" spans="1:20" ht="18" customHeight="1" x14ac:dyDescent="0.3">
      <c r="A421" s="2"/>
      <c r="B421" s="65" t="str">
        <f t="shared" si="30"/>
        <v>T00415</v>
      </c>
      <c r="C421" s="65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M055</v>
      </c>
      <c r="D421" s="61" t="s">
        <v>655</v>
      </c>
      <c r="E421" s="66">
        <v>46207</v>
      </c>
      <c r="F421" s="67">
        <v>2000</v>
      </c>
      <c r="G421" s="60" t="s">
        <v>713</v>
      </c>
      <c r="H421" s="60" t="s">
        <v>568</v>
      </c>
      <c r="I421" s="61"/>
      <c r="J421" s="61" t="s">
        <v>717</v>
      </c>
      <c r="K421" s="61"/>
      <c r="L421" s="73">
        <f t="shared" si="31"/>
        <v>46204</v>
      </c>
      <c r="M421" s="65" t="str">
        <f t="shared" ca="1" si="32"/>
        <v>UYGUN</v>
      </c>
      <c r="N421" s="74" t="str">
        <f>IF($C421="","",IF($C421="TANIMSIZ MÜŞTERİ","—",INDEX(MUSTERILER!$C$7:$C$156,MATCH($C421,MUSTERILER!$B$7:$B$156,0))))</f>
        <v>SEMRA GÜMÜŞ</v>
      </c>
      <c r="O421" s="2"/>
      <c r="P421" s="2"/>
      <c r="Q421" s="1" t="str">
        <f>IF($D421="","",$C421&amp;"|"&amp;COUNTIFS($C$7:$C421,$C421))</f>
        <v>M055|3</v>
      </c>
      <c r="R421" s="1" t="str">
        <f t="shared" si="33"/>
        <v>SEMRAGUMUS</v>
      </c>
      <c r="S421" s="1" t="str">
        <f t="shared" si="34"/>
        <v>M055|46207|2000|</v>
      </c>
      <c r="T421" s="1">
        <f>IF($E421="",0,SUMPRODUCT((AY_SONU!$O$7:$O$42="Evet")*(AY_SONU!$B$7:$B$42=DATE(YEAR($E421),MONTH($E421),1))))</f>
        <v>0</v>
      </c>
    </row>
    <row r="422" spans="1:20" ht="18" customHeight="1" x14ac:dyDescent="0.3">
      <c r="A422" s="2"/>
      <c r="B422" s="65" t="str">
        <f t="shared" si="30"/>
        <v>T00416</v>
      </c>
      <c r="C422" s="65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M054</v>
      </c>
      <c r="D422" s="61" t="s">
        <v>669</v>
      </c>
      <c r="E422" s="66">
        <v>46207</v>
      </c>
      <c r="F422" s="67">
        <v>5000</v>
      </c>
      <c r="G422" s="60" t="s">
        <v>713</v>
      </c>
      <c r="H422" s="60" t="s">
        <v>568</v>
      </c>
      <c r="I422" s="61"/>
      <c r="J422" s="61" t="s">
        <v>738</v>
      </c>
      <c r="K422" s="61"/>
      <c r="L422" s="73">
        <f t="shared" si="31"/>
        <v>46204</v>
      </c>
      <c r="M422" s="65" t="str">
        <f t="shared" ca="1" si="32"/>
        <v>UYGUN</v>
      </c>
      <c r="N422" s="74" t="str">
        <f>IF($C422="","",IF($C422="TANIMSIZ MÜŞTERİ","—",INDEX(MUSTERILER!$C$7:$C$156,MATCH($C422,MUSTERILER!$B$7:$B$156,0))))</f>
        <v>YALIKENT LTD.ŞTİ.</v>
      </c>
      <c r="O422" s="2"/>
      <c r="P422" s="2"/>
      <c r="Q422" s="1" t="str">
        <f>IF($D422="","",$C422&amp;"|"&amp;COUNTIFS($C$7:$C422,$C422))</f>
        <v>M054|16</v>
      </c>
      <c r="R422" s="1" t="str">
        <f t="shared" si="33"/>
        <v>YALIKENTLTDSTI</v>
      </c>
      <c r="S422" s="1" t="str">
        <f t="shared" si="34"/>
        <v>M054|46207|5000|</v>
      </c>
      <c r="T422" s="1">
        <f>IF($E422="",0,SUMPRODUCT((AY_SONU!$O$7:$O$42="Evet")*(AY_SONU!$B$7:$B$42=DATE(YEAR($E422),MONTH($E422),1))))</f>
        <v>0</v>
      </c>
    </row>
    <row r="423" spans="1:20" ht="18" customHeight="1" x14ac:dyDescent="0.3">
      <c r="A423" s="2"/>
      <c r="B423" s="65" t="str">
        <f t="shared" si="30"/>
        <v>T00417</v>
      </c>
      <c r="C423" s="65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M020</v>
      </c>
      <c r="D423" s="61" t="s">
        <v>619</v>
      </c>
      <c r="E423" s="66">
        <v>46207</v>
      </c>
      <c r="F423" s="67">
        <v>3000</v>
      </c>
      <c r="G423" s="60" t="s">
        <v>713</v>
      </c>
      <c r="H423" s="60" t="s">
        <v>568</v>
      </c>
      <c r="I423" s="61"/>
      <c r="J423" s="61" t="s">
        <v>717</v>
      </c>
      <c r="K423" s="61"/>
      <c r="L423" s="73">
        <f t="shared" si="31"/>
        <v>46204</v>
      </c>
      <c r="M423" s="65" t="str">
        <f t="shared" ca="1" si="32"/>
        <v>UYGUN</v>
      </c>
      <c r="N423" s="74" t="str">
        <f>IF($C423="","",IF($C423="TANIMSIZ MÜŞTERİ","—",INDEX(MUSTERILER!$C$7:$C$156,MATCH($C423,MUSTERILER!$B$7:$B$156,0))))</f>
        <v>KRİSTAL LTD.ŞTİ.</v>
      </c>
      <c r="O423" s="2"/>
      <c r="P423" s="2"/>
      <c r="Q423" s="1" t="str">
        <f>IF($D423="","",$C423&amp;"|"&amp;COUNTIFS($C$7:$C423,$C423))</f>
        <v>M020|26</v>
      </c>
      <c r="R423" s="1" t="str">
        <f t="shared" si="33"/>
        <v>KRISTALLTDSTI</v>
      </c>
      <c r="S423" s="1" t="str">
        <f t="shared" si="34"/>
        <v>M020|46207|3000|</v>
      </c>
      <c r="T423" s="1">
        <f>IF($E423="",0,SUMPRODUCT((AY_SONU!$O$7:$O$42="Evet")*(AY_SONU!$B$7:$B$42=DATE(YEAR($E423),MONTH($E423),1))))</f>
        <v>0</v>
      </c>
    </row>
    <row r="424" spans="1:20" ht="18" customHeight="1" x14ac:dyDescent="0.3">
      <c r="A424" s="2"/>
      <c r="B424" s="65" t="str">
        <f t="shared" si="30"/>
        <v>T00418</v>
      </c>
      <c r="C424" s="65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M025</v>
      </c>
      <c r="D424" s="61" t="s">
        <v>579</v>
      </c>
      <c r="E424" s="66">
        <v>46214</v>
      </c>
      <c r="F424" s="67">
        <v>2000</v>
      </c>
      <c r="G424" s="60" t="s">
        <v>715</v>
      </c>
      <c r="H424" s="60" t="s">
        <v>568</v>
      </c>
      <c r="I424" s="61"/>
      <c r="J424" s="61" t="s">
        <v>717</v>
      </c>
      <c r="K424" s="61"/>
      <c r="L424" s="73">
        <f t="shared" si="31"/>
        <v>46204</v>
      </c>
      <c r="M424" s="65" t="str">
        <f t="shared" ca="1" si="32"/>
        <v>UYGUN</v>
      </c>
      <c r="N424" s="74" t="str">
        <f>IF($C424="","",IF($C424="TANIMSIZ MÜŞTERİ","—",INDEX(MUSTERILER!$C$7:$C$156,MATCH($C424,MUSTERILER!$B$7:$B$156,0))))</f>
        <v>ASIM AÇIKGÖZ</v>
      </c>
      <c r="O424" s="2"/>
      <c r="P424" s="2"/>
      <c r="Q424" s="1" t="str">
        <f>IF($D424="","",$C424&amp;"|"&amp;COUNTIFS($C$7:$C424,$C424))</f>
        <v>M025|22</v>
      </c>
      <c r="R424" s="1" t="str">
        <f t="shared" si="33"/>
        <v>ASIMACIKGOZ</v>
      </c>
      <c r="S424" s="1" t="str">
        <f t="shared" si="34"/>
        <v>M025|46214|2000|</v>
      </c>
      <c r="T424" s="1">
        <f>IF($E424="",0,SUMPRODUCT((AY_SONU!$O$7:$O$42="Evet")*(AY_SONU!$B$7:$B$42=DATE(YEAR($E424),MONTH($E424),1))))</f>
        <v>0</v>
      </c>
    </row>
    <row r="425" spans="1:20" ht="18" customHeight="1" x14ac:dyDescent="0.3">
      <c r="A425" s="2"/>
      <c r="B425" s="65" t="str">
        <f t="shared" si="30"/>
        <v>T00419</v>
      </c>
      <c r="C425" s="65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M017</v>
      </c>
      <c r="D425" s="61" t="s">
        <v>581</v>
      </c>
      <c r="E425" s="66">
        <v>46214</v>
      </c>
      <c r="F425" s="67">
        <v>2500</v>
      </c>
      <c r="G425" s="60" t="s">
        <v>715</v>
      </c>
      <c r="H425" s="60" t="s">
        <v>568</v>
      </c>
      <c r="I425" s="61"/>
      <c r="J425" s="61" t="s">
        <v>717</v>
      </c>
      <c r="K425" s="61"/>
      <c r="L425" s="73">
        <f t="shared" si="31"/>
        <v>46204</v>
      </c>
      <c r="M425" s="65" t="str">
        <f t="shared" ca="1" si="32"/>
        <v>UYGUN</v>
      </c>
      <c r="N425" s="74" t="str">
        <f>IF($C425="","",IF($C425="TANIMSIZ MÜŞTERİ","—",INDEX(MUSTERILER!$C$7:$C$156,MATCH($C425,MUSTERILER!$B$7:$B$156,0))))</f>
        <v>ASM EĞLENCE LTD.ŞTİ.</v>
      </c>
      <c r="O425" s="2"/>
      <c r="P425" s="2"/>
      <c r="Q425" s="1" t="str">
        <f>IF($D425="","",$C425&amp;"|"&amp;COUNTIFS($C$7:$C425,$C425))</f>
        <v>M017|23</v>
      </c>
      <c r="R425" s="1" t="str">
        <f t="shared" si="33"/>
        <v>ASMEGLENCELTDSTI</v>
      </c>
      <c r="S425" s="1" t="str">
        <f t="shared" si="34"/>
        <v>M017|46214|2500|</v>
      </c>
      <c r="T425" s="1">
        <f>IF($E425="",0,SUMPRODUCT((AY_SONU!$O$7:$O$42="Evet")*(AY_SONU!$B$7:$B$42=DATE(YEAR($E425),MONTH($E425),1))))</f>
        <v>0</v>
      </c>
    </row>
    <row r="426" spans="1:20" ht="18" customHeight="1" x14ac:dyDescent="0.3">
      <c r="A426" s="2"/>
      <c r="B426" s="65" t="str">
        <f t="shared" si="30"/>
        <v>T00420</v>
      </c>
      <c r="C426" s="65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M015</v>
      </c>
      <c r="D426" s="61" t="s">
        <v>723</v>
      </c>
      <c r="E426" s="66">
        <v>46214</v>
      </c>
      <c r="F426" s="67">
        <v>3000</v>
      </c>
      <c r="G426" s="60" t="s">
        <v>715</v>
      </c>
      <c r="H426" s="60" t="s">
        <v>568</v>
      </c>
      <c r="I426" s="61"/>
      <c r="J426" s="61" t="s">
        <v>716</v>
      </c>
      <c r="K426" s="61"/>
      <c r="L426" s="73">
        <f t="shared" si="31"/>
        <v>46204</v>
      </c>
      <c r="M426" s="65" t="str">
        <f t="shared" ca="1" si="32"/>
        <v>UYGUN</v>
      </c>
      <c r="N426" s="74" t="str">
        <f>IF($C426="","",IF($C426="TANIMSIZ MÜŞTERİ","—",INDEX(MUSTERILER!$C$7:$C$156,MATCH($C426,MUSTERILER!$B$7:$B$156,0))))</f>
        <v>ÇAYIRALAN LTD.ŞTİ.</v>
      </c>
      <c r="O426" s="2"/>
      <c r="P426" s="2"/>
      <c r="Q426" s="1" t="str">
        <f>IF($D426="","",$C426&amp;"|"&amp;COUNTIFS($C$7:$C426,$C426))</f>
        <v>M015|24</v>
      </c>
      <c r="R426" s="1" t="str">
        <f t="shared" si="33"/>
        <v>CAYIRALANLTDSTI</v>
      </c>
      <c r="S426" s="1" t="str">
        <f t="shared" si="34"/>
        <v>M015|46214|3000|</v>
      </c>
      <c r="T426" s="1">
        <f>IF($E426="",0,SUMPRODUCT((AY_SONU!$O$7:$O$42="Evet")*(AY_SONU!$B$7:$B$42=DATE(YEAR($E426),MONTH($E426),1))))</f>
        <v>0</v>
      </c>
    </row>
    <row r="427" spans="1:20" ht="18" customHeight="1" x14ac:dyDescent="0.3">
      <c r="A427" s="2"/>
      <c r="B427" s="65" t="str">
        <f t="shared" si="30"/>
        <v>T00421</v>
      </c>
      <c r="C427" s="65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M011</v>
      </c>
      <c r="D427" s="61" t="s">
        <v>724</v>
      </c>
      <c r="E427" s="66">
        <v>46214</v>
      </c>
      <c r="F427" s="67">
        <v>4000</v>
      </c>
      <c r="G427" s="60" t="s">
        <v>715</v>
      </c>
      <c r="H427" s="60" t="s">
        <v>568</v>
      </c>
      <c r="I427" s="61"/>
      <c r="J427" s="61" t="s">
        <v>716</v>
      </c>
      <c r="K427" s="61"/>
      <c r="L427" s="73">
        <f t="shared" si="31"/>
        <v>46204</v>
      </c>
      <c r="M427" s="65" t="str">
        <f t="shared" ca="1" si="32"/>
        <v>UYGUN</v>
      </c>
      <c r="N427" s="74" t="str">
        <f>IF($C427="","",IF($C427="TANIMSIZ MÜŞTERİ","—",INDEX(MUSTERILER!$C$7:$C$156,MATCH($C427,MUSTERILER!$B$7:$B$156,0))))</f>
        <v>EĞLENGÖR LTD.ŞTİ.</v>
      </c>
      <c r="O427" s="2"/>
      <c r="P427" s="2"/>
      <c r="Q427" s="1" t="str">
        <f>IF($D427="","",$C427&amp;"|"&amp;COUNTIFS($C$7:$C427,$C427))</f>
        <v>M011|26</v>
      </c>
      <c r="R427" s="1" t="str">
        <f t="shared" si="33"/>
        <v>EGLENGORLTDSTI</v>
      </c>
      <c r="S427" s="1" t="str">
        <f t="shared" si="34"/>
        <v>M011|46214|4000|</v>
      </c>
      <c r="T427" s="1">
        <f>IF($E427="",0,SUMPRODUCT((AY_SONU!$O$7:$O$42="Evet")*(AY_SONU!$B$7:$B$42=DATE(YEAR($E427),MONTH($E427),1))))</f>
        <v>0</v>
      </c>
    </row>
    <row r="428" spans="1:20" ht="18" customHeight="1" x14ac:dyDescent="0.3">
      <c r="A428" s="2"/>
      <c r="B428" s="65" t="str">
        <f t="shared" si="30"/>
        <v>T00422</v>
      </c>
      <c r="C428" s="65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M014</v>
      </c>
      <c r="D428" s="61" t="s">
        <v>725</v>
      </c>
      <c r="E428" s="66">
        <v>46214</v>
      </c>
      <c r="F428" s="67">
        <v>4000</v>
      </c>
      <c r="G428" s="60" t="s">
        <v>715</v>
      </c>
      <c r="H428" s="60" t="s">
        <v>568</v>
      </c>
      <c r="I428" s="61"/>
      <c r="J428" s="61" t="s">
        <v>716</v>
      </c>
      <c r="K428" s="61"/>
      <c r="L428" s="73">
        <f t="shared" si="31"/>
        <v>46204</v>
      </c>
      <c r="M428" s="65" t="str">
        <f t="shared" ca="1" si="32"/>
        <v>UYGUN</v>
      </c>
      <c r="N428" s="74" t="str">
        <f>IF($C428="","",IF($C428="TANIMSIZ MÜŞTERİ","—",INDEX(MUSTERILER!$C$7:$C$156,MATCH($C428,MUSTERILER!$B$7:$B$156,0))))</f>
        <v>FİNAL SİYAH BEYAZ LTD.ŞTİ.</v>
      </c>
      <c r="O428" s="2"/>
      <c r="P428" s="2"/>
      <c r="Q428" s="1" t="str">
        <f>IF($D428="","",$C428&amp;"|"&amp;COUNTIFS($C$7:$C428,$C428))</f>
        <v>M014|25</v>
      </c>
      <c r="R428" s="1" t="str">
        <f t="shared" si="33"/>
        <v>FINALSIYAHBEYAZLTDSTI</v>
      </c>
      <c r="S428" s="1" t="str">
        <f t="shared" si="34"/>
        <v>M014|46214|4000|</v>
      </c>
      <c r="T428" s="1">
        <f>IF($E428="",0,SUMPRODUCT((AY_SONU!$O$7:$O$42="Evet")*(AY_SONU!$B$7:$B$42=DATE(YEAR($E428),MONTH($E428),1))))</f>
        <v>0</v>
      </c>
    </row>
    <row r="429" spans="1:20" ht="18" customHeight="1" x14ac:dyDescent="0.3">
      <c r="A429" s="2"/>
      <c r="B429" s="65" t="str">
        <f t="shared" si="30"/>
        <v>T00423</v>
      </c>
      <c r="C429" s="65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M013</v>
      </c>
      <c r="D429" s="61" t="s">
        <v>729</v>
      </c>
      <c r="E429" s="66">
        <v>46214</v>
      </c>
      <c r="F429" s="67">
        <v>2000</v>
      </c>
      <c r="G429" s="60" t="s">
        <v>715</v>
      </c>
      <c r="H429" s="60" t="s">
        <v>568</v>
      </c>
      <c r="I429" s="61"/>
      <c r="J429" s="61" t="s">
        <v>716</v>
      </c>
      <c r="K429" s="61"/>
      <c r="L429" s="73">
        <f t="shared" si="31"/>
        <v>46204</v>
      </c>
      <c r="M429" s="65" t="str">
        <f t="shared" ca="1" si="32"/>
        <v>UYGUN</v>
      </c>
      <c r="N429" s="74" t="str">
        <f>IF($C429="","",IF($C429="TANIMSIZ MÜŞTERİ","—",INDEX(MUSTERILER!$C$7:$C$156,MATCH($C429,MUSTERILER!$B$7:$B$156,0))))</f>
        <v>NAZ 1 GIDA LTD.ŞTİ.</v>
      </c>
      <c r="O429" s="2"/>
      <c r="P429" s="2"/>
      <c r="Q429" s="1" t="str">
        <f>IF($D429="","",$C429&amp;"|"&amp;COUNTIFS($C$7:$C429,$C429))</f>
        <v>M013|18</v>
      </c>
      <c r="R429" s="1" t="str">
        <f t="shared" si="33"/>
        <v>NAZ1GIDALTDSTI</v>
      </c>
      <c r="S429" s="1" t="str">
        <f t="shared" si="34"/>
        <v>M013|46214|2000|</v>
      </c>
      <c r="T429" s="1">
        <f>IF($E429="",0,SUMPRODUCT((AY_SONU!$O$7:$O$42="Evet")*(AY_SONU!$B$7:$B$42=DATE(YEAR($E429),MONTH($E429),1))))</f>
        <v>0</v>
      </c>
    </row>
    <row r="430" spans="1:20" ht="18" customHeight="1" x14ac:dyDescent="0.3">
      <c r="A430" s="2"/>
      <c r="B430" s="65" t="str">
        <f t="shared" si="30"/>
        <v>T00424</v>
      </c>
      <c r="C430" s="65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M009</v>
      </c>
      <c r="D430" s="61" t="s">
        <v>730</v>
      </c>
      <c r="E430" s="66">
        <v>46214</v>
      </c>
      <c r="F430" s="67">
        <v>4000</v>
      </c>
      <c r="G430" s="60" t="s">
        <v>715</v>
      </c>
      <c r="H430" s="60" t="s">
        <v>568</v>
      </c>
      <c r="I430" s="61"/>
      <c r="J430" s="61" t="s">
        <v>716</v>
      </c>
      <c r="K430" s="61"/>
      <c r="L430" s="73">
        <f t="shared" si="31"/>
        <v>46204</v>
      </c>
      <c r="M430" s="65" t="str">
        <f t="shared" ca="1" si="32"/>
        <v>UYGUN</v>
      </c>
      <c r="N430" s="74" t="str">
        <f>IF($C430="","",IF($C430="TANIMSIZ MÜŞTERİ","—",INDEX(MUSTERILER!$C$7:$C$156,MATCH($C430,MUSTERILER!$B$7:$B$156,0))))</f>
        <v>PAKYILDIZ LTD.ŞTİ.</v>
      </c>
      <c r="O430" s="2"/>
      <c r="P430" s="2"/>
      <c r="Q430" s="1" t="str">
        <f>IF($D430="","",$C430&amp;"|"&amp;COUNTIFS($C$7:$C430,$C430))</f>
        <v>M009|23</v>
      </c>
      <c r="R430" s="1" t="str">
        <f t="shared" si="33"/>
        <v>PAKYILDIZLTDSTI</v>
      </c>
      <c r="S430" s="1" t="str">
        <f t="shared" si="34"/>
        <v>M009|46214|4000|</v>
      </c>
      <c r="T430" s="1">
        <f>IF($E430="",0,SUMPRODUCT((AY_SONU!$O$7:$O$42="Evet")*(AY_SONU!$B$7:$B$42=DATE(YEAR($E430),MONTH($E430),1))))</f>
        <v>0</v>
      </c>
    </row>
    <row r="431" spans="1:20" ht="18" customHeight="1" x14ac:dyDescent="0.3">
      <c r="A431" s="2"/>
      <c r="B431" s="65" t="str">
        <f t="shared" si="30"/>
        <v>T00425</v>
      </c>
      <c r="C431" s="65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M016</v>
      </c>
      <c r="D431" s="61" t="s">
        <v>731</v>
      </c>
      <c r="E431" s="66">
        <v>46214</v>
      </c>
      <c r="F431" s="67">
        <v>3000</v>
      </c>
      <c r="G431" s="60" t="s">
        <v>715</v>
      </c>
      <c r="H431" s="60" t="s">
        <v>568</v>
      </c>
      <c r="I431" s="61"/>
      <c r="J431" s="61" t="s">
        <v>716</v>
      </c>
      <c r="K431" s="61"/>
      <c r="L431" s="73">
        <f t="shared" si="31"/>
        <v>46204</v>
      </c>
      <c r="M431" s="65" t="str">
        <f t="shared" ca="1" si="32"/>
        <v>UYGUN</v>
      </c>
      <c r="N431" s="74" t="str">
        <f>IF($C431="","",IF($C431="TANIMSIZ MÜŞTERİ","—",INDEX(MUSTERILER!$C$7:$C$156,MATCH($C431,MUSTERILER!$B$7:$B$156,0))))</f>
        <v>RİX ŞOW LTD.ŞTİ.</v>
      </c>
      <c r="O431" s="2"/>
      <c r="P431" s="2"/>
      <c r="Q431" s="1" t="str">
        <f>IF($D431="","",$C431&amp;"|"&amp;COUNTIFS($C$7:$C431,$C431))</f>
        <v>M016|26</v>
      </c>
      <c r="R431" s="1" t="str">
        <f t="shared" si="33"/>
        <v>RIXSOWLTDSTI</v>
      </c>
      <c r="S431" s="1" t="str">
        <f t="shared" si="34"/>
        <v>M016|46214|3000|</v>
      </c>
      <c r="T431" s="1">
        <f>IF($E431="",0,SUMPRODUCT((AY_SONU!$O$7:$O$42="Evet")*(AY_SONU!$B$7:$B$42=DATE(YEAR($E431),MONTH($E431),1))))</f>
        <v>0</v>
      </c>
    </row>
    <row r="432" spans="1:20" ht="18" customHeight="1" x14ac:dyDescent="0.3">
      <c r="A432" s="2"/>
      <c r="B432" s="65" t="str">
        <f t="shared" si="30"/>
        <v>T00426</v>
      </c>
      <c r="C432" s="65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M054</v>
      </c>
      <c r="D432" s="61" t="s">
        <v>669</v>
      </c>
      <c r="E432" s="66">
        <v>46214</v>
      </c>
      <c r="F432" s="67">
        <v>5000</v>
      </c>
      <c r="G432" s="60" t="s">
        <v>713</v>
      </c>
      <c r="H432" s="60" t="s">
        <v>568</v>
      </c>
      <c r="I432" s="61"/>
      <c r="J432" s="61" t="s">
        <v>738</v>
      </c>
      <c r="K432" s="61"/>
      <c r="L432" s="73">
        <f t="shared" si="31"/>
        <v>46204</v>
      </c>
      <c r="M432" s="65" t="str">
        <f t="shared" ca="1" si="32"/>
        <v>UYGUN</v>
      </c>
      <c r="N432" s="74" t="str">
        <f>IF($C432="","",IF($C432="TANIMSIZ MÜŞTERİ","—",INDEX(MUSTERILER!$C$7:$C$156,MATCH($C432,MUSTERILER!$B$7:$B$156,0))))</f>
        <v>YALIKENT LTD.ŞTİ.</v>
      </c>
      <c r="O432" s="2"/>
      <c r="P432" s="2"/>
      <c r="Q432" s="1" t="str">
        <f>IF($D432="","",$C432&amp;"|"&amp;COUNTIFS($C$7:$C432,$C432))</f>
        <v>M054|17</v>
      </c>
      <c r="R432" s="1" t="str">
        <f t="shared" si="33"/>
        <v>YALIKENTLTDSTI</v>
      </c>
      <c r="S432" s="1" t="str">
        <f t="shared" si="34"/>
        <v>M054|46214|5000|</v>
      </c>
      <c r="T432" s="1">
        <f>IF($E432="",0,SUMPRODUCT((AY_SONU!$O$7:$O$42="Evet")*(AY_SONU!$B$7:$B$42=DATE(YEAR($E432),MONTH($E432),1))))</f>
        <v>0</v>
      </c>
    </row>
    <row r="433" spans="1:20" ht="18" customHeight="1" x14ac:dyDescent="0.3">
      <c r="A433" s="2"/>
      <c r="B433" s="65" t="str">
        <f t="shared" si="30"/>
        <v>T00427</v>
      </c>
      <c r="C433" s="65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M020</v>
      </c>
      <c r="D433" s="61" t="s">
        <v>619</v>
      </c>
      <c r="E433" s="66">
        <v>46214</v>
      </c>
      <c r="F433" s="67">
        <v>3000</v>
      </c>
      <c r="G433" s="60" t="s">
        <v>715</v>
      </c>
      <c r="H433" s="60" t="s">
        <v>568</v>
      </c>
      <c r="I433" s="61"/>
      <c r="J433" s="61" t="s">
        <v>717</v>
      </c>
      <c r="K433" s="61"/>
      <c r="L433" s="73">
        <f t="shared" si="31"/>
        <v>46204</v>
      </c>
      <c r="M433" s="65" t="str">
        <f t="shared" ca="1" si="32"/>
        <v>UYGUN</v>
      </c>
      <c r="N433" s="74" t="str">
        <f>IF($C433="","",IF($C433="TANIMSIZ MÜŞTERİ","—",INDEX(MUSTERILER!$C$7:$C$156,MATCH($C433,MUSTERILER!$B$7:$B$156,0))))</f>
        <v>KRİSTAL LTD.ŞTİ.</v>
      </c>
      <c r="O433" s="2"/>
      <c r="P433" s="2"/>
      <c r="Q433" s="1" t="str">
        <f>IF($D433="","",$C433&amp;"|"&amp;COUNTIFS($C$7:$C433,$C433))</f>
        <v>M020|27</v>
      </c>
      <c r="R433" s="1" t="str">
        <f t="shared" si="33"/>
        <v>KRISTALLTDSTI</v>
      </c>
      <c r="S433" s="1" t="str">
        <f t="shared" si="34"/>
        <v>M020|46214|3000|</v>
      </c>
      <c r="T433" s="1">
        <f>IF($E433="",0,SUMPRODUCT((AY_SONU!$O$7:$O$42="Evet")*(AY_SONU!$B$7:$B$42=DATE(YEAR($E433),MONTH($E433),1))))</f>
        <v>0</v>
      </c>
    </row>
    <row r="434" spans="1:20" ht="18" customHeight="1" x14ac:dyDescent="0.3">
      <c r="A434" s="2"/>
      <c r="B434" s="65" t="str">
        <f t="shared" si="30"/>
        <v>T00428</v>
      </c>
      <c r="C434" s="65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M001</v>
      </c>
      <c r="D434" s="61" t="s">
        <v>722</v>
      </c>
      <c r="E434" s="66">
        <v>46221</v>
      </c>
      <c r="F434" s="67">
        <v>4000</v>
      </c>
      <c r="G434" s="60" t="s">
        <v>713</v>
      </c>
      <c r="H434" s="60" t="s">
        <v>568</v>
      </c>
      <c r="I434" s="61"/>
      <c r="J434" s="61" t="s">
        <v>717</v>
      </c>
      <c r="K434" s="61"/>
      <c r="L434" s="73">
        <f t="shared" si="31"/>
        <v>46204</v>
      </c>
      <c r="M434" s="65" t="str">
        <f t="shared" ca="1" si="32"/>
        <v>UYGUN</v>
      </c>
      <c r="N434" s="74" t="str">
        <f>IF($C434="","",IF($C434="TANIMSIZ MÜŞTERİ","—",INDEX(MUSTERILER!$C$7:$C$156,MATCH($C434,MUSTERILER!$B$7:$B$156,0))))</f>
        <v>ANKARA HAVANA LTD.ŞTİ.</v>
      </c>
      <c r="O434" s="2"/>
      <c r="P434" s="2"/>
      <c r="Q434" s="1" t="str">
        <f>IF($D434="","",$C434&amp;"|"&amp;COUNTIFS($C$7:$C434,$C434))</f>
        <v>M001|13</v>
      </c>
      <c r="R434" s="1" t="str">
        <f t="shared" si="33"/>
        <v>ANKARAHAVANALTDSTI</v>
      </c>
      <c r="S434" s="1" t="str">
        <f t="shared" si="34"/>
        <v>M001|46221|4000|</v>
      </c>
      <c r="T434" s="1">
        <f>IF($E434="",0,SUMPRODUCT((AY_SONU!$O$7:$O$42="Evet")*(AY_SONU!$B$7:$B$42=DATE(YEAR($E434),MONTH($E434),1))))</f>
        <v>0</v>
      </c>
    </row>
    <row r="435" spans="1:20" ht="18" customHeight="1" x14ac:dyDescent="0.3">
      <c r="A435" s="2"/>
      <c r="B435" s="65" t="str">
        <f t="shared" si="30"/>
        <v>T00429</v>
      </c>
      <c r="C435" s="65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M025</v>
      </c>
      <c r="D435" s="61" t="s">
        <v>579</v>
      </c>
      <c r="E435" s="66">
        <v>46221</v>
      </c>
      <c r="F435" s="67">
        <v>2000</v>
      </c>
      <c r="G435" s="60" t="s">
        <v>713</v>
      </c>
      <c r="H435" s="60" t="s">
        <v>568</v>
      </c>
      <c r="I435" s="61"/>
      <c r="J435" s="61" t="s">
        <v>717</v>
      </c>
      <c r="K435" s="61"/>
      <c r="L435" s="73">
        <f t="shared" si="31"/>
        <v>46204</v>
      </c>
      <c r="M435" s="65" t="str">
        <f t="shared" ca="1" si="32"/>
        <v>UYGUN</v>
      </c>
      <c r="N435" s="74" t="str">
        <f>IF($C435="","",IF($C435="TANIMSIZ MÜŞTERİ","—",INDEX(MUSTERILER!$C$7:$C$156,MATCH($C435,MUSTERILER!$B$7:$B$156,0))))</f>
        <v>ASIM AÇIKGÖZ</v>
      </c>
      <c r="O435" s="2"/>
      <c r="P435" s="2"/>
      <c r="Q435" s="1" t="str">
        <f>IF($D435="","",$C435&amp;"|"&amp;COUNTIFS($C$7:$C435,$C435))</f>
        <v>M025|23</v>
      </c>
      <c r="R435" s="1" t="str">
        <f t="shared" si="33"/>
        <v>ASIMACIKGOZ</v>
      </c>
      <c r="S435" s="1" t="str">
        <f t="shared" si="34"/>
        <v>M025|46221|2000|</v>
      </c>
      <c r="T435" s="1">
        <f>IF($E435="",0,SUMPRODUCT((AY_SONU!$O$7:$O$42="Evet")*(AY_SONU!$B$7:$B$42=DATE(YEAR($E435),MONTH($E435),1))))</f>
        <v>0</v>
      </c>
    </row>
    <row r="436" spans="1:20" ht="18" customHeight="1" x14ac:dyDescent="0.3">
      <c r="A436" s="2"/>
      <c r="B436" s="65" t="str">
        <f t="shared" si="30"/>
        <v>T00430</v>
      </c>
      <c r="C436" s="65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M015</v>
      </c>
      <c r="D436" s="61" t="s">
        <v>723</v>
      </c>
      <c r="E436" s="66">
        <v>46221</v>
      </c>
      <c r="F436" s="67">
        <v>3000</v>
      </c>
      <c r="G436" s="60" t="s">
        <v>713</v>
      </c>
      <c r="H436" s="60" t="s">
        <v>568</v>
      </c>
      <c r="I436" s="61"/>
      <c r="J436" s="61" t="s">
        <v>717</v>
      </c>
      <c r="K436" s="61"/>
      <c r="L436" s="73">
        <f t="shared" si="31"/>
        <v>46204</v>
      </c>
      <c r="M436" s="65" t="str">
        <f t="shared" ca="1" si="32"/>
        <v>UYGUN</v>
      </c>
      <c r="N436" s="74" t="str">
        <f>IF($C436="","",IF($C436="TANIMSIZ MÜŞTERİ","—",INDEX(MUSTERILER!$C$7:$C$156,MATCH($C436,MUSTERILER!$B$7:$B$156,0))))</f>
        <v>ÇAYIRALAN LTD.ŞTİ.</v>
      </c>
      <c r="O436" s="2"/>
      <c r="P436" s="2"/>
      <c r="Q436" s="1" t="str">
        <f>IF($D436="","",$C436&amp;"|"&amp;COUNTIFS($C$7:$C436,$C436))</f>
        <v>M015|25</v>
      </c>
      <c r="R436" s="1" t="str">
        <f t="shared" si="33"/>
        <v>CAYIRALANLTDSTI</v>
      </c>
      <c r="S436" s="1" t="str">
        <f t="shared" si="34"/>
        <v>M015|46221|3000|</v>
      </c>
      <c r="T436" s="1">
        <f>IF($E436="",0,SUMPRODUCT((AY_SONU!$O$7:$O$42="Evet")*(AY_SONU!$B$7:$B$42=DATE(YEAR($E436),MONTH($E436),1))))</f>
        <v>0</v>
      </c>
    </row>
    <row r="437" spans="1:20" ht="18" customHeight="1" x14ac:dyDescent="0.3">
      <c r="A437" s="2"/>
      <c r="B437" s="65" t="str">
        <f t="shared" si="30"/>
        <v>T00431</v>
      </c>
      <c r="C437" s="65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M011</v>
      </c>
      <c r="D437" s="61" t="s">
        <v>724</v>
      </c>
      <c r="E437" s="66">
        <v>46221</v>
      </c>
      <c r="F437" s="67">
        <v>4000</v>
      </c>
      <c r="G437" s="60" t="s">
        <v>713</v>
      </c>
      <c r="H437" s="60" t="s">
        <v>568</v>
      </c>
      <c r="I437" s="61"/>
      <c r="J437" s="61" t="s">
        <v>717</v>
      </c>
      <c r="K437" s="61"/>
      <c r="L437" s="73">
        <f t="shared" si="31"/>
        <v>46204</v>
      </c>
      <c r="M437" s="65" t="str">
        <f t="shared" ca="1" si="32"/>
        <v>UYGUN</v>
      </c>
      <c r="N437" s="74" t="str">
        <f>IF($C437="","",IF($C437="TANIMSIZ MÜŞTERİ","—",INDEX(MUSTERILER!$C$7:$C$156,MATCH($C437,MUSTERILER!$B$7:$B$156,0))))</f>
        <v>EĞLENGÖR LTD.ŞTİ.</v>
      </c>
      <c r="O437" s="2"/>
      <c r="P437" s="2"/>
      <c r="Q437" s="1" t="str">
        <f>IF($D437="","",$C437&amp;"|"&amp;COUNTIFS($C$7:$C437,$C437))</f>
        <v>M011|27</v>
      </c>
      <c r="R437" s="1" t="str">
        <f t="shared" si="33"/>
        <v>EGLENGORLTDSTI</v>
      </c>
      <c r="S437" s="1" t="str">
        <f t="shared" si="34"/>
        <v>M011|46221|4000|</v>
      </c>
      <c r="T437" s="1">
        <f>IF($E437="",0,SUMPRODUCT((AY_SONU!$O$7:$O$42="Evet")*(AY_SONU!$B$7:$B$42=DATE(YEAR($E437),MONTH($E437),1))))</f>
        <v>0</v>
      </c>
    </row>
    <row r="438" spans="1:20" ht="18" customHeight="1" x14ac:dyDescent="0.3">
      <c r="A438" s="2"/>
      <c r="B438" s="65" t="str">
        <f t="shared" si="30"/>
        <v>T00432</v>
      </c>
      <c r="C438" s="65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M014</v>
      </c>
      <c r="D438" s="61" t="s">
        <v>725</v>
      </c>
      <c r="E438" s="66">
        <v>46221</v>
      </c>
      <c r="F438" s="67">
        <v>4000</v>
      </c>
      <c r="G438" s="60" t="s">
        <v>713</v>
      </c>
      <c r="H438" s="60" t="s">
        <v>568</v>
      </c>
      <c r="I438" s="61"/>
      <c r="J438" s="61" t="s">
        <v>717</v>
      </c>
      <c r="K438" s="61"/>
      <c r="L438" s="73">
        <f t="shared" si="31"/>
        <v>46204</v>
      </c>
      <c r="M438" s="65" t="str">
        <f t="shared" ca="1" si="32"/>
        <v>UYGUN</v>
      </c>
      <c r="N438" s="74" t="str">
        <f>IF($C438="","",IF($C438="TANIMSIZ MÜŞTERİ","—",INDEX(MUSTERILER!$C$7:$C$156,MATCH($C438,MUSTERILER!$B$7:$B$156,0))))</f>
        <v>FİNAL SİYAH BEYAZ LTD.ŞTİ.</v>
      </c>
      <c r="O438" s="2"/>
      <c r="P438" s="2"/>
      <c r="Q438" s="1" t="str">
        <f>IF($D438="","",$C438&amp;"|"&amp;COUNTIFS($C$7:$C438,$C438))</f>
        <v>M014|26</v>
      </c>
      <c r="R438" s="1" t="str">
        <f t="shared" si="33"/>
        <v>FINALSIYAHBEYAZLTDSTI</v>
      </c>
      <c r="S438" s="1" t="str">
        <f t="shared" si="34"/>
        <v>M014|46221|4000|</v>
      </c>
      <c r="T438" s="1">
        <f>IF($E438="",0,SUMPRODUCT((AY_SONU!$O$7:$O$42="Evet")*(AY_SONU!$B$7:$B$42=DATE(YEAR($E438),MONTH($E438),1))))</f>
        <v>0</v>
      </c>
    </row>
    <row r="439" spans="1:20" ht="18" customHeight="1" x14ac:dyDescent="0.3">
      <c r="A439" s="2"/>
      <c r="B439" s="65" t="str">
        <f t="shared" si="30"/>
        <v>T00433</v>
      </c>
      <c r="C439" s="65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M012</v>
      </c>
      <c r="D439" s="61" t="s">
        <v>727</v>
      </c>
      <c r="E439" s="66">
        <v>46221</v>
      </c>
      <c r="F439" s="67">
        <v>4000</v>
      </c>
      <c r="G439" s="60" t="s">
        <v>713</v>
      </c>
      <c r="H439" s="60" t="s">
        <v>568</v>
      </c>
      <c r="I439" s="61"/>
      <c r="J439" s="61" t="s">
        <v>717</v>
      </c>
      <c r="K439" s="61"/>
      <c r="L439" s="73">
        <f t="shared" si="31"/>
        <v>46204</v>
      </c>
      <c r="M439" s="65" t="str">
        <f t="shared" ca="1" si="32"/>
        <v>UYGUN</v>
      </c>
      <c r="N439" s="74" t="str">
        <f>IF($C439="","",IF($C439="TANIMSIZ MÜŞTERİ","—",INDEX(MUSTERILER!$C$7:$C$156,MATCH($C439,MUSTERILER!$B$7:$B$156,0))))</f>
        <v>İLDEŞ LTD.ŞTİ.</v>
      </c>
      <c r="O439" s="2"/>
      <c r="P439" s="2"/>
      <c r="Q439" s="1" t="str">
        <f>IF($D439="","",$C439&amp;"|"&amp;COUNTIFS($C$7:$C439,$C439))</f>
        <v>M012|25</v>
      </c>
      <c r="R439" s="1" t="str">
        <f t="shared" si="33"/>
        <v>ILDESLTDSTI</v>
      </c>
      <c r="S439" s="1" t="str">
        <f t="shared" si="34"/>
        <v>M012|46221|4000|</v>
      </c>
      <c r="T439" s="1">
        <f>IF($E439="",0,SUMPRODUCT((AY_SONU!$O$7:$O$42="Evet")*(AY_SONU!$B$7:$B$42=DATE(YEAR($E439),MONTH($E439),1))))</f>
        <v>0</v>
      </c>
    </row>
    <row r="440" spans="1:20" ht="18" customHeight="1" x14ac:dyDescent="0.3">
      <c r="A440" s="2"/>
      <c r="B440" s="65" t="str">
        <f t="shared" si="30"/>
        <v>T00434</v>
      </c>
      <c r="C440" s="65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M013</v>
      </c>
      <c r="D440" s="61" t="s">
        <v>729</v>
      </c>
      <c r="E440" s="66">
        <v>46221</v>
      </c>
      <c r="F440" s="67">
        <v>2000</v>
      </c>
      <c r="G440" s="60" t="s">
        <v>713</v>
      </c>
      <c r="H440" s="60" t="s">
        <v>568</v>
      </c>
      <c r="I440" s="61"/>
      <c r="J440" s="61" t="s">
        <v>717</v>
      </c>
      <c r="K440" s="61"/>
      <c r="L440" s="73">
        <f t="shared" si="31"/>
        <v>46204</v>
      </c>
      <c r="M440" s="65" t="str">
        <f t="shared" ca="1" si="32"/>
        <v>UYGUN</v>
      </c>
      <c r="N440" s="74" t="str">
        <f>IF($C440="","",IF($C440="TANIMSIZ MÜŞTERİ","—",INDEX(MUSTERILER!$C$7:$C$156,MATCH($C440,MUSTERILER!$B$7:$B$156,0))))</f>
        <v>NAZ 1 GIDA LTD.ŞTİ.</v>
      </c>
      <c r="O440" s="2"/>
      <c r="P440" s="2"/>
      <c r="Q440" s="1" t="str">
        <f>IF($D440="","",$C440&amp;"|"&amp;COUNTIFS($C$7:$C440,$C440))</f>
        <v>M013|19</v>
      </c>
      <c r="R440" s="1" t="str">
        <f t="shared" si="33"/>
        <v>NAZ1GIDALTDSTI</v>
      </c>
      <c r="S440" s="1" t="str">
        <f t="shared" si="34"/>
        <v>M013|46221|2000|</v>
      </c>
      <c r="T440" s="1">
        <f>IF($E440="",0,SUMPRODUCT((AY_SONU!$O$7:$O$42="Evet")*(AY_SONU!$B$7:$B$42=DATE(YEAR($E440),MONTH($E440),1))))</f>
        <v>0</v>
      </c>
    </row>
    <row r="441" spans="1:20" ht="18" customHeight="1" x14ac:dyDescent="0.3">
      <c r="A441" s="2"/>
      <c r="B441" s="65" t="str">
        <f t="shared" si="30"/>
        <v>T00435</v>
      </c>
      <c r="C441" s="65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M009</v>
      </c>
      <c r="D441" s="61" t="s">
        <v>730</v>
      </c>
      <c r="E441" s="66">
        <v>46221</v>
      </c>
      <c r="F441" s="67">
        <v>4000</v>
      </c>
      <c r="G441" s="60" t="s">
        <v>713</v>
      </c>
      <c r="H441" s="60" t="s">
        <v>568</v>
      </c>
      <c r="I441" s="61"/>
      <c r="J441" s="61" t="s">
        <v>717</v>
      </c>
      <c r="K441" s="61"/>
      <c r="L441" s="73">
        <f t="shared" si="31"/>
        <v>46204</v>
      </c>
      <c r="M441" s="65" t="str">
        <f t="shared" ca="1" si="32"/>
        <v>UYGUN</v>
      </c>
      <c r="N441" s="74" t="str">
        <f>IF($C441="","",IF($C441="TANIMSIZ MÜŞTERİ","—",INDEX(MUSTERILER!$C$7:$C$156,MATCH($C441,MUSTERILER!$B$7:$B$156,0))))</f>
        <v>PAKYILDIZ LTD.ŞTİ.</v>
      </c>
      <c r="O441" s="2"/>
      <c r="P441" s="2"/>
      <c r="Q441" s="1" t="str">
        <f>IF($D441="","",$C441&amp;"|"&amp;COUNTIFS($C$7:$C441,$C441))</f>
        <v>M009|24</v>
      </c>
      <c r="R441" s="1" t="str">
        <f t="shared" si="33"/>
        <v>PAKYILDIZLTDSTI</v>
      </c>
      <c r="S441" s="1" t="str">
        <f t="shared" si="34"/>
        <v>M009|46221|4000|</v>
      </c>
      <c r="T441" s="1">
        <f>IF($E441="",0,SUMPRODUCT((AY_SONU!$O$7:$O$42="Evet")*(AY_SONU!$B$7:$B$42=DATE(YEAR($E441),MONTH($E441),1))))</f>
        <v>0</v>
      </c>
    </row>
    <row r="442" spans="1:20" ht="18" customHeight="1" x14ac:dyDescent="0.3">
      <c r="A442" s="2"/>
      <c r="B442" s="65" t="str">
        <f t="shared" si="30"/>
        <v>T00436</v>
      </c>
      <c r="C442" s="65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M009</v>
      </c>
      <c r="D442" s="61" t="s">
        <v>730</v>
      </c>
      <c r="E442" s="66">
        <v>46221</v>
      </c>
      <c r="F442" s="67">
        <v>5000</v>
      </c>
      <c r="G442" s="60" t="s">
        <v>713</v>
      </c>
      <c r="H442" s="60" t="s">
        <v>568</v>
      </c>
      <c r="I442" s="61"/>
      <c r="J442" s="61" t="s">
        <v>717</v>
      </c>
      <c r="K442" s="61"/>
      <c r="L442" s="73">
        <f t="shared" si="31"/>
        <v>46204</v>
      </c>
      <c r="M442" s="65" t="str">
        <f t="shared" ca="1" si="32"/>
        <v>UYGUN</v>
      </c>
      <c r="N442" s="74" t="str">
        <f>IF($C442="","",IF($C442="TANIMSIZ MÜŞTERİ","—",INDEX(MUSTERILER!$C$7:$C$156,MATCH($C442,MUSTERILER!$B$7:$B$156,0))))</f>
        <v>PAKYILDIZ LTD.ŞTİ.</v>
      </c>
      <c r="O442" s="2"/>
      <c r="P442" s="2"/>
      <c r="Q442" s="1" t="str">
        <f>IF($D442="","",$C442&amp;"|"&amp;COUNTIFS($C$7:$C442,$C442))</f>
        <v>M009|25</v>
      </c>
      <c r="R442" s="1" t="str">
        <f t="shared" si="33"/>
        <v>PAKYILDIZLTDSTI</v>
      </c>
      <c r="S442" s="1" t="str">
        <f t="shared" si="34"/>
        <v>M009|46221|5000|</v>
      </c>
      <c r="T442" s="1">
        <f>IF($E442="",0,SUMPRODUCT((AY_SONU!$O$7:$O$42="Evet")*(AY_SONU!$B$7:$B$42=DATE(YEAR($E442),MONTH($E442),1))))</f>
        <v>0</v>
      </c>
    </row>
    <row r="443" spans="1:20" ht="18" customHeight="1" x14ac:dyDescent="0.3">
      <c r="A443" s="2"/>
      <c r="B443" s="65" t="str">
        <f t="shared" si="30"/>
        <v>T00437</v>
      </c>
      <c r="C443" s="65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M016</v>
      </c>
      <c r="D443" s="61" t="s">
        <v>731</v>
      </c>
      <c r="E443" s="66">
        <v>46221</v>
      </c>
      <c r="F443" s="67">
        <v>3000</v>
      </c>
      <c r="G443" s="60" t="s">
        <v>713</v>
      </c>
      <c r="H443" s="60" t="s">
        <v>568</v>
      </c>
      <c r="I443" s="61"/>
      <c r="J443" s="61" t="s">
        <v>717</v>
      </c>
      <c r="K443" s="61"/>
      <c r="L443" s="73">
        <f t="shared" si="31"/>
        <v>46204</v>
      </c>
      <c r="M443" s="65" t="str">
        <f t="shared" ca="1" si="32"/>
        <v>UYGUN</v>
      </c>
      <c r="N443" s="74" t="str">
        <f>IF($C443="","",IF($C443="TANIMSIZ MÜŞTERİ","—",INDEX(MUSTERILER!$C$7:$C$156,MATCH($C443,MUSTERILER!$B$7:$B$156,0))))</f>
        <v>RİX ŞOW LTD.ŞTİ.</v>
      </c>
      <c r="O443" s="2"/>
      <c r="P443" s="2"/>
      <c r="Q443" s="1" t="str">
        <f>IF($D443="","",$C443&amp;"|"&amp;COUNTIFS($C$7:$C443,$C443))</f>
        <v>M016|27</v>
      </c>
      <c r="R443" s="1" t="str">
        <f t="shared" si="33"/>
        <v>RIXSOWLTDSTI</v>
      </c>
      <c r="S443" s="1" t="str">
        <f t="shared" si="34"/>
        <v>M016|46221|3000|</v>
      </c>
      <c r="T443" s="1">
        <f>IF($E443="",0,SUMPRODUCT((AY_SONU!$O$7:$O$42="Evet")*(AY_SONU!$B$7:$B$42=DATE(YEAR($E443),MONTH($E443),1))))</f>
        <v>0</v>
      </c>
    </row>
    <row r="444" spans="1:20" ht="18" customHeight="1" x14ac:dyDescent="0.3">
      <c r="A444" s="2"/>
      <c r="B444" s="65" t="str">
        <f t="shared" si="30"/>
        <v>T00438</v>
      </c>
      <c r="C444" s="65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M054</v>
      </c>
      <c r="D444" s="61" t="s">
        <v>669</v>
      </c>
      <c r="E444" s="66">
        <v>46221</v>
      </c>
      <c r="F444" s="67">
        <v>5000</v>
      </c>
      <c r="G444" s="60" t="s">
        <v>713</v>
      </c>
      <c r="H444" s="60" t="s">
        <v>568</v>
      </c>
      <c r="I444" s="61"/>
      <c r="J444" s="61" t="s">
        <v>738</v>
      </c>
      <c r="K444" s="61"/>
      <c r="L444" s="73">
        <f t="shared" si="31"/>
        <v>46204</v>
      </c>
      <c r="M444" s="65" t="str">
        <f t="shared" ca="1" si="32"/>
        <v>UYGUN</v>
      </c>
      <c r="N444" s="74" t="str">
        <f>IF($C444="","",IF($C444="TANIMSIZ MÜŞTERİ","—",INDEX(MUSTERILER!$C$7:$C$156,MATCH($C444,MUSTERILER!$B$7:$B$156,0))))</f>
        <v>YALIKENT LTD.ŞTİ.</v>
      </c>
      <c r="O444" s="2"/>
      <c r="P444" s="2"/>
      <c r="Q444" s="1" t="str">
        <f>IF($D444="","",$C444&amp;"|"&amp;COUNTIFS($C$7:$C444,$C444))</f>
        <v>M054|18</v>
      </c>
      <c r="R444" s="1" t="str">
        <f t="shared" si="33"/>
        <v>YALIKENTLTDSTI</v>
      </c>
      <c r="S444" s="1" t="str">
        <f t="shared" si="34"/>
        <v>M054|46221|5000|</v>
      </c>
      <c r="T444" s="1">
        <f>IF($E444="",0,SUMPRODUCT((AY_SONU!$O$7:$O$42="Evet")*(AY_SONU!$B$7:$B$42=DATE(YEAR($E444),MONTH($E444),1))))</f>
        <v>0</v>
      </c>
    </row>
    <row r="445" spans="1:20" ht="18" customHeight="1" x14ac:dyDescent="0.3">
      <c r="A445" s="2"/>
      <c r="B445" s="65" t="str">
        <f t="shared" si="30"/>
        <v>T00439</v>
      </c>
      <c r="C445" s="65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M005</v>
      </c>
      <c r="D445" s="61" t="s">
        <v>732</v>
      </c>
      <c r="E445" s="66">
        <v>46221</v>
      </c>
      <c r="F445" s="67">
        <v>3500</v>
      </c>
      <c r="G445" s="60" t="s">
        <v>713</v>
      </c>
      <c r="H445" s="60" t="s">
        <v>568</v>
      </c>
      <c r="I445" s="61"/>
      <c r="J445" s="61" t="s">
        <v>717</v>
      </c>
      <c r="K445" s="61"/>
      <c r="L445" s="73">
        <f t="shared" si="31"/>
        <v>46204</v>
      </c>
      <c r="M445" s="65" t="str">
        <f t="shared" ca="1" si="32"/>
        <v>UYGUN</v>
      </c>
      <c r="N445" s="74" t="str">
        <f>IF($C445="","",IF($C445="TANIMSIZ MÜŞTERİ","—",INDEX(MUSTERILER!$C$7:$C$156,MATCH($C445,MUSTERILER!$B$7:$B$156,0))))</f>
        <v>ZÜMRÜT GRUP LTD.ŞTİ.</v>
      </c>
      <c r="O445" s="2"/>
      <c r="P445" s="2"/>
      <c r="Q445" s="1" t="str">
        <f>IF($D445="","",$C445&amp;"|"&amp;COUNTIFS($C$7:$C445,$C445))</f>
        <v>M005|19</v>
      </c>
      <c r="R445" s="1" t="str">
        <f t="shared" si="33"/>
        <v>ZUMRUTGRUPLTDSTI</v>
      </c>
      <c r="S445" s="1" t="str">
        <f t="shared" si="34"/>
        <v>M005|46221|3500|</v>
      </c>
      <c r="T445" s="1">
        <f>IF($E445="",0,SUMPRODUCT((AY_SONU!$O$7:$O$42="Evet")*(AY_SONU!$B$7:$B$42=DATE(YEAR($E445),MONTH($E445),1))))</f>
        <v>0</v>
      </c>
    </row>
    <row r="446" spans="1:20" ht="18" customHeight="1" x14ac:dyDescent="0.3">
      <c r="A446" s="2"/>
      <c r="B446" s="65" t="str">
        <f t="shared" si="30"/>
        <v>T00440</v>
      </c>
      <c r="C446" s="65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M018</v>
      </c>
      <c r="D446" s="61" t="s">
        <v>589</v>
      </c>
      <c r="E446" s="66">
        <v>46221</v>
      </c>
      <c r="F446" s="67">
        <v>5000</v>
      </c>
      <c r="G446" s="60" t="s">
        <v>713</v>
      </c>
      <c r="H446" s="60" t="s">
        <v>568</v>
      </c>
      <c r="I446" s="61"/>
      <c r="J446" s="61" t="s">
        <v>717</v>
      </c>
      <c r="K446" s="61"/>
      <c r="L446" s="73">
        <f t="shared" si="31"/>
        <v>46204</v>
      </c>
      <c r="M446" s="65" t="str">
        <f t="shared" ca="1" si="32"/>
        <v>UYGUN</v>
      </c>
      <c r="N446" s="74" t="str">
        <f>IF($C446="","",IF($C446="TANIMSIZ MÜŞTERİ","—",INDEX(MUSTERILER!$C$7:$C$156,MATCH($C446,MUSTERILER!$B$7:$B$156,0))))</f>
        <v>ÇINARHAN LTD.ŞTİ.</v>
      </c>
      <c r="O446" s="2"/>
      <c r="P446" s="2"/>
      <c r="Q446" s="1" t="str">
        <f>IF($D446="","",$C446&amp;"|"&amp;COUNTIFS($C$7:$C446,$C446))</f>
        <v>M018|18</v>
      </c>
      <c r="R446" s="1" t="str">
        <f t="shared" si="33"/>
        <v>CINARHANLTDSTI</v>
      </c>
      <c r="S446" s="1" t="str">
        <f t="shared" si="34"/>
        <v>M018|46221|5000|</v>
      </c>
      <c r="T446" s="1">
        <f>IF($E446="",0,SUMPRODUCT((AY_SONU!$O$7:$O$42="Evet")*(AY_SONU!$B$7:$B$42=DATE(YEAR($E446),MONTH($E446),1))))</f>
        <v>0</v>
      </c>
    </row>
    <row r="447" spans="1:20" ht="18" customHeight="1" x14ac:dyDescent="0.3">
      <c r="A447" s="2"/>
      <c r="B447" s="65" t="str">
        <f t="shared" si="30"/>
        <v>T00441</v>
      </c>
      <c r="C447" s="65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M035</v>
      </c>
      <c r="D447" s="61" t="s">
        <v>611</v>
      </c>
      <c r="E447" s="66">
        <v>46221</v>
      </c>
      <c r="F447" s="67">
        <v>3500</v>
      </c>
      <c r="G447" s="60" t="s">
        <v>715</v>
      </c>
      <c r="H447" s="60" t="s">
        <v>568</v>
      </c>
      <c r="I447" s="61"/>
      <c r="J447" s="61" t="s">
        <v>717</v>
      </c>
      <c r="K447" s="61"/>
      <c r="L447" s="73">
        <f t="shared" si="31"/>
        <v>46204</v>
      </c>
      <c r="M447" s="65" t="str">
        <f t="shared" ca="1" si="32"/>
        <v>UYGUN</v>
      </c>
      <c r="N447" s="74" t="str">
        <f>IF($C447="","",IF($C447="TANIMSIZ MÜŞTERİ","—",INDEX(MUSTERILER!$C$7:$C$156,MATCH($C447,MUSTERILER!$B$7:$B$156,0))))</f>
        <v>İSA DEMİRCİ</v>
      </c>
      <c r="O447" s="2"/>
      <c r="P447" s="2"/>
      <c r="Q447" s="1" t="str">
        <f>IF($D447="","",$C447&amp;"|"&amp;COUNTIFS($C$7:$C447,$C447))</f>
        <v>M035|7</v>
      </c>
      <c r="R447" s="1" t="str">
        <f t="shared" si="33"/>
        <v>ISADEMIRCI</v>
      </c>
      <c r="S447" s="1" t="str">
        <f t="shared" si="34"/>
        <v>M035|46221|3500|</v>
      </c>
      <c r="T447" s="1">
        <f>IF($E447="",0,SUMPRODUCT((AY_SONU!$O$7:$O$42="Evet")*(AY_SONU!$B$7:$B$42=DATE(YEAR($E447),MONTH($E447),1))))</f>
        <v>0</v>
      </c>
    </row>
    <row r="448" spans="1:20" ht="18" customHeight="1" x14ac:dyDescent="0.3">
      <c r="A448" s="2"/>
      <c r="B448" s="65" t="str">
        <f t="shared" si="30"/>
        <v>T00442</v>
      </c>
      <c r="C448" s="65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M047</v>
      </c>
      <c r="D448" s="61" t="s">
        <v>649</v>
      </c>
      <c r="E448" s="66">
        <v>46221</v>
      </c>
      <c r="F448" s="67">
        <v>5000</v>
      </c>
      <c r="G448" s="60" t="s">
        <v>713</v>
      </c>
      <c r="H448" s="60" t="s">
        <v>568</v>
      </c>
      <c r="I448" s="61"/>
      <c r="J448" s="61" t="s">
        <v>717</v>
      </c>
      <c r="K448" s="61"/>
      <c r="L448" s="73">
        <f t="shared" si="31"/>
        <v>46204</v>
      </c>
      <c r="M448" s="65" t="str">
        <f t="shared" ca="1" si="32"/>
        <v>UYGUN</v>
      </c>
      <c r="N448" s="74" t="str">
        <f>IF($C448="","",IF($C448="TANIMSIZ MÜŞTERİ","—",INDEX(MUSTERILER!$C$7:$C$156,MATCH($C448,MUSTERILER!$B$7:$B$156,0))))</f>
        <v>PALAOĞULLARI LTD.ŞTİ.</v>
      </c>
      <c r="O448" s="2"/>
      <c r="P448" s="2"/>
      <c r="Q448" s="1" t="str">
        <f>IF($D448="","",$C448&amp;"|"&amp;COUNTIFS($C$7:$C448,$C448))</f>
        <v>M047|18</v>
      </c>
      <c r="R448" s="1" t="str">
        <f t="shared" si="33"/>
        <v>PALAOGULLARILTDSTI</v>
      </c>
      <c r="S448" s="1" t="str">
        <f t="shared" si="34"/>
        <v>M047|46221|5000|</v>
      </c>
      <c r="T448" s="1">
        <f>IF($E448="",0,SUMPRODUCT((AY_SONU!$O$7:$O$42="Evet")*(AY_SONU!$B$7:$B$42=DATE(YEAR($E448),MONTH($E448),1))))</f>
        <v>0</v>
      </c>
    </row>
    <row r="449" spans="1:20" ht="18" customHeight="1" x14ac:dyDescent="0.3">
      <c r="A449" s="2"/>
      <c r="B449" s="65" t="str">
        <f t="shared" si="30"/>
        <v>T00443</v>
      </c>
      <c r="C449" s="65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M030</v>
      </c>
      <c r="D449" s="61" t="s">
        <v>599</v>
      </c>
      <c r="E449" s="66">
        <v>46225</v>
      </c>
      <c r="F449" s="67">
        <v>2000</v>
      </c>
      <c r="G449" s="60" t="s">
        <v>713</v>
      </c>
      <c r="H449" s="60" t="s">
        <v>568</v>
      </c>
      <c r="I449" s="61"/>
      <c r="J449" s="61" t="s">
        <v>717</v>
      </c>
      <c r="K449" s="61"/>
      <c r="L449" s="73">
        <f t="shared" si="31"/>
        <v>46204</v>
      </c>
      <c r="M449" s="65" t="str">
        <f t="shared" ca="1" si="32"/>
        <v>UYGUN</v>
      </c>
      <c r="N449" s="74" t="str">
        <f>IF($C449="","",IF($C449="TANIMSIZ MÜŞTERİ","—",INDEX(MUSTERILER!$C$7:$C$156,MATCH($C449,MUSTERILER!$B$7:$B$156,0))))</f>
        <v>FARUK DEMİRCİ</v>
      </c>
      <c r="O449" s="2"/>
      <c r="P449" s="2"/>
      <c r="Q449" s="1" t="str">
        <f>IF($D449="","",$C449&amp;"|"&amp;COUNTIFS($C$7:$C449,$C449))</f>
        <v>M030|3</v>
      </c>
      <c r="R449" s="1" t="str">
        <f t="shared" si="33"/>
        <v>FARUKDEMIRCI</v>
      </c>
      <c r="S449" s="1" t="str">
        <f t="shared" si="34"/>
        <v>M030|46225|2000|</v>
      </c>
      <c r="T449" s="1">
        <f>IF($E449="",0,SUMPRODUCT((AY_SONU!$O$7:$O$42="Evet")*(AY_SONU!$B$7:$B$42=DATE(YEAR($E449),MONTH($E449),1))))</f>
        <v>0</v>
      </c>
    </row>
    <row r="450" spans="1:20" ht="18" customHeight="1" x14ac:dyDescent="0.3">
      <c r="A450" s="2"/>
      <c r="B450" s="65" t="str">
        <f t="shared" si="30"/>
        <v>T00444</v>
      </c>
      <c r="C450" s="65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M037</v>
      </c>
      <c r="D450" s="61" t="s">
        <v>621</v>
      </c>
      <c r="E450" s="66">
        <v>46225</v>
      </c>
      <c r="F450" s="67">
        <v>2000</v>
      </c>
      <c r="G450" s="60" t="s">
        <v>713</v>
      </c>
      <c r="H450" s="60" t="s">
        <v>568</v>
      </c>
      <c r="I450" s="61"/>
      <c r="J450" s="61" t="s">
        <v>717</v>
      </c>
      <c r="K450" s="61"/>
      <c r="L450" s="73">
        <f t="shared" si="31"/>
        <v>46204</v>
      </c>
      <c r="M450" s="65" t="str">
        <f t="shared" ca="1" si="32"/>
        <v>UYGUN</v>
      </c>
      <c r="N450" s="74" t="str">
        <f>IF($C450="","",IF($C450="TANIMSIZ MÜŞTERİ","—",INDEX(MUSTERILER!$C$7:$C$156,MATCH($C450,MUSTERILER!$B$7:$B$156,0))))</f>
        <v>MEHMET EVREN KILINÇ</v>
      </c>
      <c r="O450" s="2"/>
      <c r="P450" s="2"/>
      <c r="Q450" s="1" t="str">
        <f>IF($D450="","",$C450&amp;"|"&amp;COUNTIFS($C$7:$C450,$C450))</f>
        <v>M037|6</v>
      </c>
      <c r="R450" s="1" t="str">
        <f t="shared" si="33"/>
        <v>MEHMETEVRENKILINC</v>
      </c>
      <c r="S450" s="1" t="str">
        <f t="shared" si="34"/>
        <v>M037|46225|2000|</v>
      </c>
      <c r="T450" s="1">
        <f>IF($E450="",0,SUMPRODUCT((AY_SONU!$O$7:$O$42="Evet")*(AY_SONU!$B$7:$B$42=DATE(YEAR($E450),MONTH($E450),1))))</f>
        <v>0</v>
      </c>
    </row>
    <row r="451" spans="1:20" ht="18" customHeight="1" x14ac:dyDescent="0.3">
      <c r="A451" s="2"/>
      <c r="B451" s="65" t="str">
        <f t="shared" si="30"/>
        <v>T00445</v>
      </c>
      <c r="C451" s="65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M048</v>
      </c>
      <c r="D451" s="61" t="s">
        <v>651</v>
      </c>
      <c r="E451" s="66">
        <v>46226</v>
      </c>
      <c r="F451" s="67">
        <v>6000</v>
      </c>
      <c r="G451" s="60" t="s">
        <v>713</v>
      </c>
      <c r="H451" s="60" t="s">
        <v>568</v>
      </c>
      <c r="I451" s="61"/>
      <c r="J451" s="61" t="s">
        <v>717</v>
      </c>
      <c r="K451" s="61"/>
      <c r="L451" s="73">
        <f t="shared" si="31"/>
        <v>46204</v>
      </c>
      <c r="M451" s="65" t="str">
        <f t="shared" ca="1" si="32"/>
        <v>UYGUN</v>
      </c>
      <c r="N451" s="74" t="str">
        <f>IF($C451="","",IF($C451="TANIMSIZ MÜŞTERİ","—",INDEX(MUSTERILER!$C$7:$C$156,MATCH($C451,MUSTERILER!$B$7:$B$156,0))))</f>
        <v>RASİM DEMİRCİ</v>
      </c>
      <c r="O451" s="2"/>
      <c r="P451" s="2"/>
      <c r="Q451" s="1" t="str">
        <f>IF($D451="","",$C451&amp;"|"&amp;COUNTIFS($C$7:$C451,$C451))</f>
        <v>M048|2</v>
      </c>
      <c r="R451" s="1" t="str">
        <f t="shared" si="33"/>
        <v>RASIMDEMIRCI</v>
      </c>
      <c r="S451" s="1" t="str">
        <f t="shared" si="34"/>
        <v>M048|46226|6000|</v>
      </c>
      <c r="T451" s="1">
        <f>IF($E451="",0,SUMPRODUCT((AY_SONU!$O$7:$O$42="Evet")*(AY_SONU!$B$7:$B$42=DATE(YEAR($E451),MONTH($E451),1))))</f>
        <v>0</v>
      </c>
    </row>
    <row r="452" spans="1:20" ht="18" customHeight="1" x14ac:dyDescent="0.3">
      <c r="A452" s="2"/>
      <c r="B452" s="65" t="str">
        <f t="shared" si="30"/>
        <v>T00446</v>
      </c>
      <c r="C452" s="65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M001</v>
      </c>
      <c r="D452" s="61" t="s">
        <v>722</v>
      </c>
      <c r="E452" s="66">
        <v>46228</v>
      </c>
      <c r="F452" s="67">
        <v>4000</v>
      </c>
      <c r="G452" s="60" t="s">
        <v>713</v>
      </c>
      <c r="H452" s="60" t="s">
        <v>568</v>
      </c>
      <c r="I452" s="61"/>
      <c r="J452" s="61" t="s">
        <v>717</v>
      </c>
      <c r="K452" s="61"/>
      <c r="L452" s="73">
        <f t="shared" si="31"/>
        <v>46204</v>
      </c>
      <c r="M452" s="65" t="str">
        <f t="shared" ca="1" si="32"/>
        <v>UYGUN</v>
      </c>
      <c r="N452" s="74" t="str">
        <f>IF($C452="","",IF($C452="TANIMSIZ MÜŞTERİ","—",INDEX(MUSTERILER!$C$7:$C$156,MATCH($C452,MUSTERILER!$B$7:$B$156,0))))</f>
        <v>ANKARA HAVANA LTD.ŞTİ.</v>
      </c>
      <c r="O452" s="2"/>
      <c r="P452" s="2"/>
      <c r="Q452" s="1" t="str">
        <f>IF($D452="","",$C452&amp;"|"&amp;COUNTIFS($C$7:$C452,$C452))</f>
        <v>M001|14</v>
      </c>
      <c r="R452" s="1" t="str">
        <f t="shared" si="33"/>
        <v>ANKARAHAVANALTDSTI</v>
      </c>
      <c r="S452" s="1" t="str">
        <f t="shared" si="34"/>
        <v>M001|46228|4000|</v>
      </c>
      <c r="T452" s="1">
        <f>IF($E452="",0,SUMPRODUCT((AY_SONU!$O$7:$O$42="Evet")*(AY_SONU!$B$7:$B$42=DATE(YEAR($E452),MONTH($E452),1))))</f>
        <v>0</v>
      </c>
    </row>
    <row r="453" spans="1:20" ht="18" customHeight="1" x14ac:dyDescent="0.3">
      <c r="A453" s="2"/>
      <c r="B453" s="65" t="str">
        <f t="shared" si="30"/>
        <v>T00447</v>
      </c>
      <c r="C453" s="65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M025</v>
      </c>
      <c r="D453" s="61" t="s">
        <v>579</v>
      </c>
      <c r="E453" s="66">
        <v>46228</v>
      </c>
      <c r="F453" s="67">
        <v>2000</v>
      </c>
      <c r="G453" s="60" t="s">
        <v>713</v>
      </c>
      <c r="H453" s="60" t="s">
        <v>568</v>
      </c>
      <c r="I453" s="61"/>
      <c r="J453" s="61" t="s">
        <v>717</v>
      </c>
      <c r="K453" s="61"/>
      <c r="L453" s="73">
        <f t="shared" si="31"/>
        <v>46204</v>
      </c>
      <c r="M453" s="65" t="str">
        <f t="shared" ca="1" si="32"/>
        <v>UYGUN</v>
      </c>
      <c r="N453" s="74" t="str">
        <f>IF($C453="","",IF($C453="TANIMSIZ MÜŞTERİ","—",INDEX(MUSTERILER!$C$7:$C$156,MATCH($C453,MUSTERILER!$B$7:$B$156,0))))</f>
        <v>ASIM AÇIKGÖZ</v>
      </c>
      <c r="O453" s="2"/>
      <c r="P453" s="2"/>
      <c r="Q453" s="1" t="str">
        <f>IF($D453="","",$C453&amp;"|"&amp;COUNTIFS($C$7:$C453,$C453))</f>
        <v>M025|24</v>
      </c>
      <c r="R453" s="1" t="str">
        <f t="shared" si="33"/>
        <v>ASIMACIKGOZ</v>
      </c>
      <c r="S453" s="1" t="str">
        <f t="shared" si="34"/>
        <v>M025|46228|2000|</v>
      </c>
      <c r="T453" s="1">
        <f>IF($E453="",0,SUMPRODUCT((AY_SONU!$O$7:$O$42="Evet")*(AY_SONU!$B$7:$B$42=DATE(YEAR($E453),MONTH($E453),1))))</f>
        <v>0</v>
      </c>
    </row>
    <row r="454" spans="1:20" ht="18" customHeight="1" x14ac:dyDescent="0.3">
      <c r="A454" s="2"/>
      <c r="B454" s="65" t="str">
        <f t="shared" si="30"/>
        <v>T00448</v>
      </c>
      <c r="C454" s="65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M017</v>
      </c>
      <c r="D454" s="61" t="s">
        <v>581</v>
      </c>
      <c r="E454" s="66">
        <v>46228</v>
      </c>
      <c r="F454" s="67">
        <v>2500</v>
      </c>
      <c r="G454" s="60" t="s">
        <v>713</v>
      </c>
      <c r="H454" s="60" t="s">
        <v>568</v>
      </c>
      <c r="I454" s="61"/>
      <c r="J454" s="61" t="s">
        <v>717</v>
      </c>
      <c r="K454" s="61"/>
      <c r="L454" s="73">
        <f t="shared" si="31"/>
        <v>46204</v>
      </c>
      <c r="M454" s="65" t="str">
        <f t="shared" ca="1" si="32"/>
        <v>UYGUN</v>
      </c>
      <c r="N454" s="74" t="str">
        <f>IF($C454="","",IF($C454="TANIMSIZ MÜŞTERİ","—",INDEX(MUSTERILER!$C$7:$C$156,MATCH($C454,MUSTERILER!$B$7:$B$156,0))))</f>
        <v>ASM EĞLENCE LTD.ŞTİ.</v>
      </c>
      <c r="O454" s="2"/>
      <c r="P454" s="2"/>
      <c r="Q454" s="1" t="str">
        <f>IF($D454="","",$C454&amp;"|"&amp;COUNTIFS($C$7:$C454,$C454))</f>
        <v>M017|24</v>
      </c>
      <c r="R454" s="1" t="str">
        <f t="shared" si="33"/>
        <v>ASMEGLENCELTDSTI</v>
      </c>
      <c r="S454" s="1" t="str">
        <f t="shared" si="34"/>
        <v>M017|46228|2500|</v>
      </c>
      <c r="T454" s="1">
        <f>IF($E454="",0,SUMPRODUCT((AY_SONU!$O$7:$O$42="Evet")*(AY_SONU!$B$7:$B$42=DATE(YEAR($E454),MONTH($E454),1))))</f>
        <v>0</v>
      </c>
    </row>
    <row r="455" spans="1:20" ht="18" customHeight="1" x14ac:dyDescent="0.3">
      <c r="A455" s="2"/>
      <c r="B455" s="65" t="str">
        <f t="shared" ref="B455:B518" si="35">IF($D455="","","T"&amp;TEXT(ROW()-6,"00000"))</f>
        <v>T00449</v>
      </c>
      <c r="C455" s="65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M015</v>
      </c>
      <c r="D455" s="61" t="s">
        <v>723</v>
      </c>
      <c r="E455" s="66">
        <v>46228</v>
      </c>
      <c r="F455" s="67">
        <v>3000</v>
      </c>
      <c r="G455" s="60" t="s">
        <v>713</v>
      </c>
      <c r="H455" s="60" t="s">
        <v>568</v>
      </c>
      <c r="I455" s="61"/>
      <c r="J455" s="61" t="s">
        <v>717</v>
      </c>
      <c r="K455" s="61"/>
      <c r="L455" s="73">
        <f t="shared" ref="L455:L518" si="36">IF($E455="","",DATE(YEAR($E455),MONTH($E455),1))</f>
        <v>46204</v>
      </c>
      <c r="M455" s="65" t="str">
        <f t="shared" ref="M455:M518" ca="1" si="37">IF($D455="","",IF($C455="TANIMSIZ MÜŞTERİ","HATA",IF(OR($E455="",$F455&lt;=0,$G455=""),"EKSİK",IF($E455&gt;TODAY(),"İLERİ TARİH",IF(COUNTIF($S$7:$S$2506,$S455)&gt;1,"MÜKERRER?",IF($T455&gt;0,"KAPALI DÖNEM","UYGUN"))))))</f>
        <v>UYGUN</v>
      </c>
      <c r="N455" s="74" t="str">
        <f>IF($C455="","",IF($C455="TANIMSIZ MÜŞTERİ","—",INDEX(MUSTERILER!$C$7:$C$156,MATCH($C455,MUSTERILER!$B$7:$B$156,0))))</f>
        <v>ÇAYIRALAN LTD.ŞTİ.</v>
      </c>
      <c r="O455" s="2"/>
      <c r="P455" s="2"/>
      <c r="Q455" s="1" t="str">
        <f>IF($D455="","",$C455&amp;"|"&amp;COUNTIFS($C$7:$C455,$C455))</f>
        <v>M015|26</v>
      </c>
      <c r="R455" s="1" t="str">
        <f t="shared" ref="R455:R518" si="38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CAYIRALANLTDSTI</v>
      </c>
      <c r="S455" s="1" t="str">
        <f t="shared" ref="S455:S518" si="39">IF($D455="","",$C455&amp;"|"&amp;TEXT($E455,"0")&amp;"|"&amp;TEXT($F455,"0")&amp;"|"&amp;$I455)</f>
        <v>M015|46228|3000|</v>
      </c>
      <c r="T455" s="1">
        <f>IF($E455="",0,SUMPRODUCT((AY_SONU!$O$7:$O$42="Evet")*(AY_SONU!$B$7:$B$42=DATE(YEAR($E455),MONTH($E455),1))))</f>
        <v>0</v>
      </c>
    </row>
    <row r="456" spans="1:20" ht="18" customHeight="1" x14ac:dyDescent="0.3">
      <c r="A456" s="2"/>
      <c r="B456" s="65" t="str">
        <f t="shared" si="35"/>
        <v>T00450</v>
      </c>
      <c r="C456" s="65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M011</v>
      </c>
      <c r="D456" s="61" t="s">
        <v>724</v>
      </c>
      <c r="E456" s="66">
        <v>46228</v>
      </c>
      <c r="F456" s="67">
        <v>4000</v>
      </c>
      <c r="G456" s="60" t="s">
        <v>713</v>
      </c>
      <c r="H456" s="60" t="s">
        <v>568</v>
      </c>
      <c r="I456" s="61"/>
      <c r="J456" s="61" t="s">
        <v>717</v>
      </c>
      <c r="K456" s="61"/>
      <c r="L456" s="73">
        <f t="shared" si="36"/>
        <v>46204</v>
      </c>
      <c r="M456" s="65" t="str">
        <f t="shared" ca="1" si="37"/>
        <v>UYGUN</v>
      </c>
      <c r="N456" s="74" t="str">
        <f>IF($C456="","",IF($C456="TANIMSIZ MÜŞTERİ","—",INDEX(MUSTERILER!$C$7:$C$156,MATCH($C456,MUSTERILER!$B$7:$B$156,0))))</f>
        <v>EĞLENGÖR LTD.ŞTİ.</v>
      </c>
      <c r="O456" s="2"/>
      <c r="P456" s="2"/>
      <c r="Q456" s="1" t="str">
        <f>IF($D456="","",$C456&amp;"|"&amp;COUNTIFS($C$7:$C456,$C456))</f>
        <v>M011|28</v>
      </c>
      <c r="R456" s="1" t="str">
        <f t="shared" si="38"/>
        <v>EGLENGORLTDSTI</v>
      </c>
      <c r="S456" s="1" t="str">
        <f t="shared" si="39"/>
        <v>M011|46228|4000|</v>
      </c>
      <c r="T456" s="1">
        <f>IF($E456="",0,SUMPRODUCT((AY_SONU!$O$7:$O$42="Evet")*(AY_SONU!$B$7:$B$42=DATE(YEAR($E456),MONTH($E456),1))))</f>
        <v>0</v>
      </c>
    </row>
    <row r="457" spans="1:20" ht="18" customHeight="1" x14ac:dyDescent="0.3">
      <c r="A457" s="2"/>
      <c r="B457" s="65" t="str">
        <f t="shared" si="35"/>
        <v>T00451</v>
      </c>
      <c r="C457" s="65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M014</v>
      </c>
      <c r="D457" s="61" t="s">
        <v>725</v>
      </c>
      <c r="E457" s="66">
        <v>46228</v>
      </c>
      <c r="F457" s="67">
        <v>4000</v>
      </c>
      <c r="G457" s="60" t="s">
        <v>713</v>
      </c>
      <c r="H457" s="60" t="s">
        <v>568</v>
      </c>
      <c r="I457" s="61"/>
      <c r="J457" s="61" t="s">
        <v>717</v>
      </c>
      <c r="K457" s="61"/>
      <c r="L457" s="73">
        <f t="shared" si="36"/>
        <v>46204</v>
      </c>
      <c r="M457" s="65" t="str">
        <f t="shared" ca="1" si="37"/>
        <v>UYGUN</v>
      </c>
      <c r="N457" s="74" t="str">
        <f>IF($C457="","",IF($C457="TANIMSIZ MÜŞTERİ","—",INDEX(MUSTERILER!$C$7:$C$156,MATCH($C457,MUSTERILER!$B$7:$B$156,0))))</f>
        <v>FİNAL SİYAH BEYAZ LTD.ŞTİ.</v>
      </c>
      <c r="O457" s="2"/>
      <c r="P457" s="2"/>
      <c r="Q457" s="1" t="str">
        <f>IF($D457="","",$C457&amp;"|"&amp;COUNTIFS($C$7:$C457,$C457))</f>
        <v>M014|27</v>
      </c>
      <c r="R457" s="1" t="str">
        <f t="shared" si="38"/>
        <v>FINALSIYAHBEYAZLTDSTI</v>
      </c>
      <c r="S457" s="1" t="str">
        <f t="shared" si="39"/>
        <v>M014|46228|4000|</v>
      </c>
      <c r="T457" s="1">
        <f>IF($E457="",0,SUMPRODUCT((AY_SONU!$O$7:$O$42="Evet")*(AY_SONU!$B$7:$B$42=DATE(YEAR($E457),MONTH($E457),1))))</f>
        <v>0</v>
      </c>
    </row>
    <row r="458" spans="1:20" ht="18" customHeight="1" x14ac:dyDescent="0.3">
      <c r="A458" s="2"/>
      <c r="B458" s="65" t="str">
        <f t="shared" si="35"/>
        <v>T00452</v>
      </c>
      <c r="C458" s="65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M012</v>
      </c>
      <c r="D458" s="61" t="s">
        <v>727</v>
      </c>
      <c r="E458" s="66">
        <v>46228</v>
      </c>
      <c r="F458" s="67">
        <v>4000</v>
      </c>
      <c r="G458" s="60" t="s">
        <v>713</v>
      </c>
      <c r="H458" s="60" t="s">
        <v>568</v>
      </c>
      <c r="I458" s="61"/>
      <c r="J458" s="61" t="s">
        <v>717</v>
      </c>
      <c r="K458" s="61"/>
      <c r="L458" s="73">
        <f t="shared" si="36"/>
        <v>46204</v>
      </c>
      <c r="M458" s="65" t="str">
        <f t="shared" ca="1" si="37"/>
        <v>UYGUN</v>
      </c>
      <c r="N458" s="74" t="str">
        <f>IF($C458="","",IF($C458="TANIMSIZ MÜŞTERİ","—",INDEX(MUSTERILER!$C$7:$C$156,MATCH($C458,MUSTERILER!$B$7:$B$156,0))))</f>
        <v>İLDEŞ LTD.ŞTİ.</v>
      </c>
      <c r="O458" s="2"/>
      <c r="P458" s="2"/>
      <c r="Q458" s="1" t="str">
        <f>IF($D458="","",$C458&amp;"|"&amp;COUNTIFS($C$7:$C458,$C458))</f>
        <v>M012|26</v>
      </c>
      <c r="R458" s="1" t="str">
        <f t="shared" si="38"/>
        <v>ILDESLTDSTI</v>
      </c>
      <c r="S458" s="1" t="str">
        <f t="shared" si="39"/>
        <v>M012|46228|4000|</v>
      </c>
      <c r="T458" s="1">
        <f>IF($E458="",0,SUMPRODUCT((AY_SONU!$O$7:$O$42="Evet")*(AY_SONU!$B$7:$B$42=DATE(YEAR($E458),MONTH($E458),1))))</f>
        <v>0</v>
      </c>
    </row>
    <row r="459" spans="1:20" ht="18" customHeight="1" x14ac:dyDescent="0.3">
      <c r="A459" s="2"/>
      <c r="B459" s="65" t="str">
        <f t="shared" si="35"/>
        <v>T00453</v>
      </c>
      <c r="C459" s="65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M007</v>
      </c>
      <c r="D459" s="61" t="s">
        <v>728</v>
      </c>
      <c r="E459" s="66">
        <v>46228</v>
      </c>
      <c r="F459" s="67">
        <v>3500</v>
      </c>
      <c r="G459" s="60" t="s">
        <v>713</v>
      </c>
      <c r="H459" s="60" t="s">
        <v>568</v>
      </c>
      <c r="I459" s="61"/>
      <c r="J459" s="61" t="s">
        <v>717</v>
      </c>
      <c r="K459" s="61"/>
      <c r="L459" s="73">
        <f t="shared" si="36"/>
        <v>46204</v>
      </c>
      <c r="M459" s="65" t="str">
        <f t="shared" ca="1" si="37"/>
        <v>UYGUN</v>
      </c>
      <c r="N459" s="74" t="str">
        <f>IF($C459="","",IF($C459="TANIMSIZ MÜŞTERİ","—",INDEX(MUSTERILER!$C$7:$C$156,MATCH($C459,MUSTERILER!$B$7:$B$156,0))))</f>
        <v>MONAMOUR LTD.ŞTİ.</v>
      </c>
      <c r="O459" s="2"/>
      <c r="P459" s="2"/>
      <c r="Q459" s="1" t="str">
        <f>IF($D459="","",$C459&amp;"|"&amp;COUNTIFS($C$7:$C459,$C459))</f>
        <v>M007|20</v>
      </c>
      <c r="R459" s="1" t="str">
        <f t="shared" si="38"/>
        <v>MONAMOURLTDSTI</v>
      </c>
      <c r="S459" s="1" t="str">
        <f t="shared" si="39"/>
        <v>M007|46228|3500|</v>
      </c>
      <c r="T459" s="1">
        <f>IF($E459="",0,SUMPRODUCT((AY_SONU!$O$7:$O$42="Evet")*(AY_SONU!$B$7:$B$42=DATE(YEAR($E459),MONTH($E459),1))))</f>
        <v>0</v>
      </c>
    </row>
    <row r="460" spans="1:20" ht="18" customHeight="1" x14ac:dyDescent="0.3">
      <c r="A460" s="2"/>
      <c r="B460" s="65" t="str">
        <f t="shared" si="35"/>
        <v>T00454</v>
      </c>
      <c r="C460" s="65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M013</v>
      </c>
      <c r="D460" s="61" t="s">
        <v>729</v>
      </c>
      <c r="E460" s="66">
        <v>46228</v>
      </c>
      <c r="F460" s="67">
        <v>2000</v>
      </c>
      <c r="G460" s="60" t="s">
        <v>713</v>
      </c>
      <c r="H460" s="60" t="s">
        <v>568</v>
      </c>
      <c r="I460" s="61"/>
      <c r="J460" s="61" t="s">
        <v>717</v>
      </c>
      <c r="K460" s="61"/>
      <c r="L460" s="73">
        <f t="shared" si="36"/>
        <v>46204</v>
      </c>
      <c r="M460" s="65" t="str">
        <f t="shared" ca="1" si="37"/>
        <v>UYGUN</v>
      </c>
      <c r="N460" s="74" t="str">
        <f>IF($C460="","",IF($C460="TANIMSIZ MÜŞTERİ","—",INDEX(MUSTERILER!$C$7:$C$156,MATCH($C460,MUSTERILER!$B$7:$B$156,0))))</f>
        <v>NAZ 1 GIDA LTD.ŞTİ.</v>
      </c>
      <c r="O460" s="2"/>
      <c r="P460" s="2"/>
      <c r="Q460" s="1" t="str">
        <f>IF($D460="","",$C460&amp;"|"&amp;COUNTIFS($C$7:$C460,$C460))</f>
        <v>M013|20</v>
      </c>
      <c r="R460" s="1" t="str">
        <f t="shared" si="38"/>
        <v>NAZ1GIDALTDSTI</v>
      </c>
      <c r="S460" s="1" t="str">
        <f t="shared" si="39"/>
        <v>M013|46228|2000|</v>
      </c>
      <c r="T460" s="1">
        <f>IF($E460="",0,SUMPRODUCT((AY_SONU!$O$7:$O$42="Evet")*(AY_SONU!$B$7:$B$42=DATE(YEAR($E460),MONTH($E460),1))))</f>
        <v>0</v>
      </c>
    </row>
    <row r="461" spans="1:20" ht="18" customHeight="1" x14ac:dyDescent="0.3">
      <c r="A461" s="2"/>
      <c r="B461" s="65" t="str">
        <f t="shared" si="35"/>
        <v>T00455</v>
      </c>
      <c r="C461" s="65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M054</v>
      </c>
      <c r="D461" s="61" t="s">
        <v>669</v>
      </c>
      <c r="E461" s="66">
        <v>46228</v>
      </c>
      <c r="F461" s="67">
        <v>5000</v>
      </c>
      <c r="G461" s="60" t="s">
        <v>713</v>
      </c>
      <c r="H461" s="60" t="s">
        <v>568</v>
      </c>
      <c r="I461" s="61"/>
      <c r="J461" s="61" t="s">
        <v>738</v>
      </c>
      <c r="K461" s="61"/>
      <c r="L461" s="73">
        <f t="shared" si="36"/>
        <v>46204</v>
      </c>
      <c r="M461" s="65" t="str">
        <f t="shared" ca="1" si="37"/>
        <v>UYGUN</v>
      </c>
      <c r="N461" s="74" t="str">
        <f>IF($C461="","",IF($C461="TANIMSIZ MÜŞTERİ","—",INDEX(MUSTERILER!$C$7:$C$156,MATCH($C461,MUSTERILER!$B$7:$B$156,0))))</f>
        <v>YALIKENT LTD.ŞTİ.</v>
      </c>
      <c r="O461" s="2"/>
      <c r="P461" s="2"/>
      <c r="Q461" s="1" t="str">
        <f>IF($D461="","",$C461&amp;"|"&amp;COUNTIFS($C$7:$C461,$C461))</f>
        <v>M054|19</v>
      </c>
      <c r="R461" s="1" t="str">
        <f t="shared" si="38"/>
        <v>YALIKENTLTDSTI</v>
      </c>
      <c r="S461" s="1" t="str">
        <f t="shared" si="39"/>
        <v>M054|46228|5000|</v>
      </c>
      <c r="T461" s="1">
        <f>IF($E461="",0,SUMPRODUCT((AY_SONU!$O$7:$O$42="Evet")*(AY_SONU!$B$7:$B$42=DATE(YEAR($E461),MONTH($E461),1))))</f>
        <v>0</v>
      </c>
    </row>
    <row r="462" spans="1:20" ht="18" customHeight="1" x14ac:dyDescent="0.3">
      <c r="A462" s="2"/>
      <c r="B462" s="65" t="str">
        <f t="shared" si="35"/>
        <v>T00456</v>
      </c>
      <c r="C462" s="65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M005</v>
      </c>
      <c r="D462" s="61" t="s">
        <v>732</v>
      </c>
      <c r="E462" s="66">
        <v>46228</v>
      </c>
      <c r="F462" s="67">
        <v>1750</v>
      </c>
      <c r="G462" s="60" t="s">
        <v>713</v>
      </c>
      <c r="H462" s="60" t="s">
        <v>568</v>
      </c>
      <c r="I462" s="61"/>
      <c r="J462" s="61" t="s">
        <v>717</v>
      </c>
      <c r="K462" s="61"/>
      <c r="L462" s="73">
        <f t="shared" si="36"/>
        <v>46204</v>
      </c>
      <c r="M462" s="65" t="str">
        <f t="shared" ca="1" si="37"/>
        <v>UYGUN</v>
      </c>
      <c r="N462" s="74" t="str">
        <f>IF($C462="","",IF($C462="TANIMSIZ MÜŞTERİ","—",INDEX(MUSTERILER!$C$7:$C$156,MATCH($C462,MUSTERILER!$B$7:$B$156,0))))</f>
        <v>ZÜMRÜT GRUP LTD.ŞTİ.</v>
      </c>
      <c r="O462" s="2"/>
      <c r="P462" s="2"/>
      <c r="Q462" s="1" t="str">
        <f>IF($D462="","",$C462&amp;"|"&amp;COUNTIFS($C$7:$C462,$C462))</f>
        <v>M005|20</v>
      </c>
      <c r="R462" s="1" t="str">
        <f t="shared" si="38"/>
        <v>ZUMRUTGRUPLTDSTI</v>
      </c>
      <c r="S462" s="1" t="str">
        <f t="shared" si="39"/>
        <v>M005|46228|1750|</v>
      </c>
      <c r="T462" s="1">
        <f>IF($E462="",0,SUMPRODUCT((AY_SONU!$O$7:$O$42="Evet")*(AY_SONU!$B$7:$B$42=DATE(YEAR($E462),MONTH($E462),1))))</f>
        <v>0</v>
      </c>
    </row>
    <row r="463" spans="1:20" ht="18" customHeight="1" x14ac:dyDescent="0.3">
      <c r="A463" s="2"/>
      <c r="B463" s="65" t="str">
        <f t="shared" si="35"/>
        <v>T00457</v>
      </c>
      <c r="C463" s="65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M020</v>
      </c>
      <c r="D463" s="61" t="s">
        <v>619</v>
      </c>
      <c r="E463" s="66">
        <v>46228</v>
      </c>
      <c r="F463" s="67">
        <v>3000</v>
      </c>
      <c r="G463" s="60" t="s">
        <v>713</v>
      </c>
      <c r="H463" s="60" t="s">
        <v>568</v>
      </c>
      <c r="I463" s="61"/>
      <c r="J463" s="61" t="s">
        <v>717</v>
      </c>
      <c r="K463" s="61"/>
      <c r="L463" s="73">
        <f t="shared" si="36"/>
        <v>46204</v>
      </c>
      <c r="M463" s="65" t="str">
        <f t="shared" ca="1" si="37"/>
        <v>UYGUN</v>
      </c>
      <c r="N463" s="74" t="str">
        <f>IF($C463="","",IF($C463="TANIMSIZ MÜŞTERİ","—",INDEX(MUSTERILER!$C$7:$C$156,MATCH($C463,MUSTERILER!$B$7:$B$156,0))))</f>
        <v>KRİSTAL LTD.ŞTİ.</v>
      </c>
      <c r="O463" s="2"/>
      <c r="P463" s="2"/>
      <c r="Q463" s="1" t="str">
        <f>IF($D463="","",$C463&amp;"|"&amp;COUNTIFS($C$7:$C463,$C463))</f>
        <v>M020|28</v>
      </c>
      <c r="R463" s="1" t="str">
        <f t="shared" si="38"/>
        <v>KRISTALLTDSTI</v>
      </c>
      <c r="S463" s="1" t="str">
        <f t="shared" si="39"/>
        <v>M020|46228|3000|</v>
      </c>
      <c r="T463" s="1">
        <f>IF($E463="",0,SUMPRODUCT((AY_SONU!$O$7:$O$42="Evet")*(AY_SONU!$B$7:$B$42=DATE(YEAR($E463),MONTH($E463),1))))</f>
        <v>0</v>
      </c>
    </row>
    <row r="464" spans="1:20" ht="18" customHeight="1" x14ac:dyDescent="0.3">
      <c r="A464" s="2"/>
      <c r="B464" s="65" t="str">
        <f t="shared" si="35"/>
        <v>T00458</v>
      </c>
      <c r="C464" s="65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M047</v>
      </c>
      <c r="D464" s="61" t="s">
        <v>649</v>
      </c>
      <c r="E464" s="66">
        <v>46228</v>
      </c>
      <c r="F464" s="67">
        <v>15000</v>
      </c>
      <c r="G464" s="60" t="s">
        <v>713</v>
      </c>
      <c r="H464" s="60" t="s">
        <v>568</v>
      </c>
      <c r="I464" s="61"/>
      <c r="J464" s="61" t="s">
        <v>717</v>
      </c>
      <c r="K464" s="61"/>
      <c r="L464" s="73">
        <f t="shared" si="36"/>
        <v>46204</v>
      </c>
      <c r="M464" s="65" t="str">
        <f t="shared" ca="1" si="37"/>
        <v>UYGUN</v>
      </c>
      <c r="N464" s="74" t="str">
        <f>IF($C464="","",IF($C464="TANIMSIZ MÜŞTERİ","—",INDEX(MUSTERILER!$C$7:$C$156,MATCH($C464,MUSTERILER!$B$7:$B$156,0))))</f>
        <v>PALAOĞULLARI LTD.ŞTİ.</v>
      </c>
      <c r="O464" s="2"/>
      <c r="P464" s="2"/>
      <c r="Q464" s="1" t="str">
        <f>IF($D464="","",$C464&amp;"|"&amp;COUNTIFS($C$7:$C464,$C464))</f>
        <v>M047|19</v>
      </c>
      <c r="R464" s="1" t="str">
        <f t="shared" si="38"/>
        <v>PALAOGULLARILTDSTI</v>
      </c>
      <c r="S464" s="1" t="str">
        <f t="shared" si="39"/>
        <v>M047|46228|15000|</v>
      </c>
      <c r="T464" s="1">
        <f>IF($E464="",0,SUMPRODUCT((AY_SONU!$O$7:$O$42="Evet")*(AY_SONU!$B$7:$B$42=DATE(YEAR($E464),MONTH($E464),1))))</f>
        <v>0</v>
      </c>
    </row>
    <row r="465" spans="1:20" ht="18" customHeight="1" x14ac:dyDescent="0.3">
      <c r="A465" s="2"/>
      <c r="B465" s="65" t="str">
        <f t="shared" si="35"/>
        <v>T00459</v>
      </c>
      <c r="C465" s="65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M001</v>
      </c>
      <c r="D465" s="61" t="s">
        <v>722</v>
      </c>
      <c r="E465" s="66">
        <v>46235</v>
      </c>
      <c r="F465" s="67">
        <v>14000</v>
      </c>
      <c r="G465" s="60" t="s">
        <v>713</v>
      </c>
      <c r="H465" s="60" t="s">
        <v>568</v>
      </c>
      <c r="I465" s="61"/>
      <c r="J465" s="61" t="s">
        <v>717</v>
      </c>
      <c r="K465" s="61"/>
      <c r="L465" s="73">
        <f t="shared" si="36"/>
        <v>46235</v>
      </c>
      <c r="M465" s="65" t="str">
        <f t="shared" ca="1" si="37"/>
        <v>UYGUN</v>
      </c>
      <c r="N465" s="74" t="str">
        <f>IF($C465="","",IF($C465="TANIMSIZ MÜŞTERİ","—",INDEX(MUSTERILER!$C$7:$C$156,MATCH($C465,MUSTERILER!$B$7:$B$156,0))))</f>
        <v>ANKARA HAVANA LTD.ŞTİ.</v>
      </c>
      <c r="O465" s="2"/>
      <c r="P465" s="2"/>
      <c r="Q465" s="1" t="str">
        <f>IF($D465="","",$C465&amp;"|"&amp;COUNTIFS($C$7:$C465,$C465))</f>
        <v>M001|15</v>
      </c>
      <c r="R465" s="1" t="str">
        <f t="shared" si="38"/>
        <v>ANKARAHAVANALTDSTI</v>
      </c>
      <c r="S465" s="1" t="str">
        <f t="shared" si="39"/>
        <v>M001|46235|14000|</v>
      </c>
      <c r="T465" s="1">
        <f>IF($E465="",0,SUMPRODUCT((AY_SONU!$O$7:$O$42="Evet")*(AY_SONU!$B$7:$B$42=DATE(YEAR($E465),MONTH($E465),1))))</f>
        <v>0</v>
      </c>
    </row>
    <row r="466" spans="1:20" ht="18" customHeight="1" x14ac:dyDescent="0.3">
      <c r="A466" s="2"/>
      <c r="B466" s="65" t="str">
        <f t="shared" si="35"/>
        <v>T00460</v>
      </c>
      <c r="C466" s="65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M025</v>
      </c>
      <c r="D466" s="61" t="s">
        <v>579</v>
      </c>
      <c r="E466" s="66">
        <v>46235</v>
      </c>
      <c r="F466" s="67">
        <v>2000</v>
      </c>
      <c r="G466" s="60" t="s">
        <v>713</v>
      </c>
      <c r="H466" s="60" t="s">
        <v>568</v>
      </c>
      <c r="I466" s="61"/>
      <c r="J466" s="61" t="s">
        <v>717</v>
      </c>
      <c r="K466" s="61"/>
      <c r="L466" s="73">
        <f t="shared" si="36"/>
        <v>46235</v>
      </c>
      <c r="M466" s="65" t="str">
        <f t="shared" ca="1" si="37"/>
        <v>UYGUN</v>
      </c>
      <c r="N466" s="74" t="str">
        <f>IF($C466="","",IF($C466="TANIMSIZ MÜŞTERİ","—",INDEX(MUSTERILER!$C$7:$C$156,MATCH($C466,MUSTERILER!$B$7:$B$156,0))))</f>
        <v>ASIM AÇIKGÖZ</v>
      </c>
      <c r="O466" s="2"/>
      <c r="P466" s="2"/>
      <c r="Q466" s="1" t="str">
        <f>IF($D466="","",$C466&amp;"|"&amp;COUNTIFS($C$7:$C466,$C466))</f>
        <v>M025|25</v>
      </c>
      <c r="R466" s="1" t="str">
        <f t="shared" si="38"/>
        <v>ASIMACIKGOZ</v>
      </c>
      <c r="S466" s="1" t="str">
        <f t="shared" si="39"/>
        <v>M025|46235|2000|</v>
      </c>
      <c r="T466" s="1">
        <f>IF($E466="",0,SUMPRODUCT((AY_SONU!$O$7:$O$42="Evet")*(AY_SONU!$B$7:$B$42=DATE(YEAR($E466),MONTH($E466),1))))</f>
        <v>0</v>
      </c>
    </row>
    <row r="467" spans="1:20" ht="18" customHeight="1" x14ac:dyDescent="0.3">
      <c r="A467" s="2"/>
      <c r="B467" s="65" t="str">
        <f t="shared" si="35"/>
        <v>T00461</v>
      </c>
      <c r="C467" s="65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M017</v>
      </c>
      <c r="D467" s="61" t="s">
        <v>581</v>
      </c>
      <c r="E467" s="66">
        <v>46235</v>
      </c>
      <c r="F467" s="67">
        <v>2500</v>
      </c>
      <c r="G467" s="60" t="s">
        <v>713</v>
      </c>
      <c r="H467" s="60" t="s">
        <v>568</v>
      </c>
      <c r="I467" s="61"/>
      <c r="J467" s="61" t="s">
        <v>717</v>
      </c>
      <c r="K467" s="61"/>
      <c r="L467" s="73">
        <f t="shared" si="36"/>
        <v>46235</v>
      </c>
      <c r="M467" s="65" t="str">
        <f t="shared" ca="1" si="37"/>
        <v>UYGUN</v>
      </c>
      <c r="N467" s="74" t="str">
        <f>IF($C467="","",IF($C467="TANIMSIZ MÜŞTERİ","—",INDEX(MUSTERILER!$C$7:$C$156,MATCH($C467,MUSTERILER!$B$7:$B$156,0))))</f>
        <v>ASM EĞLENCE LTD.ŞTİ.</v>
      </c>
      <c r="O467" s="2"/>
      <c r="P467" s="2"/>
      <c r="Q467" s="1" t="str">
        <f>IF($D467="","",$C467&amp;"|"&amp;COUNTIFS($C$7:$C467,$C467))</f>
        <v>M017|25</v>
      </c>
      <c r="R467" s="1" t="str">
        <f t="shared" si="38"/>
        <v>ASMEGLENCELTDSTI</v>
      </c>
      <c r="S467" s="1" t="str">
        <f t="shared" si="39"/>
        <v>M017|46235|2500|</v>
      </c>
      <c r="T467" s="1">
        <f>IF($E467="",0,SUMPRODUCT((AY_SONU!$O$7:$O$42="Evet")*(AY_SONU!$B$7:$B$42=DATE(YEAR($E467),MONTH($E467),1))))</f>
        <v>0</v>
      </c>
    </row>
    <row r="468" spans="1:20" ht="18" customHeight="1" x14ac:dyDescent="0.3">
      <c r="A468" s="2"/>
      <c r="B468" s="65" t="str">
        <f t="shared" si="35"/>
        <v>T00462</v>
      </c>
      <c r="C468" s="65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M011</v>
      </c>
      <c r="D468" s="61" t="s">
        <v>724</v>
      </c>
      <c r="E468" s="66">
        <v>46235</v>
      </c>
      <c r="F468" s="67">
        <v>4000</v>
      </c>
      <c r="G468" s="60" t="s">
        <v>713</v>
      </c>
      <c r="H468" s="60" t="s">
        <v>568</v>
      </c>
      <c r="I468" s="61"/>
      <c r="J468" s="61" t="s">
        <v>717</v>
      </c>
      <c r="K468" s="61"/>
      <c r="L468" s="73">
        <f t="shared" si="36"/>
        <v>46235</v>
      </c>
      <c r="M468" s="65" t="str">
        <f t="shared" ca="1" si="37"/>
        <v>UYGUN</v>
      </c>
      <c r="N468" s="74" t="str">
        <f>IF($C468="","",IF($C468="TANIMSIZ MÜŞTERİ","—",INDEX(MUSTERILER!$C$7:$C$156,MATCH($C468,MUSTERILER!$B$7:$B$156,0))))</f>
        <v>EĞLENGÖR LTD.ŞTİ.</v>
      </c>
      <c r="O468" s="2"/>
      <c r="P468" s="2"/>
      <c r="Q468" s="1" t="str">
        <f>IF($D468="","",$C468&amp;"|"&amp;COUNTIFS($C$7:$C468,$C468))</f>
        <v>M011|29</v>
      </c>
      <c r="R468" s="1" t="str">
        <f t="shared" si="38"/>
        <v>EGLENGORLTDSTI</v>
      </c>
      <c r="S468" s="1" t="str">
        <f t="shared" si="39"/>
        <v>M011|46235|4000|</v>
      </c>
      <c r="T468" s="1">
        <f>IF($E468="",0,SUMPRODUCT((AY_SONU!$O$7:$O$42="Evet")*(AY_SONU!$B$7:$B$42=DATE(YEAR($E468),MONTH($E468),1))))</f>
        <v>0</v>
      </c>
    </row>
    <row r="469" spans="1:20" ht="18" customHeight="1" x14ac:dyDescent="0.3">
      <c r="A469" s="2"/>
      <c r="B469" s="65" t="str">
        <f t="shared" si="35"/>
        <v>T00463</v>
      </c>
      <c r="C469" s="65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M014</v>
      </c>
      <c r="D469" s="61" t="s">
        <v>725</v>
      </c>
      <c r="E469" s="66">
        <v>46235</v>
      </c>
      <c r="F469" s="67">
        <v>4000</v>
      </c>
      <c r="G469" s="60" t="s">
        <v>713</v>
      </c>
      <c r="H469" s="60" t="s">
        <v>568</v>
      </c>
      <c r="I469" s="61"/>
      <c r="J469" s="61" t="s">
        <v>717</v>
      </c>
      <c r="K469" s="61"/>
      <c r="L469" s="73">
        <f t="shared" si="36"/>
        <v>46235</v>
      </c>
      <c r="M469" s="65" t="str">
        <f t="shared" ca="1" si="37"/>
        <v>UYGUN</v>
      </c>
      <c r="N469" s="74" t="str">
        <f>IF($C469="","",IF($C469="TANIMSIZ MÜŞTERİ","—",INDEX(MUSTERILER!$C$7:$C$156,MATCH($C469,MUSTERILER!$B$7:$B$156,0))))</f>
        <v>FİNAL SİYAH BEYAZ LTD.ŞTİ.</v>
      </c>
      <c r="O469" s="2"/>
      <c r="P469" s="2"/>
      <c r="Q469" s="1" t="str">
        <f>IF($D469="","",$C469&amp;"|"&amp;COUNTIFS($C$7:$C469,$C469))</f>
        <v>M014|28</v>
      </c>
      <c r="R469" s="1" t="str">
        <f t="shared" si="38"/>
        <v>FINALSIYAHBEYAZLTDSTI</v>
      </c>
      <c r="S469" s="1" t="str">
        <f t="shared" si="39"/>
        <v>M014|46235|4000|</v>
      </c>
      <c r="T469" s="1">
        <f>IF($E469="",0,SUMPRODUCT((AY_SONU!$O$7:$O$42="Evet")*(AY_SONU!$B$7:$B$42=DATE(YEAR($E469),MONTH($E469),1))))</f>
        <v>0</v>
      </c>
    </row>
    <row r="470" spans="1:20" ht="18" customHeight="1" x14ac:dyDescent="0.3">
      <c r="A470" s="2"/>
      <c r="B470" s="65" t="str">
        <f t="shared" si="35"/>
        <v>T00464</v>
      </c>
      <c r="C470" s="65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M007</v>
      </c>
      <c r="D470" s="61" t="s">
        <v>728</v>
      </c>
      <c r="E470" s="66">
        <v>46235</v>
      </c>
      <c r="F470" s="67">
        <v>3500</v>
      </c>
      <c r="G470" s="60" t="s">
        <v>713</v>
      </c>
      <c r="H470" s="60" t="s">
        <v>568</v>
      </c>
      <c r="I470" s="61"/>
      <c r="J470" s="61" t="s">
        <v>717</v>
      </c>
      <c r="K470" s="61"/>
      <c r="L470" s="73">
        <f t="shared" si="36"/>
        <v>46235</v>
      </c>
      <c r="M470" s="65" t="str">
        <f t="shared" ca="1" si="37"/>
        <v>UYGUN</v>
      </c>
      <c r="N470" s="74" t="str">
        <f>IF($C470="","",IF($C470="TANIMSIZ MÜŞTERİ","—",INDEX(MUSTERILER!$C$7:$C$156,MATCH($C470,MUSTERILER!$B$7:$B$156,0))))</f>
        <v>MONAMOUR LTD.ŞTİ.</v>
      </c>
      <c r="O470" s="2"/>
      <c r="P470" s="2"/>
      <c r="Q470" s="1" t="str">
        <f>IF($D470="","",$C470&amp;"|"&amp;COUNTIFS($C$7:$C470,$C470))</f>
        <v>M007|21</v>
      </c>
      <c r="R470" s="1" t="str">
        <f t="shared" si="38"/>
        <v>MONAMOURLTDSTI</v>
      </c>
      <c r="S470" s="1" t="str">
        <f t="shared" si="39"/>
        <v>M007|46235|3500|</v>
      </c>
      <c r="T470" s="1">
        <f>IF($E470="",0,SUMPRODUCT((AY_SONU!$O$7:$O$42="Evet")*(AY_SONU!$B$7:$B$42=DATE(YEAR($E470),MONTH($E470),1))))</f>
        <v>0</v>
      </c>
    </row>
    <row r="471" spans="1:20" ht="18" customHeight="1" x14ac:dyDescent="0.3">
      <c r="A471" s="2"/>
      <c r="B471" s="65" t="str">
        <f t="shared" si="35"/>
        <v>T00465</v>
      </c>
      <c r="C471" s="65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M013</v>
      </c>
      <c r="D471" s="61" t="s">
        <v>729</v>
      </c>
      <c r="E471" s="66">
        <v>46235</v>
      </c>
      <c r="F471" s="67">
        <v>2000</v>
      </c>
      <c r="G471" s="60" t="s">
        <v>713</v>
      </c>
      <c r="H471" s="60" t="s">
        <v>568</v>
      </c>
      <c r="I471" s="61"/>
      <c r="J471" s="61" t="s">
        <v>717</v>
      </c>
      <c r="K471" s="61"/>
      <c r="L471" s="73">
        <f t="shared" si="36"/>
        <v>46235</v>
      </c>
      <c r="M471" s="65" t="str">
        <f t="shared" ca="1" si="37"/>
        <v>UYGUN</v>
      </c>
      <c r="N471" s="74" t="str">
        <f>IF($C471="","",IF($C471="TANIMSIZ MÜŞTERİ","—",INDEX(MUSTERILER!$C$7:$C$156,MATCH($C471,MUSTERILER!$B$7:$B$156,0))))</f>
        <v>NAZ 1 GIDA LTD.ŞTİ.</v>
      </c>
      <c r="O471" s="2"/>
      <c r="P471" s="2"/>
      <c r="Q471" s="1" t="str">
        <f>IF($D471="","",$C471&amp;"|"&amp;COUNTIFS($C$7:$C471,$C471))</f>
        <v>M013|21</v>
      </c>
      <c r="R471" s="1" t="str">
        <f t="shared" si="38"/>
        <v>NAZ1GIDALTDSTI</v>
      </c>
      <c r="S471" s="1" t="str">
        <f t="shared" si="39"/>
        <v>M013|46235|2000|</v>
      </c>
      <c r="T471" s="1">
        <f>IF($E471="",0,SUMPRODUCT((AY_SONU!$O$7:$O$42="Evet")*(AY_SONU!$B$7:$B$42=DATE(YEAR($E471),MONTH($E471),1))))</f>
        <v>0</v>
      </c>
    </row>
    <row r="472" spans="1:20" ht="18" customHeight="1" x14ac:dyDescent="0.3">
      <c r="A472" s="2"/>
      <c r="B472" s="65" t="str">
        <f t="shared" si="35"/>
        <v>T00466</v>
      </c>
      <c r="C472" s="65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M009</v>
      </c>
      <c r="D472" s="61" t="s">
        <v>730</v>
      </c>
      <c r="E472" s="66">
        <v>46235</v>
      </c>
      <c r="F472" s="67">
        <v>4000</v>
      </c>
      <c r="G472" s="60" t="s">
        <v>713</v>
      </c>
      <c r="H472" s="60" t="s">
        <v>568</v>
      </c>
      <c r="I472" s="61"/>
      <c r="J472" s="61" t="s">
        <v>717</v>
      </c>
      <c r="K472" s="61"/>
      <c r="L472" s="73">
        <f t="shared" si="36"/>
        <v>46235</v>
      </c>
      <c r="M472" s="65" t="str">
        <f t="shared" ca="1" si="37"/>
        <v>UYGUN</v>
      </c>
      <c r="N472" s="74" t="str">
        <f>IF($C472="","",IF($C472="TANIMSIZ MÜŞTERİ","—",INDEX(MUSTERILER!$C$7:$C$156,MATCH($C472,MUSTERILER!$B$7:$B$156,0))))</f>
        <v>PAKYILDIZ LTD.ŞTİ.</v>
      </c>
      <c r="O472" s="2"/>
      <c r="P472" s="2"/>
      <c r="Q472" s="1" t="str">
        <f>IF($D472="","",$C472&amp;"|"&amp;COUNTIFS($C$7:$C472,$C472))</f>
        <v>M009|26</v>
      </c>
      <c r="R472" s="1" t="str">
        <f t="shared" si="38"/>
        <v>PAKYILDIZLTDSTI</v>
      </c>
      <c r="S472" s="1" t="str">
        <f t="shared" si="39"/>
        <v>M009|46235|4000|</v>
      </c>
      <c r="T472" s="1">
        <f>IF($E472="",0,SUMPRODUCT((AY_SONU!$O$7:$O$42="Evet")*(AY_SONU!$B$7:$B$42=DATE(YEAR($E472),MONTH($E472),1))))</f>
        <v>0</v>
      </c>
    </row>
    <row r="473" spans="1:20" ht="18" customHeight="1" x14ac:dyDescent="0.3">
      <c r="A473" s="2"/>
      <c r="B473" s="65" t="str">
        <f t="shared" si="35"/>
        <v>T00467</v>
      </c>
      <c r="C473" s="65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M016</v>
      </c>
      <c r="D473" s="61" t="s">
        <v>731</v>
      </c>
      <c r="E473" s="66">
        <v>46235</v>
      </c>
      <c r="F473" s="67">
        <v>3000</v>
      </c>
      <c r="G473" s="60" t="s">
        <v>713</v>
      </c>
      <c r="H473" s="60" t="s">
        <v>568</v>
      </c>
      <c r="I473" s="61"/>
      <c r="J473" s="61" t="s">
        <v>717</v>
      </c>
      <c r="K473" s="61"/>
      <c r="L473" s="73">
        <f t="shared" si="36"/>
        <v>46235</v>
      </c>
      <c r="M473" s="65" t="str">
        <f t="shared" ca="1" si="37"/>
        <v>UYGUN</v>
      </c>
      <c r="N473" s="74" t="str">
        <f>IF($C473="","",IF($C473="TANIMSIZ MÜŞTERİ","—",INDEX(MUSTERILER!$C$7:$C$156,MATCH($C473,MUSTERILER!$B$7:$B$156,0))))</f>
        <v>RİX ŞOW LTD.ŞTİ.</v>
      </c>
      <c r="O473" s="2"/>
      <c r="P473" s="2"/>
      <c r="Q473" s="1" t="str">
        <f>IF($D473="","",$C473&amp;"|"&amp;COUNTIFS($C$7:$C473,$C473))</f>
        <v>M016|28</v>
      </c>
      <c r="R473" s="1" t="str">
        <f t="shared" si="38"/>
        <v>RIXSOWLTDSTI</v>
      </c>
      <c r="S473" s="1" t="str">
        <f t="shared" si="39"/>
        <v>M016|46235|3000|</v>
      </c>
      <c r="T473" s="1">
        <f>IF($E473="",0,SUMPRODUCT((AY_SONU!$O$7:$O$42="Evet")*(AY_SONU!$B$7:$B$42=DATE(YEAR($E473),MONTH($E473),1))))</f>
        <v>0</v>
      </c>
    </row>
    <row r="474" spans="1:20" ht="18" customHeight="1" x14ac:dyDescent="0.3">
      <c r="A474" s="2"/>
      <c r="B474" s="65" t="str">
        <f t="shared" si="35"/>
        <v>T00468</v>
      </c>
      <c r="C474" s="65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M054</v>
      </c>
      <c r="D474" s="61" t="s">
        <v>669</v>
      </c>
      <c r="E474" s="66">
        <v>46235</v>
      </c>
      <c r="F474" s="67">
        <v>5000</v>
      </c>
      <c r="G474" s="60" t="s">
        <v>713</v>
      </c>
      <c r="H474" s="60" t="s">
        <v>568</v>
      </c>
      <c r="I474" s="61"/>
      <c r="J474" s="61" t="s">
        <v>738</v>
      </c>
      <c r="K474" s="61"/>
      <c r="L474" s="73">
        <f t="shared" si="36"/>
        <v>46235</v>
      </c>
      <c r="M474" s="65" t="str">
        <f t="shared" ca="1" si="37"/>
        <v>UYGUN</v>
      </c>
      <c r="N474" s="74" t="str">
        <f>IF($C474="","",IF($C474="TANIMSIZ MÜŞTERİ","—",INDEX(MUSTERILER!$C$7:$C$156,MATCH($C474,MUSTERILER!$B$7:$B$156,0))))</f>
        <v>YALIKENT LTD.ŞTİ.</v>
      </c>
      <c r="O474" s="2"/>
      <c r="P474" s="2"/>
      <c r="Q474" s="1" t="str">
        <f>IF($D474="","",$C474&amp;"|"&amp;COUNTIFS($C$7:$C474,$C474))</f>
        <v>M054|20</v>
      </c>
      <c r="R474" s="1" t="str">
        <f t="shared" si="38"/>
        <v>YALIKENTLTDSTI</v>
      </c>
      <c r="S474" s="1" t="str">
        <f t="shared" si="39"/>
        <v>M054|46235|5000|</v>
      </c>
      <c r="T474" s="1">
        <f>IF($E474="",0,SUMPRODUCT((AY_SONU!$O$7:$O$42="Evet")*(AY_SONU!$B$7:$B$42=DATE(YEAR($E474),MONTH($E474),1))))</f>
        <v>0</v>
      </c>
    </row>
    <row r="475" spans="1:20" ht="18" customHeight="1" x14ac:dyDescent="0.3">
      <c r="A475" s="2"/>
      <c r="B475" s="65" t="str">
        <f t="shared" si="35"/>
        <v>T00469</v>
      </c>
      <c r="C475" s="65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M005</v>
      </c>
      <c r="D475" s="61" t="s">
        <v>732</v>
      </c>
      <c r="E475" s="66">
        <v>46235</v>
      </c>
      <c r="F475" s="67">
        <v>1750</v>
      </c>
      <c r="G475" s="60" t="s">
        <v>713</v>
      </c>
      <c r="H475" s="60" t="s">
        <v>568</v>
      </c>
      <c r="I475" s="61"/>
      <c r="J475" s="61" t="s">
        <v>717</v>
      </c>
      <c r="K475" s="61"/>
      <c r="L475" s="73">
        <f t="shared" si="36"/>
        <v>46235</v>
      </c>
      <c r="M475" s="65" t="str">
        <f t="shared" ca="1" si="37"/>
        <v>UYGUN</v>
      </c>
      <c r="N475" s="74" t="str">
        <f>IF($C475="","",IF($C475="TANIMSIZ MÜŞTERİ","—",INDEX(MUSTERILER!$C$7:$C$156,MATCH($C475,MUSTERILER!$B$7:$B$156,0))))</f>
        <v>ZÜMRÜT GRUP LTD.ŞTİ.</v>
      </c>
      <c r="O475" s="2"/>
      <c r="P475" s="2"/>
      <c r="Q475" s="1" t="str">
        <f>IF($D475="","",$C475&amp;"|"&amp;COUNTIFS($C$7:$C475,$C475))</f>
        <v>M005|21</v>
      </c>
      <c r="R475" s="1" t="str">
        <f t="shared" si="38"/>
        <v>ZUMRUTGRUPLTDSTI</v>
      </c>
      <c r="S475" s="1" t="str">
        <f t="shared" si="39"/>
        <v>M005|46235|1750|</v>
      </c>
      <c r="T475" s="1">
        <f>IF($E475="",0,SUMPRODUCT((AY_SONU!$O$7:$O$42="Evet")*(AY_SONU!$B$7:$B$42=DATE(YEAR($E475),MONTH($E475),1))))</f>
        <v>0</v>
      </c>
    </row>
    <row r="476" spans="1:20" ht="18" customHeight="1" x14ac:dyDescent="0.3">
      <c r="A476" s="2"/>
      <c r="B476" s="65" t="str">
        <f t="shared" si="35"/>
        <v>T00470</v>
      </c>
      <c r="C476" s="65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M018</v>
      </c>
      <c r="D476" s="61" t="s">
        <v>589</v>
      </c>
      <c r="E476" s="66">
        <v>46235</v>
      </c>
      <c r="F476" s="67">
        <v>4000</v>
      </c>
      <c r="G476" s="60" t="s">
        <v>713</v>
      </c>
      <c r="H476" s="60" t="s">
        <v>568</v>
      </c>
      <c r="I476" s="61"/>
      <c r="J476" s="61" t="s">
        <v>717</v>
      </c>
      <c r="K476" s="61"/>
      <c r="L476" s="73">
        <f t="shared" si="36"/>
        <v>46235</v>
      </c>
      <c r="M476" s="65" t="str">
        <f t="shared" ca="1" si="37"/>
        <v>UYGUN</v>
      </c>
      <c r="N476" s="74" t="str">
        <f>IF($C476="","",IF($C476="TANIMSIZ MÜŞTERİ","—",INDEX(MUSTERILER!$C$7:$C$156,MATCH($C476,MUSTERILER!$B$7:$B$156,0))))</f>
        <v>ÇINARHAN LTD.ŞTİ.</v>
      </c>
      <c r="O476" s="2"/>
      <c r="P476" s="2"/>
      <c r="Q476" s="1" t="str">
        <f>IF($D476="","",$C476&amp;"|"&amp;COUNTIFS($C$7:$C476,$C476))</f>
        <v>M018|19</v>
      </c>
      <c r="R476" s="1" t="str">
        <f t="shared" si="38"/>
        <v>CINARHANLTDSTI</v>
      </c>
      <c r="S476" s="1" t="str">
        <f t="shared" si="39"/>
        <v>M018|46235|4000|</v>
      </c>
      <c r="T476" s="1">
        <f>IF($E476="",0,SUMPRODUCT((AY_SONU!$O$7:$O$42="Evet")*(AY_SONU!$B$7:$B$42=DATE(YEAR($E476),MONTH($E476),1))))</f>
        <v>0</v>
      </c>
    </row>
    <row r="477" spans="1:20" ht="18" customHeight="1" x14ac:dyDescent="0.3">
      <c r="A477" s="2"/>
      <c r="B477" s="65" t="str">
        <f t="shared" si="35"/>
        <v>T00471</v>
      </c>
      <c r="C477" s="65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M018</v>
      </c>
      <c r="D477" s="61" t="s">
        <v>589</v>
      </c>
      <c r="E477" s="66">
        <v>46235</v>
      </c>
      <c r="F477" s="67">
        <v>4500</v>
      </c>
      <c r="G477" s="60" t="s">
        <v>713</v>
      </c>
      <c r="H477" s="60" t="s">
        <v>568</v>
      </c>
      <c r="I477" s="61"/>
      <c r="J477" s="61" t="s">
        <v>717</v>
      </c>
      <c r="K477" s="61"/>
      <c r="L477" s="73">
        <f t="shared" si="36"/>
        <v>46235</v>
      </c>
      <c r="M477" s="65" t="str">
        <f t="shared" ca="1" si="37"/>
        <v>UYGUN</v>
      </c>
      <c r="N477" s="74" t="str">
        <f>IF($C477="","",IF($C477="TANIMSIZ MÜŞTERİ","—",INDEX(MUSTERILER!$C$7:$C$156,MATCH($C477,MUSTERILER!$B$7:$B$156,0))))</f>
        <v>ÇINARHAN LTD.ŞTİ.</v>
      </c>
      <c r="O477" s="2"/>
      <c r="P477" s="2"/>
      <c r="Q477" s="1" t="str">
        <f>IF($D477="","",$C477&amp;"|"&amp;COUNTIFS($C$7:$C477,$C477))</f>
        <v>M018|20</v>
      </c>
      <c r="R477" s="1" t="str">
        <f t="shared" si="38"/>
        <v>CINARHANLTDSTI</v>
      </c>
      <c r="S477" s="1" t="str">
        <f t="shared" si="39"/>
        <v>M018|46235|4500|</v>
      </c>
      <c r="T477" s="1">
        <f>IF($E477="",0,SUMPRODUCT((AY_SONU!$O$7:$O$42="Evet")*(AY_SONU!$B$7:$B$42=DATE(YEAR($E477),MONTH($E477),1))))</f>
        <v>0</v>
      </c>
    </row>
    <row r="478" spans="1:20" ht="18" customHeight="1" x14ac:dyDescent="0.3">
      <c r="A478" s="2"/>
      <c r="B478" s="65" t="str">
        <f t="shared" si="35"/>
        <v>T00472</v>
      </c>
      <c r="C478" s="65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M020</v>
      </c>
      <c r="D478" s="61" t="s">
        <v>619</v>
      </c>
      <c r="E478" s="66">
        <v>46235</v>
      </c>
      <c r="F478" s="67">
        <v>2000</v>
      </c>
      <c r="G478" s="60" t="s">
        <v>713</v>
      </c>
      <c r="H478" s="60" t="s">
        <v>568</v>
      </c>
      <c r="I478" s="61"/>
      <c r="J478" s="61" t="s">
        <v>717</v>
      </c>
      <c r="K478" s="61"/>
      <c r="L478" s="73">
        <f t="shared" si="36"/>
        <v>46235</v>
      </c>
      <c r="M478" s="65" t="str">
        <f t="shared" ca="1" si="37"/>
        <v>UYGUN</v>
      </c>
      <c r="N478" s="74" t="str">
        <f>IF($C478="","",IF($C478="TANIMSIZ MÜŞTERİ","—",INDEX(MUSTERILER!$C$7:$C$156,MATCH($C478,MUSTERILER!$B$7:$B$156,0))))</f>
        <v>KRİSTAL LTD.ŞTİ.</v>
      </c>
      <c r="O478" s="2"/>
      <c r="P478" s="2"/>
      <c r="Q478" s="1" t="str">
        <f>IF($D478="","",$C478&amp;"|"&amp;COUNTIFS($C$7:$C478,$C478))</f>
        <v>M020|29</v>
      </c>
      <c r="R478" s="1" t="str">
        <f t="shared" si="38"/>
        <v>KRISTALLTDSTI</v>
      </c>
      <c r="S478" s="1" t="str">
        <f t="shared" si="39"/>
        <v>M020|46235|2000|</v>
      </c>
      <c r="T478" s="1">
        <f>IF($E478="",0,SUMPRODUCT((AY_SONU!$O$7:$O$42="Evet")*(AY_SONU!$B$7:$B$42=DATE(YEAR($E478),MONTH($E478),1))))</f>
        <v>0</v>
      </c>
    </row>
    <row r="479" spans="1:20" ht="18" customHeight="1" x14ac:dyDescent="0.3">
      <c r="A479" s="2"/>
      <c r="B479" s="65" t="str">
        <f t="shared" si="35"/>
        <v>T00473</v>
      </c>
      <c r="C479" s="65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M025</v>
      </c>
      <c r="D479" s="61" t="s">
        <v>579</v>
      </c>
      <c r="E479" s="66">
        <v>46243</v>
      </c>
      <c r="F479" s="67">
        <v>2000</v>
      </c>
      <c r="G479" s="60" t="s">
        <v>713</v>
      </c>
      <c r="H479" s="60" t="s">
        <v>568</v>
      </c>
      <c r="I479" s="61"/>
      <c r="J479" s="61" t="s">
        <v>717</v>
      </c>
      <c r="K479" s="61"/>
      <c r="L479" s="73">
        <f t="shared" si="36"/>
        <v>46235</v>
      </c>
      <c r="M479" s="65" t="str">
        <f t="shared" ca="1" si="37"/>
        <v>UYGUN</v>
      </c>
      <c r="N479" s="74" t="str">
        <f>IF($C479="","",IF($C479="TANIMSIZ MÜŞTERİ","—",INDEX(MUSTERILER!$C$7:$C$156,MATCH($C479,MUSTERILER!$B$7:$B$156,0))))</f>
        <v>ASIM AÇIKGÖZ</v>
      </c>
      <c r="O479" s="2"/>
      <c r="P479" s="2"/>
      <c r="Q479" s="1" t="str">
        <f>IF($D479="","",$C479&amp;"|"&amp;COUNTIFS($C$7:$C479,$C479))</f>
        <v>M025|26</v>
      </c>
      <c r="R479" s="1" t="str">
        <f t="shared" si="38"/>
        <v>ASIMACIKGOZ</v>
      </c>
      <c r="S479" s="1" t="str">
        <f t="shared" si="39"/>
        <v>M025|46243|2000|</v>
      </c>
      <c r="T479" s="1">
        <f>IF($E479="",0,SUMPRODUCT((AY_SONU!$O$7:$O$42="Evet")*(AY_SONU!$B$7:$B$42=DATE(YEAR($E479),MONTH($E479),1))))</f>
        <v>0</v>
      </c>
    </row>
    <row r="480" spans="1:20" ht="18" customHeight="1" x14ac:dyDescent="0.3">
      <c r="A480" s="2"/>
      <c r="B480" s="65" t="str">
        <f t="shared" si="35"/>
        <v>T00474</v>
      </c>
      <c r="C480" s="65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M017</v>
      </c>
      <c r="D480" s="61" t="s">
        <v>581</v>
      </c>
      <c r="E480" s="66">
        <v>46243</v>
      </c>
      <c r="F480" s="67">
        <v>2500</v>
      </c>
      <c r="G480" s="60" t="s">
        <v>713</v>
      </c>
      <c r="H480" s="60" t="s">
        <v>568</v>
      </c>
      <c r="I480" s="61"/>
      <c r="J480" s="61" t="s">
        <v>717</v>
      </c>
      <c r="K480" s="61"/>
      <c r="L480" s="73">
        <f t="shared" si="36"/>
        <v>46235</v>
      </c>
      <c r="M480" s="65" t="str">
        <f t="shared" ca="1" si="37"/>
        <v>UYGUN</v>
      </c>
      <c r="N480" s="74" t="str">
        <f>IF($C480="","",IF($C480="TANIMSIZ MÜŞTERİ","—",INDEX(MUSTERILER!$C$7:$C$156,MATCH($C480,MUSTERILER!$B$7:$B$156,0))))</f>
        <v>ASM EĞLENCE LTD.ŞTİ.</v>
      </c>
      <c r="O480" s="2"/>
      <c r="P480" s="2"/>
      <c r="Q480" s="1" t="str">
        <f>IF($D480="","",$C480&amp;"|"&amp;COUNTIFS($C$7:$C480,$C480))</f>
        <v>M017|26</v>
      </c>
      <c r="R480" s="1" t="str">
        <f t="shared" si="38"/>
        <v>ASMEGLENCELTDSTI</v>
      </c>
      <c r="S480" s="1" t="str">
        <f t="shared" si="39"/>
        <v>M017|46243|2500|</v>
      </c>
      <c r="T480" s="1">
        <f>IF($E480="",0,SUMPRODUCT((AY_SONU!$O$7:$O$42="Evet")*(AY_SONU!$B$7:$B$42=DATE(YEAR($E480),MONTH($E480),1))))</f>
        <v>0</v>
      </c>
    </row>
    <row r="481" spans="1:20" ht="18" customHeight="1" x14ac:dyDescent="0.3">
      <c r="A481" s="2"/>
      <c r="B481" s="65" t="str">
        <f t="shared" si="35"/>
        <v>T00475</v>
      </c>
      <c r="C481" s="65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M015</v>
      </c>
      <c r="D481" s="61" t="s">
        <v>723</v>
      </c>
      <c r="E481" s="66">
        <v>46243</v>
      </c>
      <c r="F481" s="67">
        <v>3000</v>
      </c>
      <c r="G481" s="60" t="s">
        <v>713</v>
      </c>
      <c r="H481" s="60" t="s">
        <v>568</v>
      </c>
      <c r="I481" s="61"/>
      <c r="J481" s="61" t="s">
        <v>717</v>
      </c>
      <c r="K481" s="61"/>
      <c r="L481" s="73">
        <f t="shared" si="36"/>
        <v>46235</v>
      </c>
      <c r="M481" s="65" t="str">
        <f t="shared" ca="1" si="37"/>
        <v>UYGUN</v>
      </c>
      <c r="N481" s="74" t="str">
        <f>IF($C481="","",IF($C481="TANIMSIZ MÜŞTERİ","—",INDEX(MUSTERILER!$C$7:$C$156,MATCH($C481,MUSTERILER!$B$7:$B$156,0))))</f>
        <v>ÇAYIRALAN LTD.ŞTİ.</v>
      </c>
      <c r="O481" s="2"/>
      <c r="P481" s="2"/>
      <c r="Q481" s="1" t="str">
        <f>IF($D481="","",$C481&amp;"|"&amp;COUNTIFS($C$7:$C481,$C481))</f>
        <v>M015|27</v>
      </c>
      <c r="R481" s="1" t="str">
        <f t="shared" si="38"/>
        <v>CAYIRALANLTDSTI</v>
      </c>
      <c r="S481" s="1" t="str">
        <f t="shared" si="39"/>
        <v>M015|46243|3000|</v>
      </c>
      <c r="T481" s="1">
        <f>IF($E481="",0,SUMPRODUCT((AY_SONU!$O$7:$O$42="Evet")*(AY_SONU!$B$7:$B$42=DATE(YEAR($E481),MONTH($E481),1))))</f>
        <v>0</v>
      </c>
    </row>
    <row r="482" spans="1:20" ht="18" customHeight="1" x14ac:dyDescent="0.3">
      <c r="A482" s="2"/>
      <c r="B482" s="65" t="str">
        <f t="shared" si="35"/>
        <v>T00476</v>
      </c>
      <c r="C482" s="65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M011</v>
      </c>
      <c r="D482" s="61" t="s">
        <v>724</v>
      </c>
      <c r="E482" s="66">
        <v>46243</v>
      </c>
      <c r="F482" s="67">
        <v>4000</v>
      </c>
      <c r="G482" s="60" t="s">
        <v>713</v>
      </c>
      <c r="H482" s="60" t="s">
        <v>568</v>
      </c>
      <c r="I482" s="61"/>
      <c r="J482" s="61" t="s">
        <v>717</v>
      </c>
      <c r="K482" s="61"/>
      <c r="L482" s="73">
        <f t="shared" si="36"/>
        <v>46235</v>
      </c>
      <c r="M482" s="65" t="str">
        <f t="shared" ca="1" si="37"/>
        <v>UYGUN</v>
      </c>
      <c r="N482" s="74" t="str">
        <f>IF($C482="","",IF($C482="TANIMSIZ MÜŞTERİ","—",INDEX(MUSTERILER!$C$7:$C$156,MATCH($C482,MUSTERILER!$B$7:$B$156,0))))</f>
        <v>EĞLENGÖR LTD.ŞTİ.</v>
      </c>
      <c r="O482" s="2"/>
      <c r="P482" s="2"/>
      <c r="Q482" s="1" t="str">
        <f>IF($D482="","",$C482&amp;"|"&amp;COUNTIFS($C$7:$C482,$C482))</f>
        <v>M011|30</v>
      </c>
      <c r="R482" s="1" t="str">
        <f t="shared" si="38"/>
        <v>EGLENGORLTDSTI</v>
      </c>
      <c r="S482" s="1" t="str">
        <f t="shared" si="39"/>
        <v>M011|46243|4000|</v>
      </c>
      <c r="T482" s="1">
        <f>IF($E482="",0,SUMPRODUCT((AY_SONU!$O$7:$O$42="Evet")*(AY_SONU!$B$7:$B$42=DATE(YEAR($E482),MONTH($E482),1))))</f>
        <v>0</v>
      </c>
    </row>
    <row r="483" spans="1:20" ht="18" customHeight="1" x14ac:dyDescent="0.3">
      <c r="A483" s="2"/>
      <c r="B483" s="65" t="str">
        <f t="shared" si="35"/>
        <v>T00477</v>
      </c>
      <c r="C483" s="65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M012</v>
      </c>
      <c r="D483" s="61" t="s">
        <v>727</v>
      </c>
      <c r="E483" s="66">
        <v>46243</v>
      </c>
      <c r="F483" s="67">
        <v>7000</v>
      </c>
      <c r="G483" s="60" t="s">
        <v>713</v>
      </c>
      <c r="H483" s="60" t="s">
        <v>568</v>
      </c>
      <c r="I483" s="61"/>
      <c r="J483" s="61" t="s">
        <v>717</v>
      </c>
      <c r="K483" s="61"/>
      <c r="L483" s="73">
        <f t="shared" si="36"/>
        <v>46235</v>
      </c>
      <c r="M483" s="65" t="str">
        <f t="shared" ca="1" si="37"/>
        <v>UYGUN</v>
      </c>
      <c r="N483" s="74" t="str">
        <f>IF($C483="","",IF($C483="TANIMSIZ MÜŞTERİ","—",INDEX(MUSTERILER!$C$7:$C$156,MATCH($C483,MUSTERILER!$B$7:$B$156,0))))</f>
        <v>İLDEŞ LTD.ŞTİ.</v>
      </c>
      <c r="O483" s="2"/>
      <c r="P483" s="2"/>
      <c r="Q483" s="1" t="str">
        <f>IF($D483="","",$C483&amp;"|"&amp;COUNTIFS($C$7:$C483,$C483))</f>
        <v>M012|27</v>
      </c>
      <c r="R483" s="1" t="str">
        <f t="shared" si="38"/>
        <v>ILDESLTDSTI</v>
      </c>
      <c r="S483" s="1" t="str">
        <f t="shared" si="39"/>
        <v>M012|46243|7000|</v>
      </c>
      <c r="T483" s="1">
        <f>IF($E483="",0,SUMPRODUCT((AY_SONU!$O$7:$O$42="Evet")*(AY_SONU!$B$7:$B$42=DATE(YEAR($E483),MONTH($E483),1))))</f>
        <v>0</v>
      </c>
    </row>
    <row r="484" spans="1:20" ht="18" customHeight="1" x14ac:dyDescent="0.3">
      <c r="A484" s="2"/>
      <c r="B484" s="65" t="str">
        <f t="shared" si="35"/>
        <v>T00478</v>
      </c>
      <c r="C484" s="65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M009</v>
      </c>
      <c r="D484" s="61" t="s">
        <v>730</v>
      </c>
      <c r="E484" s="66">
        <v>46243</v>
      </c>
      <c r="F484" s="67">
        <v>8000</v>
      </c>
      <c r="G484" s="60" t="s">
        <v>713</v>
      </c>
      <c r="H484" s="60" t="s">
        <v>568</v>
      </c>
      <c r="I484" s="61"/>
      <c r="J484" s="61" t="s">
        <v>717</v>
      </c>
      <c r="K484" s="61"/>
      <c r="L484" s="73">
        <f t="shared" si="36"/>
        <v>46235</v>
      </c>
      <c r="M484" s="65" t="str">
        <f t="shared" ca="1" si="37"/>
        <v>UYGUN</v>
      </c>
      <c r="N484" s="74" t="str">
        <f>IF($C484="","",IF($C484="TANIMSIZ MÜŞTERİ","—",INDEX(MUSTERILER!$C$7:$C$156,MATCH($C484,MUSTERILER!$B$7:$B$156,0))))</f>
        <v>PAKYILDIZ LTD.ŞTİ.</v>
      </c>
      <c r="O484" s="2"/>
      <c r="P484" s="2"/>
      <c r="Q484" s="1" t="str">
        <f>IF($D484="","",$C484&amp;"|"&amp;COUNTIFS($C$7:$C484,$C484))</f>
        <v>M009|27</v>
      </c>
      <c r="R484" s="1" t="str">
        <f t="shared" si="38"/>
        <v>PAKYILDIZLTDSTI</v>
      </c>
      <c r="S484" s="1" t="str">
        <f t="shared" si="39"/>
        <v>M009|46243|8000|</v>
      </c>
      <c r="T484" s="1">
        <f>IF($E484="",0,SUMPRODUCT((AY_SONU!$O$7:$O$42="Evet")*(AY_SONU!$B$7:$B$42=DATE(YEAR($E484),MONTH($E484),1))))</f>
        <v>0</v>
      </c>
    </row>
    <row r="485" spans="1:20" ht="18" customHeight="1" x14ac:dyDescent="0.3">
      <c r="A485" s="2"/>
      <c r="B485" s="65" t="str">
        <f t="shared" si="35"/>
        <v>T00479</v>
      </c>
      <c r="C485" s="65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M047</v>
      </c>
      <c r="D485" s="61" t="s">
        <v>649</v>
      </c>
      <c r="E485" s="66">
        <v>46243</v>
      </c>
      <c r="F485" s="67">
        <v>9400</v>
      </c>
      <c r="G485" s="60" t="s">
        <v>713</v>
      </c>
      <c r="H485" s="60" t="s">
        <v>568</v>
      </c>
      <c r="I485" s="61"/>
      <c r="J485" s="61" t="s">
        <v>739</v>
      </c>
      <c r="K485" s="61"/>
      <c r="L485" s="73">
        <f t="shared" si="36"/>
        <v>46235</v>
      </c>
      <c r="M485" s="65" t="str">
        <f t="shared" ca="1" si="37"/>
        <v>UYGUN</v>
      </c>
      <c r="N485" s="74" t="str">
        <f>IF($C485="","",IF($C485="TANIMSIZ MÜŞTERİ","—",INDEX(MUSTERILER!$C$7:$C$156,MATCH($C485,MUSTERILER!$B$7:$B$156,0))))</f>
        <v>PALAOĞULLARI LTD.ŞTİ.</v>
      </c>
      <c r="O485" s="2"/>
      <c r="P485" s="2"/>
      <c r="Q485" s="1" t="str">
        <f>IF($D485="","",$C485&amp;"|"&amp;COUNTIFS($C$7:$C485,$C485))</f>
        <v>M047|20</v>
      </c>
      <c r="R485" s="1" t="str">
        <f t="shared" si="38"/>
        <v>PALAOGULLARILTDSTI</v>
      </c>
      <c r="S485" s="1" t="str">
        <f t="shared" si="39"/>
        <v>M047|46243|9400|</v>
      </c>
      <c r="T485" s="1">
        <f>IF($E485="",0,SUMPRODUCT((AY_SONU!$O$7:$O$42="Evet")*(AY_SONU!$B$7:$B$42=DATE(YEAR($E485),MONTH($E485),1))))</f>
        <v>0</v>
      </c>
    </row>
    <row r="486" spans="1:20" ht="18" customHeight="1" x14ac:dyDescent="0.3">
      <c r="A486" s="2"/>
      <c r="B486" s="65" t="str">
        <f t="shared" si="35"/>
        <v>T00480</v>
      </c>
      <c r="C486" s="65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M020</v>
      </c>
      <c r="D486" s="61" t="s">
        <v>619</v>
      </c>
      <c r="E486" s="66">
        <v>46243</v>
      </c>
      <c r="F486" s="67">
        <v>3000</v>
      </c>
      <c r="G486" s="60" t="s">
        <v>713</v>
      </c>
      <c r="H486" s="60" t="s">
        <v>568</v>
      </c>
      <c r="I486" s="61"/>
      <c r="J486" s="61" t="s">
        <v>717</v>
      </c>
      <c r="K486" s="61"/>
      <c r="L486" s="73">
        <f t="shared" si="36"/>
        <v>46235</v>
      </c>
      <c r="M486" s="65" t="str">
        <f t="shared" ca="1" si="37"/>
        <v>UYGUN</v>
      </c>
      <c r="N486" s="74" t="str">
        <f>IF($C486="","",IF($C486="TANIMSIZ MÜŞTERİ","—",INDEX(MUSTERILER!$C$7:$C$156,MATCH($C486,MUSTERILER!$B$7:$B$156,0))))</f>
        <v>KRİSTAL LTD.ŞTİ.</v>
      </c>
      <c r="O486" s="2"/>
      <c r="P486" s="2"/>
      <c r="Q486" s="1" t="str">
        <f>IF($D486="","",$C486&amp;"|"&amp;COUNTIFS($C$7:$C486,$C486))</f>
        <v>M020|30</v>
      </c>
      <c r="R486" s="1" t="str">
        <f t="shared" si="38"/>
        <v>KRISTALLTDSTI</v>
      </c>
      <c r="S486" s="1" t="str">
        <f t="shared" si="39"/>
        <v>M020|46243|3000|</v>
      </c>
      <c r="T486" s="1">
        <f>IF($E486="",0,SUMPRODUCT((AY_SONU!$O$7:$O$42="Evet")*(AY_SONU!$B$7:$B$42=DATE(YEAR($E486),MONTH($E486),1))))</f>
        <v>0</v>
      </c>
    </row>
    <row r="487" spans="1:20" ht="18" customHeight="1" x14ac:dyDescent="0.3">
      <c r="A487" s="2"/>
      <c r="B487" s="65" t="str">
        <f t="shared" si="35"/>
        <v>T00481</v>
      </c>
      <c r="C487" s="65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M049</v>
      </c>
      <c r="D487" s="61" t="s">
        <v>657</v>
      </c>
      <c r="E487" s="66">
        <v>46243</v>
      </c>
      <c r="F487" s="67">
        <v>6000</v>
      </c>
      <c r="G487" s="60" t="s">
        <v>713</v>
      </c>
      <c r="H487" s="60" t="s">
        <v>568</v>
      </c>
      <c r="I487" s="61"/>
      <c r="J487" s="61" t="s">
        <v>717</v>
      </c>
      <c r="K487" s="61"/>
      <c r="L487" s="73">
        <f t="shared" si="36"/>
        <v>46235</v>
      </c>
      <c r="M487" s="65" t="str">
        <f t="shared" ca="1" si="37"/>
        <v>UYGUN</v>
      </c>
      <c r="N487" s="74" t="str">
        <f>IF($C487="","",IF($C487="TANIMSIZ MÜŞTERİ","—",INDEX(MUSTERILER!$C$7:$C$156,MATCH($C487,MUSTERILER!$B$7:$B$156,0))))</f>
        <v>STAR ŞOW LTD.ŞTİ.</v>
      </c>
      <c r="O487" s="2"/>
      <c r="P487" s="2"/>
      <c r="Q487" s="1" t="str">
        <f>IF($D487="","",$C487&amp;"|"&amp;COUNTIFS($C$7:$C487,$C487))</f>
        <v>M049|1</v>
      </c>
      <c r="R487" s="1" t="str">
        <f t="shared" si="38"/>
        <v>STARSOWLTDSTI</v>
      </c>
      <c r="S487" s="1" t="str">
        <f t="shared" si="39"/>
        <v>M049|46243|6000|</v>
      </c>
      <c r="T487" s="1">
        <f>IF($E487="",0,SUMPRODUCT((AY_SONU!$O$7:$O$42="Evet")*(AY_SONU!$B$7:$B$42=DATE(YEAR($E487),MONTH($E487),1))))</f>
        <v>0</v>
      </c>
    </row>
    <row r="488" spans="1:20" ht="18" customHeight="1" x14ac:dyDescent="0.3">
      <c r="A488" s="2"/>
      <c r="B488" s="65" t="str">
        <f t="shared" si="35"/>
        <v>T00482</v>
      </c>
      <c r="C488" s="65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M003</v>
      </c>
      <c r="D488" s="61" t="s">
        <v>661</v>
      </c>
      <c r="E488" s="66">
        <v>46243</v>
      </c>
      <c r="F488" s="67">
        <v>3000</v>
      </c>
      <c r="G488" s="60" t="s">
        <v>715</v>
      </c>
      <c r="H488" s="60" t="s">
        <v>568</v>
      </c>
      <c r="I488" s="61"/>
      <c r="J488" s="61" t="s">
        <v>717</v>
      </c>
      <c r="K488" s="61"/>
      <c r="L488" s="73">
        <f t="shared" si="36"/>
        <v>46235</v>
      </c>
      <c r="M488" s="65" t="str">
        <f t="shared" ca="1" si="37"/>
        <v>UYGUN</v>
      </c>
      <c r="N488" s="74" t="str">
        <f>IF($C488="","",IF($C488="TANIMSIZ MÜŞTERİ","—",INDEX(MUSTERILER!$C$7:$C$156,MATCH($C488,MUSTERILER!$B$7:$B$156,0))))</f>
        <v>TYANA LTD.ŞTİ.</v>
      </c>
      <c r="O488" s="2"/>
      <c r="P488" s="2"/>
      <c r="Q488" s="1" t="str">
        <f>IF($D488="","",$C488&amp;"|"&amp;COUNTIFS($C$7:$C488,$C488))</f>
        <v>M003|5</v>
      </c>
      <c r="R488" s="1" t="str">
        <f t="shared" si="38"/>
        <v>TYANALTDSTI</v>
      </c>
      <c r="S488" s="1" t="str">
        <f t="shared" si="39"/>
        <v>M003|46243|3000|</v>
      </c>
      <c r="T488" s="1">
        <f>IF($E488="",0,SUMPRODUCT((AY_SONU!$O$7:$O$42="Evet")*(AY_SONU!$B$7:$B$42=DATE(YEAR($E488),MONTH($E488),1))))</f>
        <v>0</v>
      </c>
    </row>
    <row r="489" spans="1:20" ht="18" customHeight="1" x14ac:dyDescent="0.3">
      <c r="A489" s="2"/>
      <c r="B489" s="65" t="str">
        <f t="shared" si="35"/>
        <v>T00483</v>
      </c>
      <c r="C489" s="65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M024</v>
      </c>
      <c r="D489" s="61" t="s">
        <v>575</v>
      </c>
      <c r="E489" s="66">
        <v>46245</v>
      </c>
      <c r="F489" s="67">
        <v>23000</v>
      </c>
      <c r="G489" s="60" t="s">
        <v>713</v>
      </c>
      <c r="H489" s="60" t="s">
        <v>568</v>
      </c>
      <c r="I489" s="61"/>
      <c r="J489" s="61" t="s">
        <v>740</v>
      </c>
      <c r="K489" s="61"/>
      <c r="L489" s="73">
        <f t="shared" si="36"/>
        <v>46235</v>
      </c>
      <c r="M489" s="65" t="str">
        <f t="shared" ca="1" si="37"/>
        <v>UYGUN</v>
      </c>
      <c r="N489" s="74" t="str">
        <f>IF($C489="","",IF($C489="TANIMSIZ MÜŞTERİ","—",INDEX(MUSTERILER!$C$7:$C$156,MATCH($C489,MUSTERILER!$B$7:$B$156,0))))</f>
        <v>ARMAN DİK</v>
      </c>
      <c r="O489" s="2"/>
      <c r="P489" s="2"/>
      <c r="Q489" s="1" t="str">
        <f>IF($D489="","",$C489&amp;"|"&amp;COUNTIFS($C$7:$C489,$C489))</f>
        <v>M024|3</v>
      </c>
      <c r="R489" s="1" t="str">
        <f t="shared" si="38"/>
        <v>ARMANDIK</v>
      </c>
      <c r="S489" s="1" t="str">
        <f t="shared" si="39"/>
        <v>M024|46245|23000|</v>
      </c>
      <c r="T489" s="1">
        <f>IF($E489="",0,SUMPRODUCT((AY_SONU!$O$7:$O$42="Evet")*(AY_SONU!$B$7:$B$42=DATE(YEAR($E489),MONTH($E489),1))))</f>
        <v>0</v>
      </c>
    </row>
    <row r="490" spans="1:20" ht="18" customHeight="1" x14ac:dyDescent="0.3">
      <c r="A490" s="2"/>
      <c r="B490" s="65" t="str">
        <f t="shared" si="35"/>
        <v>T00484</v>
      </c>
      <c r="C490" s="65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M024</v>
      </c>
      <c r="D490" s="61" t="s">
        <v>575</v>
      </c>
      <c r="E490" s="66">
        <v>46245</v>
      </c>
      <c r="F490" s="67">
        <v>4000</v>
      </c>
      <c r="G490" s="60" t="s">
        <v>713</v>
      </c>
      <c r="H490" s="60" t="s">
        <v>568</v>
      </c>
      <c r="I490" s="61"/>
      <c r="J490" s="61" t="s">
        <v>741</v>
      </c>
      <c r="K490" s="61"/>
      <c r="L490" s="73">
        <f t="shared" si="36"/>
        <v>46235</v>
      </c>
      <c r="M490" s="65" t="str">
        <f t="shared" ca="1" si="37"/>
        <v>UYGUN</v>
      </c>
      <c r="N490" s="74" t="str">
        <f>IF($C490="","",IF($C490="TANIMSIZ MÜŞTERİ","—",INDEX(MUSTERILER!$C$7:$C$156,MATCH($C490,MUSTERILER!$B$7:$B$156,0))))</f>
        <v>ARMAN DİK</v>
      </c>
      <c r="O490" s="2"/>
      <c r="P490" s="2"/>
      <c r="Q490" s="1" t="str">
        <f>IF($D490="","",$C490&amp;"|"&amp;COUNTIFS($C$7:$C490,$C490))</f>
        <v>M024|4</v>
      </c>
      <c r="R490" s="1" t="str">
        <f t="shared" si="38"/>
        <v>ARMANDIK</v>
      </c>
      <c r="S490" s="1" t="str">
        <f t="shared" si="39"/>
        <v>M024|46245|4000|</v>
      </c>
      <c r="T490" s="1">
        <f>IF($E490="",0,SUMPRODUCT((AY_SONU!$O$7:$O$42="Evet")*(AY_SONU!$B$7:$B$42=DATE(YEAR($E490),MONTH($E490),1))))</f>
        <v>0</v>
      </c>
    </row>
    <row r="491" spans="1:20" ht="18" customHeight="1" x14ac:dyDescent="0.3">
      <c r="A491" s="2"/>
      <c r="B491" s="65" t="str">
        <f t="shared" si="35"/>
        <v>T00485</v>
      </c>
      <c r="C491" s="65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M019</v>
      </c>
      <c r="D491" s="61" t="s">
        <v>566</v>
      </c>
      <c r="E491" s="66">
        <v>46249</v>
      </c>
      <c r="F491" s="67">
        <v>5000</v>
      </c>
      <c r="G491" s="60" t="s">
        <v>713</v>
      </c>
      <c r="H491" s="60" t="s">
        <v>568</v>
      </c>
      <c r="I491" s="61"/>
      <c r="J491" s="61" t="s">
        <v>717</v>
      </c>
      <c r="K491" s="61"/>
      <c r="L491" s="73">
        <f t="shared" si="36"/>
        <v>46235</v>
      </c>
      <c r="M491" s="65" t="str">
        <f t="shared" ca="1" si="37"/>
        <v>UYGUN</v>
      </c>
      <c r="N491" s="74" t="str">
        <f>IF($C491="","",IF($C491="TANIMSIZ MÜŞTERİ","—",INDEX(MUSTERILER!$C$7:$C$156,MATCH($C491,MUSTERILER!$B$7:$B$156,0))))</f>
        <v>AC OTEL LTD.ŞTİ.</v>
      </c>
      <c r="O491" s="2"/>
      <c r="P491" s="2"/>
      <c r="Q491" s="1" t="str">
        <f>IF($D491="","",$C491&amp;"|"&amp;COUNTIFS($C$7:$C491,$C491))</f>
        <v>M019|5</v>
      </c>
      <c r="R491" s="1" t="str">
        <f t="shared" si="38"/>
        <v>ACOTELLTDSTI</v>
      </c>
      <c r="S491" s="1" t="str">
        <f t="shared" si="39"/>
        <v>M019|46249|5000|</v>
      </c>
      <c r="T491" s="1">
        <f>IF($E491="",0,SUMPRODUCT((AY_SONU!$O$7:$O$42="Evet")*(AY_SONU!$B$7:$B$42=DATE(YEAR($E491),MONTH($E491),1))))</f>
        <v>0</v>
      </c>
    </row>
    <row r="492" spans="1:20" ht="18" customHeight="1" x14ac:dyDescent="0.3">
      <c r="A492" s="2"/>
      <c r="B492" s="65" t="str">
        <f t="shared" si="35"/>
        <v>T00486</v>
      </c>
      <c r="C492" s="65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M001</v>
      </c>
      <c r="D492" s="61" t="s">
        <v>722</v>
      </c>
      <c r="E492" s="66">
        <v>46249</v>
      </c>
      <c r="F492" s="67">
        <v>4000</v>
      </c>
      <c r="G492" s="60" t="s">
        <v>713</v>
      </c>
      <c r="H492" s="60" t="s">
        <v>568</v>
      </c>
      <c r="I492" s="61"/>
      <c r="J492" s="61" t="s">
        <v>717</v>
      </c>
      <c r="K492" s="61"/>
      <c r="L492" s="73">
        <f t="shared" si="36"/>
        <v>46235</v>
      </c>
      <c r="M492" s="65" t="str">
        <f t="shared" ca="1" si="37"/>
        <v>UYGUN</v>
      </c>
      <c r="N492" s="74" t="str">
        <f>IF($C492="","",IF($C492="TANIMSIZ MÜŞTERİ","—",INDEX(MUSTERILER!$C$7:$C$156,MATCH($C492,MUSTERILER!$B$7:$B$156,0))))</f>
        <v>ANKARA HAVANA LTD.ŞTİ.</v>
      </c>
      <c r="O492" s="2"/>
      <c r="P492" s="2"/>
      <c r="Q492" s="1" t="str">
        <f>IF($D492="","",$C492&amp;"|"&amp;COUNTIFS($C$7:$C492,$C492))</f>
        <v>M001|16</v>
      </c>
      <c r="R492" s="1" t="str">
        <f t="shared" si="38"/>
        <v>ANKARAHAVANALTDSTI</v>
      </c>
      <c r="S492" s="1" t="str">
        <f t="shared" si="39"/>
        <v>M001|46249|4000|</v>
      </c>
      <c r="T492" s="1">
        <f>IF($E492="",0,SUMPRODUCT((AY_SONU!$O$7:$O$42="Evet")*(AY_SONU!$B$7:$B$42=DATE(YEAR($E492),MONTH($E492),1))))</f>
        <v>0</v>
      </c>
    </row>
    <row r="493" spans="1:20" ht="18" customHeight="1" x14ac:dyDescent="0.3">
      <c r="A493" s="2"/>
      <c r="B493" s="65" t="str">
        <f t="shared" si="35"/>
        <v>T00487</v>
      </c>
      <c r="C493" s="65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M025</v>
      </c>
      <c r="D493" s="61" t="s">
        <v>579</v>
      </c>
      <c r="E493" s="66">
        <v>46249</v>
      </c>
      <c r="F493" s="67">
        <v>2000</v>
      </c>
      <c r="G493" s="60" t="s">
        <v>713</v>
      </c>
      <c r="H493" s="60" t="s">
        <v>568</v>
      </c>
      <c r="I493" s="61"/>
      <c r="J493" s="61" t="s">
        <v>717</v>
      </c>
      <c r="K493" s="61"/>
      <c r="L493" s="73">
        <f t="shared" si="36"/>
        <v>46235</v>
      </c>
      <c r="M493" s="65" t="str">
        <f t="shared" ca="1" si="37"/>
        <v>UYGUN</v>
      </c>
      <c r="N493" s="74" t="str">
        <f>IF($C493="","",IF($C493="TANIMSIZ MÜŞTERİ","—",INDEX(MUSTERILER!$C$7:$C$156,MATCH($C493,MUSTERILER!$B$7:$B$156,0))))</f>
        <v>ASIM AÇIKGÖZ</v>
      </c>
      <c r="O493" s="2"/>
      <c r="P493" s="2"/>
      <c r="Q493" s="1" t="str">
        <f>IF($D493="","",$C493&amp;"|"&amp;COUNTIFS($C$7:$C493,$C493))</f>
        <v>M025|27</v>
      </c>
      <c r="R493" s="1" t="str">
        <f t="shared" si="38"/>
        <v>ASIMACIKGOZ</v>
      </c>
      <c r="S493" s="1" t="str">
        <f t="shared" si="39"/>
        <v>M025|46249|2000|</v>
      </c>
      <c r="T493" s="1">
        <f>IF($E493="",0,SUMPRODUCT((AY_SONU!$O$7:$O$42="Evet")*(AY_SONU!$B$7:$B$42=DATE(YEAR($E493),MONTH($E493),1))))</f>
        <v>0</v>
      </c>
    </row>
    <row r="494" spans="1:20" ht="18" customHeight="1" x14ac:dyDescent="0.3">
      <c r="A494" s="2"/>
      <c r="B494" s="65" t="str">
        <f t="shared" si="35"/>
        <v>T00488</v>
      </c>
      <c r="C494" s="65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M017</v>
      </c>
      <c r="D494" s="61" t="s">
        <v>581</v>
      </c>
      <c r="E494" s="66">
        <v>46249</v>
      </c>
      <c r="F494" s="67">
        <v>2500</v>
      </c>
      <c r="G494" s="60" t="s">
        <v>713</v>
      </c>
      <c r="H494" s="60" t="s">
        <v>568</v>
      </c>
      <c r="I494" s="61"/>
      <c r="J494" s="61" t="s">
        <v>717</v>
      </c>
      <c r="K494" s="61"/>
      <c r="L494" s="73">
        <f t="shared" si="36"/>
        <v>46235</v>
      </c>
      <c r="M494" s="65" t="str">
        <f t="shared" ca="1" si="37"/>
        <v>UYGUN</v>
      </c>
      <c r="N494" s="74" t="str">
        <f>IF($C494="","",IF($C494="TANIMSIZ MÜŞTERİ","—",INDEX(MUSTERILER!$C$7:$C$156,MATCH($C494,MUSTERILER!$B$7:$B$156,0))))</f>
        <v>ASM EĞLENCE LTD.ŞTİ.</v>
      </c>
      <c r="O494" s="2"/>
      <c r="P494" s="2"/>
      <c r="Q494" s="1" t="str">
        <f>IF($D494="","",$C494&amp;"|"&amp;COUNTIFS($C$7:$C494,$C494))</f>
        <v>M017|27</v>
      </c>
      <c r="R494" s="1" t="str">
        <f t="shared" si="38"/>
        <v>ASMEGLENCELTDSTI</v>
      </c>
      <c r="S494" s="1" t="str">
        <f t="shared" si="39"/>
        <v>M017|46249|2500|</v>
      </c>
      <c r="T494" s="1">
        <f>IF($E494="",0,SUMPRODUCT((AY_SONU!$O$7:$O$42="Evet")*(AY_SONU!$B$7:$B$42=DATE(YEAR($E494),MONTH($E494),1))))</f>
        <v>0</v>
      </c>
    </row>
    <row r="495" spans="1:20" ht="18" customHeight="1" x14ac:dyDescent="0.3">
      <c r="A495" s="2"/>
      <c r="B495" s="65" t="str">
        <f t="shared" si="35"/>
        <v>T00489</v>
      </c>
      <c r="C495" s="65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M015</v>
      </c>
      <c r="D495" s="61" t="s">
        <v>723</v>
      </c>
      <c r="E495" s="66">
        <v>46249</v>
      </c>
      <c r="F495" s="67">
        <v>5500</v>
      </c>
      <c r="G495" s="60" t="s">
        <v>713</v>
      </c>
      <c r="H495" s="60" t="s">
        <v>568</v>
      </c>
      <c r="I495" s="61"/>
      <c r="J495" s="61" t="s">
        <v>717</v>
      </c>
      <c r="K495" s="61"/>
      <c r="L495" s="73">
        <f t="shared" si="36"/>
        <v>46235</v>
      </c>
      <c r="M495" s="65" t="str">
        <f t="shared" ca="1" si="37"/>
        <v>UYGUN</v>
      </c>
      <c r="N495" s="74" t="str">
        <f>IF($C495="","",IF($C495="TANIMSIZ MÜŞTERİ","—",INDEX(MUSTERILER!$C$7:$C$156,MATCH($C495,MUSTERILER!$B$7:$B$156,0))))</f>
        <v>ÇAYIRALAN LTD.ŞTİ.</v>
      </c>
      <c r="O495" s="2"/>
      <c r="P495" s="2"/>
      <c r="Q495" s="1" t="str">
        <f>IF($D495="","",$C495&amp;"|"&amp;COUNTIFS($C$7:$C495,$C495))</f>
        <v>M015|28</v>
      </c>
      <c r="R495" s="1" t="str">
        <f t="shared" si="38"/>
        <v>CAYIRALANLTDSTI</v>
      </c>
      <c r="S495" s="1" t="str">
        <f t="shared" si="39"/>
        <v>M015|46249|5500|</v>
      </c>
      <c r="T495" s="1">
        <f>IF($E495="",0,SUMPRODUCT((AY_SONU!$O$7:$O$42="Evet")*(AY_SONU!$B$7:$B$42=DATE(YEAR($E495),MONTH($E495),1))))</f>
        <v>0</v>
      </c>
    </row>
    <row r="496" spans="1:20" ht="18" customHeight="1" x14ac:dyDescent="0.3">
      <c r="A496" s="2"/>
      <c r="B496" s="65" t="str">
        <f t="shared" si="35"/>
        <v>T00490</v>
      </c>
      <c r="C496" s="65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M011</v>
      </c>
      <c r="D496" s="61" t="s">
        <v>724</v>
      </c>
      <c r="E496" s="66">
        <v>46249</v>
      </c>
      <c r="F496" s="67">
        <v>4000</v>
      </c>
      <c r="G496" s="60" t="s">
        <v>713</v>
      </c>
      <c r="H496" s="60" t="s">
        <v>568</v>
      </c>
      <c r="I496" s="61"/>
      <c r="J496" s="61" t="s">
        <v>717</v>
      </c>
      <c r="K496" s="61"/>
      <c r="L496" s="73">
        <f t="shared" si="36"/>
        <v>46235</v>
      </c>
      <c r="M496" s="65" t="str">
        <f t="shared" ca="1" si="37"/>
        <v>UYGUN</v>
      </c>
      <c r="N496" s="74" t="str">
        <f>IF($C496="","",IF($C496="TANIMSIZ MÜŞTERİ","—",INDEX(MUSTERILER!$C$7:$C$156,MATCH($C496,MUSTERILER!$B$7:$B$156,0))))</f>
        <v>EĞLENGÖR LTD.ŞTİ.</v>
      </c>
      <c r="O496" s="2"/>
      <c r="P496" s="2"/>
      <c r="Q496" s="1" t="str">
        <f>IF($D496="","",$C496&amp;"|"&amp;COUNTIFS($C$7:$C496,$C496))</f>
        <v>M011|31</v>
      </c>
      <c r="R496" s="1" t="str">
        <f t="shared" si="38"/>
        <v>EGLENGORLTDSTI</v>
      </c>
      <c r="S496" s="1" t="str">
        <f t="shared" si="39"/>
        <v>M011|46249|4000|</v>
      </c>
      <c r="T496" s="1">
        <f>IF($E496="",0,SUMPRODUCT((AY_SONU!$O$7:$O$42="Evet")*(AY_SONU!$B$7:$B$42=DATE(YEAR($E496),MONTH($E496),1))))</f>
        <v>0</v>
      </c>
    </row>
    <row r="497" spans="1:20" ht="18" customHeight="1" x14ac:dyDescent="0.3">
      <c r="A497" s="2"/>
      <c r="B497" s="65" t="str">
        <f t="shared" si="35"/>
        <v>T00491</v>
      </c>
      <c r="C497" s="65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M014</v>
      </c>
      <c r="D497" s="61" t="s">
        <v>725</v>
      </c>
      <c r="E497" s="66">
        <v>46249</v>
      </c>
      <c r="F497" s="67">
        <v>12000</v>
      </c>
      <c r="G497" s="60" t="s">
        <v>713</v>
      </c>
      <c r="H497" s="60" t="s">
        <v>568</v>
      </c>
      <c r="I497" s="61"/>
      <c r="J497" s="61" t="s">
        <v>717</v>
      </c>
      <c r="K497" s="61"/>
      <c r="L497" s="73">
        <f t="shared" si="36"/>
        <v>46235</v>
      </c>
      <c r="M497" s="65" t="str">
        <f t="shared" ca="1" si="37"/>
        <v>UYGUN</v>
      </c>
      <c r="N497" s="74" t="str">
        <f>IF($C497="","",IF($C497="TANIMSIZ MÜŞTERİ","—",INDEX(MUSTERILER!$C$7:$C$156,MATCH($C497,MUSTERILER!$B$7:$B$156,0))))</f>
        <v>FİNAL SİYAH BEYAZ LTD.ŞTİ.</v>
      </c>
      <c r="O497" s="2"/>
      <c r="P497" s="2"/>
      <c r="Q497" s="1" t="str">
        <f>IF($D497="","",$C497&amp;"|"&amp;COUNTIFS($C$7:$C497,$C497))</f>
        <v>M014|29</v>
      </c>
      <c r="R497" s="1" t="str">
        <f t="shared" si="38"/>
        <v>FINALSIYAHBEYAZLTDSTI</v>
      </c>
      <c r="S497" s="1" t="str">
        <f t="shared" si="39"/>
        <v>M014|46249|12000|</v>
      </c>
      <c r="T497" s="1">
        <f>IF($E497="",0,SUMPRODUCT((AY_SONU!$O$7:$O$42="Evet")*(AY_SONU!$B$7:$B$42=DATE(YEAR($E497),MONTH($E497),1))))</f>
        <v>0</v>
      </c>
    </row>
    <row r="498" spans="1:20" ht="18" customHeight="1" x14ac:dyDescent="0.3">
      <c r="A498" s="2"/>
      <c r="B498" s="65" t="str">
        <f t="shared" si="35"/>
        <v>T00492</v>
      </c>
      <c r="C498" s="65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M012</v>
      </c>
      <c r="D498" s="61" t="s">
        <v>727</v>
      </c>
      <c r="E498" s="66">
        <v>46249</v>
      </c>
      <c r="F498" s="67">
        <v>4000</v>
      </c>
      <c r="G498" s="60" t="s">
        <v>713</v>
      </c>
      <c r="H498" s="60" t="s">
        <v>568</v>
      </c>
      <c r="I498" s="61"/>
      <c r="J498" s="61" t="s">
        <v>717</v>
      </c>
      <c r="K498" s="61"/>
      <c r="L498" s="73">
        <f t="shared" si="36"/>
        <v>46235</v>
      </c>
      <c r="M498" s="65" t="str">
        <f t="shared" ca="1" si="37"/>
        <v>UYGUN</v>
      </c>
      <c r="N498" s="74" t="str">
        <f>IF($C498="","",IF($C498="TANIMSIZ MÜŞTERİ","—",INDEX(MUSTERILER!$C$7:$C$156,MATCH($C498,MUSTERILER!$B$7:$B$156,0))))</f>
        <v>İLDEŞ LTD.ŞTİ.</v>
      </c>
      <c r="O498" s="2"/>
      <c r="P498" s="2"/>
      <c r="Q498" s="1" t="str">
        <f>IF($D498="","",$C498&amp;"|"&amp;COUNTIFS($C$7:$C498,$C498))</f>
        <v>M012|28</v>
      </c>
      <c r="R498" s="1" t="str">
        <f t="shared" si="38"/>
        <v>ILDESLTDSTI</v>
      </c>
      <c r="S498" s="1" t="str">
        <f t="shared" si="39"/>
        <v>M012|46249|4000|</v>
      </c>
      <c r="T498" s="1">
        <f>IF($E498="",0,SUMPRODUCT((AY_SONU!$O$7:$O$42="Evet")*(AY_SONU!$B$7:$B$42=DATE(YEAR($E498),MONTH($E498),1))))</f>
        <v>0</v>
      </c>
    </row>
    <row r="499" spans="1:20" ht="18" customHeight="1" x14ac:dyDescent="0.3">
      <c r="A499" s="2"/>
      <c r="B499" s="65" t="str">
        <f t="shared" si="35"/>
        <v>T00493</v>
      </c>
      <c r="C499" s="65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M007</v>
      </c>
      <c r="D499" s="61" t="s">
        <v>728</v>
      </c>
      <c r="E499" s="66">
        <v>46249</v>
      </c>
      <c r="F499" s="67">
        <v>3500</v>
      </c>
      <c r="G499" s="60" t="s">
        <v>713</v>
      </c>
      <c r="H499" s="60" t="s">
        <v>568</v>
      </c>
      <c r="I499" s="61"/>
      <c r="J499" s="61" t="s">
        <v>717</v>
      </c>
      <c r="K499" s="61"/>
      <c r="L499" s="73">
        <f t="shared" si="36"/>
        <v>46235</v>
      </c>
      <c r="M499" s="65" t="str">
        <f t="shared" ca="1" si="37"/>
        <v>UYGUN</v>
      </c>
      <c r="N499" s="74" t="str">
        <f>IF($C499="","",IF($C499="TANIMSIZ MÜŞTERİ","—",INDEX(MUSTERILER!$C$7:$C$156,MATCH($C499,MUSTERILER!$B$7:$B$156,0))))</f>
        <v>MONAMOUR LTD.ŞTİ.</v>
      </c>
      <c r="O499" s="2"/>
      <c r="P499" s="2"/>
      <c r="Q499" s="1" t="str">
        <f>IF($D499="","",$C499&amp;"|"&amp;COUNTIFS($C$7:$C499,$C499))</f>
        <v>M007|22</v>
      </c>
      <c r="R499" s="1" t="str">
        <f t="shared" si="38"/>
        <v>MONAMOURLTDSTI</v>
      </c>
      <c r="S499" s="1" t="str">
        <f t="shared" si="39"/>
        <v>M007|46249|3500|</v>
      </c>
      <c r="T499" s="1">
        <f>IF($E499="",0,SUMPRODUCT((AY_SONU!$O$7:$O$42="Evet")*(AY_SONU!$B$7:$B$42=DATE(YEAR($E499),MONTH($E499),1))))</f>
        <v>0</v>
      </c>
    </row>
    <row r="500" spans="1:20" ht="18" customHeight="1" x14ac:dyDescent="0.3">
      <c r="A500" s="2"/>
      <c r="B500" s="65" t="str">
        <f t="shared" si="35"/>
        <v>T00494</v>
      </c>
      <c r="C500" s="65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M013</v>
      </c>
      <c r="D500" s="61" t="s">
        <v>729</v>
      </c>
      <c r="E500" s="66">
        <v>46249</v>
      </c>
      <c r="F500" s="67">
        <v>4000</v>
      </c>
      <c r="G500" s="60" t="s">
        <v>713</v>
      </c>
      <c r="H500" s="60" t="s">
        <v>568</v>
      </c>
      <c r="I500" s="61"/>
      <c r="J500" s="61" t="s">
        <v>717</v>
      </c>
      <c r="K500" s="61"/>
      <c r="L500" s="73">
        <f t="shared" si="36"/>
        <v>46235</v>
      </c>
      <c r="M500" s="65" t="str">
        <f t="shared" ca="1" si="37"/>
        <v>UYGUN</v>
      </c>
      <c r="N500" s="74" t="str">
        <f>IF($C500="","",IF($C500="TANIMSIZ MÜŞTERİ","—",INDEX(MUSTERILER!$C$7:$C$156,MATCH($C500,MUSTERILER!$B$7:$B$156,0))))</f>
        <v>NAZ 1 GIDA LTD.ŞTİ.</v>
      </c>
      <c r="O500" s="2"/>
      <c r="P500" s="2"/>
      <c r="Q500" s="1" t="str">
        <f>IF($D500="","",$C500&amp;"|"&amp;COUNTIFS($C$7:$C500,$C500))</f>
        <v>M013|22</v>
      </c>
      <c r="R500" s="1" t="str">
        <f t="shared" si="38"/>
        <v>NAZ1GIDALTDSTI</v>
      </c>
      <c r="S500" s="1" t="str">
        <f t="shared" si="39"/>
        <v>M013|46249|4000|</v>
      </c>
      <c r="T500" s="1">
        <f>IF($E500="",0,SUMPRODUCT((AY_SONU!$O$7:$O$42="Evet")*(AY_SONU!$B$7:$B$42=DATE(YEAR($E500),MONTH($E500),1))))</f>
        <v>0</v>
      </c>
    </row>
    <row r="501" spans="1:20" ht="18" customHeight="1" x14ac:dyDescent="0.3">
      <c r="A501" s="2"/>
      <c r="B501" s="65" t="str">
        <f t="shared" si="35"/>
        <v>T00495</v>
      </c>
      <c r="C501" s="65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M009</v>
      </c>
      <c r="D501" s="61" t="s">
        <v>730</v>
      </c>
      <c r="E501" s="66">
        <v>46249</v>
      </c>
      <c r="F501" s="67">
        <v>4000</v>
      </c>
      <c r="G501" s="60" t="s">
        <v>713</v>
      </c>
      <c r="H501" s="60" t="s">
        <v>568</v>
      </c>
      <c r="I501" s="61"/>
      <c r="J501" s="61" t="s">
        <v>717</v>
      </c>
      <c r="K501" s="61"/>
      <c r="L501" s="73">
        <f t="shared" si="36"/>
        <v>46235</v>
      </c>
      <c r="M501" s="65" t="str">
        <f t="shared" ca="1" si="37"/>
        <v>UYGUN</v>
      </c>
      <c r="N501" s="74" t="str">
        <f>IF($C501="","",IF($C501="TANIMSIZ MÜŞTERİ","—",INDEX(MUSTERILER!$C$7:$C$156,MATCH($C501,MUSTERILER!$B$7:$B$156,0))))</f>
        <v>PAKYILDIZ LTD.ŞTİ.</v>
      </c>
      <c r="O501" s="2"/>
      <c r="P501" s="2"/>
      <c r="Q501" s="1" t="str">
        <f>IF($D501="","",$C501&amp;"|"&amp;COUNTIFS($C$7:$C501,$C501))</f>
        <v>M009|28</v>
      </c>
      <c r="R501" s="1" t="str">
        <f t="shared" si="38"/>
        <v>PAKYILDIZLTDSTI</v>
      </c>
      <c r="S501" s="1" t="str">
        <f t="shared" si="39"/>
        <v>M009|46249|4000|</v>
      </c>
      <c r="T501" s="1">
        <f>IF($E501="",0,SUMPRODUCT((AY_SONU!$O$7:$O$42="Evet")*(AY_SONU!$B$7:$B$42=DATE(YEAR($E501),MONTH($E501),1))))</f>
        <v>0</v>
      </c>
    </row>
    <row r="502" spans="1:20" ht="18" customHeight="1" x14ac:dyDescent="0.3">
      <c r="A502" s="2"/>
      <c r="B502" s="65" t="str">
        <f t="shared" si="35"/>
        <v>T00496</v>
      </c>
      <c r="C502" s="65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M016</v>
      </c>
      <c r="D502" s="61" t="s">
        <v>731</v>
      </c>
      <c r="E502" s="66">
        <v>46249</v>
      </c>
      <c r="F502" s="67">
        <v>3000</v>
      </c>
      <c r="G502" s="60" t="s">
        <v>713</v>
      </c>
      <c r="H502" s="60" t="s">
        <v>568</v>
      </c>
      <c r="I502" s="61"/>
      <c r="J502" s="61" t="s">
        <v>717</v>
      </c>
      <c r="K502" s="61"/>
      <c r="L502" s="73">
        <f t="shared" si="36"/>
        <v>46235</v>
      </c>
      <c r="M502" s="65" t="str">
        <f t="shared" ca="1" si="37"/>
        <v>UYGUN</v>
      </c>
      <c r="N502" s="74" t="str">
        <f>IF($C502="","",IF($C502="TANIMSIZ MÜŞTERİ","—",INDEX(MUSTERILER!$C$7:$C$156,MATCH($C502,MUSTERILER!$B$7:$B$156,0))))</f>
        <v>RİX ŞOW LTD.ŞTİ.</v>
      </c>
      <c r="O502" s="2"/>
      <c r="P502" s="2"/>
      <c r="Q502" s="1" t="str">
        <f>IF($D502="","",$C502&amp;"|"&amp;COUNTIFS($C$7:$C502,$C502))</f>
        <v>M016|29</v>
      </c>
      <c r="R502" s="1" t="str">
        <f t="shared" si="38"/>
        <v>RIXSOWLTDSTI</v>
      </c>
      <c r="S502" s="1" t="str">
        <f t="shared" si="39"/>
        <v>M016|46249|3000|</v>
      </c>
      <c r="T502" s="1">
        <f>IF($E502="",0,SUMPRODUCT((AY_SONU!$O$7:$O$42="Evet")*(AY_SONU!$B$7:$B$42=DATE(YEAR($E502),MONTH($E502),1))))</f>
        <v>0</v>
      </c>
    </row>
    <row r="503" spans="1:20" ht="18" customHeight="1" x14ac:dyDescent="0.3">
      <c r="A503" s="2"/>
      <c r="B503" s="65" t="str">
        <f t="shared" si="35"/>
        <v>T00497</v>
      </c>
      <c r="C503" s="65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M005</v>
      </c>
      <c r="D503" s="61" t="s">
        <v>732</v>
      </c>
      <c r="E503" s="66">
        <v>46249</v>
      </c>
      <c r="F503" s="67">
        <v>3500</v>
      </c>
      <c r="G503" s="60" t="s">
        <v>713</v>
      </c>
      <c r="H503" s="60" t="s">
        <v>568</v>
      </c>
      <c r="I503" s="61"/>
      <c r="J503" s="61" t="s">
        <v>717</v>
      </c>
      <c r="K503" s="61"/>
      <c r="L503" s="73">
        <f t="shared" si="36"/>
        <v>46235</v>
      </c>
      <c r="M503" s="65" t="str">
        <f t="shared" ca="1" si="37"/>
        <v>UYGUN</v>
      </c>
      <c r="N503" s="74" t="str">
        <f>IF($C503="","",IF($C503="TANIMSIZ MÜŞTERİ","—",INDEX(MUSTERILER!$C$7:$C$156,MATCH($C503,MUSTERILER!$B$7:$B$156,0))))</f>
        <v>ZÜMRÜT GRUP LTD.ŞTİ.</v>
      </c>
      <c r="O503" s="2"/>
      <c r="P503" s="2"/>
      <c r="Q503" s="1" t="str">
        <f>IF($D503="","",$C503&amp;"|"&amp;COUNTIFS($C$7:$C503,$C503))</f>
        <v>M005|22</v>
      </c>
      <c r="R503" s="1" t="str">
        <f t="shared" si="38"/>
        <v>ZUMRUTGRUPLTDSTI</v>
      </c>
      <c r="S503" s="1" t="str">
        <f t="shared" si="39"/>
        <v>M005|46249|3500|</v>
      </c>
      <c r="T503" s="1">
        <f>IF($E503="",0,SUMPRODUCT((AY_SONU!$O$7:$O$42="Evet")*(AY_SONU!$B$7:$B$42=DATE(YEAR($E503),MONTH($E503),1))))</f>
        <v>0</v>
      </c>
    </row>
    <row r="504" spans="1:20" ht="18" customHeight="1" x14ac:dyDescent="0.3">
      <c r="A504" s="2"/>
      <c r="B504" s="65" t="str">
        <f t="shared" si="35"/>
        <v>T00498</v>
      </c>
      <c r="C504" s="65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M018</v>
      </c>
      <c r="D504" s="61" t="s">
        <v>589</v>
      </c>
      <c r="E504" s="66">
        <v>46249</v>
      </c>
      <c r="F504" s="67">
        <v>3500</v>
      </c>
      <c r="G504" s="60" t="s">
        <v>713</v>
      </c>
      <c r="H504" s="60" t="s">
        <v>568</v>
      </c>
      <c r="I504" s="61"/>
      <c r="J504" s="61" t="s">
        <v>717</v>
      </c>
      <c r="K504" s="61"/>
      <c r="L504" s="73">
        <f t="shared" si="36"/>
        <v>46235</v>
      </c>
      <c r="M504" s="65" t="str">
        <f t="shared" ca="1" si="37"/>
        <v>UYGUN</v>
      </c>
      <c r="N504" s="74" t="str">
        <f>IF($C504="","",IF($C504="TANIMSIZ MÜŞTERİ","—",INDEX(MUSTERILER!$C$7:$C$156,MATCH($C504,MUSTERILER!$B$7:$B$156,0))))</f>
        <v>ÇINARHAN LTD.ŞTİ.</v>
      </c>
      <c r="O504" s="2"/>
      <c r="P504" s="2"/>
      <c r="Q504" s="1" t="str">
        <f>IF($D504="","",$C504&amp;"|"&amp;COUNTIFS($C$7:$C504,$C504))</f>
        <v>M018|21</v>
      </c>
      <c r="R504" s="1" t="str">
        <f t="shared" si="38"/>
        <v>CINARHANLTDSTI</v>
      </c>
      <c r="S504" s="1" t="str">
        <f t="shared" si="39"/>
        <v>M018|46249|3500|</v>
      </c>
      <c r="T504" s="1">
        <f>IF($E504="",0,SUMPRODUCT((AY_SONU!$O$7:$O$42="Evet")*(AY_SONU!$B$7:$B$42=DATE(YEAR($E504),MONTH($E504),1))))</f>
        <v>0</v>
      </c>
    </row>
    <row r="505" spans="1:20" ht="18" customHeight="1" x14ac:dyDescent="0.3">
      <c r="A505" s="2"/>
      <c r="B505" s="65" t="str">
        <f t="shared" si="35"/>
        <v>T00499</v>
      </c>
      <c r="C505" s="65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M020</v>
      </c>
      <c r="D505" s="61" t="s">
        <v>619</v>
      </c>
      <c r="E505" s="66">
        <v>46249</v>
      </c>
      <c r="F505" s="67">
        <v>3000</v>
      </c>
      <c r="G505" s="60" t="s">
        <v>713</v>
      </c>
      <c r="H505" s="60" t="s">
        <v>568</v>
      </c>
      <c r="I505" s="61"/>
      <c r="J505" s="61" t="s">
        <v>717</v>
      </c>
      <c r="K505" s="61"/>
      <c r="L505" s="73">
        <f t="shared" si="36"/>
        <v>46235</v>
      </c>
      <c r="M505" s="65" t="str">
        <f t="shared" ca="1" si="37"/>
        <v>UYGUN</v>
      </c>
      <c r="N505" s="74" t="str">
        <f>IF($C505="","",IF($C505="TANIMSIZ MÜŞTERİ","—",INDEX(MUSTERILER!$C$7:$C$156,MATCH($C505,MUSTERILER!$B$7:$B$156,0))))</f>
        <v>KRİSTAL LTD.ŞTİ.</v>
      </c>
      <c r="O505" s="2"/>
      <c r="P505" s="2"/>
      <c r="Q505" s="1" t="str">
        <f>IF($D505="","",$C505&amp;"|"&amp;COUNTIFS($C$7:$C505,$C505))</f>
        <v>M020|31</v>
      </c>
      <c r="R505" s="1" t="str">
        <f t="shared" si="38"/>
        <v>KRISTALLTDSTI</v>
      </c>
      <c r="S505" s="1" t="str">
        <f t="shared" si="39"/>
        <v>M020|46249|3000|</v>
      </c>
      <c r="T505" s="1">
        <f>IF($E505="",0,SUMPRODUCT((AY_SONU!$O$7:$O$42="Evet")*(AY_SONU!$B$7:$B$42=DATE(YEAR($E505),MONTH($E505),1))))</f>
        <v>0</v>
      </c>
    </row>
    <row r="506" spans="1:20" ht="18" customHeight="1" x14ac:dyDescent="0.3">
      <c r="A506" s="2"/>
      <c r="B506" s="65" t="str">
        <f t="shared" si="35"/>
        <v>T00500</v>
      </c>
      <c r="C506" s="65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M047</v>
      </c>
      <c r="D506" s="61" t="s">
        <v>649</v>
      </c>
      <c r="E506" s="66">
        <v>46249</v>
      </c>
      <c r="F506" s="67">
        <v>5000</v>
      </c>
      <c r="G506" s="60" t="s">
        <v>713</v>
      </c>
      <c r="H506" s="60" t="s">
        <v>568</v>
      </c>
      <c r="I506" s="61"/>
      <c r="J506" s="61" t="s">
        <v>717</v>
      </c>
      <c r="K506" s="61"/>
      <c r="L506" s="73">
        <f t="shared" si="36"/>
        <v>46235</v>
      </c>
      <c r="M506" s="65" t="str">
        <f t="shared" ca="1" si="37"/>
        <v>UYGUN</v>
      </c>
      <c r="N506" s="74" t="str">
        <f>IF($C506="","",IF($C506="TANIMSIZ MÜŞTERİ","—",INDEX(MUSTERILER!$C$7:$C$156,MATCH($C506,MUSTERILER!$B$7:$B$156,0))))</f>
        <v>PALAOĞULLARI LTD.ŞTİ.</v>
      </c>
      <c r="O506" s="2"/>
      <c r="P506" s="2"/>
      <c r="Q506" s="1" t="str">
        <f>IF($D506="","",$C506&amp;"|"&amp;COUNTIFS($C$7:$C506,$C506))</f>
        <v>M047|21</v>
      </c>
      <c r="R506" s="1" t="str">
        <f t="shared" si="38"/>
        <v>PALAOGULLARILTDSTI</v>
      </c>
      <c r="S506" s="1" t="str">
        <f t="shared" si="39"/>
        <v>M047|46249|5000|</v>
      </c>
      <c r="T506" s="1">
        <f>IF($E506="",0,SUMPRODUCT((AY_SONU!$O$7:$O$42="Evet")*(AY_SONU!$B$7:$B$42=DATE(YEAR($E506),MONTH($E506),1))))</f>
        <v>0</v>
      </c>
    </row>
    <row r="507" spans="1:20" ht="18" customHeight="1" x14ac:dyDescent="0.3">
      <c r="A507" s="2"/>
      <c r="B507" s="65" t="str">
        <f t="shared" si="35"/>
        <v>T00501</v>
      </c>
      <c r="C507" s="65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M049</v>
      </c>
      <c r="D507" s="61" t="s">
        <v>657</v>
      </c>
      <c r="E507" s="66">
        <v>46249</v>
      </c>
      <c r="F507" s="67">
        <v>3000</v>
      </c>
      <c r="G507" s="60" t="s">
        <v>713</v>
      </c>
      <c r="H507" s="60" t="s">
        <v>568</v>
      </c>
      <c r="I507" s="61"/>
      <c r="J507" s="61" t="s">
        <v>717</v>
      </c>
      <c r="K507" s="61"/>
      <c r="L507" s="73">
        <f t="shared" si="36"/>
        <v>46235</v>
      </c>
      <c r="M507" s="65" t="str">
        <f t="shared" ca="1" si="37"/>
        <v>UYGUN</v>
      </c>
      <c r="N507" s="74" t="str">
        <f>IF($C507="","",IF($C507="TANIMSIZ MÜŞTERİ","—",INDEX(MUSTERILER!$C$7:$C$156,MATCH($C507,MUSTERILER!$B$7:$B$156,0))))</f>
        <v>STAR ŞOW LTD.ŞTİ.</v>
      </c>
      <c r="O507" s="2"/>
      <c r="P507" s="2"/>
      <c r="Q507" s="1" t="str">
        <f>IF($D507="","",$C507&amp;"|"&amp;COUNTIFS($C$7:$C507,$C507))</f>
        <v>M049|2</v>
      </c>
      <c r="R507" s="1" t="str">
        <f t="shared" si="38"/>
        <v>STARSOWLTDSTI</v>
      </c>
      <c r="S507" s="1" t="str">
        <f t="shared" si="39"/>
        <v>M049|46249|3000|</v>
      </c>
      <c r="T507" s="1">
        <f>IF($E507="",0,SUMPRODUCT((AY_SONU!$O$7:$O$42="Evet")*(AY_SONU!$B$7:$B$42=DATE(YEAR($E507),MONTH($E507),1))))</f>
        <v>0</v>
      </c>
    </row>
    <row r="508" spans="1:20" ht="18" customHeight="1" x14ac:dyDescent="0.3">
      <c r="A508" s="2"/>
      <c r="B508" s="65" t="str">
        <f t="shared" si="35"/>
        <v>T00502</v>
      </c>
      <c r="C508" s="65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M041</v>
      </c>
      <c r="D508" s="61" t="s">
        <v>629</v>
      </c>
      <c r="E508" s="66">
        <v>46251</v>
      </c>
      <c r="F508" s="67">
        <v>5000</v>
      </c>
      <c r="G508" s="60" t="s">
        <v>713</v>
      </c>
      <c r="H508" s="60" t="s">
        <v>568</v>
      </c>
      <c r="I508" s="61"/>
      <c r="J508" s="61" t="s">
        <v>717</v>
      </c>
      <c r="K508" s="61"/>
      <c r="L508" s="73">
        <f t="shared" si="36"/>
        <v>46235</v>
      </c>
      <c r="M508" s="65" t="str">
        <f t="shared" ca="1" si="37"/>
        <v>UYGUN</v>
      </c>
      <c r="N508" s="74" t="str">
        <f>IF($C508="","",IF($C508="TANIMSIZ MÜŞTERİ","—",INDEX(MUSTERILER!$C$7:$C$156,MATCH($C508,MUSTERILER!$B$7:$B$156,0))))</f>
        <v>MESUT KÖKLÜ</v>
      </c>
      <c r="O508" s="2"/>
      <c r="P508" s="2"/>
      <c r="Q508" s="1" t="str">
        <f>IF($D508="","",$C508&amp;"|"&amp;COUNTIFS($C$7:$C508,$C508))</f>
        <v>M041|2</v>
      </c>
      <c r="R508" s="1" t="str">
        <f t="shared" si="38"/>
        <v>MESUTKOKLU</v>
      </c>
      <c r="S508" s="1" t="str">
        <f t="shared" si="39"/>
        <v>M041|46251|5000|</v>
      </c>
      <c r="T508" s="1">
        <f>IF($E508="",0,SUMPRODUCT((AY_SONU!$O$7:$O$42="Evet")*(AY_SONU!$B$7:$B$42=DATE(YEAR($E508),MONTH($E508),1))))</f>
        <v>0</v>
      </c>
    </row>
    <row r="509" spans="1:20" ht="18" customHeight="1" x14ac:dyDescent="0.3">
      <c r="A509" s="2"/>
      <c r="B509" s="65" t="str">
        <f t="shared" si="35"/>
        <v>T00503</v>
      </c>
      <c r="C509" s="65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M021</v>
      </c>
      <c r="D509" s="61" t="s">
        <v>577</v>
      </c>
      <c r="E509" s="66">
        <v>46252</v>
      </c>
      <c r="F509" s="67">
        <v>10000</v>
      </c>
      <c r="G509" s="60" t="s">
        <v>713</v>
      </c>
      <c r="H509" s="60" t="s">
        <v>568</v>
      </c>
      <c r="I509" s="61"/>
      <c r="J509" s="61" t="s">
        <v>717</v>
      </c>
      <c r="K509" s="61"/>
      <c r="L509" s="73">
        <f t="shared" si="36"/>
        <v>46235</v>
      </c>
      <c r="M509" s="65" t="str">
        <f t="shared" ca="1" si="37"/>
        <v>UYGUN</v>
      </c>
      <c r="N509" s="74" t="str">
        <f>IF($C509="","",IF($C509="TANIMSIZ MÜŞTERİ","—",INDEX(MUSTERILER!$C$7:$C$156,MATCH($C509,MUSTERILER!$B$7:$B$156,0))))</f>
        <v>ARON TOPTAN LTD.ŞTİ.</v>
      </c>
      <c r="O509" s="2"/>
      <c r="P509" s="2"/>
      <c r="Q509" s="1" t="str">
        <f>IF($D509="","",$C509&amp;"|"&amp;COUNTIFS($C$7:$C509,$C509))</f>
        <v>M021|5</v>
      </c>
      <c r="R509" s="1" t="str">
        <f t="shared" si="38"/>
        <v>ARONTOPTANLTDSTI</v>
      </c>
      <c r="S509" s="1" t="str">
        <f t="shared" si="39"/>
        <v>M021|46252|10000|</v>
      </c>
      <c r="T509" s="1">
        <f>IF($E509="",0,SUMPRODUCT((AY_SONU!$O$7:$O$42="Evet")*(AY_SONU!$B$7:$B$42=DATE(YEAR($E509),MONTH($E509),1))))</f>
        <v>0</v>
      </c>
    </row>
    <row r="510" spans="1:20" ht="18" customHeight="1" x14ac:dyDescent="0.3">
      <c r="A510" s="2"/>
      <c r="B510" s="65" t="str">
        <f t="shared" si="35"/>
        <v>T00504</v>
      </c>
      <c r="C510" s="65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M029</v>
      </c>
      <c r="D510" s="61" t="s">
        <v>595</v>
      </c>
      <c r="E510" s="66">
        <v>46252</v>
      </c>
      <c r="F510" s="67">
        <v>6000</v>
      </c>
      <c r="G510" s="60" t="s">
        <v>713</v>
      </c>
      <c r="H510" s="60" t="s">
        <v>568</v>
      </c>
      <c r="I510" s="61"/>
      <c r="J510" s="61" t="s">
        <v>717</v>
      </c>
      <c r="K510" s="61"/>
      <c r="L510" s="73">
        <f t="shared" si="36"/>
        <v>46235</v>
      </c>
      <c r="M510" s="65" t="str">
        <f t="shared" ca="1" si="37"/>
        <v>UYGUN</v>
      </c>
      <c r="N510" s="74" t="str">
        <f>IF($C510="","",IF($C510="TANIMSIZ MÜŞTERİ","—",INDEX(MUSTERILER!$C$7:$C$156,MATCH($C510,MUSTERILER!$B$7:$B$156,0))))</f>
        <v>EMRAH SAVURKAN</v>
      </c>
      <c r="O510" s="2"/>
      <c r="P510" s="2"/>
      <c r="Q510" s="1" t="str">
        <f>IF($D510="","",$C510&amp;"|"&amp;COUNTIFS($C$7:$C510,$C510))</f>
        <v>M029|1</v>
      </c>
      <c r="R510" s="1" t="str">
        <f t="shared" si="38"/>
        <v>EMRAHSAVURKAN</v>
      </c>
      <c r="S510" s="1" t="str">
        <f t="shared" si="39"/>
        <v>M029|46252|6000|</v>
      </c>
      <c r="T510" s="1">
        <f>IF($E510="",0,SUMPRODUCT((AY_SONU!$O$7:$O$42="Evet")*(AY_SONU!$B$7:$B$42=DATE(YEAR($E510),MONTH($E510),1))))</f>
        <v>0</v>
      </c>
    </row>
    <row r="511" spans="1:20" ht="18" customHeight="1" x14ac:dyDescent="0.3">
      <c r="A511" s="2"/>
      <c r="B511" s="65" t="str">
        <f t="shared" si="35"/>
        <v>T00505</v>
      </c>
      <c r="C511" s="65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M044</v>
      </c>
      <c r="D511" s="61" t="s">
        <v>635</v>
      </c>
      <c r="E511" s="66">
        <v>46252</v>
      </c>
      <c r="F511" s="67">
        <v>15000</v>
      </c>
      <c r="G511" s="60" t="s">
        <v>713</v>
      </c>
      <c r="H511" s="60" t="s">
        <v>568</v>
      </c>
      <c r="I511" s="61"/>
      <c r="J511" s="61" t="s">
        <v>717</v>
      </c>
      <c r="K511" s="61"/>
      <c r="L511" s="73">
        <f t="shared" si="36"/>
        <v>46235</v>
      </c>
      <c r="M511" s="65" t="str">
        <f t="shared" ca="1" si="37"/>
        <v>UYGUN</v>
      </c>
      <c r="N511" s="74" t="str">
        <f>IF($C511="","",IF($C511="TANIMSIZ MÜŞTERİ","—",INDEX(MUSTERILER!$C$7:$C$156,MATCH($C511,MUSTERILER!$B$7:$B$156,0))))</f>
        <v>MUSTAFA KOLBAŞI</v>
      </c>
      <c r="O511" s="2"/>
      <c r="P511" s="2"/>
      <c r="Q511" s="1" t="str">
        <f>IF($D511="","",$C511&amp;"|"&amp;COUNTIFS($C$7:$C511,$C511))</f>
        <v>M044|1</v>
      </c>
      <c r="R511" s="1" t="str">
        <f t="shared" si="38"/>
        <v>MUSTAFAKOLBASI</v>
      </c>
      <c r="S511" s="1" t="str">
        <f t="shared" si="39"/>
        <v>M044|46252|15000|</v>
      </c>
      <c r="T511" s="1">
        <f>IF($E511="",0,SUMPRODUCT((AY_SONU!$O$7:$O$42="Evet")*(AY_SONU!$B$7:$B$42=DATE(YEAR($E511),MONTH($E511),1))))</f>
        <v>0</v>
      </c>
    </row>
    <row r="512" spans="1:20" ht="18" customHeight="1" x14ac:dyDescent="0.3">
      <c r="A512" s="2"/>
      <c r="B512" s="65" t="str">
        <f t="shared" si="35"/>
        <v>T00506</v>
      </c>
      <c r="C512" s="65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M036</v>
      </c>
      <c r="D512" s="61" t="s">
        <v>615</v>
      </c>
      <c r="E512" s="66">
        <v>46253</v>
      </c>
      <c r="F512" s="67">
        <v>10000</v>
      </c>
      <c r="G512" s="60" t="s">
        <v>713</v>
      </c>
      <c r="H512" s="60" t="s">
        <v>568</v>
      </c>
      <c r="I512" s="61"/>
      <c r="J512" s="61" t="s">
        <v>717</v>
      </c>
      <c r="K512" s="61"/>
      <c r="L512" s="73">
        <f t="shared" si="36"/>
        <v>46235</v>
      </c>
      <c r="M512" s="65" t="str">
        <f t="shared" ca="1" si="37"/>
        <v>UYGUN</v>
      </c>
      <c r="N512" s="74" t="str">
        <f>IF($C512="","",IF($C512="TANIMSIZ MÜŞTERİ","—",INDEX(MUSTERILER!$C$7:$C$156,MATCH($C512,MUSTERILER!$B$7:$B$156,0))))</f>
        <v>İSMAİL AKPINAR</v>
      </c>
      <c r="O512" s="2"/>
      <c r="P512" s="2"/>
      <c r="Q512" s="1" t="str">
        <f>IF($D512="","",$C512&amp;"|"&amp;COUNTIFS($C$7:$C512,$C512))</f>
        <v>M036|1</v>
      </c>
      <c r="R512" s="1" t="str">
        <f t="shared" si="38"/>
        <v>ISMAILAKPINAR</v>
      </c>
      <c r="S512" s="1" t="str">
        <f t="shared" si="39"/>
        <v>M036|46253|10000|</v>
      </c>
      <c r="T512" s="1">
        <f>IF($E512="",0,SUMPRODUCT((AY_SONU!$O$7:$O$42="Evet")*(AY_SONU!$B$7:$B$42=DATE(YEAR($E512),MONTH($E512),1))))</f>
        <v>0</v>
      </c>
    </row>
    <row r="513" spans="1:20" ht="18" customHeight="1" x14ac:dyDescent="0.3">
      <c r="A513" s="2"/>
      <c r="B513" s="65" t="str">
        <f t="shared" si="35"/>
        <v>T00507</v>
      </c>
      <c r="C513" s="65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M031</v>
      </c>
      <c r="D513" s="61" t="s">
        <v>603</v>
      </c>
      <c r="E513" s="66">
        <v>46254</v>
      </c>
      <c r="F513" s="67">
        <v>9000</v>
      </c>
      <c r="G513" s="60" t="s">
        <v>713</v>
      </c>
      <c r="H513" s="60" t="s">
        <v>568</v>
      </c>
      <c r="I513" s="61"/>
      <c r="J513" s="61" t="s">
        <v>717</v>
      </c>
      <c r="K513" s="61"/>
      <c r="L513" s="73">
        <f t="shared" si="36"/>
        <v>46235</v>
      </c>
      <c r="M513" s="65" t="str">
        <f t="shared" ca="1" si="37"/>
        <v>UYGUN</v>
      </c>
      <c r="N513" s="74" t="str">
        <f>IF($C513="","",IF($C513="TANIMSIZ MÜŞTERİ","—",INDEX(MUSTERILER!$C$7:$C$156,MATCH($C513,MUSTERILER!$B$7:$B$156,0))))</f>
        <v>HALİL AVŞAR</v>
      </c>
      <c r="O513" s="2"/>
      <c r="P513" s="2"/>
      <c r="Q513" s="1" t="str">
        <f>IF($D513="","",$C513&amp;"|"&amp;COUNTIFS($C$7:$C513,$C513))</f>
        <v>M031|2</v>
      </c>
      <c r="R513" s="1" t="str">
        <f t="shared" si="38"/>
        <v>HALILAVSAR</v>
      </c>
      <c r="S513" s="1" t="str">
        <f t="shared" si="39"/>
        <v>M031|46254|9000|</v>
      </c>
      <c r="T513" s="1">
        <f>IF($E513="",0,SUMPRODUCT((AY_SONU!$O$7:$O$42="Evet")*(AY_SONU!$B$7:$B$42=DATE(YEAR($E513),MONTH($E513),1))))</f>
        <v>0</v>
      </c>
    </row>
    <row r="514" spans="1:20" ht="18" customHeight="1" x14ac:dyDescent="0.3">
      <c r="A514" s="2"/>
      <c r="B514" s="65" t="str">
        <f t="shared" si="35"/>
        <v>T00508</v>
      </c>
      <c r="C514" s="65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M022</v>
      </c>
      <c r="D514" s="61" t="s">
        <v>570</v>
      </c>
      <c r="E514" s="66">
        <v>46254</v>
      </c>
      <c r="F514" s="67">
        <v>3000</v>
      </c>
      <c r="G514" s="60" t="s">
        <v>713</v>
      </c>
      <c r="H514" s="60" t="s">
        <v>568</v>
      </c>
      <c r="I514" s="61"/>
      <c r="J514" s="61" t="s">
        <v>717</v>
      </c>
      <c r="K514" s="61"/>
      <c r="L514" s="73">
        <f t="shared" si="36"/>
        <v>46235</v>
      </c>
      <c r="M514" s="65" t="str">
        <f t="shared" ca="1" si="37"/>
        <v>UYGUN</v>
      </c>
      <c r="N514" s="74" t="str">
        <f>IF($C514="","",IF($C514="TANIMSIZ MÜŞTERİ","—",INDEX(MUSTERILER!$C$7:$C$156,MATCH($C514,MUSTERILER!$B$7:$B$156,0))))</f>
        <v>ADEM KARABENLİ</v>
      </c>
      <c r="O514" s="2"/>
      <c r="P514" s="2"/>
      <c r="Q514" s="1" t="str">
        <f>IF($D514="","",$C514&amp;"|"&amp;COUNTIFS($C$7:$C514,$C514))</f>
        <v>M022|1</v>
      </c>
      <c r="R514" s="1" t="str">
        <f t="shared" si="38"/>
        <v>ADEMKARABENLI</v>
      </c>
      <c r="S514" s="1" t="str">
        <f t="shared" si="39"/>
        <v>M022|46254|3000|</v>
      </c>
      <c r="T514" s="1">
        <f>IF($E514="",0,SUMPRODUCT((AY_SONU!$O$7:$O$42="Evet")*(AY_SONU!$B$7:$B$42=DATE(YEAR($E514),MONTH($E514),1))))</f>
        <v>0</v>
      </c>
    </row>
    <row r="515" spans="1:20" ht="18" customHeight="1" x14ac:dyDescent="0.3">
      <c r="A515" s="2"/>
      <c r="B515" s="65" t="str">
        <f t="shared" si="35"/>
        <v>T00509</v>
      </c>
      <c r="C515" s="65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M015</v>
      </c>
      <c r="D515" s="61" t="s">
        <v>585</v>
      </c>
      <c r="E515" s="66">
        <v>46254</v>
      </c>
      <c r="F515" s="67">
        <v>2500</v>
      </c>
      <c r="G515" s="60" t="s">
        <v>713</v>
      </c>
      <c r="H515" s="60" t="s">
        <v>568</v>
      </c>
      <c r="I515" s="61"/>
      <c r="J515" s="61" t="s">
        <v>717</v>
      </c>
      <c r="K515" s="61"/>
      <c r="L515" s="73">
        <f t="shared" si="36"/>
        <v>46235</v>
      </c>
      <c r="M515" s="65" t="str">
        <f t="shared" ca="1" si="37"/>
        <v>UYGUN</v>
      </c>
      <c r="N515" s="74" t="str">
        <f>IF($C515="","",IF($C515="TANIMSIZ MÜŞTERİ","—",INDEX(MUSTERILER!$C$7:$C$156,MATCH($C515,MUSTERILER!$B$7:$B$156,0))))</f>
        <v>ÇAYIRALAN LTD.ŞTİ.</v>
      </c>
      <c r="O515" s="2"/>
      <c r="P515" s="2"/>
      <c r="Q515" s="1" t="str">
        <f>IF($D515="","",$C515&amp;"|"&amp;COUNTIFS($C$7:$C515,$C515))</f>
        <v>M015|29</v>
      </c>
      <c r="R515" s="1" t="str">
        <f t="shared" si="38"/>
        <v>CAYIRALANLTDSTI</v>
      </c>
      <c r="S515" s="1" t="str">
        <f t="shared" si="39"/>
        <v>M015|46254|2500|</v>
      </c>
      <c r="T515" s="1">
        <f>IF($E515="",0,SUMPRODUCT((AY_SONU!$O$7:$O$42="Evet")*(AY_SONU!$B$7:$B$42=DATE(YEAR($E515),MONTH($E515),1))))</f>
        <v>0</v>
      </c>
    </row>
    <row r="516" spans="1:20" ht="18" customHeight="1" x14ac:dyDescent="0.3">
      <c r="A516" s="2"/>
      <c r="B516" s="65" t="str">
        <f t="shared" si="35"/>
        <v>T00510</v>
      </c>
      <c r="C516" s="65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M038</v>
      </c>
      <c r="D516" s="61" t="s">
        <v>623</v>
      </c>
      <c r="E516" s="66">
        <v>46254</v>
      </c>
      <c r="F516" s="67">
        <v>12000</v>
      </c>
      <c r="G516" s="60" t="s">
        <v>713</v>
      </c>
      <c r="H516" s="60" t="s">
        <v>568</v>
      </c>
      <c r="I516" s="61"/>
      <c r="J516" s="61" t="s">
        <v>717</v>
      </c>
      <c r="K516" s="61"/>
      <c r="L516" s="73">
        <f t="shared" si="36"/>
        <v>46235</v>
      </c>
      <c r="M516" s="65" t="str">
        <f t="shared" ca="1" si="37"/>
        <v>UYGUN</v>
      </c>
      <c r="N516" s="74" t="str">
        <f>IF($C516="","",IF($C516="TANIMSIZ MÜŞTERİ","—",INDEX(MUSTERILER!$C$7:$C$156,MATCH($C516,MUSTERILER!$B$7:$B$156,0))))</f>
        <v>MELEK GÜLER</v>
      </c>
      <c r="O516" s="2"/>
      <c r="P516" s="2"/>
      <c r="Q516" s="1" t="str">
        <f>IF($D516="","",$C516&amp;"|"&amp;COUNTIFS($C$7:$C516,$C516))</f>
        <v>M038|2</v>
      </c>
      <c r="R516" s="1" t="str">
        <f t="shared" si="38"/>
        <v>MELEKGULER</v>
      </c>
      <c r="S516" s="1" t="str">
        <f t="shared" si="39"/>
        <v>M038|46254|12000|</v>
      </c>
      <c r="T516" s="1">
        <f>IF($E516="",0,SUMPRODUCT((AY_SONU!$O$7:$O$42="Evet")*(AY_SONU!$B$7:$B$42=DATE(YEAR($E516),MONTH($E516),1))))</f>
        <v>0</v>
      </c>
    </row>
    <row r="517" spans="1:20" ht="18" customHeight="1" x14ac:dyDescent="0.3">
      <c r="A517" s="2"/>
      <c r="B517" s="65" t="str">
        <f t="shared" si="35"/>
        <v>T00511</v>
      </c>
      <c r="C517" s="65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M046</v>
      </c>
      <c r="D517" s="61" t="s">
        <v>643</v>
      </c>
      <c r="E517" s="66">
        <v>46200</v>
      </c>
      <c r="F517" s="67">
        <v>3500</v>
      </c>
      <c r="G517" s="60" t="s">
        <v>715</v>
      </c>
      <c r="H517" s="60" t="s">
        <v>568</v>
      </c>
      <c r="I517" s="61"/>
      <c r="J517" s="61" t="s">
        <v>717</v>
      </c>
      <c r="K517" s="61"/>
      <c r="L517" s="73">
        <f t="shared" si="36"/>
        <v>46174</v>
      </c>
      <c r="M517" s="65" t="str">
        <f t="shared" ca="1" si="37"/>
        <v>UYGUN</v>
      </c>
      <c r="N517" s="74" t="str">
        <f>IF($C517="","",IF($C517="TANIMSIZ MÜŞTERİ","—",INDEX(MUSTERILER!$C$7:$C$156,MATCH($C517,MUSTERILER!$B$7:$B$156,0))))</f>
        <v>ÖMER DEMİRCİ</v>
      </c>
      <c r="O517" s="2"/>
      <c r="P517" s="2"/>
      <c r="Q517" s="1" t="str">
        <f>IF($D517="","",$C517&amp;"|"&amp;COUNTIFS($C$7:$C517,$C517))</f>
        <v>M046|1</v>
      </c>
      <c r="R517" s="1" t="str">
        <f t="shared" si="38"/>
        <v>OMERDEMIRCI</v>
      </c>
      <c r="S517" s="1" t="str">
        <f t="shared" si="39"/>
        <v>M046|46200|3500|</v>
      </c>
      <c r="T517" s="1">
        <f>IF($E517="",0,SUMPRODUCT((AY_SONU!$O$7:$O$42="Evet")*(AY_SONU!$B$7:$B$42=DATE(YEAR($E517),MONTH($E517),1))))</f>
        <v>0</v>
      </c>
    </row>
    <row r="518" spans="1:20" ht="18" customHeight="1" x14ac:dyDescent="0.3">
      <c r="A518" s="2"/>
      <c r="B518" s="65" t="str">
        <f t="shared" si="35"/>
        <v>T00512</v>
      </c>
      <c r="C518" s="65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M046</v>
      </c>
      <c r="D518" s="61" t="s">
        <v>643</v>
      </c>
      <c r="E518" s="66">
        <v>46221</v>
      </c>
      <c r="F518" s="67">
        <v>3500</v>
      </c>
      <c r="G518" s="60" t="s">
        <v>715</v>
      </c>
      <c r="H518" s="60" t="s">
        <v>568</v>
      </c>
      <c r="I518" s="61"/>
      <c r="J518" s="61" t="s">
        <v>717</v>
      </c>
      <c r="K518" s="61"/>
      <c r="L518" s="73">
        <f t="shared" si="36"/>
        <v>46204</v>
      </c>
      <c r="M518" s="65" t="str">
        <f t="shared" ca="1" si="37"/>
        <v>UYGUN</v>
      </c>
      <c r="N518" s="74" t="str">
        <f>IF($C518="","",IF($C518="TANIMSIZ MÜŞTERİ","—",INDEX(MUSTERILER!$C$7:$C$156,MATCH($C518,MUSTERILER!$B$7:$B$156,0))))</f>
        <v>ÖMER DEMİRCİ</v>
      </c>
      <c r="O518" s="2"/>
      <c r="P518" s="2"/>
      <c r="Q518" s="1" t="str">
        <f>IF($D518="","",$C518&amp;"|"&amp;COUNTIFS($C$7:$C518,$C518))</f>
        <v>M046|2</v>
      </c>
      <c r="R518" s="1" t="str">
        <f t="shared" si="38"/>
        <v>OMERDEMIRCI</v>
      </c>
      <c r="S518" s="1" t="str">
        <f t="shared" si="39"/>
        <v>M046|46221|3500|</v>
      </c>
      <c r="T518" s="1">
        <f>IF($E518="",0,SUMPRODUCT((AY_SONU!$O$7:$O$42="Evet")*(AY_SONU!$B$7:$B$42=DATE(YEAR($E518),MONTH($E518),1))))</f>
        <v>0</v>
      </c>
    </row>
    <row r="519" spans="1:20" ht="18" customHeight="1" x14ac:dyDescent="0.3">
      <c r="A519" s="2"/>
      <c r="B519" s="65" t="str">
        <f t="shared" ref="B519:B582" si="40">IF($D519="","","T"&amp;TEXT(ROW()-6,"00000"))</f>
        <v>T00513</v>
      </c>
      <c r="C519" s="65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>M037</v>
      </c>
      <c r="D519" s="61" t="s">
        <v>621</v>
      </c>
      <c r="E519" s="66">
        <v>46258</v>
      </c>
      <c r="F519" s="67">
        <v>2000</v>
      </c>
      <c r="G519" s="60" t="s">
        <v>713</v>
      </c>
      <c r="H519" s="60" t="s">
        <v>568</v>
      </c>
      <c r="I519" s="61"/>
      <c r="J519" s="61" t="s">
        <v>717</v>
      </c>
      <c r="K519" s="61"/>
      <c r="L519" s="73">
        <f t="shared" ref="L519:L582" si="41">IF($E519="","",DATE(YEAR($E519),MONTH($E519),1))</f>
        <v>46235</v>
      </c>
      <c r="M519" s="65" t="str">
        <f t="shared" ref="M519:M582" ca="1" si="42">IF($D519="","",IF($C519="TANIMSIZ MÜŞTERİ","HATA",IF(OR($E519="",$F519&lt;=0,$G519=""),"EKSİK",IF($E519&gt;TODAY(),"İLERİ TARİH",IF(COUNTIF($S$7:$S$2506,$S519)&gt;1,"MÜKERRER?",IF($T519&gt;0,"KAPALI DÖNEM","UYGUN"))))))</f>
        <v>UYGUN</v>
      </c>
      <c r="N519" s="74" t="str">
        <f>IF($C519="","",IF($C519="TANIMSIZ MÜŞTERİ","—",INDEX(MUSTERILER!$C$7:$C$156,MATCH($C519,MUSTERILER!$B$7:$B$156,0))))</f>
        <v>MEHMET EVREN KILINÇ</v>
      </c>
      <c r="O519" s="2"/>
      <c r="P519" s="2"/>
      <c r="Q519" s="1" t="str">
        <f>IF($D519="","",$C519&amp;"|"&amp;COUNTIFS($C$7:$C519,$C519))</f>
        <v>M037|7</v>
      </c>
      <c r="R519" s="1" t="str">
        <f t="shared" ref="R519:R582" si="43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>MEHMETEVRENKILINC</v>
      </c>
      <c r="S519" s="1" t="str">
        <f t="shared" ref="S519:S582" si="44">IF($D519="","",$C519&amp;"|"&amp;TEXT($E519,"0")&amp;"|"&amp;TEXT($F519,"0")&amp;"|"&amp;$I519)</f>
        <v>M037|46258|2000|</v>
      </c>
      <c r="T519" s="1">
        <f>IF($E519="",0,SUMPRODUCT((AY_SONU!$O$7:$O$42="Evet")*(AY_SONU!$B$7:$B$42=DATE(YEAR($E519),MONTH($E519),1))))</f>
        <v>0</v>
      </c>
    </row>
    <row r="520" spans="1:20" ht="18" customHeight="1" x14ac:dyDescent="0.3">
      <c r="A520" s="2"/>
      <c r="B520" s="65" t="str">
        <f t="shared" si="40"/>
        <v/>
      </c>
      <c r="C520" s="65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61"/>
      <c r="E520" s="66"/>
      <c r="F520" s="67"/>
      <c r="G520" s="60"/>
      <c r="H520" s="60"/>
      <c r="I520" s="61"/>
      <c r="J520" s="61"/>
      <c r="K520" s="61"/>
      <c r="L520" s="73" t="str">
        <f t="shared" si="41"/>
        <v/>
      </c>
      <c r="M520" s="65" t="str">
        <f t="shared" ca="1" si="42"/>
        <v/>
      </c>
      <c r="N520" s="74" t="str">
        <f>IF($C520="","",IF($C520="TANIMSIZ MÜŞTERİ","—",INDEX(MUSTERILER!$C$7:$C$156,MATCH($C520,MUSTERILER!$B$7:$B$156,0))))</f>
        <v/>
      </c>
      <c r="O520" s="2"/>
      <c r="P520" s="2"/>
      <c r="Q520" s="1" t="str">
        <f>IF($D520="","",$C520&amp;"|"&amp;COUNTIFS($C$7:$C520,$C520))</f>
        <v/>
      </c>
      <c r="R520" s="1" t="str">
        <f t="shared" si="43"/>
        <v/>
      </c>
      <c r="S520" s="1" t="str">
        <f t="shared" si="44"/>
        <v/>
      </c>
      <c r="T520" s="1">
        <f>IF($E520="",0,SUMPRODUCT((AY_SONU!$O$7:$O$42="Evet")*(AY_SONU!$B$7:$B$42=DATE(YEAR($E520),MONTH($E520),1))))</f>
        <v>0</v>
      </c>
    </row>
    <row r="521" spans="1:20" ht="18" customHeight="1" x14ac:dyDescent="0.3">
      <c r="A521" s="2"/>
      <c r="B521" s="65" t="str">
        <f t="shared" si="40"/>
        <v/>
      </c>
      <c r="C521" s="65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61"/>
      <c r="E521" s="66"/>
      <c r="F521" s="67"/>
      <c r="G521" s="60"/>
      <c r="H521" s="60"/>
      <c r="I521" s="61"/>
      <c r="J521" s="61"/>
      <c r="K521" s="61"/>
      <c r="L521" s="73" t="str">
        <f t="shared" si="41"/>
        <v/>
      </c>
      <c r="M521" s="65" t="str">
        <f t="shared" ca="1" si="42"/>
        <v/>
      </c>
      <c r="N521" s="74" t="str">
        <f>IF($C521="","",IF($C521="TANIMSIZ MÜŞTERİ","—",INDEX(MUSTERILER!$C$7:$C$156,MATCH($C521,MUSTERILER!$B$7:$B$156,0))))</f>
        <v/>
      </c>
      <c r="O521" s="2"/>
      <c r="P521" s="2"/>
      <c r="Q521" s="1" t="str">
        <f>IF($D521="","",$C521&amp;"|"&amp;COUNTIFS($C$7:$C521,$C521))</f>
        <v/>
      </c>
      <c r="R521" s="1" t="str">
        <f t="shared" si="43"/>
        <v/>
      </c>
      <c r="S521" s="1" t="str">
        <f t="shared" si="44"/>
        <v/>
      </c>
      <c r="T521" s="1">
        <f>IF($E521="",0,SUMPRODUCT((AY_SONU!$O$7:$O$42="Evet")*(AY_SONU!$B$7:$B$42=DATE(YEAR($E521),MONTH($E521),1))))</f>
        <v>0</v>
      </c>
    </row>
    <row r="522" spans="1:20" ht="18" customHeight="1" x14ac:dyDescent="0.3">
      <c r="A522" s="2"/>
      <c r="B522" s="65" t="str">
        <f t="shared" si="40"/>
        <v/>
      </c>
      <c r="C522" s="65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61"/>
      <c r="E522" s="66"/>
      <c r="F522" s="67"/>
      <c r="G522" s="60"/>
      <c r="H522" s="60"/>
      <c r="I522" s="61"/>
      <c r="J522" s="61"/>
      <c r="K522" s="61"/>
      <c r="L522" s="73" t="str">
        <f t="shared" si="41"/>
        <v/>
      </c>
      <c r="M522" s="65" t="str">
        <f t="shared" ca="1" si="42"/>
        <v/>
      </c>
      <c r="N522" s="74" t="str">
        <f>IF($C522="","",IF($C522="TANIMSIZ MÜŞTERİ","—",INDEX(MUSTERILER!$C$7:$C$156,MATCH($C522,MUSTERILER!$B$7:$B$156,0))))</f>
        <v/>
      </c>
      <c r="O522" s="2"/>
      <c r="P522" s="2"/>
      <c r="Q522" s="1" t="str">
        <f>IF($D522="","",$C522&amp;"|"&amp;COUNTIFS($C$7:$C522,$C522))</f>
        <v/>
      </c>
      <c r="R522" s="1" t="str">
        <f t="shared" si="43"/>
        <v/>
      </c>
      <c r="S522" s="1" t="str">
        <f t="shared" si="44"/>
        <v/>
      </c>
      <c r="T522" s="1">
        <f>IF($E522="",0,SUMPRODUCT((AY_SONU!$O$7:$O$42="Evet")*(AY_SONU!$B$7:$B$42=DATE(YEAR($E522),MONTH($E522),1))))</f>
        <v>0</v>
      </c>
    </row>
    <row r="523" spans="1:20" ht="18" customHeight="1" x14ac:dyDescent="0.3">
      <c r="A523" s="2"/>
      <c r="B523" s="65" t="str">
        <f t="shared" si="40"/>
        <v/>
      </c>
      <c r="C523" s="65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61"/>
      <c r="E523" s="66"/>
      <c r="F523" s="67"/>
      <c r="G523" s="60"/>
      <c r="H523" s="60"/>
      <c r="I523" s="61"/>
      <c r="J523" s="61"/>
      <c r="K523" s="61"/>
      <c r="L523" s="73" t="str">
        <f t="shared" si="41"/>
        <v/>
      </c>
      <c r="M523" s="65" t="str">
        <f t="shared" ca="1" si="42"/>
        <v/>
      </c>
      <c r="N523" s="74" t="str">
        <f>IF($C523="","",IF($C523="TANIMSIZ MÜŞTERİ","—",INDEX(MUSTERILER!$C$7:$C$156,MATCH($C523,MUSTERILER!$B$7:$B$156,0))))</f>
        <v/>
      </c>
      <c r="O523" s="2"/>
      <c r="P523" s="2"/>
      <c r="Q523" s="1" t="str">
        <f>IF($D523="","",$C523&amp;"|"&amp;COUNTIFS($C$7:$C523,$C523))</f>
        <v/>
      </c>
      <c r="R523" s="1" t="str">
        <f t="shared" si="43"/>
        <v/>
      </c>
      <c r="S523" s="1" t="str">
        <f t="shared" si="44"/>
        <v/>
      </c>
      <c r="T523" s="1">
        <f>IF($E523="",0,SUMPRODUCT((AY_SONU!$O$7:$O$42="Evet")*(AY_SONU!$B$7:$B$42=DATE(YEAR($E523),MONTH($E523),1))))</f>
        <v>0</v>
      </c>
    </row>
    <row r="524" spans="1:20" ht="18" customHeight="1" x14ac:dyDescent="0.3">
      <c r="A524" s="2"/>
      <c r="B524" s="65" t="str">
        <f t="shared" si="40"/>
        <v/>
      </c>
      <c r="C524" s="65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61"/>
      <c r="E524" s="66"/>
      <c r="F524" s="67"/>
      <c r="G524" s="60"/>
      <c r="H524" s="60"/>
      <c r="I524" s="61"/>
      <c r="J524" s="61"/>
      <c r="K524" s="61"/>
      <c r="L524" s="73" t="str">
        <f t="shared" si="41"/>
        <v/>
      </c>
      <c r="M524" s="65" t="str">
        <f t="shared" ca="1" si="42"/>
        <v/>
      </c>
      <c r="N524" s="74" t="str">
        <f>IF($C524="","",IF($C524="TANIMSIZ MÜŞTERİ","—",INDEX(MUSTERILER!$C$7:$C$156,MATCH($C524,MUSTERILER!$B$7:$B$156,0))))</f>
        <v/>
      </c>
      <c r="O524" s="2"/>
      <c r="P524" s="2"/>
      <c r="Q524" s="1" t="str">
        <f>IF($D524="","",$C524&amp;"|"&amp;COUNTIFS($C$7:$C524,$C524))</f>
        <v/>
      </c>
      <c r="R524" s="1" t="str">
        <f t="shared" si="43"/>
        <v/>
      </c>
      <c r="S524" s="1" t="str">
        <f t="shared" si="44"/>
        <v/>
      </c>
      <c r="T524" s="1">
        <f>IF($E524="",0,SUMPRODUCT((AY_SONU!$O$7:$O$42="Evet")*(AY_SONU!$B$7:$B$42=DATE(YEAR($E524),MONTH($E524),1))))</f>
        <v>0</v>
      </c>
    </row>
    <row r="525" spans="1:20" ht="18" customHeight="1" x14ac:dyDescent="0.3">
      <c r="A525" s="2"/>
      <c r="B525" s="65" t="str">
        <f t="shared" si="40"/>
        <v/>
      </c>
      <c r="C525" s="65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61"/>
      <c r="E525" s="66"/>
      <c r="F525" s="67"/>
      <c r="G525" s="60"/>
      <c r="H525" s="60"/>
      <c r="I525" s="61"/>
      <c r="J525" s="61"/>
      <c r="K525" s="61"/>
      <c r="L525" s="73" t="str">
        <f t="shared" si="41"/>
        <v/>
      </c>
      <c r="M525" s="65" t="str">
        <f t="shared" ca="1" si="42"/>
        <v/>
      </c>
      <c r="N525" s="74" t="str">
        <f>IF($C525="","",IF($C525="TANIMSIZ MÜŞTERİ","—",INDEX(MUSTERILER!$C$7:$C$156,MATCH($C525,MUSTERILER!$B$7:$B$156,0))))</f>
        <v/>
      </c>
      <c r="O525" s="2"/>
      <c r="P525" s="2"/>
      <c r="Q525" s="1" t="str">
        <f>IF($D525="","",$C525&amp;"|"&amp;COUNTIFS($C$7:$C525,$C525))</f>
        <v/>
      </c>
      <c r="R525" s="1" t="str">
        <f t="shared" si="43"/>
        <v/>
      </c>
      <c r="S525" s="1" t="str">
        <f t="shared" si="44"/>
        <v/>
      </c>
      <c r="T525" s="1">
        <f>IF($E525="",0,SUMPRODUCT((AY_SONU!$O$7:$O$42="Evet")*(AY_SONU!$B$7:$B$42=DATE(YEAR($E525),MONTH($E525),1))))</f>
        <v>0</v>
      </c>
    </row>
    <row r="526" spans="1:20" ht="18" customHeight="1" x14ac:dyDescent="0.3">
      <c r="A526" s="2"/>
      <c r="B526" s="65" t="str">
        <f t="shared" si="40"/>
        <v/>
      </c>
      <c r="C526" s="65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61"/>
      <c r="E526" s="66"/>
      <c r="F526" s="67"/>
      <c r="G526" s="60"/>
      <c r="H526" s="60"/>
      <c r="I526" s="61"/>
      <c r="J526" s="61"/>
      <c r="K526" s="61"/>
      <c r="L526" s="73" t="str">
        <f t="shared" si="41"/>
        <v/>
      </c>
      <c r="M526" s="65" t="str">
        <f t="shared" ca="1" si="42"/>
        <v/>
      </c>
      <c r="N526" s="74" t="str">
        <f>IF($C526="","",IF($C526="TANIMSIZ MÜŞTERİ","—",INDEX(MUSTERILER!$C$7:$C$156,MATCH($C526,MUSTERILER!$B$7:$B$156,0))))</f>
        <v/>
      </c>
      <c r="O526" s="2"/>
      <c r="P526" s="2"/>
      <c r="Q526" s="1" t="str">
        <f>IF($D526="","",$C526&amp;"|"&amp;COUNTIFS($C$7:$C526,$C526))</f>
        <v/>
      </c>
      <c r="R526" s="1" t="str">
        <f t="shared" si="43"/>
        <v/>
      </c>
      <c r="S526" s="1" t="str">
        <f t="shared" si="44"/>
        <v/>
      </c>
      <c r="T526" s="1">
        <f>IF($E526="",0,SUMPRODUCT((AY_SONU!$O$7:$O$42="Evet")*(AY_SONU!$B$7:$B$42=DATE(YEAR($E526),MONTH($E526),1))))</f>
        <v>0</v>
      </c>
    </row>
    <row r="527" spans="1:20" ht="18" customHeight="1" x14ac:dyDescent="0.3">
      <c r="A527" s="2"/>
      <c r="B527" s="65" t="str">
        <f t="shared" si="40"/>
        <v/>
      </c>
      <c r="C527" s="65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61"/>
      <c r="E527" s="66"/>
      <c r="F527" s="67"/>
      <c r="G527" s="60"/>
      <c r="H527" s="60"/>
      <c r="I527" s="61"/>
      <c r="J527" s="61"/>
      <c r="K527" s="61"/>
      <c r="L527" s="73" t="str">
        <f t="shared" si="41"/>
        <v/>
      </c>
      <c r="M527" s="65" t="str">
        <f t="shared" ca="1" si="42"/>
        <v/>
      </c>
      <c r="N527" s="74" t="str">
        <f>IF($C527="","",IF($C527="TANIMSIZ MÜŞTERİ","—",INDEX(MUSTERILER!$C$7:$C$156,MATCH($C527,MUSTERILER!$B$7:$B$156,0))))</f>
        <v/>
      </c>
      <c r="O527" s="2"/>
      <c r="P527" s="2"/>
      <c r="Q527" s="1" t="str">
        <f>IF($D527="","",$C527&amp;"|"&amp;COUNTIFS($C$7:$C527,$C527))</f>
        <v/>
      </c>
      <c r="R527" s="1" t="str">
        <f t="shared" si="43"/>
        <v/>
      </c>
      <c r="S527" s="1" t="str">
        <f t="shared" si="44"/>
        <v/>
      </c>
      <c r="T527" s="1">
        <f>IF($E527="",0,SUMPRODUCT((AY_SONU!$O$7:$O$42="Evet")*(AY_SONU!$B$7:$B$42=DATE(YEAR($E527),MONTH($E527),1))))</f>
        <v>0</v>
      </c>
    </row>
    <row r="528" spans="1:20" ht="18" customHeight="1" x14ac:dyDescent="0.3">
      <c r="A528" s="2"/>
      <c r="B528" s="65" t="str">
        <f t="shared" si="40"/>
        <v/>
      </c>
      <c r="C528" s="65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61"/>
      <c r="E528" s="66"/>
      <c r="F528" s="67"/>
      <c r="G528" s="60"/>
      <c r="H528" s="60"/>
      <c r="I528" s="61"/>
      <c r="J528" s="61"/>
      <c r="K528" s="61"/>
      <c r="L528" s="73" t="str">
        <f t="shared" si="41"/>
        <v/>
      </c>
      <c r="M528" s="65" t="str">
        <f t="shared" ca="1" si="42"/>
        <v/>
      </c>
      <c r="N528" s="74" t="str">
        <f>IF($C528="","",IF($C528="TANIMSIZ MÜŞTERİ","—",INDEX(MUSTERILER!$C$7:$C$156,MATCH($C528,MUSTERILER!$B$7:$B$156,0))))</f>
        <v/>
      </c>
      <c r="O528" s="2"/>
      <c r="P528" s="2"/>
      <c r="Q528" s="1" t="str">
        <f>IF($D528="","",$C528&amp;"|"&amp;COUNTIFS($C$7:$C528,$C528))</f>
        <v/>
      </c>
      <c r="R528" s="1" t="str">
        <f t="shared" si="43"/>
        <v/>
      </c>
      <c r="S528" s="1" t="str">
        <f t="shared" si="44"/>
        <v/>
      </c>
      <c r="T528" s="1">
        <f>IF($E528="",0,SUMPRODUCT((AY_SONU!$O$7:$O$42="Evet")*(AY_SONU!$B$7:$B$42=DATE(YEAR($E528),MONTH($E528),1))))</f>
        <v>0</v>
      </c>
    </row>
    <row r="529" spans="1:20" ht="18" customHeight="1" x14ac:dyDescent="0.3">
      <c r="A529" s="2"/>
      <c r="B529" s="65" t="str">
        <f t="shared" si="40"/>
        <v/>
      </c>
      <c r="C529" s="65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61"/>
      <c r="E529" s="66"/>
      <c r="F529" s="67"/>
      <c r="G529" s="60"/>
      <c r="H529" s="60"/>
      <c r="I529" s="61"/>
      <c r="J529" s="61"/>
      <c r="K529" s="61"/>
      <c r="L529" s="73" t="str">
        <f t="shared" si="41"/>
        <v/>
      </c>
      <c r="M529" s="65" t="str">
        <f t="shared" ca="1" si="42"/>
        <v/>
      </c>
      <c r="N529" s="74" t="str">
        <f>IF($C529="","",IF($C529="TANIMSIZ MÜŞTERİ","—",INDEX(MUSTERILER!$C$7:$C$156,MATCH($C529,MUSTERILER!$B$7:$B$156,0))))</f>
        <v/>
      </c>
      <c r="O529" s="2"/>
      <c r="P529" s="2"/>
      <c r="Q529" s="1" t="str">
        <f>IF($D529="","",$C529&amp;"|"&amp;COUNTIFS($C$7:$C529,$C529))</f>
        <v/>
      </c>
      <c r="R529" s="1" t="str">
        <f t="shared" si="43"/>
        <v/>
      </c>
      <c r="S529" s="1" t="str">
        <f t="shared" si="44"/>
        <v/>
      </c>
      <c r="T529" s="1">
        <f>IF($E529="",0,SUMPRODUCT((AY_SONU!$O$7:$O$42="Evet")*(AY_SONU!$B$7:$B$42=DATE(YEAR($E529),MONTH($E529),1))))</f>
        <v>0</v>
      </c>
    </row>
    <row r="530" spans="1:20" ht="18" customHeight="1" x14ac:dyDescent="0.3">
      <c r="A530" s="2"/>
      <c r="B530" s="65" t="str">
        <f t="shared" si="40"/>
        <v/>
      </c>
      <c r="C530" s="65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61"/>
      <c r="E530" s="66"/>
      <c r="F530" s="67"/>
      <c r="G530" s="60"/>
      <c r="H530" s="60"/>
      <c r="I530" s="61"/>
      <c r="J530" s="61"/>
      <c r="K530" s="61"/>
      <c r="L530" s="73" t="str">
        <f t="shared" si="41"/>
        <v/>
      </c>
      <c r="M530" s="65" t="str">
        <f t="shared" ca="1" si="42"/>
        <v/>
      </c>
      <c r="N530" s="74" t="str">
        <f>IF($C530="","",IF($C530="TANIMSIZ MÜŞTERİ","—",INDEX(MUSTERILER!$C$7:$C$156,MATCH($C530,MUSTERILER!$B$7:$B$156,0))))</f>
        <v/>
      </c>
      <c r="O530" s="2"/>
      <c r="P530" s="2"/>
      <c r="Q530" s="1" t="str">
        <f>IF($D530="","",$C530&amp;"|"&amp;COUNTIFS($C$7:$C530,$C530))</f>
        <v/>
      </c>
      <c r="R530" s="1" t="str">
        <f t="shared" si="43"/>
        <v/>
      </c>
      <c r="S530" s="1" t="str">
        <f t="shared" si="44"/>
        <v/>
      </c>
      <c r="T530" s="1">
        <f>IF($E530="",0,SUMPRODUCT((AY_SONU!$O$7:$O$42="Evet")*(AY_SONU!$B$7:$B$42=DATE(YEAR($E530),MONTH($E530),1))))</f>
        <v>0</v>
      </c>
    </row>
    <row r="531" spans="1:20" ht="18" customHeight="1" x14ac:dyDescent="0.3">
      <c r="A531" s="2"/>
      <c r="B531" s="65" t="str">
        <f t="shared" si="40"/>
        <v/>
      </c>
      <c r="C531" s="65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61"/>
      <c r="E531" s="66"/>
      <c r="F531" s="67"/>
      <c r="G531" s="60"/>
      <c r="H531" s="60"/>
      <c r="I531" s="61"/>
      <c r="J531" s="61"/>
      <c r="K531" s="61"/>
      <c r="L531" s="73" t="str">
        <f t="shared" si="41"/>
        <v/>
      </c>
      <c r="M531" s="65" t="str">
        <f t="shared" ca="1" si="42"/>
        <v/>
      </c>
      <c r="N531" s="74" t="str">
        <f>IF($C531="","",IF($C531="TANIMSIZ MÜŞTERİ","—",INDEX(MUSTERILER!$C$7:$C$156,MATCH($C531,MUSTERILER!$B$7:$B$156,0))))</f>
        <v/>
      </c>
      <c r="O531" s="2"/>
      <c r="P531" s="2"/>
      <c r="Q531" s="1" t="str">
        <f>IF($D531="","",$C531&amp;"|"&amp;COUNTIFS($C$7:$C531,$C531))</f>
        <v/>
      </c>
      <c r="R531" s="1" t="str">
        <f t="shared" si="43"/>
        <v/>
      </c>
      <c r="S531" s="1" t="str">
        <f t="shared" si="44"/>
        <v/>
      </c>
      <c r="T531" s="1">
        <f>IF($E531="",0,SUMPRODUCT((AY_SONU!$O$7:$O$42="Evet")*(AY_SONU!$B$7:$B$42=DATE(YEAR($E531),MONTH($E531),1))))</f>
        <v>0</v>
      </c>
    </row>
    <row r="532" spans="1:20" ht="18" customHeight="1" x14ac:dyDescent="0.3">
      <c r="A532" s="2"/>
      <c r="B532" s="65" t="str">
        <f t="shared" si="40"/>
        <v/>
      </c>
      <c r="C532" s="65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61"/>
      <c r="E532" s="66"/>
      <c r="F532" s="67"/>
      <c r="G532" s="60"/>
      <c r="H532" s="60"/>
      <c r="I532" s="61"/>
      <c r="J532" s="61"/>
      <c r="K532" s="61"/>
      <c r="L532" s="73" t="str">
        <f t="shared" si="41"/>
        <v/>
      </c>
      <c r="M532" s="65" t="str">
        <f t="shared" ca="1" si="42"/>
        <v/>
      </c>
      <c r="N532" s="74" t="str">
        <f>IF($C532="","",IF($C532="TANIMSIZ MÜŞTERİ","—",INDEX(MUSTERILER!$C$7:$C$156,MATCH($C532,MUSTERILER!$B$7:$B$156,0))))</f>
        <v/>
      </c>
      <c r="O532" s="2"/>
      <c r="P532" s="2"/>
      <c r="Q532" s="1" t="str">
        <f>IF($D532="","",$C532&amp;"|"&amp;COUNTIFS($C$7:$C532,$C532))</f>
        <v/>
      </c>
      <c r="R532" s="1" t="str">
        <f t="shared" si="43"/>
        <v/>
      </c>
      <c r="S532" s="1" t="str">
        <f t="shared" si="44"/>
        <v/>
      </c>
      <c r="T532" s="1">
        <f>IF($E532="",0,SUMPRODUCT((AY_SONU!$O$7:$O$42="Evet")*(AY_SONU!$B$7:$B$42=DATE(YEAR($E532),MONTH($E532),1))))</f>
        <v>0</v>
      </c>
    </row>
    <row r="533" spans="1:20" ht="18" customHeight="1" x14ac:dyDescent="0.3">
      <c r="A533" s="2"/>
      <c r="B533" s="65" t="str">
        <f t="shared" si="40"/>
        <v/>
      </c>
      <c r="C533" s="65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61"/>
      <c r="E533" s="66"/>
      <c r="F533" s="67"/>
      <c r="G533" s="60"/>
      <c r="H533" s="60"/>
      <c r="I533" s="61"/>
      <c r="J533" s="61"/>
      <c r="K533" s="61"/>
      <c r="L533" s="73" t="str">
        <f t="shared" si="41"/>
        <v/>
      </c>
      <c r="M533" s="65" t="str">
        <f t="shared" ca="1" si="42"/>
        <v/>
      </c>
      <c r="N533" s="74" t="str">
        <f>IF($C533="","",IF($C533="TANIMSIZ MÜŞTERİ","—",INDEX(MUSTERILER!$C$7:$C$156,MATCH($C533,MUSTERILER!$B$7:$B$156,0))))</f>
        <v/>
      </c>
      <c r="O533" s="2"/>
      <c r="P533" s="2"/>
      <c r="Q533" s="1" t="str">
        <f>IF($D533="","",$C533&amp;"|"&amp;COUNTIFS($C$7:$C533,$C533))</f>
        <v/>
      </c>
      <c r="R533" s="1" t="str">
        <f t="shared" si="43"/>
        <v/>
      </c>
      <c r="S533" s="1" t="str">
        <f t="shared" si="44"/>
        <v/>
      </c>
      <c r="T533" s="1">
        <f>IF($E533="",0,SUMPRODUCT((AY_SONU!$O$7:$O$42="Evet")*(AY_SONU!$B$7:$B$42=DATE(YEAR($E533),MONTH($E533),1))))</f>
        <v>0</v>
      </c>
    </row>
    <row r="534" spans="1:20" ht="18" customHeight="1" x14ac:dyDescent="0.3">
      <c r="A534" s="2"/>
      <c r="B534" s="65" t="str">
        <f t="shared" si="40"/>
        <v/>
      </c>
      <c r="C534" s="65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61"/>
      <c r="E534" s="66"/>
      <c r="F534" s="67"/>
      <c r="G534" s="60"/>
      <c r="H534" s="60"/>
      <c r="I534" s="61"/>
      <c r="J534" s="61"/>
      <c r="K534" s="61"/>
      <c r="L534" s="73" t="str">
        <f t="shared" si="41"/>
        <v/>
      </c>
      <c r="M534" s="65" t="str">
        <f t="shared" ca="1" si="42"/>
        <v/>
      </c>
      <c r="N534" s="74" t="str">
        <f>IF($C534="","",IF($C534="TANIMSIZ MÜŞTERİ","—",INDEX(MUSTERILER!$C$7:$C$156,MATCH($C534,MUSTERILER!$B$7:$B$156,0))))</f>
        <v/>
      </c>
      <c r="O534" s="2"/>
      <c r="P534" s="2"/>
      <c r="Q534" s="1" t="str">
        <f>IF($D534="","",$C534&amp;"|"&amp;COUNTIFS($C$7:$C534,$C534))</f>
        <v/>
      </c>
      <c r="R534" s="1" t="str">
        <f t="shared" si="43"/>
        <v/>
      </c>
      <c r="S534" s="1" t="str">
        <f t="shared" si="44"/>
        <v/>
      </c>
      <c r="T534" s="1">
        <f>IF($E534="",0,SUMPRODUCT((AY_SONU!$O$7:$O$42="Evet")*(AY_SONU!$B$7:$B$42=DATE(YEAR($E534),MONTH($E534),1))))</f>
        <v>0</v>
      </c>
    </row>
    <row r="535" spans="1:20" ht="18" customHeight="1" x14ac:dyDescent="0.3">
      <c r="A535" s="2"/>
      <c r="B535" s="65" t="str">
        <f t="shared" si="40"/>
        <v/>
      </c>
      <c r="C535" s="65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61"/>
      <c r="E535" s="66"/>
      <c r="F535" s="67"/>
      <c r="G535" s="60"/>
      <c r="H535" s="60"/>
      <c r="I535" s="61"/>
      <c r="J535" s="61"/>
      <c r="K535" s="61"/>
      <c r="L535" s="73" t="str">
        <f t="shared" si="41"/>
        <v/>
      </c>
      <c r="M535" s="65" t="str">
        <f t="shared" ca="1" si="42"/>
        <v/>
      </c>
      <c r="N535" s="74" t="str">
        <f>IF($C535="","",IF($C535="TANIMSIZ MÜŞTERİ","—",INDEX(MUSTERILER!$C$7:$C$156,MATCH($C535,MUSTERILER!$B$7:$B$156,0))))</f>
        <v/>
      </c>
      <c r="O535" s="2"/>
      <c r="P535" s="2"/>
      <c r="Q535" s="1" t="str">
        <f>IF($D535="","",$C535&amp;"|"&amp;COUNTIFS($C$7:$C535,$C535))</f>
        <v/>
      </c>
      <c r="R535" s="1" t="str">
        <f t="shared" si="43"/>
        <v/>
      </c>
      <c r="S535" s="1" t="str">
        <f t="shared" si="44"/>
        <v/>
      </c>
      <c r="T535" s="1">
        <f>IF($E535="",0,SUMPRODUCT((AY_SONU!$O$7:$O$42="Evet")*(AY_SONU!$B$7:$B$42=DATE(YEAR($E535),MONTH($E535),1))))</f>
        <v>0</v>
      </c>
    </row>
    <row r="536" spans="1:20" ht="18" customHeight="1" x14ac:dyDescent="0.3">
      <c r="A536" s="2"/>
      <c r="B536" s="65" t="str">
        <f t="shared" si="40"/>
        <v/>
      </c>
      <c r="C536" s="65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61"/>
      <c r="E536" s="66"/>
      <c r="F536" s="67"/>
      <c r="G536" s="60"/>
      <c r="H536" s="60"/>
      <c r="I536" s="61"/>
      <c r="J536" s="61"/>
      <c r="K536" s="61"/>
      <c r="L536" s="73" t="str">
        <f t="shared" si="41"/>
        <v/>
      </c>
      <c r="M536" s="65" t="str">
        <f t="shared" ca="1" si="42"/>
        <v/>
      </c>
      <c r="N536" s="74" t="str">
        <f>IF($C536="","",IF($C536="TANIMSIZ MÜŞTERİ","—",INDEX(MUSTERILER!$C$7:$C$156,MATCH($C536,MUSTERILER!$B$7:$B$156,0))))</f>
        <v/>
      </c>
      <c r="O536" s="2"/>
      <c r="P536" s="2"/>
      <c r="Q536" s="1" t="str">
        <f>IF($D536="","",$C536&amp;"|"&amp;COUNTIFS($C$7:$C536,$C536))</f>
        <v/>
      </c>
      <c r="R536" s="1" t="str">
        <f t="shared" si="43"/>
        <v/>
      </c>
      <c r="S536" s="1" t="str">
        <f t="shared" si="44"/>
        <v/>
      </c>
      <c r="T536" s="1">
        <f>IF($E536="",0,SUMPRODUCT((AY_SONU!$O$7:$O$42="Evet")*(AY_SONU!$B$7:$B$42=DATE(YEAR($E536),MONTH($E536),1))))</f>
        <v>0</v>
      </c>
    </row>
    <row r="537" spans="1:20" ht="18" customHeight="1" x14ac:dyDescent="0.3">
      <c r="A537" s="2"/>
      <c r="B537" s="65" t="str">
        <f t="shared" si="40"/>
        <v/>
      </c>
      <c r="C537" s="65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61"/>
      <c r="E537" s="66"/>
      <c r="F537" s="67"/>
      <c r="G537" s="60"/>
      <c r="H537" s="60"/>
      <c r="I537" s="61"/>
      <c r="J537" s="61"/>
      <c r="K537" s="61"/>
      <c r="L537" s="73" t="str">
        <f t="shared" si="41"/>
        <v/>
      </c>
      <c r="M537" s="65" t="str">
        <f t="shared" ca="1" si="42"/>
        <v/>
      </c>
      <c r="N537" s="74" t="str">
        <f>IF($C537="","",IF($C537="TANIMSIZ MÜŞTERİ","—",INDEX(MUSTERILER!$C$7:$C$156,MATCH($C537,MUSTERILER!$B$7:$B$156,0))))</f>
        <v/>
      </c>
      <c r="O537" s="2"/>
      <c r="P537" s="2"/>
      <c r="Q537" s="1" t="str">
        <f>IF($D537="","",$C537&amp;"|"&amp;COUNTIFS($C$7:$C537,$C537))</f>
        <v/>
      </c>
      <c r="R537" s="1" t="str">
        <f t="shared" si="43"/>
        <v/>
      </c>
      <c r="S537" s="1" t="str">
        <f t="shared" si="44"/>
        <v/>
      </c>
      <c r="T537" s="1">
        <f>IF($E537="",0,SUMPRODUCT((AY_SONU!$O$7:$O$42="Evet")*(AY_SONU!$B$7:$B$42=DATE(YEAR($E537),MONTH($E537),1))))</f>
        <v>0</v>
      </c>
    </row>
    <row r="538" spans="1:20" ht="18" customHeight="1" x14ac:dyDescent="0.3">
      <c r="A538" s="2"/>
      <c r="B538" s="65" t="str">
        <f t="shared" si="40"/>
        <v/>
      </c>
      <c r="C538" s="65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61"/>
      <c r="E538" s="66"/>
      <c r="F538" s="67"/>
      <c r="G538" s="60"/>
      <c r="H538" s="60"/>
      <c r="I538" s="61"/>
      <c r="J538" s="61"/>
      <c r="K538" s="61"/>
      <c r="L538" s="73" t="str">
        <f t="shared" si="41"/>
        <v/>
      </c>
      <c r="M538" s="65" t="str">
        <f t="shared" ca="1" si="42"/>
        <v/>
      </c>
      <c r="N538" s="74" t="str">
        <f>IF($C538="","",IF($C538="TANIMSIZ MÜŞTERİ","—",INDEX(MUSTERILER!$C$7:$C$156,MATCH($C538,MUSTERILER!$B$7:$B$156,0))))</f>
        <v/>
      </c>
      <c r="O538" s="2"/>
      <c r="P538" s="2"/>
      <c r="Q538" s="1" t="str">
        <f>IF($D538="","",$C538&amp;"|"&amp;COUNTIFS($C$7:$C538,$C538))</f>
        <v/>
      </c>
      <c r="R538" s="1" t="str">
        <f t="shared" si="43"/>
        <v/>
      </c>
      <c r="S538" s="1" t="str">
        <f t="shared" si="44"/>
        <v/>
      </c>
      <c r="T538" s="1">
        <f>IF($E538="",0,SUMPRODUCT((AY_SONU!$O$7:$O$42="Evet")*(AY_SONU!$B$7:$B$42=DATE(YEAR($E538),MONTH($E538),1))))</f>
        <v>0</v>
      </c>
    </row>
    <row r="539" spans="1:20" ht="18" customHeight="1" x14ac:dyDescent="0.3">
      <c r="A539" s="2"/>
      <c r="B539" s="65" t="str">
        <f t="shared" si="40"/>
        <v/>
      </c>
      <c r="C539" s="65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61"/>
      <c r="E539" s="66"/>
      <c r="F539" s="67"/>
      <c r="G539" s="60"/>
      <c r="H539" s="60"/>
      <c r="I539" s="61"/>
      <c r="J539" s="61"/>
      <c r="K539" s="61"/>
      <c r="L539" s="73" t="str">
        <f t="shared" si="41"/>
        <v/>
      </c>
      <c r="M539" s="65" t="str">
        <f t="shared" ca="1" si="42"/>
        <v/>
      </c>
      <c r="N539" s="74" t="str">
        <f>IF($C539="","",IF($C539="TANIMSIZ MÜŞTERİ","—",INDEX(MUSTERILER!$C$7:$C$156,MATCH($C539,MUSTERILER!$B$7:$B$156,0))))</f>
        <v/>
      </c>
      <c r="O539" s="2"/>
      <c r="P539" s="2"/>
      <c r="Q539" s="1" t="str">
        <f>IF($D539="","",$C539&amp;"|"&amp;COUNTIFS($C$7:$C539,$C539))</f>
        <v/>
      </c>
      <c r="R539" s="1" t="str">
        <f t="shared" si="43"/>
        <v/>
      </c>
      <c r="S539" s="1" t="str">
        <f t="shared" si="44"/>
        <v/>
      </c>
      <c r="T539" s="1">
        <f>IF($E539="",0,SUMPRODUCT((AY_SONU!$O$7:$O$42="Evet")*(AY_SONU!$B$7:$B$42=DATE(YEAR($E539),MONTH($E539),1))))</f>
        <v>0</v>
      </c>
    </row>
    <row r="540" spans="1:20" ht="18" customHeight="1" x14ac:dyDescent="0.3">
      <c r="A540" s="2"/>
      <c r="B540" s="65" t="str">
        <f t="shared" si="40"/>
        <v/>
      </c>
      <c r="C540" s="65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61"/>
      <c r="E540" s="66"/>
      <c r="F540" s="67"/>
      <c r="G540" s="60"/>
      <c r="H540" s="60"/>
      <c r="I540" s="61"/>
      <c r="J540" s="61"/>
      <c r="K540" s="61"/>
      <c r="L540" s="73" t="str">
        <f t="shared" si="41"/>
        <v/>
      </c>
      <c r="M540" s="65" t="str">
        <f t="shared" ca="1" si="42"/>
        <v/>
      </c>
      <c r="N540" s="74" t="str">
        <f>IF($C540="","",IF($C540="TANIMSIZ MÜŞTERİ","—",INDEX(MUSTERILER!$C$7:$C$156,MATCH($C540,MUSTERILER!$B$7:$B$156,0))))</f>
        <v/>
      </c>
      <c r="O540" s="2"/>
      <c r="P540" s="2"/>
      <c r="Q540" s="1" t="str">
        <f>IF($D540="","",$C540&amp;"|"&amp;COUNTIFS($C$7:$C540,$C540))</f>
        <v/>
      </c>
      <c r="R540" s="1" t="str">
        <f t="shared" si="43"/>
        <v/>
      </c>
      <c r="S540" s="1" t="str">
        <f t="shared" si="44"/>
        <v/>
      </c>
      <c r="T540" s="1">
        <f>IF($E540="",0,SUMPRODUCT((AY_SONU!$O$7:$O$42="Evet")*(AY_SONU!$B$7:$B$42=DATE(YEAR($E540),MONTH($E540),1))))</f>
        <v>0</v>
      </c>
    </row>
    <row r="541" spans="1:20" ht="18" customHeight="1" x14ac:dyDescent="0.3">
      <c r="A541" s="2"/>
      <c r="B541" s="65" t="str">
        <f t="shared" si="40"/>
        <v/>
      </c>
      <c r="C541" s="65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61"/>
      <c r="E541" s="66"/>
      <c r="F541" s="67"/>
      <c r="G541" s="60"/>
      <c r="H541" s="60"/>
      <c r="I541" s="61"/>
      <c r="J541" s="61"/>
      <c r="K541" s="61"/>
      <c r="L541" s="73" t="str">
        <f t="shared" si="41"/>
        <v/>
      </c>
      <c r="M541" s="65" t="str">
        <f t="shared" ca="1" si="42"/>
        <v/>
      </c>
      <c r="N541" s="74" t="str">
        <f>IF($C541="","",IF($C541="TANIMSIZ MÜŞTERİ","—",INDEX(MUSTERILER!$C$7:$C$156,MATCH($C541,MUSTERILER!$B$7:$B$156,0))))</f>
        <v/>
      </c>
      <c r="O541" s="2"/>
      <c r="P541" s="2"/>
      <c r="Q541" s="1" t="str">
        <f>IF($D541="","",$C541&amp;"|"&amp;COUNTIFS($C$7:$C541,$C541))</f>
        <v/>
      </c>
      <c r="R541" s="1" t="str">
        <f t="shared" si="43"/>
        <v/>
      </c>
      <c r="S541" s="1" t="str">
        <f t="shared" si="44"/>
        <v/>
      </c>
      <c r="T541" s="1">
        <f>IF($E541="",0,SUMPRODUCT((AY_SONU!$O$7:$O$42="Evet")*(AY_SONU!$B$7:$B$42=DATE(YEAR($E541),MONTH($E541),1))))</f>
        <v>0</v>
      </c>
    </row>
    <row r="542" spans="1:20" ht="18" customHeight="1" x14ac:dyDescent="0.3">
      <c r="A542" s="2"/>
      <c r="B542" s="65" t="str">
        <f t="shared" si="40"/>
        <v/>
      </c>
      <c r="C542" s="65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61"/>
      <c r="E542" s="66"/>
      <c r="F542" s="67"/>
      <c r="G542" s="60"/>
      <c r="H542" s="60"/>
      <c r="I542" s="61"/>
      <c r="J542" s="61"/>
      <c r="K542" s="61"/>
      <c r="L542" s="73" t="str">
        <f t="shared" si="41"/>
        <v/>
      </c>
      <c r="M542" s="65" t="str">
        <f t="shared" ca="1" si="42"/>
        <v/>
      </c>
      <c r="N542" s="74" t="str">
        <f>IF($C542="","",IF($C542="TANIMSIZ MÜŞTERİ","—",INDEX(MUSTERILER!$C$7:$C$156,MATCH($C542,MUSTERILER!$B$7:$B$156,0))))</f>
        <v/>
      </c>
      <c r="O542" s="2"/>
      <c r="P542" s="2"/>
      <c r="Q542" s="1" t="str">
        <f>IF($D542="","",$C542&amp;"|"&amp;COUNTIFS($C$7:$C542,$C542))</f>
        <v/>
      </c>
      <c r="R542" s="1" t="str">
        <f t="shared" si="43"/>
        <v/>
      </c>
      <c r="S542" s="1" t="str">
        <f t="shared" si="44"/>
        <v/>
      </c>
      <c r="T542" s="1">
        <f>IF($E542="",0,SUMPRODUCT((AY_SONU!$O$7:$O$42="Evet")*(AY_SONU!$B$7:$B$42=DATE(YEAR($E542),MONTH($E542),1))))</f>
        <v>0</v>
      </c>
    </row>
    <row r="543" spans="1:20" ht="18" customHeight="1" x14ac:dyDescent="0.3">
      <c r="A543" s="2"/>
      <c r="B543" s="65" t="str">
        <f t="shared" si="40"/>
        <v/>
      </c>
      <c r="C543" s="65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61"/>
      <c r="E543" s="66"/>
      <c r="F543" s="67"/>
      <c r="G543" s="60"/>
      <c r="H543" s="60"/>
      <c r="I543" s="61"/>
      <c r="J543" s="61"/>
      <c r="K543" s="61"/>
      <c r="L543" s="73" t="str">
        <f t="shared" si="41"/>
        <v/>
      </c>
      <c r="M543" s="65" t="str">
        <f t="shared" ca="1" si="42"/>
        <v/>
      </c>
      <c r="N543" s="74" t="str">
        <f>IF($C543="","",IF($C543="TANIMSIZ MÜŞTERİ","—",INDEX(MUSTERILER!$C$7:$C$156,MATCH($C543,MUSTERILER!$B$7:$B$156,0))))</f>
        <v/>
      </c>
      <c r="O543" s="2"/>
      <c r="P543" s="2"/>
      <c r="Q543" s="1" t="str">
        <f>IF($D543="","",$C543&amp;"|"&amp;COUNTIFS($C$7:$C543,$C543))</f>
        <v/>
      </c>
      <c r="R543" s="1" t="str">
        <f t="shared" si="43"/>
        <v/>
      </c>
      <c r="S543" s="1" t="str">
        <f t="shared" si="44"/>
        <v/>
      </c>
      <c r="T543" s="1">
        <f>IF($E543="",0,SUMPRODUCT((AY_SONU!$O$7:$O$42="Evet")*(AY_SONU!$B$7:$B$42=DATE(YEAR($E543),MONTH($E543),1))))</f>
        <v>0</v>
      </c>
    </row>
    <row r="544" spans="1:20" ht="18" customHeight="1" x14ac:dyDescent="0.3">
      <c r="A544" s="2"/>
      <c r="B544" s="65" t="str">
        <f t="shared" si="40"/>
        <v/>
      </c>
      <c r="C544" s="65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61"/>
      <c r="E544" s="66"/>
      <c r="F544" s="67"/>
      <c r="G544" s="60"/>
      <c r="H544" s="60"/>
      <c r="I544" s="61"/>
      <c r="J544" s="61"/>
      <c r="K544" s="61"/>
      <c r="L544" s="73" t="str">
        <f t="shared" si="41"/>
        <v/>
      </c>
      <c r="M544" s="65" t="str">
        <f t="shared" ca="1" si="42"/>
        <v/>
      </c>
      <c r="N544" s="74" t="str">
        <f>IF($C544="","",IF($C544="TANIMSIZ MÜŞTERİ","—",INDEX(MUSTERILER!$C$7:$C$156,MATCH($C544,MUSTERILER!$B$7:$B$156,0))))</f>
        <v/>
      </c>
      <c r="O544" s="2"/>
      <c r="P544" s="2"/>
      <c r="Q544" s="1" t="str">
        <f>IF($D544="","",$C544&amp;"|"&amp;COUNTIFS($C$7:$C544,$C544))</f>
        <v/>
      </c>
      <c r="R544" s="1" t="str">
        <f t="shared" si="43"/>
        <v/>
      </c>
      <c r="S544" s="1" t="str">
        <f t="shared" si="44"/>
        <v/>
      </c>
      <c r="T544" s="1">
        <f>IF($E544="",0,SUMPRODUCT((AY_SONU!$O$7:$O$42="Evet")*(AY_SONU!$B$7:$B$42=DATE(YEAR($E544),MONTH($E544),1))))</f>
        <v>0</v>
      </c>
    </row>
    <row r="545" spans="1:20" ht="18" customHeight="1" x14ac:dyDescent="0.3">
      <c r="A545" s="2"/>
      <c r="B545" s="65" t="str">
        <f t="shared" si="40"/>
        <v/>
      </c>
      <c r="C545" s="65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61"/>
      <c r="E545" s="66"/>
      <c r="F545" s="67"/>
      <c r="G545" s="60"/>
      <c r="H545" s="60"/>
      <c r="I545" s="61"/>
      <c r="J545" s="61"/>
      <c r="K545" s="61"/>
      <c r="L545" s="73" t="str">
        <f t="shared" si="41"/>
        <v/>
      </c>
      <c r="M545" s="65" t="str">
        <f t="shared" ca="1" si="42"/>
        <v/>
      </c>
      <c r="N545" s="74" t="str">
        <f>IF($C545="","",IF($C545="TANIMSIZ MÜŞTERİ","—",INDEX(MUSTERILER!$C$7:$C$156,MATCH($C545,MUSTERILER!$B$7:$B$156,0))))</f>
        <v/>
      </c>
      <c r="O545" s="2"/>
      <c r="P545" s="2"/>
      <c r="Q545" s="1" t="str">
        <f>IF($D545="","",$C545&amp;"|"&amp;COUNTIFS($C$7:$C545,$C545))</f>
        <v/>
      </c>
      <c r="R545" s="1" t="str">
        <f t="shared" si="43"/>
        <v/>
      </c>
      <c r="S545" s="1" t="str">
        <f t="shared" si="44"/>
        <v/>
      </c>
      <c r="T545" s="1">
        <f>IF($E545="",0,SUMPRODUCT((AY_SONU!$O$7:$O$42="Evet")*(AY_SONU!$B$7:$B$42=DATE(YEAR($E545),MONTH($E545),1))))</f>
        <v>0</v>
      </c>
    </row>
    <row r="546" spans="1:20" ht="18" customHeight="1" x14ac:dyDescent="0.3">
      <c r="A546" s="2"/>
      <c r="B546" s="65" t="str">
        <f t="shared" si="40"/>
        <v/>
      </c>
      <c r="C546" s="65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61"/>
      <c r="E546" s="66"/>
      <c r="F546" s="67"/>
      <c r="G546" s="60"/>
      <c r="H546" s="60"/>
      <c r="I546" s="61"/>
      <c r="J546" s="61"/>
      <c r="K546" s="61"/>
      <c r="L546" s="73" t="str">
        <f t="shared" si="41"/>
        <v/>
      </c>
      <c r="M546" s="65" t="str">
        <f t="shared" ca="1" si="42"/>
        <v/>
      </c>
      <c r="N546" s="74" t="str">
        <f>IF($C546="","",IF($C546="TANIMSIZ MÜŞTERİ","—",INDEX(MUSTERILER!$C$7:$C$156,MATCH($C546,MUSTERILER!$B$7:$B$156,0))))</f>
        <v/>
      </c>
      <c r="O546" s="2"/>
      <c r="P546" s="2"/>
      <c r="Q546" s="1" t="str">
        <f>IF($D546="","",$C546&amp;"|"&amp;COUNTIFS($C$7:$C546,$C546))</f>
        <v/>
      </c>
      <c r="R546" s="1" t="str">
        <f t="shared" si="43"/>
        <v/>
      </c>
      <c r="S546" s="1" t="str">
        <f t="shared" si="44"/>
        <v/>
      </c>
      <c r="T546" s="1">
        <f>IF($E546="",0,SUMPRODUCT((AY_SONU!$O$7:$O$42="Evet")*(AY_SONU!$B$7:$B$42=DATE(YEAR($E546),MONTH($E546),1))))</f>
        <v>0</v>
      </c>
    </row>
    <row r="547" spans="1:20" ht="18" customHeight="1" x14ac:dyDescent="0.3">
      <c r="A547" s="2"/>
      <c r="B547" s="65" t="str">
        <f t="shared" si="40"/>
        <v/>
      </c>
      <c r="C547" s="65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61"/>
      <c r="E547" s="66"/>
      <c r="F547" s="67"/>
      <c r="G547" s="60"/>
      <c r="H547" s="60"/>
      <c r="I547" s="61"/>
      <c r="J547" s="61"/>
      <c r="K547" s="61"/>
      <c r="L547" s="73" t="str">
        <f t="shared" si="41"/>
        <v/>
      </c>
      <c r="M547" s="65" t="str">
        <f t="shared" ca="1" si="42"/>
        <v/>
      </c>
      <c r="N547" s="74" t="str">
        <f>IF($C547="","",IF($C547="TANIMSIZ MÜŞTERİ","—",INDEX(MUSTERILER!$C$7:$C$156,MATCH($C547,MUSTERILER!$B$7:$B$156,0))))</f>
        <v/>
      </c>
      <c r="O547" s="2"/>
      <c r="P547" s="2"/>
      <c r="Q547" s="1" t="str">
        <f>IF($D547="","",$C547&amp;"|"&amp;COUNTIFS($C$7:$C547,$C547))</f>
        <v/>
      </c>
      <c r="R547" s="1" t="str">
        <f t="shared" si="43"/>
        <v/>
      </c>
      <c r="S547" s="1" t="str">
        <f t="shared" si="44"/>
        <v/>
      </c>
      <c r="T547" s="1">
        <f>IF($E547="",0,SUMPRODUCT((AY_SONU!$O$7:$O$42="Evet")*(AY_SONU!$B$7:$B$42=DATE(YEAR($E547),MONTH($E547),1))))</f>
        <v>0</v>
      </c>
    </row>
    <row r="548" spans="1:20" ht="18" customHeight="1" x14ac:dyDescent="0.3">
      <c r="A548" s="2"/>
      <c r="B548" s="65" t="str">
        <f t="shared" si="40"/>
        <v/>
      </c>
      <c r="C548" s="65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61"/>
      <c r="E548" s="66"/>
      <c r="F548" s="67"/>
      <c r="G548" s="60"/>
      <c r="H548" s="60"/>
      <c r="I548" s="61"/>
      <c r="J548" s="61"/>
      <c r="K548" s="61"/>
      <c r="L548" s="73" t="str">
        <f t="shared" si="41"/>
        <v/>
      </c>
      <c r="M548" s="65" t="str">
        <f t="shared" ca="1" si="42"/>
        <v/>
      </c>
      <c r="N548" s="74" t="str">
        <f>IF($C548="","",IF($C548="TANIMSIZ MÜŞTERİ","—",INDEX(MUSTERILER!$C$7:$C$156,MATCH($C548,MUSTERILER!$B$7:$B$156,0))))</f>
        <v/>
      </c>
      <c r="O548" s="2"/>
      <c r="P548" s="2"/>
      <c r="Q548" s="1" t="str">
        <f>IF($D548="","",$C548&amp;"|"&amp;COUNTIFS($C$7:$C548,$C548))</f>
        <v/>
      </c>
      <c r="R548" s="1" t="str">
        <f t="shared" si="43"/>
        <v/>
      </c>
      <c r="S548" s="1" t="str">
        <f t="shared" si="44"/>
        <v/>
      </c>
      <c r="T548" s="1">
        <f>IF($E548="",0,SUMPRODUCT((AY_SONU!$O$7:$O$42="Evet")*(AY_SONU!$B$7:$B$42=DATE(YEAR($E548),MONTH($E548),1))))</f>
        <v>0</v>
      </c>
    </row>
    <row r="549" spans="1:20" ht="18" customHeight="1" x14ac:dyDescent="0.3">
      <c r="A549" s="2"/>
      <c r="B549" s="65" t="str">
        <f t="shared" si="40"/>
        <v/>
      </c>
      <c r="C549" s="65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61"/>
      <c r="E549" s="66"/>
      <c r="F549" s="67"/>
      <c r="G549" s="60"/>
      <c r="H549" s="60"/>
      <c r="I549" s="61"/>
      <c r="J549" s="61"/>
      <c r="K549" s="61"/>
      <c r="L549" s="73" t="str">
        <f t="shared" si="41"/>
        <v/>
      </c>
      <c r="M549" s="65" t="str">
        <f t="shared" ca="1" si="42"/>
        <v/>
      </c>
      <c r="N549" s="74" t="str">
        <f>IF($C549="","",IF($C549="TANIMSIZ MÜŞTERİ","—",INDEX(MUSTERILER!$C$7:$C$156,MATCH($C549,MUSTERILER!$B$7:$B$156,0))))</f>
        <v/>
      </c>
      <c r="O549" s="2"/>
      <c r="P549" s="2"/>
      <c r="Q549" s="1" t="str">
        <f>IF($D549="","",$C549&amp;"|"&amp;COUNTIFS($C$7:$C549,$C549))</f>
        <v/>
      </c>
      <c r="R549" s="1" t="str">
        <f t="shared" si="43"/>
        <v/>
      </c>
      <c r="S549" s="1" t="str">
        <f t="shared" si="44"/>
        <v/>
      </c>
      <c r="T549" s="1">
        <f>IF($E549="",0,SUMPRODUCT((AY_SONU!$O$7:$O$42="Evet")*(AY_SONU!$B$7:$B$42=DATE(YEAR($E549),MONTH($E549),1))))</f>
        <v>0</v>
      </c>
    </row>
    <row r="550" spans="1:20" ht="18" customHeight="1" x14ac:dyDescent="0.3">
      <c r="A550" s="2"/>
      <c r="B550" s="65" t="str">
        <f t="shared" si="40"/>
        <v/>
      </c>
      <c r="C550" s="65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61"/>
      <c r="E550" s="66"/>
      <c r="F550" s="67"/>
      <c r="G550" s="60"/>
      <c r="H550" s="60"/>
      <c r="I550" s="61"/>
      <c r="J550" s="61"/>
      <c r="K550" s="61"/>
      <c r="L550" s="73" t="str">
        <f t="shared" si="41"/>
        <v/>
      </c>
      <c r="M550" s="65" t="str">
        <f t="shared" ca="1" si="42"/>
        <v/>
      </c>
      <c r="N550" s="74" t="str">
        <f>IF($C550="","",IF($C550="TANIMSIZ MÜŞTERİ","—",INDEX(MUSTERILER!$C$7:$C$156,MATCH($C550,MUSTERILER!$B$7:$B$156,0))))</f>
        <v/>
      </c>
      <c r="O550" s="2"/>
      <c r="P550" s="2"/>
      <c r="Q550" s="1" t="str">
        <f>IF($D550="","",$C550&amp;"|"&amp;COUNTIFS($C$7:$C550,$C550))</f>
        <v/>
      </c>
      <c r="R550" s="1" t="str">
        <f t="shared" si="43"/>
        <v/>
      </c>
      <c r="S550" s="1" t="str">
        <f t="shared" si="44"/>
        <v/>
      </c>
      <c r="T550" s="1">
        <f>IF($E550="",0,SUMPRODUCT((AY_SONU!$O$7:$O$42="Evet")*(AY_SONU!$B$7:$B$42=DATE(YEAR($E550),MONTH($E550),1))))</f>
        <v>0</v>
      </c>
    </row>
    <row r="551" spans="1:20" ht="18" customHeight="1" x14ac:dyDescent="0.3">
      <c r="A551" s="2"/>
      <c r="B551" s="65" t="str">
        <f t="shared" si="40"/>
        <v/>
      </c>
      <c r="C551" s="65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61"/>
      <c r="E551" s="66"/>
      <c r="F551" s="67"/>
      <c r="G551" s="60"/>
      <c r="H551" s="60"/>
      <c r="I551" s="61"/>
      <c r="J551" s="61"/>
      <c r="K551" s="61"/>
      <c r="L551" s="73" t="str">
        <f t="shared" si="41"/>
        <v/>
      </c>
      <c r="M551" s="65" t="str">
        <f t="shared" ca="1" si="42"/>
        <v/>
      </c>
      <c r="N551" s="74" t="str">
        <f>IF($C551="","",IF($C551="TANIMSIZ MÜŞTERİ","—",INDEX(MUSTERILER!$C$7:$C$156,MATCH($C551,MUSTERILER!$B$7:$B$156,0))))</f>
        <v/>
      </c>
      <c r="O551" s="2"/>
      <c r="P551" s="2"/>
      <c r="Q551" s="1" t="str">
        <f>IF($D551="","",$C551&amp;"|"&amp;COUNTIFS($C$7:$C551,$C551))</f>
        <v/>
      </c>
      <c r="R551" s="1" t="str">
        <f t="shared" si="43"/>
        <v/>
      </c>
      <c r="S551" s="1" t="str">
        <f t="shared" si="44"/>
        <v/>
      </c>
      <c r="T551" s="1">
        <f>IF($E551="",0,SUMPRODUCT((AY_SONU!$O$7:$O$42="Evet")*(AY_SONU!$B$7:$B$42=DATE(YEAR($E551),MONTH($E551),1))))</f>
        <v>0</v>
      </c>
    </row>
    <row r="552" spans="1:20" ht="18" customHeight="1" x14ac:dyDescent="0.3">
      <c r="A552" s="2"/>
      <c r="B552" s="65" t="str">
        <f t="shared" si="40"/>
        <v/>
      </c>
      <c r="C552" s="65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61"/>
      <c r="E552" s="66"/>
      <c r="F552" s="67"/>
      <c r="G552" s="60"/>
      <c r="H552" s="60"/>
      <c r="I552" s="61"/>
      <c r="J552" s="61"/>
      <c r="K552" s="61"/>
      <c r="L552" s="73" t="str">
        <f t="shared" si="41"/>
        <v/>
      </c>
      <c r="M552" s="65" t="str">
        <f t="shared" ca="1" si="42"/>
        <v/>
      </c>
      <c r="N552" s="74" t="str">
        <f>IF($C552="","",IF($C552="TANIMSIZ MÜŞTERİ","—",INDEX(MUSTERILER!$C$7:$C$156,MATCH($C552,MUSTERILER!$B$7:$B$156,0))))</f>
        <v/>
      </c>
      <c r="O552" s="2"/>
      <c r="P552" s="2"/>
      <c r="Q552" s="1" t="str">
        <f>IF($D552="","",$C552&amp;"|"&amp;COUNTIFS($C$7:$C552,$C552))</f>
        <v/>
      </c>
      <c r="R552" s="1" t="str">
        <f t="shared" si="43"/>
        <v/>
      </c>
      <c r="S552" s="1" t="str">
        <f t="shared" si="44"/>
        <v/>
      </c>
      <c r="T552" s="1">
        <f>IF($E552="",0,SUMPRODUCT((AY_SONU!$O$7:$O$42="Evet")*(AY_SONU!$B$7:$B$42=DATE(YEAR($E552),MONTH($E552),1))))</f>
        <v>0</v>
      </c>
    </row>
    <row r="553" spans="1:20" ht="18" customHeight="1" x14ac:dyDescent="0.3">
      <c r="A553" s="2"/>
      <c r="B553" s="65" t="str">
        <f t="shared" si="40"/>
        <v/>
      </c>
      <c r="C553" s="65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61"/>
      <c r="E553" s="66"/>
      <c r="F553" s="67"/>
      <c r="G553" s="60"/>
      <c r="H553" s="60"/>
      <c r="I553" s="61"/>
      <c r="J553" s="61"/>
      <c r="K553" s="61"/>
      <c r="L553" s="73" t="str">
        <f t="shared" si="41"/>
        <v/>
      </c>
      <c r="M553" s="65" t="str">
        <f t="shared" ca="1" si="42"/>
        <v/>
      </c>
      <c r="N553" s="74" t="str">
        <f>IF($C553="","",IF($C553="TANIMSIZ MÜŞTERİ","—",INDEX(MUSTERILER!$C$7:$C$156,MATCH($C553,MUSTERILER!$B$7:$B$156,0))))</f>
        <v/>
      </c>
      <c r="O553" s="2"/>
      <c r="P553" s="2"/>
      <c r="Q553" s="1" t="str">
        <f>IF($D553="","",$C553&amp;"|"&amp;COUNTIFS($C$7:$C553,$C553))</f>
        <v/>
      </c>
      <c r="R553" s="1" t="str">
        <f t="shared" si="43"/>
        <v/>
      </c>
      <c r="S553" s="1" t="str">
        <f t="shared" si="44"/>
        <v/>
      </c>
      <c r="T553" s="1">
        <f>IF($E553="",0,SUMPRODUCT((AY_SONU!$O$7:$O$42="Evet")*(AY_SONU!$B$7:$B$42=DATE(YEAR($E553),MONTH($E553),1))))</f>
        <v>0</v>
      </c>
    </row>
    <row r="554" spans="1:20" ht="18" customHeight="1" x14ac:dyDescent="0.3">
      <c r="A554" s="2"/>
      <c r="B554" s="65" t="str">
        <f t="shared" si="40"/>
        <v/>
      </c>
      <c r="C554" s="65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61"/>
      <c r="E554" s="66"/>
      <c r="F554" s="67"/>
      <c r="G554" s="60"/>
      <c r="H554" s="60"/>
      <c r="I554" s="61"/>
      <c r="J554" s="61"/>
      <c r="K554" s="61"/>
      <c r="L554" s="73" t="str">
        <f t="shared" si="41"/>
        <v/>
      </c>
      <c r="M554" s="65" t="str">
        <f t="shared" ca="1" si="42"/>
        <v/>
      </c>
      <c r="N554" s="74" t="str">
        <f>IF($C554="","",IF($C554="TANIMSIZ MÜŞTERİ","—",INDEX(MUSTERILER!$C$7:$C$156,MATCH($C554,MUSTERILER!$B$7:$B$156,0))))</f>
        <v/>
      </c>
      <c r="O554" s="2"/>
      <c r="P554" s="2"/>
      <c r="Q554" s="1" t="str">
        <f>IF($D554="","",$C554&amp;"|"&amp;COUNTIFS($C$7:$C554,$C554))</f>
        <v/>
      </c>
      <c r="R554" s="1" t="str">
        <f t="shared" si="43"/>
        <v/>
      </c>
      <c r="S554" s="1" t="str">
        <f t="shared" si="44"/>
        <v/>
      </c>
      <c r="T554" s="1">
        <f>IF($E554="",0,SUMPRODUCT((AY_SONU!$O$7:$O$42="Evet")*(AY_SONU!$B$7:$B$42=DATE(YEAR($E554),MONTH($E554),1))))</f>
        <v>0</v>
      </c>
    </row>
    <row r="555" spans="1:20" ht="18" customHeight="1" x14ac:dyDescent="0.3">
      <c r="A555" s="2"/>
      <c r="B555" s="65" t="str">
        <f t="shared" si="40"/>
        <v/>
      </c>
      <c r="C555" s="65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61"/>
      <c r="E555" s="66"/>
      <c r="F555" s="67"/>
      <c r="G555" s="60"/>
      <c r="H555" s="60"/>
      <c r="I555" s="61"/>
      <c r="J555" s="61"/>
      <c r="K555" s="61"/>
      <c r="L555" s="73" t="str">
        <f t="shared" si="41"/>
        <v/>
      </c>
      <c r="M555" s="65" t="str">
        <f t="shared" ca="1" si="42"/>
        <v/>
      </c>
      <c r="N555" s="74" t="str">
        <f>IF($C555="","",IF($C555="TANIMSIZ MÜŞTERİ","—",INDEX(MUSTERILER!$C$7:$C$156,MATCH($C555,MUSTERILER!$B$7:$B$156,0))))</f>
        <v/>
      </c>
      <c r="O555" s="2"/>
      <c r="P555" s="2"/>
      <c r="Q555" s="1" t="str">
        <f>IF($D555="","",$C555&amp;"|"&amp;COUNTIFS($C$7:$C555,$C555))</f>
        <v/>
      </c>
      <c r="R555" s="1" t="str">
        <f t="shared" si="43"/>
        <v/>
      </c>
      <c r="S555" s="1" t="str">
        <f t="shared" si="44"/>
        <v/>
      </c>
      <c r="T555" s="1">
        <f>IF($E555="",0,SUMPRODUCT((AY_SONU!$O$7:$O$42="Evet")*(AY_SONU!$B$7:$B$42=DATE(YEAR($E555),MONTH($E555),1))))</f>
        <v>0</v>
      </c>
    </row>
    <row r="556" spans="1:20" ht="18" customHeight="1" x14ac:dyDescent="0.3">
      <c r="A556" s="2"/>
      <c r="B556" s="65" t="str">
        <f t="shared" si="40"/>
        <v/>
      </c>
      <c r="C556" s="65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61"/>
      <c r="E556" s="66"/>
      <c r="F556" s="67"/>
      <c r="G556" s="60"/>
      <c r="H556" s="60"/>
      <c r="I556" s="61"/>
      <c r="J556" s="61"/>
      <c r="K556" s="61"/>
      <c r="L556" s="73" t="str">
        <f t="shared" si="41"/>
        <v/>
      </c>
      <c r="M556" s="65" t="str">
        <f t="shared" ca="1" si="42"/>
        <v/>
      </c>
      <c r="N556" s="74" t="str">
        <f>IF($C556="","",IF($C556="TANIMSIZ MÜŞTERİ","—",INDEX(MUSTERILER!$C$7:$C$156,MATCH($C556,MUSTERILER!$B$7:$B$156,0))))</f>
        <v/>
      </c>
      <c r="O556" s="2"/>
      <c r="P556" s="2"/>
      <c r="Q556" s="1" t="str">
        <f>IF($D556="","",$C556&amp;"|"&amp;COUNTIFS($C$7:$C556,$C556))</f>
        <v/>
      </c>
      <c r="R556" s="1" t="str">
        <f t="shared" si="43"/>
        <v/>
      </c>
      <c r="S556" s="1" t="str">
        <f t="shared" si="44"/>
        <v/>
      </c>
      <c r="T556" s="1">
        <f>IF($E556="",0,SUMPRODUCT((AY_SONU!$O$7:$O$42="Evet")*(AY_SONU!$B$7:$B$42=DATE(YEAR($E556),MONTH($E556),1))))</f>
        <v>0</v>
      </c>
    </row>
    <row r="557" spans="1:20" ht="18" customHeight="1" x14ac:dyDescent="0.3">
      <c r="A557" s="2"/>
      <c r="B557" s="65" t="str">
        <f t="shared" si="40"/>
        <v/>
      </c>
      <c r="C557" s="65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61"/>
      <c r="E557" s="66"/>
      <c r="F557" s="67"/>
      <c r="G557" s="60"/>
      <c r="H557" s="60"/>
      <c r="I557" s="61"/>
      <c r="J557" s="61"/>
      <c r="K557" s="61"/>
      <c r="L557" s="73" t="str">
        <f t="shared" si="41"/>
        <v/>
      </c>
      <c r="M557" s="65" t="str">
        <f t="shared" ca="1" si="42"/>
        <v/>
      </c>
      <c r="N557" s="74" t="str">
        <f>IF($C557="","",IF($C557="TANIMSIZ MÜŞTERİ","—",INDEX(MUSTERILER!$C$7:$C$156,MATCH($C557,MUSTERILER!$B$7:$B$156,0))))</f>
        <v/>
      </c>
      <c r="O557" s="2"/>
      <c r="P557" s="2"/>
      <c r="Q557" s="1" t="str">
        <f>IF($D557="","",$C557&amp;"|"&amp;COUNTIFS($C$7:$C557,$C557))</f>
        <v/>
      </c>
      <c r="R557" s="1" t="str">
        <f t="shared" si="43"/>
        <v/>
      </c>
      <c r="S557" s="1" t="str">
        <f t="shared" si="44"/>
        <v/>
      </c>
      <c r="T557" s="1">
        <f>IF($E557="",0,SUMPRODUCT((AY_SONU!$O$7:$O$42="Evet")*(AY_SONU!$B$7:$B$42=DATE(YEAR($E557),MONTH($E557),1))))</f>
        <v>0</v>
      </c>
    </row>
    <row r="558" spans="1:20" ht="18" customHeight="1" x14ac:dyDescent="0.3">
      <c r="A558" s="2"/>
      <c r="B558" s="65" t="str">
        <f t="shared" si="40"/>
        <v/>
      </c>
      <c r="C558" s="65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66"/>
      <c r="F558" s="67"/>
      <c r="G558" s="60"/>
      <c r="H558" s="60"/>
      <c r="I558" s="61"/>
      <c r="J558" s="61"/>
      <c r="K558" s="61"/>
      <c r="L558" s="73" t="str">
        <f t="shared" si="41"/>
        <v/>
      </c>
      <c r="M558" s="65" t="str">
        <f t="shared" ca="1" si="42"/>
        <v/>
      </c>
      <c r="N558" s="74" t="str">
        <f>IF($C558="","",IF($C558="TANIMSIZ MÜŞTERİ","—",INDEX(MUSTERILER!$C$7:$C$156,MATCH($C558,MUSTERILER!$B$7:$B$156,0))))</f>
        <v/>
      </c>
      <c r="O558" s="2"/>
      <c r="P558" s="2"/>
      <c r="Q558" s="1" t="str">
        <f>IF($D558="","",$C558&amp;"|"&amp;COUNTIFS($C$7:$C558,$C558))</f>
        <v/>
      </c>
      <c r="R558" s="1" t="str">
        <f t="shared" si="43"/>
        <v/>
      </c>
      <c r="S558" s="1" t="str">
        <f t="shared" si="44"/>
        <v/>
      </c>
      <c r="T558" s="1">
        <f>IF($E558="",0,SUMPRODUCT((AY_SONU!$O$7:$O$42="Evet")*(AY_SONU!$B$7:$B$42=DATE(YEAR($E558),MONTH($E558),1))))</f>
        <v>0</v>
      </c>
    </row>
    <row r="559" spans="1:20" ht="18" customHeight="1" x14ac:dyDescent="0.3">
      <c r="A559" s="2"/>
      <c r="B559" s="65" t="str">
        <f t="shared" si="40"/>
        <v/>
      </c>
      <c r="C559" s="65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66"/>
      <c r="F559" s="67"/>
      <c r="G559" s="60"/>
      <c r="H559" s="60"/>
      <c r="I559" s="61"/>
      <c r="J559" s="61"/>
      <c r="K559" s="61"/>
      <c r="L559" s="73" t="str">
        <f t="shared" si="41"/>
        <v/>
      </c>
      <c r="M559" s="65" t="str">
        <f t="shared" ca="1" si="42"/>
        <v/>
      </c>
      <c r="N559" s="74" t="str">
        <f>IF($C559="","",IF($C559="TANIMSIZ MÜŞTERİ","—",INDEX(MUSTERILER!$C$7:$C$156,MATCH($C559,MUSTERILER!$B$7:$B$156,0))))</f>
        <v/>
      </c>
      <c r="O559" s="2"/>
      <c r="P559" s="2"/>
      <c r="Q559" s="1" t="str">
        <f>IF($D559="","",$C559&amp;"|"&amp;COUNTIFS($C$7:$C559,$C559))</f>
        <v/>
      </c>
      <c r="R559" s="1" t="str">
        <f t="shared" si="43"/>
        <v/>
      </c>
      <c r="S559" s="1" t="str">
        <f t="shared" si="44"/>
        <v/>
      </c>
      <c r="T559" s="1">
        <f>IF($E559="",0,SUMPRODUCT((AY_SONU!$O$7:$O$42="Evet")*(AY_SONU!$B$7:$B$42=DATE(YEAR($E559),MONTH($E559),1))))</f>
        <v>0</v>
      </c>
    </row>
    <row r="560" spans="1:20" ht="18" customHeight="1" x14ac:dyDescent="0.3">
      <c r="A560" s="2"/>
      <c r="B560" s="65" t="str">
        <f t="shared" si="40"/>
        <v/>
      </c>
      <c r="C560" s="65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66"/>
      <c r="F560" s="67"/>
      <c r="G560" s="60"/>
      <c r="H560" s="60"/>
      <c r="I560" s="61"/>
      <c r="J560" s="61"/>
      <c r="K560" s="61"/>
      <c r="L560" s="73" t="str">
        <f t="shared" si="41"/>
        <v/>
      </c>
      <c r="M560" s="65" t="str">
        <f t="shared" ca="1" si="42"/>
        <v/>
      </c>
      <c r="N560" s="74" t="str">
        <f>IF($C560="","",IF($C560="TANIMSIZ MÜŞTERİ","—",INDEX(MUSTERILER!$C$7:$C$156,MATCH($C560,MUSTERILER!$B$7:$B$156,0))))</f>
        <v/>
      </c>
      <c r="O560" s="2"/>
      <c r="P560" s="2"/>
      <c r="Q560" s="1" t="str">
        <f>IF($D560="","",$C560&amp;"|"&amp;COUNTIFS($C$7:$C560,$C560))</f>
        <v/>
      </c>
      <c r="R560" s="1" t="str">
        <f t="shared" si="43"/>
        <v/>
      </c>
      <c r="S560" s="1" t="str">
        <f t="shared" si="44"/>
        <v/>
      </c>
      <c r="T560" s="1">
        <f>IF($E560="",0,SUMPRODUCT((AY_SONU!$O$7:$O$42="Evet")*(AY_SONU!$B$7:$B$42=DATE(YEAR($E560),MONTH($E560),1))))</f>
        <v>0</v>
      </c>
    </row>
    <row r="561" spans="1:20" ht="18" customHeight="1" x14ac:dyDescent="0.3">
      <c r="A561" s="2"/>
      <c r="B561" s="65" t="str">
        <f t="shared" si="40"/>
        <v/>
      </c>
      <c r="C561" s="65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66"/>
      <c r="F561" s="67"/>
      <c r="G561" s="60"/>
      <c r="H561" s="60"/>
      <c r="I561" s="61"/>
      <c r="J561" s="61"/>
      <c r="K561" s="61"/>
      <c r="L561" s="73" t="str">
        <f t="shared" si="41"/>
        <v/>
      </c>
      <c r="M561" s="65" t="str">
        <f t="shared" ca="1" si="42"/>
        <v/>
      </c>
      <c r="N561" s="74" t="str">
        <f>IF($C561="","",IF($C561="TANIMSIZ MÜŞTERİ","—",INDEX(MUSTERILER!$C$7:$C$156,MATCH($C561,MUSTERILER!$B$7:$B$156,0))))</f>
        <v/>
      </c>
      <c r="O561" s="2"/>
      <c r="P561" s="2"/>
      <c r="Q561" s="1" t="str">
        <f>IF($D561="","",$C561&amp;"|"&amp;COUNTIFS($C$7:$C561,$C561))</f>
        <v/>
      </c>
      <c r="R561" s="1" t="str">
        <f t="shared" si="43"/>
        <v/>
      </c>
      <c r="S561" s="1" t="str">
        <f t="shared" si="44"/>
        <v/>
      </c>
      <c r="T561" s="1">
        <f>IF($E561="",0,SUMPRODUCT((AY_SONU!$O$7:$O$42="Evet")*(AY_SONU!$B$7:$B$42=DATE(YEAR($E561),MONTH($E561),1))))</f>
        <v>0</v>
      </c>
    </row>
    <row r="562" spans="1:20" ht="18" customHeight="1" x14ac:dyDescent="0.3">
      <c r="A562" s="2"/>
      <c r="B562" s="65" t="str">
        <f t="shared" si="40"/>
        <v/>
      </c>
      <c r="C562" s="65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66"/>
      <c r="F562" s="67"/>
      <c r="G562" s="60"/>
      <c r="H562" s="60"/>
      <c r="I562" s="61"/>
      <c r="J562" s="61"/>
      <c r="K562" s="61"/>
      <c r="L562" s="73" t="str">
        <f t="shared" si="41"/>
        <v/>
      </c>
      <c r="M562" s="65" t="str">
        <f t="shared" ca="1" si="42"/>
        <v/>
      </c>
      <c r="N562" s="74" t="str">
        <f>IF($C562="","",IF($C562="TANIMSIZ MÜŞTERİ","—",INDEX(MUSTERILER!$C$7:$C$156,MATCH($C562,MUSTERILER!$B$7:$B$156,0))))</f>
        <v/>
      </c>
      <c r="O562" s="2"/>
      <c r="P562" s="2"/>
      <c r="Q562" s="1" t="str">
        <f>IF($D562="","",$C562&amp;"|"&amp;COUNTIFS($C$7:$C562,$C562))</f>
        <v/>
      </c>
      <c r="R562" s="1" t="str">
        <f t="shared" si="43"/>
        <v/>
      </c>
      <c r="S562" s="1" t="str">
        <f t="shared" si="44"/>
        <v/>
      </c>
      <c r="T562" s="1">
        <f>IF($E562="",0,SUMPRODUCT((AY_SONU!$O$7:$O$42="Evet")*(AY_SONU!$B$7:$B$42=DATE(YEAR($E562),MONTH($E562),1))))</f>
        <v>0</v>
      </c>
    </row>
    <row r="563" spans="1:20" ht="18" customHeight="1" x14ac:dyDescent="0.3">
      <c r="A563" s="2"/>
      <c r="B563" s="65" t="str">
        <f t="shared" si="40"/>
        <v/>
      </c>
      <c r="C563" s="65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66"/>
      <c r="F563" s="67"/>
      <c r="G563" s="60"/>
      <c r="H563" s="60"/>
      <c r="I563" s="61"/>
      <c r="J563" s="61"/>
      <c r="K563" s="61"/>
      <c r="L563" s="73" t="str">
        <f t="shared" si="41"/>
        <v/>
      </c>
      <c r="M563" s="65" t="str">
        <f t="shared" ca="1" si="42"/>
        <v/>
      </c>
      <c r="N563" s="74" t="str">
        <f>IF($C563="","",IF($C563="TANIMSIZ MÜŞTERİ","—",INDEX(MUSTERILER!$C$7:$C$156,MATCH($C563,MUSTERILER!$B$7:$B$156,0))))</f>
        <v/>
      </c>
      <c r="O563" s="2"/>
      <c r="P563" s="2"/>
      <c r="Q563" s="1" t="str">
        <f>IF($D563="","",$C563&amp;"|"&amp;COUNTIFS($C$7:$C563,$C563))</f>
        <v/>
      </c>
      <c r="R563" s="1" t="str">
        <f t="shared" si="43"/>
        <v/>
      </c>
      <c r="S563" s="1" t="str">
        <f t="shared" si="44"/>
        <v/>
      </c>
      <c r="T563" s="1">
        <f>IF($E563="",0,SUMPRODUCT((AY_SONU!$O$7:$O$42="Evet")*(AY_SONU!$B$7:$B$42=DATE(YEAR($E563),MONTH($E563),1))))</f>
        <v>0</v>
      </c>
    </row>
    <row r="564" spans="1:20" ht="18" customHeight="1" x14ac:dyDescent="0.3">
      <c r="A564" s="2"/>
      <c r="B564" s="65" t="str">
        <f t="shared" si="40"/>
        <v/>
      </c>
      <c r="C564" s="65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66"/>
      <c r="F564" s="67"/>
      <c r="G564" s="60"/>
      <c r="H564" s="60"/>
      <c r="I564" s="61"/>
      <c r="J564" s="61"/>
      <c r="K564" s="61"/>
      <c r="L564" s="73" t="str">
        <f t="shared" si="41"/>
        <v/>
      </c>
      <c r="M564" s="65" t="str">
        <f t="shared" ca="1" si="42"/>
        <v/>
      </c>
      <c r="N564" s="74" t="str">
        <f>IF($C564="","",IF($C564="TANIMSIZ MÜŞTERİ","—",INDEX(MUSTERILER!$C$7:$C$156,MATCH($C564,MUSTERILER!$B$7:$B$156,0))))</f>
        <v/>
      </c>
      <c r="O564" s="2"/>
      <c r="P564" s="2"/>
      <c r="Q564" s="1" t="str">
        <f>IF($D564="","",$C564&amp;"|"&amp;COUNTIFS($C$7:$C564,$C564))</f>
        <v/>
      </c>
      <c r="R564" s="1" t="str">
        <f t="shared" si="43"/>
        <v/>
      </c>
      <c r="S564" s="1" t="str">
        <f t="shared" si="44"/>
        <v/>
      </c>
      <c r="T564" s="1">
        <f>IF($E564="",0,SUMPRODUCT((AY_SONU!$O$7:$O$42="Evet")*(AY_SONU!$B$7:$B$42=DATE(YEAR($E564),MONTH($E564),1))))</f>
        <v>0</v>
      </c>
    </row>
    <row r="565" spans="1:20" ht="18" customHeight="1" x14ac:dyDescent="0.3">
      <c r="A565" s="2"/>
      <c r="B565" s="65" t="str">
        <f t="shared" si="40"/>
        <v/>
      </c>
      <c r="C565" s="65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66"/>
      <c r="F565" s="67"/>
      <c r="G565" s="60"/>
      <c r="H565" s="60"/>
      <c r="I565" s="61"/>
      <c r="J565" s="61"/>
      <c r="K565" s="61"/>
      <c r="L565" s="73" t="str">
        <f t="shared" si="41"/>
        <v/>
      </c>
      <c r="M565" s="65" t="str">
        <f t="shared" ca="1" si="42"/>
        <v/>
      </c>
      <c r="N565" s="74" t="str">
        <f>IF($C565="","",IF($C565="TANIMSIZ MÜŞTERİ","—",INDEX(MUSTERILER!$C$7:$C$156,MATCH($C565,MUSTERILER!$B$7:$B$156,0))))</f>
        <v/>
      </c>
      <c r="O565" s="2"/>
      <c r="P565" s="2"/>
      <c r="Q565" s="1" t="str">
        <f>IF($D565="","",$C565&amp;"|"&amp;COUNTIFS($C$7:$C565,$C565))</f>
        <v/>
      </c>
      <c r="R565" s="1" t="str">
        <f t="shared" si="43"/>
        <v/>
      </c>
      <c r="S565" s="1" t="str">
        <f t="shared" si="44"/>
        <v/>
      </c>
      <c r="T565" s="1">
        <f>IF($E565="",0,SUMPRODUCT((AY_SONU!$O$7:$O$42="Evet")*(AY_SONU!$B$7:$B$42=DATE(YEAR($E565),MONTH($E565),1))))</f>
        <v>0</v>
      </c>
    </row>
    <row r="566" spans="1:20" ht="18" customHeight="1" x14ac:dyDescent="0.3">
      <c r="A566" s="2"/>
      <c r="B566" s="65" t="str">
        <f t="shared" si="40"/>
        <v/>
      </c>
      <c r="C566" s="65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66"/>
      <c r="F566" s="67"/>
      <c r="G566" s="60"/>
      <c r="H566" s="60"/>
      <c r="I566" s="61"/>
      <c r="J566" s="61"/>
      <c r="K566" s="61"/>
      <c r="L566" s="73" t="str">
        <f t="shared" si="41"/>
        <v/>
      </c>
      <c r="M566" s="65" t="str">
        <f t="shared" ca="1" si="42"/>
        <v/>
      </c>
      <c r="N566" s="74" t="str">
        <f>IF($C566="","",IF($C566="TANIMSIZ MÜŞTERİ","—",INDEX(MUSTERILER!$C$7:$C$156,MATCH($C566,MUSTERILER!$B$7:$B$156,0))))</f>
        <v/>
      </c>
      <c r="O566" s="2"/>
      <c r="P566" s="2"/>
      <c r="Q566" s="1" t="str">
        <f>IF($D566="","",$C566&amp;"|"&amp;COUNTIFS($C$7:$C566,$C566))</f>
        <v/>
      </c>
      <c r="R566" s="1" t="str">
        <f t="shared" si="43"/>
        <v/>
      </c>
      <c r="S566" s="1" t="str">
        <f t="shared" si="44"/>
        <v/>
      </c>
      <c r="T566" s="1">
        <f>IF($E566="",0,SUMPRODUCT((AY_SONU!$O$7:$O$42="Evet")*(AY_SONU!$B$7:$B$42=DATE(YEAR($E566),MONTH($E566),1))))</f>
        <v>0</v>
      </c>
    </row>
    <row r="567" spans="1:20" ht="18" customHeight="1" x14ac:dyDescent="0.3">
      <c r="A567" s="2"/>
      <c r="B567" s="65" t="str">
        <f t="shared" si="40"/>
        <v/>
      </c>
      <c r="C567" s="65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66"/>
      <c r="F567" s="67"/>
      <c r="G567" s="60"/>
      <c r="H567" s="60"/>
      <c r="I567" s="61"/>
      <c r="J567" s="61"/>
      <c r="K567" s="61"/>
      <c r="L567" s="73" t="str">
        <f t="shared" si="41"/>
        <v/>
      </c>
      <c r="M567" s="65" t="str">
        <f t="shared" ca="1" si="42"/>
        <v/>
      </c>
      <c r="N567" s="74" t="str">
        <f>IF($C567="","",IF($C567="TANIMSIZ MÜŞTERİ","—",INDEX(MUSTERILER!$C$7:$C$156,MATCH($C567,MUSTERILER!$B$7:$B$156,0))))</f>
        <v/>
      </c>
      <c r="O567" s="2"/>
      <c r="P567" s="2"/>
      <c r="Q567" s="1" t="str">
        <f>IF($D567="","",$C567&amp;"|"&amp;COUNTIFS($C$7:$C567,$C567))</f>
        <v/>
      </c>
      <c r="R567" s="1" t="str">
        <f t="shared" si="43"/>
        <v/>
      </c>
      <c r="S567" s="1" t="str">
        <f t="shared" si="44"/>
        <v/>
      </c>
      <c r="T567" s="1">
        <f>IF($E567="",0,SUMPRODUCT((AY_SONU!$O$7:$O$42="Evet")*(AY_SONU!$B$7:$B$42=DATE(YEAR($E567),MONTH($E567),1))))</f>
        <v>0</v>
      </c>
    </row>
    <row r="568" spans="1:20" ht="18" customHeight="1" x14ac:dyDescent="0.3">
      <c r="A568" s="2"/>
      <c r="B568" s="65" t="str">
        <f t="shared" si="40"/>
        <v/>
      </c>
      <c r="C568" s="65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66"/>
      <c r="F568" s="67"/>
      <c r="G568" s="60"/>
      <c r="H568" s="60"/>
      <c r="I568" s="61"/>
      <c r="J568" s="61"/>
      <c r="K568" s="61"/>
      <c r="L568" s="73" t="str">
        <f t="shared" si="41"/>
        <v/>
      </c>
      <c r="M568" s="65" t="str">
        <f t="shared" ca="1" si="42"/>
        <v/>
      </c>
      <c r="N568" s="74" t="str">
        <f>IF($C568="","",IF($C568="TANIMSIZ MÜŞTERİ","—",INDEX(MUSTERILER!$C$7:$C$156,MATCH($C568,MUSTERILER!$B$7:$B$156,0))))</f>
        <v/>
      </c>
      <c r="O568" s="2"/>
      <c r="P568" s="2"/>
      <c r="Q568" s="1" t="str">
        <f>IF($D568="","",$C568&amp;"|"&amp;COUNTIFS($C$7:$C568,$C568))</f>
        <v/>
      </c>
      <c r="R568" s="1" t="str">
        <f t="shared" si="43"/>
        <v/>
      </c>
      <c r="S568" s="1" t="str">
        <f t="shared" si="44"/>
        <v/>
      </c>
      <c r="T568" s="1">
        <f>IF($E568="",0,SUMPRODUCT((AY_SONU!$O$7:$O$42="Evet")*(AY_SONU!$B$7:$B$42=DATE(YEAR($E568),MONTH($E568),1))))</f>
        <v>0</v>
      </c>
    </row>
    <row r="569" spans="1:20" ht="18" customHeight="1" x14ac:dyDescent="0.3">
      <c r="A569" s="2"/>
      <c r="B569" s="65" t="str">
        <f t="shared" si="40"/>
        <v/>
      </c>
      <c r="C569" s="65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66"/>
      <c r="F569" s="67"/>
      <c r="G569" s="60"/>
      <c r="H569" s="60"/>
      <c r="I569" s="61"/>
      <c r="J569" s="61"/>
      <c r="K569" s="61"/>
      <c r="L569" s="73" t="str">
        <f t="shared" si="41"/>
        <v/>
      </c>
      <c r="M569" s="65" t="str">
        <f t="shared" ca="1" si="42"/>
        <v/>
      </c>
      <c r="N569" s="74" t="str">
        <f>IF($C569="","",IF($C569="TANIMSIZ MÜŞTERİ","—",INDEX(MUSTERILER!$C$7:$C$156,MATCH($C569,MUSTERILER!$B$7:$B$156,0))))</f>
        <v/>
      </c>
      <c r="O569" s="2"/>
      <c r="P569" s="2"/>
      <c r="Q569" s="1" t="str">
        <f>IF($D569="","",$C569&amp;"|"&amp;COUNTIFS($C$7:$C569,$C569))</f>
        <v/>
      </c>
      <c r="R569" s="1" t="str">
        <f t="shared" si="43"/>
        <v/>
      </c>
      <c r="S569" s="1" t="str">
        <f t="shared" si="44"/>
        <v/>
      </c>
      <c r="T569" s="1">
        <f>IF($E569="",0,SUMPRODUCT((AY_SONU!$O$7:$O$42="Evet")*(AY_SONU!$B$7:$B$42=DATE(YEAR($E569),MONTH($E569),1))))</f>
        <v>0</v>
      </c>
    </row>
    <row r="570" spans="1:20" ht="18" customHeight="1" x14ac:dyDescent="0.3">
      <c r="A570" s="2"/>
      <c r="B570" s="65" t="str">
        <f t="shared" si="40"/>
        <v/>
      </c>
      <c r="C570" s="65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66"/>
      <c r="F570" s="67"/>
      <c r="G570" s="60"/>
      <c r="H570" s="60"/>
      <c r="I570" s="61"/>
      <c r="J570" s="61"/>
      <c r="K570" s="61"/>
      <c r="L570" s="73" t="str">
        <f t="shared" si="41"/>
        <v/>
      </c>
      <c r="M570" s="65" t="str">
        <f t="shared" ca="1" si="42"/>
        <v/>
      </c>
      <c r="N570" s="74" t="str">
        <f>IF($C570="","",IF($C570="TANIMSIZ MÜŞTERİ","—",INDEX(MUSTERILER!$C$7:$C$156,MATCH($C570,MUSTERILER!$B$7:$B$156,0))))</f>
        <v/>
      </c>
      <c r="O570" s="2"/>
      <c r="P570" s="2"/>
      <c r="Q570" s="1" t="str">
        <f>IF($D570="","",$C570&amp;"|"&amp;COUNTIFS($C$7:$C570,$C570))</f>
        <v/>
      </c>
      <c r="R570" s="1" t="str">
        <f t="shared" si="43"/>
        <v/>
      </c>
      <c r="S570" s="1" t="str">
        <f t="shared" si="44"/>
        <v/>
      </c>
      <c r="T570" s="1">
        <f>IF($E570="",0,SUMPRODUCT((AY_SONU!$O$7:$O$42="Evet")*(AY_SONU!$B$7:$B$42=DATE(YEAR($E570),MONTH($E570),1))))</f>
        <v>0</v>
      </c>
    </row>
    <row r="571" spans="1:20" ht="18" customHeight="1" x14ac:dyDescent="0.3">
      <c r="A571" s="2"/>
      <c r="B571" s="65" t="str">
        <f t="shared" si="40"/>
        <v/>
      </c>
      <c r="C571" s="65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66"/>
      <c r="F571" s="67"/>
      <c r="G571" s="60"/>
      <c r="H571" s="60"/>
      <c r="I571" s="61"/>
      <c r="J571" s="61"/>
      <c r="K571" s="61"/>
      <c r="L571" s="73" t="str">
        <f t="shared" si="41"/>
        <v/>
      </c>
      <c r="M571" s="65" t="str">
        <f t="shared" ca="1" si="42"/>
        <v/>
      </c>
      <c r="N571" s="74" t="str">
        <f>IF($C571="","",IF($C571="TANIMSIZ MÜŞTERİ","—",INDEX(MUSTERILER!$C$7:$C$156,MATCH($C571,MUSTERILER!$B$7:$B$156,0))))</f>
        <v/>
      </c>
      <c r="O571" s="2"/>
      <c r="P571" s="2"/>
      <c r="Q571" s="1" t="str">
        <f>IF($D571="","",$C571&amp;"|"&amp;COUNTIFS($C$7:$C571,$C571))</f>
        <v/>
      </c>
      <c r="R571" s="1" t="str">
        <f t="shared" si="43"/>
        <v/>
      </c>
      <c r="S571" s="1" t="str">
        <f t="shared" si="44"/>
        <v/>
      </c>
      <c r="T571" s="1">
        <f>IF($E571="",0,SUMPRODUCT((AY_SONU!$O$7:$O$42="Evet")*(AY_SONU!$B$7:$B$42=DATE(YEAR($E571),MONTH($E571),1))))</f>
        <v>0</v>
      </c>
    </row>
    <row r="572" spans="1:20" ht="18" customHeight="1" x14ac:dyDescent="0.3">
      <c r="A572" s="2"/>
      <c r="B572" s="65" t="str">
        <f t="shared" si="40"/>
        <v/>
      </c>
      <c r="C572" s="65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66"/>
      <c r="F572" s="67"/>
      <c r="G572" s="60"/>
      <c r="H572" s="60"/>
      <c r="I572" s="61"/>
      <c r="J572" s="61"/>
      <c r="K572" s="61"/>
      <c r="L572" s="73" t="str">
        <f t="shared" si="41"/>
        <v/>
      </c>
      <c r="M572" s="65" t="str">
        <f t="shared" ca="1" si="42"/>
        <v/>
      </c>
      <c r="N572" s="74" t="str">
        <f>IF($C572="","",IF($C572="TANIMSIZ MÜŞTERİ","—",INDEX(MUSTERILER!$C$7:$C$156,MATCH($C572,MUSTERILER!$B$7:$B$156,0))))</f>
        <v/>
      </c>
      <c r="O572" s="2"/>
      <c r="P572" s="2"/>
      <c r="Q572" s="1" t="str">
        <f>IF($D572="","",$C572&amp;"|"&amp;COUNTIFS($C$7:$C572,$C572))</f>
        <v/>
      </c>
      <c r="R572" s="1" t="str">
        <f t="shared" si="43"/>
        <v/>
      </c>
      <c r="S572" s="1" t="str">
        <f t="shared" si="44"/>
        <v/>
      </c>
      <c r="T572" s="1">
        <f>IF($E572="",0,SUMPRODUCT((AY_SONU!$O$7:$O$42="Evet")*(AY_SONU!$B$7:$B$42=DATE(YEAR($E572),MONTH($E572),1))))</f>
        <v>0</v>
      </c>
    </row>
    <row r="573" spans="1:20" ht="18" customHeight="1" x14ac:dyDescent="0.3">
      <c r="A573" s="2"/>
      <c r="B573" s="65" t="str">
        <f t="shared" si="40"/>
        <v/>
      </c>
      <c r="C573" s="65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66"/>
      <c r="F573" s="67"/>
      <c r="G573" s="60"/>
      <c r="H573" s="60"/>
      <c r="I573" s="61"/>
      <c r="J573" s="61"/>
      <c r="K573" s="61"/>
      <c r="L573" s="73" t="str">
        <f t="shared" si="41"/>
        <v/>
      </c>
      <c r="M573" s="65" t="str">
        <f t="shared" ca="1" si="42"/>
        <v/>
      </c>
      <c r="N573" s="74" t="str">
        <f>IF($C573="","",IF($C573="TANIMSIZ MÜŞTERİ","—",INDEX(MUSTERILER!$C$7:$C$156,MATCH($C573,MUSTERILER!$B$7:$B$156,0))))</f>
        <v/>
      </c>
      <c r="O573" s="2"/>
      <c r="P573" s="2"/>
      <c r="Q573" s="1" t="str">
        <f>IF($D573="","",$C573&amp;"|"&amp;COUNTIFS($C$7:$C573,$C573))</f>
        <v/>
      </c>
      <c r="R573" s="1" t="str">
        <f t="shared" si="43"/>
        <v/>
      </c>
      <c r="S573" s="1" t="str">
        <f t="shared" si="44"/>
        <v/>
      </c>
      <c r="T573" s="1">
        <f>IF($E573="",0,SUMPRODUCT((AY_SONU!$O$7:$O$42="Evet")*(AY_SONU!$B$7:$B$42=DATE(YEAR($E573),MONTH($E573),1))))</f>
        <v>0</v>
      </c>
    </row>
    <row r="574" spans="1:20" ht="18" customHeight="1" x14ac:dyDescent="0.3">
      <c r="A574" s="2"/>
      <c r="B574" s="65" t="str">
        <f t="shared" si="40"/>
        <v/>
      </c>
      <c r="C574" s="65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66"/>
      <c r="F574" s="67"/>
      <c r="G574" s="60"/>
      <c r="H574" s="60"/>
      <c r="I574" s="61"/>
      <c r="J574" s="61"/>
      <c r="K574" s="61"/>
      <c r="L574" s="73" t="str">
        <f t="shared" si="41"/>
        <v/>
      </c>
      <c r="M574" s="65" t="str">
        <f t="shared" ca="1" si="42"/>
        <v/>
      </c>
      <c r="N574" s="74" t="str">
        <f>IF($C574="","",IF($C574="TANIMSIZ MÜŞTERİ","—",INDEX(MUSTERILER!$C$7:$C$156,MATCH($C574,MUSTERILER!$B$7:$B$156,0))))</f>
        <v/>
      </c>
      <c r="O574" s="2"/>
      <c r="P574" s="2"/>
      <c r="Q574" s="1" t="str">
        <f>IF($D574="","",$C574&amp;"|"&amp;COUNTIFS($C$7:$C574,$C574))</f>
        <v/>
      </c>
      <c r="R574" s="1" t="str">
        <f t="shared" si="43"/>
        <v/>
      </c>
      <c r="S574" s="1" t="str">
        <f t="shared" si="44"/>
        <v/>
      </c>
      <c r="T574" s="1">
        <f>IF($E574="",0,SUMPRODUCT((AY_SONU!$O$7:$O$42="Evet")*(AY_SONU!$B$7:$B$42=DATE(YEAR($E574),MONTH($E574),1))))</f>
        <v>0</v>
      </c>
    </row>
    <row r="575" spans="1:20" ht="18" customHeight="1" x14ac:dyDescent="0.3">
      <c r="A575" s="2"/>
      <c r="B575" s="65" t="str">
        <f t="shared" si="40"/>
        <v/>
      </c>
      <c r="C575" s="65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66"/>
      <c r="F575" s="67"/>
      <c r="G575" s="60"/>
      <c r="H575" s="60"/>
      <c r="I575" s="61"/>
      <c r="J575" s="61"/>
      <c r="K575" s="61"/>
      <c r="L575" s="73" t="str">
        <f t="shared" si="41"/>
        <v/>
      </c>
      <c r="M575" s="65" t="str">
        <f t="shared" ca="1" si="42"/>
        <v/>
      </c>
      <c r="N575" s="74" t="str">
        <f>IF($C575="","",IF($C575="TANIMSIZ MÜŞTERİ","—",INDEX(MUSTERILER!$C$7:$C$156,MATCH($C575,MUSTERILER!$B$7:$B$156,0))))</f>
        <v/>
      </c>
      <c r="O575" s="2"/>
      <c r="P575" s="2"/>
      <c r="Q575" s="1" t="str">
        <f>IF($D575="","",$C575&amp;"|"&amp;COUNTIFS($C$7:$C575,$C575))</f>
        <v/>
      </c>
      <c r="R575" s="1" t="str">
        <f t="shared" si="43"/>
        <v/>
      </c>
      <c r="S575" s="1" t="str">
        <f t="shared" si="44"/>
        <v/>
      </c>
      <c r="T575" s="1">
        <f>IF($E575="",0,SUMPRODUCT((AY_SONU!$O$7:$O$42="Evet")*(AY_SONU!$B$7:$B$42=DATE(YEAR($E575),MONTH($E575),1))))</f>
        <v>0</v>
      </c>
    </row>
    <row r="576" spans="1:20" ht="18" customHeight="1" x14ac:dyDescent="0.3">
      <c r="A576" s="2"/>
      <c r="B576" s="65" t="str">
        <f t="shared" si="40"/>
        <v/>
      </c>
      <c r="C576" s="65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66"/>
      <c r="F576" s="67"/>
      <c r="G576" s="60"/>
      <c r="H576" s="60"/>
      <c r="I576" s="61"/>
      <c r="J576" s="61"/>
      <c r="K576" s="61"/>
      <c r="L576" s="73" t="str">
        <f t="shared" si="41"/>
        <v/>
      </c>
      <c r="M576" s="65" t="str">
        <f t="shared" ca="1" si="42"/>
        <v/>
      </c>
      <c r="N576" s="74" t="str">
        <f>IF($C576="","",IF($C576="TANIMSIZ MÜŞTERİ","—",INDEX(MUSTERILER!$C$7:$C$156,MATCH($C576,MUSTERILER!$B$7:$B$156,0))))</f>
        <v/>
      </c>
      <c r="O576" s="2"/>
      <c r="P576" s="2"/>
      <c r="Q576" s="1" t="str">
        <f>IF($D576="","",$C576&amp;"|"&amp;COUNTIFS($C$7:$C576,$C576))</f>
        <v/>
      </c>
      <c r="R576" s="1" t="str">
        <f t="shared" si="43"/>
        <v/>
      </c>
      <c r="S576" s="1" t="str">
        <f t="shared" si="44"/>
        <v/>
      </c>
      <c r="T576" s="1">
        <f>IF($E576="",0,SUMPRODUCT((AY_SONU!$O$7:$O$42="Evet")*(AY_SONU!$B$7:$B$42=DATE(YEAR($E576),MONTH($E576),1))))</f>
        <v>0</v>
      </c>
    </row>
    <row r="577" spans="1:20" ht="18" customHeight="1" x14ac:dyDescent="0.3">
      <c r="A577" s="2"/>
      <c r="B577" s="65" t="str">
        <f t="shared" si="40"/>
        <v/>
      </c>
      <c r="C577" s="65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66"/>
      <c r="F577" s="67"/>
      <c r="G577" s="60"/>
      <c r="H577" s="60"/>
      <c r="I577" s="61"/>
      <c r="J577" s="61"/>
      <c r="K577" s="61"/>
      <c r="L577" s="73" t="str">
        <f t="shared" si="41"/>
        <v/>
      </c>
      <c r="M577" s="65" t="str">
        <f t="shared" ca="1" si="42"/>
        <v/>
      </c>
      <c r="N577" s="74" t="str">
        <f>IF($C577="","",IF($C577="TANIMSIZ MÜŞTERİ","—",INDEX(MUSTERILER!$C$7:$C$156,MATCH($C577,MUSTERILER!$B$7:$B$156,0))))</f>
        <v/>
      </c>
      <c r="O577" s="2"/>
      <c r="P577" s="2"/>
      <c r="Q577" s="1" t="str">
        <f>IF($D577="","",$C577&amp;"|"&amp;COUNTIFS($C$7:$C577,$C577))</f>
        <v/>
      </c>
      <c r="R577" s="1" t="str">
        <f t="shared" si="43"/>
        <v/>
      </c>
      <c r="S577" s="1" t="str">
        <f t="shared" si="44"/>
        <v/>
      </c>
      <c r="T577" s="1">
        <f>IF($E577="",0,SUMPRODUCT((AY_SONU!$O$7:$O$42="Evet")*(AY_SONU!$B$7:$B$42=DATE(YEAR($E577),MONTH($E577),1))))</f>
        <v>0</v>
      </c>
    </row>
    <row r="578" spans="1:20" ht="18" customHeight="1" x14ac:dyDescent="0.3">
      <c r="A578" s="2"/>
      <c r="B578" s="65" t="str">
        <f t="shared" si="40"/>
        <v/>
      </c>
      <c r="C578" s="65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66"/>
      <c r="F578" s="67"/>
      <c r="G578" s="60"/>
      <c r="H578" s="60"/>
      <c r="I578" s="61"/>
      <c r="J578" s="61"/>
      <c r="K578" s="61"/>
      <c r="L578" s="73" t="str">
        <f t="shared" si="41"/>
        <v/>
      </c>
      <c r="M578" s="65" t="str">
        <f t="shared" ca="1" si="42"/>
        <v/>
      </c>
      <c r="N578" s="74" t="str">
        <f>IF($C578="","",IF($C578="TANIMSIZ MÜŞTERİ","—",INDEX(MUSTERILER!$C$7:$C$156,MATCH($C578,MUSTERILER!$B$7:$B$156,0))))</f>
        <v/>
      </c>
      <c r="O578" s="2"/>
      <c r="P578" s="2"/>
      <c r="Q578" s="1" t="str">
        <f>IF($D578="","",$C578&amp;"|"&amp;COUNTIFS($C$7:$C578,$C578))</f>
        <v/>
      </c>
      <c r="R578" s="1" t="str">
        <f t="shared" si="43"/>
        <v/>
      </c>
      <c r="S578" s="1" t="str">
        <f t="shared" si="44"/>
        <v/>
      </c>
      <c r="T578" s="1">
        <f>IF($E578="",0,SUMPRODUCT((AY_SONU!$O$7:$O$42="Evet")*(AY_SONU!$B$7:$B$42=DATE(YEAR($E578),MONTH($E578),1))))</f>
        <v>0</v>
      </c>
    </row>
    <row r="579" spans="1:20" ht="18" customHeight="1" x14ac:dyDescent="0.3">
      <c r="A579" s="2"/>
      <c r="B579" s="65" t="str">
        <f t="shared" si="40"/>
        <v/>
      </c>
      <c r="C579" s="65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66"/>
      <c r="F579" s="67"/>
      <c r="G579" s="60"/>
      <c r="H579" s="60"/>
      <c r="I579" s="61"/>
      <c r="J579" s="61"/>
      <c r="K579" s="61"/>
      <c r="L579" s="73" t="str">
        <f t="shared" si="41"/>
        <v/>
      </c>
      <c r="M579" s="65" t="str">
        <f t="shared" ca="1" si="42"/>
        <v/>
      </c>
      <c r="N579" s="74" t="str">
        <f>IF($C579="","",IF($C579="TANIMSIZ MÜŞTERİ","—",INDEX(MUSTERILER!$C$7:$C$156,MATCH($C579,MUSTERILER!$B$7:$B$156,0))))</f>
        <v/>
      </c>
      <c r="O579" s="2"/>
      <c r="P579" s="2"/>
      <c r="Q579" s="1" t="str">
        <f>IF($D579="","",$C579&amp;"|"&amp;COUNTIFS($C$7:$C579,$C579))</f>
        <v/>
      </c>
      <c r="R579" s="1" t="str">
        <f t="shared" si="43"/>
        <v/>
      </c>
      <c r="S579" s="1" t="str">
        <f t="shared" si="44"/>
        <v/>
      </c>
      <c r="T579" s="1">
        <f>IF($E579="",0,SUMPRODUCT((AY_SONU!$O$7:$O$42="Evet")*(AY_SONU!$B$7:$B$42=DATE(YEAR($E579),MONTH($E579),1))))</f>
        <v>0</v>
      </c>
    </row>
    <row r="580" spans="1:20" ht="18" customHeight="1" x14ac:dyDescent="0.3">
      <c r="A580" s="2"/>
      <c r="B580" s="65" t="str">
        <f t="shared" si="40"/>
        <v/>
      </c>
      <c r="C580" s="65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66"/>
      <c r="F580" s="67"/>
      <c r="G580" s="60"/>
      <c r="H580" s="60"/>
      <c r="I580" s="61"/>
      <c r="J580" s="61"/>
      <c r="K580" s="61"/>
      <c r="L580" s="73" t="str">
        <f t="shared" si="41"/>
        <v/>
      </c>
      <c r="M580" s="65" t="str">
        <f t="shared" ca="1" si="42"/>
        <v/>
      </c>
      <c r="N580" s="74" t="str">
        <f>IF($C580="","",IF($C580="TANIMSIZ MÜŞTERİ","—",INDEX(MUSTERILER!$C$7:$C$156,MATCH($C580,MUSTERILER!$B$7:$B$156,0))))</f>
        <v/>
      </c>
      <c r="O580" s="2"/>
      <c r="P580" s="2"/>
      <c r="Q580" s="1" t="str">
        <f>IF($D580="","",$C580&amp;"|"&amp;COUNTIFS($C$7:$C580,$C580))</f>
        <v/>
      </c>
      <c r="R580" s="1" t="str">
        <f t="shared" si="43"/>
        <v/>
      </c>
      <c r="S580" s="1" t="str">
        <f t="shared" si="44"/>
        <v/>
      </c>
      <c r="T580" s="1">
        <f>IF($E580="",0,SUMPRODUCT((AY_SONU!$O$7:$O$42="Evet")*(AY_SONU!$B$7:$B$42=DATE(YEAR($E580),MONTH($E580),1))))</f>
        <v>0</v>
      </c>
    </row>
    <row r="581" spans="1:20" ht="18" customHeight="1" x14ac:dyDescent="0.3">
      <c r="A581" s="2"/>
      <c r="B581" s="65" t="str">
        <f t="shared" si="40"/>
        <v/>
      </c>
      <c r="C581" s="65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66"/>
      <c r="F581" s="67"/>
      <c r="G581" s="60"/>
      <c r="H581" s="60"/>
      <c r="I581" s="61"/>
      <c r="J581" s="61"/>
      <c r="K581" s="61"/>
      <c r="L581" s="73" t="str">
        <f t="shared" si="41"/>
        <v/>
      </c>
      <c r="M581" s="65" t="str">
        <f t="shared" ca="1" si="42"/>
        <v/>
      </c>
      <c r="N581" s="74" t="str">
        <f>IF($C581="","",IF($C581="TANIMSIZ MÜŞTERİ","—",INDEX(MUSTERILER!$C$7:$C$156,MATCH($C581,MUSTERILER!$B$7:$B$156,0))))</f>
        <v/>
      </c>
      <c r="O581" s="2"/>
      <c r="P581" s="2"/>
      <c r="Q581" s="1" t="str">
        <f>IF($D581="","",$C581&amp;"|"&amp;COUNTIFS($C$7:$C581,$C581))</f>
        <v/>
      </c>
      <c r="R581" s="1" t="str">
        <f t="shared" si="43"/>
        <v/>
      </c>
      <c r="S581" s="1" t="str">
        <f t="shared" si="44"/>
        <v/>
      </c>
      <c r="T581" s="1">
        <f>IF($E581="",0,SUMPRODUCT((AY_SONU!$O$7:$O$42="Evet")*(AY_SONU!$B$7:$B$42=DATE(YEAR($E581),MONTH($E581),1))))</f>
        <v>0</v>
      </c>
    </row>
    <row r="582" spans="1:20" ht="18" customHeight="1" x14ac:dyDescent="0.3">
      <c r="A582" s="2"/>
      <c r="B582" s="65" t="str">
        <f t="shared" si="40"/>
        <v/>
      </c>
      <c r="C582" s="65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66"/>
      <c r="F582" s="67"/>
      <c r="G582" s="60"/>
      <c r="H582" s="60"/>
      <c r="I582" s="61"/>
      <c r="J582" s="61"/>
      <c r="K582" s="61"/>
      <c r="L582" s="73" t="str">
        <f t="shared" si="41"/>
        <v/>
      </c>
      <c r="M582" s="65" t="str">
        <f t="shared" ca="1" si="42"/>
        <v/>
      </c>
      <c r="N582" s="74" t="str">
        <f>IF($C582="","",IF($C582="TANIMSIZ MÜŞTERİ","—",INDEX(MUSTERILER!$C$7:$C$156,MATCH($C582,MUSTERILER!$B$7:$B$156,0))))</f>
        <v/>
      </c>
      <c r="O582" s="2"/>
      <c r="P582" s="2"/>
      <c r="Q582" s="1" t="str">
        <f>IF($D582="","",$C582&amp;"|"&amp;COUNTIFS($C$7:$C582,$C582))</f>
        <v/>
      </c>
      <c r="R582" s="1" t="str">
        <f t="shared" si="43"/>
        <v/>
      </c>
      <c r="S582" s="1" t="str">
        <f t="shared" si="44"/>
        <v/>
      </c>
      <c r="T582" s="1">
        <f>IF($E582="",0,SUMPRODUCT((AY_SONU!$O$7:$O$42="Evet")*(AY_SONU!$B$7:$B$42=DATE(YEAR($E582),MONTH($E582),1))))</f>
        <v>0</v>
      </c>
    </row>
    <row r="583" spans="1:20" ht="18" customHeight="1" x14ac:dyDescent="0.3">
      <c r="A583" s="2"/>
      <c r="B583" s="65" t="str">
        <f t="shared" ref="B583:B646" si="45">IF($D583="","","T"&amp;TEXT(ROW()-6,"00000"))</f>
        <v/>
      </c>
      <c r="C583" s="65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66"/>
      <c r="F583" s="67"/>
      <c r="G583" s="60"/>
      <c r="H583" s="60"/>
      <c r="I583" s="61"/>
      <c r="J583" s="61"/>
      <c r="K583" s="61"/>
      <c r="L583" s="73" t="str">
        <f t="shared" ref="L583:L646" si="46">IF($E583="","",DATE(YEAR($E583),MONTH($E583),1))</f>
        <v/>
      </c>
      <c r="M583" s="65" t="str">
        <f t="shared" ref="M583:M646" ca="1" si="47">IF($D583="","",IF($C583="TANIMSIZ MÜŞTERİ","HATA",IF(OR($E583="",$F583&lt;=0,$G583=""),"EKSİK",IF($E583&gt;TODAY(),"İLERİ TARİH",IF(COUNTIF($S$7:$S$2506,$S583)&gt;1,"MÜKERRER?",IF($T583&gt;0,"KAPALI DÖNEM","UYGUN"))))))</f>
        <v/>
      </c>
      <c r="N583" s="74" t="str">
        <f>IF($C583="","",IF($C583="TANIMSIZ MÜŞTERİ","—",INDEX(MUSTERILER!$C$7:$C$156,MATCH($C583,MUSTERILER!$B$7:$B$156,0))))</f>
        <v/>
      </c>
      <c r="O583" s="2"/>
      <c r="P583" s="2"/>
      <c r="Q583" s="1" t="str">
        <f>IF($D583="","",$C583&amp;"|"&amp;COUNTIFS($C$7:$C583,$C583))</f>
        <v/>
      </c>
      <c r="R583" s="1" t="str">
        <f t="shared" ref="R583:R646" si="4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 t="str">
        <f t="shared" ref="S583:S646" si="49"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>0</v>
      </c>
    </row>
    <row r="584" spans="1:20" ht="18" customHeight="1" x14ac:dyDescent="0.3">
      <c r="A584" s="2"/>
      <c r="B584" s="65" t="str">
        <f t="shared" si="45"/>
        <v/>
      </c>
      <c r="C584" s="65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66"/>
      <c r="F584" s="67"/>
      <c r="G584" s="60"/>
      <c r="H584" s="60"/>
      <c r="I584" s="61"/>
      <c r="J584" s="61"/>
      <c r="K584" s="61"/>
      <c r="L584" s="73" t="str">
        <f t="shared" si="46"/>
        <v/>
      </c>
      <c r="M584" s="65" t="str">
        <f t="shared" ca="1" si="47"/>
        <v/>
      </c>
      <c r="N584" s="74" t="str">
        <f>IF($C584="","",IF($C584="TANIMSIZ MÜŞTERİ","—",INDEX(MUSTERILER!$C$7:$C$156,MATCH($C584,MUSTERILER!$B$7:$B$156,0))))</f>
        <v/>
      </c>
      <c r="O584" s="2"/>
      <c r="P584" s="2"/>
      <c r="Q584" s="1" t="str">
        <f>IF($D584="","",$C584&amp;"|"&amp;COUNTIFS($C$7:$C584,$C584))</f>
        <v/>
      </c>
      <c r="R584" s="1" t="str">
        <f t="shared" si="48"/>
        <v/>
      </c>
      <c r="S584" s="1" t="str">
        <f t="shared" si="49"/>
        <v/>
      </c>
      <c r="T584" s="1">
        <f>IF($E584="",0,SUMPRODUCT((AY_SONU!$O$7:$O$42="Evet")*(AY_SONU!$B$7:$B$42=DATE(YEAR($E584),MONTH($E584),1))))</f>
        <v>0</v>
      </c>
    </row>
    <row r="585" spans="1:20" ht="18" customHeight="1" x14ac:dyDescent="0.3">
      <c r="A585" s="2"/>
      <c r="B585" s="65" t="str">
        <f t="shared" si="45"/>
        <v/>
      </c>
      <c r="C585" s="65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66"/>
      <c r="F585" s="67"/>
      <c r="G585" s="60"/>
      <c r="H585" s="60"/>
      <c r="I585" s="61"/>
      <c r="J585" s="61"/>
      <c r="K585" s="61"/>
      <c r="L585" s="73" t="str">
        <f t="shared" si="46"/>
        <v/>
      </c>
      <c r="M585" s="65" t="str">
        <f t="shared" ca="1" si="47"/>
        <v/>
      </c>
      <c r="N585" s="74" t="str">
        <f>IF($C585="","",IF($C585="TANIMSIZ MÜŞTERİ","—",INDEX(MUSTERILER!$C$7:$C$156,MATCH($C585,MUSTERILER!$B$7:$B$156,0))))</f>
        <v/>
      </c>
      <c r="O585" s="2"/>
      <c r="P585" s="2"/>
      <c r="Q585" s="1" t="str">
        <f>IF($D585="","",$C585&amp;"|"&amp;COUNTIFS($C$7:$C585,$C585))</f>
        <v/>
      </c>
      <c r="R585" s="1" t="str">
        <f t="shared" si="48"/>
        <v/>
      </c>
      <c r="S585" s="1" t="str">
        <f t="shared" si="49"/>
        <v/>
      </c>
      <c r="T585" s="1">
        <f>IF($E585="",0,SUMPRODUCT((AY_SONU!$O$7:$O$42="Evet")*(AY_SONU!$B$7:$B$42=DATE(YEAR($E585),MONTH($E585),1))))</f>
        <v>0</v>
      </c>
    </row>
    <row r="586" spans="1:20" ht="18" customHeight="1" x14ac:dyDescent="0.3">
      <c r="A586" s="2"/>
      <c r="B586" s="65" t="str">
        <f t="shared" si="45"/>
        <v/>
      </c>
      <c r="C586" s="65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66"/>
      <c r="F586" s="67"/>
      <c r="G586" s="60"/>
      <c r="H586" s="60"/>
      <c r="I586" s="61"/>
      <c r="J586" s="61"/>
      <c r="K586" s="61"/>
      <c r="L586" s="73" t="str">
        <f t="shared" si="46"/>
        <v/>
      </c>
      <c r="M586" s="65" t="str">
        <f t="shared" ca="1" si="47"/>
        <v/>
      </c>
      <c r="N586" s="74" t="str">
        <f>IF($C586="","",IF($C586="TANIMSIZ MÜŞTERİ","—",INDEX(MUSTERILER!$C$7:$C$156,MATCH($C586,MUSTERILER!$B$7:$B$156,0))))</f>
        <v/>
      </c>
      <c r="O586" s="2"/>
      <c r="P586" s="2"/>
      <c r="Q586" s="1" t="str">
        <f>IF($D586="","",$C586&amp;"|"&amp;COUNTIFS($C$7:$C586,$C586))</f>
        <v/>
      </c>
      <c r="R586" s="1" t="str">
        <f t="shared" si="48"/>
        <v/>
      </c>
      <c r="S586" s="1" t="str">
        <f t="shared" si="49"/>
        <v/>
      </c>
      <c r="T586" s="1">
        <f>IF($E586="",0,SUMPRODUCT((AY_SONU!$O$7:$O$42="Evet")*(AY_SONU!$B$7:$B$42=DATE(YEAR($E586),MONTH($E586),1))))</f>
        <v>0</v>
      </c>
    </row>
    <row r="587" spans="1:20" ht="18" customHeight="1" x14ac:dyDescent="0.3">
      <c r="A587" s="2"/>
      <c r="B587" s="65" t="str">
        <f t="shared" si="45"/>
        <v/>
      </c>
      <c r="C587" s="65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66"/>
      <c r="F587" s="67"/>
      <c r="G587" s="60"/>
      <c r="H587" s="60"/>
      <c r="I587" s="61"/>
      <c r="J587" s="61"/>
      <c r="K587" s="61"/>
      <c r="L587" s="73" t="str">
        <f t="shared" si="46"/>
        <v/>
      </c>
      <c r="M587" s="65" t="str">
        <f t="shared" ca="1" si="47"/>
        <v/>
      </c>
      <c r="N587" s="74" t="str">
        <f>IF($C587="","",IF($C587="TANIMSIZ MÜŞTERİ","—",INDEX(MUSTERILER!$C$7:$C$156,MATCH($C587,MUSTERILER!$B$7:$B$156,0))))</f>
        <v/>
      </c>
      <c r="O587" s="2"/>
      <c r="P587" s="2"/>
      <c r="Q587" s="1" t="str">
        <f>IF($D587="","",$C587&amp;"|"&amp;COUNTIFS($C$7:$C587,$C587))</f>
        <v/>
      </c>
      <c r="R587" s="1" t="str">
        <f t="shared" si="48"/>
        <v/>
      </c>
      <c r="S587" s="1" t="str">
        <f t="shared" si="49"/>
        <v/>
      </c>
      <c r="T587" s="1">
        <f>IF($E587="",0,SUMPRODUCT((AY_SONU!$O$7:$O$42="Evet")*(AY_SONU!$B$7:$B$42=DATE(YEAR($E587),MONTH($E587),1))))</f>
        <v>0</v>
      </c>
    </row>
    <row r="588" spans="1:20" ht="18" customHeight="1" x14ac:dyDescent="0.3">
      <c r="A588" s="2"/>
      <c r="B588" s="65" t="str">
        <f t="shared" si="45"/>
        <v/>
      </c>
      <c r="C588" s="65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66"/>
      <c r="F588" s="67"/>
      <c r="G588" s="60"/>
      <c r="H588" s="60"/>
      <c r="I588" s="61"/>
      <c r="J588" s="61"/>
      <c r="K588" s="61"/>
      <c r="L588" s="73" t="str">
        <f t="shared" si="46"/>
        <v/>
      </c>
      <c r="M588" s="65" t="str">
        <f t="shared" ca="1" si="47"/>
        <v/>
      </c>
      <c r="N588" s="74" t="str">
        <f>IF($C588="","",IF($C588="TANIMSIZ MÜŞTERİ","—",INDEX(MUSTERILER!$C$7:$C$156,MATCH($C588,MUSTERILER!$B$7:$B$156,0))))</f>
        <v/>
      </c>
      <c r="O588" s="2"/>
      <c r="P588" s="2"/>
      <c r="Q588" s="1" t="str">
        <f>IF($D588="","",$C588&amp;"|"&amp;COUNTIFS($C$7:$C588,$C588))</f>
        <v/>
      </c>
      <c r="R588" s="1" t="str">
        <f t="shared" si="48"/>
        <v/>
      </c>
      <c r="S588" s="1" t="str">
        <f t="shared" si="49"/>
        <v/>
      </c>
      <c r="T588" s="1">
        <f>IF($E588="",0,SUMPRODUCT((AY_SONU!$O$7:$O$42="Evet")*(AY_SONU!$B$7:$B$42=DATE(YEAR($E588),MONTH($E588),1))))</f>
        <v>0</v>
      </c>
    </row>
    <row r="589" spans="1:20" ht="18" customHeight="1" x14ac:dyDescent="0.3">
      <c r="A589" s="2"/>
      <c r="B589" s="65" t="str">
        <f t="shared" si="45"/>
        <v/>
      </c>
      <c r="C589" s="65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66"/>
      <c r="F589" s="67"/>
      <c r="G589" s="60"/>
      <c r="H589" s="60"/>
      <c r="I589" s="61"/>
      <c r="J589" s="61"/>
      <c r="K589" s="61"/>
      <c r="L589" s="73" t="str">
        <f t="shared" si="46"/>
        <v/>
      </c>
      <c r="M589" s="65" t="str">
        <f t="shared" ca="1" si="47"/>
        <v/>
      </c>
      <c r="N589" s="74" t="str">
        <f>IF($C589="","",IF($C589="TANIMSIZ MÜŞTERİ","—",INDEX(MUSTERILER!$C$7:$C$156,MATCH($C589,MUSTERILER!$B$7:$B$156,0))))</f>
        <v/>
      </c>
      <c r="O589" s="2"/>
      <c r="P589" s="2"/>
      <c r="Q589" s="1" t="str">
        <f>IF($D589="","",$C589&amp;"|"&amp;COUNTIFS($C$7:$C589,$C589))</f>
        <v/>
      </c>
      <c r="R589" s="1" t="str">
        <f t="shared" si="48"/>
        <v/>
      </c>
      <c r="S589" s="1" t="str">
        <f t="shared" si="49"/>
        <v/>
      </c>
      <c r="T589" s="1">
        <f>IF($E589="",0,SUMPRODUCT((AY_SONU!$O$7:$O$42="Evet")*(AY_SONU!$B$7:$B$42=DATE(YEAR($E589),MONTH($E589),1))))</f>
        <v>0</v>
      </c>
    </row>
    <row r="590" spans="1:20" ht="18" customHeight="1" x14ac:dyDescent="0.3">
      <c r="A590" s="2"/>
      <c r="B590" s="65" t="str">
        <f t="shared" si="45"/>
        <v/>
      </c>
      <c r="C590" s="65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66"/>
      <c r="F590" s="67"/>
      <c r="G590" s="60"/>
      <c r="H590" s="60"/>
      <c r="I590" s="61"/>
      <c r="J590" s="61"/>
      <c r="K590" s="61"/>
      <c r="L590" s="73" t="str">
        <f t="shared" si="46"/>
        <v/>
      </c>
      <c r="M590" s="65" t="str">
        <f t="shared" ca="1" si="47"/>
        <v/>
      </c>
      <c r="N590" s="74" t="str">
        <f>IF($C590="","",IF($C590="TANIMSIZ MÜŞTERİ","—",INDEX(MUSTERILER!$C$7:$C$156,MATCH($C590,MUSTERILER!$B$7:$B$156,0))))</f>
        <v/>
      </c>
      <c r="O590" s="2"/>
      <c r="P590" s="2"/>
      <c r="Q590" s="1" t="str">
        <f>IF($D590="","",$C590&amp;"|"&amp;COUNTIFS($C$7:$C590,$C590))</f>
        <v/>
      </c>
      <c r="R590" s="1" t="str">
        <f t="shared" si="48"/>
        <v/>
      </c>
      <c r="S590" s="1" t="str">
        <f t="shared" si="49"/>
        <v/>
      </c>
      <c r="T590" s="1">
        <f>IF($E590="",0,SUMPRODUCT((AY_SONU!$O$7:$O$42="Evet")*(AY_SONU!$B$7:$B$42=DATE(YEAR($E590),MONTH($E590),1))))</f>
        <v>0</v>
      </c>
    </row>
    <row r="591" spans="1:20" ht="18" customHeight="1" x14ac:dyDescent="0.3">
      <c r="A591" s="2"/>
      <c r="B591" s="65" t="str">
        <f t="shared" si="45"/>
        <v/>
      </c>
      <c r="C591" s="65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66"/>
      <c r="F591" s="67"/>
      <c r="G591" s="60"/>
      <c r="H591" s="60"/>
      <c r="I591" s="61"/>
      <c r="J591" s="61"/>
      <c r="K591" s="61"/>
      <c r="L591" s="73" t="str">
        <f t="shared" si="46"/>
        <v/>
      </c>
      <c r="M591" s="65" t="str">
        <f t="shared" ca="1" si="47"/>
        <v/>
      </c>
      <c r="N591" s="74" t="str">
        <f>IF($C591="","",IF($C591="TANIMSIZ MÜŞTERİ","—",INDEX(MUSTERILER!$C$7:$C$156,MATCH($C591,MUSTERILER!$B$7:$B$156,0))))</f>
        <v/>
      </c>
      <c r="O591" s="2"/>
      <c r="P591" s="2"/>
      <c r="Q591" s="1" t="str">
        <f>IF($D591="","",$C591&amp;"|"&amp;COUNTIFS($C$7:$C591,$C591))</f>
        <v/>
      </c>
      <c r="R591" s="1" t="str">
        <f t="shared" si="48"/>
        <v/>
      </c>
      <c r="S591" s="1" t="str">
        <f t="shared" si="49"/>
        <v/>
      </c>
      <c r="T591" s="1">
        <f>IF($E591="",0,SUMPRODUCT((AY_SONU!$O$7:$O$42="Evet")*(AY_SONU!$B$7:$B$42=DATE(YEAR($E591),MONTH($E591),1))))</f>
        <v>0</v>
      </c>
    </row>
    <row r="592" spans="1:20" ht="18" customHeight="1" x14ac:dyDescent="0.3">
      <c r="A592" s="2"/>
      <c r="B592" s="65" t="str">
        <f t="shared" si="45"/>
        <v/>
      </c>
      <c r="C592" s="65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66"/>
      <c r="F592" s="67"/>
      <c r="G592" s="60"/>
      <c r="H592" s="60"/>
      <c r="I592" s="61"/>
      <c r="J592" s="61"/>
      <c r="K592" s="61"/>
      <c r="L592" s="73" t="str">
        <f t="shared" si="46"/>
        <v/>
      </c>
      <c r="M592" s="65" t="str">
        <f t="shared" ca="1" si="47"/>
        <v/>
      </c>
      <c r="N592" s="74" t="str">
        <f>IF($C592="","",IF($C592="TANIMSIZ MÜŞTERİ","—",INDEX(MUSTERILER!$C$7:$C$156,MATCH($C592,MUSTERILER!$B$7:$B$156,0))))</f>
        <v/>
      </c>
      <c r="O592" s="2"/>
      <c r="P592" s="2"/>
      <c r="Q592" s="1" t="str">
        <f>IF($D592="","",$C592&amp;"|"&amp;COUNTIFS($C$7:$C592,$C592))</f>
        <v/>
      </c>
      <c r="R592" s="1" t="str">
        <f t="shared" si="48"/>
        <v/>
      </c>
      <c r="S592" s="1" t="str">
        <f t="shared" si="49"/>
        <v/>
      </c>
      <c r="T592" s="1">
        <f>IF($E592="",0,SUMPRODUCT((AY_SONU!$O$7:$O$42="Evet")*(AY_SONU!$B$7:$B$42=DATE(YEAR($E592),MONTH($E592),1))))</f>
        <v>0</v>
      </c>
    </row>
    <row r="593" spans="1:20" ht="18" customHeight="1" x14ac:dyDescent="0.3">
      <c r="A593" s="2"/>
      <c r="B593" s="65" t="str">
        <f t="shared" si="45"/>
        <v/>
      </c>
      <c r="C593" s="65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66"/>
      <c r="F593" s="67"/>
      <c r="G593" s="60"/>
      <c r="H593" s="60"/>
      <c r="I593" s="61"/>
      <c r="J593" s="61"/>
      <c r="K593" s="61"/>
      <c r="L593" s="73" t="str">
        <f t="shared" si="46"/>
        <v/>
      </c>
      <c r="M593" s="65" t="str">
        <f t="shared" ca="1" si="47"/>
        <v/>
      </c>
      <c r="N593" s="74" t="str">
        <f>IF($C593="","",IF($C593="TANIMSIZ MÜŞTERİ","—",INDEX(MUSTERILER!$C$7:$C$156,MATCH($C593,MUSTERILER!$B$7:$B$156,0))))</f>
        <v/>
      </c>
      <c r="O593" s="2"/>
      <c r="P593" s="2"/>
      <c r="Q593" s="1" t="str">
        <f>IF($D593="","",$C593&amp;"|"&amp;COUNTIFS($C$7:$C593,$C593))</f>
        <v/>
      </c>
      <c r="R593" s="1" t="str">
        <f t="shared" si="48"/>
        <v/>
      </c>
      <c r="S593" s="1" t="str">
        <f t="shared" si="49"/>
        <v/>
      </c>
      <c r="T593" s="1">
        <f>IF($E593="",0,SUMPRODUCT((AY_SONU!$O$7:$O$42="Evet")*(AY_SONU!$B$7:$B$42=DATE(YEAR($E593),MONTH($E593),1))))</f>
        <v>0</v>
      </c>
    </row>
    <row r="594" spans="1:20" ht="18" customHeight="1" x14ac:dyDescent="0.3">
      <c r="A594" s="2"/>
      <c r="B594" s="65" t="str">
        <f t="shared" si="45"/>
        <v/>
      </c>
      <c r="C594" s="65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66"/>
      <c r="F594" s="67"/>
      <c r="G594" s="60"/>
      <c r="H594" s="60"/>
      <c r="I594" s="61"/>
      <c r="J594" s="61"/>
      <c r="K594" s="61"/>
      <c r="L594" s="73" t="str">
        <f t="shared" si="46"/>
        <v/>
      </c>
      <c r="M594" s="65" t="str">
        <f t="shared" ca="1" si="47"/>
        <v/>
      </c>
      <c r="N594" s="74" t="str">
        <f>IF($C594="","",IF($C594="TANIMSIZ MÜŞTERİ","—",INDEX(MUSTERILER!$C$7:$C$156,MATCH($C594,MUSTERILER!$B$7:$B$156,0))))</f>
        <v/>
      </c>
      <c r="O594" s="2"/>
      <c r="P594" s="2"/>
      <c r="Q594" s="1" t="str">
        <f>IF($D594="","",$C594&amp;"|"&amp;COUNTIFS($C$7:$C594,$C594))</f>
        <v/>
      </c>
      <c r="R594" s="1" t="str">
        <f t="shared" si="48"/>
        <v/>
      </c>
      <c r="S594" s="1" t="str">
        <f t="shared" si="49"/>
        <v/>
      </c>
      <c r="T594" s="1">
        <f>IF($E594="",0,SUMPRODUCT((AY_SONU!$O$7:$O$42="Evet")*(AY_SONU!$B$7:$B$42=DATE(YEAR($E594),MONTH($E594),1))))</f>
        <v>0</v>
      </c>
    </row>
    <row r="595" spans="1:20" ht="18" customHeight="1" x14ac:dyDescent="0.3">
      <c r="A595" s="2"/>
      <c r="B595" s="65" t="str">
        <f t="shared" si="45"/>
        <v/>
      </c>
      <c r="C595" s="65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66"/>
      <c r="F595" s="67"/>
      <c r="G595" s="60"/>
      <c r="H595" s="60"/>
      <c r="I595" s="61"/>
      <c r="J595" s="61"/>
      <c r="K595" s="61"/>
      <c r="L595" s="73" t="str">
        <f t="shared" si="46"/>
        <v/>
      </c>
      <c r="M595" s="65" t="str">
        <f t="shared" ca="1" si="47"/>
        <v/>
      </c>
      <c r="N595" s="74" t="str">
        <f>IF($C595="","",IF($C595="TANIMSIZ MÜŞTERİ","—",INDEX(MUSTERILER!$C$7:$C$156,MATCH($C595,MUSTERILER!$B$7:$B$156,0))))</f>
        <v/>
      </c>
      <c r="O595" s="2"/>
      <c r="P595" s="2"/>
      <c r="Q595" s="1" t="str">
        <f>IF($D595="","",$C595&amp;"|"&amp;COUNTIFS($C$7:$C595,$C595))</f>
        <v/>
      </c>
      <c r="R595" s="1" t="str">
        <f t="shared" si="48"/>
        <v/>
      </c>
      <c r="S595" s="1" t="str">
        <f t="shared" si="49"/>
        <v/>
      </c>
      <c r="T595" s="1">
        <f>IF($E595="",0,SUMPRODUCT((AY_SONU!$O$7:$O$42="Evet")*(AY_SONU!$B$7:$B$42=DATE(YEAR($E595),MONTH($E595),1))))</f>
        <v>0</v>
      </c>
    </row>
    <row r="596" spans="1:20" ht="18" customHeight="1" x14ac:dyDescent="0.3">
      <c r="A596" s="2"/>
      <c r="B596" s="65" t="str">
        <f t="shared" si="45"/>
        <v/>
      </c>
      <c r="C596" s="65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66"/>
      <c r="F596" s="67"/>
      <c r="G596" s="60"/>
      <c r="H596" s="60"/>
      <c r="I596" s="61"/>
      <c r="J596" s="61"/>
      <c r="K596" s="61"/>
      <c r="L596" s="73" t="str">
        <f t="shared" si="46"/>
        <v/>
      </c>
      <c r="M596" s="65" t="str">
        <f t="shared" ca="1" si="47"/>
        <v/>
      </c>
      <c r="N596" s="74" t="str">
        <f>IF($C596="","",IF($C596="TANIMSIZ MÜŞTERİ","—",INDEX(MUSTERILER!$C$7:$C$156,MATCH($C596,MUSTERILER!$B$7:$B$156,0))))</f>
        <v/>
      </c>
      <c r="O596" s="2"/>
      <c r="P596" s="2"/>
      <c r="Q596" s="1" t="str">
        <f>IF($D596="","",$C596&amp;"|"&amp;COUNTIFS($C$7:$C596,$C596))</f>
        <v/>
      </c>
      <c r="R596" s="1" t="str">
        <f t="shared" si="48"/>
        <v/>
      </c>
      <c r="S596" s="1" t="str">
        <f t="shared" si="49"/>
        <v/>
      </c>
      <c r="T596" s="1">
        <f>IF($E596="",0,SUMPRODUCT((AY_SONU!$O$7:$O$42="Evet")*(AY_SONU!$B$7:$B$42=DATE(YEAR($E596),MONTH($E596),1))))</f>
        <v>0</v>
      </c>
    </row>
    <row r="597" spans="1:20" ht="18" customHeight="1" x14ac:dyDescent="0.3">
      <c r="A597" s="2"/>
      <c r="B597" s="65" t="str">
        <f t="shared" si="45"/>
        <v/>
      </c>
      <c r="C597" s="65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66"/>
      <c r="F597" s="67"/>
      <c r="G597" s="60"/>
      <c r="H597" s="60"/>
      <c r="I597" s="61"/>
      <c r="J597" s="61"/>
      <c r="K597" s="61"/>
      <c r="L597" s="73" t="str">
        <f t="shared" si="46"/>
        <v/>
      </c>
      <c r="M597" s="65" t="str">
        <f t="shared" ca="1" si="47"/>
        <v/>
      </c>
      <c r="N597" s="74" t="str">
        <f>IF($C597="","",IF($C597="TANIMSIZ MÜŞTERİ","—",INDEX(MUSTERILER!$C$7:$C$156,MATCH($C597,MUSTERILER!$B$7:$B$156,0))))</f>
        <v/>
      </c>
      <c r="O597" s="2"/>
      <c r="P597" s="2"/>
      <c r="Q597" s="1" t="str">
        <f>IF($D597="","",$C597&amp;"|"&amp;COUNTIFS($C$7:$C597,$C597))</f>
        <v/>
      </c>
      <c r="R597" s="1" t="str">
        <f t="shared" si="48"/>
        <v/>
      </c>
      <c r="S597" s="1" t="str">
        <f t="shared" si="49"/>
        <v/>
      </c>
      <c r="T597" s="1">
        <f>IF($E597="",0,SUMPRODUCT((AY_SONU!$O$7:$O$42="Evet")*(AY_SONU!$B$7:$B$42=DATE(YEAR($E597),MONTH($E597),1))))</f>
        <v>0</v>
      </c>
    </row>
    <row r="598" spans="1:20" ht="18" customHeight="1" x14ac:dyDescent="0.3">
      <c r="A598" s="2"/>
      <c r="B598" s="65" t="str">
        <f t="shared" si="45"/>
        <v/>
      </c>
      <c r="C598" s="65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66"/>
      <c r="F598" s="67"/>
      <c r="G598" s="60"/>
      <c r="H598" s="60"/>
      <c r="I598" s="61"/>
      <c r="J598" s="61"/>
      <c r="K598" s="61"/>
      <c r="L598" s="73" t="str">
        <f t="shared" si="46"/>
        <v/>
      </c>
      <c r="M598" s="65" t="str">
        <f t="shared" ca="1" si="47"/>
        <v/>
      </c>
      <c r="N598" s="74" t="str">
        <f>IF($C598="","",IF($C598="TANIMSIZ MÜŞTERİ","—",INDEX(MUSTERILER!$C$7:$C$156,MATCH($C598,MUSTERILER!$B$7:$B$156,0))))</f>
        <v/>
      </c>
      <c r="O598" s="2"/>
      <c r="P598" s="2"/>
      <c r="Q598" s="1" t="str">
        <f>IF($D598="","",$C598&amp;"|"&amp;COUNTIFS($C$7:$C598,$C598))</f>
        <v/>
      </c>
      <c r="R598" s="1" t="str">
        <f t="shared" si="48"/>
        <v/>
      </c>
      <c r="S598" s="1" t="str">
        <f t="shared" si="49"/>
        <v/>
      </c>
      <c r="T598" s="1">
        <f>IF($E598="",0,SUMPRODUCT((AY_SONU!$O$7:$O$42="Evet")*(AY_SONU!$B$7:$B$42=DATE(YEAR($E598),MONTH($E598),1))))</f>
        <v>0</v>
      </c>
    </row>
    <row r="599" spans="1:20" ht="18" customHeight="1" x14ac:dyDescent="0.3">
      <c r="A599" s="2"/>
      <c r="B599" s="65" t="str">
        <f t="shared" si="45"/>
        <v/>
      </c>
      <c r="C599" s="65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66"/>
      <c r="F599" s="67"/>
      <c r="G599" s="60"/>
      <c r="H599" s="60"/>
      <c r="I599" s="61"/>
      <c r="J599" s="61"/>
      <c r="K599" s="61"/>
      <c r="L599" s="73" t="str">
        <f t="shared" si="46"/>
        <v/>
      </c>
      <c r="M599" s="65" t="str">
        <f t="shared" ca="1" si="47"/>
        <v/>
      </c>
      <c r="N599" s="74" t="str">
        <f>IF($C599="","",IF($C599="TANIMSIZ MÜŞTERİ","—",INDEX(MUSTERILER!$C$7:$C$156,MATCH($C599,MUSTERILER!$B$7:$B$156,0))))</f>
        <v/>
      </c>
      <c r="O599" s="2"/>
      <c r="P599" s="2"/>
      <c r="Q599" s="1" t="str">
        <f>IF($D599="","",$C599&amp;"|"&amp;COUNTIFS($C$7:$C599,$C599))</f>
        <v/>
      </c>
      <c r="R599" s="1" t="str">
        <f t="shared" si="48"/>
        <v/>
      </c>
      <c r="S599" s="1" t="str">
        <f t="shared" si="49"/>
        <v/>
      </c>
      <c r="T599" s="1">
        <f>IF($E599="",0,SUMPRODUCT((AY_SONU!$O$7:$O$42="Evet")*(AY_SONU!$B$7:$B$42=DATE(YEAR($E599),MONTH($E599),1))))</f>
        <v>0</v>
      </c>
    </row>
    <row r="600" spans="1:20" ht="18" customHeight="1" x14ac:dyDescent="0.3">
      <c r="A600" s="2"/>
      <c r="B600" s="65" t="str">
        <f t="shared" si="45"/>
        <v/>
      </c>
      <c r="C600" s="65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66"/>
      <c r="F600" s="67"/>
      <c r="G600" s="60"/>
      <c r="H600" s="60"/>
      <c r="I600" s="61"/>
      <c r="J600" s="61"/>
      <c r="K600" s="61"/>
      <c r="L600" s="73" t="str">
        <f t="shared" si="46"/>
        <v/>
      </c>
      <c r="M600" s="65" t="str">
        <f t="shared" ca="1" si="47"/>
        <v/>
      </c>
      <c r="N600" s="74" t="str">
        <f>IF($C600="","",IF($C600="TANIMSIZ MÜŞTERİ","—",INDEX(MUSTERILER!$C$7:$C$156,MATCH($C600,MUSTERILER!$B$7:$B$156,0))))</f>
        <v/>
      </c>
      <c r="O600" s="2"/>
      <c r="P600" s="2"/>
      <c r="Q600" s="1" t="str">
        <f>IF($D600="","",$C600&amp;"|"&amp;COUNTIFS($C$7:$C600,$C600))</f>
        <v/>
      </c>
      <c r="R600" s="1" t="str">
        <f t="shared" si="48"/>
        <v/>
      </c>
      <c r="S600" s="1" t="str">
        <f t="shared" si="49"/>
        <v/>
      </c>
      <c r="T600" s="1">
        <f>IF($E600="",0,SUMPRODUCT((AY_SONU!$O$7:$O$42="Evet")*(AY_SONU!$B$7:$B$42=DATE(YEAR($E600),MONTH($E600),1))))</f>
        <v>0</v>
      </c>
    </row>
    <row r="601" spans="1:20" ht="18" customHeight="1" x14ac:dyDescent="0.3">
      <c r="A601" s="2"/>
      <c r="B601" s="65" t="str">
        <f t="shared" si="45"/>
        <v/>
      </c>
      <c r="C601" s="65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66"/>
      <c r="F601" s="67"/>
      <c r="G601" s="60"/>
      <c r="H601" s="60"/>
      <c r="I601" s="61"/>
      <c r="J601" s="61"/>
      <c r="K601" s="61"/>
      <c r="L601" s="73" t="str">
        <f t="shared" si="46"/>
        <v/>
      </c>
      <c r="M601" s="65" t="str">
        <f t="shared" ca="1" si="47"/>
        <v/>
      </c>
      <c r="N601" s="74" t="str">
        <f>IF($C601="","",IF($C601="TANIMSIZ MÜŞTERİ","—",INDEX(MUSTERILER!$C$7:$C$156,MATCH($C601,MUSTERILER!$B$7:$B$156,0))))</f>
        <v/>
      </c>
      <c r="O601" s="2"/>
      <c r="P601" s="2"/>
      <c r="Q601" s="1" t="str">
        <f>IF($D601="","",$C601&amp;"|"&amp;COUNTIFS($C$7:$C601,$C601))</f>
        <v/>
      </c>
      <c r="R601" s="1" t="str">
        <f t="shared" si="48"/>
        <v/>
      </c>
      <c r="S601" s="1" t="str">
        <f t="shared" si="49"/>
        <v/>
      </c>
      <c r="T601" s="1">
        <f>IF($E601="",0,SUMPRODUCT((AY_SONU!$O$7:$O$42="Evet")*(AY_SONU!$B$7:$B$42=DATE(YEAR($E601),MONTH($E601),1))))</f>
        <v>0</v>
      </c>
    </row>
    <row r="602" spans="1:20" ht="18" customHeight="1" x14ac:dyDescent="0.3">
      <c r="A602" s="2"/>
      <c r="B602" s="65" t="str">
        <f t="shared" si="45"/>
        <v/>
      </c>
      <c r="C602" s="65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66"/>
      <c r="F602" s="67"/>
      <c r="G602" s="60"/>
      <c r="H602" s="60"/>
      <c r="I602" s="61"/>
      <c r="J602" s="61"/>
      <c r="K602" s="61"/>
      <c r="L602" s="73" t="str">
        <f t="shared" si="46"/>
        <v/>
      </c>
      <c r="M602" s="65" t="str">
        <f t="shared" ca="1" si="47"/>
        <v/>
      </c>
      <c r="N602" s="74" t="str">
        <f>IF($C602="","",IF($C602="TANIMSIZ MÜŞTERİ","—",INDEX(MUSTERILER!$C$7:$C$156,MATCH($C602,MUSTERILER!$B$7:$B$156,0))))</f>
        <v/>
      </c>
      <c r="O602" s="2"/>
      <c r="P602" s="2"/>
      <c r="Q602" s="1" t="str">
        <f>IF($D602="","",$C602&amp;"|"&amp;COUNTIFS($C$7:$C602,$C602))</f>
        <v/>
      </c>
      <c r="R602" s="1" t="str">
        <f t="shared" si="48"/>
        <v/>
      </c>
      <c r="S602" s="1" t="str">
        <f t="shared" si="49"/>
        <v/>
      </c>
      <c r="T602" s="1">
        <f>IF($E602="",0,SUMPRODUCT((AY_SONU!$O$7:$O$42="Evet")*(AY_SONU!$B$7:$B$42=DATE(YEAR($E602),MONTH($E602),1))))</f>
        <v>0</v>
      </c>
    </row>
    <row r="603" spans="1:20" ht="18" customHeight="1" x14ac:dyDescent="0.3">
      <c r="A603" s="2"/>
      <c r="B603" s="65" t="str">
        <f t="shared" si="45"/>
        <v/>
      </c>
      <c r="C603" s="65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66"/>
      <c r="F603" s="67"/>
      <c r="G603" s="60"/>
      <c r="H603" s="60"/>
      <c r="I603" s="61"/>
      <c r="J603" s="61"/>
      <c r="K603" s="61"/>
      <c r="L603" s="73" t="str">
        <f t="shared" si="46"/>
        <v/>
      </c>
      <c r="M603" s="65" t="str">
        <f t="shared" ca="1" si="47"/>
        <v/>
      </c>
      <c r="N603" s="74" t="str">
        <f>IF($C603="","",IF($C603="TANIMSIZ MÜŞTERİ","—",INDEX(MUSTERILER!$C$7:$C$156,MATCH($C603,MUSTERILER!$B$7:$B$156,0))))</f>
        <v/>
      </c>
      <c r="O603" s="2"/>
      <c r="P603" s="2"/>
      <c r="Q603" s="1" t="str">
        <f>IF($D603="","",$C603&amp;"|"&amp;COUNTIFS($C$7:$C603,$C603))</f>
        <v/>
      </c>
      <c r="R603" s="1" t="str">
        <f t="shared" si="48"/>
        <v/>
      </c>
      <c r="S603" s="1" t="str">
        <f t="shared" si="49"/>
        <v/>
      </c>
      <c r="T603" s="1">
        <f>IF($E603="",0,SUMPRODUCT((AY_SONU!$O$7:$O$42="Evet")*(AY_SONU!$B$7:$B$42=DATE(YEAR($E603),MONTH($E603),1))))</f>
        <v>0</v>
      </c>
    </row>
    <row r="604" spans="1:20" ht="18" customHeight="1" x14ac:dyDescent="0.3">
      <c r="A604" s="2"/>
      <c r="B604" s="65" t="str">
        <f t="shared" si="45"/>
        <v/>
      </c>
      <c r="C604" s="65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66"/>
      <c r="F604" s="67"/>
      <c r="G604" s="60"/>
      <c r="H604" s="60"/>
      <c r="I604" s="61"/>
      <c r="J604" s="61"/>
      <c r="K604" s="61"/>
      <c r="L604" s="73" t="str">
        <f t="shared" si="46"/>
        <v/>
      </c>
      <c r="M604" s="65" t="str">
        <f t="shared" ca="1" si="47"/>
        <v/>
      </c>
      <c r="N604" s="74" t="str">
        <f>IF($C604="","",IF($C604="TANIMSIZ MÜŞTERİ","—",INDEX(MUSTERILER!$C$7:$C$156,MATCH($C604,MUSTERILER!$B$7:$B$156,0))))</f>
        <v/>
      </c>
      <c r="O604" s="2"/>
      <c r="P604" s="2"/>
      <c r="Q604" s="1" t="str">
        <f>IF($D604="","",$C604&amp;"|"&amp;COUNTIFS($C$7:$C604,$C604))</f>
        <v/>
      </c>
      <c r="R604" s="1" t="str">
        <f t="shared" si="48"/>
        <v/>
      </c>
      <c r="S604" s="1" t="str">
        <f t="shared" si="49"/>
        <v/>
      </c>
      <c r="T604" s="1">
        <f>IF($E604="",0,SUMPRODUCT((AY_SONU!$O$7:$O$42="Evet")*(AY_SONU!$B$7:$B$42=DATE(YEAR($E604),MONTH($E604),1))))</f>
        <v>0</v>
      </c>
    </row>
    <row r="605" spans="1:20" ht="18" customHeight="1" x14ac:dyDescent="0.3">
      <c r="A605" s="2"/>
      <c r="B605" s="65" t="str">
        <f t="shared" si="45"/>
        <v/>
      </c>
      <c r="C605" s="65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66"/>
      <c r="F605" s="67"/>
      <c r="G605" s="60"/>
      <c r="H605" s="60"/>
      <c r="I605" s="61"/>
      <c r="J605" s="61"/>
      <c r="K605" s="61"/>
      <c r="L605" s="73" t="str">
        <f t="shared" si="46"/>
        <v/>
      </c>
      <c r="M605" s="65" t="str">
        <f t="shared" ca="1" si="47"/>
        <v/>
      </c>
      <c r="N605" s="74" t="str">
        <f>IF($C605="","",IF($C605="TANIMSIZ MÜŞTERİ","—",INDEX(MUSTERILER!$C$7:$C$156,MATCH($C605,MUSTERILER!$B$7:$B$156,0))))</f>
        <v/>
      </c>
      <c r="O605" s="2"/>
      <c r="P605" s="2"/>
      <c r="Q605" s="1" t="str">
        <f>IF($D605="","",$C605&amp;"|"&amp;COUNTIFS($C$7:$C605,$C605))</f>
        <v/>
      </c>
      <c r="R605" s="1" t="str">
        <f t="shared" si="48"/>
        <v/>
      </c>
      <c r="S605" s="1" t="str">
        <f t="shared" si="49"/>
        <v/>
      </c>
      <c r="T605" s="1">
        <f>IF($E605="",0,SUMPRODUCT((AY_SONU!$O$7:$O$42="Evet")*(AY_SONU!$B$7:$B$42=DATE(YEAR($E605),MONTH($E605),1))))</f>
        <v>0</v>
      </c>
    </row>
    <row r="606" spans="1:20" ht="18" customHeight="1" x14ac:dyDescent="0.3">
      <c r="A606" s="2"/>
      <c r="B606" s="65" t="str">
        <f t="shared" si="45"/>
        <v/>
      </c>
      <c r="C606" s="65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66"/>
      <c r="F606" s="67"/>
      <c r="G606" s="60"/>
      <c r="H606" s="60"/>
      <c r="I606" s="61"/>
      <c r="J606" s="61"/>
      <c r="K606" s="61"/>
      <c r="L606" s="73" t="str">
        <f t="shared" si="46"/>
        <v/>
      </c>
      <c r="M606" s="65" t="str">
        <f t="shared" ca="1" si="47"/>
        <v/>
      </c>
      <c r="N606" s="74" t="str">
        <f>IF($C606="","",IF($C606="TANIMSIZ MÜŞTERİ","—",INDEX(MUSTERILER!$C$7:$C$156,MATCH($C606,MUSTERILER!$B$7:$B$156,0))))</f>
        <v/>
      </c>
      <c r="O606" s="2"/>
      <c r="P606" s="2"/>
      <c r="Q606" s="1" t="str">
        <f>IF($D606="","",$C606&amp;"|"&amp;COUNTIFS($C$7:$C606,$C606))</f>
        <v/>
      </c>
      <c r="R606" s="1" t="str">
        <f t="shared" si="48"/>
        <v/>
      </c>
      <c r="S606" s="1" t="str">
        <f t="shared" si="49"/>
        <v/>
      </c>
      <c r="T606" s="1">
        <f>IF($E606="",0,SUMPRODUCT((AY_SONU!$O$7:$O$42="Evet")*(AY_SONU!$B$7:$B$42=DATE(YEAR($E606),MONTH($E606),1))))</f>
        <v>0</v>
      </c>
    </row>
    <row r="607" spans="1:20" ht="18" customHeight="1" x14ac:dyDescent="0.3">
      <c r="A607" s="2"/>
      <c r="B607" s="65" t="str">
        <f t="shared" si="45"/>
        <v/>
      </c>
      <c r="C607" s="65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66"/>
      <c r="F607" s="67"/>
      <c r="G607" s="60"/>
      <c r="H607" s="60"/>
      <c r="I607" s="61"/>
      <c r="J607" s="61"/>
      <c r="K607" s="61"/>
      <c r="L607" s="73" t="str">
        <f t="shared" si="46"/>
        <v/>
      </c>
      <c r="M607" s="65" t="str">
        <f t="shared" ca="1" si="47"/>
        <v/>
      </c>
      <c r="N607" s="74" t="str">
        <f>IF($C607="","",IF($C607="TANIMSIZ MÜŞTERİ","—",INDEX(MUSTERILER!$C$7:$C$156,MATCH($C607,MUSTERILER!$B$7:$B$156,0))))</f>
        <v/>
      </c>
      <c r="O607" s="2"/>
      <c r="P607" s="2"/>
      <c r="Q607" s="1" t="str">
        <f>IF($D607="","",$C607&amp;"|"&amp;COUNTIFS($C$7:$C607,$C607))</f>
        <v/>
      </c>
      <c r="R607" s="1" t="str">
        <f t="shared" si="48"/>
        <v/>
      </c>
      <c r="S607" s="1" t="str">
        <f t="shared" si="49"/>
        <v/>
      </c>
      <c r="T607" s="1">
        <f>IF($E607="",0,SUMPRODUCT((AY_SONU!$O$7:$O$42="Evet")*(AY_SONU!$B$7:$B$42=DATE(YEAR($E607),MONTH($E607),1))))</f>
        <v>0</v>
      </c>
    </row>
    <row r="608" spans="1:20" ht="18" customHeight="1" x14ac:dyDescent="0.3">
      <c r="A608" s="2"/>
      <c r="B608" s="65" t="str">
        <f t="shared" si="45"/>
        <v/>
      </c>
      <c r="C608" s="65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66"/>
      <c r="F608" s="67"/>
      <c r="G608" s="60"/>
      <c r="H608" s="60"/>
      <c r="I608" s="61"/>
      <c r="J608" s="61"/>
      <c r="K608" s="61"/>
      <c r="L608" s="73" t="str">
        <f t="shared" si="46"/>
        <v/>
      </c>
      <c r="M608" s="65" t="str">
        <f t="shared" ca="1" si="47"/>
        <v/>
      </c>
      <c r="N608" s="74" t="str">
        <f>IF($C608="","",IF($C608="TANIMSIZ MÜŞTERİ","—",INDEX(MUSTERILER!$C$7:$C$156,MATCH($C608,MUSTERILER!$B$7:$B$156,0))))</f>
        <v/>
      </c>
      <c r="O608" s="2"/>
      <c r="P608" s="2"/>
      <c r="Q608" s="1" t="str">
        <f>IF($D608="","",$C608&amp;"|"&amp;COUNTIFS($C$7:$C608,$C608))</f>
        <v/>
      </c>
      <c r="R608" s="1" t="str">
        <f t="shared" si="48"/>
        <v/>
      </c>
      <c r="S608" s="1" t="str">
        <f t="shared" si="49"/>
        <v/>
      </c>
      <c r="T608" s="1">
        <f>IF($E608="",0,SUMPRODUCT((AY_SONU!$O$7:$O$42="Evet")*(AY_SONU!$B$7:$B$42=DATE(YEAR($E608),MONTH($E608),1))))</f>
        <v>0</v>
      </c>
    </row>
    <row r="609" spans="1:20" ht="18" customHeight="1" x14ac:dyDescent="0.3">
      <c r="A609" s="2"/>
      <c r="B609" s="65" t="str">
        <f t="shared" si="45"/>
        <v/>
      </c>
      <c r="C609" s="65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66"/>
      <c r="F609" s="67"/>
      <c r="G609" s="60"/>
      <c r="H609" s="60"/>
      <c r="I609" s="61"/>
      <c r="J609" s="61"/>
      <c r="K609" s="61"/>
      <c r="L609" s="73" t="str">
        <f t="shared" si="46"/>
        <v/>
      </c>
      <c r="M609" s="65" t="str">
        <f t="shared" ca="1" si="47"/>
        <v/>
      </c>
      <c r="N609" s="74" t="str">
        <f>IF($C609="","",IF($C609="TANIMSIZ MÜŞTERİ","—",INDEX(MUSTERILER!$C$7:$C$156,MATCH($C609,MUSTERILER!$B$7:$B$156,0))))</f>
        <v/>
      </c>
      <c r="O609" s="2"/>
      <c r="P609" s="2"/>
      <c r="Q609" s="1" t="str">
        <f>IF($D609="","",$C609&amp;"|"&amp;COUNTIFS($C$7:$C609,$C609))</f>
        <v/>
      </c>
      <c r="R609" s="1" t="str">
        <f t="shared" si="48"/>
        <v/>
      </c>
      <c r="S609" s="1" t="str">
        <f t="shared" si="49"/>
        <v/>
      </c>
      <c r="T609" s="1">
        <f>IF($E609="",0,SUMPRODUCT((AY_SONU!$O$7:$O$42="Evet")*(AY_SONU!$B$7:$B$42=DATE(YEAR($E609),MONTH($E609),1))))</f>
        <v>0</v>
      </c>
    </row>
    <row r="610" spans="1:20" ht="18" customHeight="1" x14ac:dyDescent="0.3">
      <c r="A610" s="2"/>
      <c r="B610" s="65" t="str">
        <f t="shared" si="45"/>
        <v/>
      </c>
      <c r="C610" s="65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66"/>
      <c r="F610" s="67"/>
      <c r="G610" s="60"/>
      <c r="H610" s="60"/>
      <c r="I610" s="61"/>
      <c r="J610" s="61"/>
      <c r="K610" s="61"/>
      <c r="L610" s="73" t="str">
        <f t="shared" si="46"/>
        <v/>
      </c>
      <c r="M610" s="65" t="str">
        <f t="shared" ca="1" si="47"/>
        <v/>
      </c>
      <c r="N610" s="74" t="str">
        <f>IF($C610="","",IF($C610="TANIMSIZ MÜŞTERİ","—",INDEX(MUSTERILER!$C$7:$C$156,MATCH($C610,MUSTERILER!$B$7:$B$156,0))))</f>
        <v/>
      </c>
      <c r="O610" s="2"/>
      <c r="P610" s="2"/>
      <c r="Q610" s="1" t="str">
        <f>IF($D610="","",$C610&amp;"|"&amp;COUNTIFS($C$7:$C610,$C610))</f>
        <v/>
      </c>
      <c r="R610" s="1" t="str">
        <f t="shared" si="48"/>
        <v/>
      </c>
      <c r="S610" s="1" t="str">
        <f t="shared" si="49"/>
        <v/>
      </c>
      <c r="T610" s="1">
        <f>IF($E610="",0,SUMPRODUCT((AY_SONU!$O$7:$O$42="Evet")*(AY_SONU!$B$7:$B$42=DATE(YEAR($E610),MONTH($E610),1))))</f>
        <v>0</v>
      </c>
    </row>
    <row r="611" spans="1:20" ht="18" customHeight="1" x14ac:dyDescent="0.3">
      <c r="A611" s="2"/>
      <c r="B611" s="65" t="str">
        <f t="shared" si="45"/>
        <v/>
      </c>
      <c r="C611" s="65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66"/>
      <c r="F611" s="67"/>
      <c r="G611" s="60"/>
      <c r="H611" s="60"/>
      <c r="I611" s="61"/>
      <c r="J611" s="61"/>
      <c r="K611" s="61"/>
      <c r="L611" s="73" t="str">
        <f t="shared" si="46"/>
        <v/>
      </c>
      <c r="M611" s="65" t="str">
        <f t="shared" ca="1" si="47"/>
        <v/>
      </c>
      <c r="N611" s="74" t="str">
        <f>IF($C611="","",IF($C611="TANIMSIZ MÜŞTERİ","—",INDEX(MUSTERILER!$C$7:$C$156,MATCH($C611,MUSTERILER!$B$7:$B$156,0))))</f>
        <v/>
      </c>
      <c r="O611" s="2"/>
      <c r="P611" s="2"/>
      <c r="Q611" s="1" t="str">
        <f>IF($D611="","",$C611&amp;"|"&amp;COUNTIFS($C$7:$C611,$C611))</f>
        <v/>
      </c>
      <c r="R611" s="1" t="str">
        <f t="shared" si="48"/>
        <v/>
      </c>
      <c r="S611" s="1" t="str">
        <f t="shared" si="49"/>
        <v/>
      </c>
      <c r="T611" s="1">
        <f>IF($E611="",0,SUMPRODUCT((AY_SONU!$O$7:$O$42="Evet")*(AY_SONU!$B$7:$B$42=DATE(YEAR($E611),MONTH($E611),1))))</f>
        <v>0</v>
      </c>
    </row>
    <row r="612" spans="1:20" ht="18" customHeight="1" x14ac:dyDescent="0.3">
      <c r="A612" s="2"/>
      <c r="B612" s="65" t="str">
        <f t="shared" si="45"/>
        <v/>
      </c>
      <c r="C612" s="65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66"/>
      <c r="F612" s="67"/>
      <c r="G612" s="60"/>
      <c r="H612" s="60"/>
      <c r="I612" s="61"/>
      <c r="J612" s="61"/>
      <c r="K612" s="61"/>
      <c r="L612" s="73" t="str">
        <f t="shared" si="46"/>
        <v/>
      </c>
      <c r="M612" s="65" t="str">
        <f t="shared" ca="1" si="47"/>
        <v/>
      </c>
      <c r="N612" s="74" t="str">
        <f>IF($C612="","",IF($C612="TANIMSIZ MÜŞTERİ","—",INDEX(MUSTERILER!$C$7:$C$156,MATCH($C612,MUSTERILER!$B$7:$B$156,0))))</f>
        <v/>
      </c>
      <c r="O612" s="2"/>
      <c r="P612" s="2"/>
      <c r="Q612" s="1" t="str">
        <f>IF($D612="","",$C612&amp;"|"&amp;COUNTIFS($C$7:$C612,$C612))</f>
        <v/>
      </c>
      <c r="R612" s="1" t="str">
        <f t="shared" si="48"/>
        <v/>
      </c>
      <c r="S612" s="1" t="str">
        <f t="shared" si="49"/>
        <v/>
      </c>
      <c r="T612" s="1">
        <f>IF($E612="",0,SUMPRODUCT((AY_SONU!$O$7:$O$42="Evet")*(AY_SONU!$B$7:$B$42=DATE(YEAR($E612),MONTH($E612),1))))</f>
        <v>0</v>
      </c>
    </row>
    <row r="613" spans="1:20" ht="18" customHeight="1" x14ac:dyDescent="0.3">
      <c r="A613" s="2"/>
      <c r="B613" s="65" t="str">
        <f t="shared" si="45"/>
        <v/>
      </c>
      <c r="C613" s="65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66"/>
      <c r="F613" s="67"/>
      <c r="G613" s="60"/>
      <c r="H613" s="60"/>
      <c r="I613" s="61"/>
      <c r="J613" s="61"/>
      <c r="K613" s="61"/>
      <c r="L613" s="73" t="str">
        <f t="shared" si="46"/>
        <v/>
      </c>
      <c r="M613" s="65" t="str">
        <f t="shared" ca="1" si="47"/>
        <v/>
      </c>
      <c r="N613" s="74" t="str">
        <f>IF($C613="","",IF($C613="TANIMSIZ MÜŞTERİ","—",INDEX(MUSTERILER!$C$7:$C$156,MATCH($C613,MUSTERILER!$B$7:$B$156,0))))</f>
        <v/>
      </c>
      <c r="O613" s="2"/>
      <c r="P613" s="2"/>
      <c r="Q613" s="1" t="str">
        <f>IF($D613="","",$C613&amp;"|"&amp;COUNTIFS($C$7:$C613,$C613))</f>
        <v/>
      </c>
      <c r="R613" s="1" t="str">
        <f t="shared" si="48"/>
        <v/>
      </c>
      <c r="S613" s="1" t="str">
        <f t="shared" si="49"/>
        <v/>
      </c>
      <c r="T613" s="1">
        <f>IF($E613="",0,SUMPRODUCT((AY_SONU!$O$7:$O$42="Evet")*(AY_SONU!$B$7:$B$42=DATE(YEAR($E613),MONTH($E613),1))))</f>
        <v>0</v>
      </c>
    </row>
    <row r="614" spans="1:20" ht="18" customHeight="1" x14ac:dyDescent="0.3">
      <c r="A614" s="2"/>
      <c r="B614" s="65" t="str">
        <f t="shared" si="45"/>
        <v/>
      </c>
      <c r="C614" s="65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66"/>
      <c r="F614" s="67"/>
      <c r="G614" s="60"/>
      <c r="H614" s="60"/>
      <c r="I614" s="61"/>
      <c r="J614" s="61"/>
      <c r="K614" s="61"/>
      <c r="L614" s="73" t="str">
        <f t="shared" si="46"/>
        <v/>
      </c>
      <c r="M614" s="65" t="str">
        <f t="shared" ca="1" si="47"/>
        <v/>
      </c>
      <c r="N614" s="74" t="str">
        <f>IF($C614="","",IF($C614="TANIMSIZ MÜŞTERİ","—",INDEX(MUSTERILER!$C$7:$C$156,MATCH($C614,MUSTERILER!$B$7:$B$156,0))))</f>
        <v/>
      </c>
      <c r="O614" s="2"/>
      <c r="P614" s="2"/>
      <c r="Q614" s="1" t="str">
        <f>IF($D614="","",$C614&amp;"|"&amp;COUNTIFS($C$7:$C614,$C614))</f>
        <v/>
      </c>
      <c r="R614" s="1" t="str">
        <f t="shared" si="48"/>
        <v/>
      </c>
      <c r="S614" s="1" t="str">
        <f t="shared" si="49"/>
        <v/>
      </c>
      <c r="T614" s="1">
        <f>IF($E614="",0,SUMPRODUCT((AY_SONU!$O$7:$O$42="Evet")*(AY_SONU!$B$7:$B$42=DATE(YEAR($E614),MONTH($E614),1))))</f>
        <v>0</v>
      </c>
    </row>
    <row r="615" spans="1:20" ht="18" customHeight="1" x14ac:dyDescent="0.3">
      <c r="A615" s="2"/>
      <c r="B615" s="65" t="str">
        <f t="shared" si="45"/>
        <v/>
      </c>
      <c r="C615" s="65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66"/>
      <c r="F615" s="67"/>
      <c r="G615" s="60"/>
      <c r="H615" s="60"/>
      <c r="I615" s="61"/>
      <c r="J615" s="61"/>
      <c r="K615" s="61"/>
      <c r="L615" s="73" t="str">
        <f t="shared" si="46"/>
        <v/>
      </c>
      <c r="M615" s="65" t="str">
        <f t="shared" ca="1" si="47"/>
        <v/>
      </c>
      <c r="N615" s="74" t="str">
        <f>IF($C615="","",IF($C615="TANIMSIZ MÜŞTERİ","—",INDEX(MUSTERILER!$C$7:$C$156,MATCH($C615,MUSTERILER!$B$7:$B$156,0))))</f>
        <v/>
      </c>
      <c r="O615" s="2"/>
      <c r="P615" s="2"/>
      <c r="Q615" s="1" t="str">
        <f>IF($D615="","",$C615&amp;"|"&amp;COUNTIFS($C$7:$C615,$C615))</f>
        <v/>
      </c>
      <c r="R615" s="1" t="str">
        <f t="shared" si="48"/>
        <v/>
      </c>
      <c r="S615" s="1" t="str">
        <f t="shared" si="49"/>
        <v/>
      </c>
      <c r="T615" s="1">
        <f>IF($E615="",0,SUMPRODUCT((AY_SONU!$O$7:$O$42="Evet")*(AY_SONU!$B$7:$B$42=DATE(YEAR($E615),MONTH($E615),1))))</f>
        <v>0</v>
      </c>
    </row>
    <row r="616" spans="1:20" ht="18" customHeight="1" x14ac:dyDescent="0.3">
      <c r="A616" s="2"/>
      <c r="B616" s="65" t="str">
        <f t="shared" si="45"/>
        <v/>
      </c>
      <c r="C616" s="65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66"/>
      <c r="F616" s="67"/>
      <c r="G616" s="60"/>
      <c r="H616" s="60"/>
      <c r="I616" s="61"/>
      <c r="J616" s="61"/>
      <c r="K616" s="61"/>
      <c r="L616" s="73" t="str">
        <f t="shared" si="46"/>
        <v/>
      </c>
      <c r="M616" s="65" t="str">
        <f t="shared" ca="1" si="47"/>
        <v/>
      </c>
      <c r="N616" s="74" t="str">
        <f>IF($C616="","",IF($C616="TANIMSIZ MÜŞTERİ","—",INDEX(MUSTERILER!$C$7:$C$156,MATCH($C616,MUSTERILER!$B$7:$B$156,0))))</f>
        <v/>
      </c>
      <c r="O616" s="2"/>
      <c r="P616" s="2"/>
      <c r="Q616" s="1" t="str">
        <f>IF($D616="","",$C616&amp;"|"&amp;COUNTIFS($C$7:$C616,$C616))</f>
        <v/>
      </c>
      <c r="R616" s="1" t="str">
        <f t="shared" si="48"/>
        <v/>
      </c>
      <c r="S616" s="1" t="str">
        <f t="shared" si="49"/>
        <v/>
      </c>
      <c r="T616" s="1">
        <f>IF($E616="",0,SUMPRODUCT((AY_SONU!$O$7:$O$42="Evet")*(AY_SONU!$B$7:$B$42=DATE(YEAR($E616),MONTH($E616),1))))</f>
        <v>0</v>
      </c>
    </row>
    <row r="617" spans="1:20" ht="18" customHeight="1" x14ac:dyDescent="0.3">
      <c r="A617" s="2"/>
      <c r="B617" s="65" t="str">
        <f t="shared" si="45"/>
        <v/>
      </c>
      <c r="C617" s="65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66"/>
      <c r="F617" s="67"/>
      <c r="G617" s="60"/>
      <c r="H617" s="60"/>
      <c r="I617" s="61"/>
      <c r="J617" s="61"/>
      <c r="K617" s="61"/>
      <c r="L617" s="73" t="str">
        <f t="shared" si="46"/>
        <v/>
      </c>
      <c r="M617" s="65" t="str">
        <f t="shared" ca="1" si="47"/>
        <v/>
      </c>
      <c r="N617" s="74" t="str">
        <f>IF($C617="","",IF($C617="TANIMSIZ MÜŞTERİ","—",INDEX(MUSTERILER!$C$7:$C$156,MATCH($C617,MUSTERILER!$B$7:$B$156,0))))</f>
        <v/>
      </c>
      <c r="O617" s="2"/>
      <c r="P617" s="2"/>
      <c r="Q617" s="1" t="str">
        <f>IF($D617="","",$C617&amp;"|"&amp;COUNTIFS($C$7:$C617,$C617))</f>
        <v/>
      </c>
      <c r="R617" s="1" t="str">
        <f t="shared" si="48"/>
        <v/>
      </c>
      <c r="S617" s="1" t="str">
        <f t="shared" si="49"/>
        <v/>
      </c>
      <c r="T617" s="1">
        <f>IF($E617="",0,SUMPRODUCT((AY_SONU!$O$7:$O$42="Evet")*(AY_SONU!$B$7:$B$42=DATE(YEAR($E617),MONTH($E617),1))))</f>
        <v>0</v>
      </c>
    </row>
    <row r="618" spans="1:20" ht="18" customHeight="1" x14ac:dyDescent="0.3">
      <c r="A618" s="2"/>
      <c r="B618" s="65" t="str">
        <f t="shared" si="45"/>
        <v/>
      </c>
      <c r="C618" s="65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66"/>
      <c r="F618" s="67"/>
      <c r="G618" s="60"/>
      <c r="H618" s="60"/>
      <c r="I618" s="61"/>
      <c r="J618" s="61"/>
      <c r="K618" s="61"/>
      <c r="L618" s="73" t="str">
        <f t="shared" si="46"/>
        <v/>
      </c>
      <c r="M618" s="65" t="str">
        <f t="shared" ca="1" si="47"/>
        <v/>
      </c>
      <c r="N618" s="74" t="str">
        <f>IF($C618="","",IF($C618="TANIMSIZ MÜŞTERİ","—",INDEX(MUSTERILER!$C$7:$C$156,MATCH($C618,MUSTERILER!$B$7:$B$156,0))))</f>
        <v/>
      </c>
      <c r="O618" s="2"/>
      <c r="P618" s="2"/>
      <c r="Q618" s="1" t="str">
        <f>IF($D618="","",$C618&amp;"|"&amp;COUNTIFS($C$7:$C618,$C618))</f>
        <v/>
      </c>
      <c r="R618" s="1" t="str">
        <f t="shared" si="48"/>
        <v/>
      </c>
      <c r="S618" s="1" t="str">
        <f t="shared" si="49"/>
        <v/>
      </c>
      <c r="T618" s="1">
        <f>IF($E618="",0,SUMPRODUCT((AY_SONU!$O$7:$O$42="Evet")*(AY_SONU!$B$7:$B$42=DATE(YEAR($E618),MONTH($E618),1))))</f>
        <v>0</v>
      </c>
    </row>
    <row r="619" spans="1:20" ht="18" customHeight="1" x14ac:dyDescent="0.3">
      <c r="A619" s="2"/>
      <c r="B619" s="65" t="str">
        <f t="shared" si="45"/>
        <v/>
      </c>
      <c r="C619" s="65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66"/>
      <c r="F619" s="67"/>
      <c r="G619" s="60"/>
      <c r="H619" s="60"/>
      <c r="I619" s="61"/>
      <c r="J619" s="61"/>
      <c r="K619" s="61"/>
      <c r="L619" s="73" t="str">
        <f t="shared" si="46"/>
        <v/>
      </c>
      <c r="M619" s="65" t="str">
        <f t="shared" ca="1" si="47"/>
        <v/>
      </c>
      <c r="N619" s="74" t="str">
        <f>IF($C619="","",IF($C619="TANIMSIZ MÜŞTERİ","—",INDEX(MUSTERILER!$C$7:$C$156,MATCH($C619,MUSTERILER!$B$7:$B$156,0))))</f>
        <v/>
      </c>
      <c r="O619" s="2"/>
      <c r="P619" s="2"/>
      <c r="Q619" s="1" t="str">
        <f>IF($D619="","",$C619&amp;"|"&amp;COUNTIFS($C$7:$C619,$C619))</f>
        <v/>
      </c>
      <c r="R619" s="1" t="str">
        <f t="shared" si="48"/>
        <v/>
      </c>
      <c r="S619" s="1" t="str">
        <f t="shared" si="49"/>
        <v/>
      </c>
      <c r="T619" s="1">
        <f>IF($E619="",0,SUMPRODUCT((AY_SONU!$O$7:$O$42="Evet")*(AY_SONU!$B$7:$B$42=DATE(YEAR($E619),MONTH($E619),1))))</f>
        <v>0</v>
      </c>
    </row>
    <row r="620" spans="1:20" ht="18" customHeight="1" x14ac:dyDescent="0.3">
      <c r="A620" s="2"/>
      <c r="B620" s="65" t="str">
        <f t="shared" si="45"/>
        <v/>
      </c>
      <c r="C620" s="65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66"/>
      <c r="F620" s="67"/>
      <c r="G620" s="60"/>
      <c r="H620" s="60"/>
      <c r="I620" s="61"/>
      <c r="J620" s="61"/>
      <c r="K620" s="61"/>
      <c r="L620" s="73" t="str">
        <f t="shared" si="46"/>
        <v/>
      </c>
      <c r="M620" s="65" t="str">
        <f t="shared" ca="1" si="47"/>
        <v/>
      </c>
      <c r="N620" s="74" t="str">
        <f>IF($C620="","",IF($C620="TANIMSIZ MÜŞTERİ","—",INDEX(MUSTERILER!$C$7:$C$156,MATCH($C620,MUSTERILER!$B$7:$B$156,0))))</f>
        <v/>
      </c>
      <c r="O620" s="2"/>
      <c r="P620" s="2"/>
      <c r="Q620" s="1" t="str">
        <f>IF($D620="","",$C620&amp;"|"&amp;COUNTIFS($C$7:$C620,$C620))</f>
        <v/>
      </c>
      <c r="R620" s="1" t="str">
        <f t="shared" si="48"/>
        <v/>
      </c>
      <c r="S620" s="1" t="str">
        <f t="shared" si="49"/>
        <v/>
      </c>
      <c r="T620" s="1">
        <f>IF($E620="",0,SUMPRODUCT((AY_SONU!$O$7:$O$42="Evet")*(AY_SONU!$B$7:$B$42=DATE(YEAR($E620),MONTH($E620),1))))</f>
        <v>0</v>
      </c>
    </row>
    <row r="621" spans="1:20" ht="18" customHeight="1" x14ac:dyDescent="0.3">
      <c r="A621" s="2"/>
      <c r="B621" s="65" t="str">
        <f t="shared" si="45"/>
        <v/>
      </c>
      <c r="C621" s="65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66"/>
      <c r="F621" s="67"/>
      <c r="G621" s="60"/>
      <c r="H621" s="60"/>
      <c r="I621" s="61"/>
      <c r="J621" s="61"/>
      <c r="K621" s="61"/>
      <c r="L621" s="73" t="str">
        <f t="shared" si="46"/>
        <v/>
      </c>
      <c r="M621" s="65" t="str">
        <f t="shared" ca="1" si="47"/>
        <v/>
      </c>
      <c r="N621" s="74" t="str">
        <f>IF($C621="","",IF($C621="TANIMSIZ MÜŞTERİ","—",INDEX(MUSTERILER!$C$7:$C$156,MATCH($C621,MUSTERILER!$B$7:$B$156,0))))</f>
        <v/>
      </c>
      <c r="O621" s="2"/>
      <c r="P621" s="2"/>
      <c r="Q621" s="1" t="str">
        <f>IF($D621="","",$C621&amp;"|"&amp;COUNTIFS($C$7:$C621,$C621))</f>
        <v/>
      </c>
      <c r="R621" s="1" t="str">
        <f t="shared" si="48"/>
        <v/>
      </c>
      <c r="S621" s="1" t="str">
        <f t="shared" si="49"/>
        <v/>
      </c>
      <c r="T621" s="1">
        <f>IF($E621="",0,SUMPRODUCT((AY_SONU!$O$7:$O$42="Evet")*(AY_SONU!$B$7:$B$42=DATE(YEAR($E621),MONTH($E621),1))))</f>
        <v>0</v>
      </c>
    </row>
    <row r="622" spans="1:20" ht="18" customHeight="1" x14ac:dyDescent="0.3">
      <c r="A622" s="2"/>
      <c r="B622" s="65" t="str">
        <f t="shared" si="45"/>
        <v/>
      </c>
      <c r="C622" s="65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66"/>
      <c r="F622" s="67"/>
      <c r="G622" s="60"/>
      <c r="H622" s="60"/>
      <c r="I622" s="61"/>
      <c r="J622" s="61"/>
      <c r="K622" s="61"/>
      <c r="L622" s="73" t="str">
        <f t="shared" si="46"/>
        <v/>
      </c>
      <c r="M622" s="65" t="str">
        <f t="shared" ca="1" si="47"/>
        <v/>
      </c>
      <c r="N622" s="74" t="str">
        <f>IF($C622="","",IF($C622="TANIMSIZ MÜŞTERİ","—",INDEX(MUSTERILER!$C$7:$C$156,MATCH($C622,MUSTERILER!$B$7:$B$156,0))))</f>
        <v/>
      </c>
      <c r="O622" s="2"/>
      <c r="P622" s="2"/>
      <c r="Q622" s="1" t="str">
        <f>IF($D622="","",$C622&amp;"|"&amp;COUNTIFS($C$7:$C622,$C622))</f>
        <v/>
      </c>
      <c r="R622" s="1" t="str">
        <f t="shared" si="48"/>
        <v/>
      </c>
      <c r="S622" s="1" t="str">
        <f t="shared" si="49"/>
        <v/>
      </c>
      <c r="T622" s="1">
        <f>IF($E622="",0,SUMPRODUCT((AY_SONU!$O$7:$O$42="Evet")*(AY_SONU!$B$7:$B$42=DATE(YEAR($E622),MONTH($E622),1))))</f>
        <v>0</v>
      </c>
    </row>
    <row r="623" spans="1:20" ht="18" customHeight="1" x14ac:dyDescent="0.3">
      <c r="A623" s="2"/>
      <c r="B623" s="65" t="str">
        <f t="shared" si="45"/>
        <v/>
      </c>
      <c r="C623" s="65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66"/>
      <c r="F623" s="67"/>
      <c r="G623" s="60"/>
      <c r="H623" s="60"/>
      <c r="I623" s="61"/>
      <c r="J623" s="61"/>
      <c r="K623" s="61"/>
      <c r="L623" s="73" t="str">
        <f t="shared" si="46"/>
        <v/>
      </c>
      <c r="M623" s="65" t="str">
        <f t="shared" ca="1" si="47"/>
        <v/>
      </c>
      <c r="N623" s="74" t="str">
        <f>IF($C623="","",IF($C623="TANIMSIZ MÜŞTERİ","—",INDEX(MUSTERILER!$C$7:$C$156,MATCH($C623,MUSTERILER!$B$7:$B$156,0))))</f>
        <v/>
      </c>
      <c r="O623" s="2"/>
      <c r="P623" s="2"/>
      <c r="Q623" s="1" t="str">
        <f>IF($D623="","",$C623&amp;"|"&amp;COUNTIFS($C$7:$C623,$C623))</f>
        <v/>
      </c>
      <c r="R623" s="1" t="str">
        <f t="shared" si="48"/>
        <v/>
      </c>
      <c r="S623" s="1" t="str">
        <f t="shared" si="49"/>
        <v/>
      </c>
      <c r="T623" s="1">
        <f>IF($E623="",0,SUMPRODUCT((AY_SONU!$O$7:$O$42="Evet")*(AY_SONU!$B$7:$B$42=DATE(YEAR($E623),MONTH($E623),1))))</f>
        <v>0</v>
      </c>
    </row>
    <row r="624" spans="1:20" ht="18" customHeight="1" x14ac:dyDescent="0.3">
      <c r="A624" s="2"/>
      <c r="B624" s="65" t="str">
        <f t="shared" si="45"/>
        <v/>
      </c>
      <c r="C624" s="65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66"/>
      <c r="F624" s="67"/>
      <c r="G624" s="60"/>
      <c r="H624" s="60"/>
      <c r="I624" s="61"/>
      <c r="J624" s="61"/>
      <c r="K624" s="61"/>
      <c r="L624" s="73" t="str">
        <f t="shared" si="46"/>
        <v/>
      </c>
      <c r="M624" s="65" t="str">
        <f t="shared" ca="1" si="47"/>
        <v/>
      </c>
      <c r="N624" s="74" t="str">
        <f>IF($C624="","",IF($C624="TANIMSIZ MÜŞTERİ","—",INDEX(MUSTERILER!$C$7:$C$156,MATCH($C624,MUSTERILER!$B$7:$B$156,0))))</f>
        <v/>
      </c>
      <c r="O624" s="2"/>
      <c r="P624" s="2"/>
      <c r="Q624" s="1" t="str">
        <f>IF($D624="","",$C624&amp;"|"&amp;COUNTIFS($C$7:$C624,$C624))</f>
        <v/>
      </c>
      <c r="R624" s="1" t="str">
        <f t="shared" si="48"/>
        <v/>
      </c>
      <c r="S624" s="1" t="str">
        <f t="shared" si="49"/>
        <v/>
      </c>
      <c r="T624" s="1">
        <f>IF($E624="",0,SUMPRODUCT((AY_SONU!$O$7:$O$42="Evet")*(AY_SONU!$B$7:$B$42=DATE(YEAR($E624),MONTH($E624),1))))</f>
        <v>0</v>
      </c>
    </row>
    <row r="625" spans="1:20" ht="18" customHeight="1" x14ac:dyDescent="0.3">
      <c r="A625" s="2"/>
      <c r="B625" s="65" t="str">
        <f t="shared" si="45"/>
        <v/>
      </c>
      <c r="C625" s="65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66"/>
      <c r="F625" s="67"/>
      <c r="G625" s="60"/>
      <c r="H625" s="60"/>
      <c r="I625" s="61"/>
      <c r="J625" s="61"/>
      <c r="K625" s="61"/>
      <c r="L625" s="73" t="str">
        <f t="shared" si="46"/>
        <v/>
      </c>
      <c r="M625" s="65" t="str">
        <f t="shared" ca="1" si="47"/>
        <v/>
      </c>
      <c r="N625" s="74" t="str">
        <f>IF($C625="","",IF($C625="TANIMSIZ MÜŞTERİ","—",INDEX(MUSTERILER!$C$7:$C$156,MATCH($C625,MUSTERILER!$B$7:$B$156,0))))</f>
        <v/>
      </c>
      <c r="O625" s="2"/>
      <c r="P625" s="2"/>
      <c r="Q625" s="1" t="str">
        <f>IF($D625="","",$C625&amp;"|"&amp;COUNTIFS($C$7:$C625,$C625))</f>
        <v/>
      </c>
      <c r="R625" s="1" t="str">
        <f t="shared" si="48"/>
        <v/>
      </c>
      <c r="S625" s="1" t="str">
        <f t="shared" si="49"/>
        <v/>
      </c>
      <c r="T625" s="1">
        <f>IF($E625="",0,SUMPRODUCT((AY_SONU!$O$7:$O$42="Evet")*(AY_SONU!$B$7:$B$42=DATE(YEAR($E625),MONTH($E625),1))))</f>
        <v>0</v>
      </c>
    </row>
    <row r="626" spans="1:20" ht="18" customHeight="1" x14ac:dyDescent="0.3">
      <c r="A626" s="2"/>
      <c r="B626" s="65" t="str">
        <f t="shared" si="45"/>
        <v/>
      </c>
      <c r="C626" s="65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66"/>
      <c r="F626" s="67"/>
      <c r="G626" s="60"/>
      <c r="H626" s="60"/>
      <c r="I626" s="61"/>
      <c r="J626" s="61"/>
      <c r="K626" s="61"/>
      <c r="L626" s="73" t="str">
        <f t="shared" si="46"/>
        <v/>
      </c>
      <c r="M626" s="65" t="str">
        <f t="shared" ca="1" si="47"/>
        <v/>
      </c>
      <c r="N626" s="74" t="str">
        <f>IF($C626="","",IF($C626="TANIMSIZ MÜŞTERİ","—",INDEX(MUSTERILER!$C$7:$C$156,MATCH($C626,MUSTERILER!$B$7:$B$156,0))))</f>
        <v/>
      </c>
      <c r="O626" s="2"/>
      <c r="P626" s="2"/>
      <c r="Q626" s="1" t="str">
        <f>IF($D626="","",$C626&amp;"|"&amp;COUNTIFS($C$7:$C626,$C626))</f>
        <v/>
      </c>
      <c r="R626" s="1" t="str">
        <f t="shared" si="48"/>
        <v/>
      </c>
      <c r="S626" s="1" t="str">
        <f t="shared" si="49"/>
        <v/>
      </c>
      <c r="T626" s="1">
        <f>IF($E626="",0,SUMPRODUCT((AY_SONU!$O$7:$O$42="Evet")*(AY_SONU!$B$7:$B$42=DATE(YEAR($E626),MONTH($E626),1))))</f>
        <v>0</v>
      </c>
    </row>
    <row r="627" spans="1:20" ht="18" customHeight="1" x14ac:dyDescent="0.3">
      <c r="A627" s="2"/>
      <c r="B627" s="65" t="str">
        <f t="shared" si="45"/>
        <v/>
      </c>
      <c r="C627" s="65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66"/>
      <c r="F627" s="67"/>
      <c r="G627" s="60"/>
      <c r="H627" s="60"/>
      <c r="I627" s="61"/>
      <c r="J627" s="61"/>
      <c r="K627" s="61"/>
      <c r="L627" s="73" t="str">
        <f t="shared" si="46"/>
        <v/>
      </c>
      <c r="M627" s="65" t="str">
        <f t="shared" ca="1" si="47"/>
        <v/>
      </c>
      <c r="N627" s="74" t="str">
        <f>IF($C627="","",IF($C627="TANIMSIZ MÜŞTERİ","—",INDEX(MUSTERILER!$C$7:$C$156,MATCH($C627,MUSTERILER!$B$7:$B$156,0))))</f>
        <v/>
      </c>
      <c r="O627" s="2"/>
      <c r="P627" s="2"/>
      <c r="Q627" s="1" t="str">
        <f>IF($D627="","",$C627&amp;"|"&amp;COUNTIFS($C$7:$C627,$C627))</f>
        <v/>
      </c>
      <c r="R627" s="1" t="str">
        <f t="shared" si="48"/>
        <v/>
      </c>
      <c r="S627" s="1" t="str">
        <f t="shared" si="49"/>
        <v/>
      </c>
      <c r="T627" s="1">
        <f>IF($E627="",0,SUMPRODUCT((AY_SONU!$O$7:$O$42="Evet")*(AY_SONU!$B$7:$B$42=DATE(YEAR($E627),MONTH($E627),1))))</f>
        <v>0</v>
      </c>
    </row>
    <row r="628" spans="1:20" ht="18" customHeight="1" x14ac:dyDescent="0.3">
      <c r="A628" s="2"/>
      <c r="B628" s="65" t="str">
        <f t="shared" si="45"/>
        <v/>
      </c>
      <c r="C628" s="65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66"/>
      <c r="F628" s="67"/>
      <c r="G628" s="60"/>
      <c r="H628" s="60"/>
      <c r="I628" s="61"/>
      <c r="J628" s="61"/>
      <c r="K628" s="61"/>
      <c r="L628" s="73" t="str">
        <f t="shared" si="46"/>
        <v/>
      </c>
      <c r="M628" s="65" t="str">
        <f t="shared" ca="1" si="47"/>
        <v/>
      </c>
      <c r="N628" s="74" t="str">
        <f>IF($C628="","",IF($C628="TANIMSIZ MÜŞTERİ","—",INDEX(MUSTERILER!$C$7:$C$156,MATCH($C628,MUSTERILER!$B$7:$B$156,0))))</f>
        <v/>
      </c>
      <c r="O628" s="2"/>
      <c r="P628" s="2"/>
      <c r="Q628" s="1" t="str">
        <f>IF($D628="","",$C628&amp;"|"&amp;COUNTIFS($C$7:$C628,$C628))</f>
        <v/>
      </c>
      <c r="R628" s="1" t="str">
        <f t="shared" si="48"/>
        <v/>
      </c>
      <c r="S628" s="1" t="str">
        <f t="shared" si="49"/>
        <v/>
      </c>
      <c r="T628" s="1">
        <f>IF($E628="",0,SUMPRODUCT((AY_SONU!$O$7:$O$42="Evet")*(AY_SONU!$B$7:$B$42=DATE(YEAR($E628),MONTH($E628),1))))</f>
        <v>0</v>
      </c>
    </row>
    <row r="629" spans="1:20" ht="18" customHeight="1" x14ac:dyDescent="0.3">
      <c r="A629" s="2"/>
      <c r="B629" s="65" t="str">
        <f t="shared" si="45"/>
        <v/>
      </c>
      <c r="C629" s="65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66"/>
      <c r="F629" s="67"/>
      <c r="G629" s="60"/>
      <c r="H629" s="60"/>
      <c r="I629" s="61"/>
      <c r="J629" s="61"/>
      <c r="K629" s="61"/>
      <c r="L629" s="73" t="str">
        <f t="shared" si="46"/>
        <v/>
      </c>
      <c r="M629" s="65" t="str">
        <f t="shared" ca="1" si="47"/>
        <v/>
      </c>
      <c r="N629" s="74" t="str">
        <f>IF($C629="","",IF($C629="TANIMSIZ MÜŞTERİ","—",INDEX(MUSTERILER!$C$7:$C$156,MATCH($C629,MUSTERILER!$B$7:$B$156,0))))</f>
        <v/>
      </c>
      <c r="O629" s="2"/>
      <c r="P629" s="2"/>
      <c r="Q629" s="1" t="str">
        <f>IF($D629="","",$C629&amp;"|"&amp;COUNTIFS($C$7:$C629,$C629))</f>
        <v/>
      </c>
      <c r="R629" s="1" t="str">
        <f t="shared" si="48"/>
        <v/>
      </c>
      <c r="S629" s="1" t="str">
        <f t="shared" si="49"/>
        <v/>
      </c>
      <c r="T629" s="1">
        <f>IF($E629="",0,SUMPRODUCT((AY_SONU!$O$7:$O$42="Evet")*(AY_SONU!$B$7:$B$42=DATE(YEAR($E629),MONTH($E629),1))))</f>
        <v>0</v>
      </c>
    </row>
    <row r="630" spans="1:20" ht="18" customHeight="1" x14ac:dyDescent="0.3">
      <c r="A630" s="2"/>
      <c r="B630" s="65" t="str">
        <f t="shared" si="45"/>
        <v/>
      </c>
      <c r="C630" s="65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66"/>
      <c r="F630" s="67"/>
      <c r="G630" s="60"/>
      <c r="H630" s="60"/>
      <c r="I630" s="61"/>
      <c r="J630" s="61"/>
      <c r="K630" s="61"/>
      <c r="L630" s="73" t="str">
        <f t="shared" si="46"/>
        <v/>
      </c>
      <c r="M630" s="65" t="str">
        <f t="shared" ca="1" si="47"/>
        <v/>
      </c>
      <c r="N630" s="74" t="str">
        <f>IF($C630="","",IF($C630="TANIMSIZ MÜŞTERİ","—",INDEX(MUSTERILER!$C$7:$C$156,MATCH($C630,MUSTERILER!$B$7:$B$156,0))))</f>
        <v/>
      </c>
      <c r="O630" s="2"/>
      <c r="P630" s="2"/>
      <c r="Q630" s="1" t="str">
        <f>IF($D630="","",$C630&amp;"|"&amp;COUNTIFS($C$7:$C630,$C630))</f>
        <v/>
      </c>
      <c r="R630" s="1" t="str">
        <f t="shared" si="48"/>
        <v/>
      </c>
      <c r="S630" s="1" t="str">
        <f t="shared" si="49"/>
        <v/>
      </c>
      <c r="T630" s="1">
        <f>IF($E630="",0,SUMPRODUCT((AY_SONU!$O$7:$O$42="Evet")*(AY_SONU!$B$7:$B$42=DATE(YEAR($E630),MONTH($E630),1))))</f>
        <v>0</v>
      </c>
    </row>
    <row r="631" spans="1:20" ht="18" customHeight="1" x14ac:dyDescent="0.3">
      <c r="A631" s="2"/>
      <c r="B631" s="65" t="str">
        <f t="shared" si="45"/>
        <v/>
      </c>
      <c r="C631" s="65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66"/>
      <c r="F631" s="67"/>
      <c r="G631" s="60"/>
      <c r="H631" s="60"/>
      <c r="I631" s="61"/>
      <c r="J631" s="61"/>
      <c r="K631" s="61"/>
      <c r="L631" s="73" t="str">
        <f t="shared" si="46"/>
        <v/>
      </c>
      <c r="M631" s="65" t="str">
        <f t="shared" ca="1" si="47"/>
        <v/>
      </c>
      <c r="N631" s="74" t="str">
        <f>IF($C631="","",IF($C631="TANIMSIZ MÜŞTERİ","—",INDEX(MUSTERILER!$C$7:$C$156,MATCH($C631,MUSTERILER!$B$7:$B$156,0))))</f>
        <v/>
      </c>
      <c r="O631" s="2"/>
      <c r="P631" s="2"/>
      <c r="Q631" s="1" t="str">
        <f>IF($D631="","",$C631&amp;"|"&amp;COUNTIFS($C$7:$C631,$C631))</f>
        <v/>
      </c>
      <c r="R631" s="1" t="str">
        <f t="shared" si="48"/>
        <v/>
      </c>
      <c r="S631" s="1" t="str">
        <f t="shared" si="49"/>
        <v/>
      </c>
      <c r="T631" s="1">
        <f>IF($E631="",0,SUMPRODUCT((AY_SONU!$O$7:$O$42="Evet")*(AY_SONU!$B$7:$B$42=DATE(YEAR($E631),MONTH($E631),1))))</f>
        <v>0</v>
      </c>
    </row>
    <row r="632" spans="1:20" ht="18" customHeight="1" x14ac:dyDescent="0.3">
      <c r="A632" s="2"/>
      <c r="B632" s="65" t="str">
        <f t="shared" si="45"/>
        <v/>
      </c>
      <c r="C632" s="65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66"/>
      <c r="F632" s="67"/>
      <c r="G632" s="60"/>
      <c r="H632" s="60"/>
      <c r="I632" s="61"/>
      <c r="J632" s="61"/>
      <c r="K632" s="61"/>
      <c r="L632" s="73" t="str">
        <f t="shared" si="46"/>
        <v/>
      </c>
      <c r="M632" s="65" t="str">
        <f t="shared" ca="1" si="47"/>
        <v/>
      </c>
      <c r="N632" s="74" t="str">
        <f>IF($C632="","",IF($C632="TANIMSIZ MÜŞTERİ","—",INDEX(MUSTERILER!$C$7:$C$156,MATCH($C632,MUSTERILER!$B$7:$B$156,0))))</f>
        <v/>
      </c>
      <c r="O632" s="2"/>
      <c r="P632" s="2"/>
      <c r="Q632" s="1" t="str">
        <f>IF($D632="","",$C632&amp;"|"&amp;COUNTIFS($C$7:$C632,$C632))</f>
        <v/>
      </c>
      <c r="R632" s="1" t="str">
        <f t="shared" si="48"/>
        <v/>
      </c>
      <c r="S632" s="1" t="str">
        <f t="shared" si="49"/>
        <v/>
      </c>
      <c r="T632" s="1">
        <f>IF($E632="",0,SUMPRODUCT((AY_SONU!$O$7:$O$42="Evet")*(AY_SONU!$B$7:$B$42=DATE(YEAR($E632),MONTH($E632),1))))</f>
        <v>0</v>
      </c>
    </row>
    <row r="633" spans="1:20" ht="18" customHeight="1" x14ac:dyDescent="0.3">
      <c r="A633" s="2"/>
      <c r="B633" s="65" t="str">
        <f t="shared" si="45"/>
        <v/>
      </c>
      <c r="C633" s="65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66"/>
      <c r="F633" s="67"/>
      <c r="G633" s="60"/>
      <c r="H633" s="60"/>
      <c r="I633" s="61"/>
      <c r="J633" s="61"/>
      <c r="K633" s="61"/>
      <c r="L633" s="73" t="str">
        <f t="shared" si="46"/>
        <v/>
      </c>
      <c r="M633" s="65" t="str">
        <f t="shared" ca="1" si="47"/>
        <v/>
      </c>
      <c r="N633" s="74" t="str">
        <f>IF($C633="","",IF($C633="TANIMSIZ MÜŞTERİ","—",INDEX(MUSTERILER!$C$7:$C$156,MATCH($C633,MUSTERILER!$B$7:$B$156,0))))</f>
        <v/>
      </c>
      <c r="O633" s="2"/>
      <c r="P633" s="2"/>
      <c r="Q633" s="1" t="str">
        <f>IF($D633="","",$C633&amp;"|"&amp;COUNTIFS($C$7:$C633,$C633))</f>
        <v/>
      </c>
      <c r="R633" s="1" t="str">
        <f t="shared" si="48"/>
        <v/>
      </c>
      <c r="S633" s="1" t="str">
        <f t="shared" si="49"/>
        <v/>
      </c>
      <c r="T633" s="1">
        <f>IF($E633="",0,SUMPRODUCT((AY_SONU!$O$7:$O$42="Evet")*(AY_SONU!$B$7:$B$42=DATE(YEAR($E633),MONTH($E633),1))))</f>
        <v>0</v>
      </c>
    </row>
    <row r="634" spans="1:20" ht="18" customHeight="1" x14ac:dyDescent="0.3">
      <c r="A634" s="2"/>
      <c r="B634" s="65" t="str">
        <f t="shared" si="45"/>
        <v/>
      </c>
      <c r="C634" s="65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66"/>
      <c r="F634" s="67"/>
      <c r="G634" s="60"/>
      <c r="H634" s="60"/>
      <c r="I634" s="61"/>
      <c r="J634" s="61"/>
      <c r="K634" s="61"/>
      <c r="L634" s="73" t="str">
        <f t="shared" si="46"/>
        <v/>
      </c>
      <c r="M634" s="65" t="str">
        <f t="shared" ca="1" si="47"/>
        <v/>
      </c>
      <c r="N634" s="74" t="str">
        <f>IF($C634="","",IF($C634="TANIMSIZ MÜŞTERİ","—",INDEX(MUSTERILER!$C$7:$C$156,MATCH($C634,MUSTERILER!$B$7:$B$156,0))))</f>
        <v/>
      </c>
      <c r="O634" s="2"/>
      <c r="P634" s="2"/>
      <c r="Q634" s="1" t="str">
        <f>IF($D634="","",$C634&amp;"|"&amp;COUNTIFS($C$7:$C634,$C634))</f>
        <v/>
      </c>
      <c r="R634" s="1" t="str">
        <f t="shared" si="48"/>
        <v/>
      </c>
      <c r="S634" s="1" t="str">
        <f t="shared" si="49"/>
        <v/>
      </c>
      <c r="T634" s="1">
        <f>IF($E634="",0,SUMPRODUCT((AY_SONU!$O$7:$O$42="Evet")*(AY_SONU!$B$7:$B$42=DATE(YEAR($E634),MONTH($E634),1))))</f>
        <v>0</v>
      </c>
    </row>
    <row r="635" spans="1:20" ht="18" customHeight="1" x14ac:dyDescent="0.3">
      <c r="A635" s="2"/>
      <c r="B635" s="65" t="str">
        <f t="shared" si="45"/>
        <v/>
      </c>
      <c r="C635" s="65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66"/>
      <c r="F635" s="67"/>
      <c r="G635" s="60"/>
      <c r="H635" s="60"/>
      <c r="I635" s="61"/>
      <c r="J635" s="61"/>
      <c r="K635" s="61"/>
      <c r="L635" s="73" t="str">
        <f t="shared" si="46"/>
        <v/>
      </c>
      <c r="M635" s="65" t="str">
        <f t="shared" ca="1" si="47"/>
        <v/>
      </c>
      <c r="N635" s="74" t="str">
        <f>IF($C635="","",IF($C635="TANIMSIZ MÜŞTERİ","—",INDEX(MUSTERILER!$C$7:$C$156,MATCH($C635,MUSTERILER!$B$7:$B$156,0))))</f>
        <v/>
      </c>
      <c r="O635" s="2"/>
      <c r="P635" s="2"/>
      <c r="Q635" s="1" t="str">
        <f>IF($D635="","",$C635&amp;"|"&amp;COUNTIFS($C$7:$C635,$C635))</f>
        <v/>
      </c>
      <c r="R635" s="1" t="str">
        <f t="shared" si="48"/>
        <v/>
      </c>
      <c r="S635" s="1" t="str">
        <f t="shared" si="49"/>
        <v/>
      </c>
      <c r="T635" s="1">
        <f>IF($E635="",0,SUMPRODUCT((AY_SONU!$O$7:$O$42="Evet")*(AY_SONU!$B$7:$B$42=DATE(YEAR($E635),MONTH($E635),1))))</f>
        <v>0</v>
      </c>
    </row>
    <row r="636" spans="1:20" ht="18" customHeight="1" x14ac:dyDescent="0.3">
      <c r="A636" s="2"/>
      <c r="B636" s="65" t="str">
        <f t="shared" si="45"/>
        <v/>
      </c>
      <c r="C636" s="65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66"/>
      <c r="F636" s="67"/>
      <c r="G636" s="60"/>
      <c r="H636" s="60"/>
      <c r="I636" s="61"/>
      <c r="J636" s="61"/>
      <c r="K636" s="61"/>
      <c r="L636" s="73" t="str">
        <f t="shared" si="46"/>
        <v/>
      </c>
      <c r="M636" s="65" t="str">
        <f t="shared" ca="1" si="47"/>
        <v/>
      </c>
      <c r="N636" s="74" t="str">
        <f>IF($C636="","",IF($C636="TANIMSIZ MÜŞTERİ","—",INDEX(MUSTERILER!$C$7:$C$156,MATCH($C636,MUSTERILER!$B$7:$B$156,0))))</f>
        <v/>
      </c>
      <c r="O636" s="2"/>
      <c r="P636" s="2"/>
      <c r="Q636" s="1" t="str">
        <f>IF($D636="","",$C636&amp;"|"&amp;COUNTIFS($C$7:$C636,$C636))</f>
        <v/>
      </c>
      <c r="R636" s="1" t="str">
        <f t="shared" si="48"/>
        <v/>
      </c>
      <c r="S636" s="1" t="str">
        <f t="shared" si="49"/>
        <v/>
      </c>
      <c r="T636" s="1">
        <f>IF($E636="",0,SUMPRODUCT((AY_SONU!$O$7:$O$42="Evet")*(AY_SONU!$B$7:$B$42=DATE(YEAR($E636),MONTH($E636),1))))</f>
        <v>0</v>
      </c>
    </row>
    <row r="637" spans="1:20" ht="18" customHeight="1" x14ac:dyDescent="0.3">
      <c r="A637" s="2"/>
      <c r="B637" s="65" t="str">
        <f t="shared" si="45"/>
        <v/>
      </c>
      <c r="C637" s="65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66"/>
      <c r="F637" s="67"/>
      <c r="G637" s="60"/>
      <c r="H637" s="60"/>
      <c r="I637" s="61"/>
      <c r="J637" s="61"/>
      <c r="K637" s="61"/>
      <c r="L637" s="73" t="str">
        <f t="shared" si="46"/>
        <v/>
      </c>
      <c r="M637" s="65" t="str">
        <f t="shared" ca="1" si="47"/>
        <v/>
      </c>
      <c r="N637" s="74" t="str">
        <f>IF($C637="","",IF($C637="TANIMSIZ MÜŞTERİ","—",INDEX(MUSTERILER!$C$7:$C$156,MATCH($C637,MUSTERILER!$B$7:$B$156,0))))</f>
        <v/>
      </c>
      <c r="O637" s="2"/>
      <c r="P637" s="2"/>
      <c r="Q637" s="1" t="str">
        <f>IF($D637="","",$C637&amp;"|"&amp;COUNTIFS($C$7:$C637,$C637))</f>
        <v/>
      </c>
      <c r="R637" s="1" t="str">
        <f t="shared" si="48"/>
        <v/>
      </c>
      <c r="S637" s="1" t="str">
        <f t="shared" si="49"/>
        <v/>
      </c>
      <c r="T637" s="1">
        <f>IF($E637="",0,SUMPRODUCT((AY_SONU!$O$7:$O$42="Evet")*(AY_SONU!$B$7:$B$42=DATE(YEAR($E637),MONTH($E637),1))))</f>
        <v>0</v>
      </c>
    </row>
    <row r="638" spans="1:20" ht="18" customHeight="1" x14ac:dyDescent="0.3">
      <c r="A638" s="2"/>
      <c r="B638" s="65" t="str">
        <f t="shared" si="45"/>
        <v/>
      </c>
      <c r="C638" s="65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66"/>
      <c r="F638" s="67"/>
      <c r="G638" s="60"/>
      <c r="H638" s="60"/>
      <c r="I638" s="61"/>
      <c r="J638" s="61"/>
      <c r="K638" s="61"/>
      <c r="L638" s="73" t="str">
        <f t="shared" si="46"/>
        <v/>
      </c>
      <c r="M638" s="65" t="str">
        <f t="shared" ca="1" si="47"/>
        <v/>
      </c>
      <c r="N638" s="74" t="str">
        <f>IF($C638="","",IF($C638="TANIMSIZ MÜŞTERİ","—",INDEX(MUSTERILER!$C$7:$C$156,MATCH($C638,MUSTERILER!$B$7:$B$156,0))))</f>
        <v/>
      </c>
      <c r="O638" s="2"/>
      <c r="P638" s="2"/>
      <c r="Q638" s="1" t="str">
        <f>IF($D638="","",$C638&amp;"|"&amp;COUNTIFS($C$7:$C638,$C638))</f>
        <v/>
      </c>
      <c r="R638" s="1" t="str">
        <f t="shared" si="48"/>
        <v/>
      </c>
      <c r="S638" s="1" t="str">
        <f t="shared" si="49"/>
        <v/>
      </c>
      <c r="T638" s="1">
        <f>IF($E638="",0,SUMPRODUCT((AY_SONU!$O$7:$O$42="Evet")*(AY_SONU!$B$7:$B$42=DATE(YEAR($E638),MONTH($E638),1))))</f>
        <v>0</v>
      </c>
    </row>
    <row r="639" spans="1:20" ht="18" customHeight="1" x14ac:dyDescent="0.3">
      <c r="A639" s="2"/>
      <c r="B639" s="65" t="str">
        <f t="shared" si="45"/>
        <v/>
      </c>
      <c r="C639" s="65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66"/>
      <c r="F639" s="67"/>
      <c r="G639" s="60"/>
      <c r="H639" s="60"/>
      <c r="I639" s="61"/>
      <c r="J639" s="61"/>
      <c r="K639" s="61"/>
      <c r="L639" s="73" t="str">
        <f t="shared" si="46"/>
        <v/>
      </c>
      <c r="M639" s="65" t="str">
        <f t="shared" ca="1" si="47"/>
        <v/>
      </c>
      <c r="N639" s="74" t="str">
        <f>IF($C639="","",IF($C639="TANIMSIZ MÜŞTERİ","—",INDEX(MUSTERILER!$C$7:$C$156,MATCH($C639,MUSTERILER!$B$7:$B$156,0))))</f>
        <v/>
      </c>
      <c r="O639" s="2"/>
      <c r="P639" s="2"/>
      <c r="Q639" s="1" t="str">
        <f>IF($D639="","",$C639&amp;"|"&amp;COUNTIFS($C$7:$C639,$C639))</f>
        <v/>
      </c>
      <c r="R639" s="1" t="str">
        <f t="shared" si="48"/>
        <v/>
      </c>
      <c r="S639" s="1" t="str">
        <f t="shared" si="49"/>
        <v/>
      </c>
      <c r="T639" s="1">
        <f>IF($E639="",0,SUMPRODUCT((AY_SONU!$O$7:$O$42="Evet")*(AY_SONU!$B$7:$B$42=DATE(YEAR($E639),MONTH($E639),1))))</f>
        <v>0</v>
      </c>
    </row>
    <row r="640" spans="1:20" ht="18" customHeight="1" x14ac:dyDescent="0.3">
      <c r="A640" s="2"/>
      <c r="B640" s="65" t="str">
        <f t="shared" si="45"/>
        <v/>
      </c>
      <c r="C640" s="65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66"/>
      <c r="F640" s="67"/>
      <c r="G640" s="60"/>
      <c r="H640" s="60"/>
      <c r="I640" s="61"/>
      <c r="J640" s="61"/>
      <c r="K640" s="61"/>
      <c r="L640" s="73" t="str">
        <f t="shared" si="46"/>
        <v/>
      </c>
      <c r="M640" s="65" t="str">
        <f t="shared" ca="1" si="47"/>
        <v/>
      </c>
      <c r="N640" s="74" t="str">
        <f>IF($C640="","",IF($C640="TANIMSIZ MÜŞTERİ","—",INDEX(MUSTERILER!$C$7:$C$156,MATCH($C640,MUSTERILER!$B$7:$B$156,0))))</f>
        <v/>
      </c>
      <c r="O640" s="2"/>
      <c r="P640" s="2"/>
      <c r="Q640" s="1" t="str">
        <f>IF($D640="","",$C640&amp;"|"&amp;COUNTIFS($C$7:$C640,$C640))</f>
        <v/>
      </c>
      <c r="R640" s="1" t="str">
        <f t="shared" si="48"/>
        <v/>
      </c>
      <c r="S640" s="1" t="str">
        <f t="shared" si="49"/>
        <v/>
      </c>
      <c r="T640" s="1">
        <f>IF($E640="",0,SUMPRODUCT((AY_SONU!$O$7:$O$42="Evet")*(AY_SONU!$B$7:$B$42=DATE(YEAR($E640),MONTH($E640),1))))</f>
        <v>0</v>
      </c>
    </row>
    <row r="641" spans="1:20" ht="18" customHeight="1" x14ac:dyDescent="0.3">
      <c r="A641" s="2"/>
      <c r="B641" s="65" t="str">
        <f t="shared" si="45"/>
        <v/>
      </c>
      <c r="C641" s="65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66"/>
      <c r="F641" s="67"/>
      <c r="G641" s="60"/>
      <c r="H641" s="60"/>
      <c r="I641" s="61"/>
      <c r="J641" s="61"/>
      <c r="K641" s="61"/>
      <c r="L641" s="73" t="str">
        <f t="shared" si="46"/>
        <v/>
      </c>
      <c r="M641" s="65" t="str">
        <f t="shared" ca="1" si="47"/>
        <v/>
      </c>
      <c r="N641" s="74" t="str">
        <f>IF($C641="","",IF($C641="TANIMSIZ MÜŞTERİ","—",INDEX(MUSTERILER!$C$7:$C$156,MATCH($C641,MUSTERILER!$B$7:$B$156,0))))</f>
        <v/>
      </c>
      <c r="O641" s="2"/>
      <c r="P641" s="2"/>
      <c r="Q641" s="1" t="str">
        <f>IF($D641="","",$C641&amp;"|"&amp;COUNTIFS($C$7:$C641,$C641))</f>
        <v/>
      </c>
      <c r="R641" s="1" t="str">
        <f t="shared" si="48"/>
        <v/>
      </c>
      <c r="S641" s="1" t="str">
        <f t="shared" si="49"/>
        <v/>
      </c>
      <c r="T641" s="1">
        <f>IF($E641="",0,SUMPRODUCT((AY_SONU!$O$7:$O$42="Evet")*(AY_SONU!$B$7:$B$42=DATE(YEAR($E641),MONTH($E641),1))))</f>
        <v>0</v>
      </c>
    </row>
    <row r="642" spans="1:20" ht="18" customHeight="1" x14ac:dyDescent="0.3">
      <c r="A642" s="2"/>
      <c r="B642" s="65" t="str">
        <f t="shared" si="45"/>
        <v/>
      </c>
      <c r="C642" s="65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66"/>
      <c r="F642" s="67"/>
      <c r="G642" s="60"/>
      <c r="H642" s="60"/>
      <c r="I642" s="61"/>
      <c r="J642" s="61"/>
      <c r="K642" s="61"/>
      <c r="L642" s="73" t="str">
        <f t="shared" si="46"/>
        <v/>
      </c>
      <c r="M642" s="65" t="str">
        <f t="shared" ca="1" si="47"/>
        <v/>
      </c>
      <c r="N642" s="74" t="str">
        <f>IF($C642="","",IF($C642="TANIMSIZ MÜŞTERİ","—",INDEX(MUSTERILER!$C$7:$C$156,MATCH($C642,MUSTERILER!$B$7:$B$156,0))))</f>
        <v/>
      </c>
      <c r="O642" s="2"/>
      <c r="P642" s="2"/>
      <c r="Q642" s="1" t="str">
        <f>IF($D642="","",$C642&amp;"|"&amp;COUNTIFS($C$7:$C642,$C642))</f>
        <v/>
      </c>
      <c r="R642" s="1" t="str">
        <f t="shared" si="48"/>
        <v/>
      </c>
      <c r="S642" s="1" t="str">
        <f t="shared" si="49"/>
        <v/>
      </c>
      <c r="T642" s="1">
        <f>IF($E642="",0,SUMPRODUCT((AY_SONU!$O$7:$O$42="Evet")*(AY_SONU!$B$7:$B$42=DATE(YEAR($E642),MONTH($E642),1))))</f>
        <v>0</v>
      </c>
    </row>
    <row r="643" spans="1:20" ht="18" customHeight="1" x14ac:dyDescent="0.3">
      <c r="A643" s="2"/>
      <c r="B643" s="65" t="str">
        <f t="shared" si="45"/>
        <v/>
      </c>
      <c r="C643" s="65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66"/>
      <c r="F643" s="67"/>
      <c r="G643" s="60"/>
      <c r="H643" s="60"/>
      <c r="I643" s="61"/>
      <c r="J643" s="61"/>
      <c r="K643" s="61"/>
      <c r="L643" s="73" t="str">
        <f t="shared" si="46"/>
        <v/>
      </c>
      <c r="M643" s="65" t="str">
        <f t="shared" ca="1" si="47"/>
        <v/>
      </c>
      <c r="N643" s="74" t="str">
        <f>IF($C643="","",IF($C643="TANIMSIZ MÜŞTERİ","—",INDEX(MUSTERILER!$C$7:$C$156,MATCH($C643,MUSTERILER!$B$7:$B$156,0))))</f>
        <v/>
      </c>
      <c r="O643" s="2"/>
      <c r="P643" s="2"/>
      <c r="Q643" s="1" t="str">
        <f>IF($D643="","",$C643&amp;"|"&amp;COUNTIFS($C$7:$C643,$C643))</f>
        <v/>
      </c>
      <c r="R643" s="1" t="str">
        <f t="shared" si="48"/>
        <v/>
      </c>
      <c r="S643" s="1" t="str">
        <f t="shared" si="49"/>
        <v/>
      </c>
      <c r="T643" s="1">
        <f>IF($E643="",0,SUMPRODUCT((AY_SONU!$O$7:$O$42="Evet")*(AY_SONU!$B$7:$B$42=DATE(YEAR($E643),MONTH($E643),1))))</f>
        <v>0</v>
      </c>
    </row>
    <row r="644" spans="1:20" ht="18" customHeight="1" x14ac:dyDescent="0.3">
      <c r="A644" s="2"/>
      <c r="B644" s="65" t="str">
        <f t="shared" si="45"/>
        <v/>
      </c>
      <c r="C644" s="65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66"/>
      <c r="F644" s="67"/>
      <c r="G644" s="60"/>
      <c r="H644" s="60"/>
      <c r="I644" s="61"/>
      <c r="J644" s="61"/>
      <c r="K644" s="61"/>
      <c r="L644" s="73" t="str">
        <f t="shared" si="46"/>
        <v/>
      </c>
      <c r="M644" s="65" t="str">
        <f t="shared" ca="1" si="47"/>
        <v/>
      </c>
      <c r="N644" s="74" t="str">
        <f>IF($C644="","",IF($C644="TANIMSIZ MÜŞTERİ","—",INDEX(MUSTERILER!$C$7:$C$156,MATCH($C644,MUSTERILER!$B$7:$B$156,0))))</f>
        <v/>
      </c>
      <c r="O644" s="2"/>
      <c r="P644" s="2"/>
      <c r="Q644" s="1" t="str">
        <f>IF($D644="","",$C644&amp;"|"&amp;COUNTIFS($C$7:$C644,$C644))</f>
        <v/>
      </c>
      <c r="R644" s="1" t="str">
        <f t="shared" si="48"/>
        <v/>
      </c>
      <c r="S644" s="1" t="str">
        <f t="shared" si="49"/>
        <v/>
      </c>
      <c r="T644" s="1">
        <f>IF($E644="",0,SUMPRODUCT((AY_SONU!$O$7:$O$42="Evet")*(AY_SONU!$B$7:$B$42=DATE(YEAR($E644),MONTH($E644),1))))</f>
        <v>0</v>
      </c>
    </row>
    <row r="645" spans="1:20" ht="18" customHeight="1" x14ac:dyDescent="0.3">
      <c r="A645" s="2"/>
      <c r="B645" s="65" t="str">
        <f t="shared" si="45"/>
        <v/>
      </c>
      <c r="C645" s="65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66"/>
      <c r="F645" s="67"/>
      <c r="G645" s="60"/>
      <c r="H645" s="60"/>
      <c r="I645" s="61"/>
      <c r="J645" s="61"/>
      <c r="K645" s="61"/>
      <c r="L645" s="73" t="str">
        <f t="shared" si="46"/>
        <v/>
      </c>
      <c r="M645" s="65" t="str">
        <f t="shared" ca="1" si="47"/>
        <v/>
      </c>
      <c r="N645" s="74" t="str">
        <f>IF($C645="","",IF($C645="TANIMSIZ MÜŞTERİ","—",INDEX(MUSTERILER!$C$7:$C$156,MATCH($C645,MUSTERILER!$B$7:$B$156,0))))</f>
        <v/>
      </c>
      <c r="O645" s="2"/>
      <c r="P645" s="2"/>
      <c r="Q645" s="1" t="str">
        <f>IF($D645="","",$C645&amp;"|"&amp;COUNTIFS($C$7:$C645,$C645))</f>
        <v/>
      </c>
      <c r="R645" s="1" t="str">
        <f t="shared" si="48"/>
        <v/>
      </c>
      <c r="S645" s="1" t="str">
        <f t="shared" si="49"/>
        <v/>
      </c>
      <c r="T645" s="1">
        <f>IF($E645="",0,SUMPRODUCT((AY_SONU!$O$7:$O$42="Evet")*(AY_SONU!$B$7:$B$42=DATE(YEAR($E645),MONTH($E645),1))))</f>
        <v>0</v>
      </c>
    </row>
    <row r="646" spans="1:20" ht="18" customHeight="1" x14ac:dyDescent="0.3">
      <c r="A646" s="2"/>
      <c r="B646" s="65" t="str">
        <f t="shared" si="45"/>
        <v/>
      </c>
      <c r="C646" s="65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66"/>
      <c r="F646" s="67"/>
      <c r="G646" s="60"/>
      <c r="H646" s="60"/>
      <c r="I646" s="61"/>
      <c r="J646" s="61"/>
      <c r="K646" s="61"/>
      <c r="L646" s="73" t="str">
        <f t="shared" si="46"/>
        <v/>
      </c>
      <c r="M646" s="65" t="str">
        <f t="shared" ca="1" si="47"/>
        <v/>
      </c>
      <c r="N646" s="74" t="str">
        <f>IF($C646="","",IF($C646="TANIMSIZ MÜŞTERİ","—",INDEX(MUSTERILER!$C$7:$C$156,MATCH($C646,MUSTERILER!$B$7:$B$156,0))))</f>
        <v/>
      </c>
      <c r="O646" s="2"/>
      <c r="P646" s="2"/>
      <c r="Q646" s="1" t="str">
        <f>IF($D646="","",$C646&amp;"|"&amp;COUNTIFS($C$7:$C646,$C646))</f>
        <v/>
      </c>
      <c r="R646" s="1" t="str">
        <f t="shared" si="48"/>
        <v/>
      </c>
      <c r="S646" s="1" t="str">
        <f t="shared" si="49"/>
        <v/>
      </c>
      <c r="T646" s="1">
        <f>IF($E646="",0,SUMPRODUCT((AY_SONU!$O$7:$O$42="Evet")*(AY_SONU!$B$7:$B$42=DATE(YEAR($E646),MONTH($E646),1))))</f>
        <v>0</v>
      </c>
    </row>
    <row r="647" spans="1:20" ht="18" customHeight="1" x14ac:dyDescent="0.3">
      <c r="A647" s="2"/>
      <c r="B647" s="65" t="str">
        <f t="shared" ref="B647:B710" si="50">IF($D647="","","T"&amp;TEXT(ROW()-6,"00000"))</f>
        <v/>
      </c>
      <c r="C647" s="65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66"/>
      <c r="F647" s="67"/>
      <c r="G647" s="60"/>
      <c r="H647" s="60"/>
      <c r="I647" s="61"/>
      <c r="J647" s="61"/>
      <c r="K647" s="61"/>
      <c r="L647" s="73" t="str">
        <f t="shared" ref="L647:L710" si="51">IF($E647="","",DATE(YEAR($E647),MONTH($E647),1))</f>
        <v/>
      </c>
      <c r="M647" s="65" t="str">
        <f t="shared" ref="M647:M710" ca="1" si="52">IF($D647="","",IF($C647="TANIMSIZ MÜŞTERİ","HATA",IF(OR($E647="",$F647&lt;=0,$G647=""),"EKSİK",IF($E647&gt;TODAY(),"İLERİ TARİH",IF(COUNTIF($S$7:$S$2506,$S647)&gt;1,"MÜKERRER?",IF($T647&gt;0,"KAPALI DÖNEM","UYGUN"))))))</f>
        <v/>
      </c>
      <c r="N647" s="74" t="str">
        <f>IF($C647="","",IF($C647="TANIMSIZ MÜŞTERİ","—",INDEX(MUSTERILER!$C$7:$C$156,MATCH($C647,MUSTERILER!$B$7:$B$156,0))))</f>
        <v/>
      </c>
      <c r="O647" s="2"/>
      <c r="P647" s="2"/>
      <c r="Q647" s="1" t="str">
        <f>IF($D647="","",$C647&amp;"|"&amp;COUNTIFS($C$7:$C647,$C647))</f>
        <v/>
      </c>
      <c r="R647" s="1" t="str">
        <f t="shared" ref="R647:R710" si="53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 t="str">
        <f t="shared" ref="S647:S710" si="54"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>0</v>
      </c>
    </row>
    <row r="648" spans="1:20" ht="18" customHeight="1" x14ac:dyDescent="0.3">
      <c r="A648" s="2"/>
      <c r="B648" s="65" t="str">
        <f t="shared" si="50"/>
        <v/>
      </c>
      <c r="C648" s="65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66"/>
      <c r="F648" s="67"/>
      <c r="G648" s="60"/>
      <c r="H648" s="60"/>
      <c r="I648" s="61"/>
      <c r="J648" s="61"/>
      <c r="K648" s="61"/>
      <c r="L648" s="73" t="str">
        <f t="shared" si="51"/>
        <v/>
      </c>
      <c r="M648" s="65" t="str">
        <f t="shared" ca="1" si="52"/>
        <v/>
      </c>
      <c r="N648" s="74" t="str">
        <f>IF($C648="","",IF($C648="TANIMSIZ MÜŞTERİ","—",INDEX(MUSTERILER!$C$7:$C$156,MATCH($C648,MUSTERILER!$B$7:$B$156,0))))</f>
        <v/>
      </c>
      <c r="O648" s="2"/>
      <c r="P648" s="2"/>
      <c r="Q648" s="1" t="str">
        <f>IF($D648="","",$C648&amp;"|"&amp;COUNTIFS($C$7:$C648,$C648))</f>
        <v/>
      </c>
      <c r="R648" s="1" t="str">
        <f t="shared" si="53"/>
        <v/>
      </c>
      <c r="S648" s="1" t="str">
        <f t="shared" si="54"/>
        <v/>
      </c>
      <c r="T648" s="1">
        <f>IF($E648="",0,SUMPRODUCT((AY_SONU!$O$7:$O$42="Evet")*(AY_SONU!$B$7:$B$42=DATE(YEAR($E648),MONTH($E648),1))))</f>
        <v>0</v>
      </c>
    </row>
    <row r="649" spans="1:20" ht="18" customHeight="1" x14ac:dyDescent="0.3">
      <c r="A649" s="2"/>
      <c r="B649" s="65" t="str">
        <f t="shared" si="50"/>
        <v/>
      </c>
      <c r="C649" s="65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66"/>
      <c r="F649" s="67"/>
      <c r="G649" s="60"/>
      <c r="H649" s="60"/>
      <c r="I649" s="61"/>
      <c r="J649" s="61"/>
      <c r="K649" s="61"/>
      <c r="L649" s="73" t="str">
        <f t="shared" si="51"/>
        <v/>
      </c>
      <c r="M649" s="65" t="str">
        <f t="shared" ca="1" si="52"/>
        <v/>
      </c>
      <c r="N649" s="74" t="str">
        <f>IF($C649="","",IF($C649="TANIMSIZ MÜŞTERİ","—",INDEX(MUSTERILER!$C$7:$C$156,MATCH($C649,MUSTERILER!$B$7:$B$156,0))))</f>
        <v/>
      </c>
      <c r="O649" s="2"/>
      <c r="P649" s="2"/>
      <c r="Q649" s="1" t="str">
        <f>IF($D649="","",$C649&amp;"|"&amp;COUNTIFS($C$7:$C649,$C649))</f>
        <v/>
      </c>
      <c r="R649" s="1" t="str">
        <f t="shared" si="53"/>
        <v/>
      </c>
      <c r="S649" s="1" t="str">
        <f t="shared" si="54"/>
        <v/>
      </c>
      <c r="T649" s="1">
        <f>IF($E649="",0,SUMPRODUCT((AY_SONU!$O$7:$O$42="Evet")*(AY_SONU!$B$7:$B$42=DATE(YEAR($E649),MONTH($E649),1))))</f>
        <v>0</v>
      </c>
    </row>
    <row r="650" spans="1:20" ht="18" customHeight="1" x14ac:dyDescent="0.3">
      <c r="A650" s="2"/>
      <c r="B650" s="65" t="str">
        <f t="shared" si="50"/>
        <v/>
      </c>
      <c r="C650" s="65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66"/>
      <c r="F650" s="67"/>
      <c r="G650" s="60"/>
      <c r="H650" s="60"/>
      <c r="I650" s="61"/>
      <c r="J650" s="61"/>
      <c r="K650" s="61"/>
      <c r="L650" s="73" t="str">
        <f t="shared" si="51"/>
        <v/>
      </c>
      <c r="M650" s="65" t="str">
        <f t="shared" ca="1" si="52"/>
        <v/>
      </c>
      <c r="N650" s="74" t="str">
        <f>IF($C650="","",IF($C650="TANIMSIZ MÜŞTERİ","—",INDEX(MUSTERILER!$C$7:$C$156,MATCH($C650,MUSTERILER!$B$7:$B$156,0))))</f>
        <v/>
      </c>
      <c r="O650" s="2"/>
      <c r="P650" s="2"/>
      <c r="Q650" s="1" t="str">
        <f>IF($D650="","",$C650&amp;"|"&amp;COUNTIFS($C$7:$C650,$C650))</f>
        <v/>
      </c>
      <c r="R650" s="1" t="str">
        <f t="shared" si="53"/>
        <v/>
      </c>
      <c r="S650" s="1" t="str">
        <f t="shared" si="54"/>
        <v/>
      </c>
      <c r="T650" s="1">
        <f>IF($E650="",0,SUMPRODUCT((AY_SONU!$O$7:$O$42="Evet")*(AY_SONU!$B$7:$B$42=DATE(YEAR($E650),MONTH($E650),1))))</f>
        <v>0</v>
      </c>
    </row>
    <row r="651" spans="1:20" ht="18" customHeight="1" x14ac:dyDescent="0.3">
      <c r="A651" s="2"/>
      <c r="B651" s="65" t="str">
        <f t="shared" si="50"/>
        <v/>
      </c>
      <c r="C651" s="65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66"/>
      <c r="F651" s="67"/>
      <c r="G651" s="60"/>
      <c r="H651" s="60"/>
      <c r="I651" s="61"/>
      <c r="J651" s="61"/>
      <c r="K651" s="61"/>
      <c r="L651" s="73" t="str">
        <f t="shared" si="51"/>
        <v/>
      </c>
      <c r="M651" s="65" t="str">
        <f t="shared" ca="1" si="52"/>
        <v/>
      </c>
      <c r="N651" s="74" t="str">
        <f>IF($C651="","",IF($C651="TANIMSIZ MÜŞTERİ","—",INDEX(MUSTERILER!$C$7:$C$156,MATCH($C651,MUSTERILER!$B$7:$B$156,0))))</f>
        <v/>
      </c>
      <c r="O651" s="2"/>
      <c r="P651" s="2"/>
      <c r="Q651" s="1" t="str">
        <f>IF($D651="","",$C651&amp;"|"&amp;COUNTIFS($C$7:$C651,$C651))</f>
        <v/>
      </c>
      <c r="R651" s="1" t="str">
        <f t="shared" si="53"/>
        <v/>
      </c>
      <c r="S651" s="1" t="str">
        <f t="shared" si="54"/>
        <v/>
      </c>
      <c r="T651" s="1">
        <f>IF($E651="",0,SUMPRODUCT((AY_SONU!$O$7:$O$42="Evet")*(AY_SONU!$B$7:$B$42=DATE(YEAR($E651),MONTH($E651),1))))</f>
        <v>0</v>
      </c>
    </row>
    <row r="652" spans="1:20" ht="18" customHeight="1" x14ac:dyDescent="0.3">
      <c r="A652" s="2"/>
      <c r="B652" s="65" t="str">
        <f t="shared" si="50"/>
        <v/>
      </c>
      <c r="C652" s="65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66"/>
      <c r="F652" s="67"/>
      <c r="G652" s="60"/>
      <c r="H652" s="60"/>
      <c r="I652" s="61"/>
      <c r="J652" s="61"/>
      <c r="K652" s="61"/>
      <c r="L652" s="73" t="str">
        <f t="shared" si="51"/>
        <v/>
      </c>
      <c r="M652" s="65" t="str">
        <f t="shared" ca="1" si="52"/>
        <v/>
      </c>
      <c r="N652" s="74" t="str">
        <f>IF($C652="","",IF($C652="TANIMSIZ MÜŞTERİ","—",INDEX(MUSTERILER!$C$7:$C$156,MATCH($C652,MUSTERILER!$B$7:$B$156,0))))</f>
        <v/>
      </c>
      <c r="O652" s="2"/>
      <c r="P652" s="2"/>
      <c r="Q652" s="1" t="str">
        <f>IF($D652="","",$C652&amp;"|"&amp;COUNTIFS($C$7:$C652,$C652))</f>
        <v/>
      </c>
      <c r="R652" s="1" t="str">
        <f t="shared" si="53"/>
        <v/>
      </c>
      <c r="S652" s="1" t="str">
        <f t="shared" si="54"/>
        <v/>
      </c>
      <c r="T652" s="1">
        <f>IF($E652="",0,SUMPRODUCT((AY_SONU!$O$7:$O$42="Evet")*(AY_SONU!$B$7:$B$42=DATE(YEAR($E652),MONTH($E652),1))))</f>
        <v>0</v>
      </c>
    </row>
    <row r="653" spans="1:20" ht="18" customHeight="1" x14ac:dyDescent="0.3">
      <c r="A653" s="2"/>
      <c r="B653" s="65" t="str">
        <f t="shared" si="50"/>
        <v/>
      </c>
      <c r="C653" s="65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66"/>
      <c r="F653" s="67"/>
      <c r="G653" s="60"/>
      <c r="H653" s="60"/>
      <c r="I653" s="61"/>
      <c r="J653" s="61"/>
      <c r="K653" s="61"/>
      <c r="L653" s="73" t="str">
        <f t="shared" si="51"/>
        <v/>
      </c>
      <c r="M653" s="65" t="str">
        <f t="shared" ca="1" si="52"/>
        <v/>
      </c>
      <c r="N653" s="74" t="str">
        <f>IF($C653="","",IF($C653="TANIMSIZ MÜŞTERİ","—",INDEX(MUSTERILER!$C$7:$C$156,MATCH($C653,MUSTERILER!$B$7:$B$156,0))))</f>
        <v/>
      </c>
      <c r="O653" s="2"/>
      <c r="P653" s="2"/>
      <c r="Q653" s="1" t="str">
        <f>IF($D653="","",$C653&amp;"|"&amp;COUNTIFS($C$7:$C653,$C653))</f>
        <v/>
      </c>
      <c r="R653" s="1" t="str">
        <f t="shared" si="53"/>
        <v/>
      </c>
      <c r="S653" s="1" t="str">
        <f t="shared" si="54"/>
        <v/>
      </c>
      <c r="T653" s="1">
        <f>IF($E653="",0,SUMPRODUCT((AY_SONU!$O$7:$O$42="Evet")*(AY_SONU!$B$7:$B$42=DATE(YEAR($E653),MONTH($E653),1))))</f>
        <v>0</v>
      </c>
    </row>
    <row r="654" spans="1:20" ht="18" customHeight="1" x14ac:dyDescent="0.3">
      <c r="A654" s="2"/>
      <c r="B654" s="65" t="str">
        <f t="shared" si="50"/>
        <v/>
      </c>
      <c r="C654" s="65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66"/>
      <c r="F654" s="67"/>
      <c r="G654" s="60"/>
      <c r="H654" s="60"/>
      <c r="I654" s="61"/>
      <c r="J654" s="61"/>
      <c r="K654" s="61"/>
      <c r="L654" s="73" t="str">
        <f t="shared" si="51"/>
        <v/>
      </c>
      <c r="M654" s="65" t="str">
        <f t="shared" ca="1" si="52"/>
        <v/>
      </c>
      <c r="N654" s="74" t="str">
        <f>IF($C654="","",IF($C654="TANIMSIZ MÜŞTERİ","—",INDEX(MUSTERILER!$C$7:$C$156,MATCH($C654,MUSTERILER!$B$7:$B$156,0))))</f>
        <v/>
      </c>
      <c r="O654" s="2"/>
      <c r="P654" s="2"/>
      <c r="Q654" s="1" t="str">
        <f>IF($D654="","",$C654&amp;"|"&amp;COUNTIFS($C$7:$C654,$C654))</f>
        <v/>
      </c>
      <c r="R654" s="1" t="str">
        <f t="shared" si="53"/>
        <v/>
      </c>
      <c r="S654" s="1" t="str">
        <f t="shared" si="54"/>
        <v/>
      </c>
      <c r="T654" s="1">
        <f>IF($E654="",0,SUMPRODUCT((AY_SONU!$O$7:$O$42="Evet")*(AY_SONU!$B$7:$B$42=DATE(YEAR($E654),MONTH($E654),1))))</f>
        <v>0</v>
      </c>
    </row>
    <row r="655" spans="1:20" ht="18" customHeight="1" x14ac:dyDescent="0.3">
      <c r="A655" s="2"/>
      <c r="B655" s="65" t="str">
        <f t="shared" si="50"/>
        <v/>
      </c>
      <c r="C655" s="65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66"/>
      <c r="F655" s="67"/>
      <c r="G655" s="60"/>
      <c r="H655" s="60"/>
      <c r="I655" s="61"/>
      <c r="J655" s="61"/>
      <c r="K655" s="61"/>
      <c r="L655" s="73" t="str">
        <f t="shared" si="51"/>
        <v/>
      </c>
      <c r="M655" s="65" t="str">
        <f t="shared" ca="1" si="52"/>
        <v/>
      </c>
      <c r="N655" s="74" t="str">
        <f>IF($C655="","",IF($C655="TANIMSIZ MÜŞTERİ","—",INDEX(MUSTERILER!$C$7:$C$156,MATCH($C655,MUSTERILER!$B$7:$B$156,0))))</f>
        <v/>
      </c>
      <c r="O655" s="2"/>
      <c r="P655" s="2"/>
      <c r="Q655" s="1" t="str">
        <f>IF($D655="","",$C655&amp;"|"&amp;COUNTIFS($C$7:$C655,$C655))</f>
        <v/>
      </c>
      <c r="R655" s="1" t="str">
        <f t="shared" si="53"/>
        <v/>
      </c>
      <c r="S655" s="1" t="str">
        <f t="shared" si="54"/>
        <v/>
      </c>
      <c r="T655" s="1">
        <f>IF($E655="",0,SUMPRODUCT((AY_SONU!$O$7:$O$42="Evet")*(AY_SONU!$B$7:$B$42=DATE(YEAR($E655),MONTH($E655),1))))</f>
        <v>0</v>
      </c>
    </row>
    <row r="656" spans="1:20" ht="18" customHeight="1" x14ac:dyDescent="0.3">
      <c r="A656" s="2"/>
      <c r="B656" s="65" t="str">
        <f t="shared" si="50"/>
        <v/>
      </c>
      <c r="C656" s="65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66"/>
      <c r="F656" s="67"/>
      <c r="G656" s="60"/>
      <c r="H656" s="60"/>
      <c r="I656" s="61"/>
      <c r="J656" s="61"/>
      <c r="K656" s="61"/>
      <c r="L656" s="73" t="str">
        <f t="shared" si="51"/>
        <v/>
      </c>
      <c r="M656" s="65" t="str">
        <f t="shared" ca="1" si="52"/>
        <v/>
      </c>
      <c r="N656" s="74" t="str">
        <f>IF($C656="","",IF($C656="TANIMSIZ MÜŞTERİ","—",INDEX(MUSTERILER!$C$7:$C$156,MATCH($C656,MUSTERILER!$B$7:$B$156,0))))</f>
        <v/>
      </c>
      <c r="O656" s="2"/>
      <c r="P656" s="2"/>
      <c r="Q656" s="1" t="str">
        <f>IF($D656="","",$C656&amp;"|"&amp;COUNTIFS($C$7:$C656,$C656))</f>
        <v/>
      </c>
      <c r="R656" s="1" t="str">
        <f t="shared" si="53"/>
        <v/>
      </c>
      <c r="S656" s="1" t="str">
        <f t="shared" si="54"/>
        <v/>
      </c>
      <c r="T656" s="1">
        <f>IF($E656="",0,SUMPRODUCT((AY_SONU!$O$7:$O$42="Evet")*(AY_SONU!$B$7:$B$42=DATE(YEAR($E656),MONTH($E656),1))))</f>
        <v>0</v>
      </c>
    </row>
    <row r="657" spans="1:20" ht="18" customHeight="1" x14ac:dyDescent="0.3">
      <c r="A657" s="2"/>
      <c r="B657" s="65" t="str">
        <f t="shared" si="50"/>
        <v/>
      </c>
      <c r="C657" s="65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66"/>
      <c r="F657" s="67"/>
      <c r="G657" s="60"/>
      <c r="H657" s="60"/>
      <c r="I657" s="61"/>
      <c r="J657" s="61"/>
      <c r="K657" s="61"/>
      <c r="L657" s="73" t="str">
        <f t="shared" si="51"/>
        <v/>
      </c>
      <c r="M657" s="65" t="str">
        <f t="shared" ca="1" si="52"/>
        <v/>
      </c>
      <c r="N657" s="74" t="str">
        <f>IF($C657="","",IF($C657="TANIMSIZ MÜŞTERİ","—",INDEX(MUSTERILER!$C$7:$C$156,MATCH($C657,MUSTERILER!$B$7:$B$156,0))))</f>
        <v/>
      </c>
      <c r="O657" s="2"/>
      <c r="P657" s="2"/>
      <c r="Q657" s="1" t="str">
        <f>IF($D657="","",$C657&amp;"|"&amp;COUNTIFS($C$7:$C657,$C657))</f>
        <v/>
      </c>
      <c r="R657" s="1" t="str">
        <f t="shared" si="53"/>
        <v/>
      </c>
      <c r="S657" s="1" t="str">
        <f t="shared" si="54"/>
        <v/>
      </c>
      <c r="T657" s="1">
        <f>IF($E657="",0,SUMPRODUCT((AY_SONU!$O$7:$O$42="Evet")*(AY_SONU!$B$7:$B$42=DATE(YEAR($E657),MONTH($E657),1))))</f>
        <v>0</v>
      </c>
    </row>
    <row r="658" spans="1:20" ht="18" customHeight="1" x14ac:dyDescent="0.3">
      <c r="A658" s="2"/>
      <c r="B658" s="65" t="str">
        <f t="shared" si="50"/>
        <v/>
      </c>
      <c r="C658" s="65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66"/>
      <c r="F658" s="67"/>
      <c r="G658" s="60"/>
      <c r="H658" s="60"/>
      <c r="I658" s="61"/>
      <c r="J658" s="61"/>
      <c r="K658" s="61"/>
      <c r="L658" s="73" t="str">
        <f t="shared" si="51"/>
        <v/>
      </c>
      <c r="M658" s="65" t="str">
        <f t="shared" ca="1" si="52"/>
        <v/>
      </c>
      <c r="N658" s="74" t="str">
        <f>IF($C658="","",IF($C658="TANIMSIZ MÜŞTERİ","—",INDEX(MUSTERILER!$C$7:$C$156,MATCH($C658,MUSTERILER!$B$7:$B$156,0))))</f>
        <v/>
      </c>
      <c r="O658" s="2"/>
      <c r="P658" s="2"/>
      <c r="Q658" s="1" t="str">
        <f>IF($D658="","",$C658&amp;"|"&amp;COUNTIFS($C$7:$C658,$C658))</f>
        <v/>
      </c>
      <c r="R658" s="1" t="str">
        <f t="shared" si="53"/>
        <v/>
      </c>
      <c r="S658" s="1" t="str">
        <f t="shared" si="54"/>
        <v/>
      </c>
      <c r="T658" s="1">
        <f>IF($E658="",0,SUMPRODUCT((AY_SONU!$O$7:$O$42="Evet")*(AY_SONU!$B$7:$B$42=DATE(YEAR($E658),MONTH($E658),1))))</f>
        <v>0</v>
      </c>
    </row>
    <row r="659" spans="1:20" ht="18" customHeight="1" x14ac:dyDescent="0.3">
      <c r="A659" s="2"/>
      <c r="B659" s="65" t="str">
        <f t="shared" si="50"/>
        <v/>
      </c>
      <c r="C659" s="65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66"/>
      <c r="F659" s="67"/>
      <c r="G659" s="60"/>
      <c r="H659" s="60"/>
      <c r="I659" s="61"/>
      <c r="J659" s="61"/>
      <c r="K659" s="61"/>
      <c r="L659" s="73" t="str">
        <f t="shared" si="51"/>
        <v/>
      </c>
      <c r="M659" s="65" t="str">
        <f t="shared" ca="1" si="52"/>
        <v/>
      </c>
      <c r="N659" s="74" t="str">
        <f>IF($C659="","",IF($C659="TANIMSIZ MÜŞTERİ","—",INDEX(MUSTERILER!$C$7:$C$156,MATCH($C659,MUSTERILER!$B$7:$B$156,0))))</f>
        <v/>
      </c>
      <c r="O659" s="2"/>
      <c r="P659" s="2"/>
      <c r="Q659" s="1" t="str">
        <f>IF($D659="","",$C659&amp;"|"&amp;COUNTIFS($C$7:$C659,$C659))</f>
        <v/>
      </c>
      <c r="R659" s="1" t="str">
        <f t="shared" si="53"/>
        <v/>
      </c>
      <c r="S659" s="1" t="str">
        <f t="shared" si="54"/>
        <v/>
      </c>
      <c r="T659" s="1">
        <f>IF($E659="",0,SUMPRODUCT((AY_SONU!$O$7:$O$42="Evet")*(AY_SONU!$B$7:$B$42=DATE(YEAR($E659),MONTH($E659),1))))</f>
        <v>0</v>
      </c>
    </row>
    <row r="660" spans="1:20" ht="18" customHeight="1" x14ac:dyDescent="0.3">
      <c r="A660" s="2"/>
      <c r="B660" s="65" t="str">
        <f t="shared" si="50"/>
        <v/>
      </c>
      <c r="C660" s="65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66"/>
      <c r="F660" s="67"/>
      <c r="G660" s="60"/>
      <c r="H660" s="60"/>
      <c r="I660" s="61"/>
      <c r="J660" s="61"/>
      <c r="K660" s="61"/>
      <c r="L660" s="73" t="str">
        <f t="shared" si="51"/>
        <v/>
      </c>
      <c r="M660" s="65" t="str">
        <f t="shared" ca="1" si="52"/>
        <v/>
      </c>
      <c r="N660" s="74" t="str">
        <f>IF($C660="","",IF($C660="TANIMSIZ MÜŞTERİ","—",INDEX(MUSTERILER!$C$7:$C$156,MATCH($C660,MUSTERILER!$B$7:$B$156,0))))</f>
        <v/>
      </c>
      <c r="O660" s="2"/>
      <c r="P660" s="2"/>
      <c r="Q660" s="1" t="str">
        <f>IF($D660="","",$C660&amp;"|"&amp;COUNTIFS($C$7:$C660,$C660))</f>
        <v/>
      </c>
      <c r="R660" s="1" t="str">
        <f t="shared" si="53"/>
        <v/>
      </c>
      <c r="S660" s="1" t="str">
        <f t="shared" si="54"/>
        <v/>
      </c>
      <c r="T660" s="1">
        <f>IF($E660="",0,SUMPRODUCT((AY_SONU!$O$7:$O$42="Evet")*(AY_SONU!$B$7:$B$42=DATE(YEAR($E660),MONTH($E660),1))))</f>
        <v>0</v>
      </c>
    </row>
    <row r="661" spans="1:20" ht="18" customHeight="1" x14ac:dyDescent="0.3">
      <c r="A661" s="2"/>
      <c r="B661" s="65" t="str">
        <f t="shared" si="50"/>
        <v/>
      </c>
      <c r="C661" s="65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66"/>
      <c r="F661" s="67"/>
      <c r="G661" s="60"/>
      <c r="H661" s="60"/>
      <c r="I661" s="61"/>
      <c r="J661" s="61"/>
      <c r="K661" s="61"/>
      <c r="L661" s="73" t="str">
        <f t="shared" si="51"/>
        <v/>
      </c>
      <c r="M661" s="65" t="str">
        <f t="shared" ca="1" si="52"/>
        <v/>
      </c>
      <c r="N661" s="74" t="str">
        <f>IF($C661="","",IF($C661="TANIMSIZ MÜŞTERİ","—",INDEX(MUSTERILER!$C$7:$C$156,MATCH($C661,MUSTERILER!$B$7:$B$156,0))))</f>
        <v/>
      </c>
      <c r="O661" s="2"/>
      <c r="P661" s="2"/>
      <c r="Q661" s="1" t="str">
        <f>IF($D661="","",$C661&amp;"|"&amp;COUNTIFS($C$7:$C661,$C661))</f>
        <v/>
      </c>
      <c r="R661" s="1" t="str">
        <f t="shared" si="53"/>
        <v/>
      </c>
      <c r="S661" s="1" t="str">
        <f t="shared" si="54"/>
        <v/>
      </c>
      <c r="T661" s="1">
        <f>IF($E661="",0,SUMPRODUCT((AY_SONU!$O$7:$O$42="Evet")*(AY_SONU!$B$7:$B$42=DATE(YEAR($E661),MONTH($E661),1))))</f>
        <v>0</v>
      </c>
    </row>
    <row r="662" spans="1:20" ht="18" customHeight="1" x14ac:dyDescent="0.3">
      <c r="A662" s="2"/>
      <c r="B662" s="65" t="str">
        <f t="shared" si="50"/>
        <v/>
      </c>
      <c r="C662" s="65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66"/>
      <c r="F662" s="67"/>
      <c r="G662" s="60"/>
      <c r="H662" s="60"/>
      <c r="I662" s="61"/>
      <c r="J662" s="61"/>
      <c r="K662" s="61"/>
      <c r="L662" s="73" t="str">
        <f t="shared" si="51"/>
        <v/>
      </c>
      <c r="M662" s="65" t="str">
        <f t="shared" ca="1" si="52"/>
        <v/>
      </c>
      <c r="N662" s="74" t="str">
        <f>IF($C662="","",IF($C662="TANIMSIZ MÜŞTERİ","—",INDEX(MUSTERILER!$C$7:$C$156,MATCH($C662,MUSTERILER!$B$7:$B$156,0))))</f>
        <v/>
      </c>
      <c r="O662" s="2"/>
      <c r="P662" s="2"/>
      <c r="Q662" s="1" t="str">
        <f>IF($D662="","",$C662&amp;"|"&amp;COUNTIFS($C$7:$C662,$C662))</f>
        <v/>
      </c>
      <c r="R662" s="1" t="str">
        <f t="shared" si="53"/>
        <v/>
      </c>
      <c r="S662" s="1" t="str">
        <f t="shared" si="54"/>
        <v/>
      </c>
      <c r="T662" s="1">
        <f>IF($E662="",0,SUMPRODUCT((AY_SONU!$O$7:$O$42="Evet")*(AY_SONU!$B$7:$B$42=DATE(YEAR($E662),MONTH($E662),1))))</f>
        <v>0</v>
      </c>
    </row>
    <row r="663" spans="1:20" ht="18" customHeight="1" x14ac:dyDescent="0.3">
      <c r="A663" s="2"/>
      <c r="B663" s="65" t="str">
        <f t="shared" si="50"/>
        <v/>
      </c>
      <c r="C663" s="65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66"/>
      <c r="F663" s="67"/>
      <c r="G663" s="60"/>
      <c r="H663" s="60"/>
      <c r="I663" s="61"/>
      <c r="J663" s="61"/>
      <c r="K663" s="61"/>
      <c r="L663" s="73" t="str">
        <f t="shared" si="51"/>
        <v/>
      </c>
      <c r="M663" s="65" t="str">
        <f t="shared" ca="1" si="52"/>
        <v/>
      </c>
      <c r="N663" s="74" t="str">
        <f>IF($C663="","",IF($C663="TANIMSIZ MÜŞTERİ","—",INDEX(MUSTERILER!$C$7:$C$156,MATCH($C663,MUSTERILER!$B$7:$B$156,0))))</f>
        <v/>
      </c>
      <c r="O663" s="2"/>
      <c r="P663" s="2"/>
      <c r="Q663" s="1" t="str">
        <f>IF($D663="","",$C663&amp;"|"&amp;COUNTIFS($C$7:$C663,$C663))</f>
        <v/>
      </c>
      <c r="R663" s="1" t="str">
        <f t="shared" si="53"/>
        <v/>
      </c>
      <c r="S663" s="1" t="str">
        <f t="shared" si="54"/>
        <v/>
      </c>
      <c r="T663" s="1">
        <f>IF($E663="",0,SUMPRODUCT((AY_SONU!$O$7:$O$42="Evet")*(AY_SONU!$B$7:$B$42=DATE(YEAR($E663),MONTH($E663),1))))</f>
        <v>0</v>
      </c>
    </row>
    <row r="664" spans="1:20" ht="18" customHeight="1" x14ac:dyDescent="0.3">
      <c r="A664" s="2"/>
      <c r="B664" s="65" t="str">
        <f t="shared" si="50"/>
        <v/>
      </c>
      <c r="C664" s="65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66"/>
      <c r="F664" s="67"/>
      <c r="G664" s="60"/>
      <c r="H664" s="60"/>
      <c r="I664" s="61"/>
      <c r="J664" s="61"/>
      <c r="K664" s="61"/>
      <c r="L664" s="73" t="str">
        <f t="shared" si="51"/>
        <v/>
      </c>
      <c r="M664" s="65" t="str">
        <f t="shared" ca="1" si="52"/>
        <v/>
      </c>
      <c r="N664" s="74" t="str">
        <f>IF($C664="","",IF($C664="TANIMSIZ MÜŞTERİ","—",INDEX(MUSTERILER!$C$7:$C$156,MATCH($C664,MUSTERILER!$B$7:$B$156,0))))</f>
        <v/>
      </c>
      <c r="O664" s="2"/>
      <c r="P664" s="2"/>
      <c r="Q664" s="1" t="str">
        <f>IF($D664="","",$C664&amp;"|"&amp;COUNTIFS($C$7:$C664,$C664))</f>
        <v/>
      </c>
      <c r="R664" s="1" t="str">
        <f t="shared" si="53"/>
        <v/>
      </c>
      <c r="S664" s="1" t="str">
        <f t="shared" si="54"/>
        <v/>
      </c>
      <c r="T664" s="1">
        <f>IF($E664="",0,SUMPRODUCT((AY_SONU!$O$7:$O$42="Evet")*(AY_SONU!$B$7:$B$42=DATE(YEAR($E664),MONTH($E664),1))))</f>
        <v>0</v>
      </c>
    </row>
    <row r="665" spans="1:20" ht="18" customHeight="1" x14ac:dyDescent="0.3">
      <c r="A665" s="2"/>
      <c r="B665" s="65" t="str">
        <f t="shared" si="50"/>
        <v/>
      </c>
      <c r="C665" s="65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66"/>
      <c r="F665" s="67"/>
      <c r="G665" s="60"/>
      <c r="H665" s="60"/>
      <c r="I665" s="61"/>
      <c r="J665" s="61"/>
      <c r="K665" s="61"/>
      <c r="L665" s="73" t="str">
        <f t="shared" si="51"/>
        <v/>
      </c>
      <c r="M665" s="65" t="str">
        <f t="shared" ca="1" si="52"/>
        <v/>
      </c>
      <c r="N665" s="74" t="str">
        <f>IF($C665="","",IF($C665="TANIMSIZ MÜŞTERİ","—",INDEX(MUSTERILER!$C$7:$C$156,MATCH($C665,MUSTERILER!$B$7:$B$156,0))))</f>
        <v/>
      </c>
      <c r="O665" s="2"/>
      <c r="P665" s="2"/>
      <c r="Q665" s="1" t="str">
        <f>IF($D665="","",$C665&amp;"|"&amp;COUNTIFS($C$7:$C665,$C665))</f>
        <v/>
      </c>
      <c r="R665" s="1" t="str">
        <f t="shared" si="53"/>
        <v/>
      </c>
      <c r="S665" s="1" t="str">
        <f t="shared" si="54"/>
        <v/>
      </c>
      <c r="T665" s="1">
        <f>IF($E665="",0,SUMPRODUCT((AY_SONU!$O$7:$O$42="Evet")*(AY_SONU!$B$7:$B$42=DATE(YEAR($E665),MONTH($E665),1))))</f>
        <v>0</v>
      </c>
    </row>
    <row r="666" spans="1:20" ht="18" customHeight="1" x14ac:dyDescent="0.3">
      <c r="A666" s="2"/>
      <c r="B666" s="65" t="str">
        <f t="shared" si="50"/>
        <v/>
      </c>
      <c r="C666" s="65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66"/>
      <c r="F666" s="67"/>
      <c r="G666" s="60"/>
      <c r="H666" s="60"/>
      <c r="I666" s="61"/>
      <c r="J666" s="61"/>
      <c r="K666" s="61"/>
      <c r="L666" s="73" t="str">
        <f t="shared" si="51"/>
        <v/>
      </c>
      <c r="M666" s="65" t="str">
        <f t="shared" ca="1" si="52"/>
        <v/>
      </c>
      <c r="N666" s="74" t="str">
        <f>IF($C666="","",IF($C666="TANIMSIZ MÜŞTERİ","—",INDEX(MUSTERILER!$C$7:$C$156,MATCH($C666,MUSTERILER!$B$7:$B$156,0))))</f>
        <v/>
      </c>
      <c r="O666" s="2"/>
      <c r="P666" s="2"/>
      <c r="Q666" s="1" t="str">
        <f>IF($D666="","",$C666&amp;"|"&amp;COUNTIFS($C$7:$C666,$C666))</f>
        <v/>
      </c>
      <c r="R666" s="1" t="str">
        <f t="shared" si="53"/>
        <v/>
      </c>
      <c r="S666" s="1" t="str">
        <f t="shared" si="54"/>
        <v/>
      </c>
      <c r="T666" s="1">
        <f>IF($E666="",0,SUMPRODUCT((AY_SONU!$O$7:$O$42="Evet")*(AY_SONU!$B$7:$B$42=DATE(YEAR($E666),MONTH($E666),1))))</f>
        <v>0</v>
      </c>
    </row>
    <row r="667" spans="1:20" ht="18" customHeight="1" x14ac:dyDescent="0.3">
      <c r="A667" s="2"/>
      <c r="B667" s="65" t="str">
        <f t="shared" si="50"/>
        <v/>
      </c>
      <c r="C667" s="65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66"/>
      <c r="F667" s="67"/>
      <c r="G667" s="60"/>
      <c r="H667" s="60"/>
      <c r="I667" s="61"/>
      <c r="J667" s="61"/>
      <c r="K667" s="61"/>
      <c r="L667" s="73" t="str">
        <f t="shared" si="51"/>
        <v/>
      </c>
      <c r="M667" s="65" t="str">
        <f t="shared" ca="1" si="52"/>
        <v/>
      </c>
      <c r="N667" s="74" t="str">
        <f>IF($C667="","",IF($C667="TANIMSIZ MÜŞTERİ","—",INDEX(MUSTERILER!$C$7:$C$156,MATCH($C667,MUSTERILER!$B$7:$B$156,0))))</f>
        <v/>
      </c>
      <c r="O667" s="2"/>
      <c r="P667" s="2"/>
      <c r="Q667" s="1" t="str">
        <f>IF($D667="","",$C667&amp;"|"&amp;COUNTIFS($C$7:$C667,$C667))</f>
        <v/>
      </c>
      <c r="R667" s="1" t="str">
        <f t="shared" si="53"/>
        <v/>
      </c>
      <c r="S667" s="1" t="str">
        <f t="shared" si="54"/>
        <v/>
      </c>
      <c r="T667" s="1">
        <f>IF($E667="",0,SUMPRODUCT((AY_SONU!$O$7:$O$42="Evet")*(AY_SONU!$B$7:$B$42=DATE(YEAR($E667),MONTH($E667),1))))</f>
        <v>0</v>
      </c>
    </row>
    <row r="668" spans="1:20" ht="18" customHeight="1" x14ac:dyDescent="0.3">
      <c r="A668" s="2"/>
      <c r="B668" s="65" t="str">
        <f t="shared" si="50"/>
        <v/>
      </c>
      <c r="C668" s="65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66"/>
      <c r="F668" s="67"/>
      <c r="G668" s="60"/>
      <c r="H668" s="60"/>
      <c r="I668" s="61"/>
      <c r="J668" s="61"/>
      <c r="K668" s="61"/>
      <c r="L668" s="73" t="str">
        <f t="shared" si="51"/>
        <v/>
      </c>
      <c r="M668" s="65" t="str">
        <f t="shared" ca="1" si="52"/>
        <v/>
      </c>
      <c r="N668" s="74" t="str">
        <f>IF($C668="","",IF($C668="TANIMSIZ MÜŞTERİ","—",INDEX(MUSTERILER!$C$7:$C$156,MATCH($C668,MUSTERILER!$B$7:$B$156,0))))</f>
        <v/>
      </c>
      <c r="O668" s="2"/>
      <c r="P668" s="2"/>
      <c r="Q668" s="1" t="str">
        <f>IF($D668="","",$C668&amp;"|"&amp;COUNTIFS($C$7:$C668,$C668))</f>
        <v/>
      </c>
      <c r="R668" s="1" t="str">
        <f t="shared" si="53"/>
        <v/>
      </c>
      <c r="S668" s="1" t="str">
        <f t="shared" si="54"/>
        <v/>
      </c>
      <c r="T668" s="1">
        <f>IF($E668="",0,SUMPRODUCT((AY_SONU!$O$7:$O$42="Evet")*(AY_SONU!$B$7:$B$42=DATE(YEAR($E668),MONTH($E668),1))))</f>
        <v>0</v>
      </c>
    </row>
    <row r="669" spans="1:20" ht="18" customHeight="1" x14ac:dyDescent="0.3">
      <c r="A669" s="2"/>
      <c r="B669" s="65" t="str">
        <f t="shared" si="50"/>
        <v/>
      </c>
      <c r="C669" s="65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66"/>
      <c r="F669" s="67"/>
      <c r="G669" s="60"/>
      <c r="H669" s="60"/>
      <c r="I669" s="61"/>
      <c r="J669" s="61"/>
      <c r="K669" s="61"/>
      <c r="L669" s="73" t="str">
        <f t="shared" si="51"/>
        <v/>
      </c>
      <c r="M669" s="65" t="str">
        <f t="shared" ca="1" si="52"/>
        <v/>
      </c>
      <c r="N669" s="74" t="str">
        <f>IF($C669="","",IF($C669="TANIMSIZ MÜŞTERİ","—",INDEX(MUSTERILER!$C$7:$C$156,MATCH($C669,MUSTERILER!$B$7:$B$156,0))))</f>
        <v/>
      </c>
      <c r="O669" s="2"/>
      <c r="P669" s="2"/>
      <c r="Q669" s="1" t="str">
        <f>IF($D669="","",$C669&amp;"|"&amp;COUNTIFS($C$7:$C669,$C669))</f>
        <v/>
      </c>
      <c r="R669" s="1" t="str">
        <f t="shared" si="53"/>
        <v/>
      </c>
      <c r="S669" s="1" t="str">
        <f t="shared" si="54"/>
        <v/>
      </c>
      <c r="T669" s="1">
        <f>IF($E669="",0,SUMPRODUCT((AY_SONU!$O$7:$O$42="Evet")*(AY_SONU!$B$7:$B$42=DATE(YEAR($E669),MONTH($E669),1))))</f>
        <v>0</v>
      </c>
    </row>
    <row r="670" spans="1:20" ht="18" customHeight="1" x14ac:dyDescent="0.3">
      <c r="A670" s="2"/>
      <c r="B670" s="65" t="str">
        <f t="shared" si="50"/>
        <v/>
      </c>
      <c r="C670" s="65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66"/>
      <c r="F670" s="67"/>
      <c r="G670" s="60"/>
      <c r="H670" s="60"/>
      <c r="I670" s="61"/>
      <c r="J670" s="61"/>
      <c r="K670" s="61"/>
      <c r="L670" s="73" t="str">
        <f t="shared" si="51"/>
        <v/>
      </c>
      <c r="M670" s="65" t="str">
        <f t="shared" ca="1" si="52"/>
        <v/>
      </c>
      <c r="N670" s="74" t="str">
        <f>IF($C670="","",IF($C670="TANIMSIZ MÜŞTERİ","—",INDEX(MUSTERILER!$C$7:$C$156,MATCH($C670,MUSTERILER!$B$7:$B$156,0))))</f>
        <v/>
      </c>
      <c r="O670" s="2"/>
      <c r="P670" s="2"/>
      <c r="Q670" s="1" t="str">
        <f>IF($D670="","",$C670&amp;"|"&amp;COUNTIFS($C$7:$C670,$C670))</f>
        <v/>
      </c>
      <c r="R670" s="1" t="str">
        <f t="shared" si="53"/>
        <v/>
      </c>
      <c r="S670" s="1" t="str">
        <f t="shared" si="54"/>
        <v/>
      </c>
      <c r="T670" s="1">
        <f>IF($E670="",0,SUMPRODUCT((AY_SONU!$O$7:$O$42="Evet")*(AY_SONU!$B$7:$B$42=DATE(YEAR($E670),MONTH($E670),1))))</f>
        <v>0</v>
      </c>
    </row>
    <row r="671" spans="1:20" ht="18" customHeight="1" x14ac:dyDescent="0.3">
      <c r="A671" s="2"/>
      <c r="B671" s="65" t="str">
        <f t="shared" si="50"/>
        <v/>
      </c>
      <c r="C671" s="65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66"/>
      <c r="F671" s="67"/>
      <c r="G671" s="60"/>
      <c r="H671" s="60"/>
      <c r="I671" s="61"/>
      <c r="J671" s="61"/>
      <c r="K671" s="61"/>
      <c r="L671" s="73" t="str">
        <f t="shared" si="51"/>
        <v/>
      </c>
      <c r="M671" s="65" t="str">
        <f t="shared" ca="1" si="52"/>
        <v/>
      </c>
      <c r="N671" s="74" t="str">
        <f>IF($C671="","",IF($C671="TANIMSIZ MÜŞTERİ","—",INDEX(MUSTERILER!$C$7:$C$156,MATCH($C671,MUSTERILER!$B$7:$B$156,0))))</f>
        <v/>
      </c>
      <c r="O671" s="2"/>
      <c r="P671" s="2"/>
      <c r="Q671" s="1" t="str">
        <f>IF($D671="","",$C671&amp;"|"&amp;COUNTIFS($C$7:$C671,$C671))</f>
        <v/>
      </c>
      <c r="R671" s="1" t="str">
        <f t="shared" si="53"/>
        <v/>
      </c>
      <c r="S671" s="1" t="str">
        <f t="shared" si="54"/>
        <v/>
      </c>
      <c r="T671" s="1">
        <f>IF($E671="",0,SUMPRODUCT((AY_SONU!$O$7:$O$42="Evet")*(AY_SONU!$B$7:$B$42=DATE(YEAR($E671),MONTH($E671),1))))</f>
        <v>0</v>
      </c>
    </row>
    <row r="672" spans="1:20" ht="18" customHeight="1" x14ac:dyDescent="0.3">
      <c r="A672" s="2"/>
      <c r="B672" s="65" t="str">
        <f t="shared" si="50"/>
        <v/>
      </c>
      <c r="C672" s="65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66"/>
      <c r="F672" s="67"/>
      <c r="G672" s="60"/>
      <c r="H672" s="60"/>
      <c r="I672" s="61"/>
      <c r="J672" s="61"/>
      <c r="K672" s="61"/>
      <c r="L672" s="73" t="str">
        <f t="shared" si="51"/>
        <v/>
      </c>
      <c r="M672" s="65" t="str">
        <f t="shared" ca="1" si="52"/>
        <v/>
      </c>
      <c r="N672" s="74" t="str">
        <f>IF($C672="","",IF($C672="TANIMSIZ MÜŞTERİ","—",INDEX(MUSTERILER!$C$7:$C$156,MATCH($C672,MUSTERILER!$B$7:$B$156,0))))</f>
        <v/>
      </c>
      <c r="O672" s="2"/>
      <c r="P672" s="2"/>
      <c r="Q672" s="1" t="str">
        <f>IF($D672="","",$C672&amp;"|"&amp;COUNTIFS($C$7:$C672,$C672))</f>
        <v/>
      </c>
      <c r="R672" s="1" t="str">
        <f t="shared" si="53"/>
        <v/>
      </c>
      <c r="S672" s="1" t="str">
        <f t="shared" si="54"/>
        <v/>
      </c>
      <c r="T672" s="1">
        <f>IF($E672="",0,SUMPRODUCT((AY_SONU!$O$7:$O$42="Evet")*(AY_SONU!$B$7:$B$42=DATE(YEAR($E672),MONTH($E672),1))))</f>
        <v>0</v>
      </c>
    </row>
    <row r="673" spans="1:20" ht="18" customHeight="1" x14ac:dyDescent="0.3">
      <c r="A673" s="2"/>
      <c r="B673" s="65" t="str">
        <f t="shared" si="50"/>
        <v/>
      </c>
      <c r="C673" s="65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66"/>
      <c r="F673" s="67"/>
      <c r="G673" s="60"/>
      <c r="H673" s="60"/>
      <c r="I673" s="61"/>
      <c r="J673" s="61"/>
      <c r="K673" s="61"/>
      <c r="L673" s="73" t="str">
        <f t="shared" si="51"/>
        <v/>
      </c>
      <c r="M673" s="65" t="str">
        <f t="shared" ca="1" si="52"/>
        <v/>
      </c>
      <c r="N673" s="74" t="str">
        <f>IF($C673="","",IF($C673="TANIMSIZ MÜŞTERİ","—",INDEX(MUSTERILER!$C$7:$C$156,MATCH($C673,MUSTERILER!$B$7:$B$156,0))))</f>
        <v/>
      </c>
      <c r="O673" s="2"/>
      <c r="P673" s="2"/>
      <c r="Q673" s="1" t="str">
        <f>IF($D673="","",$C673&amp;"|"&amp;COUNTIFS($C$7:$C673,$C673))</f>
        <v/>
      </c>
      <c r="R673" s="1" t="str">
        <f t="shared" si="53"/>
        <v/>
      </c>
      <c r="S673" s="1" t="str">
        <f t="shared" si="54"/>
        <v/>
      </c>
      <c r="T673" s="1">
        <f>IF($E673="",0,SUMPRODUCT((AY_SONU!$O$7:$O$42="Evet")*(AY_SONU!$B$7:$B$42=DATE(YEAR($E673),MONTH($E673),1))))</f>
        <v>0</v>
      </c>
    </row>
    <row r="674" spans="1:20" ht="18" customHeight="1" x14ac:dyDescent="0.3">
      <c r="A674" s="2"/>
      <c r="B674" s="65" t="str">
        <f t="shared" si="50"/>
        <v/>
      </c>
      <c r="C674" s="65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66"/>
      <c r="F674" s="67"/>
      <c r="G674" s="60"/>
      <c r="H674" s="60"/>
      <c r="I674" s="61"/>
      <c r="J674" s="61"/>
      <c r="K674" s="61"/>
      <c r="L674" s="73" t="str">
        <f t="shared" si="51"/>
        <v/>
      </c>
      <c r="M674" s="65" t="str">
        <f t="shared" ca="1" si="52"/>
        <v/>
      </c>
      <c r="N674" s="74" t="str">
        <f>IF($C674="","",IF($C674="TANIMSIZ MÜŞTERİ","—",INDEX(MUSTERILER!$C$7:$C$156,MATCH($C674,MUSTERILER!$B$7:$B$156,0))))</f>
        <v/>
      </c>
      <c r="O674" s="2"/>
      <c r="P674" s="2"/>
      <c r="Q674" s="1" t="str">
        <f>IF($D674="","",$C674&amp;"|"&amp;COUNTIFS($C$7:$C674,$C674))</f>
        <v/>
      </c>
      <c r="R674" s="1" t="str">
        <f t="shared" si="53"/>
        <v/>
      </c>
      <c r="S674" s="1" t="str">
        <f t="shared" si="54"/>
        <v/>
      </c>
      <c r="T674" s="1">
        <f>IF($E674="",0,SUMPRODUCT((AY_SONU!$O$7:$O$42="Evet")*(AY_SONU!$B$7:$B$42=DATE(YEAR($E674),MONTH($E674),1))))</f>
        <v>0</v>
      </c>
    </row>
    <row r="675" spans="1:20" ht="18" customHeight="1" x14ac:dyDescent="0.3">
      <c r="A675" s="2"/>
      <c r="B675" s="65" t="str">
        <f t="shared" si="50"/>
        <v/>
      </c>
      <c r="C675" s="65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66"/>
      <c r="F675" s="67"/>
      <c r="G675" s="60"/>
      <c r="H675" s="60"/>
      <c r="I675" s="61"/>
      <c r="J675" s="61"/>
      <c r="K675" s="61"/>
      <c r="L675" s="73" t="str">
        <f t="shared" si="51"/>
        <v/>
      </c>
      <c r="M675" s="65" t="str">
        <f t="shared" ca="1" si="52"/>
        <v/>
      </c>
      <c r="N675" s="74" t="str">
        <f>IF($C675="","",IF($C675="TANIMSIZ MÜŞTERİ","—",INDEX(MUSTERILER!$C$7:$C$156,MATCH($C675,MUSTERILER!$B$7:$B$156,0))))</f>
        <v/>
      </c>
      <c r="O675" s="2"/>
      <c r="P675" s="2"/>
      <c r="Q675" s="1" t="str">
        <f>IF($D675="","",$C675&amp;"|"&amp;COUNTIFS($C$7:$C675,$C675))</f>
        <v/>
      </c>
      <c r="R675" s="1" t="str">
        <f t="shared" si="53"/>
        <v/>
      </c>
      <c r="S675" s="1" t="str">
        <f t="shared" si="54"/>
        <v/>
      </c>
      <c r="T675" s="1">
        <f>IF($E675="",0,SUMPRODUCT((AY_SONU!$O$7:$O$42="Evet")*(AY_SONU!$B$7:$B$42=DATE(YEAR($E675),MONTH($E675),1))))</f>
        <v>0</v>
      </c>
    </row>
    <row r="676" spans="1:20" ht="18" customHeight="1" x14ac:dyDescent="0.3">
      <c r="A676" s="2"/>
      <c r="B676" s="65" t="str">
        <f t="shared" si="50"/>
        <v/>
      </c>
      <c r="C676" s="65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66"/>
      <c r="F676" s="67"/>
      <c r="G676" s="60"/>
      <c r="H676" s="60"/>
      <c r="I676" s="61"/>
      <c r="J676" s="61"/>
      <c r="K676" s="61"/>
      <c r="L676" s="73" t="str">
        <f t="shared" si="51"/>
        <v/>
      </c>
      <c r="M676" s="65" t="str">
        <f t="shared" ca="1" si="52"/>
        <v/>
      </c>
      <c r="N676" s="74" t="str">
        <f>IF($C676="","",IF($C676="TANIMSIZ MÜŞTERİ","—",INDEX(MUSTERILER!$C$7:$C$156,MATCH($C676,MUSTERILER!$B$7:$B$156,0))))</f>
        <v/>
      </c>
      <c r="O676" s="2"/>
      <c r="P676" s="2"/>
      <c r="Q676" s="1" t="str">
        <f>IF($D676="","",$C676&amp;"|"&amp;COUNTIFS($C$7:$C676,$C676))</f>
        <v/>
      </c>
      <c r="R676" s="1" t="str">
        <f t="shared" si="53"/>
        <v/>
      </c>
      <c r="S676" s="1" t="str">
        <f t="shared" si="54"/>
        <v/>
      </c>
      <c r="T676" s="1">
        <f>IF($E676="",0,SUMPRODUCT((AY_SONU!$O$7:$O$42="Evet")*(AY_SONU!$B$7:$B$42=DATE(YEAR($E676),MONTH($E676),1))))</f>
        <v>0</v>
      </c>
    </row>
    <row r="677" spans="1:20" ht="18" customHeight="1" x14ac:dyDescent="0.3">
      <c r="A677" s="2"/>
      <c r="B677" s="65" t="str">
        <f t="shared" si="50"/>
        <v/>
      </c>
      <c r="C677" s="65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66"/>
      <c r="F677" s="67"/>
      <c r="G677" s="60"/>
      <c r="H677" s="60"/>
      <c r="I677" s="61"/>
      <c r="J677" s="61"/>
      <c r="K677" s="61"/>
      <c r="L677" s="73" t="str">
        <f t="shared" si="51"/>
        <v/>
      </c>
      <c r="M677" s="65" t="str">
        <f t="shared" ca="1" si="52"/>
        <v/>
      </c>
      <c r="N677" s="74" t="str">
        <f>IF($C677="","",IF($C677="TANIMSIZ MÜŞTERİ","—",INDEX(MUSTERILER!$C$7:$C$156,MATCH($C677,MUSTERILER!$B$7:$B$156,0))))</f>
        <v/>
      </c>
      <c r="O677" s="2"/>
      <c r="P677" s="2"/>
      <c r="Q677" s="1" t="str">
        <f>IF($D677="","",$C677&amp;"|"&amp;COUNTIFS($C$7:$C677,$C677))</f>
        <v/>
      </c>
      <c r="R677" s="1" t="str">
        <f t="shared" si="53"/>
        <v/>
      </c>
      <c r="S677" s="1" t="str">
        <f t="shared" si="54"/>
        <v/>
      </c>
      <c r="T677" s="1">
        <f>IF($E677="",0,SUMPRODUCT((AY_SONU!$O$7:$O$42="Evet")*(AY_SONU!$B$7:$B$42=DATE(YEAR($E677),MONTH($E677),1))))</f>
        <v>0</v>
      </c>
    </row>
    <row r="678" spans="1:20" ht="18" customHeight="1" x14ac:dyDescent="0.3">
      <c r="A678" s="2"/>
      <c r="B678" s="65" t="str">
        <f t="shared" si="50"/>
        <v/>
      </c>
      <c r="C678" s="65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66"/>
      <c r="F678" s="67"/>
      <c r="G678" s="60"/>
      <c r="H678" s="60"/>
      <c r="I678" s="61"/>
      <c r="J678" s="61"/>
      <c r="K678" s="61"/>
      <c r="L678" s="73" t="str">
        <f t="shared" si="51"/>
        <v/>
      </c>
      <c r="M678" s="65" t="str">
        <f t="shared" ca="1" si="52"/>
        <v/>
      </c>
      <c r="N678" s="74" t="str">
        <f>IF($C678="","",IF($C678="TANIMSIZ MÜŞTERİ","—",INDEX(MUSTERILER!$C$7:$C$156,MATCH($C678,MUSTERILER!$B$7:$B$156,0))))</f>
        <v/>
      </c>
      <c r="O678" s="2"/>
      <c r="P678" s="2"/>
      <c r="Q678" s="1" t="str">
        <f>IF($D678="","",$C678&amp;"|"&amp;COUNTIFS($C$7:$C678,$C678))</f>
        <v/>
      </c>
      <c r="R678" s="1" t="str">
        <f t="shared" si="53"/>
        <v/>
      </c>
      <c r="S678" s="1" t="str">
        <f t="shared" si="54"/>
        <v/>
      </c>
      <c r="T678" s="1">
        <f>IF($E678="",0,SUMPRODUCT((AY_SONU!$O$7:$O$42="Evet")*(AY_SONU!$B$7:$B$42=DATE(YEAR($E678),MONTH($E678),1))))</f>
        <v>0</v>
      </c>
    </row>
    <row r="679" spans="1:20" ht="18" customHeight="1" x14ac:dyDescent="0.3">
      <c r="A679" s="2"/>
      <c r="B679" s="65" t="str">
        <f t="shared" si="50"/>
        <v/>
      </c>
      <c r="C679" s="65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66"/>
      <c r="F679" s="67"/>
      <c r="G679" s="60"/>
      <c r="H679" s="60"/>
      <c r="I679" s="61"/>
      <c r="J679" s="61"/>
      <c r="K679" s="61"/>
      <c r="L679" s="73" t="str">
        <f t="shared" si="51"/>
        <v/>
      </c>
      <c r="M679" s="65" t="str">
        <f t="shared" ca="1" si="52"/>
        <v/>
      </c>
      <c r="N679" s="74" t="str">
        <f>IF($C679="","",IF($C679="TANIMSIZ MÜŞTERİ","—",INDEX(MUSTERILER!$C$7:$C$156,MATCH($C679,MUSTERILER!$B$7:$B$156,0))))</f>
        <v/>
      </c>
      <c r="O679" s="2"/>
      <c r="P679" s="2"/>
      <c r="Q679" s="1" t="str">
        <f>IF($D679="","",$C679&amp;"|"&amp;COUNTIFS($C$7:$C679,$C679))</f>
        <v/>
      </c>
      <c r="R679" s="1" t="str">
        <f t="shared" si="53"/>
        <v/>
      </c>
      <c r="S679" s="1" t="str">
        <f t="shared" si="54"/>
        <v/>
      </c>
      <c r="T679" s="1">
        <f>IF($E679="",0,SUMPRODUCT((AY_SONU!$O$7:$O$42="Evet")*(AY_SONU!$B$7:$B$42=DATE(YEAR($E679),MONTH($E679),1))))</f>
        <v>0</v>
      </c>
    </row>
    <row r="680" spans="1:20" ht="18" customHeight="1" x14ac:dyDescent="0.3">
      <c r="A680" s="2"/>
      <c r="B680" s="65" t="str">
        <f t="shared" si="50"/>
        <v/>
      </c>
      <c r="C680" s="65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66"/>
      <c r="F680" s="67"/>
      <c r="G680" s="60"/>
      <c r="H680" s="60"/>
      <c r="I680" s="61"/>
      <c r="J680" s="61"/>
      <c r="K680" s="61"/>
      <c r="L680" s="73" t="str">
        <f t="shared" si="51"/>
        <v/>
      </c>
      <c r="M680" s="65" t="str">
        <f t="shared" ca="1" si="52"/>
        <v/>
      </c>
      <c r="N680" s="74" t="str">
        <f>IF($C680="","",IF($C680="TANIMSIZ MÜŞTERİ","—",INDEX(MUSTERILER!$C$7:$C$156,MATCH($C680,MUSTERILER!$B$7:$B$156,0))))</f>
        <v/>
      </c>
      <c r="O680" s="2"/>
      <c r="P680" s="2"/>
      <c r="Q680" s="1" t="str">
        <f>IF($D680="","",$C680&amp;"|"&amp;COUNTIFS($C$7:$C680,$C680))</f>
        <v/>
      </c>
      <c r="R680" s="1" t="str">
        <f t="shared" si="53"/>
        <v/>
      </c>
      <c r="S680" s="1" t="str">
        <f t="shared" si="54"/>
        <v/>
      </c>
      <c r="T680" s="1">
        <f>IF($E680="",0,SUMPRODUCT((AY_SONU!$O$7:$O$42="Evet")*(AY_SONU!$B$7:$B$42=DATE(YEAR($E680),MONTH($E680),1))))</f>
        <v>0</v>
      </c>
    </row>
    <row r="681" spans="1:20" ht="18" customHeight="1" x14ac:dyDescent="0.3">
      <c r="A681" s="2"/>
      <c r="B681" s="65" t="str">
        <f t="shared" si="50"/>
        <v/>
      </c>
      <c r="C681" s="65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66"/>
      <c r="F681" s="67"/>
      <c r="G681" s="60"/>
      <c r="H681" s="60"/>
      <c r="I681" s="61"/>
      <c r="J681" s="61"/>
      <c r="K681" s="61"/>
      <c r="L681" s="73" t="str">
        <f t="shared" si="51"/>
        <v/>
      </c>
      <c r="M681" s="65" t="str">
        <f t="shared" ca="1" si="52"/>
        <v/>
      </c>
      <c r="N681" s="74" t="str">
        <f>IF($C681="","",IF($C681="TANIMSIZ MÜŞTERİ","—",INDEX(MUSTERILER!$C$7:$C$156,MATCH($C681,MUSTERILER!$B$7:$B$156,0))))</f>
        <v/>
      </c>
      <c r="O681" s="2"/>
      <c r="P681" s="2"/>
      <c r="Q681" s="1" t="str">
        <f>IF($D681="","",$C681&amp;"|"&amp;COUNTIFS($C$7:$C681,$C681))</f>
        <v/>
      </c>
      <c r="R681" s="1" t="str">
        <f t="shared" si="53"/>
        <v/>
      </c>
      <c r="S681" s="1" t="str">
        <f t="shared" si="54"/>
        <v/>
      </c>
      <c r="T681" s="1">
        <f>IF($E681="",0,SUMPRODUCT((AY_SONU!$O$7:$O$42="Evet")*(AY_SONU!$B$7:$B$42=DATE(YEAR($E681),MONTH($E681),1))))</f>
        <v>0</v>
      </c>
    </row>
    <row r="682" spans="1:20" ht="18" customHeight="1" x14ac:dyDescent="0.3">
      <c r="A682" s="2"/>
      <c r="B682" s="65" t="str">
        <f t="shared" si="50"/>
        <v/>
      </c>
      <c r="C682" s="65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66"/>
      <c r="F682" s="67"/>
      <c r="G682" s="60"/>
      <c r="H682" s="60"/>
      <c r="I682" s="61"/>
      <c r="J682" s="61"/>
      <c r="K682" s="61"/>
      <c r="L682" s="73" t="str">
        <f t="shared" si="51"/>
        <v/>
      </c>
      <c r="M682" s="65" t="str">
        <f t="shared" ca="1" si="52"/>
        <v/>
      </c>
      <c r="N682" s="74" t="str">
        <f>IF($C682="","",IF($C682="TANIMSIZ MÜŞTERİ","—",INDEX(MUSTERILER!$C$7:$C$156,MATCH($C682,MUSTERILER!$B$7:$B$156,0))))</f>
        <v/>
      </c>
      <c r="O682" s="2"/>
      <c r="P682" s="2"/>
      <c r="Q682" s="1" t="str">
        <f>IF($D682="","",$C682&amp;"|"&amp;COUNTIFS($C$7:$C682,$C682))</f>
        <v/>
      </c>
      <c r="R682" s="1" t="str">
        <f t="shared" si="53"/>
        <v/>
      </c>
      <c r="S682" s="1" t="str">
        <f t="shared" si="54"/>
        <v/>
      </c>
      <c r="T682" s="1">
        <f>IF($E682="",0,SUMPRODUCT((AY_SONU!$O$7:$O$42="Evet")*(AY_SONU!$B$7:$B$42=DATE(YEAR($E682),MONTH($E682),1))))</f>
        <v>0</v>
      </c>
    </row>
    <row r="683" spans="1:20" ht="18" customHeight="1" x14ac:dyDescent="0.3">
      <c r="A683" s="2"/>
      <c r="B683" s="65" t="str">
        <f t="shared" si="50"/>
        <v/>
      </c>
      <c r="C683" s="65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66"/>
      <c r="F683" s="67"/>
      <c r="G683" s="60"/>
      <c r="H683" s="60"/>
      <c r="I683" s="61"/>
      <c r="J683" s="61"/>
      <c r="K683" s="61"/>
      <c r="L683" s="73" t="str">
        <f t="shared" si="51"/>
        <v/>
      </c>
      <c r="M683" s="65" t="str">
        <f t="shared" ca="1" si="52"/>
        <v/>
      </c>
      <c r="N683" s="74" t="str">
        <f>IF($C683="","",IF($C683="TANIMSIZ MÜŞTERİ","—",INDEX(MUSTERILER!$C$7:$C$156,MATCH($C683,MUSTERILER!$B$7:$B$156,0))))</f>
        <v/>
      </c>
      <c r="O683" s="2"/>
      <c r="P683" s="2"/>
      <c r="Q683" s="1" t="str">
        <f>IF($D683="","",$C683&amp;"|"&amp;COUNTIFS($C$7:$C683,$C683))</f>
        <v/>
      </c>
      <c r="R683" s="1" t="str">
        <f t="shared" si="53"/>
        <v/>
      </c>
      <c r="S683" s="1" t="str">
        <f t="shared" si="54"/>
        <v/>
      </c>
      <c r="T683" s="1">
        <f>IF($E683="",0,SUMPRODUCT((AY_SONU!$O$7:$O$42="Evet")*(AY_SONU!$B$7:$B$42=DATE(YEAR($E683),MONTH($E683),1))))</f>
        <v>0</v>
      </c>
    </row>
    <row r="684" spans="1:20" ht="18" customHeight="1" x14ac:dyDescent="0.3">
      <c r="A684" s="2"/>
      <c r="B684" s="65" t="str">
        <f t="shared" si="50"/>
        <v/>
      </c>
      <c r="C684" s="65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66"/>
      <c r="F684" s="67"/>
      <c r="G684" s="60"/>
      <c r="H684" s="60"/>
      <c r="I684" s="61"/>
      <c r="J684" s="61"/>
      <c r="K684" s="61"/>
      <c r="L684" s="73" t="str">
        <f t="shared" si="51"/>
        <v/>
      </c>
      <c r="M684" s="65" t="str">
        <f t="shared" ca="1" si="52"/>
        <v/>
      </c>
      <c r="N684" s="74" t="str">
        <f>IF($C684="","",IF($C684="TANIMSIZ MÜŞTERİ","—",INDEX(MUSTERILER!$C$7:$C$156,MATCH($C684,MUSTERILER!$B$7:$B$156,0))))</f>
        <v/>
      </c>
      <c r="O684" s="2"/>
      <c r="P684" s="2"/>
      <c r="Q684" s="1" t="str">
        <f>IF($D684="","",$C684&amp;"|"&amp;COUNTIFS($C$7:$C684,$C684))</f>
        <v/>
      </c>
      <c r="R684" s="1" t="str">
        <f t="shared" si="53"/>
        <v/>
      </c>
      <c r="S684" s="1" t="str">
        <f t="shared" si="54"/>
        <v/>
      </c>
      <c r="T684" s="1">
        <f>IF($E684="",0,SUMPRODUCT((AY_SONU!$O$7:$O$42="Evet")*(AY_SONU!$B$7:$B$42=DATE(YEAR($E684),MONTH($E684),1))))</f>
        <v>0</v>
      </c>
    </row>
    <row r="685" spans="1:20" ht="18" customHeight="1" x14ac:dyDescent="0.3">
      <c r="A685" s="2"/>
      <c r="B685" s="65" t="str">
        <f t="shared" si="50"/>
        <v/>
      </c>
      <c r="C685" s="65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66"/>
      <c r="F685" s="67"/>
      <c r="G685" s="60"/>
      <c r="H685" s="60"/>
      <c r="I685" s="61"/>
      <c r="J685" s="61"/>
      <c r="K685" s="61"/>
      <c r="L685" s="73" t="str">
        <f t="shared" si="51"/>
        <v/>
      </c>
      <c r="M685" s="65" t="str">
        <f t="shared" ca="1" si="52"/>
        <v/>
      </c>
      <c r="N685" s="74" t="str">
        <f>IF($C685="","",IF($C685="TANIMSIZ MÜŞTERİ","—",INDEX(MUSTERILER!$C$7:$C$156,MATCH($C685,MUSTERILER!$B$7:$B$156,0))))</f>
        <v/>
      </c>
      <c r="O685" s="2"/>
      <c r="P685" s="2"/>
      <c r="Q685" s="1" t="str">
        <f>IF($D685="","",$C685&amp;"|"&amp;COUNTIFS($C$7:$C685,$C685))</f>
        <v/>
      </c>
      <c r="R685" s="1" t="str">
        <f t="shared" si="53"/>
        <v/>
      </c>
      <c r="S685" s="1" t="str">
        <f t="shared" si="54"/>
        <v/>
      </c>
      <c r="T685" s="1">
        <f>IF($E685="",0,SUMPRODUCT((AY_SONU!$O$7:$O$42="Evet")*(AY_SONU!$B$7:$B$42=DATE(YEAR($E685),MONTH($E685),1))))</f>
        <v>0</v>
      </c>
    </row>
    <row r="686" spans="1:20" ht="18" customHeight="1" x14ac:dyDescent="0.3">
      <c r="A686" s="2"/>
      <c r="B686" s="65" t="str">
        <f t="shared" si="50"/>
        <v/>
      </c>
      <c r="C686" s="65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66"/>
      <c r="F686" s="67"/>
      <c r="G686" s="60"/>
      <c r="H686" s="60"/>
      <c r="I686" s="61"/>
      <c r="J686" s="61"/>
      <c r="K686" s="61"/>
      <c r="L686" s="73" t="str">
        <f t="shared" si="51"/>
        <v/>
      </c>
      <c r="M686" s="65" t="str">
        <f t="shared" ca="1" si="52"/>
        <v/>
      </c>
      <c r="N686" s="74" t="str">
        <f>IF($C686="","",IF($C686="TANIMSIZ MÜŞTERİ","—",INDEX(MUSTERILER!$C$7:$C$156,MATCH($C686,MUSTERILER!$B$7:$B$156,0))))</f>
        <v/>
      </c>
      <c r="O686" s="2"/>
      <c r="P686" s="2"/>
      <c r="Q686" s="1" t="str">
        <f>IF($D686="","",$C686&amp;"|"&amp;COUNTIFS($C$7:$C686,$C686))</f>
        <v/>
      </c>
      <c r="R686" s="1" t="str">
        <f t="shared" si="53"/>
        <v/>
      </c>
      <c r="S686" s="1" t="str">
        <f t="shared" si="54"/>
        <v/>
      </c>
      <c r="T686" s="1">
        <f>IF($E686="",0,SUMPRODUCT((AY_SONU!$O$7:$O$42="Evet")*(AY_SONU!$B$7:$B$42=DATE(YEAR($E686),MONTH($E686),1))))</f>
        <v>0</v>
      </c>
    </row>
    <row r="687" spans="1:20" ht="18" customHeight="1" x14ac:dyDescent="0.3">
      <c r="A687" s="2"/>
      <c r="B687" s="65" t="str">
        <f t="shared" si="50"/>
        <v/>
      </c>
      <c r="C687" s="65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66"/>
      <c r="F687" s="67"/>
      <c r="G687" s="60"/>
      <c r="H687" s="60"/>
      <c r="I687" s="61"/>
      <c r="J687" s="61"/>
      <c r="K687" s="61"/>
      <c r="L687" s="73" t="str">
        <f t="shared" si="51"/>
        <v/>
      </c>
      <c r="M687" s="65" t="str">
        <f t="shared" ca="1" si="52"/>
        <v/>
      </c>
      <c r="N687" s="74" t="str">
        <f>IF($C687="","",IF($C687="TANIMSIZ MÜŞTERİ","—",INDEX(MUSTERILER!$C$7:$C$156,MATCH($C687,MUSTERILER!$B$7:$B$156,0))))</f>
        <v/>
      </c>
      <c r="O687" s="2"/>
      <c r="P687" s="2"/>
      <c r="Q687" s="1" t="str">
        <f>IF($D687="","",$C687&amp;"|"&amp;COUNTIFS($C$7:$C687,$C687))</f>
        <v/>
      </c>
      <c r="R687" s="1" t="str">
        <f t="shared" si="53"/>
        <v/>
      </c>
      <c r="S687" s="1" t="str">
        <f t="shared" si="54"/>
        <v/>
      </c>
      <c r="T687" s="1">
        <f>IF($E687="",0,SUMPRODUCT((AY_SONU!$O$7:$O$42="Evet")*(AY_SONU!$B$7:$B$42=DATE(YEAR($E687),MONTH($E687),1))))</f>
        <v>0</v>
      </c>
    </row>
    <row r="688" spans="1:20" ht="18" customHeight="1" x14ac:dyDescent="0.3">
      <c r="A688" s="2"/>
      <c r="B688" s="65" t="str">
        <f t="shared" si="50"/>
        <v/>
      </c>
      <c r="C688" s="65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66"/>
      <c r="F688" s="67"/>
      <c r="G688" s="60"/>
      <c r="H688" s="60"/>
      <c r="I688" s="61"/>
      <c r="J688" s="61"/>
      <c r="K688" s="61"/>
      <c r="L688" s="73" t="str">
        <f t="shared" si="51"/>
        <v/>
      </c>
      <c r="M688" s="65" t="str">
        <f t="shared" ca="1" si="52"/>
        <v/>
      </c>
      <c r="N688" s="74" t="str">
        <f>IF($C688="","",IF($C688="TANIMSIZ MÜŞTERİ","—",INDEX(MUSTERILER!$C$7:$C$156,MATCH($C688,MUSTERILER!$B$7:$B$156,0))))</f>
        <v/>
      </c>
      <c r="O688" s="2"/>
      <c r="P688" s="2"/>
      <c r="Q688" s="1" t="str">
        <f>IF($D688="","",$C688&amp;"|"&amp;COUNTIFS($C$7:$C688,$C688))</f>
        <v/>
      </c>
      <c r="R688" s="1" t="str">
        <f t="shared" si="53"/>
        <v/>
      </c>
      <c r="S688" s="1" t="str">
        <f t="shared" si="54"/>
        <v/>
      </c>
      <c r="T688" s="1">
        <f>IF($E688="",0,SUMPRODUCT((AY_SONU!$O$7:$O$42="Evet")*(AY_SONU!$B$7:$B$42=DATE(YEAR($E688),MONTH($E688),1))))</f>
        <v>0</v>
      </c>
    </row>
    <row r="689" spans="1:20" ht="18" customHeight="1" x14ac:dyDescent="0.3">
      <c r="A689" s="2"/>
      <c r="B689" s="65" t="str">
        <f t="shared" si="50"/>
        <v/>
      </c>
      <c r="C689" s="65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66"/>
      <c r="F689" s="67"/>
      <c r="G689" s="60"/>
      <c r="H689" s="60"/>
      <c r="I689" s="61"/>
      <c r="J689" s="61"/>
      <c r="K689" s="61"/>
      <c r="L689" s="73" t="str">
        <f t="shared" si="51"/>
        <v/>
      </c>
      <c r="M689" s="65" t="str">
        <f t="shared" ca="1" si="52"/>
        <v/>
      </c>
      <c r="N689" s="74" t="str">
        <f>IF($C689="","",IF($C689="TANIMSIZ MÜŞTERİ","—",INDEX(MUSTERILER!$C$7:$C$156,MATCH($C689,MUSTERILER!$B$7:$B$156,0))))</f>
        <v/>
      </c>
      <c r="O689" s="2"/>
      <c r="P689" s="2"/>
      <c r="Q689" s="1" t="str">
        <f>IF($D689="","",$C689&amp;"|"&amp;COUNTIFS($C$7:$C689,$C689))</f>
        <v/>
      </c>
      <c r="R689" s="1" t="str">
        <f t="shared" si="53"/>
        <v/>
      </c>
      <c r="S689" s="1" t="str">
        <f t="shared" si="54"/>
        <v/>
      </c>
      <c r="T689" s="1">
        <f>IF($E689="",0,SUMPRODUCT((AY_SONU!$O$7:$O$42="Evet")*(AY_SONU!$B$7:$B$42=DATE(YEAR($E689),MONTH($E689),1))))</f>
        <v>0</v>
      </c>
    </row>
    <row r="690" spans="1:20" ht="18" customHeight="1" x14ac:dyDescent="0.3">
      <c r="A690" s="2"/>
      <c r="B690" s="65" t="str">
        <f t="shared" si="50"/>
        <v/>
      </c>
      <c r="C690" s="65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66"/>
      <c r="F690" s="67"/>
      <c r="G690" s="60"/>
      <c r="H690" s="60"/>
      <c r="I690" s="61"/>
      <c r="J690" s="61"/>
      <c r="K690" s="61"/>
      <c r="L690" s="73" t="str">
        <f t="shared" si="51"/>
        <v/>
      </c>
      <c r="M690" s="65" t="str">
        <f t="shared" ca="1" si="52"/>
        <v/>
      </c>
      <c r="N690" s="74" t="str">
        <f>IF($C690="","",IF($C690="TANIMSIZ MÜŞTERİ","—",INDEX(MUSTERILER!$C$7:$C$156,MATCH($C690,MUSTERILER!$B$7:$B$156,0))))</f>
        <v/>
      </c>
      <c r="O690" s="2"/>
      <c r="P690" s="2"/>
      <c r="Q690" s="1" t="str">
        <f>IF($D690="","",$C690&amp;"|"&amp;COUNTIFS($C$7:$C690,$C690))</f>
        <v/>
      </c>
      <c r="R690" s="1" t="str">
        <f t="shared" si="53"/>
        <v/>
      </c>
      <c r="S690" s="1" t="str">
        <f t="shared" si="54"/>
        <v/>
      </c>
      <c r="T690" s="1">
        <f>IF($E690="",0,SUMPRODUCT((AY_SONU!$O$7:$O$42="Evet")*(AY_SONU!$B$7:$B$42=DATE(YEAR($E690),MONTH($E690),1))))</f>
        <v>0</v>
      </c>
    </row>
    <row r="691" spans="1:20" ht="18" customHeight="1" x14ac:dyDescent="0.3">
      <c r="A691" s="2"/>
      <c r="B691" s="65" t="str">
        <f t="shared" si="50"/>
        <v/>
      </c>
      <c r="C691" s="65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66"/>
      <c r="F691" s="67"/>
      <c r="G691" s="60"/>
      <c r="H691" s="60"/>
      <c r="I691" s="61"/>
      <c r="J691" s="61"/>
      <c r="K691" s="61"/>
      <c r="L691" s="73" t="str">
        <f t="shared" si="51"/>
        <v/>
      </c>
      <c r="M691" s="65" t="str">
        <f t="shared" ca="1" si="52"/>
        <v/>
      </c>
      <c r="N691" s="74" t="str">
        <f>IF($C691="","",IF($C691="TANIMSIZ MÜŞTERİ","—",INDEX(MUSTERILER!$C$7:$C$156,MATCH($C691,MUSTERILER!$B$7:$B$156,0))))</f>
        <v/>
      </c>
      <c r="O691" s="2"/>
      <c r="P691" s="2"/>
      <c r="Q691" s="1" t="str">
        <f>IF($D691="","",$C691&amp;"|"&amp;COUNTIFS($C$7:$C691,$C691))</f>
        <v/>
      </c>
      <c r="R691" s="1" t="str">
        <f t="shared" si="53"/>
        <v/>
      </c>
      <c r="S691" s="1" t="str">
        <f t="shared" si="54"/>
        <v/>
      </c>
      <c r="T691" s="1">
        <f>IF($E691="",0,SUMPRODUCT((AY_SONU!$O$7:$O$42="Evet")*(AY_SONU!$B$7:$B$42=DATE(YEAR($E691),MONTH($E691),1))))</f>
        <v>0</v>
      </c>
    </row>
    <row r="692" spans="1:20" ht="18" customHeight="1" x14ac:dyDescent="0.3">
      <c r="A692" s="2"/>
      <c r="B692" s="65" t="str">
        <f t="shared" si="50"/>
        <v/>
      </c>
      <c r="C692" s="65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66"/>
      <c r="F692" s="67"/>
      <c r="G692" s="60"/>
      <c r="H692" s="60"/>
      <c r="I692" s="61"/>
      <c r="J692" s="61"/>
      <c r="K692" s="61"/>
      <c r="L692" s="73" t="str">
        <f t="shared" si="51"/>
        <v/>
      </c>
      <c r="M692" s="65" t="str">
        <f t="shared" ca="1" si="52"/>
        <v/>
      </c>
      <c r="N692" s="74" t="str">
        <f>IF($C692="","",IF($C692="TANIMSIZ MÜŞTERİ","—",INDEX(MUSTERILER!$C$7:$C$156,MATCH($C692,MUSTERILER!$B$7:$B$156,0))))</f>
        <v/>
      </c>
      <c r="O692" s="2"/>
      <c r="P692" s="2"/>
      <c r="Q692" s="1" t="str">
        <f>IF($D692="","",$C692&amp;"|"&amp;COUNTIFS($C$7:$C692,$C692))</f>
        <v/>
      </c>
      <c r="R692" s="1" t="str">
        <f t="shared" si="53"/>
        <v/>
      </c>
      <c r="S692" s="1" t="str">
        <f t="shared" si="54"/>
        <v/>
      </c>
      <c r="T692" s="1">
        <f>IF($E692="",0,SUMPRODUCT((AY_SONU!$O$7:$O$42="Evet")*(AY_SONU!$B$7:$B$42=DATE(YEAR($E692),MONTH($E692),1))))</f>
        <v>0</v>
      </c>
    </row>
    <row r="693" spans="1:20" ht="18" customHeight="1" x14ac:dyDescent="0.3">
      <c r="A693" s="2"/>
      <c r="B693" s="65" t="str">
        <f t="shared" si="50"/>
        <v/>
      </c>
      <c r="C693" s="65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66"/>
      <c r="F693" s="67"/>
      <c r="G693" s="60"/>
      <c r="H693" s="60"/>
      <c r="I693" s="61"/>
      <c r="J693" s="61"/>
      <c r="K693" s="61"/>
      <c r="L693" s="73" t="str">
        <f t="shared" si="51"/>
        <v/>
      </c>
      <c r="M693" s="65" t="str">
        <f t="shared" ca="1" si="52"/>
        <v/>
      </c>
      <c r="N693" s="74" t="str">
        <f>IF($C693="","",IF($C693="TANIMSIZ MÜŞTERİ","—",INDEX(MUSTERILER!$C$7:$C$156,MATCH($C693,MUSTERILER!$B$7:$B$156,0))))</f>
        <v/>
      </c>
      <c r="O693" s="2"/>
      <c r="P693" s="2"/>
      <c r="Q693" s="1" t="str">
        <f>IF($D693="","",$C693&amp;"|"&amp;COUNTIFS($C$7:$C693,$C693))</f>
        <v/>
      </c>
      <c r="R693" s="1" t="str">
        <f t="shared" si="53"/>
        <v/>
      </c>
      <c r="S693" s="1" t="str">
        <f t="shared" si="54"/>
        <v/>
      </c>
      <c r="T693" s="1">
        <f>IF($E693="",0,SUMPRODUCT((AY_SONU!$O$7:$O$42="Evet")*(AY_SONU!$B$7:$B$42=DATE(YEAR($E693),MONTH($E693),1))))</f>
        <v>0</v>
      </c>
    </row>
    <row r="694" spans="1:20" ht="18" customHeight="1" x14ac:dyDescent="0.3">
      <c r="A694" s="2"/>
      <c r="B694" s="65" t="str">
        <f t="shared" si="50"/>
        <v/>
      </c>
      <c r="C694" s="65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66"/>
      <c r="F694" s="67"/>
      <c r="G694" s="60"/>
      <c r="H694" s="60"/>
      <c r="I694" s="61"/>
      <c r="J694" s="61"/>
      <c r="K694" s="61"/>
      <c r="L694" s="73" t="str">
        <f t="shared" si="51"/>
        <v/>
      </c>
      <c r="M694" s="65" t="str">
        <f t="shared" ca="1" si="52"/>
        <v/>
      </c>
      <c r="N694" s="74" t="str">
        <f>IF($C694="","",IF($C694="TANIMSIZ MÜŞTERİ","—",INDEX(MUSTERILER!$C$7:$C$156,MATCH($C694,MUSTERILER!$B$7:$B$156,0))))</f>
        <v/>
      </c>
      <c r="O694" s="2"/>
      <c r="P694" s="2"/>
      <c r="Q694" s="1" t="str">
        <f>IF($D694="","",$C694&amp;"|"&amp;COUNTIFS($C$7:$C694,$C694))</f>
        <v/>
      </c>
      <c r="R694" s="1" t="str">
        <f t="shared" si="53"/>
        <v/>
      </c>
      <c r="S694" s="1" t="str">
        <f t="shared" si="54"/>
        <v/>
      </c>
      <c r="T694" s="1">
        <f>IF($E694="",0,SUMPRODUCT((AY_SONU!$O$7:$O$42="Evet")*(AY_SONU!$B$7:$B$42=DATE(YEAR($E694),MONTH($E694),1))))</f>
        <v>0</v>
      </c>
    </row>
    <row r="695" spans="1:20" ht="18" customHeight="1" x14ac:dyDescent="0.3">
      <c r="A695" s="2"/>
      <c r="B695" s="65" t="str">
        <f t="shared" si="50"/>
        <v/>
      </c>
      <c r="C695" s="65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66"/>
      <c r="F695" s="67"/>
      <c r="G695" s="60"/>
      <c r="H695" s="60"/>
      <c r="I695" s="61"/>
      <c r="J695" s="61"/>
      <c r="K695" s="61"/>
      <c r="L695" s="73" t="str">
        <f t="shared" si="51"/>
        <v/>
      </c>
      <c r="M695" s="65" t="str">
        <f t="shared" ca="1" si="52"/>
        <v/>
      </c>
      <c r="N695" s="74" t="str">
        <f>IF($C695="","",IF($C695="TANIMSIZ MÜŞTERİ","—",INDEX(MUSTERILER!$C$7:$C$156,MATCH($C695,MUSTERILER!$B$7:$B$156,0))))</f>
        <v/>
      </c>
      <c r="O695" s="2"/>
      <c r="P695" s="2"/>
      <c r="Q695" s="1" t="str">
        <f>IF($D695="","",$C695&amp;"|"&amp;COUNTIFS($C$7:$C695,$C695))</f>
        <v/>
      </c>
      <c r="R695" s="1" t="str">
        <f t="shared" si="53"/>
        <v/>
      </c>
      <c r="S695" s="1" t="str">
        <f t="shared" si="54"/>
        <v/>
      </c>
      <c r="T695" s="1">
        <f>IF($E695="",0,SUMPRODUCT((AY_SONU!$O$7:$O$42="Evet")*(AY_SONU!$B$7:$B$42=DATE(YEAR($E695),MONTH($E695),1))))</f>
        <v>0</v>
      </c>
    </row>
    <row r="696" spans="1:20" ht="18" customHeight="1" x14ac:dyDescent="0.3">
      <c r="A696" s="2"/>
      <c r="B696" s="65" t="str">
        <f t="shared" si="50"/>
        <v/>
      </c>
      <c r="C696" s="65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66"/>
      <c r="F696" s="67"/>
      <c r="G696" s="60"/>
      <c r="H696" s="60"/>
      <c r="I696" s="61"/>
      <c r="J696" s="61"/>
      <c r="K696" s="61"/>
      <c r="L696" s="73" t="str">
        <f t="shared" si="51"/>
        <v/>
      </c>
      <c r="M696" s="65" t="str">
        <f t="shared" ca="1" si="52"/>
        <v/>
      </c>
      <c r="N696" s="74" t="str">
        <f>IF($C696="","",IF($C696="TANIMSIZ MÜŞTERİ","—",INDEX(MUSTERILER!$C$7:$C$156,MATCH($C696,MUSTERILER!$B$7:$B$156,0))))</f>
        <v/>
      </c>
      <c r="O696" s="2"/>
      <c r="P696" s="2"/>
      <c r="Q696" s="1" t="str">
        <f>IF($D696="","",$C696&amp;"|"&amp;COUNTIFS($C$7:$C696,$C696))</f>
        <v/>
      </c>
      <c r="R696" s="1" t="str">
        <f t="shared" si="53"/>
        <v/>
      </c>
      <c r="S696" s="1" t="str">
        <f t="shared" si="54"/>
        <v/>
      </c>
      <c r="T696" s="1">
        <f>IF($E696="",0,SUMPRODUCT((AY_SONU!$O$7:$O$42="Evet")*(AY_SONU!$B$7:$B$42=DATE(YEAR($E696),MONTH($E696),1))))</f>
        <v>0</v>
      </c>
    </row>
    <row r="697" spans="1:20" ht="18" customHeight="1" x14ac:dyDescent="0.3">
      <c r="A697" s="2"/>
      <c r="B697" s="65" t="str">
        <f t="shared" si="50"/>
        <v/>
      </c>
      <c r="C697" s="65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66"/>
      <c r="F697" s="67"/>
      <c r="G697" s="60"/>
      <c r="H697" s="60"/>
      <c r="I697" s="61"/>
      <c r="J697" s="61"/>
      <c r="K697" s="61"/>
      <c r="L697" s="73" t="str">
        <f t="shared" si="51"/>
        <v/>
      </c>
      <c r="M697" s="65" t="str">
        <f t="shared" ca="1" si="52"/>
        <v/>
      </c>
      <c r="N697" s="74" t="str">
        <f>IF($C697="","",IF($C697="TANIMSIZ MÜŞTERİ","—",INDEX(MUSTERILER!$C$7:$C$156,MATCH($C697,MUSTERILER!$B$7:$B$156,0))))</f>
        <v/>
      </c>
      <c r="O697" s="2"/>
      <c r="P697" s="2"/>
      <c r="Q697" s="1" t="str">
        <f>IF($D697="","",$C697&amp;"|"&amp;COUNTIFS($C$7:$C697,$C697))</f>
        <v/>
      </c>
      <c r="R697" s="1" t="str">
        <f t="shared" si="53"/>
        <v/>
      </c>
      <c r="S697" s="1" t="str">
        <f t="shared" si="54"/>
        <v/>
      </c>
      <c r="T697" s="1">
        <f>IF($E697="",0,SUMPRODUCT((AY_SONU!$O$7:$O$42="Evet")*(AY_SONU!$B$7:$B$42=DATE(YEAR($E697),MONTH($E697),1))))</f>
        <v>0</v>
      </c>
    </row>
    <row r="698" spans="1:20" ht="18" customHeight="1" x14ac:dyDescent="0.3">
      <c r="A698" s="2"/>
      <c r="B698" s="65" t="str">
        <f t="shared" si="50"/>
        <v/>
      </c>
      <c r="C698" s="65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66"/>
      <c r="F698" s="67"/>
      <c r="G698" s="60"/>
      <c r="H698" s="60"/>
      <c r="I698" s="61"/>
      <c r="J698" s="61"/>
      <c r="K698" s="61"/>
      <c r="L698" s="73" t="str">
        <f t="shared" si="51"/>
        <v/>
      </c>
      <c r="M698" s="65" t="str">
        <f t="shared" ca="1" si="52"/>
        <v/>
      </c>
      <c r="N698" s="74" t="str">
        <f>IF($C698="","",IF($C698="TANIMSIZ MÜŞTERİ","—",INDEX(MUSTERILER!$C$7:$C$156,MATCH($C698,MUSTERILER!$B$7:$B$156,0))))</f>
        <v/>
      </c>
      <c r="O698" s="2"/>
      <c r="P698" s="2"/>
      <c r="Q698" s="1" t="str">
        <f>IF($D698="","",$C698&amp;"|"&amp;COUNTIFS($C$7:$C698,$C698))</f>
        <v/>
      </c>
      <c r="R698" s="1" t="str">
        <f t="shared" si="53"/>
        <v/>
      </c>
      <c r="S698" s="1" t="str">
        <f t="shared" si="54"/>
        <v/>
      </c>
      <c r="T698" s="1">
        <f>IF($E698="",0,SUMPRODUCT((AY_SONU!$O$7:$O$42="Evet")*(AY_SONU!$B$7:$B$42=DATE(YEAR($E698),MONTH($E698),1))))</f>
        <v>0</v>
      </c>
    </row>
    <row r="699" spans="1:20" ht="18" customHeight="1" x14ac:dyDescent="0.3">
      <c r="A699" s="2"/>
      <c r="B699" s="65" t="str">
        <f t="shared" si="50"/>
        <v/>
      </c>
      <c r="C699" s="65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66"/>
      <c r="F699" s="67"/>
      <c r="G699" s="60"/>
      <c r="H699" s="60"/>
      <c r="I699" s="61"/>
      <c r="J699" s="61"/>
      <c r="K699" s="61"/>
      <c r="L699" s="73" t="str">
        <f t="shared" si="51"/>
        <v/>
      </c>
      <c r="M699" s="65" t="str">
        <f t="shared" ca="1" si="52"/>
        <v/>
      </c>
      <c r="N699" s="74" t="str">
        <f>IF($C699="","",IF($C699="TANIMSIZ MÜŞTERİ","—",INDEX(MUSTERILER!$C$7:$C$156,MATCH($C699,MUSTERILER!$B$7:$B$156,0))))</f>
        <v/>
      </c>
      <c r="O699" s="2"/>
      <c r="P699" s="2"/>
      <c r="Q699" s="1" t="str">
        <f>IF($D699="","",$C699&amp;"|"&amp;COUNTIFS($C$7:$C699,$C699))</f>
        <v/>
      </c>
      <c r="R699" s="1" t="str">
        <f t="shared" si="53"/>
        <v/>
      </c>
      <c r="S699" s="1" t="str">
        <f t="shared" si="54"/>
        <v/>
      </c>
      <c r="T699" s="1">
        <f>IF($E699="",0,SUMPRODUCT((AY_SONU!$O$7:$O$42="Evet")*(AY_SONU!$B$7:$B$42=DATE(YEAR($E699),MONTH($E699),1))))</f>
        <v>0</v>
      </c>
    </row>
    <row r="700" spans="1:20" ht="18" customHeight="1" x14ac:dyDescent="0.3">
      <c r="A700" s="2"/>
      <c r="B700" s="65" t="str">
        <f t="shared" si="50"/>
        <v/>
      </c>
      <c r="C700" s="65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66"/>
      <c r="F700" s="67"/>
      <c r="G700" s="60"/>
      <c r="H700" s="60"/>
      <c r="I700" s="61"/>
      <c r="J700" s="61"/>
      <c r="K700" s="61"/>
      <c r="L700" s="73" t="str">
        <f t="shared" si="51"/>
        <v/>
      </c>
      <c r="M700" s="65" t="str">
        <f t="shared" ca="1" si="52"/>
        <v/>
      </c>
      <c r="N700" s="74" t="str">
        <f>IF($C700="","",IF($C700="TANIMSIZ MÜŞTERİ","—",INDEX(MUSTERILER!$C$7:$C$156,MATCH($C700,MUSTERILER!$B$7:$B$156,0))))</f>
        <v/>
      </c>
      <c r="O700" s="2"/>
      <c r="P700" s="2"/>
      <c r="Q700" s="1" t="str">
        <f>IF($D700="","",$C700&amp;"|"&amp;COUNTIFS($C$7:$C700,$C700))</f>
        <v/>
      </c>
      <c r="R700" s="1" t="str">
        <f t="shared" si="53"/>
        <v/>
      </c>
      <c r="S700" s="1" t="str">
        <f t="shared" si="54"/>
        <v/>
      </c>
      <c r="T700" s="1">
        <f>IF($E700="",0,SUMPRODUCT((AY_SONU!$O$7:$O$42="Evet")*(AY_SONU!$B$7:$B$42=DATE(YEAR($E700),MONTH($E700),1))))</f>
        <v>0</v>
      </c>
    </row>
    <row r="701" spans="1:20" ht="18" customHeight="1" x14ac:dyDescent="0.3">
      <c r="A701" s="2"/>
      <c r="B701" s="65" t="str">
        <f t="shared" si="50"/>
        <v/>
      </c>
      <c r="C701" s="65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66"/>
      <c r="F701" s="67"/>
      <c r="G701" s="60"/>
      <c r="H701" s="60"/>
      <c r="I701" s="61"/>
      <c r="J701" s="61"/>
      <c r="K701" s="61"/>
      <c r="L701" s="73" t="str">
        <f t="shared" si="51"/>
        <v/>
      </c>
      <c r="M701" s="65" t="str">
        <f t="shared" ca="1" si="52"/>
        <v/>
      </c>
      <c r="N701" s="74" t="str">
        <f>IF($C701="","",IF($C701="TANIMSIZ MÜŞTERİ","—",INDEX(MUSTERILER!$C$7:$C$156,MATCH($C701,MUSTERILER!$B$7:$B$156,0))))</f>
        <v/>
      </c>
      <c r="O701" s="2"/>
      <c r="P701" s="2"/>
      <c r="Q701" s="1" t="str">
        <f>IF($D701="","",$C701&amp;"|"&amp;COUNTIFS($C$7:$C701,$C701))</f>
        <v/>
      </c>
      <c r="R701" s="1" t="str">
        <f t="shared" si="53"/>
        <v/>
      </c>
      <c r="S701" s="1" t="str">
        <f t="shared" si="54"/>
        <v/>
      </c>
      <c r="T701" s="1">
        <f>IF($E701="",0,SUMPRODUCT((AY_SONU!$O$7:$O$42="Evet")*(AY_SONU!$B$7:$B$42=DATE(YEAR($E701),MONTH($E701),1))))</f>
        <v>0</v>
      </c>
    </row>
    <row r="702" spans="1:20" ht="18" customHeight="1" x14ac:dyDescent="0.3">
      <c r="A702" s="2"/>
      <c r="B702" s="65" t="str">
        <f t="shared" si="50"/>
        <v/>
      </c>
      <c r="C702" s="65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66"/>
      <c r="F702" s="67"/>
      <c r="G702" s="60"/>
      <c r="H702" s="60"/>
      <c r="I702" s="61"/>
      <c r="J702" s="61"/>
      <c r="K702" s="61"/>
      <c r="L702" s="73" t="str">
        <f t="shared" si="51"/>
        <v/>
      </c>
      <c r="M702" s="65" t="str">
        <f t="shared" ca="1" si="52"/>
        <v/>
      </c>
      <c r="N702" s="74" t="str">
        <f>IF($C702="","",IF($C702="TANIMSIZ MÜŞTERİ","—",INDEX(MUSTERILER!$C$7:$C$156,MATCH($C702,MUSTERILER!$B$7:$B$156,0))))</f>
        <v/>
      </c>
      <c r="O702" s="2"/>
      <c r="P702" s="2"/>
      <c r="Q702" s="1" t="str">
        <f>IF($D702="","",$C702&amp;"|"&amp;COUNTIFS($C$7:$C702,$C702))</f>
        <v/>
      </c>
      <c r="R702" s="1" t="str">
        <f t="shared" si="53"/>
        <v/>
      </c>
      <c r="S702" s="1" t="str">
        <f t="shared" si="54"/>
        <v/>
      </c>
      <c r="T702" s="1">
        <f>IF($E702="",0,SUMPRODUCT((AY_SONU!$O$7:$O$42="Evet")*(AY_SONU!$B$7:$B$42=DATE(YEAR($E702),MONTH($E702),1))))</f>
        <v>0</v>
      </c>
    </row>
    <row r="703" spans="1:20" ht="18" customHeight="1" x14ac:dyDescent="0.3">
      <c r="A703" s="2"/>
      <c r="B703" s="65" t="str">
        <f t="shared" si="50"/>
        <v/>
      </c>
      <c r="C703" s="65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66"/>
      <c r="F703" s="67"/>
      <c r="G703" s="60"/>
      <c r="H703" s="60"/>
      <c r="I703" s="61"/>
      <c r="J703" s="61"/>
      <c r="K703" s="61"/>
      <c r="L703" s="73" t="str">
        <f t="shared" si="51"/>
        <v/>
      </c>
      <c r="M703" s="65" t="str">
        <f t="shared" ca="1" si="52"/>
        <v/>
      </c>
      <c r="N703" s="74" t="str">
        <f>IF($C703="","",IF($C703="TANIMSIZ MÜŞTERİ","—",INDEX(MUSTERILER!$C$7:$C$156,MATCH($C703,MUSTERILER!$B$7:$B$156,0))))</f>
        <v/>
      </c>
      <c r="O703" s="2"/>
      <c r="P703" s="2"/>
      <c r="Q703" s="1" t="str">
        <f>IF($D703="","",$C703&amp;"|"&amp;COUNTIFS($C$7:$C703,$C703))</f>
        <v/>
      </c>
      <c r="R703" s="1" t="str">
        <f t="shared" si="53"/>
        <v/>
      </c>
      <c r="S703" s="1" t="str">
        <f t="shared" si="54"/>
        <v/>
      </c>
      <c r="T703" s="1">
        <f>IF($E703="",0,SUMPRODUCT((AY_SONU!$O$7:$O$42="Evet")*(AY_SONU!$B$7:$B$42=DATE(YEAR($E703),MONTH($E703),1))))</f>
        <v>0</v>
      </c>
    </row>
    <row r="704" spans="1:20" ht="18" customHeight="1" x14ac:dyDescent="0.3">
      <c r="A704" s="2"/>
      <c r="B704" s="65" t="str">
        <f t="shared" si="50"/>
        <v/>
      </c>
      <c r="C704" s="65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66"/>
      <c r="F704" s="67"/>
      <c r="G704" s="60"/>
      <c r="H704" s="60"/>
      <c r="I704" s="61"/>
      <c r="J704" s="61"/>
      <c r="K704" s="61"/>
      <c r="L704" s="73" t="str">
        <f t="shared" si="51"/>
        <v/>
      </c>
      <c r="M704" s="65" t="str">
        <f t="shared" ca="1" si="52"/>
        <v/>
      </c>
      <c r="N704" s="74" t="str">
        <f>IF($C704="","",IF($C704="TANIMSIZ MÜŞTERİ","—",INDEX(MUSTERILER!$C$7:$C$156,MATCH($C704,MUSTERILER!$B$7:$B$156,0))))</f>
        <v/>
      </c>
      <c r="O704" s="2"/>
      <c r="P704" s="2"/>
      <c r="Q704" s="1" t="str">
        <f>IF($D704="","",$C704&amp;"|"&amp;COUNTIFS($C$7:$C704,$C704))</f>
        <v/>
      </c>
      <c r="R704" s="1" t="str">
        <f t="shared" si="53"/>
        <v/>
      </c>
      <c r="S704" s="1" t="str">
        <f t="shared" si="54"/>
        <v/>
      </c>
      <c r="T704" s="1">
        <f>IF($E704="",0,SUMPRODUCT((AY_SONU!$O$7:$O$42="Evet")*(AY_SONU!$B$7:$B$42=DATE(YEAR($E704),MONTH($E704),1))))</f>
        <v>0</v>
      </c>
    </row>
    <row r="705" spans="1:20" ht="18" customHeight="1" x14ac:dyDescent="0.3">
      <c r="A705" s="2"/>
      <c r="B705" s="65" t="str">
        <f t="shared" si="50"/>
        <v/>
      </c>
      <c r="C705" s="65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66"/>
      <c r="F705" s="67"/>
      <c r="G705" s="60"/>
      <c r="H705" s="60"/>
      <c r="I705" s="61"/>
      <c r="J705" s="61"/>
      <c r="K705" s="61"/>
      <c r="L705" s="73" t="str">
        <f t="shared" si="51"/>
        <v/>
      </c>
      <c r="M705" s="65" t="str">
        <f t="shared" ca="1" si="52"/>
        <v/>
      </c>
      <c r="N705" s="74" t="str">
        <f>IF($C705="","",IF($C705="TANIMSIZ MÜŞTERİ","—",INDEX(MUSTERILER!$C$7:$C$156,MATCH($C705,MUSTERILER!$B$7:$B$156,0))))</f>
        <v/>
      </c>
      <c r="O705" s="2"/>
      <c r="P705" s="2"/>
      <c r="Q705" s="1" t="str">
        <f>IF($D705="","",$C705&amp;"|"&amp;COUNTIFS($C$7:$C705,$C705))</f>
        <v/>
      </c>
      <c r="R705" s="1" t="str">
        <f t="shared" si="53"/>
        <v/>
      </c>
      <c r="S705" s="1" t="str">
        <f t="shared" si="54"/>
        <v/>
      </c>
      <c r="T705" s="1">
        <f>IF($E705="",0,SUMPRODUCT((AY_SONU!$O$7:$O$42="Evet")*(AY_SONU!$B$7:$B$42=DATE(YEAR($E705),MONTH($E705),1))))</f>
        <v>0</v>
      </c>
    </row>
    <row r="706" spans="1:20" ht="18" customHeight="1" x14ac:dyDescent="0.3">
      <c r="A706" s="2"/>
      <c r="B706" s="65" t="str">
        <f t="shared" si="50"/>
        <v/>
      </c>
      <c r="C706" s="65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66"/>
      <c r="F706" s="67"/>
      <c r="G706" s="60"/>
      <c r="H706" s="60"/>
      <c r="I706" s="61"/>
      <c r="J706" s="61"/>
      <c r="K706" s="61"/>
      <c r="L706" s="73" t="str">
        <f t="shared" si="51"/>
        <v/>
      </c>
      <c r="M706" s="65" t="str">
        <f t="shared" ca="1" si="52"/>
        <v/>
      </c>
      <c r="N706" s="74" t="str">
        <f>IF($C706="","",IF($C706="TANIMSIZ MÜŞTERİ","—",INDEX(MUSTERILER!$C$7:$C$156,MATCH($C706,MUSTERILER!$B$7:$B$156,0))))</f>
        <v/>
      </c>
      <c r="O706" s="2"/>
      <c r="P706" s="2"/>
      <c r="Q706" s="1" t="str">
        <f>IF($D706="","",$C706&amp;"|"&amp;COUNTIFS($C$7:$C706,$C706))</f>
        <v/>
      </c>
      <c r="R706" s="1" t="str">
        <f t="shared" si="53"/>
        <v/>
      </c>
      <c r="S706" s="1" t="str">
        <f t="shared" si="54"/>
        <v/>
      </c>
      <c r="T706" s="1">
        <f>IF($E706="",0,SUMPRODUCT((AY_SONU!$O$7:$O$42="Evet")*(AY_SONU!$B$7:$B$42=DATE(YEAR($E706),MONTH($E706),1))))</f>
        <v>0</v>
      </c>
    </row>
    <row r="707" spans="1:20" ht="18" customHeight="1" x14ac:dyDescent="0.3">
      <c r="A707" s="2"/>
      <c r="B707" s="65" t="str">
        <f t="shared" si="50"/>
        <v/>
      </c>
      <c r="C707" s="65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66"/>
      <c r="F707" s="67"/>
      <c r="G707" s="60"/>
      <c r="H707" s="60"/>
      <c r="I707" s="61"/>
      <c r="J707" s="61"/>
      <c r="K707" s="61"/>
      <c r="L707" s="73" t="str">
        <f t="shared" si="51"/>
        <v/>
      </c>
      <c r="M707" s="65" t="str">
        <f t="shared" ca="1" si="52"/>
        <v/>
      </c>
      <c r="N707" s="74" t="str">
        <f>IF($C707="","",IF($C707="TANIMSIZ MÜŞTERİ","—",INDEX(MUSTERILER!$C$7:$C$156,MATCH($C707,MUSTERILER!$B$7:$B$156,0))))</f>
        <v/>
      </c>
      <c r="O707" s="2"/>
      <c r="P707" s="2"/>
      <c r="Q707" s="1" t="str">
        <f>IF($D707="","",$C707&amp;"|"&amp;COUNTIFS($C$7:$C707,$C707))</f>
        <v/>
      </c>
      <c r="R707" s="1" t="str">
        <f t="shared" si="53"/>
        <v/>
      </c>
      <c r="S707" s="1" t="str">
        <f t="shared" si="54"/>
        <v/>
      </c>
      <c r="T707" s="1">
        <f>IF($E707="",0,SUMPRODUCT((AY_SONU!$O$7:$O$42="Evet")*(AY_SONU!$B$7:$B$42=DATE(YEAR($E707),MONTH($E707),1))))</f>
        <v>0</v>
      </c>
    </row>
    <row r="708" spans="1:20" ht="18" customHeight="1" x14ac:dyDescent="0.3">
      <c r="A708" s="2"/>
      <c r="B708" s="65" t="str">
        <f t="shared" si="50"/>
        <v/>
      </c>
      <c r="C708" s="65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66"/>
      <c r="F708" s="67"/>
      <c r="G708" s="60"/>
      <c r="H708" s="60"/>
      <c r="I708" s="61"/>
      <c r="J708" s="61"/>
      <c r="K708" s="61"/>
      <c r="L708" s="73" t="str">
        <f t="shared" si="51"/>
        <v/>
      </c>
      <c r="M708" s="65" t="str">
        <f t="shared" ca="1" si="52"/>
        <v/>
      </c>
      <c r="N708" s="74" t="str">
        <f>IF($C708="","",IF($C708="TANIMSIZ MÜŞTERİ","—",INDEX(MUSTERILER!$C$7:$C$156,MATCH($C708,MUSTERILER!$B$7:$B$156,0))))</f>
        <v/>
      </c>
      <c r="O708" s="2"/>
      <c r="P708" s="2"/>
      <c r="Q708" s="1" t="str">
        <f>IF($D708="","",$C708&amp;"|"&amp;COUNTIFS($C$7:$C708,$C708))</f>
        <v/>
      </c>
      <c r="R708" s="1" t="str">
        <f t="shared" si="53"/>
        <v/>
      </c>
      <c r="S708" s="1" t="str">
        <f t="shared" si="54"/>
        <v/>
      </c>
      <c r="T708" s="1">
        <f>IF($E708="",0,SUMPRODUCT((AY_SONU!$O$7:$O$42="Evet")*(AY_SONU!$B$7:$B$42=DATE(YEAR($E708),MONTH($E708),1))))</f>
        <v>0</v>
      </c>
    </row>
    <row r="709" spans="1:20" ht="18" customHeight="1" x14ac:dyDescent="0.3">
      <c r="A709" s="2"/>
      <c r="B709" s="65" t="str">
        <f t="shared" si="50"/>
        <v/>
      </c>
      <c r="C709" s="65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66"/>
      <c r="F709" s="67"/>
      <c r="G709" s="60"/>
      <c r="H709" s="60"/>
      <c r="I709" s="61"/>
      <c r="J709" s="61"/>
      <c r="K709" s="61"/>
      <c r="L709" s="73" t="str">
        <f t="shared" si="51"/>
        <v/>
      </c>
      <c r="M709" s="65" t="str">
        <f t="shared" ca="1" si="52"/>
        <v/>
      </c>
      <c r="N709" s="74" t="str">
        <f>IF($C709="","",IF($C709="TANIMSIZ MÜŞTERİ","—",INDEX(MUSTERILER!$C$7:$C$156,MATCH($C709,MUSTERILER!$B$7:$B$156,0))))</f>
        <v/>
      </c>
      <c r="O709" s="2"/>
      <c r="P709" s="2"/>
      <c r="Q709" s="1" t="str">
        <f>IF($D709="","",$C709&amp;"|"&amp;COUNTIFS($C$7:$C709,$C709))</f>
        <v/>
      </c>
      <c r="R709" s="1" t="str">
        <f t="shared" si="53"/>
        <v/>
      </c>
      <c r="S709" s="1" t="str">
        <f t="shared" si="54"/>
        <v/>
      </c>
      <c r="T709" s="1">
        <f>IF($E709="",0,SUMPRODUCT((AY_SONU!$O$7:$O$42="Evet")*(AY_SONU!$B$7:$B$42=DATE(YEAR($E709),MONTH($E709),1))))</f>
        <v>0</v>
      </c>
    </row>
    <row r="710" spans="1:20" ht="18" customHeight="1" x14ac:dyDescent="0.3">
      <c r="A710" s="2"/>
      <c r="B710" s="65" t="str">
        <f t="shared" si="50"/>
        <v/>
      </c>
      <c r="C710" s="65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66"/>
      <c r="F710" s="67"/>
      <c r="G710" s="60"/>
      <c r="H710" s="60"/>
      <c r="I710" s="61"/>
      <c r="J710" s="61"/>
      <c r="K710" s="61"/>
      <c r="L710" s="73" t="str">
        <f t="shared" si="51"/>
        <v/>
      </c>
      <c r="M710" s="65" t="str">
        <f t="shared" ca="1" si="52"/>
        <v/>
      </c>
      <c r="N710" s="74" t="str">
        <f>IF($C710="","",IF($C710="TANIMSIZ MÜŞTERİ","—",INDEX(MUSTERILER!$C$7:$C$156,MATCH($C710,MUSTERILER!$B$7:$B$156,0))))</f>
        <v/>
      </c>
      <c r="O710" s="2"/>
      <c r="P710" s="2"/>
      <c r="Q710" s="1" t="str">
        <f>IF($D710="","",$C710&amp;"|"&amp;COUNTIFS($C$7:$C710,$C710))</f>
        <v/>
      </c>
      <c r="R710" s="1" t="str">
        <f t="shared" si="53"/>
        <v/>
      </c>
      <c r="S710" s="1" t="str">
        <f t="shared" si="54"/>
        <v/>
      </c>
      <c r="T710" s="1">
        <f>IF($E710="",0,SUMPRODUCT((AY_SONU!$O$7:$O$42="Evet")*(AY_SONU!$B$7:$B$42=DATE(YEAR($E710),MONTH($E710),1))))</f>
        <v>0</v>
      </c>
    </row>
    <row r="711" spans="1:20" ht="18" customHeight="1" x14ac:dyDescent="0.3">
      <c r="A711" s="2"/>
      <c r="B711" s="65" t="str">
        <f t="shared" ref="B711:B774" si="55">IF($D711="","","T"&amp;TEXT(ROW()-6,"00000"))</f>
        <v/>
      </c>
      <c r="C711" s="65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66"/>
      <c r="F711" s="67"/>
      <c r="G711" s="60"/>
      <c r="H711" s="60"/>
      <c r="I711" s="61"/>
      <c r="J711" s="61"/>
      <c r="K711" s="61"/>
      <c r="L711" s="73" t="str">
        <f t="shared" ref="L711:L774" si="56">IF($E711="","",DATE(YEAR($E711),MONTH($E711),1))</f>
        <v/>
      </c>
      <c r="M711" s="65" t="str">
        <f t="shared" ref="M711:M774" ca="1" si="57">IF($D711="","",IF($C711="TANIMSIZ MÜŞTERİ","HATA",IF(OR($E711="",$F711&lt;=0,$G711=""),"EKSİK",IF($E711&gt;TODAY(),"İLERİ TARİH",IF(COUNTIF($S$7:$S$2506,$S711)&gt;1,"MÜKERRER?",IF($T711&gt;0,"KAPALI DÖNEM","UYGUN"))))))</f>
        <v/>
      </c>
      <c r="N711" s="74" t="str">
        <f>IF($C711="","",IF($C711="TANIMSIZ MÜŞTERİ","—",INDEX(MUSTERILER!$C$7:$C$156,MATCH($C711,MUSTERILER!$B$7:$B$156,0))))</f>
        <v/>
      </c>
      <c r="O711" s="2"/>
      <c r="P711" s="2"/>
      <c r="Q711" s="1" t="str">
        <f>IF($D711="","",$C711&amp;"|"&amp;COUNTIFS($C$7:$C711,$C711))</f>
        <v/>
      </c>
      <c r="R711" s="1" t="str">
        <f t="shared" ref="R711:R774" si="58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 t="str">
        <f t="shared" ref="S711:S774" si="59"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>0</v>
      </c>
    </row>
    <row r="712" spans="1:20" ht="18" customHeight="1" x14ac:dyDescent="0.3">
      <c r="A712" s="2"/>
      <c r="B712" s="65" t="str">
        <f t="shared" si="55"/>
        <v/>
      </c>
      <c r="C712" s="65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66"/>
      <c r="F712" s="67"/>
      <c r="G712" s="60"/>
      <c r="H712" s="60"/>
      <c r="I712" s="61"/>
      <c r="J712" s="61"/>
      <c r="K712" s="61"/>
      <c r="L712" s="73" t="str">
        <f t="shared" si="56"/>
        <v/>
      </c>
      <c r="M712" s="65" t="str">
        <f t="shared" ca="1" si="57"/>
        <v/>
      </c>
      <c r="N712" s="74" t="str">
        <f>IF($C712="","",IF($C712="TANIMSIZ MÜŞTERİ","—",INDEX(MUSTERILER!$C$7:$C$156,MATCH($C712,MUSTERILER!$B$7:$B$156,0))))</f>
        <v/>
      </c>
      <c r="O712" s="2"/>
      <c r="P712" s="2"/>
      <c r="Q712" s="1" t="str">
        <f>IF($D712="","",$C712&amp;"|"&amp;COUNTIFS($C$7:$C712,$C712))</f>
        <v/>
      </c>
      <c r="R712" s="1" t="str">
        <f t="shared" si="58"/>
        <v/>
      </c>
      <c r="S712" s="1" t="str">
        <f t="shared" si="59"/>
        <v/>
      </c>
      <c r="T712" s="1">
        <f>IF($E712="",0,SUMPRODUCT((AY_SONU!$O$7:$O$42="Evet")*(AY_SONU!$B$7:$B$42=DATE(YEAR($E712),MONTH($E712),1))))</f>
        <v>0</v>
      </c>
    </row>
    <row r="713" spans="1:20" ht="18" customHeight="1" x14ac:dyDescent="0.3">
      <c r="A713" s="2"/>
      <c r="B713" s="65" t="str">
        <f t="shared" si="55"/>
        <v/>
      </c>
      <c r="C713" s="65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66"/>
      <c r="F713" s="67"/>
      <c r="G713" s="60"/>
      <c r="H713" s="60"/>
      <c r="I713" s="61"/>
      <c r="J713" s="61"/>
      <c r="K713" s="61"/>
      <c r="L713" s="73" t="str">
        <f t="shared" si="56"/>
        <v/>
      </c>
      <c r="M713" s="65" t="str">
        <f t="shared" ca="1" si="57"/>
        <v/>
      </c>
      <c r="N713" s="74" t="str">
        <f>IF($C713="","",IF($C713="TANIMSIZ MÜŞTERİ","—",INDEX(MUSTERILER!$C$7:$C$156,MATCH($C713,MUSTERILER!$B$7:$B$156,0))))</f>
        <v/>
      </c>
      <c r="O713" s="2"/>
      <c r="P713" s="2"/>
      <c r="Q713" s="1" t="str">
        <f>IF($D713="","",$C713&amp;"|"&amp;COUNTIFS($C$7:$C713,$C713))</f>
        <v/>
      </c>
      <c r="R713" s="1" t="str">
        <f t="shared" si="58"/>
        <v/>
      </c>
      <c r="S713" s="1" t="str">
        <f t="shared" si="59"/>
        <v/>
      </c>
      <c r="T713" s="1">
        <f>IF($E713="",0,SUMPRODUCT((AY_SONU!$O$7:$O$42="Evet")*(AY_SONU!$B$7:$B$42=DATE(YEAR($E713),MONTH($E713),1))))</f>
        <v>0</v>
      </c>
    </row>
    <row r="714" spans="1:20" ht="18" customHeight="1" x14ac:dyDescent="0.3">
      <c r="A714" s="2"/>
      <c r="B714" s="65" t="str">
        <f t="shared" si="55"/>
        <v/>
      </c>
      <c r="C714" s="65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66"/>
      <c r="F714" s="67"/>
      <c r="G714" s="60"/>
      <c r="H714" s="60"/>
      <c r="I714" s="61"/>
      <c r="J714" s="61"/>
      <c r="K714" s="61"/>
      <c r="L714" s="73" t="str">
        <f t="shared" si="56"/>
        <v/>
      </c>
      <c r="M714" s="65" t="str">
        <f t="shared" ca="1" si="57"/>
        <v/>
      </c>
      <c r="N714" s="74" t="str">
        <f>IF($C714="","",IF($C714="TANIMSIZ MÜŞTERİ","—",INDEX(MUSTERILER!$C$7:$C$156,MATCH($C714,MUSTERILER!$B$7:$B$156,0))))</f>
        <v/>
      </c>
      <c r="O714" s="2"/>
      <c r="P714" s="2"/>
      <c r="Q714" s="1" t="str">
        <f>IF($D714="","",$C714&amp;"|"&amp;COUNTIFS($C$7:$C714,$C714))</f>
        <v/>
      </c>
      <c r="R714" s="1" t="str">
        <f t="shared" si="58"/>
        <v/>
      </c>
      <c r="S714" s="1" t="str">
        <f t="shared" si="59"/>
        <v/>
      </c>
      <c r="T714" s="1">
        <f>IF($E714="",0,SUMPRODUCT((AY_SONU!$O$7:$O$42="Evet")*(AY_SONU!$B$7:$B$42=DATE(YEAR($E714),MONTH($E714),1))))</f>
        <v>0</v>
      </c>
    </row>
    <row r="715" spans="1:20" ht="18" customHeight="1" x14ac:dyDescent="0.3">
      <c r="A715" s="2"/>
      <c r="B715" s="65" t="str">
        <f t="shared" si="55"/>
        <v/>
      </c>
      <c r="C715" s="65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66"/>
      <c r="F715" s="67"/>
      <c r="G715" s="60"/>
      <c r="H715" s="60"/>
      <c r="I715" s="61"/>
      <c r="J715" s="61"/>
      <c r="K715" s="61"/>
      <c r="L715" s="73" t="str">
        <f t="shared" si="56"/>
        <v/>
      </c>
      <c r="M715" s="65" t="str">
        <f t="shared" ca="1" si="57"/>
        <v/>
      </c>
      <c r="N715" s="74" t="str">
        <f>IF($C715="","",IF($C715="TANIMSIZ MÜŞTERİ","—",INDEX(MUSTERILER!$C$7:$C$156,MATCH($C715,MUSTERILER!$B$7:$B$156,0))))</f>
        <v/>
      </c>
      <c r="O715" s="2"/>
      <c r="P715" s="2"/>
      <c r="Q715" s="1" t="str">
        <f>IF($D715="","",$C715&amp;"|"&amp;COUNTIFS($C$7:$C715,$C715))</f>
        <v/>
      </c>
      <c r="R715" s="1" t="str">
        <f t="shared" si="58"/>
        <v/>
      </c>
      <c r="S715" s="1" t="str">
        <f t="shared" si="59"/>
        <v/>
      </c>
      <c r="T715" s="1">
        <f>IF($E715="",0,SUMPRODUCT((AY_SONU!$O$7:$O$42="Evet")*(AY_SONU!$B$7:$B$42=DATE(YEAR($E715),MONTH($E715),1))))</f>
        <v>0</v>
      </c>
    </row>
    <row r="716" spans="1:20" ht="18" customHeight="1" x14ac:dyDescent="0.3">
      <c r="A716" s="2"/>
      <c r="B716" s="65" t="str">
        <f t="shared" si="55"/>
        <v/>
      </c>
      <c r="C716" s="65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66"/>
      <c r="F716" s="67"/>
      <c r="G716" s="60"/>
      <c r="H716" s="60"/>
      <c r="I716" s="61"/>
      <c r="J716" s="61"/>
      <c r="K716" s="61"/>
      <c r="L716" s="73" t="str">
        <f t="shared" si="56"/>
        <v/>
      </c>
      <c r="M716" s="65" t="str">
        <f t="shared" ca="1" si="57"/>
        <v/>
      </c>
      <c r="N716" s="74" t="str">
        <f>IF($C716="","",IF($C716="TANIMSIZ MÜŞTERİ","—",INDEX(MUSTERILER!$C$7:$C$156,MATCH($C716,MUSTERILER!$B$7:$B$156,0))))</f>
        <v/>
      </c>
      <c r="O716" s="2"/>
      <c r="P716" s="2"/>
      <c r="Q716" s="1" t="str">
        <f>IF($D716="","",$C716&amp;"|"&amp;COUNTIFS($C$7:$C716,$C716))</f>
        <v/>
      </c>
      <c r="R716" s="1" t="str">
        <f t="shared" si="58"/>
        <v/>
      </c>
      <c r="S716" s="1" t="str">
        <f t="shared" si="59"/>
        <v/>
      </c>
      <c r="T716" s="1">
        <f>IF($E716="",0,SUMPRODUCT((AY_SONU!$O$7:$O$42="Evet")*(AY_SONU!$B$7:$B$42=DATE(YEAR($E716),MONTH($E716),1))))</f>
        <v>0</v>
      </c>
    </row>
    <row r="717" spans="1:20" ht="18" customHeight="1" x14ac:dyDescent="0.3">
      <c r="A717" s="2"/>
      <c r="B717" s="65" t="str">
        <f t="shared" si="55"/>
        <v/>
      </c>
      <c r="C717" s="65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66"/>
      <c r="F717" s="67"/>
      <c r="G717" s="60"/>
      <c r="H717" s="60"/>
      <c r="I717" s="61"/>
      <c r="J717" s="61"/>
      <c r="K717" s="61"/>
      <c r="L717" s="73" t="str">
        <f t="shared" si="56"/>
        <v/>
      </c>
      <c r="M717" s="65" t="str">
        <f t="shared" ca="1" si="57"/>
        <v/>
      </c>
      <c r="N717" s="74" t="str">
        <f>IF($C717="","",IF($C717="TANIMSIZ MÜŞTERİ","—",INDEX(MUSTERILER!$C$7:$C$156,MATCH($C717,MUSTERILER!$B$7:$B$156,0))))</f>
        <v/>
      </c>
      <c r="O717" s="2"/>
      <c r="P717" s="2"/>
      <c r="Q717" s="1" t="str">
        <f>IF($D717="","",$C717&amp;"|"&amp;COUNTIFS($C$7:$C717,$C717))</f>
        <v/>
      </c>
      <c r="R717" s="1" t="str">
        <f t="shared" si="58"/>
        <v/>
      </c>
      <c r="S717" s="1" t="str">
        <f t="shared" si="59"/>
        <v/>
      </c>
      <c r="T717" s="1">
        <f>IF($E717="",0,SUMPRODUCT((AY_SONU!$O$7:$O$42="Evet")*(AY_SONU!$B$7:$B$42=DATE(YEAR($E717),MONTH($E717),1))))</f>
        <v>0</v>
      </c>
    </row>
    <row r="718" spans="1:20" ht="18" customHeight="1" x14ac:dyDescent="0.3">
      <c r="A718" s="2"/>
      <c r="B718" s="65" t="str">
        <f t="shared" si="55"/>
        <v/>
      </c>
      <c r="C718" s="65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66"/>
      <c r="F718" s="67"/>
      <c r="G718" s="60"/>
      <c r="H718" s="60"/>
      <c r="I718" s="61"/>
      <c r="J718" s="61"/>
      <c r="K718" s="61"/>
      <c r="L718" s="73" t="str">
        <f t="shared" si="56"/>
        <v/>
      </c>
      <c r="M718" s="65" t="str">
        <f t="shared" ca="1" si="57"/>
        <v/>
      </c>
      <c r="N718" s="74" t="str">
        <f>IF($C718="","",IF($C718="TANIMSIZ MÜŞTERİ","—",INDEX(MUSTERILER!$C$7:$C$156,MATCH($C718,MUSTERILER!$B$7:$B$156,0))))</f>
        <v/>
      </c>
      <c r="O718" s="2"/>
      <c r="P718" s="2"/>
      <c r="Q718" s="1" t="str">
        <f>IF($D718="","",$C718&amp;"|"&amp;COUNTIFS($C$7:$C718,$C718))</f>
        <v/>
      </c>
      <c r="R718" s="1" t="str">
        <f t="shared" si="58"/>
        <v/>
      </c>
      <c r="S718" s="1" t="str">
        <f t="shared" si="59"/>
        <v/>
      </c>
      <c r="T718" s="1">
        <f>IF($E718="",0,SUMPRODUCT((AY_SONU!$O$7:$O$42="Evet")*(AY_SONU!$B$7:$B$42=DATE(YEAR($E718),MONTH($E718),1))))</f>
        <v>0</v>
      </c>
    </row>
    <row r="719" spans="1:20" ht="18" customHeight="1" x14ac:dyDescent="0.3">
      <c r="A719" s="2"/>
      <c r="B719" s="65" t="str">
        <f t="shared" si="55"/>
        <v/>
      </c>
      <c r="C719" s="65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66"/>
      <c r="F719" s="67"/>
      <c r="G719" s="60"/>
      <c r="H719" s="60"/>
      <c r="I719" s="61"/>
      <c r="J719" s="61"/>
      <c r="K719" s="61"/>
      <c r="L719" s="73" t="str">
        <f t="shared" si="56"/>
        <v/>
      </c>
      <c r="M719" s="65" t="str">
        <f t="shared" ca="1" si="57"/>
        <v/>
      </c>
      <c r="N719" s="74" t="str">
        <f>IF($C719="","",IF($C719="TANIMSIZ MÜŞTERİ","—",INDEX(MUSTERILER!$C$7:$C$156,MATCH($C719,MUSTERILER!$B$7:$B$156,0))))</f>
        <v/>
      </c>
      <c r="O719" s="2"/>
      <c r="P719" s="2"/>
      <c r="Q719" s="1" t="str">
        <f>IF($D719="","",$C719&amp;"|"&amp;COUNTIFS($C$7:$C719,$C719))</f>
        <v/>
      </c>
      <c r="R719" s="1" t="str">
        <f t="shared" si="58"/>
        <v/>
      </c>
      <c r="S719" s="1" t="str">
        <f t="shared" si="59"/>
        <v/>
      </c>
      <c r="T719" s="1">
        <f>IF($E719="",0,SUMPRODUCT((AY_SONU!$O$7:$O$42="Evet")*(AY_SONU!$B$7:$B$42=DATE(YEAR($E719),MONTH($E719),1))))</f>
        <v>0</v>
      </c>
    </row>
    <row r="720" spans="1:20" ht="18" customHeight="1" x14ac:dyDescent="0.3">
      <c r="A720" s="2"/>
      <c r="B720" s="65" t="str">
        <f t="shared" si="55"/>
        <v/>
      </c>
      <c r="C720" s="65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66"/>
      <c r="F720" s="67"/>
      <c r="G720" s="60"/>
      <c r="H720" s="60"/>
      <c r="I720" s="61"/>
      <c r="J720" s="61"/>
      <c r="K720" s="61"/>
      <c r="L720" s="73" t="str">
        <f t="shared" si="56"/>
        <v/>
      </c>
      <c r="M720" s="65" t="str">
        <f t="shared" ca="1" si="57"/>
        <v/>
      </c>
      <c r="N720" s="74" t="str">
        <f>IF($C720="","",IF($C720="TANIMSIZ MÜŞTERİ","—",INDEX(MUSTERILER!$C$7:$C$156,MATCH($C720,MUSTERILER!$B$7:$B$156,0))))</f>
        <v/>
      </c>
      <c r="O720" s="2"/>
      <c r="P720" s="2"/>
      <c r="Q720" s="1" t="str">
        <f>IF($D720="","",$C720&amp;"|"&amp;COUNTIFS($C$7:$C720,$C720))</f>
        <v/>
      </c>
      <c r="R720" s="1" t="str">
        <f t="shared" si="58"/>
        <v/>
      </c>
      <c r="S720" s="1" t="str">
        <f t="shared" si="59"/>
        <v/>
      </c>
      <c r="T720" s="1">
        <f>IF($E720="",0,SUMPRODUCT((AY_SONU!$O$7:$O$42="Evet")*(AY_SONU!$B$7:$B$42=DATE(YEAR($E720),MONTH($E720),1))))</f>
        <v>0</v>
      </c>
    </row>
    <row r="721" spans="1:20" ht="18" customHeight="1" x14ac:dyDescent="0.3">
      <c r="A721" s="2"/>
      <c r="B721" s="65" t="str">
        <f t="shared" si="55"/>
        <v/>
      </c>
      <c r="C721" s="65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66"/>
      <c r="F721" s="67"/>
      <c r="G721" s="60"/>
      <c r="H721" s="60"/>
      <c r="I721" s="61"/>
      <c r="J721" s="61"/>
      <c r="K721" s="61"/>
      <c r="L721" s="73" t="str">
        <f t="shared" si="56"/>
        <v/>
      </c>
      <c r="M721" s="65" t="str">
        <f t="shared" ca="1" si="57"/>
        <v/>
      </c>
      <c r="N721" s="74" t="str">
        <f>IF($C721="","",IF($C721="TANIMSIZ MÜŞTERİ","—",INDEX(MUSTERILER!$C$7:$C$156,MATCH($C721,MUSTERILER!$B$7:$B$156,0))))</f>
        <v/>
      </c>
      <c r="O721" s="2"/>
      <c r="P721" s="2"/>
      <c r="Q721" s="1" t="str">
        <f>IF($D721="","",$C721&amp;"|"&amp;COUNTIFS($C$7:$C721,$C721))</f>
        <v/>
      </c>
      <c r="R721" s="1" t="str">
        <f t="shared" si="58"/>
        <v/>
      </c>
      <c r="S721" s="1" t="str">
        <f t="shared" si="59"/>
        <v/>
      </c>
      <c r="T721" s="1">
        <f>IF($E721="",0,SUMPRODUCT((AY_SONU!$O$7:$O$42="Evet")*(AY_SONU!$B$7:$B$42=DATE(YEAR($E721),MONTH($E721),1))))</f>
        <v>0</v>
      </c>
    </row>
    <row r="722" spans="1:20" ht="18" customHeight="1" x14ac:dyDescent="0.3">
      <c r="A722" s="2"/>
      <c r="B722" s="65" t="str">
        <f t="shared" si="55"/>
        <v/>
      </c>
      <c r="C722" s="65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66"/>
      <c r="F722" s="67"/>
      <c r="G722" s="60"/>
      <c r="H722" s="60"/>
      <c r="I722" s="61"/>
      <c r="J722" s="61"/>
      <c r="K722" s="61"/>
      <c r="L722" s="73" t="str">
        <f t="shared" si="56"/>
        <v/>
      </c>
      <c r="M722" s="65" t="str">
        <f t="shared" ca="1" si="57"/>
        <v/>
      </c>
      <c r="N722" s="74" t="str">
        <f>IF($C722="","",IF($C722="TANIMSIZ MÜŞTERİ","—",INDEX(MUSTERILER!$C$7:$C$156,MATCH($C722,MUSTERILER!$B$7:$B$156,0))))</f>
        <v/>
      </c>
      <c r="O722" s="2"/>
      <c r="P722" s="2"/>
      <c r="Q722" s="1" t="str">
        <f>IF($D722="","",$C722&amp;"|"&amp;COUNTIFS($C$7:$C722,$C722))</f>
        <v/>
      </c>
      <c r="R722" s="1" t="str">
        <f t="shared" si="58"/>
        <v/>
      </c>
      <c r="S722" s="1" t="str">
        <f t="shared" si="59"/>
        <v/>
      </c>
      <c r="T722" s="1">
        <f>IF($E722="",0,SUMPRODUCT((AY_SONU!$O$7:$O$42="Evet")*(AY_SONU!$B$7:$B$42=DATE(YEAR($E722),MONTH($E722),1))))</f>
        <v>0</v>
      </c>
    </row>
    <row r="723" spans="1:20" ht="18" customHeight="1" x14ac:dyDescent="0.3">
      <c r="A723" s="2"/>
      <c r="B723" s="65" t="str">
        <f t="shared" si="55"/>
        <v/>
      </c>
      <c r="C723" s="65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66"/>
      <c r="F723" s="67"/>
      <c r="G723" s="60"/>
      <c r="H723" s="60"/>
      <c r="I723" s="61"/>
      <c r="J723" s="61"/>
      <c r="K723" s="61"/>
      <c r="L723" s="73" t="str">
        <f t="shared" si="56"/>
        <v/>
      </c>
      <c r="M723" s="65" t="str">
        <f t="shared" ca="1" si="57"/>
        <v/>
      </c>
      <c r="N723" s="74" t="str">
        <f>IF($C723="","",IF($C723="TANIMSIZ MÜŞTERİ","—",INDEX(MUSTERILER!$C$7:$C$156,MATCH($C723,MUSTERILER!$B$7:$B$156,0))))</f>
        <v/>
      </c>
      <c r="O723" s="2"/>
      <c r="P723" s="2"/>
      <c r="Q723" s="1" t="str">
        <f>IF($D723="","",$C723&amp;"|"&amp;COUNTIFS($C$7:$C723,$C723))</f>
        <v/>
      </c>
      <c r="R723" s="1" t="str">
        <f t="shared" si="58"/>
        <v/>
      </c>
      <c r="S723" s="1" t="str">
        <f t="shared" si="59"/>
        <v/>
      </c>
      <c r="T723" s="1">
        <f>IF($E723="",0,SUMPRODUCT((AY_SONU!$O$7:$O$42="Evet")*(AY_SONU!$B$7:$B$42=DATE(YEAR($E723),MONTH($E723),1))))</f>
        <v>0</v>
      </c>
    </row>
    <row r="724" spans="1:20" ht="18" customHeight="1" x14ac:dyDescent="0.3">
      <c r="A724" s="2"/>
      <c r="B724" s="65" t="str">
        <f t="shared" si="55"/>
        <v/>
      </c>
      <c r="C724" s="65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66"/>
      <c r="F724" s="67"/>
      <c r="G724" s="60"/>
      <c r="H724" s="60"/>
      <c r="I724" s="61"/>
      <c r="J724" s="61"/>
      <c r="K724" s="61"/>
      <c r="L724" s="73" t="str">
        <f t="shared" si="56"/>
        <v/>
      </c>
      <c r="M724" s="65" t="str">
        <f t="shared" ca="1" si="57"/>
        <v/>
      </c>
      <c r="N724" s="74" t="str">
        <f>IF($C724="","",IF($C724="TANIMSIZ MÜŞTERİ","—",INDEX(MUSTERILER!$C$7:$C$156,MATCH($C724,MUSTERILER!$B$7:$B$156,0))))</f>
        <v/>
      </c>
      <c r="O724" s="2"/>
      <c r="P724" s="2"/>
      <c r="Q724" s="1" t="str">
        <f>IF($D724="","",$C724&amp;"|"&amp;COUNTIFS($C$7:$C724,$C724))</f>
        <v/>
      </c>
      <c r="R724" s="1" t="str">
        <f t="shared" si="58"/>
        <v/>
      </c>
      <c r="S724" s="1" t="str">
        <f t="shared" si="59"/>
        <v/>
      </c>
      <c r="T724" s="1">
        <f>IF($E724="",0,SUMPRODUCT((AY_SONU!$O$7:$O$42="Evet")*(AY_SONU!$B$7:$B$42=DATE(YEAR($E724),MONTH($E724),1))))</f>
        <v>0</v>
      </c>
    </row>
    <row r="725" spans="1:20" ht="18" customHeight="1" x14ac:dyDescent="0.3">
      <c r="A725" s="2"/>
      <c r="B725" s="65" t="str">
        <f t="shared" si="55"/>
        <v/>
      </c>
      <c r="C725" s="65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66"/>
      <c r="F725" s="67"/>
      <c r="G725" s="60"/>
      <c r="H725" s="60"/>
      <c r="I725" s="61"/>
      <c r="J725" s="61"/>
      <c r="K725" s="61"/>
      <c r="L725" s="73" t="str">
        <f t="shared" si="56"/>
        <v/>
      </c>
      <c r="M725" s="65" t="str">
        <f t="shared" ca="1" si="57"/>
        <v/>
      </c>
      <c r="N725" s="74" t="str">
        <f>IF($C725="","",IF($C725="TANIMSIZ MÜŞTERİ","—",INDEX(MUSTERILER!$C$7:$C$156,MATCH($C725,MUSTERILER!$B$7:$B$156,0))))</f>
        <v/>
      </c>
      <c r="O725" s="2"/>
      <c r="P725" s="2"/>
      <c r="Q725" s="1" t="str">
        <f>IF($D725="","",$C725&amp;"|"&amp;COUNTIFS($C$7:$C725,$C725))</f>
        <v/>
      </c>
      <c r="R725" s="1" t="str">
        <f t="shared" si="58"/>
        <v/>
      </c>
      <c r="S725" s="1" t="str">
        <f t="shared" si="59"/>
        <v/>
      </c>
      <c r="T725" s="1">
        <f>IF($E725="",0,SUMPRODUCT((AY_SONU!$O$7:$O$42="Evet")*(AY_SONU!$B$7:$B$42=DATE(YEAR($E725),MONTH($E725),1))))</f>
        <v>0</v>
      </c>
    </row>
    <row r="726" spans="1:20" ht="18" customHeight="1" x14ac:dyDescent="0.3">
      <c r="A726" s="2"/>
      <c r="B726" s="65" t="str">
        <f t="shared" si="55"/>
        <v/>
      </c>
      <c r="C726" s="65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66"/>
      <c r="F726" s="67"/>
      <c r="G726" s="60"/>
      <c r="H726" s="60"/>
      <c r="I726" s="61"/>
      <c r="J726" s="61"/>
      <c r="K726" s="61"/>
      <c r="L726" s="73" t="str">
        <f t="shared" si="56"/>
        <v/>
      </c>
      <c r="M726" s="65" t="str">
        <f t="shared" ca="1" si="57"/>
        <v/>
      </c>
      <c r="N726" s="74" t="str">
        <f>IF($C726="","",IF($C726="TANIMSIZ MÜŞTERİ","—",INDEX(MUSTERILER!$C$7:$C$156,MATCH($C726,MUSTERILER!$B$7:$B$156,0))))</f>
        <v/>
      </c>
      <c r="O726" s="2"/>
      <c r="P726" s="2"/>
      <c r="Q726" s="1" t="str">
        <f>IF($D726="","",$C726&amp;"|"&amp;COUNTIFS($C$7:$C726,$C726))</f>
        <v/>
      </c>
      <c r="R726" s="1" t="str">
        <f t="shared" si="58"/>
        <v/>
      </c>
      <c r="S726" s="1" t="str">
        <f t="shared" si="59"/>
        <v/>
      </c>
      <c r="T726" s="1">
        <f>IF($E726="",0,SUMPRODUCT((AY_SONU!$O$7:$O$42="Evet")*(AY_SONU!$B$7:$B$42=DATE(YEAR($E726),MONTH($E726),1))))</f>
        <v>0</v>
      </c>
    </row>
    <row r="727" spans="1:20" ht="18" customHeight="1" x14ac:dyDescent="0.3">
      <c r="A727" s="2"/>
      <c r="B727" s="65" t="str">
        <f t="shared" si="55"/>
        <v/>
      </c>
      <c r="C727" s="65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66"/>
      <c r="F727" s="67"/>
      <c r="G727" s="60"/>
      <c r="H727" s="60"/>
      <c r="I727" s="61"/>
      <c r="J727" s="61"/>
      <c r="K727" s="61"/>
      <c r="L727" s="73" t="str">
        <f t="shared" si="56"/>
        <v/>
      </c>
      <c r="M727" s="65" t="str">
        <f t="shared" ca="1" si="57"/>
        <v/>
      </c>
      <c r="N727" s="74" t="str">
        <f>IF($C727="","",IF($C727="TANIMSIZ MÜŞTERİ","—",INDEX(MUSTERILER!$C$7:$C$156,MATCH($C727,MUSTERILER!$B$7:$B$156,0))))</f>
        <v/>
      </c>
      <c r="O727" s="2"/>
      <c r="P727" s="2"/>
      <c r="Q727" s="1" t="str">
        <f>IF($D727="","",$C727&amp;"|"&amp;COUNTIFS($C$7:$C727,$C727))</f>
        <v/>
      </c>
      <c r="R727" s="1" t="str">
        <f t="shared" si="58"/>
        <v/>
      </c>
      <c r="S727" s="1" t="str">
        <f t="shared" si="59"/>
        <v/>
      </c>
      <c r="T727" s="1">
        <f>IF($E727="",0,SUMPRODUCT((AY_SONU!$O$7:$O$42="Evet")*(AY_SONU!$B$7:$B$42=DATE(YEAR($E727),MONTH($E727),1))))</f>
        <v>0</v>
      </c>
    </row>
    <row r="728" spans="1:20" ht="18" customHeight="1" x14ac:dyDescent="0.3">
      <c r="A728" s="2"/>
      <c r="B728" s="65" t="str">
        <f t="shared" si="55"/>
        <v/>
      </c>
      <c r="C728" s="65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66"/>
      <c r="F728" s="67"/>
      <c r="G728" s="60"/>
      <c r="H728" s="60"/>
      <c r="I728" s="61"/>
      <c r="J728" s="61"/>
      <c r="K728" s="61"/>
      <c r="L728" s="73" t="str">
        <f t="shared" si="56"/>
        <v/>
      </c>
      <c r="M728" s="65" t="str">
        <f t="shared" ca="1" si="57"/>
        <v/>
      </c>
      <c r="N728" s="74" t="str">
        <f>IF($C728="","",IF($C728="TANIMSIZ MÜŞTERİ","—",INDEX(MUSTERILER!$C$7:$C$156,MATCH($C728,MUSTERILER!$B$7:$B$156,0))))</f>
        <v/>
      </c>
      <c r="O728" s="2"/>
      <c r="P728" s="2"/>
      <c r="Q728" s="1" t="str">
        <f>IF($D728="","",$C728&amp;"|"&amp;COUNTIFS($C$7:$C728,$C728))</f>
        <v/>
      </c>
      <c r="R728" s="1" t="str">
        <f t="shared" si="58"/>
        <v/>
      </c>
      <c r="S728" s="1" t="str">
        <f t="shared" si="59"/>
        <v/>
      </c>
      <c r="T728" s="1">
        <f>IF($E728="",0,SUMPRODUCT((AY_SONU!$O$7:$O$42="Evet")*(AY_SONU!$B$7:$B$42=DATE(YEAR($E728),MONTH($E728),1))))</f>
        <v>0</v>
      </c>
    </row>
    <row r="729" spans="1:20" ht="18" customHeight="1" x14ac:dyDescent="0.3">
      <c r="A729" s="2"/>
      <c r="B729" s="65" t="str">
        <f t="shared" si="55"/>
        <v/>
      </c>
      <c r="C729" s="65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66"/>
      <c r="F729" s="67"/>
      <c r="G729" s="60"/>
      <c r="H729" s="60"/>
      <c r="I729" s="61"/>
      <c r="J729" s="61"/>
      <c r="K729" s="61"/>
      <c r="L729" s="73" t="str">
        <f t="shared" si="56"/>
        <v/>
      </c>
      <c r="M729" s="65" t="str">
        <f t="shared" ca="1" si="57"/>
        <v/>
      </c>
      <c r="N729" s="74" t="str">
        <f>IF($C729="","",IF($C729="TANIMSIZ MÜŞTERİ","—",INDEX(MUSTERILER!$C$7:$C$156,MATCH($C729,MUSTERILER!$B$7:$B$156,0))))</f>
        <v/>
      </c>
      <c r="O729" s="2"/>
      <c r="P729" s="2"/>
      <c r="Q729" s="1" t="str">
        <f>IF($D729="","",$C729&amp;"|"&amp;COUNTIFS($C$7:$C729,$C729))</f>
        <v/>
      </c>
      <c r="R729" s="1" t="str">
        <f t="shared" si="58"/>
        <v/>
      </c>
      <c r="S729" s="1" t="str">
        <f t="shared" si="59"/>
        <v/>
      </c>
      <c r="T729" s="1">
        <f>IF($E729="",0,SUMPRODUCT((AY_SONU!$O$7:$O$42="Evet")*(AY_SONU!$B$7:$B$42=DATE(YEAR($E729),MONTH($E729),1))))</f>
        <v>0</v>
      </c>
    </row>
    <row r="730" spans="1:20" ht="18" customHeight="1" x14ac:dyDescent="0.3">
      <c r="A730" s="2"/>
      <c r="B730" s="65" t="str">
        <f t="shared" si="55"/>
        <v/>
      </c>
      <c r="C730" s="65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66"/>
      <c r="F730" s="67"/>
      <c r="G730" s="60"/>
      <c r="H730" s="60"/>
      <c r="I730" s="61"/>
      <c r="J730" s="61"/>
      <c r="K730" s="61"/>
      <c r="L730" s="73" t="str">
        <f t="shared" si="56"/>
        <v/>
      </c>
      <c r="M730" s="65" t="str">
        <f t="shared" ca="1" si="57"/>
        <v/>
      </c>
      <c r="N730" s="74" t="str">
        <f>IF($C730="","",IF($C730="TANIMSIZ MÜŞTERİ","—",INDEX(MUSTERILER!$C$7:$C$156,MATCH($C730,MUSTERILER!$B$7:$B$156,0))))</f>
        <v/>
      </c>
      <c r="O730" s="2"/>
      <c r="P730" s="2"/>
      <c r="Q730" s="1" t="str">
        <f>IF($D730="","",$C730&amp;"|"&amp;COUNTIFS($C$7:$C730,$C730))</f>
        <v/>
      </c>
      <c r="R730" s="1" t="str">
        <f t="shared" si="58"/>
        <v/>
      </c>
      <c r="S730" s="1" t="str">
        <f t="shared" si="59"/>
        <v/>
      </c>
      <c r="T730" s="1">
        <f>IF($E730="",0,SUMPRODUCT((AY_SONU!$O$7:$O$42="Evet")*(AY_SONU!$B$7:$B$42=DATE(YEAR($E730),MONTH($E730),1))))</f>
        <v>0</v>
      </c>
    </row>
    <row r="731" spans="1:20" ht="18" customHeight="1" x14ac:dyDescent="0.3">
      <c r="A731" s="2"/>
      <c r="B731" s="65" t="str">
        <f t="shared" si="55"/>
        <v/>
      </c>
      <c r="C731" s="65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66"/>
      <c r="F731" s="67"/>
      <c r="G731" s="60"/>
      <c r="H731" s="60"/>
      <c r="I731" s="61"/>
      <c r="J731" s="61"/>
      <c r="K731" s="61"/>
      <c r="L731" s="73" t="str">
        <f t="shared" si="56"/>
        <v/>
      </c>
      <c r="M731" s="65" t="str">
        <f t="shared" ca="1" si="57"/>
        <v/>
      </c>
      <c r="N731" s="74" t="str">
        <f>IF($C731="","",IF($C731="TANIMSIZ MÜŞTERİ","—",INDEX(MUSTERILER!$C$7:$C$156,MATCH($C731,MUSTERILER!$B$7:$B$156,0))))</f>
        <v/>
      </c>
      <c r="O731" s="2"/>
      <c r="P731" s="2"/>
      <c r="Q731" s="1" t="str">
        <f>IF($D731="","",$C731&amp;"|"&amp;COUNTIFS($C$7:$C731,$C731))</f>
        <v/>
      </c>
      <c r="R731" s="1" t="str">
        <f t="shared" si="58"/>
        <v/>
      </c>
      <c r="S731" s="1" t="str">
        <f t="shared" si="59"/>
        <v/>
      </c>
      <c r="T731" s="1">
        <f>IF($E731="",0,SUMPRODUCT((AY_SONU!$O$7:$O$42="Evet")*(AY_SONU!$B$7:$B$42=DATE(YEAR($E731),MONTH($E731),1))))</f>
        <v>0</v>
      </c>
    </row>
    <row r="732" spans="1:20" ht="18" customHeight="1" x14ac:dyDescent="0.3">
      <c r="A732" s="2"/>
      <c r="B732" s="65" t="str">
        <f t="shared" si="55"/>
        <v/>
      </c>
      <c r="C732" s="65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66"/>
      <c r="F732" s="67"/>
      <c r="G732" s="60"/>
      <c r="H732" s="60"/>
      <c r="I732" s="61"/>
      <c r="J732" s="61"/>
      <c r="K732" s="61"/>
      <c r="L732" s="73" t="str">
        <f t="shared" si="56"/>
        <v/>
      </c>
      <c r="M732" s="65" t="str">
        <f t="shared" ca="1" si="57"/>
        <v/>
      </c>
      <c r="N732" s="74" t="str">
        <f>IF($C732="","",IF($C732="TANIMSIZ MÜŞTERİ","—",INDEX(MUSTERILER!$C$7:$C$156,MATCH($C732,MUSTERILER!$B$7:$B$156,0))))</f>
        <v/>
      </c>
      <c r="O732" s="2"/>
      <c r="P732" s="2"/>
      <c r="Q732" s="1" t="str">
        <f>IF($D732="","",$C732&amp;"|"&amp;COUNTIFS($C$7:$C732,$C732))</f>
        <v/>
      </c>
      <c r="R732" s="1" t="str">
        <f t="shared" si="58"/>
        <v/>
      </c>
      <c r="S732" s="1" t="str">
        <f t="shared" si="59"/>
        <v/>
      </c>
      <c r="T732" s="1">
        <f>IF($E732="",0,SUMPRODUCT((AY_SONU!$O$7:$O$42="Evet")*(AY_SONU!$B$7:$B$42=DATE(YEAR($E732),MONTH($E732),1))))</f>
        <v>0</v>
      </c>
    </row>
    <row r="733" spans="1:20" ht="18" customHeight="1" x14ac:dyDescent="0.3">
      <c r="A733" s="2"/>
      <c r="B733" s="65" t="str">
        <f t="shared" si="55"/>
        <v/>
      </c>
      <c r="C733" s="65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66"/>
      <c r="F733" s="67"/>
      <c r="G733" s="60"/>
      <c r="H733" s="60"/>
      <c r="I733" s="61"/>
      <c r="J733" s="61"/>
      <c r="K733" s="61"/>
      <c r="L733" s="73" t="str">
        <f t="shared" si="56"/>
        <v/>
      </c>
      <c r="M733" s="65" t="str">
        <f t="shared" ca="1" si="57"/>
        <v/>
      </c>
      <c r="N733" s="74" t="str">
        <f>IF($C733="","",IF($C733="TANIMSIZ MÜŞTERİ","—",INDEX(MUSTERILER!$C$7:$C$156,MATCH($C733,MUSTERILER!$B$7:$B$156,0))))</f>
        <v/>
      </c>
      <c r="O733" s="2"/>
      <c r="P733" s="2"/>
      <c r="Q733" s="1" t="str">
        <f>IF($D733="","",$C733&amp;"|"&amp;COUNTIFS($C$7:$C733,$C733))</f>
        <v/>
      </c>
      <c r="R733" s="1" t="str">
        <f t="shared" si="58"/>
        <v/>
      </c>
      <c r="S733" s="1" t="str">
        <f t="shared" si="59"/>
        <v/>
      </c>
      <c r="T733" s="1">
        <f>IF($E733="",0,SUMPRODUCT((AY_SONU!$O$7:$O$42="Evet")*(AY_SONU!$B$7:$B$42=DATE(YEAR($E733),MONTH($E733),1))))</f>
        <v>0</v>
      </c>
    </row>
    <row r="734" spans="1:20" ht="18" customHeight="1" x14ac:dyDescent="0.3">
      <c r="A734" s="2"/>
      <c r="B734" s="65" t="str">
        <f t="shared" si="55"/>
        <v/>
      </c>
      <c r="C734" s="65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66"/>
      <c r="F734" s="67"/>
      <c r="G734" s="60"/>
      <c r="H734" s="60"/>
      <c r="I734" s="61"/>
      <c r="J734" s="61"/>
      <c r="K734" s="61"/>
      <c r="L734" s="73" t="str">
        <f t="shared" si="56"/>
        <v/>
      </c>
      <c r="M734" s="65" t="str">
        <f t="shared" ca="1" si="57"/>
        <v/>
      </c>
      <c r="N734" s="74" t="str">
        <f>IF($C734="","",IF($C734="TANIMSIZ MÜŞTERİ","—",INDEX(MUSTERILER!$C$7:$C$156,MATCH($C734,MUSTERILER!$B$7:$B$156,0))))</f>
        <v/>
      </c>
      <c r="O734" s="2"/>
      <c r="P734" s="2"/>
      <c r="Q734" s="1" t="str">
        <f>IF($D734="","",$C734&amp;"|"&amp;COUNTIFS($C$7:$C734,$C734))</f>
        <v/>
      </c>
      <c r="R734" s="1" t="str">
        <f t="shared" si="58"/>
        <v/>
      </c>
      <c r="S734" s="1" t="str">
        <f t="shared" si="59"/>
        <v/>
      </c>
      <c r="T734" s="1">
        <f>IF($E734="",0,SUMPRODUCT((AY_SONU!$O$7:$O$42="Evet")*(AY_SONU!$B$7:$B$42=DATE(YEAR($E734),MONTH($E734),1))))</f>
        <v>0</v>
      </c>
    </row>
    <row r="735" spans="1:20" ht="18" customHeight="1" x14ac:dyDescent="0.3">
      <c r="A735" s="2"/>
      <c r="B735" s="65" t="str">
        <f t="shared" si="55"/>
        <v/>
      </c>
      <c r="C735" s="65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66"/>
      <c r="F735" s="67"/>
      <c r="G735" s="60"/>
      <c r="H735" s="60"/>
      <c r="I735" s="61"/>
      <c r="J735" s="61"/>
      <c r="K735" s="61"/>
      <c r="L735" s="73" t="str">
        <f t="shared" si="56"/>
        <v/>
      </c>
      <c r="M735" s="65" t="str">
        <f t="shared" ca="1" si="57"/>
        <v/>
      </c>
      <c r="N735" s="74" t="str">
        <f>IF($C735="","",IF($C735="TANIMSIZ MÜŞTERİ","—",INDEX(MUSTERILER!$C$7:$C$156,MATCH($C735,MUSTERILER!$B$7:$B$156,0))))</f>
        <v/>
      </c>
      <c r="O735" s="2"/>
      <c r="P735" s="2"/>
      <c r="Q735" s="1" t="str">
        <f>IF($D735="","",$C735&amp;"|"&amp;COUNTIFS($C$7:$C735,$C735))</f>
        <v/>
      </c>
      <c r="R735" s="1" t="str">
        <f t="shared" si="58"/>
        <v/>
      </c>
      <c r="S735" s="1" t="str">
        <f t="shared" si="59"/>
        <v/>
      </c>
      <c r="T735" s="1">
        <f>IF($E735="",0,SUMPRODUCT((AY_SONU!$O$7:$O$42="Evet")*(AY_SONU!$B$7:$B$42=DATE(YEAR($E735),MONTH($E735),1))))</f>
        <v>0</v>
      </c>
    </row>
    <row r="736" spans="1:20" ht="18" customHeight="1" x14ac:dyDescent="0.3">
      <c r="A736" s="2"/>
      <c r="B736" s="65" t="str">
        <f t="shared" si="55"/>
        <v/>
      </c>
      <c r="C736" s="65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66"/>
      <c r="F736" s="67"/>
      <c r="G736" s="60"/>
      <c r="H736" s="60"/>
      <c r="I736" s="61"/>
      <c r="J736" s="61"/>
      <c r="K736" s="61"/>
      <c r="L736" s="73" t="str">
        <f t="shared" si="56"/>
        <v/>
      </c>
      <c r="M736" s="65" t="str">
        <f t="shared" ca="1" si="57"/>
        <v/>
      </c>
      <c r="N736" s="74" t="str">
        <f>IF($C736="","",IF($C736="TANIMSIZ MÜŞTERİ","—",INDEX(MUSTERILER!$C$7:$C$156,MATCH($C736,MUSTERILER!$B$7:$B$156,0))))</f>
        <v/>
      </c>
      <c r="O736" s="2"/>
      <c r="P736" s="2"/>
      <c r="Q736" s="1" t="str">
        <f>IF($D736="","",$C736&amp;"|"&amp;COUNTIFS($C$7:$C736,$C736))</f>
        <v/>
      </c>
      <c r="R736" s="1" t="str">
        <f t="shared" si="58"/>
        <v/>
      </c>
      <c r="S736" s="1" t="str">
        <f t="shared" si="59"/>
        <v/>
      </c>
      <c r="T736" s="1">
        <f>IF($E736="",0,SUMPRODUCT((AY_SONU!$O$7:$O$42="Evet")*(AY_SONU!$B$7:$B$42=DATE(YEAR($E736),MONTH($E736),1))))</f>
        <v>0</v>
      </c>
    </row>
    <row r="737" spans="1:20" ht="18" customHeight="1" x14ac:dyDescent="0.3">
      <c r="A737" s="2"/>
      <c r="B737" s="65" t="str">
        <f t="shared" si="55"/>
        <v/>
      </c>
      <c r="C737" s="65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66"/>
      <c r="F737" s="67"/>
      <c r="G737" s="60"/>
      <c r="H737" s="60"/>
      <c r="I737" s="61"/>
      <c r="J737" s="61"/>
      <c r="K737" s="61"/>
      <c r="L737" s="73" t="str">
        <f t="shared" si="56"/>
        <v/>
      </c>
      <c r="M737" s="65" t="str">
        <f t="shared" ca="1" si="57"/>
        <v/>
      </c>
      <c r="N737" s="74" t="str">
        <f>IF($C737="","",IF($C737="TANIMSIZ MÜŞTERİ","—",INDEX(MUSTERILER!$C$7:$C$156,MATCH($C737,MUSTERILER!$B$7:$B$156,0))))</f>
        <v/>
      </c>
      <c r="O737" s="2"/>
      <c r="P737" s="2"/>
      <c r="Q737" s="1" t="str">
        <f>IF($D737="","",$C737&amp;"|"&amp;COUNTIFS($C$7:$C737,$C737))</f>
        <v/>
      </c>
      <c r="R737" s="1" t="str">
        <f t="shared" si="58"/>
        <v/>
      </c>
      <c r="S737" s="1" t="str">
        <f t="shared" si="59"/>
        <v/>
      </c>
      <c r="T737" s="1">
        <f>IF($E737="",0,SUMPRODUCT((AY_SONU!$O$7:$O$42="Evet")*(AY_SONU!$B$7:$B$42=DATE(YEAR($E737),MONTH($E737),1))))</f>
        <v>0</v>
      </c>
    </row>
    <row r="738" spans="1:20" ht="18" customHeight="1" x14ac:dyDescent="0.3">
      <c r="A738" s="2"/>
      <c r="B738" s="65" t="str">
        <f t="shared" si="55"/>
        <v/>
      </c>
      <c r="C738" s="65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66"/>
      <c r="F738" s="67"/>
      <c r="G738" s="60"/>
      <c r="H738" s="60"/>
      <c r="I738" s="61"/>
      <c r="J738" s="61"/>
      <c r="K738" s="61"/>
      <c r="L738" s="73" t="str">
        <f t="shared" si="56"/>
        <v/>
      </c>
      <c r="M738" s="65" t="str">
        <f t="shared" ca="1" si="57"/>
        <v/>
      </c>
      <c r="N738" s="74" t="str">
        <f>IF($C738="","",IF($C738="TANIMSIZ MÜŞTERİ","—",INDEX(MUSTERILER!$C$7:$C$156,MATCH($C738,MUSTERILER!$B$7:$B$156,0))))</f>
        <v/>
      </c>
      <c r="O738" s="2"/>
      <c r="P738" s="2"/>
      <c r="Q738" s="1" t="str">
        <f>IF($D738="","",$C738&amp;"|"&amp;COUNTIFS($C$7:$C738,$C738))</f>
        <v/>
      </c>
      <c r="R738" s="1" t="str">
        <f t="shared" si="58"/>
        <v/>
      </c>
      <c r="S738" s="1" t="str">
        <f t="shared" si="59"/>
        <v/>
      </c>
      <c r="T738" s="1">
        <f>IF($E738="",0,SUMPRODUCT((AY_SONU!$O$7:$O$42="Evet")*(AY_SONU!$B$7:$B$42=DATE(YEAR($E738),MONTH($E738),1))))</f>
        <v>0</v>
      </c>
    </row>
    <row r="739" spans="1:20" ht="18" customHeight="1" x14ac:dyDescent="0.3">
      <c r="A739" s="2"/>
      <c r="B739" s="65" t="str">
        <f t="shared" si="55"/>
        <v/>
      </c>
      <c r="C739" s="65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66"/>
      <c r="F739" s="67"/>
      <c r="G739" s="60"/>
      <c r="H739" s="60"/>
      <c r="I739" s="61"/>
      <c r="J739" s="61"/>
      <c r="K739" s="61"/>
      <c r="L739" s="73" t="str">
        <f t="shared" si="56"/>
        <v/>
      </c>
      <c r="M739" s="65" t="str">
        <f t="shared" ca="1" si="57"/>
        <v/>
      </c>
      <c r="N739" s="74" t="str">
        <f>IF($C739="","",IF($C739="TANIMSIZ MÜŞTERİ","—",INDEX(MUSTERILER!$C$7:$C$156,MATCH($C739,MUSTERILER!$B$7:$B$156,0))))</f>
        <v/>
      </c>
      <c r="O739" s="2"/>
      <c r="P739" s="2"/>
      <c r="Q739" s="1" t="str">
        <f>IF($D739="","",$C739&amp;"|"&amp;COUNTIFS($C$7:$C739,$C739))</f>
        <v/>
      </c>
      <c r="R739" s="1" t="str">
        <f t="shared" si="58"/>
        <v/>
      </c>
      <c r="S739" s="1" t="str">
        <f t="shared" si="59"/>
        <v/>
      </c>
      <c r="T739" s="1">
        <f>IF($E739="",0,SUMPRODUCT((AY_SONU!$O$7:$O$42="Evet")*(AY_SONU!$B$7:$B$42=DATE(YEAR($E739),MONTH($E739),1))))</f>
        <v>0</v>
      </c>
    </row>
    <row r="740" spans="1:20" ht="18" customHeight="1" x14ac:dyDescent="0.3">
      <c r="A740" s="2"/>
      <c r="B740" s="65" t="str">
        <f t="shared" si="55"/>
        <v/>
      </c>
      <c r="C740" s="65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66"/>
      <c r="F740" s="67"/>
      <c r="G740" s="60"/>
      <c r="H740" s="60"/>
      <c r="I740" s="61"/>
      <c r="J740" s="61"/>
      <c r="K740" s="61"/>
      <c r="L740" s="73" t="str">
        <f t="shared" si="56"/>
        <v/>
      </c>
      <c r="M740" s="65" t="str">
        <f t="shared" ca="1" si="57"/>
        <v/>
      </c>
      <c r="N740" s="74" t="str">
        <f>IF($C740="","",IF($C740="TANIMSIZ MÜŞTERİ","—",INDEX(MUSTERILER!$C$7:$C$156,MATCH($C740,MUSTERILER!$B$7:$B$156,0))))</f>
        <v/>
      </c>
      <c r="O740" s="2"/>
      <c r="P740" s="2"/>
      <c r="Q740" s="1" t="str">
        <f>IF($D740="","",$C740&amp;"|"&amp;COUNTIFS($C$7:$C740,$C740))</f>
        <v/>
      </c>
      <c r="R740" s="1" t="str">
        <f t="shared" si="58"/>
        <v/>
      </c>
      <c r="S740" s="1" t="str">
        <f t="shared" si="59"/>
        <v/>
      </c>
      <c r="T740" s="1">
        <f>IF($E740="",0,SUMPRODUCT((AY_SONU!$O$7:$O$42="Evet")*(AY_SONU!$B$7:$B$42=DATE(YEAR($E740),MONTH($E740),1))))</f>
        <v>0</v>
      </c>
    </row>
    <row r="741" spans="1:20" ht="18" customHeight="1" x14ac:dyDescent="0.3">
      <c r="A741" s="2"/>
      <c r="B741" s="65" t="str">
        <f t="shared" si="55"/>
        <v/>
      </c>
      <c r="C741" s="65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66"/>
      <c r="F741" s="67"/>
      <c r="G741" s="60"/>
      <c r="H741" s="60"/>
      <c r="I741" s="61"/>
      <c r="J741" s="61"/>
      <c r="K741" s="61"/>
      <c r="L741" s="73" t="str">
        <f t="shared" si="56"/>
        <v/>
      </c>
      <c r="M741" s="65" t="str">
        <f t="shared" ca="1" si="57"/>
        <v/>
      </c>
      <c r="N741" s="74" t="str">
        <f>IF($C741="","",IF($C741="TANIMSIZ MÜŞTERİ","—",INDEX(MUSTERILER!$C$7:$C$156,MATCH($C741,MUSTERILER!$B$7:$B$156,0))))</f>
        <v/>
      </c>
      <c r="O741" s="2"/>
      <c r="P741" s="2"/>
      <c r="Q741" s="1" t="str">
        <f>IF($D741="","",$C741&amp;"|"&amp;COUNTIFS($C$7:$C741,$C741))</f>
        <v/>
      </c>
      <c r="R741" s="1" t="str">
        <f t="shared" si="58"/>
        <v/>
      </c>
      <c r="S741" s="1" t="str">
        <f t="shared" si="59"/>
        <v/>
      </c>
      <c r="T741" s="1">
        <f>IF($E741="",0,SUMPRODUCT((AY_SONU!$O$7:$O$42="Evet")*(AY_SONU!$B$7:$B$42=DATE(YEAR($E741),MONTH($E741),1))))</f>
        <v>0</v>
      </c>
    </row>
    <row r="742" spans="1:20" ht="18" customHeight="1" x14ac:dyDescent="0.3">
      <c r="A742" s="2"/>
      <c r="B742" s="65" t="str">
        <f t="shared" si="55"/>
        <v/>
      </c>
      <c r="C742" s="65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66"/>
      <c r="F742" s="67"/>
      <c r="G742" s="60"/>
      <c r="H742" s="60"/>
      <c r="I742" s="61"/>
      <c r="J742" s="61"/>
      <c r="K742" s="61"/>
      <c r="L742" s="73" t="str">
        <f t="shared" si="56"/>
        <v/>
      </c>
      <c r="M742" s="65" t="str">
        <f t="shared" ca="1" si="57"/>
        <v/>
      </c>
      <c r="N742" s="74" t="str">
        <f>IF($C742="","",IF($C742="TANIMSIZ MÜŞTERİ","—",INDEX(MUSTERILER!$C$7:$C$156,MATCH($C742,MUSTERILER!$B$7:$B$156,0))))</f>
        <v/>
      </c>
      <c r="O742" s="2"/>
      <c r="P742" s="2"/>
      <c r="Q742" s="1" t="str">
        <f>IF($D742="","",$C742&amp;"|"&amp;COUNTIFS($C$7:$C742,$C742))</f>
        <v/>
      </c>
      <c r="R742" s="1" t="str">
        <f t="shared" si="58"/>
        <v/>
      </c>
      <c r="S742" s="1" t="str">
        <f t="shared" si="59"/>
        <v/>
      </c>
      <c r="T742" s="1">
        <f>IF($E742="",0,SUMPRODUCT((AY_SONU!$O$7:$O$42="Evet")*(AY_SONU!$B$7:$B$42=DATE(YEAR($E742),MONTH($E742),1))))</f>
        <v>0</v>
      </c>
    </row>
    <row r="743" spans="1:20" ht="18" customHeight="1" x14ac:dyDescent="0.3">
      <c r="A743" s="2"/>
      <c r="B743" s="65" t="str">
        <f t="shared" si="55"/>
        <v/>
      </c>
      <c r="C743" s="65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66"/>
      <c r="F743" s="67"/>
      <c r="G743" s="60"/>
      <c r="H743" s="60"/>
      <c r="I743" s="61"/>
      <c r="J743" s="61"/>
      <c r="K743" s="61"/>
      <c r="L743" s="73" t="str">
        <f t="shared" si="56"/>
        <v/>
      </c>
      <c r="M743" s="65" t="str">
        <f t="shared" ca="1" si="57"/>
        <v/>
      </c>
      <c r="N743" s="74" t="str">
        <f>IF($C743="","",IF($C743="TANIMSIZ MÜŞTERİ","—",INDEX(MUSTERILER!$C$7:$C$156,MATCH($C743,MUSTERILER!$B$7:$B$156,0))))</f>
        <v/>
      </c>
      <c r="O743" s="2"/>
      <c r="P743" s="2"/>
      <c r="Q743" s="1" t="str">
        <f>IF($D743="","",$C743&amp;"|"&amp;COUNTIFS($C$7:$C743,$C743))</f>
        <v/>
      </c>
      <c r="R743" s="1" t="str">
        <f t="shared" si="58"/>
        <v/>
      </c>
      <c r="S743" s="1" t="str">
        <f t="shared" si="59"/>
        <v/>
      </c>
      <c r="T743" s="1">
        <f>IF($E743="",0,SUMPRODUCT((AY_SONU!$O$7:$O$42="Evet")*(AY_SONU!$B$7:$B$42=DATE(YEAR($E743),MONTH($E743),1))))</f>
        <v>0</v>
      </c>
    </row>
    <row r="744" spans="1:20" ht="18" customHeight="1" x14ac:dyDescent="0.3">
      <c r="A744" s="2"/>
      <c r="B744" s="65" t="str">
        <f t="shared" si="55"/>
        <v/>
      </c>
      <c r="C744" s="65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66"/>
      <c r="F744" s="67"/>
      <c r="G744" s="60"/>
      <c r="H744" s="60"/>
      <c r="I744" s="61"/>
      <c r="J744" s="61"/>
      <c r="K744" s="61"/>
      <c r="L744" s="73" t="str">
        <f t="shared" si="56"/>
        <v/>
      </c>
      <c r="M744" s="65" t="str">
        <f t="shared" ca="1" si="57"/>
        <v/>
      </c>
      <c r="N744" s="74" t="str">
        <f>IF($C744="","",IF($C744="TANIMSIZ MÜŞTERİ","—",INDEX(MUSTERILER!$C$7:$C$156,MATCH($C744,MUSTERILER!$B$7:$B$156,0))))</f>
        <v/>
      </c>
      <c r="O744" s="2"/>
      <c r="P744" s="2"/>
      <c r="Q744" s="1" t="str">
        <f>IF($D744="","",$C744&amp;"|"&amp;COUNTIFS($C$7:$C744,$C744))</f>
        <v/>
      </c>
      <c r="R744" s="1" t="str">
        <f t="shared" si="58"/>
        <v/>
      </c>
      <c r="S744" s="1" t="str">
        <f t="shared" si="59"/>
        <v/>
      </c>
      <c r="T744" s="1">
        <f>IF($E744="",0,SUMPRODUCT((AY_SONU!$O$7:$O$42="Evet")*(AY_SONU!$B$7:$B$42=DATE(YEAR($E744),MONTH($E744),1))))</f>
        <v>0</v>
      </c>
    </row>
    <row r="745" spans="1:20" ht="18" customHeight="1" x14ac:dyDescent="0.3">
      <c r="A745" s="2"/>
      <c r="B745" s="65" t="str">
        <f t="shared" si="55"/>
        <v/>
      </c>
      <c r="C745" s="65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66"/>
      <c r="F745" s="67"/>
      <c r="G745" s="60"/>
      <c r="H745" s="60"/>
      <c r="I745" s="61"/>
      <c r="J745" s="61"/>
      <c r="K745" s="61"/>
      <c r="L745" s="73" t="str">
        <f t="shared" si="56"/>
        <v/>
      </c>
      <c r="M745" s="65" t="str">
        <f t="shared" ca="1" si="57"/>
        <v/>
      </c>
      <c r="N745" s="74" t="str">
        <f>IF($C745="","",IF($C745="TANIMSIZ MÜŞTERİ","—",INDEX(MUSTERILER!$C$7:$C$156,MATCH($C745,MUSTERILER!$B$7:$B$156,0))))</f>
        <v/>
      </c>
      <c r="O745" s="2"/>
      <c r="P745" s="2"/>
      <c r="Q745" s="1" t="str">
        <f>IF($D745="","",$C745&amp;"|"&amp;COUNTIFS($C$7:$C745,$C745))</f>
        <v/>
      </c>
      <c r="R745" s="1" t="str">
        <f t="shared" si="58"/>
        <v/>
      </c>
      <c r="S745" s="1" t="str">
        <f t="shared" si="59"/>
        <v/>
      </c>
      <c r="T745" s="1">
        <f>IF($E745="",0,SUMPRODUCT((AY_SONU!$O$7:$O$42="Evet")*(AY_SONU!$B$7:$B$42=DATE(YEAR($E745),MONTH($E745),1))))</f>
        <v>0</v>
      </c>
    </row>
    <row r="746" spans="1:20" ht="18" customHeight="1" x14ac:dyDescent="0.3">
      <c r="A746" s="2"/>
      <c r="B746" s="65" t="str">
        <f t="shared" si="55"/>
        <v/>
      </c>
      <c r="C746" s="65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66"/>
      <c r="F746" s="67"/>
      <c r="G746" s="60"/>
      <c r="H746" s="60"/>
      <c r="I746" s="61"/>
      <c r="J746" s="61"/>
      <c r="K746" s="61"/>
      <c r="L746" s="73" t="str">
        <f t="shared" si="56"/>
        <v/>
      </c>
      <c r="M746" s="65" t="str">
        <f t="shared" ca="1" si="57"/>
        <v/>
      </c>
      <c r="N746" s="74" t="str">
        <f>IF($C746="","",IF($C746="TANIMSIZ MÜŞTERİ","—",INDEX(MUSTERILER!$C$7:$C$156,MATCH($C746,MUSTERILER!$B$7:$B$156,0))))</f>
        <v/>
      </c>
      <c r="O746" s="2"/>
      <c r="P746" s="2"/>
      <c r="Q746" s="1" t="str">
        <f>IF($D746="","",$C746&amp;"|"&amp;COUNTIFS($C$7:$C746,$C746))</f>
        <v/>
      </c>
      <c r="R746" s="1" t="str">
        <f t="shared" si="58"/>
        <v/>
      </c>
      <c r="S746" s="1" t="str">
        <f t="shared" si="59"/>
        <v/>
      </c>
      <c r="T746" s="1">
        <f>IF($E746="",0,SUMPRODUCT((AY_SONU!$O$7:$O$42="Evet")*(AY_SONU!$B$7:$B$42=DATE(YEAR($E746),MONTH($E746),1))))</f>
        <v>0</v>
      </c>
    </row>
    <row r="747" spans="1:20" ht="18" customHeight="1" x14ac:dyDescent="0.3">
      <c r="A747" s="2"/>
      <c r="B747" s="65" t="str">
        <f t="shared" si="55"/>
        <v/>
      </c>
      <c r="C747" s="65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66"/>
      <c r="F747" s="67"/>
      <c r="G747" s="60"/>
      <c r="H747" s="60"/>
      <c r="I747" s="61"/>
      <c r="J747" s="61"/>
      <c r="K747" s="61"/>
      <c r="L747" s="73" t="str">
        <f t="shared" si="56"/>
        <v/>
      </c>
      <c r="M747" s="65" t="str">
        <f t="shared" ca="1" si="57"/>
        <v/>
      </c>
      <c r="N747" s="74" t="str">
        <f>IF($C747="","",IF($C747="TANIMSIZ MÜŞTERİ","—",INDEX(MUSTERILER!$C$7:$C$156,MATCH($C747,MUSTERILER!$B$7:$B$156,0))))</f>
        <v/>
      </c>
      <c r="O747" s="2"/>
      <c r="P747" s="2"/>
      <c r="Q747" s="1" t="str">
        <f>IF($D747="","",$C747&amp;"|"&amp;COUNTIFS($C$7:$C747,$C747))</f>
        <v/>
      </c>
      <c r="R747" s="1" t="str">
        <f t="shared" si="58"/>
        <v/>
      </c>
      <c r="S747" s="1" t="str">
        <f t="shared" si="59"/>
        <v/>
      </c>
      <c r="T747" s="1">
        <f>IF($E747="",0,SUMPRODUCT((AY_SONU!$O$7:$O$42="Evet")*(AY_SONU!$B$7:$B$42=DATE(YEAR($E747),MONTH($E747),1))))</f>
        <v>0</v>
      </c>
    </row>
    <row r="748" spans="1:20" ht="18" customHeight="1" x14ac:dyDescent="0.3">
      <c r="A748" s="2"/>
      <c r="B748" s="65" t="str">
        <f t="shared" si="55"/>
        <v/>
      </c>
      <c r="C748" s="65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66"/>
      <c r="F748" s="67"/>
      <c r="G748" s="60"/>
      <c r="H748" s="60"/>
      <c r="I748" s="61"/>
      <c r="J748" s="61"/>
      <c r="K748" s="61"/>
      <c r="L748" s="73" t="str">
        <f t="shared" si="56"/>
        <v/>
      </c>
      <c r="M748" s="65" t="str">
        <f t="shared" ca="1" si="57"/>
        <v/>
      </c>
      <c r="N748" s="74" t="str">
        <f>IF($C748="","",IF($C748="TANIMSIZ MÜŞTERİ","—",INDEX(MUSTERILER!$C$7:$C$156,MATCH($C748,MUSTERILER!$B$7:$B$156,0))))</f>
        <v/>
      </c>
      <c r="O748" s="2"/>
      <c r="P748" s="2"/>
      <c r="Q748" s="1" t="str">
        <f>IF($D748="","",$C748&amp;"|"&amp;COUNTIFS($C$7:$C748,$C748))</f>
        <v/>
      </c>
      <c r="R748" s="1" t="str">
        <f t="shared" si="58"/>
        <v/>
      </c>
      <c r="S748" s="1" t="str">
        <f t="shared" si="59"/>
        <v/>
      </c>
      <c r="T748" s="1">
        <f>IF($E748="",0,SUMPRODUCT((AY_SONU!$O$7:$O$42="Evet")*(AY_SONU!$B$7:$B$42=DATE(YEAR($E748),MONTH($E748),1))))</f>
        <v>0</v>
      </c>
    </row>
    <row r="749" spans="1:20" ht="18" customHeight="1" x14ac:dyDescent="0.3">
      <c r="A749" s="2"/>
      <c r="B749" s="65" t="str">
        <f t="shared" si="55"/>
        <v/>
      </c>
      <c r="C749" s="65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66"/>
      <c r="F749" s="67"/>
      <c r="G749" s="60"/>
      <c r="H749" s="60"/>
      <c r="I749" s="61"/>
      <c r="J749" s="61"/>
      <c r="K749" s="61"/>
      <c r="L749" s="73" t="str">
        <f t="shared" si="56"/>
        <v/>
      </c>
      <c r="M749" s="65" t="str">
        <f t="shared" ca="1" si="57"/>
        <v/>
      </c>
      <c r="N749" s="74" t="str">
        <f>IF($C749="","",IF($C749="TANIMSIZ MÜŞTERİ","—",INDEX(MUSTERILER!$C$7:$C$156,MATCH($C749,MUSTERILER!$B$7:$B$156,0))))</f>
        <v/>
      </c>
      <c r="O749" s="2"/>
      <c r="P749" s="2"/>
      <c r="Q749" s="1" t="str">
        <f>IF($D749="","",$C749&amp;"|"&amp;COUNTIFS($C$7:$C749,$C749))</f>
        <v/>
      </c>
      <c r="R749" s="1" t="str">
        <f t="shared" si="58"/>
        <v/>
      </c>
      <c r="S749" s="1" t="str">
        <f t="shared" si="59"/>
        <v/>
      </c>
      <c r="T749" s="1">
        <f>IF($E749="",0,SUMPRODUCT((AY_SONU!$O$7:$O$42="Evet")*(AY_SONU!$B$7:$B$42=DATE(YEAR($E749),MONTH($E749),1))))</f>
        <v>0</v>
      </c>
    </row>
    <row r="750" spans="1:20" ht="18" customHeight="1" x14ac:dyDescent="0.3">
      <c r="A750" s="2"/>
      <c r="B750" s="65" t="str">
        <f t="shared" si="55"/>
        <v/>
      </c>
      <c r="C750" s="65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66"/>
      <c r="F750" s="67"/>
      <c r="G750" s="60"/>
      <c r="H750" s="60"/>
      <c r="I750" s="61"/>
      <c r="J750" s="61"/>
      <c r="K750" s="61"/>
      <c r="L750" s="73" t="str">
        <f t="shared" si="56"/>
        <v/>
      </c>
      <c r="M750" s="65" t="str">
        <f t="shared" ca="1" si="57"/>
        <v/>
      </c>
      <c r="N750" s="74" t="str">
        <f>IF($C750="","",IF($C750="TANIMSIZ MÜŞTERİ","—",INDEX(MUSTERILER!$C$7:$C$156,MATCH($C750,MUSTERILER!$B$7:$B$156,0))))</f>
        <v/>
      </c>
      <c r="O750" s="2"/>
      <c r="P750" s="2"/>
      <c r="Q750" s="1" t="str">
        <f>IF($D750="","",$C750&amp;"|"&amp;COUNTIFS($C$7:$C750,$C750))</f>
        <v/>
      </c>
      <c r="R750" s="1" t="str">
        <f t="shared" si="58"/>
        <v/>
      </c>
      <c r="S750" s="1" t="str">
        <f t="shared" si="59"/>
        <v/>
      </c>
      <c r="T750" s="1">
        <f>IF($E750="",0,SUMPRODUCT((AY_SONU!$O$7:$O$42="Evet")*(AY_SONU!$B$7:$B$42=DATE(YEAR($E750),MONTH($E750),1))))</f>
        <v>0</v>
      </c>
    </row>
    <row r="751" spans="1:20" ht="18" customHeight="1" x14ac:dyDescent="0.3">
      <c r="A751" s="2"/>
      <c r="B751" s="65" t="str">
        <f t="shared" si="55"/>
        <v/>
      </c>
      <c r="C751" s="65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66"/>
      <c r="F751" s="67"/>
      <c r="G751" s="60"/>
      <c r="H751" s="60"/>
      <c r="I751" s="61"/>
      <c r="J751" s="61"/>
      <c r="K751" s="61"/>
      <c r="L751" s="73" t="str">
        <f t="shared" si="56"/>
        <v/>
      </c>
      <c r="M751" s="65" t="str">
        <f t="shared" ca="1" si="57"/>
        <v/>
      </c>
      <c r="N751" s="74" t="str">
        <f>IF($C751="","",IF($C751="TANIMSIZ MÜŞTERİ","—",INDEX(MUSTERILER!$C$7:$C$156,MATCH($C751,MUSTERILER!$B$7:$B$156,0))))</f>
        <v/>
      </c>
      <c r="O751" s="2"/>
      <c r="P751" s="2"/>
      <c r="Q751" s="1" t="str">
        <f>IF($D751="","",$C751&amp;"|"&amp;COUNTIFS($C$7:$C751,$C751))</f>
        <v/>
      </c>
      <c r="R751" s="1" t="str">
        <f t="shared" si="58"/>
        <v/>
      </c>
      <c r="S751" s="1" t="str">
        <f t="shared" si="59"/>
        <v/>
      </c>
      <c r="T751" s="1">
        <f>IF($E751="",0,SUMPRODUCT((AY_SONU!$O$7:$O$42="Evet")*(AY_SONU!$B$7:$B$42=DATE(YEAR($E751),MONTH($E751),1))))</f>
        <v>0</v>
      </c>
    </row>
    <row r="752" spans="1:20" ht="18" customHeight="1" x14ac:dyDescent="0.3">
      <c r="A752" s="2"/>
      <c r="B752" s="65" t="str">
        <f t="shared" si="55"/>
        <v/>
      </c>
      <c r="C752" s="65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66"/>
      <c r="F752" s="67"/>
      <c r="G752" s="60"/>
      <c r="H752" s="60"/>
      <c r="I752" s="61"/>
      <c r="J752" s="61"/>
      <c r="K752" s="61"/>
      <c r="L752" s="73" t="str">
        <f t="shared" si="56"/>
        <v/>
      </c>
      <c r="M752" s="65" t="str">
        <f t="shared" ca="1" si="57"/>
        <v/>
      </c>
      <c r="N752" s="74" t="str">
        <f>IF($C752="","",IF($C752="TANIMSIZ MÜŞTERİ","—",INDEX(MUSTERILER!$C$7:$C$156,MATCH($C752,MUSTERILER!$B$7:$B$156,0))))</f>
        <v/>
      </c>
      <c r="O752" s="2"/>
      <c r="P752" s="2"/>
      <c r="Q752" s="1" t="str">
        <f>IF($D752="","",$C752&amp;"|"&amp;COUNTIFS($C$7:$C752,$C752))</f>
        <v/>
      </c>
      <c r="R752" s="1" t="str">
        <f t="shared" si="58"/>
        <v/>
      </c>
      <c r="S752" s="1" t="str">
        <f t="shared" si="59"/>
        <v/>
      </c>
      <c r="T752" s="1">
        <f>IF($E752="",0,SUMPRODUCT((AY_SONU!$O$7:$O$42="Evet")*(AY_SONU!$B$7:$B$42=DATE(YEAR($E752),MONTH($E752),1))))</f>
        <v>0</v>
      </c>
    </row>
    <row r="753" spans="1:20" ht="18" customHeight="1" x14ac:dyDescent="0.3">
      <c r="A753" s="2"/>
      <c r="B753" s="65" t="str">
        <f t="shared" si="55"/>
        <v/>
      </c>
      <c r="C753" s="65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66"/>
      <c r="F753" s="67"/>
      <c r="G753" s="60"/>
      <c r="H753" s="60"/>
      <c r="I753" s="61"/>
      <c r="J753" s="61"/>
      <c r="K753" s="61"/>
      <c r="L753" s="73" t="str">
        <f t="shared" si="56"/>
        <v/>
      </c>
      <c r="M753" s="65" t="str">
        <f t="shared" ca="1" si="57"/>
        <v/>
      </c>
      <c r="N753" s="74" t="str">
        <f>IF($C753="","",IF($C753="TANIMSIZ MÜŞTERİ","—",INDEX(MUSTERILER!$C$7:$C$156,MATCH($C753,MUSTERILER!$B$7:$B$156,0))))</f>
        <v/>
      </c>
      <c r="O753" s="2"/>
      <c r="P753" s="2"/>
      <c r="Q753" s="1" t="str">
        <f>IF($D753="","",$C753&amp;"|"&amp;COUNTIFS($C$7:$C753,$C753))</f>
        <v/>
      </c>
      <c r="R753" s="1" t="str">
        <f t="shared" si="58"/>
        <v/>
      </c>
      <c r="S753" s="1" t="str">
        <f t="shared" si="59"/>
        <v/>
      </c>
      <c r="T753" s="1">
        <f>IF($E753="",0,SUMPRODUCT((AY_SONU!$O$7:$O$42="Evet")*(AY_SONU!$B$7:$B$42=DATE(YEAR($E753),MONTH($E753),1))))</f>
        <v>0</v>
      </c>
    </row>
    <row r="754" spans="1:20" ht="18" customHeight="1" x14ac:dyDescent="0.3">
      <c r="A754" s="2"/>
      <c r="B754" s="65" t="str">
        <f t="shared" si="55"/>
        <v/>
      </c>
      <c r="C754" s="65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66"/>
      <c r="F754" s="67"/>
      <c r="G754" s="60"/>
      <c r="H754" s="60"/>
      <c r="I754" s="61"/>
      <c r="J754" s="61"/>
      <c r="K754" s="61"/>
      <c r="L754" s="73" t="str">
        <f t="shared" si="56"/>
        <v/>
      </c>
      <c r="M754" s="65" t="str">
        <f t="shared" ca="1" si="57"/>
        <v/>
      </c>
      <c r="N754" s="74" t="str">
        <f>IF($C754="","",IF($C754="TANIMSIZ MÜŞTERİ","—",INDEX(MUSTERILER!$C$7:$C$156,MATCH($C754,MUSTERILER!$B$7:$B$156,0))))</f>
        <v/>
      </c>
      <c r="O754" s="2"/>
      <c r="P754" s="2"/>
      <c r="Q754" s="1" t="str">
        <f>IF($D754="","",$C754&amp;"|"&amp;COUNTIFS($C$7:$C754,$C754))</f>
        <v/>
      </c>
      <c r="R754" s="1" t="str">
        <f t="shared" si="58"/>
        <v/>
      </c>
      <c r="S754" s="1" t="str">
        <f t="shared" si="59"/>
        <v/>
      </c>
      <c r="T754" s="1">
        <f>IF($E754="",0,SUMPRODUCT((AY_SONU!$O$7:$O$42="Evet")*(AY_SONU!$B$7:$B$42=DATE(YEAR($E754),MONTH($E754),1))))</f>
        <v>0</v>
      </c>
    </row>
    <row r="755" spans="1:20" ht="18" customHeight="1" x14ac:dyDescent="0.3">
      <c r="A755" s="2"/>
      <c r="B755" s="65" t="str">
        <f t="shared" si="55"/>
        <v/>
      </c>
      <c r="C755" s="65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66"/>
      <c r="F755" s="67"/>
      <c r="G755" s="60"/>
      <c r="H755" s="60"/>
      <c r="I755" s="61"/>
      <c r="J755" s="61"/>
      <c r="K755" s="61"/>
      <c r="L755" s="73" t="str">
        <f t="shared" si="56"/>
        <v/>
      </c>
      <c r="M755" s="65" t="str">
        <f t="shared" ca="1" si="57"/>
        <v/>
      </c>
      <c r="N755" s="74" t="str">
        <f>IF($C755="","",IF($C755="TANIMSIZ MÜŞTERİ","—",INDEX(MUSTERILER!$C$7:$C$156,MATCH($C755,MUSTERILER!$B$7:$B$156,0))))</f>
        <v/>
      </c>
      <c r="O755" s="2"/>
      <c r="P755" s="2"/>
      <c r="Q755" s="1" t="str">
        <f>IF($D755="","",$C755&amp;"|"&amp;COUNTIFS($C$7:$C755,$C755))</f>
        <v/>
      </c>
      <c r="R755" s="1" t="str">
        <f t="shared" si="58"/>
        <v/>
      </c>
      <c r="S755" s="1" t="str">
        <f t="shared" si="59"/>
        <v/>
      </c>
      <c r="T755" s="1">
        <f>IF($E755="",0,SUMPRODUCT((AY_SONU!$O$7:$O$42="Evet")*(AY_SONU!$B$7:$B$42=DATE(YEAR($E755),MONTH($E755),1))))</f>
        <v>0</v>
      </c>
    </row>
    <row r="756" spans="1:20" ht="18" customHeight="1" x14ac:dyDescent="0.3">
      <c r="A756" s="2"/>
      <c r="B756" s="65" t="str">
        <f t="shared" si="55"/>
        <v/>
      </c>
      <c r="C756" s="65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66"/>
      <c r="F756" s="67"/>
      <c r="G756" s="60"/>
      <c r="H756" s="60"/>
      <c r="I756" s="61"/>
      <c r="J756" s="61"/>
      <c r="K756" s="61"/>
      <c r="L756" s="73" t="str">
        <f t="shared" si="56"/>
        <v/>
      </c>
      <c r="M756" s="65" t="str">
        <f t="shared" ca="1" si="57"/>
        <v/>
      </c>
      <c r="N756" s="74" t="str">
        <f>IF($C756="","",IF($C756="TANIMSIZ MÜŞTERİ","—",INDEX(MUSTERILER!$C$7:$C$156,MATCH($C756,MUSTERILER!$B$7:$B$156,0))))</f>
        <v/>
      </c>
      <c r="O756" s="2"/>
      <c r="P756" s="2"/>
      <c r="Q756" s="1" t="str">
        <f>IF($D756="","",$C756&amp;"|"&amp;COUNTIFS($C$7:$C756,$C756))</f>
        <v/>
      </c>
      <c r="R756" s="1" t="str">
        <f t="shared" si="58"/>
        <v/>
      </c>
      <c r="S756" s="1" t="str">
        <f t="shared" si="59"/>
        <v/>
      </c>
      <c r="T756" s="1">
        <f>IF($E756="",0,SUMPRODUCT((AY_SONU!$O$7:$O$42="Evet")*(AY_SONU!$B$7:$B$42=DATE(YEAR($E756),MONTH($E756),1))))</f>
        <v>0</v>
      </c>
    </row>
    <row r="757" spans="1:20" ht="18" customHeight="1" x14ac:dyDescent="0.3">
      <c r="A757" s="2"/>
      <c r="B757" s="65" t="str">
        <f t="shared" si="55"/>
        <v/>
      </c>
      <c r="C757" s="65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66"/>
      <c r="F757" s="67"/>
      <c r="G757" s="60"/>
      <c r="H757" s="60"/>
      <c r="I757" s="61"/>
      <c r="J757" s="61"/>
      <c r="K757" s="61"/>
      <c r="L757" s="73" t="str">
        <f t="shared" si="56"/>
        <v/>
      </c>
      <c r="M757" s="65" t="str">
        <f t="shared" ca="1" si="57"/>
        <v/>
      </c>
      <c r="N757" s="74" t="str">
        <f>IF($C757="","",IF($C757="TANIMSIZ MÜŞTERİ","—",INDEX(MUSTERILER!$C$7:$C$156,MATCH($C757,MUSTERILER!$B$7:$B$156,0))))</f>
        <v/>
      </c>
      <c r="O757" s="2"/>
      <c r="P757" s="2"/>
      <c r="Q757" s="1" t="str">
        <f>IF($D757="","",$C757&amp;"|"&amp;COUNTIFS($C$7:$C757,$C757))</f>
        <v/>
      </c>
      <c r="R757" s="1" t="str">
        <f t="shared" si="58"/>
        <v/>
      </c>
      <c r="S757" s="1" t="str">
        <f t="shared" si="59"/>
        <v/>
      </c>
      <c r="T757" s="1">
        <f>IF($E757="",0,SUMPRODUCT((AY_SONU!$O$7:$O$42="Evet")*(AY_SONU!$B$7:$B$42=DATE(YEAR($E757),MONTH($E757),1))))</f>
        <v>0</v>
      </c>
    </row>
    <row r="758" spans="1:20" ht="18" customHeight="1" x14ac:dyDescent="0.3">
      <c r="A758" s="2"/>
      <c r="B758" s="65" t="str">
        <f t="shared" si="55"/>
        <v/>
      </c>
      <c r="C758" s="65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66"/>
      <c r="F758" s="67"/>
      <c r="G758" s="60"/>
      <c r="H758" s="60"/>
      <c r="I758" s="61"/>
      <c r="J758" s="61"/>
      <c r="K758" s="61"/>
      <c r="L758" s="73" t="str">
        <f t="shared" si="56"/>
        <v/>
      </c>
      <c r="M758" s="65" t="str">
        <f t="shared" ca="1" si="57"/>
        <v/>
      </c>
      <c r="N758" s="74" t="str">
        <f>IF($C758="","",IF($C758="TANIMSIZ MÜŞTERİ","—",INDEX(MUSTERILER!$C$7:$C$156,MATCH($C758,MUSTERILER!$B$7:$B$156,0))))</f>
        <v/>
      </c>
      <c r="O758" s="2"/>
      <c r="P758" s="2"/>
      <c r="Q758" s="1" t="str">
        <f>IF($D758="","",$C758&amp;"|"&amp;COUNTIFS($C$7:$C758,$C758))</f>
        <v/>
      </c>
      <c r="R758" s="1" t="str">
        <f t="shared" si="58"/>
        <v/>
      </c>
      <c r="S758" s="1" t="str">
        <f t="shared" si="59"/>
        <v/>
      </c>
      <c r="T758" s="1">
        <f>IF($E758="",0,SUMPRODUCT((AY_SONU!$O$7:$O$42="Evet")*(AY_SONU!$B$7:$B$42=DATE(YEAR($E758),MONTH($E758),1))))</f>
        <v>0</v>
      </c>
    </row>
    <row r="759" spans="1:20" ht="18" customHeight="1" x14ac:dyDescent="0.3">
      <c r="A759" s="2"/>
      <c r="B759" s="65" t="str">
        <f t="shared" si="55"/>
        <v/>
      </c>
      <c r="C759" s="65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66"/>
      <c r="F759" s="67"/>
      <c r="G759" s="60"/>
      <c r="H759" s="60"/>
      <c r="I759" s="61"/>
      <c r="J759" s="61"/>
      <c r="K759" s="61"/>
      <c r="L759" s="73" t="str">
        <f t="shared" si="56"/>
        <v/>
      </c>
      <c r="M759" s="65" t="str">
        <f t="shared" ca="1" si="57"/>
        <v/>
      </c>
      <c r="N759" s="74" t="str">
        <f>IF($C759="","",IF($C759="TANIMSIZ MÜŞTERİ","—",INDEX(MUSTERILER!$C$7:$C$156,MATCH($C759,MUSTERILER!$B$7:$B$156,0))))</f>
        <v/>
      </c>
      <c r="O759" s="2"/>
      <c r="P759" s="2"/>
      <c r="Q759" s="1" t="str">
        <f>IF($D759="","",$C759&amp;"|"&amp;COUNTIFS($C$7:$C759,$C759))</f>
        <v/>
      </c>
      <c r="R759" s="1" t="str">
        <f t="shared" si="58"/>
        <v/>
      </c>
      <c r="S759" s="1" t="str">
        <f t="shared" si="59"/>
        <v/>
      </c>
      <c r="T759" s="1">
        <f>IF($E759="",0,SUMPRODUCT((AY_SONU!$O$7:$O$42="Evet")*(AY_SONU!$B$7:$B$42=DATE(YEAR($E759),MONTH($E759),1))))</f>
        <v>0</v>
      </c>
    </row>
    <row r="760" spans="1:20" ht="18" customHeight="1" x14ac:dyDescent="0.3">
      <c r="A760" s="2"/>
      <c r="B760" s="65" t="str">
        <f t="shared" si="55"/>
        <v/>
      </c>
      <c r="C760" s="65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66"/>
      <c r="F760" s="67"/>
      <c r="G760" s="60"/>
      <c r="H760" s="60"/>
      <c r="I760" s="61"/>
      <c r="J760" s="61"/>
      <c r="K760" s="61"/>
      <c r="L760" s="73" t="str">
        <f t="shared" si="56"/>
        <v/>
      </c>
      <c r="M760" s="65" t="str">
        <f t="shared" ca="1" si="57"/>
        <v/>
      </c>
      <c r="N760" s="74" t="str">
        <f>IF($C760="","",IF($C760="TANIMSIZ MÜŞTERİ","—",INDEX(MUSTERILER!$C$7:$C$156,MATCH($C760,MUSTERILER!$B$7:$B$156,0))))</f>
        <v/>
      </c>
      <c r="O760" s="2"/>
      <c r="P760" s="2"/>
      <c r="Q760" s="1" t="str">
        <f>IF($D760="","",$C760&amp;"|"&amp;COUNTIFS($C$7:$C760,$C760))</f>
        <v/>
      </c>
      <c r="R760" s="1" t="str">
        <f t="shared" si="58"/>
        <v/>
      </c>
      <c r="S760" s="1" t="str">
        <f t="shared" si="59"/>
        <v/>
      </c>
      <c r="T760" s="1">
        <f>IF($E760="",0,SUMPRODUCT((AY_SONU!$O$7:$O$42="Evet")*(AY_SONU!$B$7:$B$42=DATE(YEAR($E760),MONTH($E760),1))))</f>
        <v>0</v>
      </c>
    </row>
    <row r="761" spans="1:20" ht="18" customHeight="1" x14ac:dyDescent="0.3">
      <c r="A761" s="2"/>
      <c r="B761" s="65" t="str">
        <f t="shared" si="55"/>
        <v/>
      </c>
      <c r="C761" s="65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66"/>
      <c r="F761" s="67"/>
      <c r="G761" s="60"/>
      <c r="H761" s="60"/>
      <c r="I761" s="61"/>
      <c r="J761" s="61"/>
      <c r="K761" s="61"/>
      <c r="L761" s="73" t="str">
        <f t="shared" si="56"/>
        <v/>
      </c>
      <c r="M761" s="65" t="str">
        <f t="shared" ca="1" si="57"/>
        <v/>
      </c>
      <c r="N761" s="74" t="str">
        <f>IF($C761="","",IF($C761="TANIMSIZ MÜŞTERİ","—",INDEX(MUSTERILER!$C$7:$C$156,MATCH($C761,MUSTERILER!$B$7:$B$156,0))))</f>
        <v/>
      </c>
      <c r="O761" s="2"/>
      <c r="P761" s="2"/>
      <c r="Q761" s="1" t="str">
        <f>IF($D761="","",$C761&amp;"|"&amp;COUNTIFS($C$7:$C761,$C761))</f>
        <v/>
      </c>
      <c r="R761" s="1" t="str">
        <f t="shared" si="58"/>
        <v/>
      </c>
      <c r="S761" s="1" t="str">
        <f t="shared" si="59"/>
        <v/>
      </c>
      <c r="T761" s="1">
        <f>IF($E761="",0,SUMPRODUCT((AY_SONU!$O$7:$O$42="Evet")*(AY_SONU!$B$7:$B$42=DATE(YEAR($E761),MONTH($E761),1))))</f>
        <v>0</v>
      </c>
    </row>
    <row r="762" spans="1:20" ht="18" customHeight="1" x14ac:dyDescent="0.3">
      <c r="A762" s="2"/>
      <c r="B762" s="65" t="str">
        <f t="shared" si="55"/>
        <v/>
      </c>
      <c r="C762" s="65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66"/>
      <c r="F762" s="67"/>
      <c r="G762" s="60"/>
      <c r="H762" s="60"/>
      <c r="I762" s="61"/>
      <c r="J762" s="61"/>
      <c r="K762" s="61"/>
      <c r="L762" s="73" t="str">
        <f t="shared" si="56"/>
        <v/>
      </c>
      <c r="M762" s="65" t="str">
        <f t="shared" ca="1" si="57"/>
        <v/>
      </c>
      <c r="N762" s="74" t="str">
        <f>IF($C762="","",IF($C762="TANIMSIZ MÜŞTERİ","—",INDEX(MUSTERILER!$C$7:$C$156,MATCH($C762,MUSTERILER!$B$7:$B$156,0))))</f>
        <v/>
      </c>
      <c r="O762" s="2"/>
      <c r="P762" s="2"/>
      <c r="Q762" s="1" t="str">
        <f>IF($D762="","",$C762&amp;"|"&amp;COUNTIFS($C$7:$C762,$C762))</f>
        <v/>
      </c>
      <c r="R762" s="1" t="str">
        <f t="shared" si="58"/>
        <v/>
      </c>
      <c r="S762" s="1" t="str">
        <f t="shared" si="59"/>
        <v/>
      </c>
      <c r="T762" s="1">
        <f>IF($E762="",0,SUMPRODUCT((AY_SONU!$O$7:$O$42="Evet")*(AY_SONU!$B$7:$B$42=DATE(YEAR($E762),MONTH($E762),1))))</f>
        <v>0</v>
      </c>
    </row>
    <row r="763" spans="1:20" ht="18" customHeight="1" x14ac:dyDescent="0.3">
      <c r="A763" s="2"/>
      <c r="B763" s="65" t="str">
        <f t="shared" si="55"/>
        <v/>
      </c>
      <c r="C763" s="65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66"/>
      <c r="F763" s="67"/>
      <c r="G763" s="60"/>
      <c r="H763" s="60"/>
      <c r="I763" s="61"/>
      <c r="J763" s="61"/>
      <c r="K763" s="61"/>
      <c r="L763" s="73" t="str">
        <f t="shared" si="56"/>
        <v/>
      </c>
      <c r="M763" s="65" t="str">
        <f t="shared" ca="1" si="57"/>
        <v/>
      </c>
      <c r="N763" s="74" t="str">
        <f>IF($C763="","",IF($C763="TANIMSIZ MÜŞTERİ","—",INDEX(MUSTERILER!$C$7:$C$156,MATCH($C763,MUSTERILER!$B$7:$B$156,0))))</f>
        <v/>
      </c>
      <c r="O763" s="2"/>
      <c r="P763" s="2"/>
      <c r="Q763" s="1" t="str">
        <f>IF($D763="","",$C763&amp;"|"&amp;COUNTIFS($C$7:$C763,$C763))</f>
        <v/>
      </c>
      <c r="R763" s="1" t="str">
        <f t="shared" si="58"/>
        <v/>
      </c>
      <c r="S763" s="1" t="str">
        <f t="shared" si="59"/>
        <v/>
      </c>
      <c r="T763" s="1">
        <f>IF($E763="",0,SUMPRODUCT((AY_SONU!$O$7:$O$42="Evet")*(AY_SONU!$B$7:$B$42=DATE(YEAR($E763),MONTH($E763),1))))</f>
        <v>0</v>
      </c>
    </row>
    <row r="764" spans="1:20" ht="18" customHeight="1" x14ac:dyDescent="0.3">
      <c r="A764" s="2"/>
      <c r="B764" s="65" t="str">
        <f t="shared" si="55"/>
        <v/>
      </c>
      <c r="C764" s="65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66"/>
      <c r="F764" s="67"/>
      <c r="G764" s="60"/>
      <c r="H764" s="60"/>
      <c r="I764" s="61"/>
      <c r="J764" s="61"/>
      <c r="K764" s="61"/>
      <c r="L764" s="73" t="str">
        <f t="shared" si="56"/>
        <v/>
      </c>
      <c r="M764" s="65" t="str">
        <f t="shared" ca="1" si="57"/>
        <v/>
      </c>
      <c r="N764" s="74" t="str">
        <f>IF($C764="","",IF($C764="TANIMSIZ MÜŞTERİ","—",INDEX(MUSTERILER!$C$7:$C$156,MATCH($C764,MUSTERILER!$B$7:$B$156,0))))</f>
        <v/>
      </c>
      <c r="O764" s="2"/>
      <c r="P764" s="2"/>
      <c r="Q764" s="1" t="str">
        <f>IF($D764="","",$C764&amp;"|"&amp;COUNTIFS($C$7:$C764,$C764))</f>
        <v/>
      </c>
      <c r="R764" s="1" t="str">
        <f t="shared" si="58"/>
        <v/>
      </c>
      <c r="S764" s="1" t="str">
        <f t="shared" si="59"/>
        <v/>
      </c>
      <c r="T764" s="1">
        <f>IF($E764="",0,SUMPRODUCT((AY_SONU!$O$7:$O$42="Evet")*(AY_SONU!$B$7:$B$42=DATE(YEAR($E764),MONTH($E764),1))))</f>
        <v>0</v>
      </c>
    </row>
    <row r="765" spans="1:20" ht="18" customHeight="1" x14ac:dyDescent="0.3">
      <c r="A765" s="2"/>
      <c r="B765" s="65" t="str">
        <f t="shared" si="55"/>
        <v/>
      </c>
      <c r="C765" s="65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66"/>
      <c r="F765" s="67"/>
      <c r="G765" s="60"/>
      <c r="H765" s="60"/>
      <c r="I765" s="61"/>
      <c r="J765" s="61"/>
      <c r="K765" s="61"/>
      <c r="L765" s="73" t="str">
        <f t="shared" si="56"/>
        <v/>
      </c>
      <c r="M765" s="65" t="str">
        <f t="shared" ca="1" si="57"/>
        <v/>
      </c>
      <c r="N765" s="74" t="str">
        <f>IF($C765="","",IF($C765="TANIMSIZ MÜŞTERİ","—",INDEX(MUSTERILER!$C$7:$C$156,MATCH($C765,MUSTERILER!$B$7:$B$156,0))))</f>
        <v/>
      </c>
      <c r="O765" s="2"/>
      <c r="P765" s="2"/>
      <c r="Q765" s="1" t="str">
        <f>IF($D765="","",$C765&amp;"|"&amp;COUNTIFS($C$7:$C765,$C765))</f>
        <v/>
      </c>
      <c r="R765" s="1" t="str">
        <f t="shared" si="58"/>
        <v/>
      </c>
      <c r="S765" s="1" t="str">
        <f t="shared" si="59"/>
        <v/>
      </c>
      <c r="T765" s="1">
        <f>IF($E765="",0,SUMPRODUCT((AY_SONU!$O$7:$O$42="Evet")*(AY_SONU!$B$7:$B$42=DATE(YEAR($E765),MONTH($E765),1))))</f>
        <v>0</v>
      </c>
    </row>
    <row r="766" spans="1:20" ht="18" customHeight="1" x14ac:dyDescent="0.3">
      <c r="A766" s="2"/>
      <c r="B766" s="65" t="str">
        <f t="shared" si="55"/>
        <v/>
      </c>
      <c r="C766" s="65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66"/>
      <c r="F766" s="67"/>
      <c r="G766" s="60"/>
      <c r="H766" s="60"/>
      <c r="I766" s="61"/>
      <c r="J766" s="61"/>
      <c r="K766" s="61"/>
      <c r="L766" s="73" t="str">
        <f t="shared" si="56"/>
        <v/>
      </c>
      <c r="M766" s="65" t="str">
        <f t="shared" ca="1" si="57"/>
        <v/>
      </c>
      <c r="N766" s="74" t="str">
        <f>IF($C766="","",IF($C766="TANIMSIZ MÜŞTERİ","—",INDEX(MUSTERILER!$C$7:$C$156,MATCH($C766,MUSTERILER!$B$7:$B$156,0))))</f>
        <v/>
      </c>
      <c r="O766" s="2"/>
      <c r="P766" s="2"/>
      <c r="Q766" s="1" t="str">
        <f>IF($D766="","",$C766&amp;"|"&amp;COUNTIFS($C$7:$C766,$C766))</f>
        <v/>
      </c>
      <c r="R766" s="1" t="str">
        <f t="shared" si="58"/>
        <v/>
      </c>
      <c r="S766" s="1" t="str">
        <f t="shared" si="59"/>
        <v/>
      </c>
      <c r="T766" s="1">
        <f>IF($E766="",0,SUMPRODUCT((AY_SONU!$O$7:$O$42="Evet")*(AY_SONU!$B$7:$B$42=DATE(YEAR($E766),MONTH($E766),1))))</f>
        <v>0</v>
      </c>
    </row>
    <row r="767" spans="1:20" ht="18" customHeight="1" x14ac:dyDescent="0.3">
      <c r="A767" s="2"/>
      <c r="B767" s="65" t="str">
        <f t="shared" si="55"/>
        <v/>
      </c>
      <c r="C767" s="65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66"/>
      <c r="F767" s="67"/>
      <c r="G767" s="60"/>
      <c r="H767" s="60"/>
      <c r="I767" s="61"/>
      <c r="J767" s="61"/>
      <c r="K767" s="61"/>
      <c r="L767" s="73" t="str">
        <f t="shared" si="56"/>
        <v/>
      </c>
      <c r="M767" s="65" t="str">
        <f t="shared" ca="1" si="57"/>
        <v/>
      </c>
      <c r="N767" s="74" t="str">
        <f>IF($C767="","",IF($C767="TANIMSIZ MÜŞTERİ","—",INDEX(MUSTERILER!$C$7:$C$156,MATCH($C767,MUSTERILER!$B$7:$B$156,0))))</f>
        <v/>
      </c>
      <c r="O767" s="2"/>
      <c r="P767" s="2"/>
      <c r="Q767" s="1" t="str">
        <f>IF($D767="","",$C767&amp;"|"&amp;COUNTIFS($C$7:$C767,$C767))</f>
        <v/>
      </c>
      <c r="R767" s="1" t="str">
        <f t="shared" si="58"/>
        <v/>
      </c>
      <c r="S767" s="1" t="str">
        <f t="shared" si="59"/>
        <v/>
      </c>
      <c r="T767" s="1">
        <f>IF($E767="",0,SUMPRODUCT((AY_SONU!$O$7:$O$42="Evet")*(AY_SONU!$B$7:$B$42=DATE(YEAR($E767),MONTH($E767),1))))</f>
        <v>0</v>
      </c>
    </row>
    <row r="768" spans="1:20" ht="18" customHeight="1" x14ac:dyDescent="0.3">
      <c r="A768" s="2"/>
      <c r="B768" s="65" t="str">
        <f t="shared" si="55"/>
        <v/>
      </c>
      <c r="C768" s="65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66"/>
      <c r="F768" s="67"/>
      <c r="G768" s="60"/>
      <c r="H768" s="60"/>
      <c r="I768" s="61"/>
      <c r="J768" s="61"/>
      <c r="K768" s="61"/>
      <c r="L768" s="73" t="str">
        <f t="shared" si="56"/>
        <v/>
      </c>
      <c r="M768" s="65" t="str">
        <f t="shared" ca="1" si="57"/>
        <v/>
      </c>
      <c r="N768" s="74" t="str">
        <f>IF($C768="","",IF($C768="TANIMSIZ MÜŞTERİ","—",INDEX(MUSTERILER!$C$7:$C$156,MATCH($C768,MUSTERILER!$B$7:$B$156,0))))</f>
        <v/>
      </c>
      <c r="O768" s="2"/>
      <c r="P768" s="2"/>
      <c r="Q768" s="1" t="str">
        <f>IF($D768="","",$C768&amp;"|"&amp;COUNTIFS($C$7:$C768,$C768))</f>
        <v/>
      </c>
      <c r="R768" s="1" t="str">
        <f t="shared" si="58"/>
        <v/>
      </c>
      <c r="S768" s="1" t="str">
        <f t="shared" si="59"/>
        <v/>
      </c>
      <c r="T768" s="1">
        <f>IF($E768="",0,SUMPRODUCT((AY_SONU!$O$7:$O$42="Evet")*(AY_SONU!$B$7:$B$42=DATE(YEAR($E768),MONTH($E768),1))))</f>
        <v>0</v>
      </c>
    </row>
    <row r="769" spans="1:20" ht="18" customHeight="1" x14ac:dyDescent="0.3">
      <c r="A769" s="2"/>
      <c r="B769" s="65" t="str">
        <f t="shared" si="55"/>
        <v/>
      </c>
      <c r="C769" s="65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66"/>
      <c r="F769" s="67"/>
      <c r="G769" s="60"/>
      <c r="H769" s="60"/>
      <c r="I769" s="61"/>
      <c r="J769" s="61"/>
      <c r="K769" s="61"/>
      <c r="L769" s="73" t="str">
        <f t="shared" si="56"/>
        <v/>
      </c>
      <c r="M769" s="65" t="str">
        <f t="shared" ca="1" si="57"/>
        <v/>
      </c>
      <c r="N769" s="74" t="str">
        <f>IF($C769="","",IF($C769="TANIMSIZ MÜŞTERİ","—",INDEX(MUSTERILER!$C$7:$C$156,MATCH($C769,MUSTERILER!$B$7:$B$156,0))))</f>
        <v/>
      </c>
      <c r="O769" s="2"/>
      <c r="P769" s="2"/>
      <c r="Q769" s="1" t="str">
        <f>IF($D769="","",$C769&amp;"|"&amp;COUNTIFS($C$7:$C769,$C769))</f>
        <v/>
      </c>
      <c r="R769" s="1" t="str">
        <f t="shared" si="58"/>
        <v/>
      </c>
      <c r="S769" s="1" t="str">
        <f t="shared" si="59"/>
        <v/>
      </c>
      <c r="T769" s="1">
        <f>IF($E769="",0,SUMPRODUCT((AY_SONU!$O$7:$O$42="Evet")*(AY_SONU!$B$7:$B$42=DATE(YEAR($E769),MONTH($E769),1))))</f>
        <v>0</v>
      </c>
    </row>
    <row r="770" spans="1:20" ht="18" customHeight="1" x14ac:dyDescent="0.3">
      <c r="A770" s="2"/>
      <c r="B770" s="65" t="str">
        <f t="shared" si="55"/>
        <v/>
      </c>
      <c r="C770" s="65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66"/>
      <c r="F770" s="67"/>
      <c r="G770" s="60"/>
      <c r="H770" s="60"/>
      <c r="I770" s="61"/>
      <c r="J770" s="61"/>
      <c r="K770" s="61"/>
      <c r="L770" s="73" t="str">
        <f t="shared" si="56"/>
        <v/>
      </c>
      <c r="M770" s="65" t="str">
        <f t="shared" ca="1" si="57"/>
        <v/>
      </c>
      <c r="N770" s="74" t="str">
        <f>IF($C770="","",IF($C770="TANIMSIZ MÜŞTERİ","—",INDEX(MUSTERILER!$C$7:$C$156,MATCH($C770,MUSTERILER!$B$7:$B$156,0))))</f>
        <v/>
      </c>
      <c r="O770" s="2"/>
      <c r="P770" s="2"/>
      <c r="Q770" s="1" t="str">
        <f>IF($D770="","",$C770&amp;"|"&amp;COUNTIFS($C$7:$C770,$C770))</f>
        <v/>
      </c>
      <c r="R770" s="1" t="str">
        <f t="shared" si="58"/>
        <v/>
      </c>
      <c r="S770" s="1" t="str">
        <f t="shared" si="59"/>
        <v/>
      </c>
      <c r="T770" s="1">
        <f>IF($E770="",0,SUMPRODUCT((AY_SONU!$O$7:$O$42="Evet")*(AY_SONU!$B$7:$B$42=DATE(YEAR($E770),MONTH($E770),1))))</f>
        <v>0</v>
      </c>
    </row>
    <row r="771" spans="1:20" ht="18" customHeight="1" x14ac:dyDescent="0.3">
      <c r="A771" s="2"/>
      <c r="B771" s="65" t="str">
        <f t="shared" si="55"/>
        <v/>
      </c>
      <c r="C771" s="65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66"/>
      <c r="F771" s="67"/>
      <c r="G771" s="60"/>
      <c r="H771" s="60"/>
      <c r="I771" s="61"/>
      <c r="J771" s="61"/>
      <c r="K771" s="61"/>
      <c r="L771" s="73" t="str">
        <f t="shared" si="56"/>
        <v/>
      </c>
      <c r="M771" s="65" t="str">
        <f t="shared" ca="1" si="57"/>
        <v/>
      </c>
      <c r="N771" s="74" t="str">
        <f>IF($C771="","",IF($C771="TANIMSIZ MÜŞTERİ","—",INDEX(MUSTERILER!$C$7:$C$156,MATCH($C771,MUSTERILER!$B$7:$B$156,0))))</f>
        <v/>
      </c>
      <c r="O771" s="2"/>
      <c r="P771" s="2"/>
      <c r="Q771" s="1" t="str">
        <f>IF($D771="","",$C771&amp;"|"&amp;COUNTIFS($C$7:$C771,$C771))</f>
        <v/>
      </c>
      <c r="R771" s="1" t="str">
        <f t="shared" si="58"/>
        <v/>
      </c>
      <c r="S771" s="1" t="str">
        <f t="shared" si="59"/>
        <v/>
      </c>
      <c r="T771" s="1">
        <f>IF($E771="",0,SUMPRODUCT((AY_SONU!$O$7:$O$42="Evet")*(AY_SONU!$B$7:$B$42=DATE(YEAR($E771),MONTH($E771),1))))</f>
        <v>0</v>
      </c>
    </row>
    <row r="772" spans="1:20" ht="18" customHeight="1" x14ac:dyDescent="0.3">
      <c r="A772" s="2"/>
      <c r="B772" s="65" t="str">
        <f t="shared" si="55"/>
        <v/>
      </c>
      <c r="C772" s="65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66"/>
      <c r="F772" s="67"/>
      <c r="G772" s="60"/>
      <c r="H772" s="60"/>
      <c r="I772" s="61"/>
      <c r="J772" s="61"/>
      <c r="K772" s="61"/>
      <c r="L772" s="73" t="str">
        <f t="shared" si="56"/>
        <v/>
      </c>
      <c r="M772" s="65" t="str">
        <f t="shared" ca="1" si="57"/>
        <v/>
      </c>
      <c r="N772" s="74" t="str">
        <f>IF($C772="","",IF($C772="TANIMSIZ MÜŞTERİ","—",INDEX(MUSTERILER!$C$7:$C$156,MATCH($C772,MUSTERILER!$B$7:$B$156,0))))</f>
        <v/>
      </c>
      <c r="O772" s="2"/>
      <c r="P772" s="2"/>
      <c r="Q772" s="1" t="str">
        <f>IF($D772="","",$C772&amp;"|"&amp;COUNTIFS($C$7:$C772,$C772))</f>
        <v/>
      </c>
      <c r="R772" s="1" t="str">
        <f t="shared" si="58"/>
        <v/>
      </c>
      <c r="S772" s="1" t="str">
        <f t="shared" si="59"/>
        <v/>
      </c>
      <c r="T772" s="1">
        <f>IF($E772="",0,SUMPRODUCT((AY_SONU!$O$7:$O$42="Evet")*(AY_SONU!$B$7:$B$42=DATE(YEAR($E772),MONTH($E772),1))))</f>
        <v>0</v>
      </c>
    </row>
    <row r="773" spans="1:20" ht="18" customHeight="1" x14ac:dyDescent="0.3">
      <c r="A773" s="2"/>
      <c r="B773" s="65" t="str">
        <f t="shared" si="55"/>
        <v/>
      </c>
      <c r="C773" s="65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66"/>
      <c r="F773" s="67"/>
      <c r="G773" s="60"/>
      <c r="H773" s="60"/>
      <c r="I773" s="61"/>
      <c r="J773" s="61"/>
      <c r="K773" s="61"/>
      <c r="L773" s="73" t="str">
        <f t="shared" si="56"/>
        <v/>
      </c>
      <c r="M773" s="65" t="str">
        <f t="shared" ca="1" si="57"/>
        <v/>
      </c>
      <c r="N773" s="74" t="str">
        <f>IF($C773="","",IF($C773="TANIMSIZ MÜŞTERİ","—",INDEX(MUSTERILER!$C$7:$C$156,MATCH($C773,MUSTERILER!$B$7:$B$156,0))))</f>
        <v/>
      </c>
      <c r="O773" s="2"/>
      <c r="P773" s="2"/>
      <c r="Q773" s="1" t="str">
        <f>IF($D773="","",$C773&amp;"|"&amp;COUNTIFS($C$7:$C773,$C773))</f>
        <v/>
      </c>
      <c r="R773" s="1" t="str">
        <f t="shared" si="58"/>
        <v/>
      </c>
      <c r="S773" s="1" t="str">
        <f t="shared" si="59"/>
        <v/>
      </c>
      <c r="T773" s="1">
        <f>IF($E773="",0,SUMPRODUCT((AY_SONU!$O$7:$O$42="Evet")*(AY_SONU!$B$7:$B$42=DATE(YEAR($E773),MONTH($E773),1))))</f>
        <v>0</v>
      </c>
    </row>
    <row r="774" spans="1:20" ht="18" customHeight="1" x14ac:dyDescent="0.3">
      <c r="A774" s="2"/>
      <c r="B774" s="65" t="str">
        <f t="shared" si="55"/>
        <v/>
      </c>
      <c r="C774" s="65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66"/>
      <c r="F774" s="67"/>
      <c r="G774" s="60"/>
      <c r="H774" s="60"/>
      <c r="I774" s="61"/>
      <c r="J774" s="61"/>
      <c r="K774" s="61"/>
      <c r="L774" s="73" t="str">
        <f t="shared" si="56"/>
        <v/>
      </c>
      <c r="M774" s="65" t="str">
        <f t="shared" ca="1" si="57"/>
        <v/>
      </c>
      <c r="N774" s="74" t="str">
        <f>IF($C774="","",IF($C774="TANIMSIZ MÜŞTERİ","—",INDEX(MUSTERILER!$C$7:$C$156,MATCH($C774,MUSTERILER!$B$7:$B$156,0))))</f>
        <v/>
      </c>
      <c r="O774" s="2"/>
      <c r="P774" s="2"/>
      <c r="Q774" s="1" t="str">
        <f>IF($D774="","",$C774&amp;"|"&amp;COUNTIFS($C$7:$C774,$C774))</f>
        <v/>
      </c>
      <c r="R774" s="1" t="str">
        <f t="shared" si="58"/>
        <v/>
      </c>
      <c r="S774" s="1" t="str">
        <f t="shared" si="59"/>
        <v/>
      </c>
      <c r="T774" s="1">
        <f>IF($E774="",0,SUMPRODUCT((AY_SONU!$O$7:$O$42="Evet")*(AY_SONU!$B$7:$B$42=DATE(YEAR($E774),MONTH($E774),1))))</f>
        <v>0</v>
      </c>
    </row>
    <row r="775" spans="1:20" ht="18" customHeight="1" x14ac:dyDescent="0.3">
      <c r="A775" s="2"/>
      <c r="B775" s="65" t="str">
        <f t="shared" ref="B775:B838" si="60">IF($D775="","","T"&amp;TEXT(ROW()-6,"00000"))</f>
        <v/>
      </c>
      <c r="C775" s="65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66"/>
      <c r="F775" s="67"/>
      <c r="G775" s="60"/>
      <c r="H775" s="60"/>
      <c r="I775" s="61"/>
      <c r="J775" s="61"/>
      <c r="K775" s="61"/>
      <c r="L775" s="73" t="str">
        <f t="shared" ref="L775:L838" si="61">IF($E775="","",DATE(YEAR($E775),MONTH($E775),1))</f>
        <v/>
      </c>
      <c r="M775" s="65" t="str">
        <f t="shared" ref="M775:M838" ca="1" si="62">IF($D775="","",IF($C775="TANIMSIZ MÜŞTERİ","HATA",IF(OR($E775="",$F775&lt;=0,$G775=""),"EKSİK",IF($E775&gt;TODAY(),"İLERİ TARİH",IF(COUNTIF($S$7:$S$2506,$S775)&gt;1,"MÜKERRER?",IF($T775&gt;0,"KAPALI DÖNEM","UYGUN"))))))</f>
        <v/>
      </c>
      <c r="N775" s="74" t="str">
        <f>IF($C775="","",IF($C775="TANIMSIZ MÜŞTERİ","—",INDEX(MUSTERILER!$C$7:$C$156,MATCH($C775,MUSTERILER!$B$7:$B$156,0))))</f>
        <v/>
      </c>
      <c r="O775" s="2"/>
      <c r="P775" s="2"/>
      <c r="Q775" s="1" t="str">
        <f>IF($D775="","",$C775&amp;"|"&amp;COUNTIFS($C$7:$C775,$C775))</f>
        <v/>
      </c>
      <c r="R775" s="1" t="str">
        <f t="shared" ref="R775:R838" si="63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 t="str">
        <f t="shared" ref="S775:S838" si="64"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>0</v>
      </c>
    </row>
    <row r="776" spans="1:20" ht="18" customHeight="1" x14ac:dyDescent="0.3">
      <c r="A776" s="2"/>
      <c r="B776" s="65" t="str">
        <f t="shared" si="60"/>
        <v/>
      </c>
      <c r="C776" s="65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66"/>
      <c r="F776" s="67"/>
      <c r="G776" s="60"/>
      <c r="H776" s="60"/>
      <c r="I776" s="61"/>
      <c r="J776" s="61"/>
      <c r="K776" s="61"/>
      <c r="L776" s="73" t="str">
        <f t="shared" si="61"/>
        <v/>
      </c>
      <c r="M776" s="65" t="str">
        <f t="shared" ca="1" si="62"/>
        <v/>
      </c>
      <c r="N776" s="74" t="str">
        <f>IF($C776="","",IF($C776="TANIMSIZ MÜŞTERİ","—",INDEX(MUSTERILER!$C$7:$C$156,MATCH($C776,MUSTERILER!$B$7:$B$156,0))))</f>
        <v/>
      </c>
      <c r="O776" s="2"/>
      <c r="P776" s="2"/>
      <c r="Q776" s="1" t="str">
        <f>IF($D776="","",$C776&amp;"|"&amp;COUNTIFS($C$7:$C776,$C776))</f>
        <v/>
      </c>
      <c r="R776" s="1" t="str">
        <f t="shared" si="63"/>
        <v/>
      </c>
      <c r="S776" s="1" t="str">
        <f t="shared" si="64"/>
        <v/>
      </c>
      <c r="T776" s="1">
        <f>IF($E776="",0,SUMPRODUCT((AY_SONU!$O$7:$O$42="Evet")*(AY_SONU!$B$7:$B$42=DATE(YEAR($E776),MONTH($E776),1))))</f>
        <v>0</v>
      </c>
    </row>
    <row r="777" spans="1:20" ht="18" customHeight="1" x14ac:dyDescent="0.3">
      <c r="A777" s="2"/>
      <c r="B777" s="65" t="str">
        <f t="shared" si="60"/>
        <v/>
      </c>
      <c r="C777" s="65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66"/>
      <c r="F777" s="67"/>
      <c r="G777" s="60"/>
      <c r="H777" s="60"/>
      <c r="I777" s="61"/>
      <c r="J777" s="61"/>
      <c r="K777" s="61"/>
      <c r="L777" s="73" t="str">
        <f t="shared" si="61"/>
        <v/>
      </c>
      <c r="M777" s="65" t="str">
        <f t="shared" ca="1" si="62"/>
        <v/>
      </c>
      <c r="N777" s="74" t="str">
        <f>IF($C777="","",IF($C777="TANIMSIZ MÜŞTERİ","—",INDEX(MUSTERILER!$C$7:$C$156,MATCH($C777,MUSTERILER!$B$7:$B$156,0))))</f>
        <v/>
      </c>
      <c r="O777" s="2"/>
      <c r="P777" s="2"/>
      <c r="Q777" s="1" t="str">
        <f>IF($D777="","",$C777&amp;"|"&amp;COUNTIFS($C$7:$C777,$C777))</f>
        <v/>
      </c>
      <c r="R777" s="1" t="str">
        <f t="shared" si="63"/>
        <v/>
      </c>
      <c r="S777" s="1" t="str">
        <f t="shared" si="64"/>
        <v/>
      </c>
      <c r="T777" s="1">
        <f>IF($E777="",0,SUMPRODUCT((AY_SONU!$O$7:$O$42="Evet")*(AY_SONU!$B$7:$B$42=DATE(YEAR($E777),MONTH($E777),1))))</f>
        <v>0</v>
      </c>
    </row>
    <row r="778" spans="1:20" ht="18" customHeight="1" x14ac:dyDescent="0.3">
      <c r="A778" s="2"/>
      <c r="B778" s="65" t="str">
        <f t="shared" si="60"/>
        <v/>
      </c>
      <c r="C778" s="65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66"/>
      <c r="F778" s="67"/>
      <c r="G778" s="60"/>
      <c r="H778" s="60"/>
      <c r="I778" s="61"/>
      <c r="J778" s="61"/>
      <c r="K778" s="61"/>
      <c r="L778" s="73" t="str">
        <f t="shared" si="61"/>
        <v/>
      </c>
      <c r="M778" s="65" t="str">
        <f t="shared" ca="1" si="62"/>
        <v/>
      </c>
      <c r="N778" s="74" t="str">
        <f>IF($C778="","",IF($C778="TANIMSIZ MÜŞTERİ","—",INDEX(MUSTERILER!$C$7:$C$156,MATCH($C778,MUSTERILER!$B$7:$B$156,0))))</f>
        <v/>
      </c>
      <c r="O778" s="2"/>
      <c r="P778" s="2"/>
      <c r="Q778" s="1" t="str">
        <f>IF($D778="","",$C778&amp;"|"&amp;COUNTIFS($C$7:$C778,$C778))</f>
        <v/>
      </c>
      <c r="R778" s="1" t="str">
        <f t="shared" si="63"/>
        <v/>
      </c>
      <c r="S778" s="1" t="str">
        <f t="shared" si="64"/>
        <v/>
      </c>
      <c r="T778" s="1">
        <f>IF($E778="",0,SUMPRODUCT((AY_SONU!$O$7:$O$42="Evet")*(AY_SONU!$B$7:$B$42=DATE(YEAR($E778),MONTH($E778),1))))</f>
        <v>0</v>
      </c>
    </row>
    <row r="779" spans="1:20" ht="18" customHeight="1" x14ac:dyDescent="0.3">
      <c r="A779" s="2"/>
      <c r="B779" s="65" t="str">
        <f t="shared" si="60"/>
        <v/>
      </c>
      <c r="C779" s="65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66"/>
      <c r="F779" s="67"/>
      <c r="G779" s="60"/>
      <c r="H779" s="60"/>
      <c r="I779" s="61"/>
      <c r="J779" s="61"/>
      <c r="K779" s="61"/>
      <c r="L779" s="73" t="str">
        <f t="shared" si="61"/>
        <v/>
      </c>
      <c r="M779" s="65" t="str">
        <f t="shared" ca="1" si="62"/>
        <v/>
      </c>
      <c r="N779" s="74" t="str">
        <f>IF($C779="","",IF($C779="TANIMSIZ MÜŞTERİ","—",INDEX(MUSTERILER!$C$7:$C$156,MATCH($C779,MUSTERILER!$B$7:$B$156,0))))</f>
        <v/>
      </c>
      <c r="O779" s="2"/>
      <c r="P779" s="2"/>
      <c r="Q779" s="1" t="str">
        <f>IF($D779="","",$C779&amp;"|"&amp;COUNTIFS($C$7:$C779,$C779))</f>
        <v/>
      </c>
      <c r="R779" s="1" t="str">
        <f t="shared" si="63"/>
        <v/>
      </c>
      <c r="S779" s="1" t="str">
        <f t="shared" si="64"/>
        <v/>
      </c>
      <c r="T779" s="1">
        <f>IF($E779="",0,SUMPRODUCT((AY_SONU!$O$7:$O$42="Evet")*(AY_SONU!$B$7:$B$42=DATE(YEAR($E779),MONTH($E779),1))))</f>
        <v>0</v>
      </c>
    </row>
    <row r="780" spans="1:20" ht="18" customHeight="1" x14ac:dyDescent="0.3">
      <c r="A780" s="2"/>
      <c r="B780" s="65" t="str">
        <f t="shared" si="60"/>
        <v/>
      </c>
      <c r="C780" s="65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66"/>
      <c r="F780" s="67"/>
      <c r="G780" s="60"/>
      <c r="H780" s="60"/>
      <c r="I780" s="61"/>
      <c r="J780" s="61"/>
      <c r="K780" s="61"/>
      <c r="L780" s="73" t="str">
        <f t="shared" si="61"/>
        <v/>
      </c>
      <c r="M780" s="65" t="str">
        <f t="shared" ca="1" si="62"/>
        <v/>
      </c>
      <c r="N780" s="74" t="str">
        <f>IF($C780="","",IF($C780="TANIMSIZ MÜŞTERİ","—",INDEX(MUSTERILER!$C$7:$C$156,MATCH($C780,MUSTERILER!$B$7:$B$156,0))))</f>
        <v/>
      </c>
      <c r="O780" s="2"/>
      <c r="P780" s="2"/>
      <c r="Q780" s="1" t="str">
        <f>IF($D780="","",$C780&amp;"|"&amp;COUNTIFS($C$7:$C780,$C780))</f>
        <v/>
      </c>
      <c r="R780" s="1" t="str">
        <f t="shared" si="63"/>
        <v/>
      </c>
      <c r="S780" s="1" t="str">
        <f t="shared" si="64"/>
        <v/>
      </c>
      <c r="T780" s="1">
        <f>IF($E780="",0,SUMPRODUCT((AY_SONU!$O$7:$O$42="Evet")*(AY_SONU!$B$7:$B$42=DATE(YEAR($E780),MONTH($E780),1))))</f>
        <v>0</v>
      </c>
    </row>
    <row r="781" spans="1:20" ht="18" customHeight="1" x14ac:dyDescent="0.3">
      <c r="A781" s="2"/>
      <c r="B781" s="65" t="str">
        <f t="shared" si="60"/>
        <v/>
      </c>
      <c r="C781" s="65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66"/>
      <c r="F781" s="67"/>
      <c r="G781" s="60"/>
      <c r="H781" s="60"/>
      <c r="I781" s="61"/>
      <c r="J781" s="61"/>
      <c r="K781" s="61"/>
      <c r="L781" s="73" t="str">
        <f t="shared" si="61"/>
        <v/>
      </c>
      <c r="M781" s="65" t="str">
        <f t="shared" ca="1" si="62"/>
        <v/>
      </c>
      <c r="N781" s="74" t="str">
        <f>IF($C781="","",IF($C781="TANIMSIZ MÜŞTERİ","—",INDEX(MUSTERILER!$C$7:$C$156,MATCH($C781,MUSTERILER!$B$7:$B$156,0))))</f>
        <v/>
      </c>
      <c r="O781" s="2"/>
      <c r="P781" s="2"/>
      <c r="Q781" s="1" t="str">
        <f>IF($D781="","",$C781&amp;"|"&amp;COUNTIFS($C$7:$C781,$C781))</f>
        <v/>
      </c>
      <c r="R781" s="1" t="str">
        <f t="shared" si="63"/>
        <v/>
      </c>
      <c r="S781" s="1" t="str">
        <f t="shared" si="64"/>
        <v/>
      </c>
      <c r="T781" s="1">
        <f>IF($E781="",0,SUMPRODUCT((AY_SONU!$O$7:$O$42="Evet")*(AY_SONU!$B$7:$B$42=DATE(YEAR($E781),MONTH($E781),1))))</f>
        <v>0</v>
      </c>
    </row>
    <row r="782" spans="1:20" ht="18" customHeight="1" x14ac:dyDescent="0.3">
      <c r="A782" s="2"/>
      <c r="B782" s="65" t="str">
        <f t="shared" si="60"/>
        <v/>
      </c>
      <c r="C782" s="65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66"/>
      <c r="F782" s="67"/>
      <c r="G782" s="60"/>
      <c r="H782" s="60"/>
      <c r="I782" s="61"/>
      <c r="J782" s="61"/>
      <c r="K782" s="61"/>
      <c r="L782" s="73" t="str">
        <f t="shared" si="61"/>
        <v/>
      </c>
      <c r="M782" s="65" t="str">
        <f t="shared" ca="1" si="62"/>
        <v/>
      </c>
      <c r="N782" s="74" t="str">
        <f>IF($C782="","",IF($C782="TANIMSIZ MÜŞTERİ","—",INDEX(MUSTERILER!$C$7:$C$156,MATCH($C782,MUSTERILER!$B$7:$B$156,0))))</f>
        <v/>
      </c>
      <c r="O782" s="2"/>
      <c r="P782" s="2"/>
      <c r="Q782" s="1" t="str">
        <f>IF($D782="","",$C782&amp;"|"&amp;COUNTIFS($C$7:$C782,$C782))</f>
        <v/>
      </c>
      <c r="R782" s="1" t="str">
        <f t="shared" si="63"/>
        <v/>
      </c>
      <c r="S782" s="1" t="str">
        <f t="shared" si="64"/>
        <v/>
      </c>
      <c r="T782" s="1">
        <f>IF($E782="",0,SUMPRODUCT((AY_SONU!$O$7:$O$42="Evet")*(AY_SONU!$B$7:$B$42=DATE(YEAR($E782),MONTH($E782),1))))</f>
        <v>0</v>
      </c>
    </row>
    <row r="783" spans="1:20" ht="18" customHeight="1" x14ac:dyDescent="0.3">
      <c r="A783" s="2"/>
      <c r="B783" s="65" t="str">
        <f t="shared" si="60"/>
        <v/>
      </c>
      <c r="C783" s="65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66"/>
      <c r="F783" s="67"/>
      <c r="G783" s="60"/>
      <c r="H783" s="60"/>
      <c r="I783" s="61"/>
      <c r="J783" s="61"/>
      <c r="K783" s="61"/>
      <c r="L783" s="73" t="str">
        <f t="shared" si="61"/>
        <v/>
      </c>
      <c r="M783" s="65" t="str">
        <f t="shared" ca="1" si="62"/>
        <v/>
      </c>
      <c r="N783" s="74" t="str">
        <f>IF($C783="","",IF($C783="TANIMSIZ MÜŞTERİ","—",INDEX(MUSTERILER!$C$7:$C$156,MATCH($C783,MUSTERILER!$B$7:$B$156,0))))</f>
        <v/>
      </c>
      <c r="O783" s="2"/>
      <c r="P783" s="2"/>
      <c r="Q783" s="1" t="str">
        <f>IF($D783="","",$C783&amp;"|"&amp;COUNTIFS($C$7:$C783,$C783))</f>
        <v/>
      </c>
      <c r="R783" s="1" t="str">
        <f t="shared" si="63"/>
        <v/>
      </c>
      <c r="S783" s="1" t="str">
        <f t="shared" si="64"/>
        <v/>
      </c>
      <c r="T783" s="1">
        <f>IF($E783="",0,SUMPRODUCT((AY_SONU!$O$7:$O$42="Evet")*(AY_SONU!$B$7:$B$42=DATE(YEAR($E783),MONTH($E783),1))))</f>
        <v>0</v>
      </c>
    </row>
    <row r="784" spans="1:20" ht="18" customHeight="1" x14ac:dyDescent="0.3">
      <c r="A784" s="2"/>
      <c r="B784" s="65" t="str">
        <f t="shared" si="60"/>
        <v/>
      </c>
      <c r="C784" s="65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66"/>
      <c r="F784" s="67"/>
      <c r="G784" s="60"/>
      <c r="H784" s="60"/>
      <c r="I784" s="61"/>
      <c r="J784" s="61"/>
      <c r="K784" s="61"/>
      <c r="L784" s="73" t="str">
        <f t="shared" si="61"/>
        <v/>
      </c>
      <c r="M784" s="65" t="str">
        <f t="shared" ca="1" si="62"/>
        <v/>
      </c>
      <c r="N784" s="74" t="str">
        <f>IF($C784="","",IF($C784="TANIMSIZ MÜŞTERİ","—",INDEX(MUSTERILER!$C$7:$C$156,MATCH($C784,MUSTERILER!$B$7:$B$156,0))))</f>
        <v/>
      </c>
      <c r="O784" s="2"/>
      <c r="P784" s="2"/>
      <c r="Q784" s="1" t="str">
        <f>IF($D784="","",$C784&amp;"|"&amp;COUNTIFS($C$7:$C784,$C784))</f>
        <v/>
      </c>
      <c r="R784" s="1" t="str">
        <f t="shared" si="63"/>
        <v/>
      </c>
      <c r="S784" s="1" t="str">
        <f t="shared" si="64"/>
        <v/>
      </c>
      <c r="T784" s="1">
        <f>IF($E784="",0,SUMPRODUCT((AY_SONU!$O$7:$O$42="Evet")*(AY_SONU!$B$7:$B$42=DATE(YEAR($E784),MONTH($E784),1))))</f>
        <v>0</v>
      </c>
    </row>
    <row r="785" spans="1:20" ht="18" customHeight="1" x14ac:dyDescent="0.3">
      <c r="A785" s="2"/>
      <c r="B785" s="65" t="str">
        <f t="shared" si="60"/>
        <v/>
      </c>
      <c r="C785" s="65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66"/>
      <c r="F785" s="67"/>
      <c r="G785" s="60"/>
      <c r="H785" s="60"/>
      <c r="I785" s="61"/>
      <c r="J785" s="61"/>
      <c r="K785" s="61"/>
      <c r="L785" s="73" t="str">
        <f t="shared" si="61"/>
        <v/>
      </c>
      <c r="M785" s="65" t="str">
        <f t="shared" ca="1" si="62"/>
        <v/>
      </c>
      <c r="N785" s="74" t="str">
        <f>IF($C785="","",IF($C785="TANIMSIZ MÜŞTERİ","—",INDEX(MUSTERILER!$C$7:$C$156,MATCH($C785,MUSTERILER!$B$7:$B$156,0))))</f>
        <v/>
      </c>
      <c r="O785" s="2"/>
      <c r="P785" s="2"/>
      <c r="Q785" s="1" t="str">
        <f>IF($D785="","",$C785&amp;"|"&amp;COUNTIFS($C$7:$C785,$C785))</f>
        <v/>
      </c>
      <c r="R785" s="1" t="str">
        <f t="shared" si="63"/>
        <v/>
      </c>
      <c r="S785" s="1" t="str">
        <f t="shared" si="64"/>
        <v/>
      </c>
      <c r="T785" s="1">
        <f>IF($E785="",0,SUMPRODUCT((AY_SONU!$O$7:$O$42="Evet")*(AY_SONU!$B$7:$B$42=DATE(YEAR($E785),MONTH($E785),1))))</f>
        <v>0</v>
      </c>
    </row>
    <row r="786" spans="1:20" ht="18" customHeight="1" x14ac:dyDescent="0.3">
      <c r="A786" s="2"/>
      <c r="B786" s="65" t="str">
        <f t="shared" si="60"/>
        <v/>
      </c>
      <c r="C786" s="65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66"/>
      <c r="F786" s="67"/>
      <c r="G786" s="60"/>
      <c r="H786" s="60"/>
      <c r="I786" s="61"/>
      <c r="J786" s="61"/>
      <c r="K786" s="61"/>
      <c r="L786" s="73" t="str">
        <f t="shared" si="61"/>
        <v/>
      </c>
      <c r="M786" s="65" t="str">
        <f t="shared" ca="1" si="62"/>
        <v/>
      </c>
      <c r="N786" s="74" t="str">
        <f>IF($C786="","",IF($C786="TANIMSIZ MÜŞTERİ","—",INDEX(MUSTERILER!$C$7:$C$156,MATCH($C786,MUSTERILER!$B$7:$B$156,0))))</f>
        <v/>
      </c>
      <c r="O786" s="2"/>
      <c r="P786" s="2"/>
      <c r="Q786" s="1" t="str">
        <f>IF($D786="","",$C786&amp;"|"&amp;COUNTIFS($C$7:$C786,$C786))</f>
        <v/>
      </c>
      <c r="R786" s="1" t="str">
        <f t="shared" si="63"/>
        <v/>
      </c>
      <c r="S786" s="1" t="str">
        <f t="shared" si="64"/>
        <v/>
      </c>
      <c r="T786" s="1">
        <f>IF($E786="",0,SUMPRODUCT((AY_SONU!$O$7:$O$42="Evet")*(AY_SONU!$B$7:$B$42=DATE(YEAR($E786),MONTH($E786),1))))</f>
        <v>0</v>
      </c>
    </row>
    <row r="787" spans="1:20" ht="18" customHeight="1" x14ac:dyDescent="0.3">
      <c r="A787" s="2"/>
      <c r="B787" s="65" t="str">
        <f t="shared" si="60"/>
        <v/>
      </c>
      <c r="C787" s="65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66"/>
      <c r="F787" s="67"/>
      <c r="G787" s="60"/>
      <c r="H787" s="60"/>
      <c r="I787" s="61"/>
      <c r="J787" s="61"/>
      <c r="K787" s="61"/>
      <c r="L787" s="73" t="str">
        <f t="shared" si="61"/>
        <v/>
      </c>
      <c r="M787" s="65" t="str">
        <f t="shared" ca="1" si="62"/>
        <v/>
      </c>
      <c r="N787" s="74" t="str">
        <f>IF($C787="","",IF($C787="TANIMSIZ MÜŞTERİ","—",INDEX(MUSTERILER!$C$7:$C$156,MATCH($C787,MUSTERILER!$B$7:$B$156,0))))</f>
        <v/>
      </c>
      <c r="O787" s="2"/>
      <c r="P787" s="2"/>
      <c r="Q787" s="1" t="str">
        <f>IF($D787="","",$C787&amp;"|"&amp;COUNTIFS($C$7:$C787,$C787))</f>
        <v/>
      </c>
      <c r="R787" s="1" t="str">
        <f t="shared" si="63"/>
        <v/>
      </c>
      <c r="S787" s="1" t="str">
        <f t="shared" si="64"/>
        <v/>
      </c>
      <c r="T787" s="1">
        <f>IF($E787="",0,SUMPRODUCT((AY_SONU!$O$7:$O$42="Evet")*(AY_SONU!$B$7:$B$42=DATE(YEAR($E787),MONTH($E787),1))))</f>
        <v>0</v>
      </c>
    </row>
    <row r="788" spans="1:20" ht="18" customHeight="1" x14ac:dyDescent="0.3">
      <c r="A788" s="2"/>
      <c r="B788" s="65" t="str">
        <f t="shared" si="60"/>
        <v/>
      </c>
      <c r="C788" s="65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66"/>
      <c r="F788" s="67"/>
      <c r="G788" s="60"/>
      <c r="H788" s="60"/>
      <c r="I788" s="61"/>
      <c r="J788" s="61"/>
      <c r="K788" s="61"/>
      <c r="L788" s="73" t="str">
        <f t="shared" si="61"/>
        <v/>
      </c>
      <c r="M788" s="65" t="str">
        <f t="shared" ca="1" si="62"/>
        <v/>
      </c>
      <c r="N788" s="74" t="str">
        <f>IF($C788="","",IF($C788="TANIMSIZ MÜŞTERİ","—",INDEX(MUSTERILER!$C$7:$C$156,MATCH($C788,MUSTERILER!$B$7:$B$156,0))))</f>
        <v/>
      </c>
      <c r="O788" s="2"/>
      <c r="P788" s="2"/>
      <c r="Q788" s="1" t="str">
        <f>IF($D788="","",$C788&amp;"|"&amp;COUNTIFS($C$7:$C788,$C788))</f>
        <v/>
      </c>
      <c r="R788" s="1" t="str">
        <f t="shared" si="63"/>
        <v/>
      </c>
      <c r="S788" s="1" t="str">
        <f t="shared" si="64"/>
        <v/>
      </c>
      <c r="T788" s="1">
        <f>IF($E788="",0,SUMPRODUCT((AY_SONU!$O$7:$O$42="Evet")*(AY_SONU!$B$7:$B$42=DATE(YEAR($E788),MONTH($E788),1))))</f>
        <v>0</v>
      </c>
    </row>
    <row r="789" spans="1:20" ht="18" customHeight="1" x14ac:dyDescent="0.3">
      <c r="A789" s="2"/>
      <c r="B789" s="65" t="str">
        <f t="shared" si="60"/>
        <v/>
      </c>
      <c r="C789" s="65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66"/>
      <c r="F789" s="67"/>
      <c r="G789" s="60"/>
      <c r="H789" s="60"/>
      <c r="I789" s="61"/>
      <c r="J789" s="61"/>
      <c r="K789" s="61"/>
      <c r="L789" s="73" t="str">
        <f t="shared" si="61"/>
        <v/>
      </c>
      <c r="M789" s="65" t="str">
        <f t="shared" ca="1" si="62"/>
        <v/>
      </c>
      <c r="N789" s="74" t="str">
        <f>IF($C789="","",IF($C789="TANIMSIZ MÜŞTERİ","—",INDEX(MUSTERILER!$C$7:$C$156,MATCH($C789,MUSTERILER!$B$7:$B$156,0))))</f>
        <v/>
      </c>
      <c r="O789" s="2"/>
      <c r="P789" s="2"/>
      <c r="Q789" s="1" t="str">
        <f>IF($D789="","",$C789&amp;"|"&amp;COUNTIFS($C$7:$C789,$C789))</f>
        <v/>
      </c>
      <c r="R789" s="1" t="str">
        <f t="shared" si="63"/>
        <v/>
      </c>
      <c r="S789" s="1" t="str">
        <f t="shared" si="64"/>
        <v/>
      </c>
      <c r="T789" s="1">
        <f>IF($E789="",0,SUMPRODUCT((AY_SONU!$O$7:$O$42="Evet")*(AY_SONU!$B$7:$B$42=DATE(YEAR($E789),MONTH($E789),1))))</f>
        <v>0</v>
      </c>
    </row>
    <row r="790" spans="1:20" ht="18" customHeight="1" x14ac:dyDescent="0.3">
      <c r="A790" s="2"/>
      <c r="B790" s="65" t="str">
        <f t="shared" si="60"/>
        <v/>
      </c>
      <c r="C790" s="65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66"/>
      <c r="F790" s="67"/>
      <c r="G790" s="60"/>
      <c r="H790" s="60"/>
      <c r="I790" s="61"/>
      <c r="J790" s="61"/>
      <c r="K790" s="61"/>
      <c r="L790" s="73" t="str">
        <f t="shared" si="61"/>
        <v/>
      </c>
      <c r="M790" s="65" t="str">
        <f t="shared" ca="1" si="62"/>
        <v/>
      </c>
      <c r="N790" s="74" t="str">
        <f>IF($C790="","",IF($C790="TANIMSIZ MÜŞTERİ","—",INDEX(MUSTERILER!$C$7:$C$156,MATCH($C790,MUSTERILER!$B$7:$B$156,0))))</f>
        <v/>
      </c>
      <c r="O790" s="2"/>
      <c r="P790" s="2"/>
      <c r="Q790" s="1" t="str">
        <f>IF($D790="","",$C790&amp;"|"&amp;COUNTIFS($C$7:$C790,$C790))</f>
        <v/>
      </c>
      <c r="R790" s="1" t="str">
        <f t="shared" si="63"/>
        <v/>
      </c>
      <c r="S790" s="1" t="str">
        <f t="shared" si="64"/>
        <v/>
      </c>
      <c r="T790" s="1">
        <f>IF($E790="",0,SUMPRODUCT((AY_SONU!$O$7:$O$42="Evet")*(AY_SONU!$B$7:$B$42=DATE(YEAR($E790),MONTH($E790),1))))</f>
        <v>0</v>
      </c>
    </row>
    <row r="791" spans="1:20" ht="18" customHeight="1" x14ac:dyDescent="0.3">
      <c r="A791" s="2"/>
      <c r="B791" s="65" t="str">
        <f t="shared" si="60"/>
        <v/>
      </c>
      <c r="C791" s="65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66"/>
      <c r="F791" s="67"/>
      <c r="G791" s="60"/>
      <c r="H791" s="60"/>
      <c r="I791" s="61"/>
      <c r="J791" s="61"/>
      <c r="K791" s="61"/>
      <c r="L791" s="73" t="str">
        <f t="shared" si="61"/>
        <v/>
      </c>
      <c r="M791" s="65" t="str">
        <f t="shared" ca="1" si="62"/>
        <v/>
      </c>
      <c r="N791" s="74" t="str">
        <f>IF($C791="","",IF($C791="TANIMSIZ MÜŞTERİ","—",INDEX(MUSTERILER!$C$7:$C$156,MATCH($C791,MUSTERILER!$B$7:$B$156,0))))</f>
        <v/>
      </c>
      <c r="O791" s="2"/>
      <c r="P791" s="2"/>
      <c r="Q791" s="1" t="str">
        <f>IF($D791="","",$C791&amp;"|"&amp;COUNTIFS($C$7:$C791,$C791))</f>
        <v/>
      </c>
      <c r="R791" s="1" t="str">
        <f t="shared" si="63"/>
        <v/>
      </c>
      <c r="S791" s="1" t="str">
        <f t="shared" si="64"/>
        <v/>
      </c>
      <c r="T791" s="1">
        <f>IF($E791="",0,SUMPRODUCT((AY_SONU!$O$7:$O$42="Evet")*(AY_SONU!$B$7:$B$42=DATE(YEAR($E791),MONTH($E791),1))))</f>
        <v>0</v>
      </c>
    </row>
    <row r="792" spans="1:20" ht="18" customHeight="1" x14ac:dyDescent="0.3">
      <c r="A792" s="2"/>
      <c r="B792" s="65" t="str">
        <f t="shared" si="60"/>
        <v/>
      </c>
      <c r="C792" s="65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66"/>
      <c r="F792" s="67"/>
      <c r="G792" s="60"/>
      <c r="H792" s="60"/>
      <c r="I792" s="61"/>
      <c r="J792" s="61"/>
      <c r="K792" s="61"/>
      <c r="L792" s="73" t="str">
        <f t="shared" si="61"/>
        <v/>
      </c>
      <c r="M792" s="65" t="str">
        <f t="shared" ca="1" si="62"/>
        <v/>
      </c>
      <c r="N792" s="74" t="str">
        <f>IF($C792="","",IF($C792="TANIMSIZ MÜŞTERİ","—",INDEX(MUSTERILER!$C$7:$C$156,MATCH($C792,MUSTERILER!$B$7:$B$156,0))))</f>
        <v/>
      </c>
      <c r="O792" s="2"/>
      <c r="P792" s="2"/>
      <c r="Q792" s="1" t="str">
        <f>IF($D792="","",$C792&amp;"|"&amp;COUNTIFS($C$7:$C792,$C792))</f>
        <v/>
      </c>
      <c r="R792" s="1" t="str">
        <f t="shared" si="63"/>
        <v/>
      </c>
      <c r="S792" s="1" t="str">
        <f t="shared" si="64"/>
        <v/>
      </c>
      <c r="T792" s="1">
        <f>IF($E792="",0,SUMPRODUCT((AY_SONU!$O$7:$O$42="Evet")*(AY_SONU!$B$7:$B$42=DATE(YEAR($E792),MONTH($E792),1))))</f>
        <v>0</v>
      </c>
    </row>
    <row r="793" spans="1:20" ht="18" customHeight="1" x14ac:dyDescent="0.3">
      <c r="A793" s="2"/>
      <c r="B793" s="65" t="str">
        <f t="shared" si="60"/>
        <v/>
      </c>
      <c r="C793" s="65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66"/>
      <c r="F793" s="67"/>
      <c r="G793" s="60"/>
      <c r="H793" s="60"/>
      <c r="I793" s="61"/>
      <c r="J793" s="61"/>
      <c r="K793" s="61"/>
      <c r="L793" s="73" t="str">
        <f t="shared" si="61"/>
        <v/>
      </c>
      <c r="M793" s="65" t="str">
        <f t="shared" ca="1" si="62"/>
        <v/>
      </c>
      <c r="N793" s="74" t="str">
        <f>IF($C793="","",IF($C793="TANIMSIZ MÜŞTERİ","—",INDEX(MUSTERILER!$C$7:$C$156,MATCH($C793,MUSTERILER!$B$7:$B$156,0))))</f>
        <v/>
      </c>
      <c r="O793" s="2"/>
      <c r="P793" s="2"/>
      <c r="Q793" s="1" t="str">
        <f>IF($D793="","",$C793&amp;"|"&amp;COUNTIFS($C$7:$C793,$C793))</f>
        <v/>
      </c>
      <c r="R793" s="1" t="str">
        <f t="shared" si="63"/>
        <v/>
      </c>
      <c r="S793" s="1" t="str">
        <f t="shared" si="64"/>
        <v/>
      </c>
      <c r="T793" s="1">
        <f>IF($E793="",0,SUMPRODUCT((AY_SONU!$O$7:$O$42="Evet")*(AY_SONU!$B$7:$B$42=DATE(YEAR($E793),MONTH($E793),1))))</f>
        <v>0</v>
      </c>
    </row>
    <row r="794" spans="1:20" ht="18" customHeight="1" x14ac:dyDescent="0.3">
      <c r="A794" s="2"/>
      <c r="B794" s="65" t="str">
        <f t="shared" si="60"/>
        <v/>
      </c>
      <c r="C794" s="65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66"/>
      <c r="F794" s="67"/>
      <c r="G794" s="60"/>
      <c r="H794" s="60"/>
      <c r="I794" s="61"/>
      <c r="J794" s="61"/>
      <c r="K794" s="61"/>
      <c r="L794" s="73" t="str">
        <f t="shared" si="61"/>
        <v/>
      </c>
      <c r="M794" s="65" t="str">
        <f t="shared" ca="1" si="62"/>
        <v/>
      </c>
      <c r="N794" s="74" t="str">
        <f>IF($C794="","",IF($C794="TANIMSIZ MÜŞTERİ","—",INDEX(MUSTERILER!$C$7:$C$156,MATCH($C794,MUSTERILER!$B$7:$B$156,0))))</f>
        <v/>
      </c>
      <c r="O794" s="2"/>
      <c r="P794" s="2"/>
      <c r="Q794" s="1" t="str">
        <f>IF($D794="","",$C794&amp;"|"&amp;COUNTIFS($C$7:$C794,$C794))</f>
        <v/>
      </c>
      <c r="R794" s="1" t="str">
        <f t="shared" si="63"/>
        <v/>
      </c>
      <c r="S794" s="1" t="str">
        <f t="shared" si="64"/>
        <v/>
      </c>
      <c r="T794" s="1">
        <f>IF($E794="",0,SUMPRODUCT((AY_SONU!$O$7:$O$42="Evet")*(AY_SONU!$B$7:$B$42=DATE(YEAR($E794),MONTH($E794),1))))</f>
        <v>0</v>
      </c>
    </row>
    <row r="795" spans="1:20" ht="18" customHeight="1" x14ac:dyDescent="0.3">
      <c r="A795" s="2"/>
      <c r="B795" s="65" t="str">
        <f t="shared" si="60"/>
        <v/>
      </c>
      <c r="C795" s="65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66"/>
      <c r="F795" s="67"/>
      <c r="G795" s="60"/>
      <c r="H795" s="60"/>
      <c r="I795" s="61"/>
      <c r="J795" s="61"/>
      <c r="K795" s="61"/>
      <c r="L795" s="73" t="str">
        <f t="shared" si="61"/>
        <v/>
      </c>
      <c r="M795" s="65" t="str">
        <f t="shared" ca="1" si="62"/>
        <v/>
      </c>
      <c r="N795" s="74" t="str">
        <f>IF($C795="","",IF($C795="TANIMSIZ MÜŞTERİ","—",INDEX(MUSTERILER!$C$7:$C$156,MATCH($C795,MUSTERILER!$B$7:$B$156,0))))</f>
        <v/>
      </c>
      <c r="O795" s="2"/>
      <c r="P795" s="2"/>
      <c r="Q795" s="1" t="str">
        <f>IF($D795="","",$C795&amp;"|"&amp;COUNTIFS($C$7:$C795,$C795))</f>
        <v/>
      </c>
      <c r="R795" s="1" t="str">
        <f t="shared" si="63"/>
        <v/>
      </c>
      <c r="S795" s="1" t="str">
        <f t="shared" si="64"/>
        <v/>
      </c>
      <c r="T795" s="1">
        <f>IF($E795="",0,SUMPRODUCT((AY_SONU!$O$7:$O$42="Evet")*(AY_SONU!$B$7:$B$42=DATE(YEAR($E795),MONTH($E795),1))))</f>
        <v>0</v>
      </c>
    </row>
    <row r="796" spans="1:20" ht="18" customHeight="1" x14ac:dyDescent="0.3">
      <c r="A796" s="2"/>
      <c r="B796" s="65" t="str">
        <f t="shared" si="60"/>
        <v/>
      </c>
      <c r="C796" s="65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66"/>
      <c r="F796" s="67"/>
      <c r="G796" s="60"/>
      <c r="H796" s="60"/>
      <c r="I796" s="61"/>
      <c r="J796" s="61"/>
      <c r="K796" s="61"/>
      <c r="L796" s="73" t="str">
        <f t="shared" si="61"/>
        <v/>
      </c>
      <c r="M796" s="65" t="str">
        <f t="shared" ca="1" si="62"/>
        <v/>
      </c>
      <c r="N796" s="74" t="str">
        <f>IF($C796="","",IF($C796="TANIMSIZ MÜŞTERİ","—",INDEX(MUSTERILER!$C$7:$C$156,MATCH($C796,MUSTERILER!$B$7:$B$156,0))))</f>
        <v/>
      </c>
      <c r="O796" s="2"/>
      <c r="P796" s="2"/>
      <c r="Q796" s="1" t="str">
        <f>IF($D796="","",$C796&amp;"|"&amp;COUNTIFS($C$7:$C796,$C796))</f>
        <v/>
      </c>
      <c r="R796" s="1" t="str">
        <f t="shared" si="63"/>
        <v/>
      </c>
      <c r="S796" s="1" t="str">
        <f t="shared" si="64"/>
        <v/>
      </c>
      <c r="T796" s="1">
        <f>IF($E796="",0,SUMPRODUCT((AY_SONU!$O$7:$O$42="Evet")*(AY_SONU!$B$7:$B$42=DATE(YEAR($E796),MONTH($E796),1))))</f>
        <v>0</v>
      </c>
    </row>
    <row r="797" spans="1:20" ht="18" customHeight="1" x14ac:dyDescent="0.3">
      <c r="A797" s="2"/>
      <c r="B797" s="65" t="str">
        <f t="shared" si="60"/>
        <v/>
      </c>
      <c r="C797" s="65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66"/>
      <c r="F797" s="67"/>
      <c r="G797" s="60"/>
      <c r="H797" s="60"/>
      <c r="I797" s="61"/>
      <c r="J797" s="61"/>
      <c r="K797" s="61"/>
      <c r="L797" s="73" t="str">
        <f t="shared" si="61"/>
        <v/>
      </c>
      <c r="M797" s="65" t="str">
        <f t="shared" ca="1" si="62"/>
        <v/>
      </c>
      <c r="N797" s="74" t="str">
        <f>IF($C797="","",IF($C797="TANIMSIZ MÜŞTERİ","—",INDEX(MUSTERILER!$C$7:$C$156,MATCH($C797,MUSTERILER!$B$7:$B$156,0))))</f>
        <v/>
      </c>
      <c r="O797" s="2"/>
      <c r="P797" s="2"/>
      <c r="Q797" s="1" t="str">
        <f>IF($D797="","",$C797&amp;"|"&amp;COUNTIFS($C$7:$C797,$C797))</f>
        <v/>
      </c>
      <c r="R797" s="1" t="str">
        <f t="shared" si="63"/>
        <v/>
      </c>
      <c r="S797" s="1" t="str">
        <f t="shared" si="64"/>
        <v/>
      </c>
      <c r="T797" s="1">
        <f>IF($E797="",0,SUMPRODUCT((AY_SONU!$O$7:$O$42="Evet")*(AY_SONU!$B$7:$B$42=DATE(YEAR($E797),MONTH($E797),1))))</f>
        <v>0</v>
      </c>
    </row>
    <row r="798" spans="1:20" ht="18" customHeight="1" x14ac:dyDescent="0.3">
      <c r="A798" s="2"/>
      <c r="B798" s="65" t="str">
        <f t="shared" si="60"/>
        <v/>
      </c>
      <c r="C798" s="65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66"/>
      <c r="F798" s="67"/>
      <c r="G798" s="60"/>
      <c r="H798" s="60"/>
      <c r="I798" s="61"/>
      <c r="J798" s="61"/>
      <c r="K798" s="61"/>
      <c r="L798" s="73" t="str">
        <f t="shared" si="61"/>
        <v/>
      </c>
      <c r="M798" s="65" t="str">
        <f t="shared" ca="1" si="62"/>
        <v/>
      </c>
      <c r="N798" s="74" t="str">
        <f>IF($C798="","",IF($C798="TANIMSIZ MÜŞTERİ","—",INDEX(MUSTERILER!$C$7:$C$156,MATCH($C798,MUSTERILER!$B$7:$B$156,0))))</f>
        <v/>
      </c>
      <c r="O798" s="2"/>
      <c r="P798" s="2"/>
      <c r="Q798" s="1" t="str">
        <f>IF($D798="","",$C798&amp;"|"&amp;COUNTIFS($C$7:$C798,$C798))</f>
        <v/>
      </c>
      <c r="R798" s="1" t="str">
        <f t="shared" si="63"/>
        <v/>
      </c>
      <c r="S798" s="1" t="str">
        <f t="shared" si="64"/>
        <v/>
      </c>
      <c r="T798" s="1">
        <f>IF($E798="",0,SUMPRODUCT((AY_SONU!$O$7:$O$42="Evet")*(AY_SONU!$B$7:$B$42=DATE(YEAR($E798),MONTH($E798),1))))</f>
        <v>0</v>
      </c>
    </row>
    <row r="799" spans="1:20" ht="18" customHeight="1" x14ac:dyDescent="0.3">
      <c r="A799" s="2"/>
      <c r="B799" s="65" t="str">
        <f t="shared" si="60"/>
        <v/>
      </c>
      <c r="C799" s="65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66"/>
      <c r="F799" s="67"/>
      <c r="G799" s="60"/>
      <c r="H799" s="60"/>
      <c r="I799" s="61"/>
      <c r="J799" s="61"/>
      <c r="K799" s="61"/>
      <c r="L799" s="73" t="str">
        <f t="shared" si="61"/>
        <v/>
      </c>
      <c r="M799" s="65" t="str">
        <f t="shared" ca="1" si="62"/>
        <v/>
      </c>
      <c r="N799" s="74" t="str">
        <f>IF($C799="","",IF($C799="TANIMSIZ MÜŞTERİ","—",INDEX(MUSTERILER!$C$7:$C$156,MATCH($C799,MUSTERILER!$B$7:$B$156,0))))</f>
        <v/>
      </c>
      <c r="O799" s="2"/>
      <c r="P799" s="2"/>
      <c r="Q799" s="1" t="str">
        <f>IF($D799="","",$C799&amp;"|"&amp;COUNTIFS($C$7:$C799,$C799))</f>
        <v/>
      </c>
      <c r="R799" s="1" t="str">
        <f t="shared" si="63"/>
        <v/>
      </c>
      <c r="S799" s="1" t="str">
        <f t="shared" si="64"/>
        <v/>
      </c>
      <c r="T799" s="1">
        <f>IF($E799="",0,SUMPRODUCT((AY_SONU!$O$7:$O$42="Evet")*(AY_SONU!$B$7:$B$42=DATE(YEAR($E799),MONTH($E799),1))))</f>
        <v>0</v>
      </c>
    </row>
    <row r="800" spans="1:20" ht="18" customHeight="1" x14ac:dyDescent="0.3">
      <c r="A800" s="2"/>
      <c r="B800" s="65" t="str">
        <f t="shared" si="60"/>
        <v/>
      </c>
      <c r="C800" s="65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66"/>
      <c r="F800" s="67"/>
      <c r="G800" s="60"/>
      <c r="H800" s="60"/>
      <c r="I800" s="61"/>
      <c r="J800" s="61"/>
      <c r="K800" s="61"/>
      <c r="L800" s="73" t="str">
        <f t="shared" si="61"/>
        <v/>
      </c>
      <c r="M800" s="65" t="str">
        <f t="shared" ca="1" si="62"/>
        <v/>
      </c>
      <c r="N800" s="74" t="str">
        <f>IF($C800="","",IF($C800="TANIMSIZ MÜŞTERİ","—",INDEX(MUSTERILER!$C$7:$C$156,MATCH($C800,MUSTERILER!$B$7:$B$156,0))))</f>
        <v/>
      </c>
      <c r="O800" s="2"/>
      <c r="P800" s="2"/>
      <c r="Q800" s="1" t="str">
        <f>IF($D800="","",$C800&amp;"|"&amp;COUNTIFS($C$7:$C800,$C800))</f>
        <v/>
      </c>
      <c r="R800" s="1" t="str">
        <f t="shared" si="63"/>
        <v/>
      </c>
      <c r="S800" s="1" t="str">
        <f t="shared" si="64"/>
        <v/>
      </c>
      <c r="T800" s="1">
        <f>IF($E800="",0,SUMPRODUCT((AY_SONU!$O$7:$O$42="Evet")*(AY_SONU!$B$7:$B$42=DATE(YEAR($E800),MONTH($E800),1))))</f>
        <v>0</v>
      </c>
    </row>
    <row r="801" spans="1:20" ht="18" customHeight="1" x14ac:dyDescent="0.3">
      <c r="A801" s="2"/>
      <c r="B801" s="65" t="str">
        <f t="shared" si="60"/>
        <v/>
      </c>
      <c r="C801" s="65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66"/>
      <c r="F801" s="67"/>
      <c r="G801" s="60"/>
      <c r="H801" s="60"/>
      <c r="I801" s="61"/>
      <c r="J801" s="61"/>
      <c r="K801" s="61"/>
      <c r="L801" s="73" t="str">
        <f t="shared" si="61"/>
        <v/>
      </c>
      <c r="M801" s="65" t="str">
        <f t="shared" ca="1" si="62"/>
        <v/>
      </c>
      <c r="N801" s="74" t="str">
        <f>IF($C801="","",IF($C801="TANIMSIZ MÜŞTERİ","—",INDEX(MUSTERILER!$C$7:$C$156,MATCH($C801,MUSTERILER!$B$7:$B$156,0))))</f>
        <v/>
      </c>
      <c r="O801" s="2"/>
      <c r="P801" s="2"/>
      <c r="Q801" s="1" t="str">
        <f>IF($D801="","",$C801&amp;"|"&amp;COUNTIFS($C$7:$C801,$C801))</f>
        <v/>
      </c>
      <c r="R801" s="1" t="str">
        <f t="shared" si="63"/>
        <v/>
      </c>
      <c r="S801" s="1" t="str">
        <f t="shared" si="64"/>
        <v/>
      </c>
      <c r="T801" s="1">
        <f>IF($E801="",0,SUMPRODUCT((AY_SONU!$O$7:$O$42="Evet")*(AY_SONU!$B$7:$B$42=DATE(YEAR($E801),MONTH($E801),1))))</f>
        <v>0</v>
      </c>
    </row>
    <row r="802" spans="1:20" ht="18" customHeight="1" x14ac:dyDescent="0.3">
      <c r="A802" s="2"/>
      <c r="B802" s="65" t="str">
        <f t="shared" si="60"/>
        <v/>
      </c>
      <c r="C802" s="65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66"/>
      <c r="F802" s="67"/>
      <c r="G802" s="60"/>
      <c r="H802" s="60"/>
      <c r="I802" s="61"/>
      <c r="J802" s="61"/>
      <c r="K802" s="61"/>
      <c r="L802" s="73" t="str">
        <f t="shared" si="61"/>
        <v/>
      </c>
      <c r="M802" s="65" t="str">
        <f t="shared" ca="1" si="62"/>
        <v/>
      </c>
      <c r="N802" s="74" t="str">
        <f>IF($C802="","",IF($C802="TANIMSIZ MÜŞTERİ","—",INDEX(MUSTERILER!$C$7:$C$156,MATCH($C802,MUSTERILER!$B$7:$B$156,0))))</f>
        <v/>
      </c>
      <c r="O802" s="2"/>
      <c r="P802" s="2"/>
      <c r="Q802" s="1" t="str">
        <f>IF($D802="","",$C802&amp;"|"&amp;COUNTIFS($C$7:$C802,$C802))</f>
        <v/>
      </c>
      <c r="R802" s="1" t="str">
        <f t="shared" si="63"/>
        <v/>
      </c>
      <c r="S802" s="1" t="str">
        <f t="shared" si="64"/>
        <v/>
      </c>
      <c r="T802" s="1">
        <f>IF($E802="",0,SUMPRODUCT((AY_SONU!$O$7:$O$42="Evet")*(AY_SONU!$B$7:$B$42=DATE(YEAR($E802),MONTH($E802),1))))</f>
        <v>0</v>
      </c>
    </row>
    <row r="803" spans="1:20" ht="18" customHeight="1" x14ac:dyDescent="0.3">
      <c r="A803" s="2"/>
      <c r="B803" s="65" t="str">
        <f t="shared" si="60"/>
        <v/>
      </c>
      <c r="C803" s="65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66"/>
      <c r="F803" s="67"/>
      <c r="G803" s="60"/>
      <c r="H803" s="60"/>
      <c r="I803" s="61"/>
      <c r="J803" s="61"/>
      <c r="K803" s="61"/>
      <c r="L803" s="73" t="str">
        <f t="shared" si="61"/>
        <v/>
      </c>
      <c r="M803" s="65" t="str">
        <f t="shared" ca="1" si="62"/>
        <v/>
      </c>
      <c r="N803" s="74" t="str">
        <f>IF($C803="","",IF($C803="TANIMSIZ MÜŞTERİ","—",INDEX(MUSTERILER!$C$7:$C$156,MATCH($C803,MUSTERILER!$B$7:$B$156,0))))</f>
        <v/>
      </c>
      <c r="O803" s="2"/>
      <c r="P803" s="2"/>
      <c r="Q803" s="1" t="str">
        <f>IF($D803="","",$C803&amp;"|"&amp;COUNTIFS($C$7:$C803,$C803))</f>
        <v/>
      </c>
      <c r="R803" s="1" t="str">
        <f t="shared" si="63"/>
        <v/>
      </c>
      <c r="S803" s="1" t="str">
        <f t="shared" si="64"/>
        <v/>
      </c>
      <c r="T803" s="1">
        <f>IF($E803="",0,SUMPRODUCT((AY_SONU!$O$7:$O$42="Evet")*(AY_SONU!$B$7:$B$42=DATE(YEAR($E803),MONTH($E803),1))))</f>
        <v>0</v>
      </c>
    </row>
    <row r="804" spans="1:20" ht="18" customHeight="1" x14ac:dyDescent="0.3">
      <c r="A804" s="2"/>
      <c r="B804" s="65" t="str">
        <f t="shared" si="60"/>
        <v/>
      </c>
      <c r="C804" s="65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66"/>
      <c r="F804" s="67"/>
      <c r="G804" s="60"/>
      <c r="H804" s="60"/>
      <c r="I804" s="61"/>
      <c r="J804" s="61"/>
      <c r="K804" s="61"/>
      <c r="L804" s="73" t="str">
        <f t="shared" si="61"/>
        <v/>
      </c>
      <c r="M804" s="65" t="str">
        <f t="shared" ca="1" si="62"/>
        <v/>
      </c>
      <c r="N804" s="74" t="str">
        <f>IF($C804="","",IF($C804="TANIMSIZ MÜŞTERİ","—",INDEX(MUSTERILER!$C$7:$C$156,MATCH($C804,MUSTERILER!$B$7:$B$156,0))))</f>
        <v/>
      </c>
      <c r="O804" s="2"/>
      <c r="P804" s="2"/>
      <c r="Q804" s="1" t="str">
        <f>IF($D804="","",$C804&amp;"|"&amp;COUNTIFS($C$7:$C804,$C804))</f>
        <v/>
      </c>
      <c r="R804" s="1" t="str">
        <f t="shared" si="63"/>
        <v/>
      </c>
      <c r="S804" s="1" t="str">
        <f t="shared" si="64"/>
        <v/>
      </c>
      <c r="T804" s="1">
        <f>IF($E804="",0,SUMPRODUCT((AY_SONU!$O$7:$O$42="Evet")*(AY_SONU!$B$7:$B$42=DATE(YEAR($E804),MONTH($E804),1))))</f>
        <v>0</v>
      </c>
    </row>
    <row r="805" spans="1:20" ht="18" customHeight="1" x14ac:dyDescent="0.3">
      <c r="A805" s="2"/>
      <c r="B805" s="65" t="str">
        <f t="shared" si="60"/>
        <v/>
      </c>
      <c r="C805" s="65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66"/>
      <c r="F805" s="67"/>
      <c r="G805" s="60"/>
      <c r="H805" s="60"/>
      <c r="I805" s="61"/>
      <c r="J805" s="61"/>
      <c r="K805" s="61"/>
      <c r="L805" s="73" t="str">
        <f t="shared" si="61"/>
        <v/>
      </c>
      <c r="M805" s="65" t="str">
        <f t="shared" ca="1" si="62"/>
        <v/>
      </c>
      <c r="N805" s="74" t="str">
        <f>IF($C805="","",IF($C805="TANIMSIZ MÜŞTERİ","—",INDEX(MUSTERILER!$C$7:$C$156,MATCH($C805,MUSTERILER!$B$7:$B$156,0))))</f>
        <v/>
      </c>
      <c r="O805" s="2"/>
      <c r="P805" s="2"/>
      <c r="Q805" s="1" t="str">
        <f>IF($D805="","",$C805&amp;"|"&amp;COUNTIFS($C$7:$C805,$C805))</f>
        <v/>
      </c>
      <c r="R805" s="1" t="str">
        <f t="shared" si="63"/>
        <v/>
      </c>
      <c r="S805" s="1" t="str">
        <f t="shared" si="64"/>
        <v/>
      </c>
      <c r="T805" s="1">
        <f>IF($E805="",0,SUMPRODUCT((AY_SONU!$O$7:$O$42="Evet")*(AY_SONU!$B$7:$B$42=DATE(YEAR($E805),MONTH($E805),1))))</f>
        <v>0</v>
      </c>
    </row>
    <row r="806" spans="1:20" ht="18" customHeight="1" x14ac:dyDescent="0.3">
      <c r="A806" s="2"/>
      <c r="B806" s="65" t="str">
        <f t="shared" si="60"/>
        <v/>
      </c>
      <c r="C806" s="65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66"/>
      <c r="F806" s="67"/>
      <c r="G806" s="60"/>
      <c r="H806" s="60"/>
      <c r="I806" s="61"/>
      <c r="J806" s="61"/>
      <c r="K806" s="61"/>
      <c r="L806" s="73" t="str">
        <f t="shared" si="61"/>
        <v/>
      </c>
      <c r="M806" s="65" t="str">
        <f t="shared" ca="1" si="62"/>
        <v/>
      </c>
      <c r="N806" s="74" t="str">
        <f>IF($C806="","",IF($C806="TANIMSIZ MÜŞTERİ","—",INDEX(MUSTERILER!$C$7:$C$156,MATCH($C806,MUSTERILER!$B$7:$B$156,0))))</f>
        <v/>
      </c>
      <c r="O806" s="2"/>
      <c r="P806" s="2"/>
      <c r="Q806" s="1" t="str">
        <f>IF($D806="","",$C806&amp;"|"&amp;COUNTIFS($C$7:$C806,$C806))</f>
        <v/>
      </c>
      <c r="R806" s="1" t="str">
        <f t="shared" si="63"/>
        <v/>
      </c>
      <c r="S806" s="1" t="str">
        <f t="shared" si="64"/>
        <v/>
      </c>
      <c r="T806" s="1">
        <f>IF($E806="",0,SUMPRODUCT((AY_SONU!$O$7:$O$42="Evet")*(AY_SONU!$B$7:$B$42=DATE(YEAR($E806),MONTH($E806),1))))</f>
        <v>0</v>
      </c>
    </row>
    <row r="807" spans="1:20" ht="18" customHeight="1" x14ac:dyDescent="0.3">
      <c r="A807" s="2"/>
      <c r="B807" s="65" t="str">
        <f t="shared" si="60"/>
        <v/>
      </c>
      <c r="C807" s="65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66"/>
      <c r="F807" s="67"/>
      <c r="G807" s="60"/>
      <c r="H807" s="60"/>
      <c r="I807" s="61"/>
      <c r="J807" s="61"/>
      <c r="K807" s="61"/>
      <c r="L807" s="73" t="str">
        <f t="shared" si="61"/>
        <v/>
      </c>
      <c r="M807" s="65" t="str">
        <f t="shared" ca="1" si="62"/>
        <v/>
      </c>
      <c r="N807" s="74" t="str">
        <f>IF($C807="","",IF($C807="TANIMSIZ MÜŞTERİ","—",INDEX(MUSTERILER!$C$7:$C$156,MATCH($C807,MUSTERILER!$B$7:$B$156,0))))</f>
        <v/>
      </c>
      <c r="O807" s="2"/>
      <c r="P807" s="2"/>
      <c r="Q807" s="1" t="str">
        <f>IF($D807="","",$C807&amp;"|"&amp;COUNTIFS($C$7:$C807,$C807))</f>
        <v/>
      </c>
      <c r="R807" s="1" t="str">
        <f t="shared" si="63"/>
        <v/>
      </c>
      <c r="S807" s="1" t="str">
        <f t="shared" si="64"/>
        <v/>
      </c>
      <c r="T807" s="1">
        <f>IF($E807="",0,SUMPRODUCT((AY_SONU!$O$7:$O$42="Evet")*(AY_SONU!$B$7:$B$42=DATE(YEAR($E807),MONTH($E807),1))))</f>
        <v>0</v>
      </c>
    </row>
    <row r="808" spans="1:20" ht="18" customHeight="1" x14ac:dyDescent="0.3">
      <c r="A808" s="2"/>
      <c r="B808" s="65" t="str">
        <f t="shared" si="60"/>
        <v/>
      </c>
      <c r="C808" s="65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66"/>
      <c r="F808" s="67"/>
      <c r="G808" s="60"/>
      <c r="H808" s="60"/>
      <c r="I808" s="61"/>
      <c r="J808" s="61"/>
      <c r="K808" s="61"/>
      <c r="L808" s="73" t="str">
        <f t="shared" si="61"/>
        <v/>
      </c>
      <c r="M808" s="65" t="str">
        <f t="shared" ca="1" si="62"/>
        <v/>
      </c>
      <c r="N808" s="74" t="str">
        <f>IF($C808="","",IF($C808="TANIMSIZ MÜŞTERİ","—",INDEX(MUSTERILER!$C$7:$C$156,MATCH($C808,MUSTERILER!$B$7:$B$156,0))))</f>
        <v/>
      </c>
      <c r="O808" s="2"/>
      <c r="P808" s="2"/>
      <c r="Q808" s="1" t="str">
        <f>IF($D808="","",$C808&amp;"|"&amp;COUNTIFS($C$7:$C808,$C808))</f>
        <v/>
      </c>
      <c r="R808" s="1" t="str">
        <f t="shared" si="63"/>
        <v/>
      </c>
      <c r="S808" s="1" t="str">
        <f t="shared" si="64"/>
        <v/>
      </c>
      <c r="T808" s="1">
        <f>IF($E808="",0,SUMPRODUCT((AY_SONU!$O$7:$O$42="Evet")*(AY_SONU!$B$7:$B$42=DATE(YEAR($E808),MONTH($E808),1))))</f>
        <v>0</v>
      </c>
    </row>
    <row r="809" spans="1:20" ht="18" customHeight="1" x14ac:dyDescent="0.3">
      <c r="A809" s="2"/>
      <c r="B809" s="65" t="str">
        <f t="shared" si="60"/>
        <v/>
      </c>
      <c r="C809" s="65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66"/>
      <c r="F809" s="67"/>
      <c r="G809" s="60"/>
      <c r="H809" s="60"/>
      <c r="I809" s="61"/>
      <c r="J809" s="61"/>
      <c r="K809" s="61"/>
      <c r="L809" s="73" t="str">
        <f t="shared" si="61"/>
        <v/>
      </c>
      <c r="M809" s="65" t="str">
        <f t="shared" ca="1" si="62"/>
        <v/>
      </c>
      <c r="N809" s="74" t="str">
        <f>IF($C809="","",IF($C809="TANIMSIZ MÜŞTERİ","—",INDEX(MUSTERILER!$C$7:$C$156,MATCH($C809,MUSTERILER!$B$7:$B$156,0))))</f>
        <v/>
      </c>
      <c r="O809" s="2"/>
      <c r="P809" s="2"/>
      <c r="Q809" s="1" t="str">
        <f>IF($D809="","",$C809&amp;"|"&amp;COUNTIFS($C$7:$C809,$C809))</f>
        <v/>
      </c>
      <c r="R809" s="1" t="str">
        <f t="shared" si="63"/>
        <v/>
      </c>
      <c r="S809" s="1" t="str">
        <f t="shared" si="64"/>
        <v/>
      </c>
      <c r="T809" s="1">
        <f>IF($E809="",0,SUMPRODUCT((AY_SONU!$O$7:$O$42="Evet")*(AY_SONU!$B$7:$B$42=DATE(YEAR($E809),MONTH($E809),1))))</f>
        <v>0</v>
      </c>
    </row>
    <row r="810" spans="1:20" ht="18" customHeight="1" x14ac:dyDescent="0.3">
      <c r="A810" s="2"/>
      <c r="B810" s="65" t="str">
        <f t="shared" si="60"/>
        <v/>
      </c>
      <c r="C810" s="65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66"/>
      <c r="F810" s="67"/>
      <c r="G810" s="60"/>
      <c r="H810" s="60"/>
      <c r="I810" s="61"/>
      <c r="J810" s="61"/>
      <c r="K810" s="61"/>
      <c r="L810" s="73" t="str">
        <f t="shared" si="61"/>
        <v/>
      </c>
      <c r="M810" s="65" t="str">
        <f t="shared" ca="1" si="62"/>
        <v/>
      </c>
      <c r="N810" s="74" t="str">
        <f>IF($C810="","",IF($C810="TANIMSIZ MÜŞTERİ","—",INDEX(MUSTERILER!$C$7:$C$156,MATCH($C810,MUSTERILER!$B$7:$B$156,0))))</f>
        <v/>
      </c>
      <c r="O810" s="2"/>
      <c r="P810" s="2"/>
      <c r="Q810" s="1" t="str">
        <f>IF($D810="","",$C810&amp;"|"&amp;COUNTIFS($C$7:$C810,$C810))</f>
        <v/>
      </c>
      <c r="R810" s="1" t="str">
        <f t="shared" si="63"/>
        <v/>
      </c>
      <c r="S810" s="1" t="str">
        <f t="shared" si="64"/>
        <v/>
      </c>
      <c r="T810" s="1">
        <f>IF($E810="",0,SUMPRODUCT((AY_SONU!$O$7:$O$42="Evet")*(AY_SONU!$B$7:$B$42=DATE(YEAR($E810),MONTH($E810),1))))</f>
        <v>0</v>
      </c>
    </row>
    <row r="811" spans="1:20" ht="18" customHeight="1" x14ac:dyDescent="0.3">
      <c r="A811" s="2"/>
      <c r="B811" s="65" t="str">
        <f t="shared" si="60"/>
        <v/>
      </c>
      <c r="C811" s="65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66"/>
      <c r="F811" s="67"/>
      <c r="G811" s="60"/>
      <c r="H811" s="60"/>
      <c r="I811" s="61"/>
      <c r="J811" s="61"/>
      <c r="K811" s="61"/>
      <c r="L811" s="73" t="str">
        <f t="shared" si="61"/>
        <v/>
      </c>
      <c r="M811" s="65" t="str">
        <f t="shared" ca="1" si="62"/>
        <v/>
      </c>
      <c r="N811" s="74" t="str">
        <f>IF($C811="","",IF($C811="TANIMSIZ MÜŞTERİ","—",INDEX(MUSTERILER!$C$7:$C$156,MATCH($C811,MUSTERILER!$B$7:$B$156,0))))</f>
        <v/>
      </c>
      <c r="O811" s="2"/>
      <c r="P811" s="2"/>
      <c r="Q811" s="1" t="str">
        <f>IF($D811="","",$C811&amp;"|"&amp;COUNTIFS($C$7:$C811,$C811))</f>
        <v/>
      </c>
      <c r="R811" s="1" t="str">
        <f t="shared" si="63"/>
        <v/>
      </c>
      <c r="S811" s="1" t="str">
        <f t="shared" si="64"/>
        <v/>
      </c>
      <c r="T811" s="1">
        <f>IF($E811="",0,SUMPRODUCT((AY_SONU!$O$7:$O$42="Evet")*(AY_SONU!$B$7:$B$42=DATE(YEAR($E811),MONTH($E811),1))))</f>
        <v>0</v>
      </c>
    </row>
    <row r="812" spans="1:20" ht="18" customHeight="1" x14ac:dyDescent="0.3">
      <c r="A812" s="2"/>
      <c r="B812" s="65" t="str">
        <f t="shared" si="60"/>
        <v/>
      </c>
      <c r="C812" s="65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66"/>
      <c r="F812" s="67"/>
      <c r="G812" s="60"/>
      <c r="H812" s="60"/>
      <c r="I812" s="61"/>
      <c r="J812" s="61"/>
      <c r="K812" s="61"/>
      <c r="L812" s="73" t="str">
        <f t="shared" si="61"/>
        <v/>
      </c>
      <c r="M812" s="65" t="str">
        <f t="shared" ca="1" si="62"/>
        <v/>
      </c>
      <c r="N812" s="74" t="str">
        <f>IF($C812="","",IF($C812="TANIMSIZ MÜŞTERİ","—",INDEX(MUSTERILER!$C$7:$C$156,MATCH($C812,MUSTERILER!$B$7:$B$156,0))))</f>
        <v/>
      </c>
      <c r="O812" s="2"/>
      <c r="P812" s="2"/>
      <c r="Q812" s="1" t="str">
        <f>IF($D812="","",$C812&amp;"|"&amp;COUNTIFS($C$7:$C812,$C812))</f>
        <v/>
      </c>
      <c r="R812" s="1" t="str">
        <f t="shared" si="63"/>
        <v/>
      </c>
      <c r="S812" s="1" t="str">
        <f t="shared" si="64"/>
        <v/>
      </c>
      <c r="T812" s="1">
        <f>IF($E812="",0,SUMPRODUCT((AY_SONU!$O$7:$O$42="Evet")*(AY_SONU!$B$7:$B$42=DATE(YEAR($E812),MONTH($E812),1))))</f>
        <v>0</v>
      </c>
    </row>
    <row r="813" spans="1:20" ht="18" customHeight="1" x14ac:dyDescent="0.3">
      <c r="A813" s="2"/>
      <c r="B813" s="65" t="str">
        <f t="shared" si="60"/>
        <v/>
      </c>
      <c r="C813" s="65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66"/>
      <c r="F813" s="67"/>
      <c r="G813" s="60"/>
      <c r="H813" s="60"/>
      <c r="I813" s="61"/>
      <c r="J813" s="61"/>
      <c r="K813" s="61"/>
      <c r="L813" s="73" t="str">
        <f t="shared" si="61"/>
        <v/>
      </c>
      <c r="M813" s="65" t="str">
        <f t="shared" ca="1" si="62"/>
        <v/>
      </c>
      <c r="N813" s="74" t="str">
        <f>IF($C813="","",IF($C813="TANIMSIZ MÜŞTERİ","—",INDEX(MUSTERILER!$C$7:$C$156,MATCH($C813,MUSTERILER!$B$7:$B$156,0))))</f>
        <v/>
      </c>
      <c r="O813" s="2"/>
      <c r="P813" s="2"/>
      <c r="Q813" s="1" t="str">
        <f>IF($D813="","",$C813&amp;"|"&amp;COUNTIFS($C$7:$C813,$C813))</f>
        <v/>
      </c>
      <c r="R813" s="1" t="str">
        <f t="shared" si="63"/>
        <v/>
      </c>
      <c r="S813" s="1" t="str">
        <f t="shared" si="64"/>
        <v/>
      </c>
      <c r="T813" s="1">
        <f>IF($E813="",0,SUMPRODUCT((AY_SONU!$O$7:$O$42="Evet")*(AY_SONU!$B$7:$B$42=DATE(YEAR($E813),MONTH($E813),1))))</f>
        <v>0</v>
      </c>
    </row>
    <row r="814" spans="1:20" ht="18" customHeight="1" x14ac:dyDescent="0.3">
      <c r="A814" s="2"/>
      <c r="B814" s="65" t="str">
        <f t="shared" si="60"/>
        <v/>
      </c>
      <c r="C814" s="65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66"/>
      <c r="F814" s="67"/>
      <c r="G814" s="60"/>
      <c r="H814" s="60"/>
      <c r="I814" s="61"/>
      <c r="J814" s="61"/>
      <c r="K814" s="61"/>
      <c r="L814" s="73" t="str">
        <f t="shared" si="61"/>
        <v/>
      </c>
      <c r="M814" s="65" t="str">
        <f t="shared" ca="1" si="62"/>
        <v/>
      </c>
      <c r="N814" s="74" t="str">
        <f>IF($C814="","",IF($C814="TANIMSIZ MÜŞTERİ","—",INDEX(MUSTERILER!$C$7:$C$156,MATCH($C814,MUSTERILER!$B$7:$B$156,0))))</f>
        <v/>
      </c>
      <c r="O814" s="2"/>
      <c r="P814" s="2"/>
      <c r="Q814" s="1" t="str">
        <f>IF($D814="","",$C814&amp;"|"&amp;COUNTIFS($C$7:$C814,$C814))</f>
        <v/>
      </c>
      <c r="R814" s="1" t="str">
        <f t="shared" si="63"/>
        <v/>
      </c>
      <c r="S814" s="1" t="str">
        <f t="shared" si="64"/>
        <v/>
      </c>
      <c r="T814" s="1">
        <f>IF($E814="",0,SUMPRODUCT((AY_SONU!$O$7:$O$42="Evet")*(AY_SONU!$B$7:$B$42=DATE(YEAR($E814),MONTH($E814),1))))</f>
        <v>0</v>
      </c>
    </row>
    <row r="815" spans="1:20" ht="18" customHeight="1" x14ac:dyDescent="0.3">
      <c r="A815" s="2"/>
      <c r="B815" s="65" t="str">
        <f t="shared" si="60"/>
        <v/>
      </c>
      <c r="C815" s="65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66"/>
      <c r="F815" s="67"/>
      <c r="G815" s="60"/>
      <c r="H815" s="60"/>
      <c r="I815" s="61"/>
      <c r="J815" s="61"/>
      <c r="K815" s="61"/>
      <c r="L815" s="73" t="str">
        <f t="shared" si="61"/>
        <v/>
      </c>
      <c r="M815" s="65" t="str">
        <f t="shared" ca="1" si="62"/>
        <v/>
      </c>
      <c r="N815" s="74" t="str">
        <f>IF($C815="","",IF($C815="TANIMSIZ MÜŞTERİ","—",INDEX(MUSTERILER!$C$7:$C$156,MATCH($C815,MUSTERILER!$B$7:$B$156,0))))</f>
        <v/>
      </c>
      <c r="O815" s="2"/>
      <c r="P815" s="2"/>
      <c r="Q815" s="1" t="str">
        <f>IF($D815="","",$C815&amp;"|"&amp;COUNTIFS($C$7:$C815,$C815))</f>
        <v/>
      </c>
      <c r="R815" s="1" t="str">
        <f t="shared" si="63"/>
        <v/>
      </c>
      <c r="S815" s="1" t="str">
        <f t="shared" si="64"/>
        <v/>
      </c>
      <c r="T815" s="1">
        <f>IF($E815="",0,SUMPRODUCT((AY_SONU!$O$7:$O$42="Evet")*(AY_SONU!$B$7:$B$42=DATE(YEAR($E815),MONTH($E815),1))))</f>
        <v>0</v>
      </c>
    </row>
    <row r="816" spans="1:20" ht="18" customHeight="1" x14ac:dyDescent="0.3">
      <c r="A816" s="2"/>
      <c r="B816" s="65" t="str">
        <f t="shared" si="60"/>
        <v/>
      </c>
      <c r="C816" s="65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66"/>
      <c r="F816" s="67"/>
      <c r="G816" s="60"/>
      <c r="H816" s="60"/>
      <c r="I816" s="61"/>
      <c r="J816" s="61"/>
      <c r="K816" s="61"/>
      <c r="L816" s="73" t="str">
        <f t="shared" si="61"/>
        <v/>
      </c>
      <c r="M816" s="65" t="str">
        <f t="shared" ca="1" si="62"/>
        <v/>
      </c>
      <c r="N816" s="74" t="str">
        <f>IF($C816="","",IF($C816="TANIMSIZ MÜŞTERİ","—",INDEX(MUSTERILER!$C$7:$C$156,MATCH($C816,MUSTERILER!$B$7:$B$156,0))))</f>
        <v/>
      </c>
      <c r="O816" s="2"/>
      <c r="P816" s="2"/>
      <c r="Q816" s="1" t="str">
        <f>IF($D816="","",$C816&amp;"|"&amp;COUNTIFS($C$7:$C816,$C816))</f>
        <v/>
      </c>
      <c r="R816" s="1" t="str">
        <f t="shared" si="63"/>
        <v/>
      </c>
      <c r="S816" s="1" t="str">
        <f t="shared" si="64"/>
        <v/>
      </c>
      <c r="T816" s="1">
        <f>IF($E816="",0,SUMPRODUCT((AY_SONU!$O$7:$O$42="Evet")*(AY_SONU!$B$7:$B$42=DATE(YEAR($E816),MONTH($E816),1))))</f>
        <v>0</v>
      </c>
    </row>
    <row r="817" spans="1:20" ht="18" customHeight="1" x14ac:dyDescent="0.3">
      <c r="A817" s="2"/>
      <c r="B817" s="65" t="str">
        <f t="shared" si="60"/>
        <v/>
      </c>
      <c r="C817" s="65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66"/>
      <c r="F817" s="67"/>
      <c r="G817" s="60"/>
      <c r="H817" s="60"/>
      <c r="I817" s="61"/>
      <c r="J817" s="61"/>
      <c r="K817" s="61"/>
      <c r="L817" s="73" t="str">
        <f t="shared" si="61"/>
        <v/>
      </c>
      <c r="M817" s="65" t="str">
        <f t="shared" ca="1" si="62"/>
        <v/>
      </c>
      <c r="N817" s="74" t="str">
        <f>IF($C817="","",IF($C817="TANIMSIZ MÜŞTERİ","—",INDEX(MUSTERILER!$C$7:$C$156,MATCH($C817,MUSTERILER!$B$7:$B$156,0))))</f>
        <v/>
      </c>
      <c r="O817" s="2"/>
      <c r="P817" s="2"/>
      <c r="Q817" s="1" t="str">
        <f>IF($D817="","",$C817&amp;"|"&amp;COUNTIFS($C$7:$C817,$C817))</f>
        <v/>
      </c>
      <c r="R817" s="1" t="str">
        <f t="shared" si="63"/>
        <v/>
      </c>
      <c r="S817" s="1" t="str">
        <f t="shared" si="64"/>
        <v/>
      </c>
      <c r="T817" s="1">
        <f>IF($E817="",0,SUMPRODUCT((AY_SONU!$O$7:$O$42="Evet")*(AY_SONU!$B$7:$B$42=DATE(YEAR($E817),MONTH($E817),1))))</f>
        <v>0</v>
      </c>
    </row>
    <row r="818" spans="1:20" ht="18" customHeight="1" x14ac:dyDescent="0.3">
      <c r="A818" s="2"/>
      <c r="B818" s="65" t="str">
        <f t="shared" si="60"/>
        <v/>
      </c>
      <c r="C818" s="65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66"/>
      <c r="F818" s="67"/>
      <c r="G818" s="60"/>
      <c r="H818" s="60"/>
      <c r="I818" s="61"/>
      <c r="J818" s="61"/>
      <c r="K818" s="61"/>
      <c r="L818" s="73" t="str">
        <f t="shared" si="61"/>
        <v/>
      </c>
      <c r="M818" s="65" t="str">
        <f t="shared" ca="1" si="62"/>
        <v/>
      </c>
      <c r="N818" s="74" t="str">
        <f>IF($C818="","",IF($C818="TANIMSIZ MÜŞTERİ","—",INDEX(MUSTERILER!$C$7:$C$156,MATCH($C818,MUSTERILER!$B$7:$B$156,0))))</f>
        <v/>
      </c>
      <c r="O818" s="2"/>
      <c r="P818" s="2"/>
      <c r="Q818" s="1" t="str">
        <f>IF($D818="","",$C818&amp;"|"&amp;COUNTIFS($C$7:$C818,$C818))</f>
        <v/>
      </c>
      <c r="R818" s="1" t="str">
        <f t="shared" si="63"/>
        <v/>
      </c>
      <c r="S818" s="1" t="str">
        <f t="shared" si="64"/>
        <v/>
      </c>
      <c r="T818" s="1">
        <f>IF($E818="",0,SUMPRODUCT((AY_SONU!$O$7:$O$42="Evet")*(AY_SONU!$B$7:$B$42=DATE(YEAR($E818),MONTH($E818),1))))</f>
        <v>0</v>
      </c>
    </row>
    <row r="819" spans="1:20" ht="18" customHeight="1" x14ac:dyDescent="0.3">
      <c r="A819" s="2"/>
      <c r="B819" s="65" t="str">
        <f t="shared" si="60"/>
        <v/>
      </c>
      <c r="C819" s="65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66"/>
      <c r="F819" s="67"/>
      <c r="G819" s="60"/>
      <c r="H819" s="60"/>
      <c r="I819" s="61"/>
      <c r="J819" s="61"/>
      <c r="K819" s="61"/>
      <c r="L819" s="73" t="str">
        <f t="shared" si="61"/>
        <v/>
      </c>
      <c r="M819" s="65" t="str">
        <f t="shared" ca="1" si="62"/>
        <v/>
      </c>
      <c r="N819" s="74" t="str">
        <f>IF($C819="","",IF($C819="TANIMSIZ MÜŞTERİ","—",INDEX(MUSTERILER!$C$7:$C$156,MATCH($C819,MUSTERILER!$B$7:$B$156,0))))</f>
        <v/>
      </c>
      <c r="O819" s="2"/>
      <c r="P819" s="2"/>
      <c r="Q819" s="1" t="str">
        <f>IF($D819="","",$C819&amp;"|"&amp;COUNTIFS($C$7:$C819,$C819))</f>
        <v/>
      </c>
      <c r="R819" s="1" t="str">
        <f t="shared" si="63"/>
        <v/>
      </c>
      <c r="S819" s="1" t="str">
        <f t="shared" si="64"/>
        <v/>
      </c>
      <c r="T819" s="1">
        <f>IF($E819="",0,SUMPRODUCT((AY_SONU!$O$7:$O$42="Evet")*(AY_SONU!$B$7:$B$42=DATE(YEAR($E819),MONTH($E819),1))))</f>
        <v>0</v>
      </c>
    </row>
    <row r="820" spans="1:20" ht="18" customHeight="1" x14ac:dyDescent="0.3">
      <c r="A820" s="2"/>
      <c r="B820" s="65" t="str">
        <f t="shared" si="60"/>
        <v/>
      </c>
      <c r="C820" s="65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66"/>
      <c r="F820" s="67"/>
      <c r="G820" s="60"/>
      <c r="H820" s="60"/>
      <c r="I820" s="61"/>
      <c r="J820" s="61"/>
      <c r="K820" s="61"/>
      <c r="L820" s="73" t="str">
        <f t="shared" si="61"/>
        <v/>
      </c>
      <c r="M820" s="65" t="str">
        <f t="shared" ca="1" si="62"/>
        <v/>
      </c>
      <c r="N820" s="74" t="str">
        <f>IF($C820="","",IF($C820="TANIMSIZ MÜŞTERİ","—",INDEX(MUSTERILER!$C$7:$C$156,MATCH($C820,MUSTERILER!$B$7:$B$156,0))))</f>
        <v/>
      </c>
      <c r="O820" s="2"/>
      <c r="P820" s="2"/>
      <c r="Q820" s="1" t="str">
        <f>IF($D820="","",$C820&amp;"|"&amp;COUNTIFS($C$7:$C820,$C820))</f>
        <v/>
      </c>
      <c r="R820" s="1" t="str">
        <f t="shared" si="63"/>
        <v/>
      </c>
      <c r="S820" s="1" t="str">
        <f t="shared" si="64"/>
        <v/>
      </c>
      <c r="T820" s="1">
        <f>IF($E820="",0,SUMPRODUCT((AY_SONU!$O$7:$O$42="Evet")*(AY_SONU!$B$7:$B$42=DATE(YEAR($E820),MONTH($E820),1))))</f>
        <v>0</v>
      </c>
    </row>
    <row r="821" spans="1:20" ht="18" customHeight="1" x14ac:dyDescent="0.3">
      <c r="A821" s="2"/>
      <c r="B821" s="65" t="str">
        <f t="shared" si="60"/>
        <v/>
      </c>
      <c r="C821" s="65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66"/>
      <c r="F821" s="67"/>
      <c r="G821" s="60"/>
      <c r="H821" s="60"/>
      <c r="I821" s="61"/>
      <c r="J821" s="61"/>
      <c r="K821" s="61"/>
      <c r="L821" s="73" t="str">
        <f t="shared" si="61"/>
        <v/>
      </c>
      <c r="M821" s="65" t="str">
        <f t="shared" ca="1" si="62"/>
        <v/>
      </c>
      <c r="N821" s="74" t="str">
        <f>IF($C821="","",IF($C821="TANIMSIZ MÜŞTERİ","—",INDEX(MUSTERILER!$C$7:$C$156,MATCH($C821,MUSTERILER!$B$7:$B$156,0))))</f>
        <v/>
      </c>
      <c r="O821" s="2"/>
      <c r="P821" s="2"/>
      <c r="Q821" s="1" t="str">
        <f>IF($D821="","",$C821&amp;"|"&amp;COUNTIFS($C$7:$C821,$C821))</f>
        <v/>
      </c>
      <c r="R821" s="1" t="str">
        <f t="shared" si="63"/>
        <v/>
      </c>
      <c r="S821" s="1" t="str">
        <f t="shared" si="64"/>
        <v/>
      </c>
      <c r="T821" s="1">
        <f>IF($E821="",0,SUMPRODUCT((AY_SONU!$O$7:$O$42="Evet")*(AY_SONU!$B$7:$B$42=DATE(YEAR($E821),MONTH($E821),1))))</f>
        <v>0</v>
      </c>
    </row>
    <row r="822" spans="1:20" ht="18" customHeight="1" x14ac:dyDescent="0.3">
      <c r="A822" s="2"/>
      <c r="B822" s="65" t="str">
        <f t="shared" si="60"/>
        <v/>
      </c>
      <c r="C822" s="65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66"/>
      <c r="F822" s="67"/>
      <c r="G822" s="60"/>
      <c r="H822" s="60"/>
      <c r="I822" s="61"/>
      <c r="J822" s="61"/>
      <c r="K822" s="61"/>
      <c r="L822" s="73" t="str">
        <f t="shared" si="61"/>
        <v/>
      </c>
      <c r="M822" s="65" t="str">
        <f t="shared" ca="1" si="62"/>
        <v/>
      </c>
      <c r="N822" s="74" t="str">
        <f>IF($C822="","",IF($C822="TANIMSIZ MÜŞTERİ","—",INDEX(MUSTERILER!$C$7:$C$156,MATCH($C822,MUSTERILER!$B$7:$B$156,0))))</f>
        <v/>
      </c>
      <c r="O822" s="2"/>
      <c r="P822" s="2"/>
      <c r="Q822" s="1" t="str">
        <f>IF($D822="","",$C822&amp;"|"&amp;COUNTIFS($C$7:$C822,$C822))</f>
        <v/>
      </c>
      <c r="R822" s="1" t="str">
        <f t="shared" si="63"/>
        <v/>
      </c>
      <c r="S822" s="1" t="str">
        <f t="shared" si="64"/>
        <v/>
      </c>
      <c r="T822" s="1">
        <f>IF($E822="",0,SUMPRODUCT((AY_SONU!$O$7:$O$42="Evet")*(AY_SONU!$B$7:$B$42=DATE(YEAR($E822),MONTH($E822),1))))</f>
        <v>0</v>
      </c>
    </row>
    <row r="823" spans="1:20" ht="18" customHeight="1" x14ac:dyDescent="0.3">
      <c r="A823" s="2"/>
      <c r="B823" s="65" t="str">
        <f t="shared" si="60"/>
        <v/>
      </c>
      <c r="C823" s="65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66"/>
      <c r="F823" s="67"/>
      <c r="G823" s="60"/>
      <c r="H823" s="60"/>
      <c r="I823" s="61"/>
      <c r="J823" s="61"/>
      <c r="K823" s="61"/>
      <c r="L823" s="73" t="str">
        <f t="shared" si="61"/>
        <v/>
      </c>
      <c r="M823" s="65" t="str">
        <f t="shared" ca="1" si="62"/>
        <v/>
      </c>
      <c r="N823" s="74" t="str">
        <f>IF($C823="","",IF($C823="TANIMSIZ MÜŞTERİ","—",INDEX(MUSTERILER!$C$7:$C$156,MATCH($C823,MUSTERILER!$B$7:$B$156,0))))</f>
        <v/>
      </c>
      <c r="O823" s="2"/>
      <c r="P823" s="2"/>
      <c r="Q823" s="1" t="str">
        <f>IF($D823="","",$C823&amp;"|"&amp;COUNTIFS($C$7:$C823,$C823))</f>
        <v/>
      </c>
      <c r="R823" s="1" t="str">
        <f t="shared" si="63"/>
        <v/>
      </c>
      <c r="S823" s="1" t="str">
        <f t="shared" si="64"/>
        <v/>
      </c>
      <c r="T823" s="1">
        <f>IF($E823="",0,SUMPRODUCT((AY_SONU!$O$7:$O$42="Evet")*(AY_SONU!$B$7:$B$42=DATE(YEAR($E823),MONTH($E823),1))))</f>
        <v>0</v>
      </c>
    </row>
    <row r="824" spans="1:20" ht="18" customHeight="1" x14ac:dyDescent="0.3">
      <c r="A824" s="2"/>
      <c r="B824" s="65" t="str">
        <f t="shared" si="60"/>
        <v/>
      </c>
      <c r="C824" s="65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66"/>
      <c r="F824" s="67"/>
      <c r="G824" s="60"/>
      <c r="H824" s="60"/>
      <c r="I824" s="61"/>
      <c r="J824" s="61"/>
      <c r="K824" s="61"/>
      <c r="L824" s="73" t="str">
        <f t="shared" si="61"/>
        <v/>
      </c>
      <c r="M824" s="65" t="str">
        <f t="shared" ca="1" si="62"/>
        <v/>
      </c>
      <c r="N824" s="74" t="str">
        <f>IF($C824="","",IF($C824="TANIMSIZ MÜŞTERİ","—",INDEX(MUSTERILER!$C$7:$C$156,MATCH($C824,MUSTERILER!$B$7:$B$156,0))))</f>
        <v/>
      </c>
      <c r="O824" s="2"/>
      <c r="P824" s="2"/>
      <c r="Q824" s="1" t="str">
        <f>IF($D824="","",$C824&amp;"|"&amp;COUNTIFS($C$7:$C824,$C824))</f>
        <v/>
      </c>
      <c r="R824" s="1" t="str">
        <f t="shared" si="63"/>
        <v/>
      </c>
      <c r="S824" s="1" t="str">
        <f t="shared" si="64"/>
        <v/>
      </c>
      <c r="T824" s="1">
        <f>IF($E824="",0,SUMPRODUCT((AY_SONU!$O$7:$O$42="Evet")*(AY_SONU!$B$7:$B$42=DATE(YEAR($E824),MONTH($E824),1))))</f>
        <v>0</v>
      </c>
    </row>
    <row r="825" spans="1:20" ht="18" customHeight="1" x14ac:dyDescent="0.3">
      <c r="A825" s="2"/>
      <c r="B825" s="65" t="str">
        <f t="shared" si="60"/>
        <v/>
      </c>
      <c r="C825" s="65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66"/>
      <c r="F825" s="67"/>
      <c r="G825" s="60"/>
      <c r="H825" s="60"/>
      <c r="I825" s="61"/>
      <c r="J825" s="61"/>
      <c r="K825" s="61"/>
      <c r="L825" s="73" t="str">
        <f t="shared" si="61"/>
        <v/>
      </c>
      <c r="M825" s="65" t="str">
        <f t="shared" ca="1" si="62"/>
        <v/>
      </c>
      <c r="N825" s="74" t="str">
        <f>IF($C825="","",IF($C825="TANIMSIZ MÜŞTERİ","—",INDEX(MUSTERILER!$C$7:$C$156,MATCH($C825,MUSTERILER!$B$7:$B$156,0))))</f>
        <v/>
      </c>
      <c r="O825" s="2"/>
      <c r="P825" s="2"/>
      <c r="Q825" s="1" t="str">
        <f>IF($D825="","",$C825&amp;"|"&amp;COUNTIFS($C$7:$C825,$C825))</f>
        <v/>
      </c>
      <c r="R825" s="1" t="str">
        <f t="shared" si="63"/>
        <v/>
      </c>
      <c r="S825" s="1" t="str">
        <f t="shared" si="64"/>
        <v/>
      </c>
      <c r="T825" s="1">
        <f>IF($E825="",0,SUMPRODUCT((AY_SONU!$O$7:$O$42="Evet")*(AY_SONU!$B$7:$B$42=DATE(YEAR($E825),MONTH($E825),1))))</f>
        <v>0</v>
      </c>
    </row>
    <row r="826" spans="1:20" ht="18" customHeight="1" x14ac:dyDescent="0.3">
      <c r="A826" s="2"/>
      <c r="B826" s="65" t="str">
        <f t="shared" si="60"/>
        <v/>
      </c>
      <c r="C826" s="65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66"/>
      <c r="F826" s="67"/>
      <c r="G826" s="60"/>
      <c r="H826" s="60"/>
      <c r="I826" s="61"/>
      <c r="J826" s="61"/>
      <c r="K826" s="61"/>
      <c r="L826" s="73" t="str">
        <f t="shared" si="61"/>
        <v/>
      </c>
      <c r="M826" s="65" t="str">
        <f t="shared" ca="1" si="62"/>
        <v/>
      </c>
      <c r="N826" s="74" t="str">
        <f>IF($C826="","",IF($C826="TANIMSIZ MÜŞTERİ","—",INDEX(MUSTERILER!$C$7:$C$156,MATCH($C826,MUSTERILER!$B$7:$B$156,0))))</f>
        <v/>
      </c>
      <c r="O826" s="2"/>
      <c r="P826" s="2"/>
      <c r="Q826" s="1" t="str">
        <f>IF($D826="","",$C826&amp;"|"&amp;COUNTIFS($C$7:$C826,$C826))</f>
        <v/>
      </c>
      <c r="R826" s="1" t="str">
        <f t="shared" si="63"/>
        <v/>
      </c>
      <c r="S826" s="1" t="str">
        <f t="shared" si="64"/>
        <v/>
      </c>
      <c r="T826" s="1">
        <f>IF($E826="",0,SUMPRODUCT((AY_SONU!$O$7:$O$42="Evet")*(AY_SONU!$B$7:$B$42=DATE(YEAR($E826),MONTH($E826),1))))</f>
        <v>0</v>
      </c>
    </row>
    <row r="827" spans="1:20" ht="18" customHeight="1" x14ac:dyDescent="0.3">
      <c r="A827" s="2"/>
      <c r="B827" s="65" t="str">
        <f t="shared" si="60"/>
        <v/>
      </c>
      <c r="C827" s="65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66"/>
      <c r="F827" s="67"/>
      <c r="G827" s="60"/>
      <c r="H827" s="60"/>
      <c r="I827" s="61"/>
      <c r="J827" s="61"/>
      <c r="K827" s="61"/>
      <c r="L827" s="73" t="str">
        <f t="shared" si="61"/>
        <v/>
      </c>
      <c r="M827" s="65" t="str">
        <f t="shared" ca="1" si="62"/>
        <v/>
      </c>
      <c r="N827" s="74" t="str">
        <f>IF($C827="","",IF($C827="TANIMSIZ MÜŞTERİ","—",INDEX(MUSTERILER!$C$7:$C$156,MATCH($C827,MUSTERILER!$B$7:$B$156,0))))</f>
        <v/>
      </c>
      <c r="O827" s="2"/>
      <c r="P827" s="2"/>
      <c r="Q827" s="1" t="str">
        <f>IF($D827="","",$C827&amp;"|"&amp;COUNTIFS($C$7:$C827,$C827))</f>
        <v/>
      </c>
      <c r="R827" s="1" t="str">
        <f t="shared" si="63"/>
        <v/>
      </c>
      <c r="S827" s="1" t="str">
        <f t="shared" si="64"/>
        <v/>
      </c>
      <c r="T827" s="1">
        <f>IF($E827="",0,SUMPRODUCT((AY_SONU!$O$7:$O$42="Evet")*(AY_SONU!$B$7:$B$42=DATE(YEAR($E827),MONTH($E827),1))))</f>
        <v>0</v>
      </c>
    </row>
    <row r="828" spans="1:20" ht="18" customHeight="1" x14ac:dyDescent="0.3">
      <c r="A828" s="2"/>
      <c r="B828" s="65" t="str">
        <f t="shared" si="60"/>
        <v/>
      </c>
      <c r="C828" s="65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66"/>
      <c r="F828" s="67"/>
      <c r="G828" s="60"/>
      <c r="H828" s="60"/>
      <c r="I828" s="61"/>
      <c r="J828" s="61"/>
      <c r="K828" s="61"/>
      <c r="L828" s="73" t="str">
        <f t="shared" si="61"/>
        <v/>
      </c>
      <c r="M828" s="65" t="str">
        <f t="shared" ca="1" si="62"/>
        <v/>
      </c>
      <c r="N828" s="74" t="str">
        <f>IF($C828="","",IF($C828="TANIMSIZ MÜŞTERİ","—",INDEX(MUSTERILER!$C$7:$C$156,MATCH($C828,MUSTERILER!$B$7:$B$156,0))))</f>
        <v/>
      </c>
      <c r="O828" s="2"/>
      <c r="P828" s="2"/>
      <c r="Q828" s="1" t="str">
        <f>IF($D828="","",$C828&amp;"|"&amp;COUNTIFS($C$7:$C828,$C828))</f>
        <v/>
      </c>
      <c r="R828" s="1" t="str">
        <f t="shared" si="63"/>
        <v/>
      </c>
      <c r="S828" s="1" t="str">
        <f t="shared" si="64"/>
        <v/>
      </c>
      <c r="T828" s="1">
        <f>IF($E828="",0,SUMPRODUCT((AY_SONU!$O$7:$O$42="Evet")*(AY_SONU!$B$7:$B$42=DATE(YEAR($E828),MONTH($E828),1))))</f>
        <v>0</v>
      </c>
    </row>
    <row r="829" spans="1:20" ht="18" customHeight="1" x14ac:dyDescent="0.3">
      <c r="A829" s="2"/>
      <c r="B829" s="65" t="str">
        <f t="shared" si="60"/>
        <v/>
      </c>
      <c r="C829" s="65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66"/>
      <c r="F829" s="67"/>
      <c r="G829" s="60"/>
      <c r="H829" s="60"/>
      <c r="I829" s="61"/>
      <c r="J829" s="61"/>
      <c r="K829" s="61"/>
      <c r="L829" s="73" t="str">
        <f t="shared" si="61"/>
        <v/>
      </c>
      <c r="M829" s="65" t="str">
        <f t="shared" ca="1" si="62"/>
        <v/>
      </c>
      <c r="N829" s="74" t="str">
        <f>IF($C829="","",IF($C829="TANIMSIZ MÜŞTERİ","—",INDEX(MUSTERILER!$C$7:$C$156,MATCH($C829,MUSTERILER!$B$7:$B$156,0))))</f>
        <v/>
      </c>
      <c r="O829" s="2"/>
      <c r="P829" s="2"/>
      <c r="Q829" s="1" t="str">
        <f>IF($D829="","",$C829&amp;"|"&amp;COUNTIFS($C$7:$C829,$C829))</f>
        <v/>
      </c>
      <c r="R829" s="1" t="str">
        <f t="shared" si="63"/>
        <v/>
      </c>
      <c r="S829" s="1" t="str">
        <f t="shared" si="64"/>
        <v/>
      </c>
      <c r="T829" s="1">
        <f>IF($E829="",0,SUMPRODUCT((AY_SONU!$O$7:$O$42="Evet")*(AY_SONU!$B$7:$B$42=DATE(YEAR($E829),MONTH($E829),1))))</f>
        <v>0</v>
      </c>
    </row>
    <row r="830" spans="1:20" ht="18" customHeight="1" x14ac:dyDescent="0.3">
      <c r="A830" s="2"/>
      <c r="B830" s="65" t="str">
        <f t="shared" si="60"/>
        <v/>
      </c>
      <c r="C830" s="65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66"/>
      <c r="F830" s="67"/>
      <c r="G830" s="60"/>
      <c r="H830" s="60"/>
      <c r="I830" s="61"/>
      <c r="J830" s="61"/>
      <c r="K830" s="61"/>
      <c r="L830" s="73" t="str">
        <f t="shared" si="61"/>
        <v/>
      </c>
      <c r="M830" s="65" t="str">
        <f t="shared" ca="1" si="62"/>
        <v/>
      </c>
      <c r="N830" s="74" t="str">
        <f>IF($C830="","",IF($C830="TANIMSIZ MÜŞTERİ","—",INDEX(MUSTERILER!$C$7:$C$156,MATCH($C830,MUSTERILER!$B$7:$B$156,0))))</f>
        <v/>
      </c>
      <c r="O830" s="2"/>
      <c r="P830" s="2"/>
      <c r="Q830" s="1" t="str">
        <f>IF($D830="","",$C830&amp;"|"&amp;COUNTIFS($C$7:$C830,$C830))</f>
        <v/>
      </c>
      <c r="R830" s="1" t="str">
        <f t="shared" si="63"/>
        <v/>
      </c>
      <c r="S830" s="1" t="str">
        <f t="shared" si="64"/>
        <v/>
      </c>
      <c r="T830" s="1">
        <f>IF($E830="",0,SUMPRODUCT((AY_SONU!$O$7:$O$42="Evet")*(AY_SONU!$B$7:$B$42=DATE(YEAR($E830),MONTH($E830),1))))</f>
        <v>0</v>
      </c>
    </row>
    <row r="831" spans="1:20" ht="18" customHeight="1" x14ac:dyDescent="0.3">
      <c r="A831" s="2"/>
      <c r="B831" s="65" t="str">
        <f t="shared" si="60"/>
        <v/>
      </c>
      <c r="C831" s="65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66"/>
      <c r="F831" s="67"/>
      <c r="G831" s="60"/>
      <c r="H831" s="60"/>
      <c r="I831" s="61"/>
      <c r="J831" s="61"/>
      <c r="K831" s="61"/>
      <c r="L831" s="73" t="str">
        <f t="shared" si="61"/>
        <v/>
      </c>
      <c r="M831" s="65" t="str">
        <f t="shared" ca="1" si="62"/>
        <v/>
      </c>
      <c r="N831" s="74" t="str">
        <f>IF($C831="","",IF($C831="TANIMSIZ MÜŞTERİ","—",INDEX(MUSTERILER!$C$7:$C$156,MATCH($C831,MUSTERILER!$B$7:$B$156,0))))</f>
        <v/>
      </c>
      <c r="O831" s="2"/>
      <c r="P831" s="2"/>
      <c r="Q831" s="1" t="str">
        <f>IF($D831="","",$C831&amp;"|"&amp;COUNTIFS($C$7:$C831,$C831))</f>
        <v/>
      </c>
      <c r="R831" s="1" t="str">
        <f t="shared" si="63"/>
        <v/>
      </c>
      <c r="S831" s="1" t="str">
        <f t="shared" si="64"/>
        <v/>
      </c>
      <c r="T831" s="1">
        <f>IF($E831="",0,SUMPRODUCT((AY_SONU!$O$7:$O$42="Evet")*(AY_SONU!$B$7:$B$42=DATE(YEAR($E831),MONTH($E831),1))))</f>
        <v>0</v>
      </c>
    </row>
    <row r="832" spans="1:20" ht="18" customHeight="1" x14ac:dyDescent="0.3">
      <c r="A832" s="2"/>
      <c r="B832" s="65" t="str">
        <f t="shared" si="60"/>
        <v/>
      </c>
      <c r="C832" s="65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66"/>
      <c r="F832" s="67"/>
      <c r="G832" s="60"/>
      <c r="H832" s="60"/>
      <c r="I832" s="61"/>
      <c r="J832" s="61"/>
      <c r="K832" s="61"/>
      <c r="L832" s="73" t="str">
        <f t="shared" si="61"/>
        <v/>
      </c>
      <c r="M832" s="65" t="str">
        <f t="shared" ca="1" si="62"/>
        <v/>
      </c>
      <c r="N832" s="74" t="str">
        <f>IF($C832="","",IF($C832="TANIMSIZ MÜŞTERİ","—",INDEX(MUSTERILER!$C$7:$C$156,MATCH($C832,MUSTERILER!$B$7:$B$156,0))))</f>
        <v/>
      </c>
      <c r="O832" s="2"/>
      <c r="P832" s="2"/>
      <c r="Q832" s="1" t="str">
        <f>IF($D832="","",$C832&amp;"|"&amp;COUNTIFS($C$7:$C832,$C832))</f>
        <v/>
      </c>
      <c r="R832" s="1" t="str">
        <f t="shared" si="63"/>
        <v/>
      </c>
      <c r="S832" s="1" t="str">
        <f t="shared" si="64"/>
        <v/>
      </c>
      <c r="T832" s="1">
        <f>IF($E832="",0,SUMPRODUCT((AY_SONU!$O$7:$O$42="Evet")*(AY_SONU!$B$7:$B$42=DATE(YEAR($E832),MONTH($E832),1))))</f>
        <v>0</v>
      </c>
    </row>
    <row r="833" spans="1:20" ht="18" customHeight="1" x14ac:dyDescent="0.3">
      <c r="A833" s="2"/>
      <c r="B833" s="65" t="str">
        <f t="shared" si="60"/>
        <v/>
      </c>
      <c r="C833" s="65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66"/>
      <c r="F833" s="67"/>
      <c r="G833" s="60"/>
      <c r="H833" s="60"/>
      <c r="I833" s="61"/>
      <c r="J833" s="61"/>
      <c r="K833" s="61"/>
      <c r="L833" s="73" t="str">
        <f t="shared" si="61"/>
        <v/>
      </c>
      <c r="M833" s="65" t="str">
        <f t="shared" ca="1" si="62"/>
        <v/>
      </c>
      <c r="N833" s="74" t="str">
        <f>IF($C833="","",IF($C833="TANIMSIZ MÜŞTERİ","—",INDEX(MUSTERILER!$C$7:$C$156,MATCH($C833,MUSTERILER!$B$7:$B$156,0))))</f>
        <v/>
      </c>
      <c r="O833" s="2"/>
      <c r="P833" s="2"/>
      <c r="Q833" s="1" t="str">
        <f>IF($D833="","",$C833&amp;"|"&amp;COUNTIFS($C$7:$C833,$C833))</f>
        <v/>
      </c>
      <c r="R833" s="1" t="str">
        <f t="shared" si="63"/>
        <v/>
      </c>
      <c r="S833" s="1" t="str">
        <f t="shared" si="64"/>
        <v/>
      </c>
      <c r="T833" s="1">
        <f>IF($E833="",0,SUMPRODUCT((AY_SONU!$O$7:$O$42="Evet")*(AY_SONU!$B$7:$B$42=DATE(YEAR($E833),MONTH($E833),1))))</f>
        <v>0</v>
      </c>
    </row>
    <row r="834" spans="1:20" ht="18" customHeight="1" x14ac:dyDescent="0.3">
      <c r="A834" s="2"/>
      <c r="B834" s="65" t="str">
        <f t="shared" si="60"/>
        <v/>
      </c>
      <c r="C834" s="65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66"/>
      <c r="F834" s="67"/>
      <c r="G834" s="60"/>
      <c r="H834" s="60"/>
      <c r="I834" s="61"/>
      <c r="J834" s="61"/>
      <c r="K834" s="61"/>
      <c r="L834" s="73" t="str">
        <f t="shared" si="61"/>
        <v/>
      </c>
      <c r="M834" s="65" t="str">
        <f t="shared" ca="1" si="62"/>
        <v/>
      </c>
      <c r="N834" s="74" t="str">
        <f>IF($C834="","",IF($C834="TANIMSIZ MÜŞTERİ","—",INDEX(MUSTERILER!$C$7:$C$156,MATCH($C834,MUSTERILER!$B$7:$B$156,0))))</f>
        <v/>
      </c>
      <c r="O834" s="2"/>
      <c r="P834" s="2"/>
      <c r="Q834" s="1" t="str">
        <f>IF($D834="","",$C834&amp;"|"&amp;COUNTIFS($C$7:$C834,$C834))</f>
        <v/>
      </c>
      <c r="R834" s="1" t="str">
        <f t="shared" si="63"/>
        <v/>
      </c>
      <c r="S834" s="1" t="str">
        <f t="shared" si="64"/>
        <v/>
      </c>
      <c r="T834" s="1">
        <f>IF($E834="",0,SUMPRODUCT((AY_SONU!$O$7:$O$42="Evet")*(AY_SONU!$B$7:$B$42=DATE(YEAR($E834),MONTH($E834),1))))</f>
        <v>0</v>
      </c>
    </row>
    <row r="835" spans="1:20" ht="18" customHeight="1" x14ac:dyDescent="0.3">
      <c r="A835" s="2"/>
      <c r="B835" s="65" t="str">
        <f t="shared" si="60"/>
        <v/>
      </c>
      <c r="C835" s="65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66"/>
      <c r="F835" s="67"/>
      <c r="G835" s="60"/>
      <c r="H835" s="60"/>
      <c r="I835" s="61"/>
      <c r="J835" s="61"/>
      <c r="K835" s="61"/>
      <c r="L835" s="73" t="str">
        <f t="shared" si="61"/>
        <v/>
      </c>
      <c r="M835" s="65" t="str">
        <f t="shared" ca="1" si="62"/>
        <v/>
      </c>
      <c r="N835" s="74" t="str">
        <f>IF($C835="","",IF($C835="TANIMSIZ MÜŞTERİ","—",INDEX(MUSTERILER!$C$7:$C$156,MATCH($C835,MUSTERILER!$B$7:$B$156,0))))</f>
        <v/>
      </c>
      <c r="O835" s="2"/>
      <c r="P835" s="2"/>
      <c r="Q835" s="1" t="str">
        <f>IF($D835="","",$C835&amp;"|"&amp;COUNTIFS($C$7:$C835,$C835))</f>
        <v/>
      </c>
      <c r="R835" s="1" t="str">
        <f t="shared" si="63"/>
        <v/>
      </c>
      <c r="S835" s="1" t="str">
        <f t="shared" si="64"/>
        <v/>
      </c>
      <c r="T835" s="1">
        <f>IF($E835="",0,SUMPRODUCT((AY_SONU!$O$7:$O$42="Evet")*(AY_SONU!$B$7:$B$42=DATE(YEAR($E835),MONTH($E835),1))))</f>
        <v>0</v>
      </c>
    </row>
    <row r="836" spans="1:20" ht="18" customHeight="1" x14ac:dyDescent="0.3">
      <c r="A836" s="2"/>
      <c r="B836" s="65" t="str">
        <f t="shared" si="60"/>
        <v/>
      </c>
      <c r="C836" s="65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66"/>
      <c r="F836" s="67"/>
      <c r="G836" s="60"/>
      <c r="H836" s="60"/>
      <c r="I836" s="61"/>
      <c r="J836" s="61"/>
      <c r="K836" s="61"/>
      <c r="L836" s="73" t="str">
        <f t="shared" si="61"/>
        <v/>
      </c>
      <c r="M836" s="65" t="str">
        <f t="shared" ca="1" si="62"/>
        <v/>
      </c>
      <c r="N836" s="74" t="str">
        <f>IF($C836="","",IF($C836="TANIMSIZ MÜŞTERİ","—",INDEX(MUSTERILER!$C$7:$C$156,MATCH($C836,MUSTERILER!$B$7:$B$156,0))))</f>
        <v/>
      </c>
      <c r="O836" s="2"/>
      <c r="P836" s="2"/>
      <c r="Q836" s="1" t="str">
        <f>IF($D836="","",$C836&amp;"|"&amp;COUNTIFS($C$7:$C836,$C836))</f>
        <v/>
      </c>
      <c r="R836" s="1" t="str">
        <f t="shared" si="63"/>
        <v/>
      </c>
      <c r="S836" s="1" t="str">
        <f t="shared" si="64"/>
        <v/>
      </c>
      <c r="T836" s="1">
        <f>IF($E836="",0,SUMPRODUCT((AY_SONU!$O$7:$O$42="Evet")*(AY_SONU!$B$7:$B$42=DATE(YEAR($E836),MONTH($E836),1))))</f>
        <v>0</v>
      </c>
    </row>
    <row r="837" spans="1:20" ht="18" customHeight="1" x14ac:dyDescent="0.3">
      <c r="A837" s="2"/>
      <c r="B837" s="65" t="str">
        <f t="shared" si="60"/>
        <v/>
      </c>
      <c r="C837" s="65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66"/>
      <c r="F837" s="67"/>
      <c r="G837" s="60"/>
      <c r="H837" s="60"/>
      <c r="I837" s="61"/>
      <c r="J837" s="61"/>
      <c r="K837" s="61"/>
      <c r="L837" s="73" t="str">
        <f t="shared" si="61"/>
        <v/>
      </c>
      <c r="M837" s="65" t="str">
        <f t="shared" ca="1" si="62"/>
        <v/>
      </c>
      <c r="N837" s="74" t="str">
        <f>IF($C837="","",IF($C837="TANIMSIZ MÜŞTERİ","—",INDEX(MUSTERILER!$C$7:$C$156,MATCH($C837,MUSTERILER!$B$7:$B$156,0))))</f>
        <v/>
      </c>
      <c r="O837" s="2"/>
      <c r="P837" s="2"/>
      <c r="Q837" s="1" t="str">
        <f>IF($D837="","",$C837&amp;"|"&amp;COUNTIFS($C$7:$C837,$C837))</f>
        <v/>
      </c>
      <c r="R837" s="1" t="str">
        <f t="shared" si="63"/>
        <v/>
      </c>
      <c r="S837" s="1" t="str">
        <f t="shared" si="64"/>
        <v/>
      </c>
      <c r="T837" s="1">
        <f>IF($E837="",0,SUMPRODUCT((AY_SONU!$O$7:$O$42="Evet")*(AY_SONU!$B$7:$B$42=DATE(YEAR($E837),MONTH($E837),1))))</f>
        <v>0</v>
      </c>
    </row>
    <row r="838" spans="1:20" ht="18" customHeight="1" x14ac:dyDescent="0.3">
      <c r="A838" s="2"/>
      <c r="B838" s="65" t="str">
        <f t="shared" si="60"/>
        <v/>
      </c>
      <c r="C838" s="65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66"/>
      <c r="F838" s="67"/>
      <c r="G838" s="60"/>
      <c r="H838" s="60"/>
      <c r="I838" s="61"/>
      <c r="J838" s="61"/>
      <c r="K838" s="61"/>
      <c r="L838" s="73" t="str">
        <f t="shared" si="61"/>
        <v/>
      </c>
      <c r="M838" s="65" t="str">
        <f t="shared" ca="1" si="62"/>
        <v/>
      </c>
      <c r="N838" s="74" t="str">
        <f>IF($C838="","",IF($C838="TANIMSIZ MÜŞTERİ","—",INDEX(MUSTERILER!$C$7:$C$156,MATCH($C838,MUSTERILER!$B$7:$B$156,0))))</f>
        <v/>
      </c>
      <c r="O838" s="2"/>
      <c r="P838" s="2"/>
      <c r="Q838" s="1" t="str">
        <f>IF($D838="","",$C838&amp;"|"&amp;COUNTIFS($C$7:$C838,$C838))</f>
        <v/>
      </c>
      <c r="R838" s="1" t="str">
        <f t="shared" si="63"/>
        <v/>
      </c>
      <c r="S838" s="1" t="str">
        <f t="shared" si="64"/>
        <v/>
      </c>
      <c r="T838" s="1">
        <f>IF($E838="",0,SUMPRODUCT((AY_SONU!$O$7:$O$42="Evet")*(AY_SONU!$B$7:$B$42=DATE(YEAR($E838),MONTH($E838),1))))</f>
        <v>0</v>
      </c>
    </row>
    <row r="839" spans="1:20" ht="18" customHeight="1" x14ac:dyDescent="0.3">
      <c r="A839" s="2"/>
      <c r="B839" s="65" t="str">
        <f t="shared" ref="B839:B902" si="65">IF($D839="","","T"&amp;TEXT(ROW()-6,"00000"))</f>
        <v/>
      </c>
      <c r="C839" s="65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66"/>
      <c r="F839" s="67"/>
      <c r="G839" s="60"/>
      <c r="H839" s="60"/>
      <c r="I839" s="61"/>
      <c r="J839" s="61"/>
      <c r="K839" s="61"/>
      <c r="L839" s="73" t="str">
        <f t="shared" ref="L839:L902" si="66">IF($E839="","",DATE(YEAR($E839),MONTH($E839),1))</f>
        <v/>
      </c>
      <c r="M839" s="65" t="str">
        <f t="shared" ref="M839:M902" ca="1" si="67">IF($D839="","",IF($C839="TANIMSIZ MÜŞTERİ","HATA",IF(OR($E839="",$F839&lt;=0,$G839=""),"EKSİK",IF($E839&gt;TODAY(),"İLERİ TARİH",IF(COUNTIF($S$7:$S$2506,$S839)&gt;1,"MÜKERRER?",IF($T839&gt;0,"KAPALI DÖNEM","UYGUN"))))))</f>
        <v/>
      </c>
      <c r="N839" s="74" t="str">
        <f>IF($C839="","",IF($C839="TANIMSIZ MÜŞTERİ","—",INDEX(MUSTERILER!$C$7:$C$156,MATCH($C839,MUSTERILER!$B$7:$B$156,0))))</f>
        <v/>
      </c>
      <c r="O839" s="2"/>
      <c r="P839" s="2"/>
      <c r="Q839" s="1" t="str">
        <f>IF($D839="","",$C839&amp;"|"&amp;COUNTIFS($C$7:$C839,$C839))</f>
        <v/>
      </c>
      <c r="R839" s="1" t="str">
        <f t="shared" ref="R839:R902" si="68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 t="str">
        <f t="shared" ref="S839:S902" si="69"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>0</v>
      </c>
    </row>
    <row r="840" spans="1:20" ht="18" customHeight="1" x14ac:dyDescent="0.3">
      <c r="A840" s="2"/>
      <c r="B840" s="65" t="str">
        <f t="shared" si="65"/>
        <v/>
      </c>
      <c r="C840" s="65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66"/>
      <c r="F840" s="67"/>
      <c r="G840" s="60"/>
      <c r="H840" s="60"/>
      <c r="I840" s="61"/>
      <c r="J840" s="61"/>
      <c r="K840" s="61"/>
      <c r="L840" s="73" t="str">
        <f t="shared" si="66"/>
        <v/>
      </c>
      <c r="M840" s="65" t="str">
        <f t="shared" ca="1" si="67"/>
        <v/>
      </c>
      <c r="N840" s="74" t="str">
        <f>IF($C840="","",IF($C840="TANIMSIZ MÜŞTERİ","—",INDEX(MUSTERILER!$C$7:$C$156,MATCH($C840,MUSTERILER!$B$7:$B$156,0))))</f>
        <v/>
      </c>
      <c r="O840" s="2"/>
      <c r="P840" s="2"/>
      <c r="Q840" s="1" t="str">
        <f>IF($D840="","",$C840&amp;"|"&amp;COUNTIFS($C$7:$C840,$C840))</f>
        <v/>
      </c>
      <c r="R840" s="1" t="str">
        <f t="shared" si="68"/>
        <v/>
      </c>
      <c r="S840" s="1" t="str">
        <f t="shared" si="69"/>
        <v/>
      </c>
      <c r="T840" s="1">
        <f>IF($E840="",0,SUMPRODUCT((AY_SONU!$O$7:$O$42="Evet")*(AY_SONU!$B$7:$B$42=DATE(YEAR($E840),MONTH($E840),1))))</f>
        <v>0</v>
      </c>
    </row>
    <row r="841" spans="1:20" ht="18" customHeight="1" x14ac:dyDescent="0.3">
      <c r="A841" s="2"/>
      <c r="B841" s="65" t="str">
        <f t="shared" si="65"/>
        <v/>
      </c>
      <c r="C841" s="65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66"/>
      <c r="F841" s="67"/>
      <c r="G841" s="60"/>
      <c r="H841" s="60"/>
      <c r="I841" s="61"/>
      <c r="J841" s="61"/>
      <c r="K841" s="61"/>
      <c r="L841" s="73" t="str">
        <f t="shared" si="66"/>
        <v/>
      </c>
      <c r="M841" s="65" t="str">
        <f t="shared" ca="1" si="67"/>
        <v/>
      </c>
      <c r="N841" s="74" t="str">
        <f>IF($C841="","",IF($C841="TANIMSIZ MÜŞTERİ","—",INDEX(MUSTERILER!$C$7:$C$156,MATCH($C841,MUSTERILER!$B$7:$B$156,0))))</f>
        <v/>
      </c>
      <c r="O841" s="2"/>
      <c r="P841" s="2"/>
      <c r="Q841" s="1" t="str">
        <f>IF($D841="","",$C841&amp;"|"&amp;COUNTIFS($C$7:$C841,$C841))</f>
        <v/>
      </c>
      <c r="R841" s="1" t="str">
        <f t="shared" si="68"/>
        <v/>
      </c>
      <c r="S841" s="1" t="str">
        <f t="shared" si="69"/>
        <v/>
      </c>
      <c r="T841" s="1">
        <f>IF($E841="",0,SUMPRODUCT((AY_SONU!$O$7:$O$42="Evet")*(AY_SONU!$B$7:$B$42=DATE(YEAR($E841),MONTH($E841),1))))</f>
        <v>0</v>
      </c>
    </row>
    <row r="842" spans="1:20" ht="18" customHeight="1" x14ac:dyDescent="0.3">
      <c r="A842" s="2"/>
      <c r="B842" s="65" t="str">
        <f t="shared" si="65"/>
        <v/>
      </c>
      <c r="C842" s="65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66"/>
      <c r="F842" s="67"/>
      <c r="G842" s="60"/>
      <c r="H842" s="60"/>
      <c r="I842" s="61"/>
      <c r="J842" s="61"/>
      <c r="K842" s="61"/>
      <c r="L842" s="73" t="str">
        <f t="shared" si="66"/>
        <v/>
      </c>
      <c r="M842" s="65" t="str">
        <f t="shared" ca="1" si="67"/>
        <v/>
      </c>
      <c r="N842" s="74" t="str">
        <f>IF($C842="","",IF($C842="TANIMSIZ MÜŞTERİ","—",INDEX(MUSTERILER!$C$7:$C$156,MATCH($C842,MUSTERILER!$B$7:$B$156,0))))</f>
        <v/>
      </c>
      <c r="O842" s="2"/>
      <c r="P842" s="2"/>
      <c r="Q842" s="1" t="str">
        <f>IF($D842="","",$C842&amp;"|"&amp;COUNTIFS($C$7:$C842,$C842))</f>
        <v/>
      </c>
      <c r="R842" s="1" t="str">
        <f t="shared" si="68"/>
        <v/>
      </c>
      <c r="S842" s="1" t="str">
        <f t="shared" si="69"/>
        <v/>
      </c>
      <c r="T842" s="1">
        <f>IF($E842="",0,SUMPRODUCT((AY_SONU!$O$7:$O$42="Evet")*(AY_SONU!$B$7:$B$42=DATE(YEAR($E842),MONTH($E842),1))))</f>
        <v>0</v>
      </c>
    </row>
    <row r="843" spans="1:20" ht="18" customHeight="1" x14ac:dyDescent="0.3">
      <c r="A843" s="2"/>
      <c r="B843" s="65" t="str">
        <f t="shared" si="65"/>
        <v/>
      </c>
      <c r="C843" s="65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66"/>
      <c r="F843" s="67"/>
      <c r="G843" s="60"/>
      <c r="H843" s="60"/>
      <c r="I843" s="61"/>
      <c r="J843" s="61"/>
      <c r="K843" s="61"/>
      <c r="L843" s="73" t="str">
        <f t="shared" si="66"/>
        <v/>
      </c>
      <c r="M843" s="65" t="str">
        <f t="shared" ca="1" si="67"/>
        <v/>
      </c>
      <c r="N843" s="74" t="str">
        <f>IF($C843="","",IF($C843="TANIMSIZ MÜŞTERİ","—",INDEX(MUSTERILER!$C$7:$C$156,MATCH($C843,MUSTERILER!$B$7:$B$156,0))))</f>
        <v/>
      </c>
      <c r="O843" s="2"/>
      <c r="P843" s="2"/>
      <c r="Q843" s="1" t="str">
        <f>IF($D843="","",$C843&amp;"|"&amp;COUNTIFS($C$7:$C843,$C843))</f>
        <v/>
      </c>
      <c r="R843" s="1" t="str">
        <f t="shared" si="68"/>
        <v/>
      </c>
      <c r="S843" s="1" t="str">
        <f t="shared" si="69"/>
        <v/>
      </c>
      <c r="T843" s="1">
        <f>IF($E843="",0,SUMPRODUCT((AY_SONU!$O$7:$O$42="Evet")*(AY_SONU!$B$7:$B$42=DATE(YEAR($E843),MONTH($E843),1))))</f>
        <v>0</v>
      </c>
    </row>
    <row r="844" spans="1:20" ht="18" customHeight="1" x14ac:dyDescent="0.3">
      <c r="A844" s="2"/>
      <c r="B844" s="65" t="str">
        <f t="shared" si="65"/>
        <v/>
      </c>
      <c r="C844" s="65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66"/>
      <c r="F844" s="67"/>
      <c r="G844" s="60"/>
      <c r="H844" s="60"/>
      <c r="I844" s="61"/>
      <c r="J844" s="61"/>
      <c r="K844" s="61"/>
      <c r="L844" s="73" t="str">
        <f t="shared" si="66"/>
        <v/>
      </c>
      <c r="M844" s="65" t="str">
        <f t="shared" ca="1" si="67"/>
        <v/>
      </c>
      <c r="N844" s="74" t="str">
        <f>IF($C844="","",IF($C844="TANIMSIZ MÜŞTERİ","—",INDEX(MUSTERILER!$C$7:$C$156,MATCH($C844,MUSTERILER!$B$7:$B$156,0))))</f>
        <v/>
      </c>
      <c r="O844" s="2"/>
      <c r="P844" s="2"/>
      <c r="Q844" s="1" t="str">
        <f>IF($D844="","",$C844&amp;"|"&amp;COUNTIFS($C$7:$C844,$C844))</f>
        <v/>
      </c>
      <c r="R844" s="1" t="str">
        <f t="shared" si="68"/>
        <v/>
      </c>
      <c r="S844" s="1" t="str">
        <f t="shared" si="69"/>
        <v/>
      </c>
      <c r="T844" s="1">
        <f>IF($E844="",0,SUMPRODUCT((AY_SONU!$O$7:$O$42="Evet")*(AY_SONU!$B$7:$B$42=DATE(YEAR($E844),MONTH($E844),1))))</f>
        <v>0</v>
      </c>
    </row>
    <row r="845" spans="1:20" ht="18" customHeight="1" x14ac:dyDescent="0.3">
      <c r="A845" s="2"/>
      <c r="B845" s="65" t="str">
        <f t="shared" si="65"/>
        <v/>
      </c>
      <c r="C845" s="65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66"/>
      <c r="F845" s="67"/>
      <c r="G845" s="60"/>
      <c r="H845" s="60"/>
      <c r="I845" s="61"/>
      <c r="J845" s="61"/>
      <c r="K845" s="61"/>
      <c r="L845" s="73" t="str">
        <f t="shared" si="66"/>
        <v/>
      </c>
      <c r="M845" s="65" t="str">
        <f t="shared" ca="1" si="67"/>
        <v/>
      </c>
      <c r="N845" s="74" t="str">
        <f>IF($C845="","",IF($C845="TANIMSIZ MÜŞTERİ","—",INDEX(MUSTERILER!$C$7:$C$156,MATCH($C845,MUSTERILER!$B$7:$B$156,0))))</f>
        <v/>
      </c>
      <c r="O845" s="2"/>
      <c r="P845" s="2"/>
      <c r="Q845" s="1" t="str">
        <f>IF($D845="","",$C845&amp;"|"&amp;COUNTIFS($C$7:$C845,$C845))</f>
        <v/>
      </c>
      <c r="R845" s="1" t="str">
        <f t="shared" si="68"/>
        <v/>
      </c>
      <c r="S845" s="1" t="str">
        <f t="shared" si="69"/>
        <v/>
      </c>
      <c r="T845" s="1">
        <f>IF($E845="",0,SUMPRODUCT((AY_SONU!$O$7:$O$42="Evet")*(AY_SONU!$B$7:$B$42=DATE(YEAR($E845),MONTH($E845),1))))</f>
        <v>0</v>
      </c>
    </row>
    <row r="846" spans="1:20" ht="18" customHeight="1" x14ac:dyDescent="0.3">
      <c r="A846" s="2"/>
      <c r="B846" s="65" t="str">
        <f t="shared" si="65"/>
        <v/>
      </c>
      <c r="C846" s="65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66"/>
      <c r="F846" s="67"/>
      <c r="G846" s="60"/>
      <c r="H846" s="60"/>
      <c r="I846" s="61"/>
      <c r="J846" s="61"/>
      <c r="K846" s="61"/>
      <c r="L846" s="73" t="str">
        <f t="shared" si="66"/>
        <v/>
      </c>
      <c r="M846" s="65" t="str">
        <f t="shared" ca="1" si="67"/>
        <v/>
      </c>
      <c r="N846" s="74" t="str">
        <f>IF($C846="","",IF($C846="TANIMSIZ MÜŞTERİ","—",INDEX(MUSTERILER!$C$7:$C$156,MATCH($C846,MUSTERILER!$B$7:$B$156,0))))</f>
        <v/>
      </c>
      <c r="O846" s="2"/>
      <c r="P846" s="2"/>
      <c r="Q846" s="1" t="str">
        <f>IF($D846="","",$C846&amp;"|"&amp;COUNTIFS($C$7:$C846,$C846))</f>
        <v/>
      </c>
      <c r="R846" s="1" t="str">
        <f t="shared" si="68"/>
        <v/>
      </c>
      <c r="S846" s="1" t="str">
        <f t="shared" si="69"/>
        <v/>
      </c>
      <c r="T846" s="1">
        <f>IF($E846="",0,SUMPRODUCT((AY_SONU!$O$7:$O$42="Evet")*(AY_SONU!$B$7:$B$42=DATE(YEAR($E846),MONTH($E846),1))))</f>
        <v>0</v>
      </c>
    </row>
    <row r="847" spans="1:20" ht="18" customHeight="1" x14ac:dyDescent="0.3">
      <c r="A847" s="2"/>
      <c r="B847" s="65" t="str">
        <f t="shared" si="65"/>
        <v/>
      </c>
      <c r="C847" s="65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66"/>
      <c r="F847" s="67"/>
      <c r="G847" s="60"/>
      <c r="H847" s="60"/>
      <c r="I847" s="61"/>
      <c r="J847" s="61"/>
      <c r="K847" s="61"/>
      <c r="L847" s="73" t="str">
        <f t="shared" si="66"/>
        <v/>
      </c>
      <c r="M847" s="65" t="str">
        <f t="shared" ca="1" si="67"/>
        <v/>
      </c>
      <c r="N847" s="74" t="str">
        <f>IF($C847="","",IF($C847="TANIMSIZ MÜŞTERİ","—",INDEX(MUSTERILER!$C$7:$C$156,MATCH($C847,MUSTERILER!$B$7:$B$156,0))))</f>
        <v/>
      </c>
      <c r="O847" s="2"/>
      <c r="P847" s="2"/>
      <c r="Q847" s="1" t="str">
        <f>IF($D847="","",$C847&amp;"|"&amp;COUNTIFS($C$7:$C847,$C847))</f>
        <v/>
      </c>
      <c r="R847" s="1" t="str">
        <f t="shared" si="68"/>
        <v/>
      </c>
      <c r="S847" s="1" t="str">
        <f t="shared" si="69"/>
        <v/>
      </c>
      <c r="T847" s="1">
        <f>IF($E847="",0,SUMPRODUCT((AY_SONU!$O$7:$O$42="Evet")*(AY_SONU!$B$7:$B$42=DATE(YEAR($E847),MONTH($E847),1))))</f>
        <v>0</v>
      </c>
    </row>
    <row r="848" spans="1:20" ht="18" customHeight="1" x14ac:dyDescent="0.3">
      <c r="A848" s="2"/>
      <c r="B848" s="65" t="str">
        <f t="shared" si="65"/>
        <v/>
      </c>
      <c r="C848" s="65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66"/>
      <c r="F848" s="67"/>
      <c r="G848" s="60"/>
      <c r="H848" s="60"/>
      <c r="I848" s="61"/>
      <c r="J848" s="61"/>
      <c r="K848" s="61"/>
      <c r="L848" s="73" t="str">
        <f t="shared" si="66"/>
        <v/>
      </c>
      <c r="M848" s="65" t="str">
        <f t="shared" ca="1" si="67"/>
        <v/>
      </c>
      <c r="N848" s="74" t="str">
        <f>IF($C848="","",IF($C848="TANIMSIZ MÜŞTERİ","—",INDEX(MUSTERILER!$C$7:$C$156,MATCH($C848,MUSTERILER!$B$7:$B$156,0))))</f>
        <v/>
      </c>
      <c r="O848" s="2"/>
      <c r="P848" s="2"/>
      <c r="Q848" s="1" t="str">
        <f>IF($D848="","",$C848&amp;"|"&amp;COUNTIFS($C$7:$C848,$C848))</f>
        <v/>
      </c>
      <c r="R848" s="1" t="str">
        <f t="shared" si="68"/>
        <v/>
      </c>
      <c r="S848" s="1" t="str">
        <f t="shared" si="69"/>
        <v/>
      </c>
      <c r="T848" s="1">
        <f>IF($E848="",0,SUMPRODUCT((AY_SONU!$O$7:$O$42="Evet")*(AY_SONU!$B$7:$B$42=DATE(YEAR($E848),MONTH($E848),1))))</f>
        <v>0</v>
      </c>
    </row>
    <row r="849" spans="1:20" ht="18" customHeight="1" x14ac:dyDescent="0.3">
      <c r="A849" s="2"/>
      <c r="B849" s="65" t="str">
        <f t="shared" si="65"/>
        <v/>
      </c>
      <c r="C849" s="65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66"/>
      <c r="F849" s="67"/>
      <c r="G849" s="60"/>
      <c r="H849" s="60"/>
      <c r="I849" s="61"/>
      <c r="J849" s="61"/>
      <c r="K849" s="61"/>
      <c r="L849" s="73" t="str">
        <f t="shared" si="66"/>
        <v/>
      </c>
      <c r="M849" s="65" t="str">
        <f t="shared" ca="1" si="67"/>
        <v/>
      </c>
      <c r="N849" s="74" t="str">
        <f>IF($C849="","",IF($C849="TANIMSIZ MÜŞTERİ","—",INDEX(MUSTERILER!$C$7:$C$156,MATCH($C849,MUSTERILER!$B$7:$B$156,0))))</f>
        <v/>
      </c>
      <c r="O849" s="2"/>
      <c r="P849" s="2"/>
      <c r="Q849" s="1" t="str">
        <f>IF($D849="","",$C849&amp;"|"&amp;COUNTIFS($C$7:$C849,$C849))</f>
        <v/>
      </c>
      <c r="R849" s="1" t="str">
        <f t="shared" si="68"/>
        <v/>
      </c>
      <c r="S849" s="1" t="str">
        <f t="shared" si="69"/>
        <v/>
      </c>
      <c r="T849" s="1">
        <f>IF($E849="",0,SUMPRODUCT((AY_SONU!$O$7:$O$42="Evet")*(AY_SONU!$B$7:$B$42=DATE(YEAR($E849),MONTH($E849),1))))</f>
        <v>0</v>
      </c>
    </row>
    <row r="850" spans="1:20" ht="18" customHeight="1" x14ac:dyDescent="0.3">
      <c r="A850" s="2"/>
      <c r="B850" s="65" t="str">
        <f t="shared" si="65"/>
        <v/>
      </c>
      <c r="C850" s="65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66"/>
      <c r="F850" s="67"/>
      <c r="G850" s="60"/>
      <c r="H850" s="60"/>
      <c r="I850" s="61"/>
      <c r="J850" s="61"/>
      <c r="K850" s="61"/>
      <c r="L850" s="73" t="str">
        <f t="shared" si="66"/>
        <v/>
      </c>
      <c r="M850" s="65" t="str">
        <f t="shared" ca="1" si="67"/>
        <v/>
      </c>
      <c r="N850" s="74" t="str">
        <f>IF($C850="","",IF($C850="TANIMSIZ MÜŞTERİ","—",INDEX(MUSTERILER!$C$7:$C$156,MATCH($C850,MUSTERILER!$B$7:$B$156,0))))</f>
        <v/>
      </c>
      <c r="O850" s="2"/>
      <c r="P850" s="2"/>
      <c r="Q850" s="1" t="str">
        <f>IF($D850="","",$C850&amp;"|"&amp;COUNTIFS($C$7:$C850,$C850))</f>
        <v/>
      </c>
      <c r="R850" s="1" t="str">
        <f t="shared" si="68"/>
        <v/>
      </c>
      <c r="S850" s="1" t="str">
        <f t="shared" si="69"/>
        <v/>
      </c>
      <c r="T850" s="1">
        <f>IF($E850="",0,SUMPRODUCT((AY_SONU!$O$7:$O$42="Evet")*(AY_SONU!$B$7:$B$42=DATE(YEAR($E850),MONTH($E850),1))))</f>
        <v>0</v>
      </c>
    </row>
    <row r="851" spans="1:20" ht="18" customHeight="1" x14ac:dyDescent="0.3">
      <c r="A851" s="2"/>
      <c r="B851" s="65" t="str">
        <f t="shared" si="65"/>
        <v/>
      </c>
      <c r="C851" s="65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66"/>
      <c r="F851" s="67"/>
      <c r="G851" s="60"/>
      <c r="H851" s="60"/>
      <c r="I851" s="61"/>
      <c r="J851" s="61"/>
      <c r="K851" s="61"/>
      <c r="L851" s="73" t="str">
        <f t="shared" si="66"/>
        <v/>
      </c>
      <c r="M851" s="65" t="str">
        <f t="shared" ca="1" si="67"/>
        <v/>
      </c>
      <c r="N851" s="74" t="str">
        <f>IF($C851="","",IF($C851="TANIMSIZ MÜŞTERİ","—",INDEX(MUSTERILER!$C$7:$C$156,MATCH($C851,MUSTERILER!$B$7:$B$156,0))))</f>
        <v/>
      </c>
      <c r="O851" s="2"/>
      <c r="P851" s="2"/>
      <c r="Q851" s="1" t="str">
        <f>IF($D851="","",$C851&amp;"|"&amp;COUNTIFS($C$7:$C851,$C851))</f>
        <v/>
      </c>
      <c r="R851" s="1" t="str">
        <f t="shared" si="68"/>
        <v/>
      </c>
      <c r="S851" s="1" t="str">
        <f t="shared" si="69"/>
        <v/>
      </c>
      <c r="T851" s="1">
        <f>IF($E851="",0,SUMPRODUCT((AY_SONU!$O$7:$O$42="Evet")*(AY_SONU!$B$7:$B$42=DATE(YEAR($E851),MONTH($E851),1))))</f>
        <v>0</v>
      </c>
    </row>
    <row r="852" spans="1:20" ht="18" customHeight="1" x14ac:dyDescent="0.3">
      <c r="A852" s="2"/>
      <c r="B852" s="65" t="str">
        <f t="shared" si="65"/>
        <v/>
      </c>
      <c r="C852" s="65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66"/>
      <c r="F852" s="67"/>
      <c r="G852" s="60"/>
      <c r="H852" s="60"/>
      <c r="I852" s="61"/>
      <c r="J852" s="61"/>
      <c r="K852" s="61"/>
      <c r="L852" s="73" t="str">
        <f t="shared" si="66"/>
        <v/>
      </c>
      <c r="M852" s="65" t="str">
        <f t="shared" ca="1" si="67"/>
        <v/>
      </c>
      <c r="N852" s="74" t="str">
        <f>IF($C852="","",IF($C852="TANIMSIZ MÜŞTERİ","—",INDEX(MUSTERILER!$C$7:$C$156,MATCH($C852,MUSTERILER!$B$7:$B$156,0))))</f>
        <v/>
      </c>
      <c r="O852" s="2"/>
      <c r="P852" s="2"/>
      <c r="Q852" s="1" t="str">
        <f>IF($D852="","",$C852&amp;"|"&amp;COUNTIFS($C$7:$C852,$C852))</f>
        <v/>
      </c>
      <c r="R852" s="1" t="str">
        <f t="shared" si="68"/>
        <v/>
      </c>
      <c r="S852" s="1" t="str">
        <f t="shared" si="69"/>
        <v/>
      </c>
      <c r="T852" s="1">
        <f>IF($E852="",0,SUMPRODUCT((AY_SONU!$O$7:$O$42="Evet")*(AY_SONU!$B$7:$B$42=DATE(YEAR($E852),MONTH($E852),1))))</f>
        <v>0</v>
      </c>
    </row>
    <row r="853" spans="1:20" ht="18" customHeight="1" x14ac:dyDescent="0.3">
      <c r="A853" s="2"/>
      <c r="B853" s="65" t="str">
        <f t="shared" si="65"/>
        <v/>
      </c>
      <c r="C853" s="65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66"/>
      <c r="F853" s="67"/>
      <c r="G853" s="60"/>
      <c r="H853" s="60"/>
      <c r="I853" s="61"/>
      <c r="J853" s="61"/>
      <c r="K853" s="61"/>
      <c r="L853" s="73" t="str">
        <f t="shared" si="66"/>
        <v/>
      </c>
      <c r="M853" s="65" t="str">
        <f t="shared" ca="1" si="67"/>
        <v/>
      </c>
      <c r="N853" s="74" t="str">
        <f>IF($C853="","",IF($C853="TANIMSIZ MÜŞTERİ","—",INDEX(MUSTERILER!$C$7:$C$156,MATCH($C853,MUSTERILER!$B$7:$B$156,0))))</f>
        <v/>
      </c>
      <c r="O853" s="2"/>
      <c r="P853" s="2"/>
      <c r="Q853" s="1" t="str">
        <f>IF($D853="","",$C853&amp;"|"&amp;COUNTIFS($C$7:$C853,$C853))</f>
        <v/>
      </c>
      <c r="R853" s="1" t="str">
        <f t="shared" si="68"/>
        <v/>
      </c>
      <c r="S853" s="1" t="str">
        <f t="shared" si="69"/>
        <v/>
      </c>
      <c r="T853" s="1">
        <f>IF($E853="",0,SUMPRODUCT((AY_SONU!$O$7:$O$42="Evet")*(AY_SONU!$B$7:$B$42=DATE(YEAR($E853),MONTH($E853),1))))</f>
        <v>0</v>
      </c>
    </row>
    <row r="854" spans="1:20" ht="18" customHeight="1" x14ac:dyDescent="0.3">
      <c r="A854" s="2"/>
      <c r="B854" s="65" t="str">
        <f t="shared" si="65"/>
        <v/>
      </c>
      <c r="C854" s="65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66"/>
      <c r="F854" s="67"/>
      <c r="G854" s="60"/>
      <c r="H854" s="60"/>
      <c r="I854" s="61"/>
      <c r="J854" s="61"/>
      <c r="K854" s="61"/>
      <c r="L854" s="73" t="str">
        <f t="shared" si="66"/>
        <v/>
      </c>
      <c r="M854" s="65" t="str">
        <f t="shared" ca="1" si="67"/>
        <v/>
      </c>
      <c r="N854" s="74" t="str">
        <f>IF($C854="","",IF($C854="TANIMSIZ MÜŞTERİ","—",INDEX(MUSTERILER!$C$7:$C$156,MATCH($C854,MUSTERILER!$B$7:$B$156,0))))</f>
        <v/>
      </c>
      <c r="O854" s="2"/>
      <c r="P854" s="2"/>
      <c r="Q854" s="1" t="str">
        <f>IF($D854="","",$C854&amp;"|"&amp;COUNTIFS($C$7:$C854,$C854))</f>
        <v/>
      </c>
      <c r="R854" s="1" t="str">
        <f t="shared" si="68"/>
        <v/>
      </c>
      <c r="S854" s="1" t="str">
        <f t="shared" si="69"/>
        <v/>
      </c>
      <c r="T854" s="1">
        <f>IF($E854="",0,SUMPRODUCT((AY_SONU!$O$7:$O$42="Evet")*(AY_SONU!$B$7:$B$42=DATE(YEAR($E854),MONTH($E854),1))))</f>
        <v>0</v>
      </c>
    </row>
    <row r="855" spans="1:20" ht="18" customHeight="1" x14ac:dyDescent="0.3">
      <c r="A855" s="2"/>
      <c r="B855" s="65" t="str">
        <f t="shared" si="65"/>
        <v/>
      </c>
      <c r="C855" s="65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66"/>
      <c r="F855" s="67"/>
      <c r="G855" s="60"/>
      <c r="H855" s="60"/>
      <c r="I855" s="61"/>
      <c r="J855" s="61"/>
      <c r="K855" s="61"/>
      <c r="L855" s="73" t="str">
        <f t="shared" si="66"/>
        <v/>
      </c>
      <c r="M855" s="65" t="str">
        <f t="shared" ca="1" si="67"/>
        <v/>
      </c>
      <c r="N855" s="74" t="str">
        <f>IF($C855="","",IF($C855="TANIMSIZ MÜŞTERİ","—",INDEX(MUSTERILER!$C$7:$C$156,MATCH($C855,MUSTERILER!$B$7:$B$156,0))))</f>
        <v/>
      </c>
      <c r="O855" s="2"/>
      <c r="P855" s="2"/>
      <c r="Q855" s="1" t="str">
        <f>IF($D855="","",$C855&amp;"|"&amp;COUNTIFS($C$7:$C855,$C855))</f>
        <v/>
      </c>
      <c r="R855" s="1" t="str">
        <f t="shared" si="68"/>
        <v/>
      </c>
      <c r="S855" s="1" t="str">
        <f t="shared" si="69"/>
        <v/>
      </c>
      <c r="T855" s="1">
        <f>IF($E855="",0,SUMPRODUCT((AY_SONU!$O$7:$O$42="Evet")*(AY_SONU!$B$7:$B$42=DATE(YEAR($E855),MONTH($E855),1))))</f>
        <v>0</v>
      </c>
    </row>
    <row r="856" spans="1:20" ht="18" customHeight="1" x14ac:dyDescent="0.3">
      <c r="A856" s="2"/>
      <c r="B856" s="65" t="str">
        <f t="shared" si="65"/>
        <v/>
      </c>
      <c r="C856" s="65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66"/>
      <c r="F856" s="67"/>
      <c r="G856" s="60"/>
      <c r="H856" s="60"/>
      <c r="I856" s="61"/>
      <c r="J856" s="61"/>
      <c r="K856" s="61"/>
      <c r="L856" s="73" t="str">
        <f t="shared" si="66"/>
        <v/>
      </c>
      <c r="M856" s="65" t="str">
        <f t="shared" ca="1" si="67"/>
        <v/>
      </c>
      <c r="N856" s="74" t="str">
        <f>IF($C856="","",IF($C856="TANIMSIZ MÜŞTERİ","—",INDEX(MUSTERILER!$C$7:$C$156,MATCH($C856,MUSTERILER!$B$7:$B$156,0))))</f>
        <v/>
      </c>
      <c r="O856" s="2"/>
      <c r="P856" s="2"/>
      <c r="Q856" s="1" t="str">
        <f>IF($D856="","",$C856&amp;"|"&amp;COUNTIFS($C$7:$C856,$C856))</f>
        <v/>
      </c>
      <c r="R856" s="1" t="str">
        <f t="shared" si="68"/>
        <v/>
      </c>
      <c r="S856" s="1" t="str">
        <f t="shared" si="69"/>
        <v/>
      </c>
      <c r="T856" s="1">
        <f>IF($E856="",0,SUMPRODUCT((AY_SONU!$O$7:$O$42="Evet")*(AY_SONU!$B$7:$B$42=DATE(YEAR($E856),MONTH($E856),1))))</f>
        <v>0</v>
      </c>
    </row>
    <row r="857" spans="1:20" ht="18" customHeight="1" x14ac:dyDescent="0.3">
      <c r="A857" s="2"/>
      <c r="B857" s="65" t="str">
        <f t="shared" si="65"/>
        <v/>
      </c>
      <c r="C857" s="65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66"/>
      <c r="F857" s="67"/>
      <c r="G857" s="60"/>
      <c r="H857" s="60"/>
      <c r="I857" s="61"/>
      <c r="J857" s="61"/>
      <c r="K857" s="61"/>
      <c r="L857" s="73" t="str">
        <f t="shared" si="66"/>
        <v/>
      </c>
      <c r="M857" s="65" t="str">
        <f t="shared" ca="1" si="67"/>
        <v/>
      </c>
      <c r="N857" s="74" t="str">
        <f>IF($C857="","",IF($C857="TANIMSIZ MÜŞTERİ","—",INDEX(MUSTERILER!$C$7:$C$156,MATCH($C857,MUSTERILER!$B$7:$B$156,0))))</f>
        <v/>
      </c>
      <c r="O857" s="2"/>
      <c r="P857" s="2"/>
      <c r="Q857" s="1" t="str">
        <f>IF($D857="","",$C857&amp;"|"&amp;COUNTIFS($C$7:$C857,$C857))</f>
        <v/>
      </c>
      <c r="R857" s="1" t="str">
        <f t="shared" si="68"/>
        <v/>
      </c>
      <c r="S857" s="1" t="str">
        <f t="shared" si="69"/>
        <v/>
      </c>
      <c r="T857" s="1">
        <f>IF($E857="",0,SUMPRODUCT((AY_SONU!$O$7:$O$42="Evet")*(AY_SONU!$B$7:$B$42=DATE(YEAR($E857),MONTH($E857),1))))</f>
        <v>0</v>
      </c>
    </row>
    <row r="858" spans="1:20" ht="18" customHeight="1" x14ac:dyDescent="0.3">
      <c r="A858" s="2"/>
      <c r="B858" s="65" t="str">
        <f t="shared" si="65"/>
        <v/>
      </c>
      <c r="C858" s="65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66"/>
      <c r="F858" s="67"/>
      <c r="G858" s="60"/>
      <c r="H858" s="60"/>
      <c r="I858" s="61"/>
      <c r="J858" s="61"/>
      <c r="K858" s="61"/>
      <c r="L858" s="73" t="str">
        <f t="shared" si="66"/>
        <v/>
      </c>
      <c r="M858" s="65" t="str">
        <f t="shared" ca="1" si="67"/>
        <v/>
      </c>
      <c r="N858" s="74" t="str">
        <f>IF($C858="","",IF($C858="TANIMSIZ MÜŞTERİ","—",INDEX(MUSTERILER!$C$7:$C$156,MATCH($C858,MUSTERILER!$B$7:$B$156,0))))</f>
        <v/>
      </c>
      <c r="O858" s="2"/>
      <c r="P858" s="2"/>
      <c r="Q858" s="1" t="str">
        <f>IF($D858="","",$C858&amp;"|"&amp;COUNTIFS($C$7:$C858,$C858))</f>
        <v/>
      </c>
      <c r="R858" s="1" t="str">
        <f t="shared" si="68"/>
        <v/>
      </c>
      <c r="S858" s="1" t="str">
        <f t="shared" si="69"/>
        <v/>
      </c>
      <c r="T858" s="1">
        <f>IF($E858="",0,SUMPRODUCT((AY_SONU!$O$7:$O$42="Evet")*(AY_SONU!$B$7:$B$42=DATE(YEAR($E858),MONTH($E858),1))))</f>
        <v>0</v>
      </c>
    </row>
    <row r="859" spans="1:20" ht="18" customHeight="1" x14ac:dyDescent="0.3">
      <c r="A859" s="2"/>
      <c r="B859" s="65" t="str">
        <f t="shared" si="65"/>
        <v/>
      </c>
      <c r="C859" s="65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66"/>
      <c r="F859" s="67"/>
      <c r="G859" s="60"/>
      <c r="H859" s="60"/>
      <c r="I859" s="61"/>
      <c r="J859" s="61"/>
      <c r="K859" s="61"/>
      <c r="L859" s="73" t="str">
        <f t="shared" si="66"/>
        <v/>
      </c>
      <c r="M859" s="65" t="str">
        <f t="shared" ca="1" si="67"/>
        <v/>
      </c>
      <c r="N859" s="74" t="str">
        <f>IF($C859="","",IF($C859="TANIMSIZ MÜŞTERİ","—",INDEX(MUSTERILER!$C$7:$C$156,MATCH($C859,MUSTERILER!$B$7:$B$156,0))))</f>
        <v/>
      </c>
      <c r="O859" s="2"/>
      <c r="P859" s="2"/>
      <c r="Q859" s="1" t="str">
        <f>IF($D859="","",$C859&amp;"|"&amp;COUNTIFS($C$7:$C859,$C859))</f>
        <v/>
      </c>
      <c r="R859" s="1" t="str">
        <f t="shared" si="68"/>
        <v/>
      </c>
      <c r="S859" s="1" t="str">
        <f t="shared" si="69"/>
        <v/>
      </c>
      <c r="T859" s="1">
        <f>IF($E859="",0,SUMPRODUCT((AY_SONU!$O$7:$O$42="Evet")*(AY_SONU!$B$7:$B$42=DATE(YEAR($E859),MONTH($E859),1))))</f>
        <v>0</v>
      </c>
    </row>
    <row r="860" spans="1:20" ht="18" customHeight="1" x14ac:dyDescent="0.3">
      <c r="A860" s="2"/>
      <c r="B860" s="65" t="str">
        <f t="shared" si="65"/>
        <v/>
      </c>
      <c r="C860" s="65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66"/>
      <c r="F860" s="67"/>
      <c r="G860" s="60"/>
      <c r="H860" s="60"/>
      <c r="I860" s="61"/>
      <c r="J860" s="61"/>
      <c r="K860" s="61"/>
      <c r="L860" s="73" t="str">
        <f t="shared" si="66"/>
        <v/>
      </c>
      <c r="M860" s="65" t="str">
        <f t="shared" ca="1" si="67"/>
        <v/>
      </c>
      <c r="N860" s="74" t="str">
        <f>IF($C860="","",IF($C860="TANIMSIZ MÜŞTERİ","—",INDEX(MUSTERILER!$C$7:$C$156,MATCH($C860,MUSTERILER!$B$7:$B$156,0))))</f>
        <v/>
      </c>
      <c r="O860" s="2"/>
      <c r="P860" s="2"/>
      <c r="Q860" s="1" t="str">
        <f>IF($D860="","",$C860&amp;"|"&amp;COUNTIFS($C$7:$C860,$C860))</f>
        <v/>
      </c>
      <c r="R860" s="1" t="str">
        <f t="shared" si="68"/>
        <v/>
      </c>
      <c r="S860" s="1" t="str">
        <f t="shared" si="69"/>
        <v/>
      </c>
      <c r="T860" s="1">
        <f>IF($E860="",0,SUMPRODUCT((AY_SONU!$O$7:$O$42="Evet")*(AY_SONU!$B$7:$B$42=DATE(YEAR($E860),MONTH($E860),1))))</f>
        <v>0</v>
      </c>
    </row>
    <row r="861" spans="1:20" ht="18" customHeight="1" x14ac:dyDescent="0.3">
      <c r="A861" s="2"/>
      <c r="B861" s="65" t="str">
        <f t="shared" si="65"/>
        <v/>
      </c>
      <c r="C861" s="65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66"/>
      <c r="F861" s="67"/>
      <c r="G861" s="60"/>
      <c r="H861" s="60"/>
      <c r="I861" s="61"/>
      <c r="J861" s="61"/>
      <c r="K861" s="61"/>
      <c r="L861" s="73" t="str">
        <f t="shared" si="66"/>
        <v/>
      </c>
      <c r="M861" s="65" t="str">
        <f t="shared" ca="1" si="67"/>
        <v/>
      </c>
      <c r="N861" s="74" t="str">
        <f>IF($C861="","",IF($C861="TANIMSIZ MÜŞTERİ","—",INDEX(MUSTERILER!$C$7:$C$156,MATCH($C861,MUSTERILER!$B$7:$B$156,0))))</f>
        <v/>
      </c>
      <c r="O861" s="2"/>
      <c r="P861" s="2"/>
      <c r="Q861" s="1" t="str">
        <f>IF($D861="","",$C861&amp;"|"&amp;COUNTIFS($C$7:$C861,$C861))</f>
        <v/>
      </c>
      <c r="R861" s="1" t="str">
        <f t="shared" si="68"/>
        <v/>
      </c>
      <c r="S861" s="1" t="str">
        <f t="shared" si="69"/>
        <v/>
      </c>
      <c r="T861" s="1">
        <f>IF($E861="",0,SUMPRODUCT((AY_SONU!$O$7:$O$42="Evet")*(AY_SONU!$B$7:$B$42=DATE(YEAR($E861),MONTH($E861),1))))</f>
        <v>0</v>
      </c>
    </row>
    <row r="862" spans="1:20" ht="18" customHeight="1" x14ac:dyDescent="0.3">
      <c r="A862" s="2"/>
      <c r="B862" s="65" t="str">
        <f t="shared" si="65"/>
        <v/>
      </c>
      <c r="C862" s="65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66"/>
      <c r="F862" s="67"/>
      <c r="G862" s="60"/>
      <c r="H862" s="60"/>
      <c r="I862" s="61"/>
      <c r="J862" s="61"/>
      <c r="K862" s="61"/>
      <c r="L862" s="73" t="str">
        <f t="shared" si="66"/>
        <v/>
      </c>
      <c r="M862" s="65" t="str">
        <f t="shared" ca="1" si="67"/>
        <v/>
      </c>
      <c r="N862" s="74" t="str">
        <f>IF($C862="","",IF($C862="TANIMSIZ MÜŞTERİ","—",INDEX(MUSTERILER!$C$7:$C$156,MATCH($C862,MUSTERILER!$B$7:$B$156,0))))</f>
        <v/>
      </c>
      <c r="O862" s="2"/>
      <c r="P862" s="2"/>
      <c r="Q862" s="1" t="str">
        <f>IF($D862="","",$C862&amp;"|"&amp;COUNTIFS($C$7:$C862,$C862))</f>
        <v/>
      </c>
      <c r="R862" s="1" t="str">
        <f t="shared" si="68"/>
        <v/>
      </c>
      <c r="S862" s="1" t="str">
        <f t="shared" si="69"/>
        <v/>
      </c>
      <c r="T862" s="1">
        <f>IF($E862="",0,SUMPRODUCT((AY_SONU!$O$7:$O$42="Evet")*(AY_SONU!$B$7:$B$42=DATE(YEAR($E862),MONTH($E862),1))))</f>
        <v>0</v>
      </c>
    </row>
    <row r="863" spans="1:20" ht="18" customHeight="1" x14ac:dyDescent="0.3">
      <c r="A863" s="2"/>
      <c r="B863" s="65" t="str">
        <f t="shared" si="65"/>
        <v/>
      </c>
      <c r="C863" s="65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66"/>
      <c r="F863" s="67"/>
      <c r="G863" s="60"/>
      <c r="H863" s="60"/>
      <c r="I863" s="61"/>
      <c r="J863" s="61"/>
      <c r="K863" s="61"/>
      <c r="L863" s="73" t="str">
        <f t="shared" si="66"/>
        <v/>
      </c>
      <c r="M863" s="65" t="str">
        <f t="shared" ca="1" si="67"/>
        <v/>
      </c>
      <c r="N863" s="74" t="str">
        <f>IF($C863="","",IF($C863="TANIMSIZ MÜŞTERİ","—",INDEX(MUSTERILER!$C$7:$C$156,MATCH($C863,MUSTERILER!$B$7:$B$156,0))))</f>
        <v/>
      </c>
      <c r="O863" s="2"/>
      <c r="P863" s="2"/>
      <c r="Q863" s="1" t="str">
        <f>IF($D863="","",$C863&amp;"|"&amp;COUNTIFS($C$7:$C863,$C863))</f>
        <v/>
      </c>
      <c r="R863" s="1" t="str">
        <f t="shared" si="68"/>
        <v/>
      </c>
      <c r="S863" s="1" t="str">
        <f t="shared" si="69"/>
        <v/>
      </c>
      <c r="T863" s="1">
        <f>IF($E863="",0,SUMPRODUCT((AY_SONU!$O$7:$O$42="Evet")*(AY_SONU!$B$7:$B$42=DATE(YEAR($E863),MONTH($E863),1))))</f>
        <v>0</v>
      </c>
    </row>
    <row r="864" spans="1:20" ht="18" customHeight="1" x14ac:dyDescent="0.3">
      <c r="A864" s="2"/>
      <c r="B864" s="65" t="str">
        <f t="shared" si="65"/>
        <v/>
      </c>
      <c r="C864" s="65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66"/>
      <c r="F864" s="67"/>
      <c r="G864" s="60"/>
      <c r="H864" s="60"/>
      <c r="I864" s="61"/>
      <c r="J864" s="61"/>
      <c r="K864" s="61"/>
      <c r="L864" s="73" t="str">
        <f t="shared" si="66"/>
        <v/>
      </c>
      <c r="M864" s="65" t="str">
        <f t="shared" ca="1" si="67"/>
        <v/>
      </c>
      <c r="N864" s="74" t="str">
        <f>IF($C864="","",IF($C864="TANIMSIZ MÜŞTERİ","—",INDEX(MUSTERILER!$C$7:$C$156,MATCH($C864,MUSTERILER!$B$7:$B$156,0))))</f>
        <v/>
      </c>
      <c r="O864" s="2"/>
      <c r="P864" s="2"/>
      <c r="Q864" s="1" t="str">
        <f>IF($D864="","",$C864&amp;"|"&amp;COUNTIFS($C$7:$C864,$C864))</f>
        <v/>
      </c>
      <c r="R864" s="1" t="str">
        <f t="shared" si="68"/>
        <v/>
      </c>
      <c r="S864" s="1" t="str">
        <f t="shared" si="69"/>
        <v/>
      </c>
      <c r="T864" s="1">
        <f>IF($E864="",0,SUMPRODUCT((AY_SONU!$O$7:$O$42="Evet")*(AY_SONU!$B$7:$B$42=DATE(YEAR($E864),MONTH($E864),1))))</f>
        <v>0</v>
      </c>
    </row>
    <row r="865" spans="1:20" ht="18" customHeight="1" x14ac:dyDescent="0.3">
      <c r="A865" s="2"/>
      <c r="B865" s="65" t="str">
        <f t="shared" si="65"/>
        <v/>
      </c>
      <c r="C865" s="65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66"/>
      <c r="F865" s="67"/>
      <c r="G865" s="60"/>
      <c r="H865" s="60"/>
      <c r="I865" s="61"/>
      <c r="J865" s="61"/>
      <c r="K865" s="61"/>
      <c r="L865" s="73" t="str">
        <f t="shared" si="66"/>
        <v/>
      </c>
      <c r="M865" s="65" t="str">
        <f t="shared" ca="1" si="67"/>
        <v/>
      </c>
      <c r="N865" s="74" t="str">
        <f>IF($C865="","",IF($C865="TANIMSIZ MÜŞTERİ","—",INDEX(MUSTERILER!$C$7:$C$156,MATCH($C865,MUSTERILER!$B$7:$B$156,0))))</f>
        <v/>
      </c>
      <c r="O865" s="2"/>
      <c r="P865" s="2"/>
      <c r="Q865" s="1" t="str">
        <f>IF($D865="","",$C865&amp;"|"&amp;COUNTIFS($C$7:$C865,$C865))</f>
        <v/>
      </c>
      <c r="R865" s="1" t="str">
        <f t="shared" si="68"/>
        <v/>
      </c>
      <c r="S865" s="1" t="str">
        <f t="shared" si="69"/>
        <v/>
      </c>
      <c r="T865" s="1">
        <f>IF($E865="",0,SUMPRODUCT((AY_SONU!$O$7:$O$42="Evet")*(AY_SONU!$B$7:$B$42=DATE(YEAR($E865),MONTH($E865),1))))</f>
        <v>0</v>
      </c>
    </row>
    <row r="866" spans="1:20" ht="18" customHeight="1" x14ac:dyDescent="0.3">
      <c r="A866" s="2"/>
      <c r="B866" s="65" t="str">
        <f t="shared" si="65"/>
        <v/>
      </c>
      <c r="C866" s="65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66"/>
      <c r="F866" s="67"/>
      <c r="G866" s="60"/>
      <c r="H866" s="60"/>
      <c r="I866" s="61"/>
      <c r="J866" s="61"/>
      <c r="K866" s="61"/>
      <c r="L866" s="73" t="str">
        <f t="shared" si="66"/>
        <v/>
      </c>
      <c r="M866" s="65" t="str">
        <f t="shared" ca="1" si="67"/>
        <v/>
      </c>
      <c r="N866" s="74" t="str">
        <f>IF($C866="","",IF($C866="TANIMSIZ MÜŞTERİ","—",INDEX(MUSTERILER!$C$7:$C$156,MATCH($C866,MUSTERILER!$B$7:$B$156,0))))</f>
        <v/>
      </c>
      <c r="O866" s="2"/>
      <c r="P866" s="2"/>
      <c r="Q866" s="1" t="str">
        <f>IF($D866="","",$C866&amp;"|"&amp;COUNTIFS($C$7:$C866,$C866))</f>
        <v/>
      </c>
      <c r="R866" s="1" t="str">
        <f t="shared" si="68"/>
        <v/>
      </c>
      <c r="S866" s="1" t="str">
        <f t="shared" si="69"/>
        <v/>
      </c>
      <c r="T866" s="1">
        <f>IF($E866="",0,SUMPRODUCT((AY_SONU!$O$7:$O$42="Evet")*(AY_SONU!$B$7:$B$42=DATE(YEAR($E866),MONTH($E866),1))))</f>
        <v>0</v>
      </c>
    </row>
    <row r="867" spans="1:20" ht="18" customHeight="1" x14ac:dyDescent="0.3">
      <c r="A867" s="2"/>
      <c r="B867" s="65" t="str">
        <f t="shared" si="65"/>
        <v/>
      </c>
      <c r="C867" s="65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66"/>
      <c r="F867" s="67"/>
      <c r="G867" s="60"/>
      <c r="H867" s="60"/>
      <c r="I867" s="61"/>
      <c r="J867" s="61"/>
      <c r="K867" s="61"/>
      <c r="L867" s="73" t="str">
        <f t="shared" si="66"/>
        <v/>
      </c>
      <c r="M867" s="65" t="str">
        <f t="shared" ca="1" si="67"/>
        <v/>
      </c>
      <c r="N867" s="74" t="str">
        <f>IF($C867="","",IF($C867="TANIMSIZ MÜŞTERİ","—",INDEX(MUSTERILER!$C$7:$C$156,MATCH($C867,MUSTERILER!$B$7:$B$156,0))))</f>
        <v/>
      </c>
      <c r="O867" s="2"/>
      <c r="P867" s="2"/>
      <c r="Q867" s="1" t="str">
        <f>IF($D867="","",$C867&amp;"|"&amp;COUNTIFS($C$7:$C867,$C867))</f>
        <v/>
      </c>
      <c r="R867" s="1" t="str">
        <f t="shared" si="68"/>
        <v/>
      </c>
      <c r="S867" s="1" t="str">
        <f t="shared" si="69"/>
        <v/>
      </c>
      <c r="T867" s="1">
        <f>IF($E867="",0,SUMPRODUCT((AY_SONU!$O$7:$O$42="Evet")*(AY_SONU!$B$7:$B$42=DATE(YEAR($E867),MONTH($E867),1))))</f>
        <v>0</v>
      </c>
    </row>
    <row r="868" spans="1:20" ht="18" customHeight="1" x14ac:dyDescent="0.3">
      <c r="A868" s="2"/>
      <c r="B868" s="65" t="str">
        <f t="shared" si="65"/>
        <v/>
      </c>
      <c r="C868" s="65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66"/>
      <c r="F868" s="67"/>
      <c r="G868" s="60"/>
      <c r="H868" s="60"/>
      <c r="I868" s="61"/>
      <c r="J868" s="61"/>
      <c r="K868" s="61"/>
      <c r="L868" s="73" t="str">
        <f t="shared" si="66"/>
        <v/>
      </c>
      <c r="M868" s="65" t="str">
        <f t="shared" ca="1" si="67"/>
        <v/>
      </c>
      <c r="N868" s="74" t="str">
        <f>IF($C868="","",IF($C868="TANIMSIZ MÜŞTERİ","—",INDEX(MUSTERILER!$C$7:$C$156,MATCH($C868,MUSTERILER!$B$7:$B$156,0))))</f>
        <v/>
      </c>
      <c r="O868" s="2"/>
      <c r="P868" s="2"/>
      <c r="Q868" s="1" t="str">
        <f>IF($D868="","",$C868&amp;"|"&amp;COUNTIFS($C$7:$C868,$C868))</f>
        <v/>
      </c>
      <c r="R868" s="1" t="str">
        <f t="shared" si="68"/>
        <v/>
      </c>
      <c r="S868" s="1" t="str">
        <f t="shared" si="69"/>
        <v/>
      </c>
      <c r="T868" s="1">
        <f>IF($E868="",0,SUMPRODUCT((AY_SONU!$O$7:$O$42="Evet")*(AY_SONU!$B$7:$B$42=DATE(YEAR($E868),MONTH($E868),1))))</f>
        <v>0</v>
      </c>
    </row>
    <row r="869" spans="1:20" ht="18" customHeight="1" x14ac:dyDescent="0.3">
      <c r="A869" s="2"/>
      <c r="B869" s="65" t="str">
        <f t="shared" si="65"/>
        <v/>
      </c>
      <c r="C869" s="65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66"/>
      <c r="F869" s="67"/>
      <c r="G869" s="60"/>
      <c r="H869" s="60"/>
      <c r="I869" s="61"/>
      <c r="J869" s="61"/>
      <c r="K869" s="61"/>
      <c r="L869" s="73" t="str">
        <f t="shared" si="66"/>
        <v/>
      </c>
      <c r="M869" s="65" t="str">
        <f t="shared" ca="1" si="67"/>
        <v/>
      </c>
      <c r="N869" s="74" t="str">
        <f>IF($C869="","",IF($C869="TANIMSIZ MÜŞTERİ","—",INDEX(MUSTERILER!$C$7:$C$156,MATCH($C869,MUSTERILER!$B$7:$B$156,0))))</f>
        <v/>
      </c>
      <c r="O869" s="2"/>
      <c r="P869" s="2"/>
      <c r="Q869" s="1" t="str">
        <f>IF($D869="","",$C869&amp;"|"&amp;COUNTIFS($C$7:$C869,$C869))</f>
        <v/>
      </c>
      <c r="R869" s="1" t="str">
        <f t="shared" si="68"/>
        <v/>
      </c>
      <c r="S869" s="1" t="str">
        <f t="shared" si="69"/>
        <v/>
      </c>
      <c r="T869" s="1">
        <f>IF($E869="",0,SUMPRODUCT((AY_SONU!$O$7:$O$42="Evet")*(AY_SONU!$B$7:$B$42=DATE(YEAR($E869),MONTH($E869),1))))</f>
        <v>0</v>
      </c>
    </row>
    <row r="870" spans="1:20" ht="18" customHeight="1" x14ac:dyDescent="0.3">
      <c r="A870" s="2"/>
      <c r="B870" s="65" t="str">
        <f t="shared" si="65"/>
        <v/>
      </c>
      <c r="C870" s="65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66"/>
      <c r="F870" s="67"/>
      <c r="G870" s="60"/>
      <c r="H870" s="60"/>
      <c r="I870" s="61"/>
      <c r="J870" s="61"/>
      <c r="K870" s="61"/>
      <c r="L870" s="73" t="str">
        <f t="shared" si="66"/>
        <v/>
      </c>
      <c r="M870" s="65" t="str">
        <f t="shared" ca="1" si="67"/>
        <v/>
      </c>
      <c r="N870" s="74" t="str">
        <f>IF($C870="","",IF($C870="TANIMSIZ MÜŞTERİ","—",INDEX(MUSTERILER!$C$7:$C$156,MATCH($C870,MUSTERILER!$B$7:$B$156,0))))</f>
        <v/>
      </c>
      <c r="O870" s="2"/>
      <c r="P870" s="2"/>
      <c r="Q870" s="1" t="str">
        <f>IF($D870="","",$C870&amp;"|"&amp;COUNTIFS($C$7:$C870,$C870))</f>
        <v/>
      </c>
      <c r="R870" s="1" t="str">
        <f t="shared" si="68"/>
        <v/>
      </c>
      <c r="S870" s="1" t="str">
        <f t="shared" si="69"/>
        <v/>
      </c>
      <c r="T870" s="1">
        <f>IF($E870="",0,SUMPRODUCT((AY_SONU!$O$7:$O$42="Evet")*(AY_SONU!$B$7:$B$42=DATE(YEAR($E870),MONTH($E870),1))))</f>
        <v>0</v>
      </c>
    </row>
    <row r="871" spans="1:20" ht="18" customHeight="1" x14ac:dyDescent="0.3">
      <c r="A871" s="2"/>
      <c r="B871" s="65" t="str">
        <f t="shared" si="65"/>
        <v/>
      </c>
      <c r="C871" s="65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66"/>
      <c r="F871" s="67"/>
      <c r="G871" s="60"/>
      <c r="H871" s="60"/>
      <c r="I871" s="61"/>
      <c r="J871" s="61"/>
      <c r="K871" s="61"/>
      <c r="L871" s="73" t="str">
        <f t="shared" si="66"/>
        <v/>
      </c>
      <c r="M871" s="65" t="str">
        <f t="shared" ca="1" si="67"/>
        <v/>
      </c>
      <c r="N871" s="74" t="str">
        <f>IF($C871="","",IF($C871="TANIMSIZ MÜŞTERİ","—",INDEX(MUSTERILER!$C$7:$C$156,MATCH($C871,MUSTERILER!$B$7:$B$156,0))))</f>
        <v/>
      </c>
      <c r="O871" s="2"/>
      <c r="P871" s="2"/>
      <c r="Q871" s="1" t="str">
        <f>IF($D871="","",$C871&amp;"|"&amp;COUNTIFS($C$7:$C871,$C871))</f>
        <v/>
      </c>
      <c r="R871" s="1" t="str">
        <f t="shared" si="68"/>
        <v/>
      </c>
      <c r="S871" s="1" t="str">
        <f t="shared" si="69"/>
        <v/>
      </c>
      <c r="T871" s="1">
        <f>IF($E871="",0,SUMPRODUCT((AY_SONU!$O$7:$O$42="Evet")*(AY_SONU!$B$7:$B$42=DATE(YEAR($E871),MONTH($E871),1))))</f>
        <v>0</v>
      </c>
    </row>
    <row r="872" spans="1:20" ht="18" customHeight="1" x14ac:dyDescent="0.3">
      <c r="A872" s="2"/>
      <c r="B872" s="65" t="str">
        <f t="shared" si="65"/>
        <v/>
      </c>
      <c r="C872" s="65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66"/>
      <c r="F872" s="67"/>
      <c r="G872" s="60"/>
      <c r="H872" s="60"/>
      <c r="I872" s="61"/>
      <c r="J872" s="61"/>
      <c r="K872" s="61"/>
      <c r="L872" s="73" t="str">
        <f t="shared" si="66"/>
        <v/>
      </c>
      <c r="M872" s="65" t="str">
        <f t="shared" ca="1" si="67"/>
        <v/>
      </c>
      <c r="N872" s="74" t="str">
        <f>IF($C872="","",IF($C872="TANIMSIZ MÜŞTERİ","—",INDEX(MUSTERILER!$C$7:$C$156,MATCH($C872,MUSTERILER!$B$7:$B$156,0))))</f>
        <v/>
      </c>
      <c r="O872" s="2"/>
      <c r="P872" s="2"/>
      <c r="Q872" s="1" t="str">
        <f>IF($D872="","",$C872&amp;"|"&amp;COUNTIFS($C$7:$C872,$C872))</f>
        <v/>
      </c>
      <c r="R872" s="1" t="str">
        <f t="shared" si="68"/>
        <v/>
      </c>
      <c r="S872" s="1" t="str">
        <f t="shared" si="69"/>
        <v/>
      </c>
      <c r="T872" s="1">
        <f>IF($E872="",0,SUMPRODUCT((AY_SONU!$O$7:$O$42="Evet")*(AY_SONU!$B$7:$B$42=DATE(YEAR($E872),MONTH($E872),1))))</f>
        <v>0</v>
      </c>
    </row>
    <row r="873" spans="1:20" ht="18" customHeight="1" x14ac:dyDescent="0.3">
      <c r="A873" s="2"/>
      <c r="B873" s="65" t="str">
        <f t="shared" si="65"/>
        <v/>
      </c>
      <c r="C873" s="65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66"/>
      <c r="F873" s="67"/>
      <c r="G873" s="60"/>
      <c r="H873" s="60"/>
      <c r="I873" s="61"/>
      <c r="J873" s="61"/>
      <c r="K873" s="61"/>
      <c r="L873" s="73" t="str">
        <f t="shared" si="66"/>
        <v/>
      </c>
      <c r="M873" s="65" t="str">
        <f t="shared" ca="1" si="67"/>
        <v/>
      </c>
      <c r="N873" s="74" t="str">
        <f>IF($C873="","",IF($C873="TANIMSIZ MÜŞTERİ","—",INDEX(MUSTERILER!$C$7:$C$156,MATCH($C873,MUSTERILER!$B$7:$B$156,0))))</f>
        <v/>
      </c>
      <c r="O873" s="2"/>
      <c r="P873" s="2"/>
      <c r="Q873" s="1" t="str">
        <f>IF($D873="","",$C873&amp;"|"&amp;COUNTIFS($C$7:$C873,$C873))</f>
        <v/>
      </c>
      <c r="R873" s="1" t="str">
        <f t="shared" si="68"/>
        <v/>
      </c>
      <c r="S873" s="1" t="str">
        <f t="shared" si="69"/>
        <v/>
      </c>
      <c r="T873" s="1">
        <f>IF($E873="",0,SUMPRODUCT((AY_SONU!$O$7:$O$42="Evet")*(AY_SONU!$B$7:$B$42=DATE(YEAR($E873),MONTH($E873),1))))</f>
        <v>0</v>
      </c>
    </row>
    <row r="874" spans="1:20" ht="18" customHeight="1" x14ac:dyDescent="0.3">
      <c r="A874" s="2"/>
      <c r="B874" s="65" t="str">
        <f t="shared" si="65"/>
        <v/>
      </c>
      <c r="C874" s="65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66"/>
      <c r="F874" s="67"/>
      <c r="G874" s="60"/>
      <c r="H874" s="60"/>
      <c r="I874" s="61"/>
      <c r="J874" s="61"/>
      <c r="K874" s="61"/>
      <c r="L874" s="73" t="str">
        <f t="shared" si="66"/>
        <v/>
      </c>
      <c r="M874" s="65" t="str">
        <f t="shared" ca="1" si="67"/>
        <v/>
      </c>
      <c r="N874" s="74" t="str">
        <f>IF($C874="","",IF($C874="TANIMSIZ MÜŞTERİ","—",INDEX(MUSTERILER!$C$7:$C$156,MATCH($C874,MUSTERILER!$B$7:$B$156,0))))</f>
        <v/>
      </c>
      <c r="O874" s="2"/>
      <c r="P874" s="2"/>
      <c r="Q874" s="1" t="str">
        <f>IF($D874="","",$C874&amp;"|"&amp;COUNTIFS($C$7:$C874,$C874))</f>
        <v/>
      </c>
      <c r="R874" s="1" t="str">
        <f t="shared" si="68"/>
        <v/>
      </c>
      <c r="S874" s="1" t="str">
        <f t="shared" si="69"/>
        <v/>
      </c>
      <c r="T874" s="1">
        <f>IF($E874="",0,SUMPRODUCT((AY_SONU!$O$7:$O$42="Evet")*(AY_SONU!$B$7:$B$42=DATE(YEAR($E874),MONTH($E874),1))))</f>
        <v>0</v>
      </c>
    </row>
    <row r="875" spans="1:20" ht="18" customHeight="1" x14ac:dyDescent="0.3">
      <c r="A875" s="2"/>
      <c r="B875" s="65" t="str">
        <f t="shared" si="65"/>
        <v/>
      </c>
      <c r="C875" s="65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66"/>
      <c r="F875" s="67"/>
      <c r="G875" s="60"/>
      <c r="H875" s="60"/>
      <c r="I875" s="61"/>
      <c r="J875" s="61"/>
      <c r="K875" s="61"/>
      <c r="L875" s="73" t="str">
        <f t="shared" si="66"/>
        <v/>
      </c>
      <c r="M875" s="65" t="str">
        <f t="shared" ca="1" si="67"/>
        <v/>
      </c>
      <c r="N875" s="74" t="str">
        <f>IF($C875="","",IF($C875="TANIMSIZ MÜŞTERİ","—",INDEX(MUSTERILER!$C$7:$C$156,MATCH($C875,MUSTERILER!$B$7:$B$156,0))))</f>
        <v/>
      </c>
      <c r="O875" s="2"/>
      <c r="P875" s="2"/>
      <c r="Q875" s="1" t="str">
        <f>IF($D875="","",$C875&amp;"|"&amp;COUNTIFS($C$7:$C875,$C875))</f>
        <v/>
      </c>
      <c r="R875" s="1" t="str">
        <f t="shared" si="68"/>
        <v/>
      </c>
      <c r="S875" s="1" t="str">
        <f t="shared" si="69"/>
        <v/>
      </c>
      <c r="T875" s="1">
        <f>IF($E875="",0,SUMPRODUCT((AY_SONU!$O$7:$O$42="Evet")*(AY_SONU!$B$7:$B$42=DATE(YEAR($E875),MONTH($E875),1))))</f>
        <v>0</v>
      </c>
    </row>
    <row r="876" spans="1:20" ht="18" customHeight="1" x14ac:dyDescent="0.3">
      <c r="A876" s="2"/>
      <c r="B876" s="65" t="str">
        <f t="shared" si="65"/>
        <v/>
      </c>
      <c r="C876" s="65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66"/>
      <c r="F876" s="67"/>
      <c r="G876" s="60"/>
      <c r="H876" s="60"/>
      <c r="I876" s="61"/>
      <c r="J876" s="61"/>
      <c r="K876" s="61"/>
      <c r="L876" s="73" t="str">
        <f t="shared" si="66"/>
        <v/>
      </c>
      <c r="M876" s="65" t="str">
        <f t="shared" ca="1" si="67"/>
        <v/>
      </c>
      <c r="N876" s="74" t="str">
        <f>IF($C876="","",IF($C876="TANIMSIZ MÜŞTERİ","—",INDEX(MUSTERILER!$C$7:$C$156,MATCH($C876,MUSTERILER!$B$7:$B$156,0))))</f>
        <v/>
      </c>
      <c r="O876" s="2"/>
      <c r="P876" s="2"/>
      <c r="Q876" s="1" t="str">
        <f>IF($D876="","",$C876&amp;"|"&amp;COUNTIFS($C$7:$C876,$C876))</f>
        <v/>
      </c>
      <c r="R876" s="1" t="str">
        <f t="shared" si="68"/>
        <v/>
      </c>
      <c r="S876" s="1" t="str">
        <f t="shared" si="69"/>
        <v/>
      </c>
      <c r="T876" s="1">
        <f>IF($E876="",0,SUMPRODUCT((AY_SONU!$O$7:$O$42="Evet")*(AY_SONU!$B$7:$B$42=DATE(YEAR($E876),MONTH($E876),1))))</f>
        <v>0</v>
      </c>
    </row>
    <row r="877" spans="1:20" ht="18" customHeight="1" x14ac:dyDescent="0.3">
      <c r="A877" s="2"/>
      <c r="B877" s="65" t="str">
        <f t="shared" si="65"/>
        <v/>
      </c>
      <c r="C877" s="65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66"/>
      <c r="F877" s="67"/>
      <c r="G877" s="60"/>
      <c r="H877" s="60"/>
      <c r="I877" s="61"/>
      <c r="J877" s="61"/>
      <c r="K877" s="61"/>
      <c r="L877" s="73" t="str">
        <f t="shared" si="66"/>
        <v/>
      </c>
      <c r="M877" s="65" t="str">
        <f t="shared" ca="1" si="67"/>
        <v/>
      </c>
      <c r="N877" s="74" t="str">
        <f>IF($C877="","",IF($C877="TANIMSIZ MÜŞTERİ","—",INDEX(MUSTERILER!$C$7:$C$156,MATCH($C877,MUSTERILER!$B$7:$B$156,0))))</f>
        <v/>
      </c>
      <c r="O877" s="2"/>
      <c r="P877" s="2"/>
      <c r="Q877" s="1" t="str">
        <f>IF($D877="","",$C877&amp;"|"&amp;COUNTIFS($C$7:$C877,$C877))</f>
        <v/>
      </c>
      <c r="R877" s="1" t="str">
        <f t="shared" si="68"/>
        <v/>
      </c>
      <c r="S877" s="1" t="str">
        <f t="shared" si="69"/>
        <v/>
      </c>
      <c r="T877" s="1">
        <f>IF($E877="",0,SUMPRODUCT((AY_SONU!$O$7:$O$42="Evet")*(AY_SONU!$B$7:$B$42=DATE(YEAR($E877),MONTH($E877),1))))</f>
        <v>0</v>
      </c>
    </row>
    <row r="878" spans="1:20" ht="18" customHeight="1" x14ac:dyDescent="0.3">
      <c r="A878" s="2"/>
      <c r="B878" s="65" t="str">
        <f t="shared" si="65"/>
        <v/>
      </c>
      <c r="C878" s="65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66"/>
      <c r="F878" s="67"/>
      <c r="G878" s="60"/>
      <c r="H878" s="60"/>
      <c r="I878" s="61"/>
      <c r="J878" s="61"/>
      <c r="K878" s="61"/>
      <c r="L878" s="73" t="str">
        <f t="shared" si="66"/>
        <v/>
      </c>
      <c r="M878" s="65" t="str">
        <f t="shared" ca="1" si="67"/>
        <v/>
      </c>
      <c r="N878" s="74" t="str">
        <f>IF($C878="","",IF($C878="TANIMSIZ MÜŞTERİ","—",INDEX(MUSTERILER!$C$7:$C$156,MATCH($C878,MUSTERILER!$B$7:$B$156,0))))</f>
        <v/>
      </c>
      <c r="O878" s="2"/>
      <c r="P878" s="2"/>
      <c r="Q878" s="1" t="str">
        <f>IF($D878="","",$C878&amp;"|"&amp;COUNTIFS($C$7:$C878,$C878))</f>
        <v/>
      </c>
      <c r="R878" s="1" t="str">
        <f t="shared" si="68"/>
        <v/>
      </c>
      <c r="S878" s="1" t="str">
        <f t="shared" si="69"/>
        <v/>
      </c>
      <c r="T878" s="1">
        <f>IF($E878="",0,SUMPRODUCT((AY_SONU!$O$7:$O$42="Evet")*(AY_SONU!$B$7:$B$42=DATE(YEAR($E878),MONTH($E878),1))))</f>
        <v>0</v>
      </c>
    </row>
    <row r="879" spans="1:20" ht="18" customHeight="1" x14ac:dyDescent="0.3">
      <c r="A879" s="2"/>
      <c r="B879" s="65" t="str">
        <f t="shared" si="65"/>
        <v/>
      </c>
      <c r="C879" s="65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66"/>
      <c r="F879" s="67"/>
      <c r="G879" s="60"/>
      <c r="H879" s="60"/>
      <c r="I879" s="61"/>
      <c r="J879" s="61"/>
      <c r="K879" s="61"/>
      <c r="L879" s="73" t="str">
        <f t="shared" si="66"/>
        <v/>
      </c>
      <c r="M879" s="65" t="str">
        <f t="shared" ca="1" si="67"/>
        <v/>
      </c>
      <c r="N879" s="74" t="str">
        <f>IF($C879="","",IF($C879="TANIMSIZ MÜŞTERİ","—",INDEX(MUSTERILER!$C$7:$C$156,MATCH($C879,MUSTERILER!$B$7:$B$156,0))))</f>
        <v/>
      </c>
      <c r="O879" s="2"/>
      <c r="P879" s="2"/>
      <c r="Q879" s="1" t="str">
        <f>IF($D879="","",$C879&amp;"|"&amp;COUNTIFS($C$7:$C879,$C879))</f>
        <v/>
      </c>
      <c r="R879" s="1" t="str">
        <f t="shared" si="68"/>
        <v/>
      </c>
      <c r="S879" s="1" t="str">
        <f t="shared" si="69"/>
        <v/>
      </c>
      <c r="T879" s="1">
        <f>IF($E879="",0,SUMPRODUCT((AY_SONU!$O$7:$O$42="Evet")*(AY_SONU!$B$7:$B$42=DATE(YEAR($E879),MONTH($E879),1))))</f>
        <v>0</v>
      </c>
    </row>
    <row r="880" spans="1:20" ht="18" customHeight="1" x14ac:dyDescent="0.3">
      <c r="A880" s="2"/>
      <c r="B880" s="65" t="str">
        <f t="shared" si="65"/>
        <v/>
      </c>
      <c r="C880" s="65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66"/>
      <c r="F880" s="67"/>
      <c r="G880" s="60"/>
      <c r="H880" s="60"/>
      <c r="I880" s="61"/>
      <c r="J880" s="61"/>
      <c r="K880" s="61"/>
      <c r="L880" s="73" t="str">
        <f t="shared" si="66"/>
        <v/>
      </c>
      <c r="M880" s="65" t="str">
        <f t="shared" ca="1" si="67"/>
        <v/>
      </c>
      <c r="N880" s="74" t="str">
        <f>IF($C880="","",IF($C880="TANIMSIZ MÜŞTERİ","—",INDEX(MUSTERILER!$C$7:$C$156,MATCH($C880,MUSTERILER!$B$7:$B$156,0))))</f>
        <v/>
      </c>
      <c r="O880" s="2"/>
      <c r="P880" s="2"/>
      <c r="Q880" s="1" t="str">
        <f>IF($D880="","",$C880&amp;"|"&amp;COUNTIFS($C$7:$C880,$C880))</f>
        <v/>
      </c>
      <c r="R880" s="1" t="str">
        <f t="shared" si="68"/>
        <v/>
      </c>
      <c r="S880" s="1" t="str">
        <f t="shared" si="69"/>
        <v/>
      </c>
      <c r="T880" s="1">
        <f>IF($E880="",0,SUMPRODUCT((AY_SONU!$O$7:$O$42="Evet")*(AY_SONU!$B$7:$B$42=DATE(YEAR($E880),MONTH($E880),1))))</f>
        <v>0</v>
      </c>
    </row>
    <row r="881" spans="1:20" ht="18" customHeight="1" x14ac:dyDescent="0.3">
      <c r="A881" s="2"/>
      <c r="B881" s="65" t="str">
        <f t="shared" si="65"/>
        <v/>
      </c>
      <c r="C881" s="65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66"/>
      <c r="F881" s="67"/>
      <c r="G881" s="60"/>
      <c r="H881" s="60"/>
      <c r="I881" s="61"/>
      <c r="J881" s="61"/>
      <c r="K881" s="61"/>
      <c r="L881" s="73" t="str">
        <f t="shared" si="66"/>
        <v/>
      </c>
      <c r="M881" s="65" t="str">
        <f t="shared" ca="1" si="67"/>
        <v/>
      </c>
      <c r="N881" s="74" t="str">
        <f>IF($C881="","",IF($C881="TANIMSIZ MÜŞTERİ","—",INDEX(MUSTERILER!$C$7:$C$156,MATCH($C881,MUSTERILER!$B$7:$B$156,0))))</f>
        <v/>
      </c>
      <c r="O881" s="2"/>
      <c r="P881" s="2"/>
      <c r="Q881" s="1" t="str">
        <f>IF($D881="","",$C881&amp;"|"&amp;COUNTIFS($C$7:$C881,$C881))</f>
        <v/>
      </c>
      <c r="R881" s="1" t="str">
        <f t="shared" si="68"/>
        <v/>
      </c>
      <c r="S881" s="1" t="str">
        <f t="shared" si="69"/>
        <v/>
      </c>
      <c r="T881" s="1">
        <f>IF($E881="",0,SUMPRODUCT((AY_SONU!$O$7:$O$42="Evet")*(AY_SONU!$B$7:$B$42=DATE(YEAR($E881),MONTH($E881),1))))</f>
        <v>0</v>
      </c>
    </row>
    <row r="882" spans="1:20" ht="18" customHeight="1" x14ac:dyDescent="0.3">
      <c r="A882" s="2"/>
      <c r="B882" s="65" t="str">
        <f t="shared" si="65"/>
        <v/>
      </c>
      <c r="C882" s="65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66"/>
      <c r="F882" s="67"/>
      <c r="G882" s="60"/>
      <c r="H882" s="60"/>
      <c r="I882" s="61"/>
      <c r="J882" s="61"/>
      <c r="K882" s="61"/>
      <c r="L882" s="73" t="str">
        <f t="shared" si="66"/>
        <v/>
      </c>
      <c r="M882" s="65" t="str">
        <f t="shared" ca="1" si="67"/>
        <v/>
      </c>
      <c r="N882" s="74" t="str">
        <f>IF($C882="","",IF($C882="TANIMSIZ MÜŞTERİ","—",INDEX(MUSTERILER!$C$7:$C$156,MATCH($C882,MUSTERILER!$B$7:$B$156,0))))</f>
        <v/>
      </c>
      <c r="O882" s="2"/>
      <c r="P882" s="2"/>
      <c r="Q882" s="1" t="str">
        <f>IF($D882="","",$C882&amp;"|"&amp;COUNTIFS($C$7:$C882,$C882))</f>
        <v/>
      </c>
      <c r="R882" s="1" t="str">
        <f t="shared" si="68"/>
        <v/>
      </c>
      <c r="S882" s="1" t="str">
        <f t="shared" si="69"/>
        <v/>
      </c>
      <c r="T882" s="1">
        <f>IF($E882="",0,SUMPRODUCT((AY_SONU!$O$7:$O$42="Evet")*(AY_SONU!$B$7:$B$42=DATE(YEAR($E882),MONTH($E882),1))))</f>
        <v>0</v>
      </c>
    </row>
    <row r="883" spans="1:20" ht="18" customHeight="1" x14ac:dyDescent="0.3">
      <c r="A883" s="2"/>
      <c r="B883" s="65" t="str">
        <f t="shared" si="65"/>
        <v/>
      </c>
      <c r="C883" s="65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66"/>
      <c r="F883" s="67"/>
      <c r="G883" s="60"/>
      <c r="H883" s="60"/>
      <c r="I883" s="61"/>
      <c r="J883" s="61"/>
      <c r="K883" s="61"/>
      <c r="L883" s="73" t="str">
        <f t="shared" si="66"/>
        <v/>
      </c>
      <c r="M883" s="65" t="str">
        <f t="shared" ca="1" si="67"/>
        <v/>
      </c>
      <c r="N883" s="74" t="str">
        <f>IF($C883="","",IF($C883="TANIMSIZ MÜŞTERİ","—",INDEX(MUSTERILER!$C$7:$C$156,MATCH($C883,MUSTERILER!$B$7:$B$156,0))))</f>
        <v/>
      </c>
      <c r="O883" s="2"/>
      <c r="P883" s="2"/>
      <c r="Q883" s="1" t="str">
        <f>IF($D883="","",$C883&amp;"|"&amp;COUNTIFS($C$7:$C883,$C883))</f>
        <v/>
      </c>
      <c r="R883" s="1" t="str">
        <f t="shared" si="68"/>
        <v/>
      </c>
      <c r="S883" s="1" t="str">
        <f t="shared" si="69"/>
        <v/>
      </c>
      <c r="T883" s="1">
        <f>IF($E883="",0,SUMPRODUCT((AY_SONU!$O$7:$O$42="Evet")*(AY_SONU!$B$7:$B$42=DATE(YEAR($E883),MONTH($E883),1))))</f>
        <v>0</v>
      </c>
    </row>
    <row r="884" spans="1:20" ht="18" customHeight="1" x14ac:dyDescent="0.3">
      <c r="A884" s="2"/>
      <c r="B884" s="65" t="str">
        <f t="shared" si="65"/>
        <v/>
      </c>
      <c r="C884" s="65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66"/>
      <c r="F884" s="67"/>
      <c r="G884" s="60"/>
      <c r="H884" s="60"/>
      <c r="I884" s="61"/>
      <c r="J884" s="61"/>
      <c r="K884" s="61"/>
      <c r="L884" s="73" t="str">
        <f t="shared" si="66"/>
        <v/>
      </c>
      <c r="M884" s="65" t="str">
        <f t="shared" ca="1" si="67"/>
        <v/>
      </c>
      <c r="N884" s="74" t="str">
        <f>IF($C884="","",IF($C884="TANIMSIZ MÜŞTERİ","—",INDEX(MUSTERILER!$C$7:$C$156,MATCH($C884,MUSTERILER!$B$7:$B$156,0))))</f>
        <v/>
      </c>
      <c r="O884" s="2"/>
      <c r="P884" s="2"/>
      <c r="Q884" s="1" t="str">
        <f>IF($D884="","",$C884&amp;"|"&amp;COUNTIFS($C$7:$C884,$C884))</f>
        <v/>
      </c>
      <c r="R884" s="1" t="str">
        <f t="shared" si="68"/>
        <v/>
      </c>
      <c r="S884" s="1" t="str">
        <f t="shared" si="69"/>
        <v/>
      </c>
      <c r="T884" s="1">
        <f>IF($E884="",0,SUMPRODUCT((AY_SONU!$O$7:$O$42="Evet")*(AY_SONU!$B$7:$B$42=DATE(YEAR($E884),MONTH($E884),1))))</f>
        <v>0</v>
      </c>
    </row>
    <row r="885" spans="1:20" ht="18" customHeight="1" x14ac:dyDescent="0.3">
      <c r="A885" s="2"/>
      <c r="B885" s="65" t="str">
        <f t="shared" si="65"/>
        <v/>
      </c>
      <c r="C885" s="65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66"/>
      <c r="F885" s="67"/>
      <c r="G885" s="60"/>
      <c r="H885" s="60"/>
      <c r="I885" s="61"/>
      <c r="J885" s="61"/>
      <c r="K885" s="61"/>
      <c r="L885" s="73" t="str">
        <f t="shared" si="66"/>
        <v/>
      </c>
      <c r="M885" s="65" t="str">
        <f t="shared" ca="1" si="67"/>
        <v/>
      </c>
      <c r="N885" s="74" t="str">
        <f>IF($C885="","",IF($C885="TANIMSIZ MÜŞTERİ","—",INDEX(MUSTERILER!$C$7:$C$156,MATCH($C885,MUSTERILER!$B$7:$B$156,0))))</f>
        <v/>
      </c>
      <c r="O885" s="2"/>
      <c r="P885" s="2"/>
      <c r="Q885" s="1" t="str">
        <f>IF($D885="","",$C885&amp;"|"&amp;COUNTIFS($C$7:$C885,$C885))</f>
        <v/>
      </c>
      <c r="R885" s="1" t="str">
        <f t="shared" si="68"/>
        <v/>
      </c>
      <c r="S885" s="1" t="str">
        <f t="shared" si="69"/>
        <v/>
      </c>
      <c r="T885" s="1">
        <f>IF($E885="",0,SUMPRODUCT((AY_SONU!$O$7:$O$42="Evet")*(AY_SONU!$B$7:$B$42=DATE(YEAR($E885),MONTH($E885),1))))</f>
        <v>0</v>
      </c>
    </row>
    <row r="886" spans="1:20" ht="18" customHeight="1" x14ac:dyDescent="0.3">
      <c r="A886" s="2"/>
      <c r="B886" s="65" t="str">
        <f t="shared" si="65"/>
        <v/>
      </c>
      <c r="C886" s="65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66"/>
      <c r="F886" s="67"/>
      <c r="G886" s="60"/>
      <c r="H886" s="60"/>
      <c r="I886" s="61"/>
      <c r="J886" s="61"/>
      <c r="K886" s="61"/>
      <c r="L886" s="73" t="str">
        <f t="shared" si="66"/>
        <v/>
      </c>
      <c r="M886" s="65" t="str">
        <f t="shared" ca="1" si="67"/>
        <v/>
      </c>
      <c r="N886" s="74" t="str">
        <f>IF($C886="","",IF($C886="TANIMSIZ MÜŞTERİ","—",INDEX(MUSTERILER!$C$7:$C$156,MATCH($C886,MUSTERILER!$B$7:$B$156,0))))</f>
        <v/>
      </c>
      <c r="O886" s="2"/>
      <c r="P886" s="2"/>
      <c r="Q886" s="1" t="str">
        <f>IF($D886="","",$C886&amp;"|"&amp;COUNTIFS($C$7:$C886,$C886))</f>
        <v/>
      </c>
      <c r="R886" s="1" t="str">
        <f t="shared" si="68"/>
        <v/>
      </c>
      <c r="S886" s="1" t="str">
        <f t="shared" si="69"/>
        <v/>
      </c>
      <c r="T886" s="1">
        <f>IF($E886="",0,SUMPRODUCT((AY_SONU!$O$7:$O$42="Evet")*(AY_SONU!$B$7:$B$42=DATE(YEAR($E886),MONTH($E886),1))))</f>
        <v>0</v>
      </c>
    </row>
    <row r="887" spans="1:20" ht="18" customHeight="1" x14ac:dyDescent="0.3">
      <c r="A887" s="2"/>
      <c r="B887" s="65" t="str">
        <f t="shared" si="65"/>
        <v/>
      </c>
      <c r="C887" s="65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66"/>
      <c r="F887" s="67"/>
      <c r="G887" s="60"/>
      <c r="H887" s="60"/>
      <c r="I887" s="61"/>
      <c r="J887" s="61"/>
      <c r="K887" s="61"/>
      <c r="L887" s="73" t="str">
        <f t="shared" si="66"/>
        <v/>
      </c>
      <c r="M887" s="65" t="str">
        <f t="shared" ca="1" si="67"/>
        <v/>
      </c>
      <c r="N887" s="74" t="str">
        <f>IF($C887="","",IF($C887="TANIMSIZ MÜŞTERİ","—",INDEX(MUSTERILER!$C$7:$C$156,MATCH($C887,MUSTERILER!$B$7:$B$156,0))))</f>
        <v/>
      </c>
      <c r="O887" s="2"/>
      <c r="P887" s="2"/>
      <c r="Q887" s="1" t="str">
        <f>IF($D887="","",$C887&amp;"|"&amp;COUNTIFS($C$7:$C887,$C887))</f>
        <v/>
      </c>
      <c r="R887" s="1" t="str">
        <f t="shared" si="68"/>
        <v/>
      </c>
      <c r="S887" s="1" t="str">
        <f t="shared" si="69"/>
        <v/>
      </c>
      <c r="T887" s="1">
        <f>IF($E887="",0,SUMPRODUCT((AY_SONU!$O$7:$O$42="Evet")*(AY_SONU!$B$7:$B$42=DATE(YEAR($E887),MONTH($E887),1))))</f>
        <v>0</v>
      </c>
    </row>
    <row r="888" spans="1:20" ht="18" customHeight="1" x14ac:dyDescent="0.3">
      <c r="A888" s="2"/>
      <c r="B888" s="65" t="str">
        <f t="shared" si="65"/>
        <v/>
      </c>
      <c r="C888" s="65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66"/>
      <c r="F888" s="67"/>
      <c r="G888" s="60"/>
      <c r="H888" s="60"/>
      <c r="I888" s="61"/>
      <c r="J888" s="61"/>
      <c r="K888" s="61"/>
      <c r="L888" s="73" t="str">
        <f t="shared" si="66"/>
        <v/>
      </c>
      <c r="M888" s="65" t="str">
        <f t="shared" ca="1" si="67"/>
        <v/>
      </c>
      <c r="N888" s="74" t="str">
        <f>IF($C888="","",IF($C888="TANIMSIZ MÜŞTERİ","—",INDEX(MUSTERILER!$C$7:$C$156,MATCH($C888,MUSTERILER!$B$7:$B$156,0))))</f>
        <v/>
      </c>
      <c r="O888" s="2"/>
      <c r="P888" s="2"/>
      <c r="Q888" s="1" t="str">
        <f>IF($D888="","",$C888&amp;"|"&amp;COUNTIFS($C$7:$C888,$C888))</f>
        <v/>
      </c>
      <c r="R888" s="1" t="str">
        <f t="shared" si="68"/>
        <v/>
      </c>
      <c r="S888" s="1" t="str">
        <f t="shared" si="69"/>
        <v/>
      </c>
      <c r="T888" s="1">
        <f>IF($E888="",0,SUMPRODUCT((AY_SONU!$O$7:$O$42="Evet")*(AY_SONU!$B$7:$B$42=DATE(YEAR($E888),MONTH($E888),1))))</f>
        <v>0</v>
      </c>
    </row>
    <row r="889" spans="1:20" ht="18" customHeight="1" x14ac:dyDescent="0.3">
      <c r="A889" s="2"/>
      <c r="B889" s="65" t="str">
        <f t="shared" si="65"/>
        <v/>
      </c>
      <c r="C889" s="65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66"/>
      <c r="F889" s="67"/>
      <c r="G889" s="60"/>
      <c r="H889" s="60"/>
      <c r="I889" s="61"/>
      <c r="J889" s="61"/>
      <c r="K889" s="61"/>
      <c r="L889" s="73" t="str">
        <f t="shared" si="66"/>
        <v/>
      </c>
      <c r="M889" s="65" t="str">
        <f t="shared" ca="1" si="67"/>
        <v/>
      </c>
      <c r="N889" s="74" t="str">
        <f>IF($C889="","",IF($C889="TANIMSIZ MÜŞTERİ","—",INDEX(MUSTERILER!$C$7:$C$156,MATCH($C889,MUSTERILER!$B$7:$B$156,0))))</f>
        <v/>
      </c>
      <c r="O889" s="2"/>
      <c r="P889" s="2"/>
      <c r="Q889" s="1" t="str">
        <f>IF($D889="","",$C889&amp;"|"&amp;COUNTIFS($C$7:$C889,$C889))</f>
        <v/>
      </c>
      <c r="R889" s="1" t="str">
        <f t="shared" si="68"/>
        <v/>
      </c>
      <c r="S889" s="1" t="str">
        <f t="shared" si="69"/>
        <v/>
      </c>
      <c r="T889" s="1">
        <f>IF($E889="",0,SUMPRODUCT((AY_SONU!$O$7:$O$42="Evet")*(AY_SONU!$B$7:$B$42=DATE(YEAR($E889),MONTH($E889),1))))</f>
        <v>0</v>
      </c>
    </row>
    <row r="890" spans="1:20" ht="18" customHeight="1" x14ac:dyDescent="0.3">
      <c r="A890" s="2"/>
      <c r="B890" s="65" t="str">
        <f t="shared" si="65"/>
        <v/>
      </c>
      <c r="C890" s="65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66"/>
      <c r="F890" s="67"/>
      <c r="G890" s="60"/>
      <c r="H890" s="60"/>
      <c r="I890" s="61"/>
      <c r="J890" s="61"/>
      <c r="K890" s="61"/>
      <c r="L890" s="73" t="str">
        <f t="shared" si="66"/>
        <v/>
      </c>
      <c r="M890" s="65" t="str">
        <f t="shared" ca="1" si="67"/>
        <v/>
      </c>
      <c r="N890" s="74" t="str">
        <f>IF($C890="","",IF($C890="TANIMSIZ MÜŞTERİ","—",INDEX(MUSTERILER!$C$7:$C$156,MATCH($C890,MUSTERILER!$B$7:$B$156,0))))</f>
        <v/>
      </c>
      <c r="O890" s="2"/>
      <c r="P890" s="2"/>
      <c r="Q890" s="1" t="str">
        <f>IF($D890="","",$C890&amp;"|"&amp;COUNTIFS($C$7:$C890,$C890))</f>
        <v/>
      </c>
      <c r="R890" s="1" t="str">
        <f t="shared" si="68"/>
        <v/>
      </c>
      <c r="S890" s="1" t="str">
        <f t="shared" si="69"/>
        <v/>
      </c>
      <c r="T890" s="1">
        <f>IF($E890="",0,SUMPRODUCT((AY_SONU!$O$7:$O$42="Evet")*(AY_SONU!$B$7:$B$42=DATE(YEAR($E890),MONTH($E890),1))))</f>
        <v>0</v>
      </c>
    </row>
    <row r="891" spans="1:20" ht="18" customHeight="1" x14ac:dyDescent="0.3">
      <c r="A891" s="2"/>
      <c r="B891" s="65" t="str">
        <f t="shared" si="65"/>
        <v/>
      </c>
      <c r="C891" s="65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66"/>
      <c r="F891" s="67"/>
      <c r="G891" s="60"/>
      <c r="H891" s="60"/>
      <c r="I891" s="61"/>
      <c r="J891" s="61"/>
      <c r="K891" s="61"/>
      <c r="L891" s="73" t="str">
        <f t="shared" si="66"/>
        <v/>
      </c>
      <c r="M891" s="65" t="str">
        <f t="shared" ca="1" si="67"/>
        <v/>
      </c>
      <c r="N891" s="74" t="str">
        <f>IF($C891="","",IF($C891="TANIMSIZ MÜŞTERİ","—",INDEX(MUSTERILER!$C$7:$C$156,MATCH($C891,MUSTERILER!$B$7:$B$156,0))))</f>
        <v/>
      </c>
      <c r="O891" s="2"/>
      <c r="P891" s="2"/>
      <c r="Q891" s="1" t="str">
        <f>IF($D891="","",$C891&amp;"|"&amp;COUNTIFS($C$7:$C891,$C891))</f>
        <v/>
      </c>
      <c r="R891" s="1" t="str">
        <f t="shared" si="68"/>
        <v/>
      </c>
      <c r="S891" s="1" t="str">
        <f t="shared" si="69"/>
        <v/>
      </c>
      <c r="T891" s="1">
        <f>IF($E891="",0,SUMPRODUCT((AY_SONU!$O$7:$O$42="Evet")*(AY_SONU!$B$7:$B$42=DATE(YEAR($E891),MONTH($E891),1))))</f>
        <v>0</v>
      </c>
    </row>
    <row r="892" spans="1:20" ht="18" customHeight="1" x14ac:dyDescent="0.3">
      <c r="A892" s="2"/>
      <c r="B892" s="65" t="str">
        <f t="shared" si="65"/>
        <v/>
      </c>
      <c r="C892" s="65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66"/>
      <c r="F892" s="67"/>
      <c r="G892" s="60"/>
      <c r="H892" s="60"/>
      <c r="I892" s="61"/>
      <c r="J892" s="61"/>
      <c r="K892" s="61"/>
      <c r="L892" s="73" t="str">
        <f t="shared" si="66"/>
        <v/>
      </c>
      <c r="M892" s="65" t="str">
        <f t="shared" ca="1" si="67"/>
        <v/>
      </c>
      <c r="N892" s="74" t="str">
        <f>IF($C892="","",IF($C892="TANIMSIZ MÜŞTERİ","—",INDEX(MUSTERILER!$C$7:$C$156,MATCH($C892,MUSTERILER!$B$7:$B$156,0))))</f>
        <v/>
      </c>
      <c r="O892" s="2"/>
      <c r="P892" s="2"/>
      <c r="Q892" s="1" t="str">
        <f>IF($D892="","",$C892&amp;"|"&amp;COUNTIFS($C$7:$C892,$C892))</f>
        <v/>
      </c>
      <c r="R892" s="1" t="str">
        <f t="shared" si="68"/>
        <v/>
      </c>
      <c r="S892" s="1" t="str">
        <f t="shared" si="69"/>
        <v/>
      </c>
      <c r="T892" s="1">
        <f>IF($E892="",0,SUMPRODUCT((AY_SONU!$O$7:$O$42="Evet")*(AY_SONU!$B$7:$B$42=DATE(YEAR($E892),MONTH($E892),1))))</f>
        <v>0</v>
      </c>
    </row>
    <row r="893" spans="1:20" ht="18" customHeight="1" x14ac:dyDescent="0.3">
      <c r="A893" s="2"/>
      <c r="B893" s="65" t="str">
        <f t="shared" si="65"/>
        <v/>
      </c>
      <c r="C893" s="65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66"/>
      <c r="F893" s="67"/>
      <c r="G893" s="60"/>
      <c r="H893" s="60"/>
      <c r="I893" s="61"/>
      <c r="J893" s="61"/>
      <c r="K893" s="61"/>
      <c r="L893" s="73" t="str">
        <f t="shared" si="66"/>
        <v/>
      </c>
      <c r="M893" s="65" t="str">
        <f t="shared" ca="1" si="67"/>
        <v/>
      </c>
      <c r="N893" s="74" t="str">
        <f>IF($C893="","",IF($C893="TANIMSIZ MÜŞTERİ","—",INDEX(MUSTERILER!$C$7:$C$156,MATCH($C893,MUSTERILER!$B$7:$B$156,0))))</f>
        <v/>
      </c>
      <c r="O893" s="2"/>
      <c r="P893" s="2"/>
      <c r="Q893" s="1" t="str">
        <f>IF($D893="","",$C893&amp;"|"&amp;COUNTIFS($C$7:$C893,$C893))</f>
        <v/>
      </c>
      <c r="R893" s="1" t="str">
        <f t="shared" si="68"/>
        <v/>
      </c>
      <c r="S893" s="1" t="str">
        <f t="shared" si="69"/>
        <v/>
      </c>
      <c r="T893" s="1">
        <f>IF($E893="",0,SUMPRODUCT((AY_SONU!$O$7:$O$42="Evet")*(AY_SONU!$B$7:$B$42=DATE(YEAR($E893),MONTH($E893),1))))</f>
        <v>0</v>
      </c>
    </row>
    <row r="894" spans="1:20" ht="18" customHeight="1" x14ac:dyDescent="0.3">
      <c r="A894" s="2"/>
      <c r="B894" s="65" t="str">
        <f t="shared" si="65"/>
        <v/>
      </c>
      <c r="C894" s="65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66"/>
      <c r="F894" s="67"/>
      <c r="G894" s="60"/>
      <c r="H894" s="60"/>
      <c r="I894" s="61"/>
      <c r="J894" s="61"/>
      <c r="K894" s="61"/>
      <c r="L894" s="73" t="str">
        <f t="shared" si="66"/>
        <v/>
      </c>
      <c r="M894" s="65" t="str">
        <f t="shared" ca="1" si="67"/>
        <v/>
      </c>
      <c r="N894" s="74" t="str">
        <f>IF($C894="","",IF($C894="TANIMSIZ MÜŞTERİ","—",INDEX(MUSTERILER!$C$7:$C$156,MATCH($C894,MUSTERILER!$B$7:$B$156,0))))</f>
        <v/>
      </c>
      <c r="O894" s="2"/>
      <c r="P894" s="2"/>
      <c r="Q894" s="1" t="str">
        <f>IF($D894="","",$C894&amp;"|"&amp;COUNTIFS($C$7:$C894,$C894))</f>
        <v/>
      </c>
      <c r="R894" s="1" t="str">
        <f t="shared" si="68"/>
        <v/>
      </c>
      <c r="S894" s="1" t="str">
        <f t="shared" si="69"/>
        <v/>
      </c>
      <c r="T894" s="1">
        <f>IF($E894="",0,SUMPRODUCT((AY_SONU!$O$7:$O$42="Evet")*(AY_SONU!$B$7:$B$42=DATE(YEAR($E894),MONTH($E894),1))))</f>
        <v>0</v>
      </c>
    </row>
    <row r="895" spans="1:20" ht="18" customHeight="1" x14ac:dyDescent="0.3">
      <c r="A895" s="2"/>
      <c r="B895" s="65" t="str">
        <f t="shared" si="65"/>
        <v/>
      </c>
      <c r="C895" s="65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66"/>
      <c r="F895" s="67"/>
      <c r="G895" s="60"/>
      <c r="H895" s="60"/>
      <c r="I895" s="61"/>
      <c r="J895" s="61"/>
      <c r="K895" s="61"/>
      <c r="L895" s="73" t="str">
        <f t="shared" si="66"/>
        <v/>
      </c>
      <c r="M895" s="65" t="str">
        <f t="shared" ca="1" si="67"/>
        <v/>
      </c>
      <c r="N895" s="74" t="str">
        <f>IF($C895="","",IF($C895="TANIMSIZ MÜŞTERİ","—",INDEX(MUSTERILER!$C$7:$C$156,MATCH($C895,MUSTERILER!$B$7:$B$156,0))))</f>
        <v/>
      </c>
      <c r="O895" s="2"/>
      <c r="P895" s="2"/>
      <c r="Q895" s="1" t="str">
        <f>IF($D895="","",$C895&amp;"|"&amp;COUNTIFS($C$7:$C895,$C895))</f>
        <v/>
      </c>
      <c r="R895" s="1" t="str">
        <f t="shared" si="68"/>
        <v/>
      </c>
      <c r="S895" s="1" t="str">
        <f t="shared" si="69"/>
        <v/>
      </c>
      <c r="T895" s="1">
        <f>IF($E895="",0,SUMPRODUCT((AY_SONU!$O$7:$O$42="Evet")*(AY_SONU!$B$7:$B$42=DATE(YEAR($E895),MONTH($E895),1))))</f>
        <v>0</v>
      </c>
    </row>
    <row r="896" spans="1:20" ht="18" customHeight="1" x14ac:dyDescent="0.3">
      <c r="A896" s="2"/>
      <c r="B896" s="65" t="str">
        <f t="shared" si="65"/>
        <v/>
      </c>
      <c r="C896" s="65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66"/>
      <c r="F896" s="67"/>
      <c r="G896" s="60"/>
      <c r="H896" s="60"/>
      <c r="I896" s="61"/>
      <c r="J896" s="61"/>
      <c r="K896" s="61"/>
      <c r="L896" s="73" t="str">
        <f t="shared" si="66"/>
        <v/>
      </c>
      <c r="M896" s="65" t="str">
        <f t="shared" ca="1" si="67"/>
        <v/>
      </c>
      <c r="N896" s="74" t="str">
        <f>IF($C896="","",IF($C896="TANIMSIZ MÜŞTERİ","—",INDEX(MUSTERILER!$C$7:$C$156,MATCH($C896,MUSTERILER!$B$7:$B$156,0))))</f>
        <v/>
      </c>
      <c r="O896" s="2"/>
      <c r="P896" s="2"/>
      <c r="Q896" s="1" t="str">
        <f>IF($D896="","",$C896&amp;"|"&amp;COUNTIFS($C$7:$C896,$C896))</f>
        <v/>
      </c>
      <c r="R896" s="1" t="str">
        <f t="shared" si="68"/>
        <v/>
      </c>
      <c r="S896" s="1" t="str">
        <f t="shared" si="69"/>
        <v/>
      </c>
      <c r="T896" s="1">
        <f>IF($E896="",0,SUMPRODUCT((AY_SONU!$O$7:$O$42="Evet")*(AY_SONU!$B$7:$B$42=DATE(YEAR($E896),MONTH($E896),1))))</f>
        <v>0</v>
      </c>
    </row>
    <row r="897" spans="1:20" ht="18" customHeight="1" x14ac:dyDescent="0.3">
      <c r="A897" s="2"/>
      <c r="B897" s="65" t="str">
        <f t="shared" si="65"/>
        <v/>
      </c>
      <c r="C897" s="65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66"/>
      <c r="F897" s="67"/>
      <c r="G897" s="60"/>
      <c r="H897" s="60"/>
      <c r="I897" s="61"/>
      <c r="J897" s="61"/>
      <c r="K897" s="61"/>
      <c r="L897" s="73" t="str">
        <f t="shared" si="66"/>
        <v/>
      </c>
      <c r="M897" s="65" t="str">
        <f t="shared" ca="1" si="67"/>
        <v/>
      </c>
      <c r="N897" s="74" t="str">
        <f>IF($C897="","",IF($C897="TANIMSIZ MÜŞTERİ","—",INDEX(MUSTERILER!$C$7:$C$156,MATCH($C897,MUSTERILER!$B$7:$B$156,0))))</f>
        <v/>
      </c>
      <c r="O897" s="2"/>
      <c r="P897" s="2"/>
      <c r="Q897" s="1" t="str">
        <f>IF($D897="","",$C897&amp;"|"&amp;COUNTIFS($C$7:$C897,$C897))</f>
        <v/>
      </c>
      <c r="R897" s="1" t="str">
        <f t="shared" si="68"/>
        <v/>
      </c>
      <c r="S897" s="1" t="str">
        <f t="shared" si="69"/>
        <v/>
      </c>
      <c r="T897" s="1">
        <f>IF($E897="",0,SUMPRODUCT((AY_SONU!$O$7:$O$42="Evet")*(AY_SONU!$B$7:$B$42=DATE(YEAR($E897),MONTH($E897),1))))</f>
        <v>0</v>
      </c>
    </row>
    <row r="898" spans="1:20" ht="18" customHeight="1" x14ac:dyDescent="0.3">
      <c r="A898" s="2"/>
      <c r="B898" s="65" t="str">
        <f t="shared" si="65"/>
        <v/>
      </c>
      <c r="C898" s="65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66"/>
      <c r="F898" s="67"/>
      <c r="G898" s="60"/>
      <c r="H898" s="60"/>
      <c r="I898" s="61"/>
      <c r="J898" s="61"/>
      <c r="K898" s="61"/>
      <c r="L898" s="73" t="str">
        <f t="shared" si="66"/>
        <v/>
      </c>
      <c r="M898" s="65" t="str">
        <f t="shared" ca="1" si="67"/>
        <v/>
      </c>
      <c r="N898" s="74" t="str">
        <f>IF($C898="","",IF($C898="TANIMSIZ MÜŞTERİ","—",INDEX(MUSTERILER!$C$7:$C$156,MATCH($C898,MUSTERILER!$B$7:$B$156,0))))</f>
        <v/>
      </c>
      <c r="O898" s="2"/>
      <c r="P898" s="2"/>
      <c r="Q898" s="1" t="str">
        <f>IF($D898="","",$C898&amp;"|"&amp;COUNTIFS($C$7:$C898,$C898))</f>
        <v/>
      </c>
      <c r="R898" s="1" t="str">
        <f t="shared" si="68"/>
        <v/>
      </c>
      <c r="S898" s="1" t="str">
        <f t="shared" si="69"/>
        <v/>
      </c>
      <c r="T898" s="1">
        <f>IF($E898="",0,SUMPRODUCT((AY_SONU!$O$7:$O$42="Evet")*(AY_SONU!$B$7:$B$42=DATE(YEAR($E898),MONTH($E898),1))))</f>
        <v>0</v>
      </c>
    </row>
    <row r="899" spans="1:20" ht="18" customHeight="1" x14ac:dyDescent="0.3">
      <c r="A899" s="2"/>
      <c r="B899" s="65" t="str">
        <f t="shared" si="65"/>
        <v/>
      </c>
      <c r="C899" s="65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66"/>
      <c r="F899" s="67"/>
      <c r="G899" s="60"/>
      <c r="H899" s="60"/>
      <c r="I899" s="61"/>
      <c r="J899" s="61"/>
      <c r="K899" s="61"/>
      <c r="L899" s="73" t="str">
        <f t="shared" si="66"/>
        <v/>
      </c>
      <c r="M899" s="65" t="str">
        <f t="shared" ca="1" si="67"/>
        <v/>
      </c>
      <c r="N899" s="74" t="str">
        <f>IF($C899="","",IF($C899="TANIMSIZ MÜŞTERİ","—",INDEX(MUSTERILER!$C$7:$C$156,MATCH($C899,MUSTERILER!$B$7:$B$156,0))))</f>
        <v/>
      </c>
      <c r="O899" s="2"/>
      <c r="P899" s="2"/>
      <c r="Q899" s="1" t="str">
        <f>IF($D899="","",$C899&amp;"|"&amp;COUNTIFS($C$7:$C899,$C899))</f>
        <v/>
      </c>
      <c r="R899" s="1" t="str">
        <f t="shared" si="68"/>
        <v/>
      </c>
      <c r="S899" s="1" t="str">
        <f t="shared" si="69"/>
        <v/>
      </c>
      <c r="T899" s="1">
        <f>IF($E899="",0,SUMPRODUCT((AY_SONU!$O$7:$O$42="Evet")*(AY_SONU!$B$7:$B$42=DATE(YEAR($E899),MONTH($E899),1))))</f>
        <v>0</v>
      </c>
    </row>
    <row r="900" spans="1:20" ht="18" customHeight="1" x14ac:dyDescent="0.3">
      <c r="A900" s="2"/>
      <c r="B900" s="65" t="str">
        <f t="shared" si="65"/>
        <v/>
      </c>
      <c r="C900" s="65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66"/>
      <c r="F900" s="67"/>
      <c r="G900" s="60"/>
      <c r="H900" s="60"/>
      <c r="I900" s="61"/>
      <c r="J900" s="61"/>
      <c r="K900" s="61"/>
      <c r="L900" s="73" t="str">
        <f t="shared" si="66"/>
        <v/>
      </c>
      <c r="M900" s="65" t="str">
        <f t="shared" ca="1" si="67"/>
        <v/>
      </c>
      <c r="N900" s="74" t="str">
        <f>IF($C900="","",IF($C900="TANIMSIZ MÜŞTERİ","—",INDEX(MUSTERILER!$C$7:$C$156,MATCH($C900,MUSTERILER!$B$7:$B$156,0))))</f>
        <v/>
      </c>
      <c r="O900" s="2"/>
      <c r="P900" s="2"/>
      <c r="Q900" s="1" t="str">
        <f>IF($D900="","",$C900&amp;"|"&amp;COUNTIFS($C$7:$C900,$C900))</f>
        <v/>
      </c>
      <c r="R900" s="1" t="str">
        <f t="shared" si="68"/>
        <v/>
      </c>
      <c r="S900" s="1" t="str">
        <f t="shared" si="69"/>
        <v/>
      </c>
      <c r="T900" s="1">
        <f>IF($E900="",0,SUMPRODUCT((AY_SONU!$O$7:$O$42="Evet")*(AY_SONU!$B$7:$B$42=DATE(YEAR($E900),MONTH($E900),1))))</f>
        <v>0</v>
      </c>
    </row>
    <row r="901" spans="1:20" ht="18" customHeight="1" x14ac:dyDescent="0.3">
      <c r="A901" s="2"/>
      <c r="B901" s="65" t="str">
        <f t="shared" si="65"/>
        <v/>
      </c>
      <c r="C901" s="65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66"/>
      <c r="F901" s="67"/>
      <c r="G901" s="60"/>
      <c r="H901" s="60"/>
      <c r="I901" s="61"/>
      <c r="J901" s="61"/>
      <c r="K901" s="61"/>
      <c r="L901" s="73" t="str">
        <f t="shared" si="66"/>
        <v/>
      </c>
      <c r="M901" s="65" t="str">
        <f t="shared" ca="1" si="67"/>
        <v/>
      </c>
      <c r="N901" s="74" t="str">
        <f>IF($C901="","",IF($C901="TANIMSIZ MÜŞTERİ","—",INDEX(MUSTERILER!$C$7:$C$156,MATCH($C901,MUSTERILER!$B$7:$B$156,0))))</f>
        <v/>
      </c>
      <c r="O901" s="2"/>
      <c r="P901" s="2"/>
      <c r="Q901" s="1" t="str">
        <f>IF($D901="","",$C901&amp;"|"&amp;COUNTIFS($C$7:$C901,$C901))</f>
        <v/>
      </c>
      <c r="R901" s="1" t="str">
        <f t="shared" si="68"/>
        <v/>
      </c>
      <c r="S901" s="1" t="str">
        <f t="shared" si="69"/>
        <v/>
      </c>
      <c r="T901" s="1">
        <f>IF($E901="",0,SUMPRODUCT((AY_SONU!$O$7:$O$42="Evet")*(AY_SONU!$B$7:$B$42=DATE(YEAR($E901),MONTH($E901),1))))</f>
        <v>0</v>
      </c>
    </row>
    <row r="902" spans="1:20" ht="18" customHeight="1" x14ac:dyDescent="0.3">
      <c r="A902" s="2"/>
      <c r="B902" s="65" t="str">
        <f t="shared" si="65"/>
        <v/>
      </c>
      <c r="C902" s="65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66"/>
      <c r="F902" s="67"/>
      <c r="G902" s="60"/>
      <c r="H902" s="60"/>
      <c r="I902" s="61"/>
      <c r="J902" s="61"/>
      <c r="K902" s="61"/>
      <c r="L902" s="73" t="str">
        <f t="shared" si="66"/>
        <v/>
      </c>
      <c r="M902" s="65" t="str">
        <f t="shared" ca="1" si="67"/>
        <v/>
      </c>
      <c r="N902" s="74" t="str">
        <f>IF($C902="","",IF($C902="TANIMSIZ MÜŞTERİ","—",INDEX(MUSTERILER!$C$7:$C$156,MATCH($C902,MUSTERILER!$B$7:$B$156,0))))</f>
        <v/>
      </c>
      <c r="O902" s="2"/>
      <c r="P902" s="2"/>
      <c r="Q902" s="1" t="str">
        <f>IF($D902="","",$C902&amp;"|"&amp;COUNTIFS($C$7:$C902,$C902))</f>
        <v/>
      </c>
      <c r="R902" s="1" t="str">
        <f t="shared" si="68"/>
        <v/>
      </c>
      <c r="S902" s="1" t="str">
        <f t="shared" si="69"/>
        <v/>
      </c>
      <c r="T902" s="1">
        <f>IF($E902="",0,SUMPRODUCT((AY_SONU!$O$7:$O$42="Evet")*(AY_SONU!$B$7:$B$42=DATE(YEAR($E902),MONTH($E902),1))))</f>
        <v>0</v>
      </c>
    </row>
    <row r="903" spans="1:20" ht="18" customHeight="1" x14ac:dyDescent="0.3">
      <c r="A903" s="2"/>
      <c r="B903" s="65" t="str">
        <f t="shared" ref="B903:B966" si="70">IF($D903="","","T"&amp;TEXT(ROW()-6,"00000"))</f>
        <v/>
      </c>
      <c r="C903" s="65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66"/>
      <c r="F903" s="67"/>
      <c r="G903" s="60"/>
      <c r="H903" s="60"/>
      <c r="I903" s="61"/>
      <c r="J903" s="61"/>
      <c r="K903" s="61"/>
      <c r="L903" s="73" t="str">
        <f t="shared" ref="L903:L966" si="71">IF($E903="","",DATE(YEAR($E903),MONTH($E903),1))</f>
        <v/>
      </c>
      <c r="M903" s="65" t="str">
        <f t="shared" ref="M903:M966" ca="1" si="72">IF($D903="","",IF($C903="TANIMSIZ MÜŞTERİ","HATA",IF(OR($E903="",$F903&lt;=0,$G903=""),"EKSİK",IF($E903&gt;TODAY(),"İLERİ TARİH",IF(COUNTIF($S$7:$S$2506,$S903)&gt;1,"MÜKERRER?",IF($T903&gt;0,"KAPALI DÖNEM","UYGUN"))))))</f>
        <v/>
      </c>
      <c r="N903" s="74" t="str">
        <f>IF($C903="","",IF($C903="TANIMSIZ MÜŞTERİ","—",INDEX(MUSTERILER!$C$7:$C$156,MATCH($C903,MUSTERILER!$B$7:$B$156,0))))</f>
        <v/>
      </c>
      <c r="O903" s="2"/>
      <c r="P903" s="2"/>
      <c r="Q903" s="1" t="str">
        <f>IF($D903="","",$C903&amp;"|"&amp;COUNTIFS($C$7:$C903,$C903))</f>
        <v/>
      </c>
      <c r="R903" s="1" t="str">
        <f t="shared" ref="R903:R966" si="73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 t="str">
        <f t="shared" ref="S903:S966" si="74"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>0</v>
      </c>
    </row>
    <row r="904" spans="1:20" ht="18" customHeight="1" x14ac:dyDescent="0.3">
      <c r="A904" s="2"/>
      <c r="B904" s="65" t="str">
        <f t="shared" si="70"/>
        <v/>
      </c>
      <c r="C904" s="65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66"/>
      <c r="F904" s="67"/>
      <c r="G904" s="60"/>
      <c r="H904" s="60"/>
      <c r="I904" s="61"/>
      <c r="J904" s="61"/>
      <c r="K904" s="61"/>
      <c r="L904" s="73" t="str">
        <f t="shared" si="71"/>
        <v/>
      </c>
      <c r="M904" s="65" t="str">
        <f t="shared" ca="1" si="72"/>
        <v/>
      </c>
      <c r="N904" s="74" t="str">
        <f>IF($C904="","",IF($C904="TANIMSIZ MÜŞTERİ","—",INDEX(MUSTERILER!$C$7:$C$156,MATCH($C904,MUSTERILER!$B$7:$B$156,0))))</f>
        <v/>
      </c>
      <c r="O904" s="2"/>
      <c r="P904" s="2"/>
      <c r="Q904" s="1" t="str">
        <f>IF($D904="","",$C904&amp;"|"&amp;COUNTIFS($C$7:$C904,$C904))</f>
        <v/>
      </c>
      <c r="R904" s="1" t="str">
        <f t="shared" si="73"/>
        <v/>
      </c>
      <c r="S904" s="1" t="str">
        <f t="shared" si="74"/>
        <v/>
      </c>
      <c r="T904" s="1">
        <f>IF($E904="",0,SUMPRODUCT((AY_SONU!$O$7:$O$42="Evet")*(AY_SONU!$B$7:$B$42=DATE(YEAR($E904),MONTH($E904),1))))</f>
        <v>0</v>
      </c>
    </row>
    <row r="905" spans="1:20" ht="18" customHeight="1" x14ac:dyDescent="0.3">
      <c r="A905" s="2"/>
      <c r="B905" s="65" t="str">
        <f t="shared" si="70"/>
        <v/>
      </c>
      <c r="C905" s="65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66"/>
      <c r="F905" s="67"/>
      <c r="G905" s="60"/>
      <c r="H905" s="60"/>
      <c r="I905" s="61"/>
      <c r="J905" s="61"/>
      <c r="K905" s="61"/>
      <c r="L905" s="73" t="str">
        <f t="shared" si="71"/>
        <v/>
      </c>
      <c r="M905" s="65" t="str">
        <f t="shared" ca="1" si="72"/>
        <v/>
      </c>
      <c r="N905" s="74" t="str">
        <f>IF($C905="","",IF($C905="TANIMSIZ MÜŞTERİ","—",INDEX(MUSTERILER!$C$7:$C$156,MATCH($C905,MUSTERILER!$B$7:$B$156,0))))</f>
        <v/>
      </c>
      <c r="O905" s="2"/>
      <c r="P905" s="2"/>
      <c r="Q905" s="1" t="str">
        <f>IF($D905="","",$C905&amp;"|"&amp;COUNTIFS($C$7:$C905,$C905))</f>
        <v/>
      </c>
      <c r="R905" s="1" t="str">
        <f t="shared" si="73"/>
        <v/>
      </c>
      <c r="S905" s="1" t="str">
        <f t="shared" si="74"/>
        <v/>
      </c>
      <c r="T905" s="1">
        <f>IF($E905="",0,SUMPRODUCT((AY_SONU!$O$7:$O$42="Evet")*(AY_SONU!$B$7:$B$42=DATE(YEAR($E905),MONTH($E905),1))))</f>
        <v>0</v>
      </c>
    </row>
    <row r="906" spans="1:20" ht="18" customHeight="1" x14ac:dyDescent="0.3">
      <c r="A906" s="2"/>
      <c r="B906" s="65" t="str">
        <f t="shared" si="70"/>
        <v/>
      </c>
      <c r="C906" s="65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66"/>
      <c r="F906" s="67"/>
      <c r="G906" s="60"/>
      <c r="H906" s="60"/>
      <c r="I906" s="61"/>
      <c r="J906" s="61"/>
      <c r="K906" s="61"/>
      <c r="L906" s="73" t="str">
        <f t="shared" si="71"/>
        <v/>
      </c>
      <c r="M906" s="65" t="str">
        <f t="shared" ca="1" si="72"/>
        <v/>
      </c>
      <c r="N906" s="74" t="str">
        <f>IF($C906="","",IF($C906="TANIMSIZ MÜŞTERİ","—",INDEX(MUSTERILER!$C$7:$C$156,MATCH($C906,MUSTERILER!$B$7:$B$156,0))))</f>
        <v/>
      </c>
      <c r="O906" s="2"/>
      <c r="P906" s="2"/>
      <c r="Q906" s="1" t="str">
        <f>IF($D906="","",$C906&amp;"|"&amp;COUNTIFS($C$7:$C906,$C906))</f>
        <v/>
      </c>
      <c r="R906" s="1" t="str">
        <f t="shared" si="73"/>
        <v/>
      </c>
      <c r="S906" s="1" t="str">
        <f t="shared" si="74"/>
        <v/>
      </c>
      <c r="T906" s="1">
        <f>IF($E906="",0,SUMPRODUCT((AY_SONU!$O$7:$O$42="Evet")*(AY_SONU!$B$7:$B$42=DATE(YEAR($E906),MONTH($E906),1))))</f>
        <v>0</v>
      </c>
    </row>
    <row r="907" spans="1:20" ht="18" customHeight="1" x14ac:dyDescent="0.3">
      <c r="A907" s="2"/>
      <c r="B907" s="65" t="str">
        <f t="shared" si="70"/>
        <v/>
      </c>
      <c r="C907" s="65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66"/>
      <c r="F907" s="67"/>
      <c r="G907" s="60"/>
      <c r="H907" s="60"/>
      <c r="I907" s="61"/>
      <c r="J907" s="61"/>
      <c r="K907" s="61"/>
      <c r="L907" s="73" t="str">
        <f t="shared" si="71"/>
        <v/>
      </c>
      <c r="M907" s="65" t="str">
        <f t="shared" ca="1" si="72"/>
        <v/>
      </c>
      <c r="N907" s="74" t="str">
        <f>IF($C907="","",IF($C907="TANIMSIZ MÜŞTERİ","—",INDEX(MUSTERILER!$C$7:$C$156,MATCH($C907,MUSTERILER!$B$7:$B$156,0))))</f>
        <v/>
      </c>
      <c r="O907" s="2"/>
      <c r="P907" s="2"/>
      <c r="Q907" s="1" t="str">
        <f>IF($D907="","",$C907&amp;"|"&amp;COUNTIFS($C$7:$C907,$C907))</f>
        <v/>
      </c>
      <c r="R907" s="1" t="str">
        <f t="shared" si="73"/>
        <v/>
      </c>
      <c r="S907" s="1" t="str">
        <f t="shared" si="74"/>
        <v/>
      </c>
      <c r="T907" s="1">
        <f>IF($E907="",0,SUMPRODUCT((AY_SONU!$O$7:$O$42="Evet")*(AY_SONU!$B$7:$B$42=DATE(YEAR($E907),MONTH($E907),1))))</f>
        <v>0</v>
      </c>
    </row>
    <row r="908" spans="1:20" ht="18" customHeight="1" x14ac:dyDescent="0.3">
      <c r="A908" s="2"/>
      <c r="B908" s="65" t="str">
        <f t="shared" si="70"/>
        <v/>
      </c>
      <c r="C908" s="65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66"/>
      <c r="F908" s="67"/>
      <c r="G908" s="60"/>
      <c r="H908" s="60"/>
      <c r="I908" s="61"/>
      <c r="J908" s="61"/>
      <c r="K908" s="61"/>
      <c r="L908" s="73" t="str">
        <f t="shared" si="71"/>
        <v/>
      </c>
      <c r="M908" s="65" t="str">
        <f t="shared" ca="1" si="72"/>
        <v/>
      </c>
      <c r="N908" s="74" t="str">
        <f>IF($C908="","",IF($C908="TANIMSIZ MÜŞTERİ","—",INDEX(MUSTERILER!$C$7:$C$156,MATCH($C908,MUSTERILER!$B$7:$B$156,0))))</f>
        <v/>
      </c>
      <c r="O908" s="2"/>
      <c r="P908" s="2"/>
      <c r="Q908" s="1" t="str">
        <f>IF($D908="","",$C908&amp;"|"&amp;COUNTIFS($C$7:$C908,$C908))</f>
        <v/>
      </c>
      <c r="R908" s="1" t="str">
        <f t="shared" si="73"/>
        <v/>
      </c>
      <c r="S908" s="1" t="str">
        <f t="shared" si="74"/>
        <v/>
      </c>
      <c r="T908" s="1">
        <f>IF($E908="",0,SUMPRODUCT((AY_SONU!$O$7:$O$42="Evet")*(AY_SONU!$B$7:$B$42=DATE(YEAR($E908),MONTH($E908),1))))</f>
        <v>0</v>
      </c>
    </row>
    <row r="909" spans="1:20" ht="18" customHeight="1" x14ac:dyDescent="0.3">
      <c r="A909" s="2"/>
      <c r="B909" s="65" t="str">
        <f t="shared" si="70"/>
        <v/>
      </c>
      <c r="C909" s="65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66"/>
      <c r="F909" s="67"/>
      <c r="G909" s="60"/>
      <c r="H909" s="60"/>
      <c r="I909" s="61"/>
      <c r="J909" s="61"/>
      <c r="K909" s="61"/>
      <c r="L909" s="73" t="str">
        <f t="shared" si="71"/>
        <v/>
      </c>
      <c r="M909" s="65" t="str">
        <f t="shared" ca="1" si="72"/>
        <v/>
      </c>
      <c r="N909" s="74" t="str">
        <f>IF($C909="","",IF($C909="TANIMSIZ MÜŞTERİ","—",INDEX(MUSTERILER!$C$7:$C$156,MATCH($C909,MUSTERILER!$B$7:$B$156,0))))</f>
        <v/>
      </c>
      <c r="O909" s="2"/>
      <c r="P909" s="2"/>
      <c r="Q909" s="1" t="str">
        <f>IF($D909="","",$C909&amp;"|"&amp;COUNTIFS($C$7:$C909,$C909))</f>
        <v/>
      </c>
      <c r="R909" s="1" t="str">
        <f t="shared" si="73"/>
        <v/>
      </c>
      <c r="S909" s="1" t="str">
        <f t="shared" si="74"/>
        <v/>
      </c>
      <c r="T909" s="1">
        <f>IF($E909="",0,SUMPRODUCT((AY_SONU!$O$7:$O$42="Evet")*(AY_SONU!$B$7:$B$42=DATE(YEAR($E909),MONTH($E909),1))))</f>
        <v>0</v>
      </c>
    </row>
    <row r="910" spans="1:20" ht="18" customHeight="1" x14ac:dyDescent="0.3">
      <c r="A910" s="2"/>
      <c r="B910" s="65" t="str">
        <f t="shared" si="70"/>
        <v/>
      </c>
      <c r="C910" s="65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66"/>
      <c r="F910" s="67"/>
      <c r="G910" s="60"/>
      <c r="H910" s="60"/>
      <c r="I910" s="61"/>
      <c r="J910" s="61"/>
      <c r="K910" s="61"/>
      <c r="L910" s="73" t="str">
        <f t="shared" si="71"/>
        <v/>
      </c>
      <c r="M910" s="65" t="str">
        <f t="shared" ca="1" si="72"/>
        <v/>
      </c>
      <c r="N910" s="74" t="str">
        <f>IF($C910="","",IF($C910="TANIMSIZ MÜŞTERİ","—",INDEX(MUSTERILER!$C$7:$C$156,MATCH($C910,MUSTERILER!$B$7:$B$156,0))))</f>
        <v/>
      </c>
      <c r="O910" s="2"/>
      <c r="P910" s="2"/>
      <c r="Q910" s="1" t="str">
        <f>IF($D910="","",$C910&amp;"|"&amp;COUNTIFS($C$7:$C910,$C910))</f>
        <v/>
      </c>
      <c r="R910" s="1" t="str">
        <f t="shared" si="73"/>
        <v/>
      </c>
      <c r="S910" s="1" t="str">
        <f t="shared" si="74"/>
        <v/>
      </c>
      <c r="T910" s="1">
        <f>IF($E910="",0,SUMPRODUCT((AY_SONU!$O$7:$O$42="Evet")*(AY_SONU!$B$7:$B$42=DATE(YEAR($E910),MONTH($E910),1))))</f>
        <v>0</v>
      </c>
    </row>
    <row r="911" spans="1:20" ht="18" customHeight="1" x14ac:dyDescent="0.3">
      <c r="A911" s="2"/>
      <c r="B911" s="65" t="str">
        <f t="shared" si="70"/>
        <v/>
      </c>
      <c r="C911" s="65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66"/>
      <c r="F911" s="67"/>
      <c r="G911" s="60"/>
      <c r="H911" s="60"/>
      <c r="I911" s="61"/>
      <c r="J911" s="61"/>
      <c r="K911" s="61"/>
      <c r="L911" s="73" t="str">
        <f t="shared" si="71"/>
        <v/>
      </c>
      <c r="M911" s="65" t="str">
        <f t="shared" ca="1" si="72"/>
        <v/>
      </c>
      <c r="N911" s="74" t="str">
        <f>IF($C911="","",IF($C911="TANIMSIZ MÜŞTERİ","—",INDEX(MUSTERILER!$C$7:$C$156,MATCH($C911,MUSTERILER!$B$7:$B$156,0))))</f>
        <v/>
      </c>
      <c r="O911" s="2"/>
      <c r="P911" s="2"/>
      <c r="Q911" s="1" t="str">
        <f>IF($D911="","",$C911&amp;"|"&amp;COUNTIFS($C$7:$C911,$C911))</f>
        <v/>
      </c>
      <c r="R911" s="1" t="str">
        <f t="shared" si="73"/>
        <v/>
      </c>
      <c r="S911" s="1" t="str">
        <f t="shared" si="74"/>
        <v/>
      </c>
      <c r="T911" s="1">
        <f>IF($E911="",0,SUMPRODUCT((AY_SONU!$O$7:$O$42="Evet")*(AY_SONU!$B$7:$B$42=DATE(YEAR($E911),MONTH($E911),1))))</f>
        <v>0</v>
      </c>
    </row>
    <row r="912" spans="1:20" ht="18" customHeight="1" x14ac:dyDescent="0.3">
      <c r="A912" s="2"/>
      <c r="B912" s="65" t="str">
        <f t="shared" si="70"/>
        <v/>
      </c>
      <c r="C912" s="65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66"/>
      <c r="F912" s="67"/>
      <c r="G912" s="60"/>
      <c r="H912" s="60"/>
      <c r="I912" s="61"/>
      <c r="J912" s="61"/>
      <c r="K912" s="61"/>
      <c r="L912" s="73" t="str">
        <f t="shared" si="71"/>
        <v/>
      </c>
      <c r="M912" s="65" t="str">
        <f t="shared" ca="1" si="72"/>
        <v/>
      </c>
      <c r="N912" s="74" t="str">
        <f>IF($C912="","",IF($C912="TANIMSIZ MÜŞTERİ","—",INDEX(MUSTERILER!$C$7:$C$156,MATCH($C912,MUSTERILER!$B$7:$B$156,0))))</f>
        <v/>
      </c>
      <c r="O912" s="2"/>
      <c r="P912" s="2"/>
      <c r="Q912" s="1" t="str">
        <f>IF($D912="","",$C912&amp;"|"&amp;COUNTIFS($C$7:$C912,$C912))</f>
        <v/>
      </c>
      <c r="R912" s="1" t="str">
        <f t="shared" si="73"/>
        <v/>
      </c>
      <c r="S912" s="1" t="str">
        <f t="shared" si="74"/>
        <v/>
      </c>
      <c r="T912" s="1">
        <f>IF($E912="",0,SUMPRODUCT((AY_SONU!$O$7:$O$42="Evet")*(AY_SONU!$B$7:$B$42=DATE(YEAR($E912),MONTH($E912),1))))</f>
        <v>0</v>
      </c>
    </row>
    <row r="913" spans="1:20" ht="18" customHeight="1" x14ac:dyDescent="0.3">
      <c r="A913" s="2"/>
      <c r="B913" s="65" t="str">
        <f t="shared" si="70"/>
        <v/>
      </c>
      <c r="C913" s="65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66"/>
      <c r="F913" s="67"/>
      <c r="G913" s="60"/>
      <c r="H913" s="60"/>
      <c r="I913" s="61"/>
      <c r="J913" s="61"/>
      <c r="K913" s="61"/>
      <c r="L913" s="73" t="str">
        <f t="shared" si="71"/>
        <v/>
      </c>
      <c r="M913" s="65" t="str">
        <f t="shared" ca="1" si="72"/>
        <v/>
      </c>
      <c r="N913" s="74" t="str">
        <f>IF($C913="","",IF($C913="TANIMSIZ MÜŞTERİ","—",INDEX(MUSTERILER!$C$7:$C$156,MATCH($C913,MUSTERILER!$B$7:$B$156,0))))</f>
        <v/>
      </c>
      <c r="O913" s="2"/>
      <c r="P913" s="2"/>
      <c r="Q913" s="1" t="str">
        <f>IF($D913="","",$C913&amp;"|"&amp;COUNTIFS($C$7:$C913,$C913))</f>
        <v/>
      </c>
      <c r="R913" s="1" t="str">
        <f t="shared" si="73"/>
        <v/>
      </c>
      <c r="S913" s="1" t="str">
        <f t="shared" si="74"/>
        <v/>
      </c>
      <c r="T913" s="1">
        <f>IF($E913="",0,SUMPRODUCT((AY_SONU!$O$7:$O$42="Evet")*(AY_SONU!$B$7:$B$42=DATE(YEAR($E913),MONTH($E913),1))))</f>
        <v>0</v>
      </c>
    </row>
    <row r="914" spans="1:20" ht="18" customHeight="1" x14ac:dyDescent="0.3">
      <c r="A914" s="2"/>
      <c r="B914" s="65" t="str">
        <f t="shared" si="70"/>
        <v/>
      </c>
      <c r="C914" s="65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66"/>
      <c r="F914" s="67"/>
      <c r="G914" s="60"/>
      <c r="H914" s="60"/>
      <c r="I914" s="61"/>
      <c r="J914" s="61"/>
      <c r="K914" s="61"/>
      <c r="L914" s="73" t="str">
        <f t="shared" si="71"/>
        <v/>
      </c>
      <c r="M914" s="65" t="str">
        <f t="shared" ca="1" si="72"/>
        <v/>
      </c>
      <c r="N914" s="74" t="str">
        <f>IF($C914="","",IF($C914="TANIMSIZ MÜŞTERİ","—",INDEX(MUSTERILER!$C$7:$C$156,MATCH($C914,MUSTERILER!$B$7:$B$156,0))))</f>
        <v/>
      </c>
      <c r="O914" s="2"/>
      <c r="P914" s="2"/>
      <c r="Q914" s="1" t="str">
        <f>IF($D914="","",$C914&amp;"|"&amp;COUNTIFS($C$7:$C914,$C914))</f>
        <v/>
      </c>
      <c r="R914" s="1" t="str">
        <f t="shared" si="73"/>
        <v/>
      </c>
      <c r="S914" s="1" t="str">
        <f t="shared" si="74"/>
        <v/>
      </c>
      <c r="T914" s="1">
        <f>IF($E914="",0,SUMPRODUCT((AY_SONU!$O$7:$O$42="Evet")*(AY_SONU!$B$7:$B$42=DATE(YEAR($E914),MONTH($E914),1))))</f>
        <v>0</v>
      </c>
    </row>
    <row r="915" spans="1:20" ht="18" customHeight="1" x14ac:dyDescent="0.3">
      <c r="A915" s="2"/>
      <c r="B915" s="65" t="str">
        <f t="shared" si="70"/>
        <v/>
      </c>
      <c r="C915" s="65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66"/>
      <c r="F915" s="67"/>
      <c r="G915" s="60"/>
      <c r="H915" s="60"/>
      <c r="I915" s="61"/>
      <c r="J915" s="61"/>
      <c r="K915" s="61"/>
      <c r="L915" s="73" t="str">
        <f t="shared" si="71"/>
        <v/>
      </c>
      <c r="M915" s="65" t="str">
        <f t="shared" ca="1" si="72"/>
        <v/>
      </c>
      <c r="N915" s="74" t="str">
        <f>IF($C915="","",IF($C915="TANIMSIZ MÜŞTERİ","—",INDEX(MUSTERILER!$C$7:$C$156,MATCH($C915,MUSTERILER!$B$7:$B$156,0))))</f>
        <v/>
      </c>
      <c r="O915" s="2"/>
      <c r="P915" s="2"/>
      <c r="Q915" s="1" t="str">
        <f>IF($D915="","",$C915&amp;"|"&amp;COUNTIFS($C$7:$C915,$C915))</f>
        <v/>
      </c>
      <c r="R915" s="1" t="str">
        <f t="shared" si="73"/>
        <v/>
      </c>
      <c r="S915" s="1" t="str">
        <f t="shared" si="74"/>
        <v/>
      </c>
      <c r="T915" s="1">
        <f>IF($E915="",0,SUMPRODUCT((AY_SONU!$O$7:$O$42="Evet")*(AY_SONU!$B$7:$B$42=DATE(YEAR($E915),MONTH($E915),1))))</f>
        <v>0</v>
      </c>
    </row>
    <row r="916" spans="1:20" ht="18" customHeight="1" x14ac:dyDescent="0.3">
      <c r="A916" s="2"/>
      <c r="B916" s="65" t="str">
        <f t="shared" si="70"/>
        <v/>
      </c>
      <c r="C916" s="65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66"/>
      <c r="F916" s="67"/>
      <c r="G916" s="60"/>
      <c r="H916" s="60"/>
      <c r="I916" s="61"/>
      <c r="J916" s="61"/>
      <c r="K916" s="61"/>
      <c r="L916" s="73" t="str">
        <f t="shared" si="71"/>
        <v/>
      </c>
      <c r="M916" s="65" t="str">
        <f t="shared" ca="1" si="72"/>
        <v/>
      </c>
      <c r="N916" s="74" t="str">
        <f>IF($C916="","",IF($C916="TANIMSIZ MÜŞTERİ","—",INDEX(MUSTERILER!$C$7:$C$156,MATCH($C916,MUSTERILER!$B$7:$B$156,0))))</f>
        <v/>
      </c>
      <c r="O916" s="2"/>
      <c r="P916" s="2"/>
      <c r="Q916" s="1" t="str">
        <f>IF($D916="","",$C916&amp;"|"&amp;COUNTIFS($C$7:$C916,$C916))</f>
        <v/>
      </c>
      <c r="R916" s="1" t="str">
        <f t="shared" si="73"/>
        <v/>
      </c>
      <c r="S916" s="1" t="str">
        <f t="shared" si="74"/>
        <v/>
      </c>
      <c r="T916" s="1">
        <f>IF($E916="",0,SUMPRODUCT((AY_SONU!$O$7:$O$42="Evet")*(AY_SONU!$B$7:$B$42=DATE(YEAR($E916),MONTH($E916),1))))</f>
        <v>0</v>
      </c>
    </row>
    <row r="917" spans="1:20" ht="18" customHeight="1" x14ac:dyDescent="0.3">
      <c r="A917" s="2"/>
      <c r="B917" s="65" t="str">
        <f t="shared" si="70"/>
        <v/>
      </c>
      <c r="C917" s="65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66"/>
      <c r="F917" s="67"/>
      <c r="G917" s="60"/>
      <c r="H917" s="60"/>
      <c r="I917" s="61"/>
      <c r="J917" s="61"/>
      <c r="K917" s="61"/>
      <c r="L917" s="73" t="str">
        <f t="shared" si="71"/>
        <v/>
      </c>
      <c r="M917" s="65" t="str">
        <f t="shared" ca="1" si="72"/>
        <v/>
      </c>
      <c r="N917" s="74" t="str">
        <f>IF($C917="","",IF($C917="TANIMSIZ MÜŞTERİ","—",INDEX(MUSTERILER!$C$7:$C$156,MATCH($C917,MUSTERILER!$B$7:$B$156,0))))</f>
        <v/>
      </c>
      <c r="O917" s="2"/>
      <c r="P917" s="2"/>
      <c r="Q917" s="1" t="str">
        <f>IF($D917="","",$C917&amp;"|"&amp;COUNTIFS($C$7:$C917,$C917))</f>
        <v/>
      </c>
      <c r="R917" s="1" t="str">
        <f t="shared" si="73"/>
        <v/>
      </c>
      <c r="S917" s="1" t="str">
        <f t="shared" si="74"/>
        <v/>
      </c>
      <c r="T917" s="1">
        <f>IF($E917="",0,SUMPRODUCT((AY_SONU!$O$7:$O$42="Evet")*(AY_SONU!$B$7:$B$42=DATE(YEAR($E917),MONTH($E917),1))))</f>
        <v>0</v>
      </c>
    </row>
    <row r="918" spans="1:20" ht="18" customHeight="1" x14ac:dyDescent="0.3">
      <c r="A918" s="2"/>
      <c r="B918" s="65" t="str">
        <f t="shared" si="70"/>
        <v/>
      </c>
      <c r="C918" s="65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66"/>
      <c r="F918" s="67"/>
      <c r="G918" s="60"/>
      <c r="H918" s="60"/>
      <c r="I918" s="61"/>
      <c r="J918" s="61"/>
      <c r="K918" s="61"/>
      <c r="L918" s="73" t="str">
        <f t="shared" si="71"/>
        <v/>
      </c>
      <c r="M918" s="65" t="str">
        <f t="shared" ca="1" si="72"/>
        <v/>
      </c>
      <c r="N918" s="74" t="str">
        <f>IF($C918="","",IF($C918="TANIMSIZ MÜŞTERİ","—",INDEX(MUSTERILER!$C$7:$C$156,MATCH($C918,MUSTERILER!$B$7:$B$156,0))))</f>
        <v/>
      </c>
      <c r="O918" s="2"/>
      <c r="P918" s="2"/>
      <c r="Q918" s="1" t="str">
        <f>IF($D918="","",$C918&amp;"|"&amp;COUNTIFS($C$7:$C918,$C918))</f>
        <v/>
      </c>
      <c r="R918" s="1" t="str">
        <f t="shared" si="73"/>
        <v/>
      </c>
      <c r="S918" s="1" t="str">
        <f t="shared" si="74"/>
        <v/>
      </c>
      <c r="T918" s="1">
        <f>IF($E918="",0,SUMPRODUCT((AY_SONU!$O$7:$O$42="Evet")*(AY_SONU!$B$7:$B$42=DATE(YEAR($E918),MONTH($E918),1))))</f>
        <v>0</v>
      </c>
    </row>
    <row r="919" spans="1:20" ht="18" customHeight="1" x14ac:dyDescent="0.3">
      <c r="A919" s="2"/>
      <c r="B919" s="65" t="str">
        <f t="shared" si="70"/>
        <v/>
      </c>
      <c r="C919" s="65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66"/>
      <c r="F919" s="67"/>
      <c r="G919" s="60"/>
      <c r="H919" s="60"/>
      <c r="I919" s="61"/>
      <c r="J919" s="61"/>
      <c r="K919" s="61"/>
      <c r="L919" s="73" t="str">
        <f t="shared" si="71"/>
        <v/>
      </c>
      <c r="M919" s="65" t="str">
        <f t="shared" ca="1" si="72"/>
        <v/>
      </c>
      <c r="N919" s="74" t="str">
        <f>IF($C919="","",IF($C919="TANIMSIZ MÜŞTERİ","—",INDEX(MUSTERILER!$C$7:$C$156,MATCH($C919,MUSTERILER!$B$7:$B$156,0))))</f>
        <v/>
      </c>
      <c r="O919" s="2"/>
      <c r="P919" s="2"/>
      <c r="Q919" s="1" t="str">
        <f>IF($D919="","",$C919&amp;"|"&amp;COUNTIFS($C$7:$C919,$C919))</f>
        <v/>
      </c>
      <c r="R919" s="1" t="str">
        <f t="shared" si="73"/>
        <v/>
      </c>
      <c r="S919" s="1" t="str">
        <f t="shared" si="74"/>
        <v/>
      </c>
      <c r="T919" s="1">
        <f>IF($E919="",0,SUMPRODUCT((AY_SONU!$O$7:$O$42="Evet")*(AY_SONU!$B$7:$B$42=DATE(YEAR($E919),MONTH($E919),1))))</f>
        <v>0</v>
      </c>
    </row>
    <row r="920" spans="1:20" ht="18" customHeight="1" x14ac:dyDescent="0.3">
      <c r="A920" s="2"/>
      <c r="B920" s="65" t="str">
        <f t="shared" si="70"/>
        <v/>
      </c>
      <c r="C920" s="65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66"/>
      <c r="F920" s="67"/>
      <c r="G920" s="60"/>
      <c r="H920" s="60"/>
      <c r="I920" s="61"/>
      <c r="J920" s="61"/>
      <c r="K920" s="61"/>
      <c r="L920" s="73" t="str">
        <f t="shared" si="71"/>
        <v/>
      </c>
      <c r="M920" s="65" t="str">
        <f t="shared" ca="1" si="72"/>
        <v/>
      </c>
      <c r="N920" s="74" t="str">
        <f>IF($C920="","",IF($C920="TANIMSIZ MÜŞTERİ","—",INDEX(MUSTERILER!$C$7:$C$156,MATCH($C920,MUSTERILER!$B$7:$B$156,0))))</f>
        <v/>
      </c>
      <c r="O920" s="2"/>
      <c r="P920" s="2"/>
      <c r="Q920" s="1" t="str">
        <f>IF($D920="","",$C920&amp;"|"&amp;COUNTIFS($C$7:$C920,$C920))</f>
        <v/>
      </c>
      <c r="R920" s="1" t="str">
        <f t="shared" si="73"/>
        <v/>
      </c>
      <c r="S920" s="1" t="str">
        <f t="shared" si="74"/>
        <v/>
      </c>
      <c r="T920" s="1">
        <f>IF($E920="",0,SUMPRODUCT((AY_SONU!$O$7:$O$42="Evet")*(AY_SONU!$B$7:$B$42=DATE(YEAR($E920),MONTH($E920),1))))</f>
        <v>0</v>
      </c>
    </row>
    <row r="921" spans="1:20" ht="18" customHeight="1" x14ac:dyDescent="0.3">
      <c r="A921" s="2"/>
      <c r="B921" s="65" t="str">
        <f t="shared" si="70"/>
        <v/>
      </c>
      <c r="C921" s="65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66"/>
      <c r="F921" s="67"/>
      <c r="G921" s="60"/>
      <c r="H921" s="60"/>
      <c r="I921" s="61"/>
      <c r="J921" s="61"/>
      <c r="K921" s="61"/>
      <c r="L921" s="73" t="str">
        <f t="shared" si="71"/>
        <v/>
      </c>
      <c r="M921" s="65" t="str">
        <f t="shared" ca="1" si="72"/>
        <v/>
      </c>
      <c r="N921" s="74" t="str">
        <f>IF($C921="","",IF($C921="TANIMSIZ MÜŞTERİ","—",INDEX(MUSTERILER!$C$7:$C$156,MATCH($C921,MUSTERILER!$B$7:$B$156,0))))</f>
        <v/>
      </c>
      <c r="O921" s="2"/>
      <c r="P921" s="2"/>
      <c r="Q921" s="1" t="str">
        <f>IF($D921="","",$C921&amp;"|"&amp;COUNTIFS($C$7:$C921,$C921))</f>
        <v/>
      </c>
      <c r="R921" s="1" t="str">
        <f t="shared" si="73"/>
        <v/>
      </c>
      <c r="S921" s="1" t="str">
        <f t="shared" si="74"/>
        <v/>
      </c>
      <c r="T921" s="1">
        <f>IF($E921="",0,SUMPRODUCT((AY_SONU!$O$7:$O$42="Evet")*(AY_SONU!$B$7:$B$42=DATE(YEAR($E921),MONTH($E921),1))))</f>
        <v>0</v>
      </c>
    </row>
    <row r="922" spans="1:20" ht="18" customHeight="1" x14ac:dyDescent="0.3">
      <c r="A922" s="2"/>
      <c r="B922" s="65" t="str">
        <f t="shared" si="70"/>
        <v/>
      </c>
      <c r="C922" s="65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66"/>
      <c r="F922" s="67"/>
      <c r="G922" s="60"/>
      <c r="H922" s="60"/>
      <c r="I922" s="61"/>
      <c r="J922" s="61"/>
      <c r="K922" s="61"/>
      <c r="L922" s="73" t="str">
        <f t="shared" si="71"/>
        <v/>
      </c>
      <c r="M922" s="65" t="str">
        <f t="shared" ca="1" si="72"/>
        <v/>
      </c>
      <c r="N922" s="74" t="str">
        <f>IF($C922="","",IF($C922="TANIMSIZ MÜŞTERİ","—",INDEX(MUSTERILER!$C$7:$C$156,MATCH($C922,MUSTERILER!$B$7:$B$156,0))))</f>
        <v/>
      </c>
      <c r="O922" s="2"/>
      <c r="P922" s="2"/>
      <c r="Q922" s="1" t="str">
        <f>IF($D922="","",$C922&amp;"|"&amp;COUNTIFS($C$7:$C922,$C922))</f>
        <v/>
      </c>
      <c r="R922" s="1" t="str">
        <f t="shared" si="73"/>
        <v/>
      </c>
      <c r="S922" s="1" t="str">
        <f t="shared" si="74"/>
        <v/>
      </c>
      <c r="T922" s="1">
        <f>IF($E922="",0,SUMPRODUCT((AY_SONU!$O$7:$O$42="Evet")*(AY_SONU!$B$7:$B$42=DATE(YEAR($E922),MONTH($E922),1))))</f>
        <v>0</v>
      </c>
    </row>
    <row r="923" spans="1:20" ht="18" customHeight="1" x14ac:dyDescent="0.3">
      <c r="A923" s="2"/>
      <c r="B923" s="65" t="str">
        <f t="shared" si="70"/>
        <v/>
      </c>
      <c r="C923" s="65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66"/>
      <c r="F923" s="67"/>
      <c r="G923" s="60"/>
      <c r="H923" s="60"/>
      <c r="I923" s="61"/>
      <c r="J923" s="61"/>
      <c r="K923" s="61"/>
      <c r="L923" s="73" t="str">
        <f t="shared" si="71"/>
        <v/>
      </c>
      <c r="M923" s="65" t="str">
        <f t="shared" ca="1" si="72"/>
        <v/>
      </c>
      <c r="N923" s="74" t="str">
        <f>IF($C923="","",IF($C923="TANIMSIZ MÜŞTERİ","—",INDEX(MUSTERILER!$C$7:$C$156,MATCH($C923,MUSTERILER!$B$7:$B$156,0))))</f>
        <v/>
      </c>
      <c r="O923" s="2"/>
      <c r="P923" s="2"/>
      <c r="Q923" s="1" t="str">
        <f>IF($D923="","",$C923&amp;"|"&amp;COUNTIFS($C$7:$C923,$C923))</f>
        <v/>
      </c>
      <c r="R923" s="1" t="str">
        <f t="shared" si="73"/>
        <v/>
      </c>
      <c r="S923" s="1" t="str">
        <f t="shared" si="74"/>
        <v/>
      </c>
      <c r="T923" s="1">
        <f>IF($E923="",0,SUMPRODUCT((AY_SONU!$O$7:$O$42="Evet")*(AY_SONU!$B$7:$B$42=DATE(YEAR($E923),MONTH($E923),1))))</f>
        <v>0</v>
      </c>
    </row>
    <row r="924" spans="1:20" ht="18" customHeight="1" x14ac:dyDescent="0.3">
      <c r="A924" s="2"/>
      <c r="B924" s="65" t="str">
        <f t="shared" si="70"/>
        <v/>
      </c>
      <c r="C924" s="65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66"/>
      <c r="F924" s="67"/>
      <c r="G924" s="60"/>
      <c r="H924" s="60"/>
      <c r="I924" s="61"/>
      <c r="J924" s="61"/>
      <c r="K924" s="61"/>
      <c r="L924" s="73" t="str">
        <f t="shared" si="71"/>
        <v/>
      </c>
      <c r="M924" s="65" t="str">
        <f t="shared" ca="1" si="72"/>
        <v/>
      </c>
      <c r="N924" s="74" t="str">
        <f>IF($C924="","",IF($C924="TANIMSIZ MÜŞTERİ","—",INDEX(MUSTERILER!$C$7:$C$156,MATCH($C924,MUSTERILER!$B$7:$B$156,0))))</f>
        <v/>
      </c>
      <c r="O924" s="2"/>
      <c r="P924" s="2"/>
      <c r="Q924" s="1" t="str">
        <f>IF($D924="","",$C924&amp;"|"&amp;COUNTIFS($C$7:$C924,$C924))</f>
        <v/>
      </c>
      <c r="R924" s="1" t="str">
        <f t="shared" si="73"/>
        <v/>
      </c>
      <c r="S924" s="1" t="str">
        <f t="shared" si="74"/>
        <v/>
      </c>
      <c r="T924" s="1">
        <f>IF($E924="",0,SUMPRODUCT((AY_SONU!$O$7:$O$42="Evet")*(AY_SONU!$B$7:$B$42=DATE(YEAR($E924),MONTH($E924),1))))</f>
        <v>0</v>
      </c>
    </row>
    <row r="925" spans="1:20" ht="18" customHeight="1" x14ac:dyDescent="0.3">
      <c r="A925" s="2"/>
      <c r="B925" s="65" t="str">
        <f t="shared" si="70"/>
        <v/>
      </c>
      <c r="C925" s="65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66"/>
      <c r="F925" s="67"/>
      <c r="G925" s="60"/>
      <c r="H925" s="60"/>
      <c r="I925" s="61"/>
      <c r="J925" s="61"/>
      <c r="K925" s="61"/>
      <c r="L925" s="73" t="str">
        <f t="shared" si="71"/>
        <v/>
      </c>
      <c r="M925" s="65" t="str">
        <f t="shared" ca="1" si="72"/>
        <v/>
      </c>
      <c r="N925" s="74" t="str">
        <f>IF($C925="","",IF($C925="TANIMSIZ MÜŞTERİ","—",INDEX(MUSTERILER!$C$7:$C$156,MATCH($C925,MUSTERILER!$B$7:$B$156,0))))</f>
        <v/>
      </c>
      <c r="O925" s="2"/>
      <c r="P925" s="2"/>
      <c r="Q925" s="1" t="str">
        <f>IF($D925="","",$C925&amp;"|"&amp;COUNTIFS($C$7:$C925,$C925))</f>
        <v/>
      </c>
      <c r="R925" s="1" t="str">
        <f t="shared" si="73"/>
        <v/>
      </c>
      <c r="S925" s="1" t="str">
        <f t="shared" si="74"/>
        <v/>
      </c>
      <c r="T925" s="1">
        <f>IF($E925="",0,SUMPRODUCT((AY_SONU!$O$7:$O$42="Evet")*(AY_SONU!$B$7:$B$42=DATE(YEAR($E925),MONTH($E925),1))))</f>
        <v>0</v>
      </c>
    </row>
    <row r="926" spans="1:20" ht="18" customHeight="1" x14ac:dyDescent="0.3">
      <c r="A926" s="2"/>
      <c r="B926" s="65" t="str">
        <f t="shared" si="70"/>
        <v/>
      </c>
      <c r="C926" s="65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66"/>
      <c r="F926" s="67"/>
      <c r="G926" s="60"/>
      <c r="H926" s="60"/>
      <c r="I926" s="61"/>
      <c r="J926" s="61"/>
      <c r="K926" s="61"/>
      <c r="L926" s="73" t="str">
        <f t="shared" si="71"/>
        <v/>
      </c>
      <c r="M926" s="65" t="str">
        <f t="shared" ca="1" si="72"/>
        <v/>
      </c>
      <c r="N926" s="74" t="str">
        <f>IF($C926="","",IF($C926="TANIMSIZ MÜŞTERİ","—",INDEX(MUSTERILER!$C$7:$C$156,MATCH($C926,MUSTERILER!$B$7:$B$156,0))))</f>
        <v/>
      </c>
      <c r="O926" s="2"/>
      <c r="P926" s="2"/>
      <c r="Q926" s="1" t="str">
        <f>IF($D926="","",$C926&amp;"|"&amp;COUNTIFS($C$7:$C926,$C926))</f>
        <v/>
      </c>
      <c r="R926" s="1" t="str">
        <f t="shared" si="73"/>
        <v/>
      </c>
      <c r="S926" s="1" t="str">
        <f t="shared" si="74"/>
        <v/>
      </c>
      <c r="T926" s="1">
        <f>IF($E926="",0,SUMPRODUCT((AY_SONU!$O$7:$O$42="Evet")*(AY_SONU!$B$7:$B$42=DATE(YEAR($E926),MONTH($E926),1))))</f>
        <v>0</v>
      </c>
    </row>
    <row r="927" spans="1:20" ht="18" customHeight="1" x14ac:dyDescent="0.3">
      <c r="A927" s="2"/>
      <c r="B927" s="65" t="str">
        <f t="shared" si="70"/>
        <v/>
      </c>
      <c r="C927" s="65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66"/>
      <c r="F927" s="67"/>
      <c r="G927" s="60"/>
      <c r="H927" s="60"/>
      <c r="I927" s="61"/>
      <c r="J927" s="61"/>
      <c r="K927" s="61"/>
      <c r="L927" s="73" t="str">
        <f t="shared" si="71"/>
        <v/>
      </c>
      <c r="M927" s="65" t="str">
        <f t="shared" ca="1" si="72"/>
        <v/>
      </c>
      <c r="N927" s="74" t="str">
        <f>IF($C927="","",IF($C927="TANIMSIZ MÜŞTERİ","—",INDEX(MUSTERILER!$C$7:$C$156,MATCH($C927,MUSTERILER!$B$7:$B$156,0))))</f>
        <v/>
      </c>
      <c r="O927" s="2"/>
      <c r="P927" s="2"/>
      <c r="Q927" s="1" t="str">
        <f>IF($D927="","",$C927&amp;"|"&amp;COUNTIFS($C$7:$C927,$C927))</f>
        <v/>
      </c>
      <c r="R927" s="1" t="str">
        <f t="shared" si="73"/>
        <v/>
      </c>
      <c r="S927" s="1" t="str">
        <f t="shared" si="74"/>
        <v/>
      </c>
      <c r="T927" s="1">
        <f>IF($E927="",0,SUMPRODUCT((AY_SONU!$O$7:$O$42="Evet")*(AY_SONU!$B$7:$B$42=DATE(YEAR($E927),MONTH($E927),1))))</f>
        <v>0</v>
      </c>
    </row>
    <row r="928" spans="1:20" ht="18" customHeight="1" x14ac:dyDescent="0.3">
      <c r="A928" s="2"/>
      <c r="B928" s="65" t="str">
        <f t="shared" si="70"/>
        <v/>
      </c>
      <c r="C928" s="65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66"/>
      <c r="F928" s="67"/>
      <c r="G928" s="60"/>
      <c r="H928" s="60"/>
      <c r="I928" s="61"/>
      <c r="J928" s="61"/>
      <c r="K928" s="61"/>
      <c r="L928" s="73" t="str">
        <f t="shared" si="71"/>
        <v/>
      </c>
      <c r="M928" s="65" t="str">
        <f t="shared" ca="1" si="72"/>
        <v/>
      </c>
      <c r="N928" s="74" t="str">
        <f>IF($C928="","",IF($C928="TANIMSIZ MÜŞTERİ","—",INDEX(MUSTERILER!$C$7:$C$156,MATCH($C928,MUSTERILER!$B$7:$B$156,0))))</f>
        <v/>
      </c>
      <c r="O928" s="2"/>
      <c r="P928" s="2"/>
      <c r="Q928" s="1" t="str">
        <f>IF($D928="","",$C928&amp;"|"&amp;COUNTIFS($C$7:$C928,$C928))</f>
        <v/>
      </c>
      <c r="R928" s="1" t="str">
        <f t="shared" si="73"/>
        <v/>
      </c>
      <c r="S928" s="1" t="str">
        <f t="shared" si="74"/>
        <v/>
      </c>
      <c r="T928" s="1">
        <f>IF($E928="",0,SUMPRODUCT((AY_SONU!$O$7:$O$42="Evet")*(AY_SONU!$B$7:$B$42=DATE(YEAR($E928),MONTH($E928),1))))</f>
        <v>0</v>
      </c>
    </row>
    <row r="929" spans="1:20" ht="18" customHeight="1" x14ac:dyDescent="0.3">
      <c r="A929" s="2"/>
      <c r="B929" s="65" t="str">
        <f t="shared" si="70"/>
        <v/>
      </c>
      <c r="C929" s="65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66"/>
      <c r="F929" s="67"/>
      <c r="G929" s="60"/>
      <c r="H929" s="60"/>
      <c r="I929" s="61"/>
      <c r="J929" s="61"/>
      <c r="K929" s="61"/>
      <c r="L929" s="73" t="str">
        <f t="shared" si="71"/>
        <v/>
      </c>
      <c r="M929" s="65" t="str">
        <f t="shared" ca="1" si="72"/>
        <v/>
      </c>
      <c r="N929" s="74" t="str">
        <f>IF($C929="","",IF($C929="TANIMSIZ MÜŞTERİ","—",INDEX(MUSTERILER!$C$7:$C$156,MATCH($C929,MUSTERILER!$B$7:$B$156,0))))</f>
        <v/>
      </c>
      <c r="O929" s="2"/>
      <c r="P929" s="2"/>
      <c r="Q929" s="1" t="str">
        <f>IF($D929="","",$C929&amp;"|"&amp;COUNTIFS($C$7:$C929,$C929))</f>
        <v/>
      </c>
      <c r="R929" s="1" t="str">
        <f t="shared" si="73"/>
        <v/>
      </c>
      <c r="S929" s="1" t="str">
        <f t="shared" si="74"/>
        <v/>
      </c>
      <c r="T929" s="1">
        <f>IF($E929="",0,SUMPRODUCT((AY_SONU!$O$7:$O$42="Evet")*(AY_SONU!$B$7:$B$42=DATE(YEAR($E929),MONTH($E929),1))))</f>
        <v>0</v>
      </c>
    </row>
    <row r="930" spans="1:20" ht="18" customHeight="1" x14ac:dyDescent="0.3">
      <c r="A930" s="2"/>
      <c r="B930" s="65" t="str">
        <f t="shared" si="70"/>
        <v/>
      </c>
      <c r="C930" s="65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66"/>
      <c r="F930" s="67"/>
      <c r="G930" s="60"/>
      <c r="H930" s="60"/>
      <c r="I930" s="61"/>
      <c r="J930" s="61"/>
      <c r="K930" s="61"/>
      <c r="L930" s="73" t="str">
        <f t="shared" si="71"/>
        <v/>
      </c>
      <c r="M930" s="65" t="str">
        <f t="shared" ca="1" si="72"/>
        <v/>
      </c>
      <c r="N930" s="74" t="str">
        <f>IF($C930="","",IF($C930="TANIMSIZ MÜŞTERİ","—",INDEX(MUSTERILER!$C$7:$C$156,MATCH($C930,MUSTERILER!$B$7:$B$156,0))))</f>
        <v/>
      </c>
      <c r="O930" s="2"/>
      <c r="P930" s="2"/>
      <c r="Q930" s="1" t="str">
        <f>IF($D930="","",$C930&amp;"|"&amp;COUNTIFS($C$7:$C930,$C930))</f>
        <v/>
      </c>
      <c r="R930" s="1" t="str">
        <f t="shared" si="73"/>
        <v/>
      </c>
      <c r="S930" s="1" t="str">
        <f t="shared" si="74"/>
        <v/>
      </c>
      <c r="T930" s="1">
        <f>IF($E930="",0,SUMPRODUCT((AY_SONU!$O$7:$O$42="Evet")*(AY_SONU!$B$7:$B$42=DATE(YEAR($E930),MONTH($E930),1))))</f>
        <v>0</v>
      </c>
    </row>
    <row r="931" spans="1:20" ht="18" customHeight="1" x14ac:dyDescent="0.3">
      <c r="A931" s="2"/>
      <c r="B931" s="65" t="str">
        <f t="shared" si="70"/>
        <v/>
      </c>
      <c r="C931" s="65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66"/>
      <c r="F931" s="67"/>
      <c r="G931" s="60"/>
      <c r="H931" s="60"/>
      <c r="I931" s="61"/>
      <c r="J931" s="61"/>
      <c r="K931" s="61"/>
      <c r="L931" s="73" t="str">
        <f t="shared" si="71"/>
        <v/>
      </c>
      <c r="M931" s="65" t="str">
        <f t="shared" ca="1" si="72"/>
        <v/>
      </c>
      <c r="N931" s="74" t="str">
        <f>IF($C931="","",IF($C931="TANIMSIZ MÜŞTERİ","—",INDEX(MUSTERILER!$C$7:$C$156,MATCH($C931,MUSTERILER!$B$7:$B$156,0))))</f>
        <v/>
      </c>
      <c r="O931" s="2"/>
      <c r="P931" s="2"/>
      <c r="Q931" s="1" t="str">
        <f>IF($D931="","",$C931&amp;"|"&amp;COUNTIFS($C$7:$C931,$C931))</f>
        <v/>
      </c>
      <c r="R931" s="1" t="str">
        <f t="shared" si="73"/>
        <v/>
      </c>
      <c r="S931" s="1" t="str">
        <f t="shared" si="74"/>
        <v/>
      </c>
      <c r="T931" s="1">
        <f>IF($E931="",0,SUMPRODUCT((AY_SONU!$O$7:$O$42="Evet")*(AY_SONU!$B$7:$B$42=DATE(YEAR($E931),MONTH($E931),1))))</f>
        <v>0</v>
      </c>
    </row>
    <row r="932" spans="1:20" ht="18" customHeight="1" x14ac:dyDescent="0.3">
      <c r="A932" s="2"/>
      <c r="B932" s="65" t="str">
        <f t="shared" si="70"/>
        <v/>
      </c>
      <c r="C932" s="65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66"/>
      <c r="F932" s="67"/>
      <c r="G932" s="60"/>
      <c r="H932" s="60"/>
      <c r="I932" s="61"/>
      <c r="J932" s="61"/>
      <c r="K932" s="61"/>
      <c r="L932" s="73" t="str">
        <f t="shared" si="71"/>
        <v/>
      </c>
      <c r="M932" s="65" t="str">
        <f t="shared" ca="1" si="72"/>
        <v/>
      </c>
      <c r="N932" s="74" t="str">
        <f>IF($C932="","",IF($C932="TANIMSIZ MÜŞTERİ","—",INDEX(MUSTERILER!$C$7:$C$156,MATCH($C932,MUSTERILER!$B$7:$B$156,0))))</f>
        <v/>
      </c>
      <c r="O932" s="2"/>
      <c r="P932" s="2"/>
      <c r="Q932" s="1" t="str">
        <f>IF($D932="","",$C932&amp;"|"&amp;COUNTIFS($C$7:$C932,$C932))</f>
        <v/>
      </c>
      <c r="R932" s="1" t="str">
        <f t="shared" si="73"/>
        <v/>
      </c>
      <c r="S932" s="1" t="str">
        <f t="shared" si="74"/>
        <v/>
      </c>
      <c r="T932" s="1">
        <f>IF($E932="",0,SUMPRODUCT((AY_SONU!$O$7:$O$42="Evet")*(AY_SONU!$B$7:$B$42=DATE(YEAR($E932),MONTH($E932),1))))</f>
        <v>0</v>
      </c>
    </row>
    <row r="933" spans="1:20" ht="18" customHeight="1" x14ac:dyDescent="0.3">
      <c r="A933" s="2"/>
      <c r="B933" s="65" t="str">
        <f t="shared" si="70"/>
        <v/>
      </c>
      <c r="C933" s="65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66"/>
      <c r="F933" s="67"/>
      <c r="G933" s="60"/>
      <c r="H933" s="60"/>
      <c r="I933" s="61"/>
      <c r="J933" s="61"/>
      <c r="K933" s="61"/>
      <c r="L933" s="73" t="str">
        <f t="shared" si="71"/>
        <v/>
      </c>
      <c r="M933" s="65" t="str">
        <f t="shared" ca="1" si="72"/>
        <v/>
      </c>
      <c r="N933" s="74" t="str">
        <f>IF($C933="","",IF($C933="TANIMSIZ MÜŞTERİ","—",INDEX(MUSTERILER!$C$7:$C$156,MATCH($C933,MUSTERILER!$B$7:$B$156,0))))</f>
        <v/>
      </c>
      <c r="O933" s="2"/>
      <c r="P933" s="2"/>
      <c r="Q933" s="1" t="str">
        <f>IF($D933="","",$C933&amp;"|"&amp;COUNTIFS($C$7:$C933,$C933))</f>
        <v/>
      </c>
      <c r="R933" s="1" t="str">
        <f t="shared" si="73"/>
        <v/>
      </c>
      <c r="S933" s="1" t="str">
        <f t="shared" si="74"/>
        <v/>
      </c>
      <c r="T933" s="1">
        <f>IF($E933="",0,SUMPRODUCT((AY_SONU!$O$7:$O$42="Evet")*(AY_SONU!$B$7:$B$42=DATE(YEAR($E933),MONTH($E933),1))))</f>
        <v>0</v>
      </c>
    </row>
    <row r="934" spans="1:20" ht="18" customHeight="1" x14ac:dyDescent="0.3">
      <c r="A934" s="2"/>
      <c r="B934" s="65" t="str">
        <f t="shared" si="70"/>
        <v/>
      </c>
      <c r="C934" s="65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66"/>
      <c r="F934" s="67"/>
      <c r="G934" s="60"/>
      <c r="H934" s="60"/>
      <c r="I934" s="61"/>
      <c r="J934" s="61"/>
      <c r="K934" s="61"/>
      <c r="L934" s="73" t="str">
        <f t="shared" si="71"/>
        <v/>
      </c>
      <c r="M934" s="65" t="str">
        <f t="shared" ca="1" si="72"/>
        <v/>
      </c>
      <c r="N934" s="74" t="str">
        <f>IF($C934="","",IF($C934="TANIMSIZ MÜŞTERİ","—",INDEX(MUSTERILER!$C$7:$C$156,MATCH($C934,MUSTERILER!$B$7:$B$156,0))))</f>
        <v/>
      </c>
      <c r="O934" s="2"/>
      <c r="P934" s="2"/>
      <c r="Q934" s="1" t="str">
        <f>IF($D934="","",$C934&amp;"|"&amp;COUNTIFS($C$7:$C934,$C934))</f>
        <v/>
      </c>
      <c r="R934" s="1" t="str">
        <f t="shared" si="73"/>
        <v/>
      </c>
      <c r="S934" s="1" t="str">
        <f t="shared" si="74"/>
        <v/>
      </c>
      <c r="T934" s="1">
        <f>IF($E934="",0,SUMPRODUCT((AY_SONU!$O$7:$O$42="Evet")*(AY_SONU!$B$7:$B$42=DATE(YEAR($E934),MONTH($E934),1))))</f>
        <v>0</v>
      </c>
    </row>
    <row r="935" spans="1:20" ht="18" customHeight="1" x14ac:dyDescent="0.3">
      <c r="A935" s="2"/>
      <c r="B935" s="65" t="str">
        <f t="shared" si="70"/>
        <v/>
      </c>
      <c r="C935" s="65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66"/>
      <c r="F935" s="67"/>
      <c r="G935" s="60"/>
      <c r="H935" s="60"/>
      <c r="I935" s="61"/>
      <c r="J935" s="61"/>
      <c r="K935" s="61"/>
      <c r="L935" s="73" t="str">
        <f t="shared" si="71"/>
        <v/>
      </c>
      <c r="M935" s="65" t="str">
        <f t="shared" ca="1" si="72"/>
        <v/>
      </c>
      <c r="N935" s="74" t="str">
        <f>IF($C935="","",IF($C935="TANIMSIZ MÜŞTERİ","—",INDEX(MUSTERILER!$C$7:$C$156,MATCH($C935,MUSTERILER!$B$7:$B$156,0))))</f>
        <v/>
      </c>
      <c r="O935" s="2"/>
      <c r="P935" s="2"/>
      <c r="Q935" s="1" t="str">
        <f>IF($D935="","",$C935&amp;"|"&amp;COUNTIFS($C$7:$C935,$C935))</f>
        <v/>
      </c>
      <c r="R935" s="1" t="str">
        <f t="shared" si="73"/>
        <v/>
      </c>
      <c r="S935" s="1" t="str">
        <f t="shared" si="74"/>
        <v/>
      </c>
      <c r="T935" s="1">
        <f>IF($E935="",0,SUMPRODUCT((AY_SONU!$O$7:$O$42="Evet")*(AY_SONU!$B$7:$B$42=DATE(YEAR($E935),MONTH($E935),1))))</f>
        <v>0</v>
      </c>
    </row>
    <row r="936" spans="1:20" ht="18" customHeight="1" x14ac:dyDescent="0.3">
      <c r="A936" s="2"/>
      <c r="B936" s="65" t="str">
        <f t="shared" si="70"/>
        <v/>
      </c>
      <c r="C936" s="65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66"/>
      <c r="F936" s="67"/>
      <c r="G936" s="60"/>
      <c r="H936" s="60"/>
      <c r="I936" s="61"/>
      <c r="J936" s="61"/>
      <c r="K936" s="61"/>
      <c r="L936" s="73" t="str">
        <f t="shared" si="71"/>
        <v/>
      </c>
      <c r="M936" s="65" t="str">
        <f t="shared" ca="1" si="72"/>
        <v/>
      </c>
      <c r="N936" s="74" t="str">
        <f>IF($C936="","",IF($C936="TANIMSIZ MÜŞTERİ","—",INDEX(MUSTERILER!$C$7:$C$156,MATCH($C936,MUSTERILER!$B$7:$B$156,0))))</f>
        <v/>
      </c>
      <c r="O936" s="2"/>
      <c r="P936" s="2"/>
      <c r="Q936" s="1" t="str">
        <f>IF($D936="","",$C936&amp;"|"&amp;COUNTIFS($C$7:$C936,$C936))</f>
        <v/>
      </c>
      <c r="R936" s="1" t="str">
        <f t="shared" si="73"/>
        <v/>
      </c>
      <c r="S936" s="1" t="str">
        <f t="shared" si="74"/>
        <v/>
      </c>
      <c r="T936" s="1">
        <f>IF($E936="",0,SUMPRODUCT((AY_SONU!$O$7:$O$42="Evet")*(AY_SONU!$B$7:$B$42=DATE(YEAR($E936),MONTH($E936),1))))</f>
        <v>0</v>
      </c>
    </row>
    <row r="937" spans="1:20" ht="18" customHeight="1" x14ac:dyDescent="0.3">
      <c r="A937" s="2"/>
      <c r="B937" s="65" t="str">
        <f t="shared" si="70"/>
        <v/>
      </c>
      <c r="C937" s="65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66"/>
      <c r="F937" s="67"/>
      <c r="G937" s="60"/>
      <c r="H937" s="60"/>
      <c r="I937" s="61"/>
      <c r="J937" s="61"/>
      <c r="K937" s="61"/>
      <c r="L937" s="73" t="str">
        <f t="shared" si="71"/>
        <v/>
      </c>
      <c r="M937" s="65" t="str">
        <f t="shared" ca="1" si="72"/>
        <v/>
      </c>
      <c r="N937" s="74" t="str">
        <f>IF($C937="","",IF($C937="TANIMSIZ MÜŞTERİ","—",INDEX(MUSTERILER!$C$7:$C$156,MATCH($C937,MUSTERILER!$B$7:$B$156,0))))</f>
        <v/>
      </c>
      <c r="O937" s="2"/>
      <c r="P937" s="2"/>
      <c r="Q937" s="1" t="str">
        <f>IF($D937="","",$C937&amp;"|"&amp;COUNTIFS($C$7:$C937,$C937))</f>
        <v/>
      </c>
      <c r="R937" s="1" t="str">
        <f t="shared" si="73"/>
        <v/>
      </c>
      <c r="S937" s="1" t="str">
        <f t="shared" si="74"/>
        <v/>
      </c>
      <c r="T937" s="1">
        <f>IF($E937="",0,SUMPRODUCT((AY_SONU!$O$7:$O$42="Evet")*(AY_SONU!$B$7:$B$42=DATE(YEAR($E937),MONTH($E937),1))))</f>
        <v>0</v>
      </c>
    </row>
    <row r="938" spans="1:20" ht="18" customHeight="1" x14ac:dyDescent="0.3">
      <c r="A938" s="2"/>
      <c r="B938" s="65" t="str">
        <f t="shared" si="70"/>
        <v/>
      </c>
      <c r="C938" s="65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66"/>
      <c r="F938" s="67"/>
      <c r="G938" s="60"/>
      <c r="H938" s="60"/>
      <c r="I938" s="61"/>
      <c r="J938" s="61"/>
      <c r="K938" s="61"/>
      <c r="L938" s="73" t="str">
        <f t="shared" si="71"/>
        <v/>
      </c>
      <c r="M938" s="65" t="str">
        <f t="shared" ca="1" si="72"/>
        <v/>
      </c>
      <c r="N938" s="74" t="str">
        <f>IF($C938="","",IF($C938="TANIMSIZ MÜŞTERİ","—",INDEX(MUSTERILER!$C$7:$C$156,MATCH($C938,MUSTERILER!$B$7:$B$156,0))))</f>
        <v/>
      </c>
      <c r="O938" s="2"/>
      <c r="P938" s="2"/>
      <c r="Q938" s="1" t="str">
        <f>IF($D938="","",$C938&amp;"|"&amp;COUNTIFS($C$7:$C938,$C938))</f>
        <v/>
      </c>
      <c r="R938" s="1" t="str">
        <f t="shared" si="73"/>
        <v/>
      </c>
      <c r="S938" s="1" t="str">
        <f t="shared" si="74"/>
        <v/>
      </c>
      <c r="T938" s="1">
        <f>IF($E938="",0,SUMPRODUCT((AY_SONU!$O$7:$O$42="Evet")*(AY_SONU!$B$7:$B$42=DATE(YEAR($E938),MONTH($E938),1))))</f>
        <v>0</v>
      </c>
    </row>
    <row r="939" spans="1:20" ht="18" customHeight="1" x14ac:dyDescent="0.3">
      <c r="A939" s="2"/>
      <c r="B939" s="65" t="str">
        <f t="shared" si="70"/>
        <v/>
      </c>
      <c r="C939" s="65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66"/>
      <c r="F939" s="67"/>
      <c r="G939" s="60"/>
      <c r="H939" s="60"/>
      <c r="I939" s="61"/>
      <c r="J939" s="61"/>
      <c r="K939" s="61"/>
      <c r="L939" s="73" t="str">
        <f t="shared" si="71"/>
        <v/>
      </c>
      <c r="M939" s="65" t="str">
        <f t="shared" ca="1" si="72"/>
        <v/>
      </c>
      <c r="N939" s="74" t="str">
        <f>IF($C939="","",IF($C939="TANIMSIZ MÜŞTERİ","—",INDEX(MUSTERILER!$C$7:$C$156,MATCH($C939,MUSTERILER!$B$7:$B$156,0))))</f>
        <v/>
      </c>
      <c r="O939" s="2"/>
      <c r="P939" s="2"/>
      <c r="Q939" s="1" t="str">
        <f>IF($D939="","",$C939&amp;"|"&amp;COUNTIFS($C$7:$C939,$C939))</f>
        <v/>
      </c>
      <c r="R939" s="1" t="str">
        <f t="shared" si="73"/>
        <v/>
      </c>
      <c r="S939" s="1" t="str">
        <f t="shared" si="74"/>
        <v/>
      </c>
      <c r="T939" s="1">
        <f>IF($E939="",0,SUMPRODUCT((AY_SONU!$O$7:$O$42="Evet")*(AY_SONU!$B$7:$B$42=DATE(YEAR($E939),MONTH($E939),1))))</f>
        <v>0</v>
      </c>
    </row>
    <row r="940" spans="1:20" ht="18" customHeight="1" x14ac:dyDescent="0.3">
      <c r="A940" s="2"/>
      <c r="B940" s="65" t="str">
        <f t="shared" si="70"/>
        <v/>
      </c>
      <c r="C940" s="65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66"/>
      <c r="F940" s="67"/>
      <c r="G940" s="60"/>
      <c r="H940" s="60"/>
      <c r="I940" s="61"/>
      <c r="J940" s="61"/>
      <c r="K940" s="61"/>
      <c r="L940" s="73" t="str">
        <f t="shared" si="71"/>
        <v/>
      </c>
      <c r="M940" s="65" t="str">
        <f t="shared" ca="1" si="72"/>
        <v/>
      </c>
      <c r="N940" s="74" t="str">
        <f>IF($C940="","",IF($C940="TANIMSIZ MÜŞTERİ","—",INDEX(MUSTERILER!$C$7:$C$156,MATCH($C940,MUSTERILER!$B$7:$B$156,0))))</f>
        <v/>
      </c>
      <c r="O940" s="2"/>
      <c r="P940" s="2"/>
      <c r="Q940" s="1" t="str">
        <f>IF($D940="","",$C940&amp;"|"&amp;COUNTIFS($C$7:$C940,$C940))</f>
        <v/>
      </c>
      <c r="R940" s="1" t="str">
        <f t="shared" si="73"/>
        <v/>
      </c>
      <c r="S940" s="1" t="str">
        <f t="shared" si="74"/>
        <v/>
      </c>
      <c r="T940" s="1">
        <f>IF($E940="",0,SUMPRODUCT((AY_SONU!$O$7:$O$42="Evet")*(AY_SONU!$B$7:$B$42=DATE(YEAR($E940),MONTH($E940),1))))</f>
        <v>0</v>
      </c>
    </row>
    <row r="941" spans="1:20" ht="18" customHeight="1" x14ac:dyDescent="0.3">
      <c r="A941" s="2"/>
      <c r="B941" s="65" t="str">
        <f t="shared" si="70"/>
        <v/>
      </c>
      <c r="C941" s="65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66"/>
      <c r="F941" s="67"/>
      <c r="G941" s="60"/>
      <c r="H941" s="60"/>
      <c r="I941" s="61"/>
      <c r="J941" s="61"/>
      <c r="K941" s="61"/>
      <c r="L941" s="73" t="str">
        <f t="shared" si="71"/>
        <v/>
      </c>
      <c r="M941" s="65" t="str">
        <f t="shared" ca="1" si="72"/>
        <v/>
      </c>
      <c r="N941" s="74" t="str">
        <f>IF($C941="","",IF($C941="TANIMSIZ MÜŞTERİ","—",INDEX(MUSTERILER!$C$7:$C$156,MATCH($C941,MUSTERILER!$B$7:$B$156,0))))</f>
        <v/>
      </c>
      <c r="O941" s="2"/>
      <c r="P941" s="2"/>
      <c r="Q941" s="1" t="str">
        <f>IF($D941="","",$C941&amp;"|"&amp;COUNTIFS($C$7:$C941,$C941))</f>
        <v/>
      </c>
      <c r="R941" s="1" t="str">
        <f t="shared" si="73"/>
        <v/>
      </c>
      <c r="S941" s="1" t="str">
        <f t="shared" si="74"/>
        <v/>
      </c>
      <c r="T941" s="1">
        <f>IF($E941="",0,SUMPRODUCT((AY_SONU!$O$7:$O$42="Evet")*(AY_SONU!$B$7:$B$42=DATE(YEAR($E941),MONTH($E941),1))))</f>
        <v>0</v>
      </c>
    </row>
    <row r="942" spans="1:20" ht="18" customHeight="1" x14ac:dyDescent="0.3">
      <c r="A942" s="2"/>
      <c r="B942" s="65" t="str">
        <f t="shared" si="70"/>
        <v/>
      </c>
      <c r="C942" s="65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66"/>
      <c r="F942" s="67"/>
      <c r="G942" s="60"/>
      <c r="H942" s="60"/>
      <c r="I942" s="61"/>
      <c r="J942" s="61"/>
      <c r="K942" s="61"/>
      <c r="L942" s="73" t="str">
        <f t="shared" si="71"/>
        <v/>
      </c>
      <c r="M942" s="65" t="str">
        <f t="shared" ca="1" si="72"/>
        <v/>
      </c>
      <c r="N942" s="74" t="str">
        <f>IF($C942="","",IF($C942="TANIMSIZ MÜŞTERİ","—",INDEX(MUSTERILER!$C$7:$C$156,MATCH($C942,MUSTERILER!$B$7:$B$156,0))))</f>
        <v/>
      </c>
      <c r="O942" s="2"/>
      <c r="P942" s="2"/>
      <c r="Q942" s="1" t="str">
        <f>IF($D942="","",$C942&amp;"|"&amp;COUNTIFS($C$7:$C942,$C942))</f>
        <v/>
      </c>
      <c r="R942" s="1" t="str">
        <f t="shared" si="73"/>
        <v/>
      </c>
      <c r="S942" s="1" t="str">
        <f t="shared" si="74"/>
        <v/>
      </c>
      <c r="T942" s="1">
        <f>IF($E942="",0,SUMPRODUCT((AY_SONU!$O$7:$O$42="Evet")*(AY_SONU!$B$7:$B$42=DATE(YEAR($E942),MONTH($E942),1))))</f>
        <v>0</v>
      </c>
    </row>
    <row r="943" spans="1:20" ht="18" customHeight="1" x14ac:dyDescent="0.3">
      <c r="A943" s="2"/>
      <c r="B943" s="65" t="str">
        <f t="shared" si="70"/>
        <v/>
      </c>
      <c r="C943" s="65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66"/>
      <c r="F943" s="67"/>
      <c r="G943" s="60"/>
      <c r="H943" s="60"/>
      <c r="I943" s="61"/>
      <c r="J943" s="61"/>
      <c r="K943" s="61"/>
      <c r="L943" s="73" t="str">
        <f t="shared" si="71"/>
        <v/>
      </c>
      <c r="M943" s="65" t="str">
        <f t="shared" ca="1" si="72"/>
        <v/>
      </c>
      <c r="N943" s="74" t="str">
        <f>IF($C943="","",IF($C943="TANIMSIZ MÜŞTERİ","—",INDEX(MUSTERILER!$C$7:$C$156,MATCH($C943,MUSTERILER!$B$7:$B$156,0))))</f>
        <v/>
      </c>
      <c r="O943" s="2"/>
      <c r="P943" s="2"/>
      <c r="Q943" s="1" t="str">
        <f>IF($D943="","",$C943&amp;"|"&amp;COUNTIFS($C$7:$C943,$C943))</f>
        <v/>
      </c>
      <c r="R943" s="1" t="str">
        <f t="shared" si="73"/>
        <v/>
      </c>
      <c r="S943" s="1" t="str">
        <f t="shared" si="74"/>
        <v/>
      </c>
      <c r="T943" s="1">
        <f>IF($E943="",0,SUMPRODUCT((AY_SONU!$O$7:$O$42="Evet")*(AY_SONU!$B$7:$B$42=DATE(YEAR($E943),MONTH($E943),1))))</f>
        <v>0</v>
      </c>
    </row>
    <row r="944" spans="1:20" ht="18" customHeight="1" x14ac:dyDescent="0.3">
      <c r="A944" s="2"/>
      <c r="B944" s="65" t="str">
        <f t="shared" si="70"/>
        <v/>
      </c>
      <c r="C944" s="65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66"/>
      <c r="F944" s="67"/>
      <c r="G944" s="60"/>
      <c r="H944" s="60"/>
      <c r="I944" s="61"/>
      <c r="J944" s="61"/>
      <c r="K944" s="61"/>
      <c r="L944" s="73" t="str">
        <f t="shared" si="71"/>
        <v/>
      </c>
      <c r="M944" s="65" t="str">
        <f t="shared" ca="1" si="72"/>
        <v/>
      </c>
      <c r="N944" s="74" t="str">
        <f>IF($C944="","",IF($C944="TANIMSIZ MÜŞTERİ","—",INDEX(MUSTERILER!$C$7:$C$156,MATCH($C944,MUSTERILER!$B$7:$B$156,0))))</f>
        <v/>
      </c>
      <c r="O944" s="2"/>
      <c r="P944" s="2"/>
      <c r="Q944" s="1" t="str">
        <f>IF($D944="","",$C944&amp;"|"&amp;COUNTIFS($C$7:$C944,$C944))</f>
        <v/>
      </c>
      <c r="R944" s="1" t="str">
        <f t="shared" si="73"/>
        <v/>
      </c>
      <c r="S944" s="1" t="str">
        <f t="shared" si="74"/>
        <v/>
      </c>
      <c r="T944" s="1">
        <f>IF($E944="",0,SUMPRODUCT((AY_SONU!$O$7:$O$42="Evet")*(AY_SONU!$B$7:$B$42=DATE(YEAR($E944),MONTH($E944),1))))</f>
        <v>0</v>
      </c>
    </row>
    <row r="945" spans="1:20" ht="18" customHeight="1" x14ac:dyDescent="0.3">
      <c r="A945" s="2"/>
      <c r="B945" s="65" t="str">
        <f t="shared" si="70"/>
        <v/>
      </c>
      <c r="C945" s="65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66"/>
      <c r="F945" s="67"/>
      <c r="G945" s="60"/>
      <c r="H945" s="60"/>
      <c r="I945" s="61"/>
      <c r="J945" s="61"/>
      <c r="K945" s="61"/>
      <c r="L945" s="73" t="str">
        <f t="shared" si="71"/>
        <v/>
      </c>
      <c r="M945" s="65" t="str">
        <f t="shared" ca="1" si="72"/>
        <v/>
      </c>
      <c r="N945" s="74" t="str">
        <f>IF($C945="","",IF($C945="TANIMSIZ MÜŞTERİ","—",INDEX(MUSTERILER!$C$7:$C$156,MATCH($C945,MUSTERILER!$B$7:$B$156,0))))</f>
        <v/>
      </c>
      <c r="O945" s="2"/>
      <c r="P945" s="2"/>
      <c r="Q945" s="1" t="str">
        <f>IF($D945="","",$C945&amp;"|"&amp;COUNTIFS($C$7:$C945,$C945))</f>
        <v/>
      </c>
      <c r="R945" s="1" t="str">
        <f t="shared" si="73"/>
        <v/>
      </c>
      <c r="S945" s="1" t="str">
        <f t="shared" si="74"/>
        <v/>
      </c>
      <c r="T945" s="1">
        <f>IF($E945="",0,SUMPRODUCT((AY_SONU!$O$7:$O$42="Evet")*(AY_SONU!$B$7:$B$42=DATE(YEAR($E945),MONTH($E945),1))))</f>
        <v>0</v>
      </c>
    </row>
    <row r="946" spans="1:20" ht="18" customHeight="1" x14ac:dyDescent="0.3">
      <c r="A946" s="2"/>
      <c r="B946" s="65" t="str">
        <f t="shared" si="70"/>
        <v/>
      </c>
      <c r="C946" s="65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66"/>
      <c r="F946" s="67"/>
      <c r="G946" s="60"/>
      <c r="H946" s="60"/>
      <c r="I946" s="61"/>
      <c r="J946" s="61"/>
      <c r="K946" s="61"/>
      <c r="L946" s="73" t="str">
        <f t="shared" si="71"/>
        <v/>
      </c>
      <c r="M946" s="65" t="str">
        <f t="shared" ca="1" si="72"/>
        <v/>
      </c>
      <c r="N946" s="74" t="str">
        <f>IF($C946="","",IF($C946="TANIMSIZ MÜŞTERİ","—",INDEX(MUSTERILER!$C$7:$C$156,MATCH($C946,MUSTERILER!$B$7:$B$156,0))))</f>
        <v/>
      </c>
      <c r="O946" s="2"/>
      <c r="P946" s="2"/>
      <c r="Q946" s="1" t="str">
        <f>IF($D946="","",$C946&amp;"|"&amp;COUNTIFS($C$7:$C946,$C946))</f>
        <v/>
      </c>
      <c r="R946" s="1" t="str">
        <f t="shared" si="73"/>
        <v/>
      </c>
      <c r="S946" s="1" t="str">
        <f t="shared" si="74"/>
        <v/>
      </c>
      <c r="T946" s="1">
        <f>IF($E946="",0,SUMPRODUCT((AY_SONU!$O$7:$O$42="Evet")*(AY_SONU!$B$7:$B$42=DATE(YEAR($E946),MONTH($E946),1))))</f>
        <v>0</v>
      </c>
    </row>
    <row r="947" spans="1:20" ht="18" customHeight="1" x14ac:dyDescent="0.3">
      <c r="A947" s="2"/>
      <c r="B947" s="65" t="str">
        <f t="shared" si="70"/>
        <v/>
      </c>
      <c r="C947" s="65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66"/>
      <c r="F947" s="67"/>
      <c r="G947" s="60"/>
      <c r="H947" s="60"/>
      <c r="I947" s="61"/>
      <c r="J947" s="61"/>
      <c r="K947" s="61"/>
      <c r="L947" s="73" t="str">
        <f t="shared" si="71"/>
        <v/>
      </c>
      <c r="M947" s="65" t="str">
        <f t="shared" ca="1" si="72"/>
        <v/>
      </c>
      <c r="N947" s="74" t="str">
        <f>IF($C947="","",IF($C947="TANIMSIZ MÜŞTERİ","—",INDEX(MUSTERILER!$C$7:$C$156,MATCH($C947,MUSTERILER!$B$7:$B$156,0))))</f>
        <v/>
      </c>
      <c r="O947" s="2"/>
      <c r="P947" s="2"/>
      <c r="Q947" s="1" t="str">
        <f>IF($D947="","",$C947&amp;"|"&amp;COUNTIFS($C$7:$C947,$C947))</f>
        <v/>
      </c>
      <c r="R947" s="1" t="str">
        <f t="shared" si="73"/>
        <v/>
      </c>
      <c r="S947" s="1" t="str">
        <f t="shared" si="74"/>
        <v/>
      </c>
      <c r="T947" s="1">
        <f>IF($E947="",0,SUMPRODUCT((AY_SONU!$O$7:$O$42="Evet")*(AY_SONU!$B$7:$B$42=DATE(YEAR($E947),MONTH($E947),1))))</f>
        <v>0</v>
      </c>
    </row>
    <row r="948" spans="1:20" ht="18" customHeight="1" x14ac:dyDescent="0.3">
      <c r="A948" s="2"/>
      <c r="B948" s="65" t="str">
        <f t="shared" si="70"/>
        <v/>
      </c>
      <c r="C948" s="65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66"/>
      <c r="F948" s="67"/>
      <c r="G948" s="60"/>
      <c r="H948" s="60"/>
      <c r="I948" s="61"/>
      <c r="J948" s="61"/>
      <c r="K948" s="61"/>
      <c r="L948" s="73" t="str">
        <f t="shared" si="71"/>
        <v/>
      </c>
      <c r="M948" s="65" t="str">
        <f t="shared" ca="1" si="72"/>
        <v/>
      </c>
      <c r="N948" s="74" t="str">
        <f>IF($C948="","",IF($C948="TANIMSIZ MÜŞTERİ","—",INDEX(MUSTERILER!$C$7:$C$156,MATCH($C948,MUSTERILER!$B$7:$B$156,0))))</f>
        <v/>
      </c>
      <c r="O948" s="2"/>
      <c r="P948" s="2"/>
      <c r="Q948" s="1" t="str">
        <f>IF($D948="","",$C948&amp;"|"&amp;COUNTIFS($C$7:$C948,$C948))</f>
        <v/>
      </c>
      <c r="R948" s="1" t="str">
        <f t="shared" si="73"/>
        <v/>
      </c>
      <c r="S948" s="1" t="str">
        <f t="shared" si="74"/>
        <v/>
      </c>
      <c r="T948" s="1">
        <f>IF($E948="",0,SUMPRODUCT((AY_SONU!$O$7:$O$42="Evet")*(AY_SONU!$B$7:$B$42=DATE(YEAR($E948),MONTH($E948),1))))</f>
        <v>0</v>
      </c>
    </row>
    <row r="949" spans="1:20" ht="18" customHeight="1" x14ac:dyDescent="0.3">
      <c r="A949" s="2"/>
      <c r="B949" s="65" t="str">
        <f t="shared" si="70"/>
        <v/>
      </c>
      <c r="C949" s="65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66"/>
      <c r="F949" s="67"/>
      <c r="G949" s="60"/>
      <c r="H949" s="60"/>
      <c r="I949" s="61"/>
      <c r="J949" s="61"/>
      <c r="K949" s="61"/>
      <c r="L949" s="73" t="str">
        <f t="shared" si="71"/>
        <v/>
      </c>
      <c r="M949" s="65" t="str">
        <f t="shared" ca="1" si="72"/>
        <v/>
      </c>
      <c r="N949" s="74" t="str">
        <f>IF($C949="","",IF($C949="TANIMSIZ MÜŞTERİ","—",INDEX(MUSTERILER!$C$7:$C$156,MATCH($C949,MUSTERILER!$B$7:$B$156,0))))</f>
        <v/>
      </c>
      <c r="O949" s="2"/>
      <c r="P949" s="2"/>
      <c r="Q949" s="1" t="str">
        <f>IF($D949="","",$C949&amp;"|"&amp;COUNTIFS($C$7:$C949,$C949))</f>
        <v/>
      </c>
      <c r="R949" s="1" t="str">
        <f t="shared" si="73"/>
        <v/>
      </c>
      <c r="S949" s="1" t="str">
        <f t="shared" si="74"/>
        <v/>
      </c>
      <c r="T949" s="1">
        <f>IF($E949="",0,SUMPRODUCT((AY_SONU!$O$7:$O$42="Evet")*(AY_SONU!$B$7:$B$42=DATE(YEAR($E949),MONTH($E949),1))))</f>
        <v>0</v>
      </c>
    </row>
    <row r="950" spans="1:20" ht="18" customHeight="1" x14ac:dyDescent="0.3">
      <c r="A950" s="2"/>
      <c r="B950" s="65" t="str">
        <f t="shared" si="70"/>
        <v/>
      </c>
      <c r="C950" s="65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66"/>
      <c r="F950" s="67"/>
      <c r="G950" s="60"/>
      <c r="H950" s="60"/>
      <c r="I950" s="61"/>
      <c r="J950" s="61"/>
      <c r="K950" s="61"/>
      <c r="L950" s="73" t="str">
        <f t="shared" si="71"/>
        <v/>
      </c>
      <c r="M950" s="65" t="str">
        <f t="shared" ca="1" si="72"/>
        <v/>
      </c>
      <c r="N950" s="74" t="str">
        <f>IF($C950="","",IF($C950="TANIMSIZ MÜŞTERİ","—",INDEX(MUSTERILER!$C$7:$C$156,MATCH($C950,MUSTERILER!$B$7:$B$156,0))))</f>
        <v/>
      </c>
      <c r="O950" s="2"/>
      <c r="P950" s="2"/>
      <c r="Q950" s="1" t="str">
        <f>IF($D950="","",$C950&amp;"|"&amp;COUNTIFS($C$7:$C950,$C950))</f>
        <v/>
      </c>
      <c r="R950" s="1" t="str">
        <f t="shared" si="73"/>
        <v/>
      </c>
      <c r="S950" s="1" t="str">
        <f t="shared" si="74"/>
        <v/>
      </c>
      <c r="T950" s="1">
        <f>IF($E950="",0,SUMPRODUCT((AY_SONU!$O$7:$O$42="Evet")*(AY_SONU!$B$7:$B$42=DATE(YEAR($E950),MONTH($E950),1))))</f>
        <v>0</v>
      </c>
    </row>
    <row r="951" spans="1:20" ht="18" customHeight="1" x14ac:dyDescent="0.3">
      <c r="A951" s="2"/>
      <c r="B951" s="65" t="str">
        <f t="shared" si="70"/>
        <v/>
      </c>
      <c r="C951" s="65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66"/>
      <c r="F951" s="67"/>
      <c r="G951" s="60"/>
      <c r="H951" s="60"/>
      <c r="I951" s="61"/>
      <c r="J951" s="61"/>
      <c r="K951" s="61"/>
      <c r="L951" s="73" t="str">
        <f t="shared" si="71"/>
        <v/>
      </c>
      <c r="M951" s="65" t="str">
        <f t="shared" ca="1" si="72"/>
        <v/>
      </c>
      <c r="N951" s="74" t="str">
        <f>IF($C951="","",IF($C951="TANIMSIZ MÜŞTERİ","—",INDEX(MUSTERILER!$C$7:$C$156,MATCH($C951,MUSTERILER!$B$7:$B$156,0))))</f>
        <v/>
      </c>
      <c r="O951" s="2"/>
      <c r="P951" s="2"/>
      <c r="Q951" s="1" t="str">
        <f>IF($D951="","",$C951&amp;"|"&amp;COUNTIFS($C$7:$C951,$C951))</f>
        <v/>
      </c>
      <c r="R951" s="1" t="str">
        <f t="shared" si="73"/>
        <v/>
      </c>
      <c r="S951" s="1" t="str">
        <f t="shared" si="74"/>
        <v/>
      </c>
      <c r="T951" s="1">
        <f>IF($E951="",0,SUMPRODUCT((AY_SONU!$O$7:$O$42="Evet")*(AY_SONU!$B$7:$B$42=DATE(YEAR($E951),MONTH($E951),1))))</f>
        <v>0</v>
      </c>
    </row>
    <row r="952" spans="1:20" ht="18" customHeight="1" x14ac:dyDescent="0.3">
      <c r="A952" s="2"/>
      <c r="B952" s="65" t="str">
        <f t="shared" si="70"/>
        <v/>
      </c>
      <c r="C952" s="65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66"/>
      <c r="F952" s="67"/>
      <c r="G952" s="60"/>
      <c r="H952" s="60"/>
      <c r="I952" s="61"/>
      <c r="J952" s="61"/>
      <c r="K952" s="61"/>
      <c r="L952" s="73" t="str">
        <f t="shared" si="71"/>
        <v/>
      </c>
      <c r="M952" s="65" t="str">
        <f t="shared" ca="1" si="72"/>
        <v/>
      </c>
      <c r="N952" s="74" t="str">
        <f>IF($C952="","",IF($C952="TANIMSIZ MÜŞTERİ","—",INDEX(MUSTERILER!$C$7:$C$156,MATCH($C952,MUSTERILER!$B$7:$B$156,0))))</f>
        <v/>
      </c>
      <c r="O952" s="2"/>
      <c r="P952" s="2"/>
      <c r="Q952" s="1" t="str">
        <f>IF($D952="","",$C952&amp;"|"&amp;COUNTIFS($C$7:$C952,$C952))</f>
        <v/>
      </c>
      <c r="R952" s="1" t="str">
        <f t="shared" si="73"/>
        <v/>
      </c>
      <c r="S952" s="1" t="str">
        <f t="shared" si="74"/>
        <v/>
      </c>
      <c r="T952" s="1">
        <f>IF($E952="",0,SUMPRODUCT((AY_SONU!$O$7:$O$42="Evet")*(AY_SONU!$B$7:$B$42=DATE(YEAR($E952),MONTH($E952),1))))</f>
        <v>0</v>
      </c>
    </row>
    <row r="953" spans="1:20" ht="18" customHeight="1" x14ac:dyDescent="0.3">
      <c r="A953" s="2"/>
      <c r="B953" s="65" t="str">
        <f t="shared" si="70"/>
        <v/>
      </c>
      <c r="C953" s="65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66"/>
      <c r="F953" s="67"/>
      <c r="G953" s="60"/>
      <c r="H953" s="60"/>
      <c r="I953" s="61"/>
      <c r="J953" s="61"/>
      <c r="K953" s="61"/>
      <c r="L953" s="73" t="str">
        <f t="shared" si="71"/>
        <v/>
      </c>
      <c r="M953" s="65" t="str">
        <f t="shared" ca="1" si="72"/>
        <v/>
      </c>
      <c r="N953" s="74" t="str">
        <f>IF($C953="","",IF($C953="TANIMSIZ MÜŞTERİ","—",INDEX(MUSTERILER!$C$7:$C$156,MATCH($C953,MUSTERILER!$B$7:$B$156,0))))</f>
        <v/>
      </c>
      <c r="O953" s="2"/>
      <c r="P953" s="2"/>
      <c r="Q953" s="1" t="str">
        <f>IF($D953="","",$C953&amp;"|"&amp;COUNTIFS($C$7:$C953,$C953))</f>
        <v/>
      </c>
      <c r="R953" s="1" t="str">
        <f t="shared" si="73"/>
        <v/>
      </c>
      <c r="S953" s="1" t="str">
        <f t="shared" si="74"/>
        <v/>
      </c>
      <c r="T953" s="1">
        <f>IF($E953="",0,SUMPRODUCT((AY_SONU!$O$7:$O$42="Evet")*(AY_SONU!$B$7:$B$42=DATE(YEAR($E953),MONTH($E953),1))))</f>
        <v>0</v>
      </c>
    </row>
    <row r="954" spans="1:20" ht="18" customHeight="1" x14ac:dyDescent="0.3">
      <c r="A954" s="2"/>
      <c r="B954" s="65" t="str">
        <f t="shared" si="70"/>
        <v/>
      </c>
      <c r="C954" s="65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66"/>
      <c r="F954" s="67"/>
      <c r="G954" s="60"/>
      <c r="H954" s="60"/>
      <c r="I954" s="61"/>
      <c r="J954" s="61"/>
      <c r="K954" s="61"/>
      <c r="L954" s="73" t="str">
        <f t="shared" si="71"/>
        <v/>
      </c>
      <c r="M954" s="65" t="str">
        <f t="shared" ca="1" si="72"/>
        <v/>
      </c>
      <c r="N954" s="74" t="str">
        <f>IF($C954="","",IF($C954="TANIMSIZ MÜŞTERİ","—",INDEX(MUSTERILER!$C$7:$C$156,MATCH($C954,MUSTERILER!$B$7:$B$156,0))))</f>
        <v/>
      </c>
      <c r="O954" s="2"/>
      <c r="P954" s="2"/>
      <c r="Q954" s="1" t="str">
        <f>IF($D954="","",$C954&amp;"|"&amp;COUNTIFS($C$7:$C954,$C954))</f>
        <v/>
      </c>
      <c r="R954" s="1" t="str">
        <f t="shared" si="73"/>
        <v/>
      </c>
      <c r="S954" s="1" t="str">
        <f t="shared" si="74"/>
        <v/>
      </c>
      <c r="T954" s="1">
        <f>IF($E954="",0,SUMPRODUCT((AY_SONU!$O$7:$O$42="Evet")*(AY_SONU!$B$7:$B$42=DATE(YEAR($E954),MONTH($E954),1))))</f>
        <v>0</v>
      </c>
    </row>
    <row r="955" spans="1:20" ht="18" customHeight="1" x14ac:dyDescent="0.3">
      <c r="A955" s="2"/>
      <c r="B955" s="65" t="str">
        <f t="shared" si="70"/>
        <v/>
      </c>
      <c r="C955" s="65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66"/>
      <c r="F955" s="67"/>
      <c r="G955" s="60"/>
      <c r="H955" s="60"/>
      <c r="I955" s="61"/>
      <c r="J955" s="61"/>
      <c r="K955" s="61"/>
      <c r="L955" s="73" t="str">
        <f t="shared" si="71"/>
        <v/>
      </c>
      <c r="M955" s="65" t="str">
        <f t="shared" ca="1" si="72"/>
        <v/>
      </c>
      <c r="N955" s="74" t="str">
        <f>IF($C955="","",IF($C955="TANIMSIZ MÜŞTERİ","—",INDEX(MUSTERILER!$C$7:$C$156,MATCH($C955,MUSTERILER!$B$7:$B$156,0))))</f>
        <v/>
      </c>
      <c r="O955" s="2"/>
      <c r="P955" s="2"/>
      <c r="Q955" s="1" t="str">
        <f>IF($D955="","",$C955&amp;"|"&amp;COUNTIFS($C$7:$C955,$C955))</f>
        <v/>
      </c>
      <c r="R955" s="1" t="str">
        <f t="shared" si="73"/>
        <v/>
      </c>
      <c r="S955" s="1" t="str">
        <f t="shared" si="74"/>
        <v/>
      </c>
      <c r="T955" s="1">
        <f>IF($E955="",0,SUMPRODUCT((AY_SONU!$O$7:$O$42="Evet")*(AY_SONU!$B$7:$B$42=DATE(YEAR($E955),MONTH($E955),1))))</f>
        <v>0</v>
      </c>
    </row>
    <row r="956" spans="1:20" ht="18" customHeight="1" x14ac:dyDescent="0.3">
      <c r="A956" s="2"/>
      <c r="B956" s="65" t="str">
        <f t="shared" si="70"/>
        <v/>
      </c>
      <c r="C956" s="65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66"/>
      <c r="F956" s="67"/>
      <c r="G956" s="60"/>
      <c r="H956" s="60"/>
      <c r="I956" s="61"/>
      <c r="J956" s="61"/>
      <c r="K956" s="61"/>
      <c r="L956" s="73" t="str">
        <f t="shared" si="71"/>
        <v/>
      </c>
      <c r="M956" s="65" t="str">
        <f t="shared" ca="1" si="72"/>
        <v/>
      </c>
      <c r="N956" s="74" t="str">
        <f>IF($C956="","",IF($C956="TANIMSIZ MÜŞTERİ","—",INDEX(MUSTERILER!$C$7:$C$156,MATCH($C956,MUSTERILER!$B$7:$B$156,0))))</f>
        <v/>
      </c>
      <c r="O956" s="2"/>
      <c r="P956" s="2"/>
      <c r="Q956" s="1" t="str">
        <f>IF($D956="","",$C956&amp;"|"&amp;COUNTIFS($C$7:$C956,$C956))</f>
        <v/>
      </c>
      <c r="R956" s="1" t="str">
        <f t="shared" si="73"/>
        <v/>
      </c>
      <c r="S956" s="1" t="str">
        <f t="shared" si="74"/>
        <v/>
      </c>
      <c r="T956" s="1">
        <f>IF($E956="",0,SUMPRODUCT((AY_SONU!$O$7:$O$42="Evet")*(AY_SONU!$B$7:$B$42=DATE(YEAR($E956),MONTH($E956),1))))</f>
        <v>0</v>
      </c>
    </row>
    <row r="957" spans="1:20" ht="18" customHeight="1" x14ac:dyDescent="0.3">
      <c r="A957" s="2"/>
      <c r="B957" s="65" t="str">
        <f t="shared" si="70"/>
        <v/>
      </c>
      <c r="C957" s="65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66"/>
      <c r="F957" s="67"/>
      <c r="G957" s="60"/>
      <c r="H957" s="60"/>
      <c r="I957" s="61"/>
      <c r="J957" s="61"/>
      <c r="K957" s="61"/>
      <c r="L957" s="73" t="str">
        <f t="shared" si="71"/>
        <v/>
      </c>
      <c r="M957" s="65" t="str">
        <f t="shared" ca="1" si="72"/>
        <v/>
      </c>
      <c r="N957" s="74" t="str">
        <f>IF($C957="","",IF($C957="TANIMSIZ MÜŞTERİ","—",INDEX(MUSTERILER!$C$7:$C$156,MATCH($C957,MUSTERILER!$B$7:$B$156,0))))</f>
        <v/>
      </c>
      <c r="O957" s="2"/>
      <c r="P957" s="2"/>
      <c r="Q957" s="1" t="str">
        <f>IF($D957="","",$C957&amp;"|"&amp;COUNTIFS($C$7:$C957,$C957))</f>
        <v/>
      </c>
      <c r="R957" s="1" t="str">
        <f t="shared" si="73"/>
        <v/>
      </c>
      <c r="S957" s="1" t="str">
        <f t="shared" si="74"/>
        <v/>
      </c>
      <c r="T957" s="1">
        <f>IF($E957="",0,SUMPRODUCT((AY_SONU!$O$7:$O$42="Evet")*(AY_SONU!$B$7:$B$42=DATE(YEAR($E957),MONTH($E957),1))))</f>
        <v>0</v>
      </c>
    </row>
    <row r="958" spans="1:20" ht="18" customHeight="1" x14ac:dyDescent="0.3">
      <c r="A958" s="2"/>
      <c r="B958" s="65" t="str">
        <f t="shared" si="70"/>
        <v/>
      </c>
      <c r="C958" s="65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66"/>
      <c r="F958" s="67"/>
      <c r="G958" s="60"/>
      <c r="H958" s="60"/>
      <c r="I958" s="61"/>
      <c r="J958" s="61"/>
      <c r="K958" s="61"/>
      <c r="L958" s="73" t="str">
        <f t="shared" si="71"/>
        <v/>
      </c>
      <c r="M958" s="65" t="str">
        <f t="shared" ca="1" si="72"/>
        <v/>
      </c>
      <c r="N958" s="74" t="str">
        <f>IF($C958="","",IF($C958="TANIMSIZ MÜŞTERİ","—",INDEX(MUSTERILER!$C$7:$C$156,MATCH($C958,MUSTERILER!$B$7:$B$156,0))))</f>
        <v/>
      </c>
      <c r="O958" s="2"/>
      <c r="P958" s="2"/>
      <c r="Q958" s="1" t="str">
        <f>IF($D958="","",$C958&amp;"|"&amp;COUNTIFS($C$7:$C958,$C958))</f>
        <v/>
      </c>
      <c r="R958" s="1" t="str">
        <f t="shared" si="73"/>
        <v/>
      </c>
      <c r="S958" s="1" t="str">
        <f t="shared" si="74"/>
        <v/>
      </c>
      <c r="T958" s="1">
        <f>IF($E958="",0,SUMPRODUCT((AY_SONU!$O$7:$O$42="Evet")*(AY_SONU!$B$7:$B$42=DATE(YEAR($E958),MONTH($E958),1))))</f>
        <v>0</v>
      </c>
    </row>
    <row r="959" spans="1:20" ht="18" customHeight="1" x14ac:dyDescent="0.3">
      <c r="A959" s="2"/>
      <c r="B959" s="65" t="str">
        <f t="shared" si="70"/>
        <v/>
      </c>
      <c r="C959" s="65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66"/>
      <c r="F959" s="67"/>
      <c r="G959" s="60"/>
      <c r="H959" s="60"/>
      <c r="I959" s="61"/>
      <c r="J959" s="61"/>
      <c r="K959" s="61"/>
      <c r="L959" s="73" t="str">
        <f t="shared" si="71"/>
        <v/>
      </c>
      <c r="M959" s="65" t="str">
        <f t="shared" ca="1" si="72"/>
        <v/>
      </c>
      <c r="N959" s="74" t="str">
        <f>IF($C959="","",IF($C959="TANIMSIZ MÜŞTERİ","—",INDEX(MUSTERILER!$C$7:$C$156,MATCH($C959,MUSTERILER!$B$7:$B$156,0))))</f>
        <v/>
      </c>
      <c r="O959" s="2"/>
      <c r="P959" s="2"/>
      <c r="Q959" s="1" t="str">
        <f>IF($D959="","",$C959&amp;"|"&amp;COUNTIFS($C$7:$C959,$C959))</f>
        <v/>
      </c>
      <c r="R959" s="1" t="str">
        <f t="shared" si="73"/>
        <v/>
      </c>
      <c r="S959" s="1" t="str">
        <f t="shared" si="74"/>
        <v/>
      </c>
      <c r="T959" s="1">
        <f>IF($E959="",0,SUMPRODUCT((AY_SONU!$O$7:$O$42="Evet")*(AY_SONU!$B$7:$B$42=DATE(YEAR($E959),MONTH($E959),1))))</f>
        <v>0</v>
      </c>
    </row>
    <row r="960" spans="1:20" ht="18" customHeight="1" x14ac:dyDescent="0.3">
      <c r="A960" s="2"/>
      <c r="B960" s="65" t="str">
        <f t="shared" si="70"/>
        <v/>
      </c>
      <c r="C960" s="65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66"/>
      <c r="F960" s="67"/>
      <c r="G960" s="60"/>
      <c r="H960" s="60"/>
      <c r="I960" s="61"/>
      <c r="J960" s="61"/>
      <c r="K960" s="61"/>
      <c r="L960" s="73" t="str">
        <f t="shared" si="71"/>
        <v/>
      </c>
      <c r="M960" s="65" t="str">
        <f t="shared" ca="1" si="72"/>
        <v/>
      </c>
      <c r="N960" s="74" t="str">
        <f>IF($C960="","",IF($C960="TANIMSIZ MÜŞTERİ","—",INDEX(MUSTERILER!$C$7:$C$156,MATCH($C960,MUSTERILER!$B$7:$B$156,0))))</f>
        <v/>
      </c>
      <c r="O960" s="2"/>
      <c r="P960" s="2"/>
      <c r="Q960" s="1" t="str">
        <f>IF($D960="","",$C960&amp;"|"&amp;COUNTIFS($C$7:$C960,$C960))</f>
        <v/>
      </c>
      <c r="R960" s="1" t="str">
        <f t="shared" si="73"/>
        <v/>
      </c>
      <c r="S960" s="1" t="str">
        <f t="shared" si="74"/>
        <v/>
      </c>
      <c r="T960" s="1">
        <f>IF($E960="",0,SUMPRODUCT((AY_SONU!$O$7:$O$42="Evet")*(AY_SONU!$B$7:$B$42=DATE(YEAR($E960),MONTH($E960),1))))</f>
        <v>0</v>
      </c>
    </row>
    <row r="961" spans="1:20" ht="18" customHeight="1" x14ac:dyDescent="0.3">
      <c r="A961" s="2"/>
      <c r="B961" s="65" t="str">
        <f t="shared" si="70"/>
        <v/>
      </c>
      <c r="C961" s="65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66"/>
      <c r="F961" s="67"/>
      <c r="G961" s="60"/>
      <c r="H961" s="60"/>
      <c r="I961" s="61"/>
      <c r="J961" s="61"/>
      <c r="K961" s="61"/>
      <c r="L961" s="73" t="str">
        <f t="shared" si="71"/>
        <v/>
      </c>
      <c r="M961" s="65" t="str">
        <f t="shared" ca="1" si="72"/>
        <v/>
      </c>
      <c r="N961" s="74" t="str">
        <f>IF($C961="","",IF($C961="TANIMSIZ MÜŞTERİ","—",INDEX(MUSTERILER!$C$7:$C$156,MATCH($C961,MUSTERILER!$B$7:$B$156,0))))</f>
        <v/>
      </c>
      <c r="O961" s="2"/>
      <c r="P961" s="2"/>
      <c r="Q961" s="1" t="str">
        <f>IF($D961="","",$C961&amp;"|"&amp;COUNTIFS($C$7:$C961,$C961))</f>
        <v/>
      </c>
      <c r="R961" s="1" t="str">
        <f t="shared" si="73"/>
        <v/>
      </c>
      <c r="S961" s="1" t="str">
        <f t="shared" si="74"/>
        <v/>
      </c>
      <c r="T961" s="1">
        <f>IF($E961="",0,SUMPRODUCT((AY_SONU!$O$7:$O$42="Evet")*(AY_SONU!$B$7:$B$42=DATE(YEAR($E961),MONTH($E961),1))))</f>
        <v>0</v>
      </c>
    </row>
    <row r="962" spans="1:20" ht="18" customHeight="1" x14ac:dyDescent="0.3">
      <c r="A962" s="2"/>
      <c r="B962" s="65" t="str">
        <f t="shared" si="70"/>
        <v/>
      </c>
      <c r="C962" s="65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66"/>
      <c r="F962" s="67"/>
      <c r="G962" s="60"/>
      <c r="H962" s="60"/>
      <c r="I962" s="61"/>
      <c r="J962" s="61"/>
      <c r="K962" s="61"/>
      <c r="L962" s="73" t="str">
        <f t="shared" si="71"/>
        <v/>
      </c>
      <c r="M962" s="65" t="str">
        <f t="shared" ca="1" si="72"/>
        <v/>
      </c>
      <c r="N962" s="74" t="str">
        <f>IF($C962="","",IF($C962="TANIMSIZ MÜŞTERİ","—",INDEX(MUSTERILER!$C$7:$C$156,MATCH($C962,MUSTERILER!$B$7:$B$156,0))))</f>
        <v/>
      </c>
      <c r="O962" s="2"/>
      <c r="P962" s="2"/>
      <c r="Q962" s="1" t="str">
        <f>IF($D962="","",$C962&amp;"|"&amp;COUNTIFS($C$7:$C962,$C962))</f>
        <v/>
      </c>
      <c r="R962" s="1" t="str">
        <f t="shared" si="73"/>
        <v/>
      </c>
      <c r="S962" s="1" t="str">
        <f t="shared" si="74"/>
        <v/>
      </c>
      <c r="T962" s="1">
        <f>IF($E962="",0,SUMPRODUCT((AY_SONU!$O$7:$O$42="Evet")*(AY_SONU!$B$7:$B$42=DATE(YEAR($E962),MONTH($E962),1))))</f>
        <v>0</v>
      </c>
    </row>
    <row r="963" spans="1:20" ht="18" customHeight="1" x14ac:dyDescent="0.3">
      <c r="A963" s="2"/>
      <c r="B963" s="65" t="str">
        <f t="shared" si="70"/>
        <v/>
      </c>
      <c r="C963" s="65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66"/>
      <c r="F963" s="67"/>
      <c r="G963" s="60"/>
      <c r="H963" s="60"/>
      <c r="I963" s="61"/>
      <c r="J963" s="61"/>
      <c r="K963" s="61"/>
      <c r="L963" s="73" t="str">
        <f t="shared" si="71"/>
        <v/>
      </c>
      <c r="M963" s="65" t="str">
        <f t="shared" ca="1" si="72"/>
        <v/>
      </c>
      <c r="N963" s="74" t="str">
        <f>IF($C963="","",IF($C963="TANIMSIZ MÜŞTERİ","—",INDEX(MUSTERILER!$C$7:$C$156,MATCH($C963,MUSTERILER!$B$7:$B$156,0))))</f>
        <v/>
      </c>
      <c r="O963" s="2"/>
      <c r="P963" s="2"/>
      <c r="Q963" s="1" t="str">
        <f>IF($D963="","",$C963&amp;"|"&amp;COUNTIFS($C$7:$C963,$C963))</f>
        <v/>
      </c>
      <c r="R963" s="1" t="str">
        <f t="shared" si="73"/>
        <v/>
      </c>
      <c r="S963" s="1" t="str">
        <f t="shared" si="74"/>
        <v/>
      </c>
      <c r="T963" s="1">
        <f>IF($E963="",0,SUMPRODUCT((AY_SONU!$O$7:$O$42="Evet")*(AY_SONU!$B$7:$B$42=DATE(YEAR($E963),MONTH($E963),1))))</f>
        <v>0</v>
      </c>
    </row>
    <row r="964" spans="1:20" ht="18" customHeight="1" x14ac:dyDescent="0.3">
      <c r="A964" s="2"/>
      <c r="B964" s="65" t="str">
        <f t="shared" si="70"/>
        <v/>
      </c>
      <c r="C964" s="65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66"/>
      <c r="F964" s="67"/>
      <c r="G964" s="60"/>
      <c r="H964" s="60"/>
      <c r="I964" s="61"/>
      <c r="J964" s="61"/>
      <c r="K964" s="61"/>
      <c r="L964" s="73" t="str">
        <f t="shared" si="71"/>
        <v/>
      </c>
      <c r="M964" s="65" t="str">
        <f t="shared" ca="1" si="72"/>
        <v/>
      </c>
      <c r="N964" s="74" t="str">
        <f>IF($C964="","",IF($C964="TANIMSIZ MÜŞTERİ","—",INDEX(MUSTERILER!$C$7:$C$156,MATCH($C964,MUSTERILER!$B$7:$B$156,0))))</f>
        <v/>
      </c>
      <c r="O964" s="2"/>
      <c r="P964" s="2"/>
      <c r="Q964" s="1" t="str">
        <f>IF($D964="","",$C964&amp;"|"&amp;COUNTIFS($C$7:$C964,$C964))</f>
        <v/>
      </c>
      <c r="R964" s="1" t="str">
        <f t="shared" si="73"/>
        <v/>
      </c>
      <c r="S964" s="1" t="str">
        <f t="shared" si="74"/>
        <v/>
      </c>
      <c r="T964" s="1">
        <f>IF($E964="",0,SUMPRODUCT((AY_SONU!$O$7:$O$42="Evet")*(AY_SONU!$B$7:$B$42=DATE(YEAR($E964),MONTH($E964),1))))</f>
        <v>0</v>
      </c>
    </row>
    <row r="965" spans="1:20" ht="18" customHeight="1" x14ac:dyDescent="0.3">
      <c r="A965" s="2"/>
      <c r="B965" s="65" t="str">
        <f t="shared" si="70"/>
        <v/>
      </c>
      <c r="C965" s="65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66"/>
      <c r="F965" s="67"/>
      <c r="G965" s="60"/>
      <c r="H965" s="60"/>
      <c r="I965" s="61"/>
      <c r="J965" s="61"/>
      <c r="K965" s="61"/>
      <c r="L965" s="73" t="str">
        <f t="shared" si="71"/>
        <v/>
      </c>
      <c r="M965" s="65" t="str">
        <f t="shared" ca="1" si="72"/>
        <v/>
      </c>
      <c r="N965" s="74" t="str">
        <f>IF($C965="","",IF($C965="TANIMSIZ MÜŞTERİ","—",INDEX(MUSTERILER!$C$7:$C$156,MATCH($C965,MUSTERILER!$B$7:$B$156,0))))</f>
        <v/>
      </c>
      <c r="O965" s="2"/>
      <c r="P965" s="2"/>
      <c r="Q965" s="1" t="str">
        <f>IF($D965="","",$C965&amp;"|"&amp;COUNTIFS($C$7:$C965,$C965))</f>
        <v/>
      </c>
      <c r="R965" s="1" t="str">
        <f t="shared" si="73"/>
        <v/>
      </c>
      <c r="S965" s="1" t="str">
        <f t="shared" si="74"/>
        <v/>
      </c>
      <c r="T965" s="1">
        <f>IF($E965="",0,SUMPRODUCT((AY_SONU!$O$7:$O$42="Evet")*(AY_SONU!$B$7:$B$42=DATE(YEAR($E965),MONTH($E965),1))))</f>
        <v>0</v>
      </c>
    </row>
    <row r="966" spans="1:20" ht="18" customHeight="1" x14ac:dyDescent="0.3">
      <c r="A966" s="2"/>
      <c r="B966" s="65" t="str">
        <f t="shared" si="70"/>
        <v/>
      </c>
      <c r="C966" s="65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66"/>
      <c r="F966" s="67"/>
      <c r="G966" s="60"/>
      <c r="H966" s="60"/>
      <c r="I966" s="61"/>
      <c r="J966" s="61"/>
      <c r="K966" s="61"/>
      <c r="L966" s="73" t="str">
        <f t="shared" si="71"/>
        <v/>
      </c>
      <c r="M966" s="65" t="str">
        <f t="shared" ca="1" si="72"/>
        <v/>
      </c>
      <c r="N966" s="74" t="str">
        <f>IF($C966="","",IF($C966="TANIMSIZ MÜŞTERİ","—",INDEX(MUSTERILER!$C$7:$C$156,MATCH($C966,MUSTERILER!$B$7:$B$156,0))))</f>
        <v/>
      </c>
      <c r="O966" s="2"/>
      <c r="P966" s="2"/>
      <c r="Q966" s="1" t="str">
        <f>IF($D966="","",$C966&amp;"|"&amp;COUNTIFS($C$7:$C966,$C966))</f>
        <v/>
      </c>
      <c r="R966" s="1" t="str">
        <f t="shared" si="73"/>
        <v/>
      </c>
      <c r="S966" s="1" t="str">
        <f t="shared" si="74"/>
        <v/>
      </c>
      <c r="T966" s="1">
        <f>IF($E966="",0,SUMPRODUCT((AY_SONU!$O$7:$O$42="Evet")*(AY_SONU!$B$7:$B$42=DATE(YEAR($E966),MONTH($E966),1))))</f>
        <v>0</v>
      </c>
    </row>
    <row r="967" spans="1:20" ht="18" customHeight="1" x14ac:dyDescent="0.3">
      <c r="A967" s="2"/>
      <c r="B967" s="65" t="str">
        <f t="shared" ref="B967:B1030" si="75">IF($D967="","","T"&amp;TEXT(ROW()-6,"00000"))</f>
        <v/>
      </c>
      <c r="C967" s="65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66"/>
      <c r="F967" s="67"/>
      <c r="G967" s="60"/>
      <c r="H967" s="60"/>
      <c r="I967" s="61"/>
      <c r="J967" s="61"/>
      <c r="K967" s="61"/>
      <c r="L967" s="73" t="str">
        <f t="shared" ref="L967:L1030" si="76">IF($E967="","",DATE(YEAR($E967),MONTH($E967),1))</f>
        <v/>
      </c>
      <c r="M967" s="65" t="str">
        <f t="shared" ref="M967:M1030" ca="1" si="77">IF($D967="","",IF($C967="TANIMSIZ MÜŞTERİ","HATA",IF(OR($E967="",$F967&lt;=0,$G967=""),"EKSİK",IF($E967&gt;TODAY(),"İLERİ TARİH",IF(COUNTIF($S$7:$S$2506,$S967)&gt;1,"MÜKERRER?",IF($T967&gt;0,"KAPALI DÖNEM","UYGUN"))))))</f>
        <v/>
      </c>
      <c r="N967" s="74" t="str">
        <f>IF($C967="","",IF($C967="TANIMSIZ MÜŞTERİ","—",INDEX(MUSTERILER!$C$7:$C$156,MATCH($C967,MUSTERILER!$B$7:$B$156,0))))</f>
        <v/>
      </c>
      <c r="O967" s="2"/>
      <c r="P967" s="2"/>
      <c r="Q967" s="1" t="str">
        <f>IF($D967="","",$C967&amp;"|"&amp;COUNTIFS($C$7:$C967,$C967))</f>
        <v/>
      </c>
      <c r="R967" s="1" t="str">
        <f t="shared" ref="R967:R1030" si="78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 t="str">
        <f t="shared" ref="S967:S1030" si="79"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>0</v>
      </c>
    </row>
    <row r="968" spans="1:20" ht="18" customHeight="1" x14ac:dyDescent="0.3">
      <c r="A968" s="2"/>
      <c r="B968" s="65" t="str">
        <f t="shared" si="75"/>
        <v/>
      </c>
      <c r="C968" s="65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66"/>
      <c r="F968" s="67"/>
      <c r="G968" s="60"/>
      <c r="H968" s="60"/>
      <c r="I968" s="61"/>
      <c r="J968" s="61"/>
      <c r="K968" s="61"/>
      <c r="L968" s="73" t="str">
        <f t="shared" si="76"/>
        <v/>
      </c>
      <c r="M968" s="65" t="str">
        <f t="shared" ca="1" si="77"/>
        <v/>
      </c>
      <c r="N968" s="74" t="str">
        <f>IF($C968="","",IF($C968="TANIMSIZ MÜŞTERİ","—",INDEX(MUSTERILER!$C$7:$C$156,MATCH($C968,MUSTERILER!$B$7:$B$156,0))))</f>
        <v/>
      </c>
      <c r="O968" s="2"/>
      <c r="P968" s="2"/>
      <c r="Q968" s="1" t="str">
        <f>IF($D968="","",$C968&amp;"|"&amp;COUNTIFS($C$7:$C968,$C968))</f>
        <v/>
      </c>
      <c r="R968" s="1" t="str">
        <f t="shared" si="78"/>
        <v/>
      </c>
      <c r="S968" s="1" t="str">
        <f t="shared" si="79"/>
        <v/>
      </c>
      <c r="T968" s="1">
        <f>IF($E968="",0,SUMPRODUCT((AY_SONU!$O$7:$O$42="Evet")*(AY_SONU!$B$7:$B$42=DATE(YEAR($E968),MONTH($E968),1))))</f>
        <v>0</v>
      </c>
    </row>
    <row r="969" spans="1:20" ht="18" customHeight="1" x14ac:dyDescent="0.3">
      <c r="A969" s="2"/>
      <c r="B969" s="65" t="str">
        <f t="shared" si="75"/>
        <v/>
      </c>
      <c r="C969" s="65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66"/>
      <c r="F969" s="67"/>
      <c r="G969" s="60"/>
      <c r="H969" s="60"/>
      <c r="I969" s="61"/>
      <c r="J969" s="61"/>
      <c r="K969" s="61"/>
      <c r="L969" s="73" t="str">
        <f t="shared" si="76"/>
        <v/>
      </c>
      <c r="M969" s="65" t="str">
        <f t="shared" ca="1" si="77"/>
        <v/>
      </c>
      <c r="N969" s="74" t="str">
        <f>IF($C969="","",IF($C969="TANIMSIZ MÜŞTERİ","—",INDEX(MUSTERILER!$C$7:$C$156,MATCH($C969,MUSTERILER!$B$7:$B$156,0))))</f>
        <v/>
      </c>
      <c r="O969" s="2"/>
      <c r="P969" s="2"/>
      <c r="Q969" s="1" t="str">
        <f>IF($D969="","",$C969&amp;"|"&amp;COUNTIFS($C$7:$C969,$C969))</f>
        <v/>
      </c>
      <c r="R969" s="1" t="str">
        <f t="shared" si="78"/>
        <v/>
      </c>
      <c r="S969" s="1" t="str">
        <f t="shared" si="79"/>
        <v/>
      </c>
      <c r="T969" s="1">
        <f>IF($E969="",0,SUMPRODUCT((AY_SONU!$O$7:$O$42="Evet")*(AY_SONU!$B$7:$B$42=DATE(YEAR($E969),MONTH($E969),1))))</f>
        <v>0</v>
      </c>
    </row>
    <row r="970" spans="1:20" ht="18" customHeight="1" x14ac:dyDescent="0.3">
      <c r="A970" s="2"/>
      <c r="B970" s="65" t="str">
        <f t="shared" si="75"/>
        <v/>
      </c>
      <c r="C970" s="65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66"/>
      <c r="F970" s="67"/>
      <c r="G970" s="60"/>
      <c r="H970" s="60"/>
      <c r="I970" s="61"/>
      <c r="J970" s="61"/>
      <c r="K970" s="61"/>
      <c r="L970" s="73" t="str">
        <f t="shared" si="76"/>
        <v/>
      </c>
      <c r="M970" s="65" t="str">
        <f t="shared" ca="1" si="77"/>
        <v/>
      </c>
      <c r="N970" s="74" t="str">
        <f>IF($C970="","",IF($C970="TANIMSIZ MÜŞTERİ","—",INDEX(MUSTERILER!$C$7:$C$156,MATCH($C970,MUSTERILER!$B$7:$B$156,0))))</f>
        <v/>
      </c>
      <c r="O970" s="2"/>
      <c r="P970" s="2"/>
      <c r="Q970" s="1" t="str">
        <f>IF($D970="","",$C970&amp;"|"&amp;COUNTIFS($C$7:$C970,$C970))</f>
        <v/>
      </c>
      <c r="R970" s="1" t="str">
        <f t="shared" si="78"/>
        <v/>
      </c>
      <c r="S970" s="1" t="str">
        <f t="shared" si="79"/>
        <v/>
      </c>
      <c r="T970" s="1">
        <f>IF($E970="",0,SUMPRODUCT((AY_SONU!$O$7:$O$42="Evet")*(AY_SONU!$B$7:$B$42=DATE(YEAR($E970),MONTH($E970),1))))</f>
        <v>0</v>
      </c>
    </row>
    <row r="971" spans="1:20" ht="18" customHeight="1" x14ac:dyDescent="0.3">
      <c r="A971" s="2"/>
      <c r="B971" s="65" t="str">
        <f t="shared" si="75"/>
        <v/>
      </c>
      <c r="C971" s="65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66"/>
      <c r="F971" s="67"/>
      <c r="G971" s="60"/>
      <c r="H971" s="60"/>
      <c r="I971" s="61"/>
      <c r="J971" s="61"/>
      <c r="K971" s="61"/>
      <c r="L971" s="73" t="str">
        <f t="shared" si="76"/>
        <v/>
      </c>
      <c r="M971" s="65" t="str">
        <f t="shared" ca="1" si="77"/>
        <v/>
      </c>
      <c r="N971" s="74" t="str">
        <f>IF($C971="","",IF($C971="TANIMSIZ MÜŞTERİ","—",INDEX(MUSTERILER!$C$7:$C$156,MATCH($C971,MUSTERILER!$B$7:$B$156,0))))</f>
        <v/>
      </c>
      <c r="O971" s="2"/>
      <c r="P971" s="2"/>
      <c r="Q971" s="1" t="str">
        <f>IF($D971="","",$C971&amp;"|"&amp;COUNTIFS($C$7:$C971,$C971))</f>
        <v/>
      </c>
      <c r="R971" s="1" t="str">
        <f t="shared" si="78"/>
        <v/>
      </c>
      <c r="S971" s="1" t="str">
        <f t="shared" si="79"/>
        <v/>
      </c>
      <c r="T971" s="1">
        <f>IF($E971="",0,SUMPRODUCT((AY_SONU!$O$7:$O$42="Evet")*(AY_SONU!$B$7:$B$42=DATE(YEAR($E971),MONTH($E971),1))))</f>
        <v>0</v>
      </c>
    </row>
    <row r="972" spans="1:20" ht="18" customHeight="1" x14ac:dyDescent="0.3">
      <c r="A972" s="2"/>
      <c r="B972" s="65" t="str">
        <f t="shared" si="75"/>
        <v/>
      </c>
      <c r="C972" s="65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66"/>
      <c r="F972" s="67"/>
      <c r="G972" s="60"/>
      <c r="H972" s="60"/>
      <c r="I972" s="61"/>
      <c r="J972" s="61"/>
      <c r="K972" s="61"/>
      <c r="L972" s="73" t="str">
        <f t="shared" si="76"/>
        <v/>
      </c>
      <c r="M972" s="65" t="str">
        <f t="shared" ca="1" si="77"/>
        <v/>
      </c>
      <c r="N972" s="74" t="str">
        <f>IF($C972="","",IF($C972="TANIMSIZ MÜŞTERİ","—",INDEX(MUSTERILER!$C$7:$C$156,MATCH($C972,MUSTERILER!$B$7:$B$156,0))))</f>
        <v/>
      </c>
      <c r="O972" s="2"/>
      <c r="P972" s="2"/>
      <c r="Q972" s="1" t="str">
        <f>IF($D972="","",$C972&amp;"|"&amp;COUNTIFS($C$7:$C972,$C972))</f>
        <v/>
      </c>
      <c r="R972" s="1" t="str">
        <f t="shared" si="78"/>
        <v/>
      </c>
      <c r="S972" s="1" t="str">
        <f t="shared" si="79"/>
        <v/>
      </c>
      <c r="T972" s="1">
        <f>IF($E972="",0,SUMPRODUCT((AY_SONU!$O$7:$O$42="Evet")*(AY_SONU!$B$7:$B$42=DATE(YEAR($E972),MONTH($E972),1))))</f>
        <v>0</v>
      </c>
    </row>
    <row r="973" spans="1:20" ht="18" customHeight="1" x14ac:dyDescent="0.3">
      <c r="A973" s="2"/>
      <c r="B973" s="65" t="str">
        <f t="shared" si="75"/>
        <v/>
      </c>
      <c r="C973" s="65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66"/>
      <c r="F973" s="67"/>
      <c r="G973" s="60"/>
      <c r="H973" s="60"/>
      <c r="I973" s="61"/>
      <c r="J973" s="61"/>
      <c r="K973" s="61"/>
      <c r="L973" s="73" t="str">
        <f t="shared" si="76"/>
        <v/>
      </c>
      <c r="M973" s="65" t="str">
        <f t="shared" ca="1" si="77"/>
        <v/>
      </c>
      <c r="N973" s="74" t="str">
        <f>IF($C973="","",IF($C973="TANIMSIZ MÜŞTERİ","—",INDEX(MUSTERILER!$C$7:$C$156,MATCH($C973,MUSTERILER!$B$7:$B$156,0))))</f>
        <v/>
      </c>
      <c r="O973" s="2"/>
      <c r="P973" s="2"/>
      <c r="Q973" s="1" t="str">
        <f>IF($D973="","",$C973&amp;"|"&amp;COUNTIFS($C$7:$C973,$C973))</f>
        <v/>
      </c>
      <c r="R973" s="1" t="str">
        <f t="shared" si="78"/>
        <v/>
      </c>
      <c r="S973" s="1" t="str">
        <f t="shared" si="79"/>
        <v/>
      </c>
      <c r="T973" s="1">
        <f>IF($E973="",0,SUMPRODUCT((AY_SONU!$O$7:$O$42="Evet")*(AY_SONU!$B$7:$B$42=DATE(YEAR($E973),MONTH($E973),1))))</f>
        <v>0</v>
      </c>
    </row>
    <row r="974" spans="1:20" ht="18" customHeight="1" x14ac:dyDescent="0.3">
      <c r="A974" s="2"/>
      <c r="B974" s="65" t="str">
        <f t="shared" si="75"/>
        <v/>
      </c>
      <c r="C974" s="65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66"/>
      <c r="F974" s="67"/>
      <c r="G974" s="60"/>
      <c r="H974" s="60"/>
      <c r="I974" s="61"/>
      <c r="J974" s="61"/>
      <c r="K974" s="61"/>
      <c r="L974" s="73" t="str">
        <f t="shared" si="76"/>
        <v/>
      </c>
      <c r="M974" s="65" t="str">
        <f t="shared" ca="1" si="77"/>
        <v/>
      </c>
      <c r="N974" s="74" t="str">
        <f>IF($C974="","",IF($C974="TANIMSIZ MÜŞTERİ","—",INDEX(MUSTERILER!$C$7:$C$156,MATCH($C974,MUSTERILER!$B$7:$B$156,0))))</f>
        <v/>
      </c>
      <c r="O974" s="2"/>
      <c r="P974" s="2"/>
      <c r="Q974" s="1" t="str">
        <f>IF($D974="","",$C974&amp;"|"&amp;COUNTIFS($C$7:$C974,$C974))</f>
        <v/>
      </c>
      <c r="R974" s="1" t="str">
        <f t="shared" si="78"/>
        <v/>
      </c>
      <c r="S974" s="1" t="str">
        <f t="shared" si="79"/>
        <v/>
      </c>
      <c r="T974" s="1">
        <f>IF($E974="",0,SUMPRODUCT((AY_SONU!$O$7:$O$42="Evet")*(AY_SONU!$B$7:$B$42=DATE(YEAR($E974),MONTH($E974),1))))</f>
        <v>0</v>
      </c>
    </row>
    <row r="975" spans="1:20" ht="18" customHeight="1" x14ac:dyDescent="0.3">
      <c r="A975" s="2"/>
      <c r="B975" s="65" t="str">
        <f t="shared" si="75"/>
        <v/>
      </c>
      <c r="C975" s="65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66"/>
      <c r="F975" s="67"/>
      <c r="G975" s="60"/>
      <c r="H975" s="60"/>
      <c r="I975" s="61"/>
      <c r="J975" s="61"/>
      <c r="K975" s="61"/>
      <c r="L975" s="73" t="str">
        <f t="shared" si="76"/>
        <v/>
      </c>
      <c r="M975" s="65" t="str">
        <f t="shared" ca="1" si="77"/>
        <v/>
      </c>
      <c r="N975" s="74" t="str">
        <f>IF($C975="","",IF($C975="TANIMSIZ MÜŞTERİ","—",INDEX(MUSTERILER!$C$7:$C$156,MATCH($C975,MUSTERILER!$B$7:$B$156,0))))</f>
        <v/>
      </c>
      <c r="O975" s="2"/>
      <c r="P975" s="2"/>
      <c r="Q975" s="1" t="str">
        <f>IF($D975="","",$C975&amp;"|"&amp;COUNTIFS($C$7:$C975,$C975))</f>
        <v/>
      </c>
      <c r="R975" s="1" t="str">
        <f t="shared" si="78"/>
        <v/>
      </c>
      <c r="S975" s="1" t="str">
        <f t="shared" si="79"/>
        <v/>
      </c>
      <c r="T975" s="1">
        <f>IF($E975="",0,SUMPRODUCT((AY_SONU!$O$7:$O$42="Evet")*(AY_SONU!$B$7:$B$42=DATE(YEAR($E975),MONTH($E975),1))))</f>
        <v>0</v>
      </c>
    </row>
    <row r="976" spans="1:20" ht="18" customHeight="1" x14ac:dyDescent="0.3">
      <c r="A976" s="2"/>
      <c r="B976" s="65" t="str">
        <f t="shared" si="75"/>
        <v/>
      </c>
      <c r="C976" s="65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66"/>
      <c r="F976" s="67"/>
      <c r="G976" s="60"/>
      <c r="H976" s="60"/>
      <c r="I976" s="61"/>
      <c r="J976" s="61"/>
      <c r="K976" s="61"/>
      <c r="L976" s="73" t="str">
        <f t="shared" si="76"/>
        <v/>
      </c>
      <c r="M976" s="65" t="str">
        <f t="shared" ca="1" si="77"/>
        <v/>
      </c>
      <c r="N976" s="74" t="str">
        <f>IF($C976="","",IF($C976="TANIMSIZ MÜŞTERİ","—",INDEX(MUSTERILER!$C$7:$C$156,MATCH($C976,MUSTERILER!$B$7:$B$156,0))))</f>
        <v/>
      </c>
      <c r="O976" s="2"/>
      <c r="P976" s="2"/>
      <c r="Q976" s="1" t="str">
        <f>IF($D976="","",$C976&amp;"|"&amp;COUNTIFS($C$7:$C976,$C976))</f>
        <v/>
      </c>
      <c r="R976" s="1" t="str">
        <f t="shared" si="78"/>
        <v/>
      </c>
      <c r="S976" s="1" t="str">
        <f t="shared" si="79"/>
        <v/>
      </c>
      <c r="T976" s="1">
        <f>IF($E976="",0,SUMPRODUCT((AY_SONU!$O$7:$O$42="Evet")*(AY_SONU!$B$7:$B$42=DATE(YEAR($E976),MONTH($E976),1))))</f>
        <v>0</v>
      </c>
    </row>
    <row r="977" spans="1:20" ht="18" customHeight="1" x14ac:dyDescent="0.3">
      <c r="A977" s="2"/>
      <c r="B977" s="65" t="str">
        <f t="shared" si="75"/>
        <v/>
      </c>
      <c r="C977" s="65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66"/>
      <c r="F977" s="67"/>
      <c r="G977" s="60"/>
      <c r="H977" s="60"/>
      <c r="I977" s="61"/>
      <c r="J977" s="61"/>
      <c r="K977" s="61"/>
      <c r="L977" s="73" t="str">
        <f t="shared" si="76"/>
        <v/>
      </c>
      <c r="M977" s="65" t="str">
        <f t="shared" ca="1" si="77"/>
        <v/>
      </c>
      <c r="N977" s="74" t="str">
        <f>IF($C977="","",IF($C977="TANIMSIZ MÜŞTERİ","—",INDEX(MUSTERILER!$C$7:$C$156,MATCH($C977,MUSTERILER!$B$7:$B$156,0))))</f>
        <v/>
      </c>
      <c r="O977" s="2"/>
      <c r="P977" s="2"/>
      <c r="Q977" s="1" t="str">
        <f>IF($D977="","",$C977&amp;"|"&amp;COUNTIFS($C$7:$C977,$C977))</f>
        <v/>
      </c>
      <c r="R977" s="1" t="str">
        <f t="shared" si="78"/>
        <v/>
      </c>
      <c r="S977" s="1" t="str">
        <f t="shared" si="79"/>
        <v/>
      </c>
      <c r="T977" s="1">
        <f>IF($E977="",0,SUMPRODUCT((AY_SONU!$O$7:$O$42="Evet")*(AY_SONU!$B$7:$B$42=DATE(YEAR($E977),MONTH($E977),1))))</f>
        <v>0</v>
      </c>
    </row>
    <row r="978" spans="1:20" ht="18" customHeight="1" x14ac:dyDescent="0.3">
      <c r="A978" s="2"/>
      <c r="B978" s="65" t="str">
        <f t="shared" si="75"/>
        <v/>
      </c>
      <c r="C978" s="65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66"/>
      <c r="F978" s="67"/>
      <c r="G978" s="60"/>
      <c r="H978" s="60"/>
      <c r="I978" s="61"/>
      <c r="J978" s="61"/>
      <c r="K978" s="61"/>
      <c r="L978" s="73" t="str">
        <f t="shared" si="76"/>
        <v/>
      </c>
      <c r="M978" s="65" t="str">
        <f t="shared" ca="1" si="77"/>
        <v/>
      </c>
      <c r="N978" s="74" t="str">
        <f>IF($C978="","",IF($C978="TANIMSIZ MÜŞTERİ","—",INDEX(MUSTERILER!$C$7:$C$156,MATCH($C978,MUSTERILER!$B$7:$B$156,0))))</f>
        <v/>
      </c>
      <c r="O978" s="2"/>
      <c r="P978" s="2"/>
      <c r="Q978" s="1" t="str">
        <f>IF($D978="","",$C978&amp;"|"&amp;COUNTIFS($C$7:$C978,$C978))</f>
        <v/>
      </c>
      <c r="R978" s="1" t="str">
        <f t="shared" si="78"/>
        <v/>
      </c>
      <c r="S978" s="1" t="str">
        <f t="shared" si="79"/>
        <v/>
      </c>
      <c r="T978" s="1">
        <f>IF($E978="",0,SUMPRODUCT((AY_SONU!$O$7:$O$42="Evet")*(AY_SONU!$B$7:$B$42=DATE(YEAR($E978),MONTH($E978),1))))</f>
        <v>0</v>
      </c>
    </row>
    <row r="979" spans="1:20" ht="18" customHeight="1" x14ac:dyDescent="0.3">
      <c r="A979" s="2"/>
      <c r="B979" s="65" t="str">
        <f t="shared" si="75"/>
        <v/>
      </c>
      <c r="C979" s="65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66"/>
      <c r="F979" s="67"/>
      <c r="G979" s="60"/>
      <c r="H979" s="60"/>
      <c r="I979" s="61"/>
      <c r="J979" s="61"/>
      <c r="K979" s="61"/>
      <c r="L979" s="73" t="str">
        <f t="shared" si="76"/>
        <v/>
      </c>
      <c r="M979" s="65" t="str">
        <f t="shared" ca="1" si="77"/>
        <v/>
      </c>
      <c r="N979" s="74" t="str">
        <f>IF($C979="","",IF($C979="TANIMSIZ MÜŞTERİ","—",INDEX(MUSTERILER!$C$7:$C$156,MATCH($C979,MUSTERILER!$B$7:$B$156,0))))</f>
        <v/>
      </c>
      <c r="O979" s="2"/>
      <c r="P979" s="2"/>
      <c r="Q979" s="1" t="str">
        <f>IF($D979="","",$C979&amp;"|"&amp;COUNTIFS($C$7:$C979,$C979))</f>
        <v/>
      </c>
      <c r="R979" s="1" t="str">
        <f t="shared" si="78"/>
        <v/>
      </c>
      <c r="S979" s="1" t="str">
        <f t="shared" si="79"/>
        <v/>
      </c>
      <c r="T979" s="1">
        <f>IF($E979="",0,SUMPRODUCT((AY_SONU!$O$7:$O$42="Evet")*(AY_SONU!$B$7:$B$42=DATE(YEAR($E979),MONTH($E979),1))))</f>
        <v>0</v>
      </c>
    </row>
    <row r="980" spans="1:20" ht="18" customHeight="1" x14ac:dyDescent="0.3">
      <c r="A980" s="2"/>
      <c r="B980" s="65" t="str">
        <f t="shared" si="75"/>
        <v/>
      </c>
      <c r="C980" s="65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66"/>
      <c r="F980" s="67"/>
      <c r="G980" s="60"/>
      <c r="H980" s="60"/>
      <c r="I980" s="61"/>
      <c r="J980" s="61"/>
      <c r="K980" s="61"/>
      <c r="L980" s="73" t="str">
        <f t="shared" si="76"/>
        <v/>
      </c>
      <c r="M980" s="65" t="str">
        <f t="shared" ca="1" si="77"/>
        <v/>
      </c>
      <c r="N980" s="74" t="str">
        <f>IF($C980="","",IF($C980="TANIMSIZ MÜŞTERİ","—",INDEX(MUSTERILER!$C$7:$C$156,MATCH($C980,MUSTERILER!$B$7:$B$156,0))))</f>
        <v/>
      </c>
      <c r="O980" s="2"/>
      <c r="P980" s="2"/>
      <c r="Q980" s="1" t="str">
        <f>IF($D980="","",$C980&amp;"|"&amp;COUNTIFS($C$7:$C980,$C980))</f>
        <v/>
      </c>
      <c r="R980" s="1" t="str">
        <f t="shared" si="78"/>
        <v/>
      </c>
      <c r="S980" s="1" t="str">
        <f t="shared" si="79"/>
        <v/>
      </c>
      <c r="T980" s="1">
        <f>IF($E980="",0,SUMPRODUCT((AY_SONU!$O$7:$O$42="Evet")*(AY_SONU!$B$7:$B$42=DATE(YEAR($E980),MONTH($E980),1))))</f>
        <v>0</v>
      </c>
    </row>
    <row r="981" spans="1:20" ht="18" customHeight="1" x14ac:dyDescent="0.3">
      <c r="A981" s="2"/>
      <c r="B981" s="65" t="str">
        <f t="shared" si="75"/>
        <v/>
      </c>
      <c r="C981" s="65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66"/>
      <c r="F981" s="67"/>
      <c r="G981" s="60"/>
      <c r="H981" s="60"/>
      <c r="I981" s="61"/>
      <c r="J981" s="61"/>
      <c r="K981" s="61"/>
      <c r="L981" s="73" t="str">
        <f t="shared" si="76"/>
        <v/>
      </c>
      <c r="M981" s="65" t="str">
        <f t="shared" ca="1" si="77"/>
        <v/>
      </c>
      <c r="N981" s="74" t="str">
        <f>IF($C981="","",IF($C981="TANIMSIZ MÜŞTERİ","—",INDEX(MUSTERILER!$C$7:$C$156,MATCH($C981,MUSTERILER!$B$7:$B$156,0))))</f>
        <v/>
      </c>
      <c r="O981" s="2"/>
      <c r="P981" s="2"/>
      <c r="Q981" s="1" t="str">
        <f>IF($D981="","",$C981&amp;"|"&amp;COUNTIFS($C$7:$C981,$C981))</f>
        <v/>
      </c>
      <c r="R981" s="1" t="str">
        <f t="shared" si="78"/>
        <v/>
      </c>
      <c r="S981" s="1" t="str">
        <f t="shared" si="79"/>
        <v/>
      </c>
      <c r="T981" s="1">
        <f>IF($E981="",0,SUMPRODUCT((AY_SONU!$O$7:$O$42="Evet")*(AY_SONU!$B$7:$B$42=DATE(YEAR($E981),MONTH($E981),1))))</f>
        <v>0</v>
      </c>
    </row>
    <row r="982" spans="1:20" ht="18" customHeight="1" x14ac:dyDescent="0.3">
      <c r="A982" s="2"/>
      <c r="B982" s="65" t="str">
        <f t="shared" si="75"/>
        <v/>
      </c>
      <c r="C982" s="65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66"/>
      <c r="F982" s="67"/>
      <c r="G982" s="60"/>
      <c r="H982" s="60"/>
      <c r="I982" s="61"/>
      <c r="J982" s="61"/>
      <c r="K982" s="61"/>
      <c r="L982" s="73" t="str">
        <f t="shared" si="76"/>
        <v/>
      </c>
      <c r="M982" s="65" t="str">
        <f t="shared" ca="1" si="77"/>
        <v/>
      </c>
      <c r="N982" s="74" t="str">
        <f>IF($C982="","",IF($C982="TANIMSIZ MÜŞTERİ","—",INDEX(MUSTERILER!$C$7:$C$156,MATCH($C982,MUSTERILER!$B$7:$B$156,0))))</f>
        <v/>
      </c>
      <c r="O982" s="2"/>
      <c r="P982" s="2"/>
      <c r="Q982" s="1" t="str">
        <f>IF($D982="","",$C982&amp;"|"&amp;COUNTIFS($C$7:$C982,$C982))</f>
        <v/>
      </c>
      <c r="R982" s="1" t="str">
        <f t="shared" si="78"/>
        <v/>
      </c>
      <c r="S982" s="1" t="str">
        <f t="shared" si="79"/>
        <v/>
      </c>
      <c r="T982" s="1">
        <f>IF($E982="",0,SUMPRODUCT((AY_SONU!$O$7:$O$42="Evet")*(AY_SONU!$B$7:$B$42=DATE(YEAR($E982),MONTH($E982),1))))</f>
        <v>0</v>
      </c>
    </row>
    <row r="983" spans="1:20" ht="18" customHeight="1" x14ac:dyDescent="0.3">
      <c r="A983" s="2"/>
      <c r="B983" s="65" t="str">
        <f t="shared" si="75"/>
        <v/>
      </c>
      <c r="C983" s="65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66"/>
      <c r="F983" s="67"/>
      <c r="G983" s="60"/>
      <c r="H983" s="60"/>
      <c r="I983" s="61"/>
      <c r="J983" s="61"/>
      <c r="K983" s="61"/>
      <c r="L983" s="73" t="str">
        <f t="shared" si="76"/>
        <v/>
      </c>
      <c r="M983" s="65" t="str">
        <f t="shared" ca="1" si="77"/>
        <v/>
      </c>
      <c r="N983" s="74" t="str">
        <f>IF($C983="","",IF($C983="TANIMSIZ MÜŞTERİ","—",INDEX(MUSTERILER!$C$7:$C$156,MATCH($C983,MUSTERILER!$B$7:$B$156,0))))</f>
        <v/>
      </c>
      <c r="O983" s="2"/>
      <c r="P983" s="2"/>
      <c r="Q983" s="1" t="str">
        <f>IF($D983="","",$C983&amp;"|"&amp;COUNTIFS($C$7:$C983,$C983))</f>
        <v/>
      </c>
      <c r="R983" s="1" t="str">
        <f t="shared" si="78"/>
        <v/>
      </c>
      <c r="S983" s="1" t="str">
        <f t="shared" si="79"/>
        <v/>
      </c>
      <c r="T983" s="1">
        <f>IF($E983="",0,SUMPRODUCT((AY_SONU!$O$7:$O$42="Evet")*(AY_SONU!$B$7:$B$42=DATE(YEAR($E983),MONTH($E983),1))))</f>
        <v>0</v>
      </c>
    </row>
    <row r="984" spans="1:20" ht="18" customHeight="1" x14ac:dyDescent="0.3">
      <c r="A984" s="2"/>
      <c r="B984" s="65" t="str">
        <f t="shared" si="75"/>
        <v/>
      </c>
      <c r="C984" s="65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66"/>
      <c r="F984" s="67"/>
      <c r="G984" s="60"/>
      <c r="H984" s="60"/>
      <c r="I984" s="61"/>
      <c r="J984" s="61"/>
      <c r="K984" s="61"/>
      <c r="L984" s="73" t="str">
        <f t="shared" si="76"/>
        <v/>
      </c>
      <c r="M984" s="65" t="str">
        <f t="shared" ca="1" si="77"/>
        <v/>
      </c>
      <c r="N984" s="74" t="str">
        <f>IF($C984="","",IF($C984="TANIMSIZ MÜŞTERİ","—",INDEX(MUSTERILER!$C$7:$C$156,MATCH($C984,MUSTERILER!$B$7:$B$156,0))))</f>
        <v/>
      </c>
      <c r="O984" s="2"/>
      <c r="P984" s="2"/>
      <c r="Q984" s="1" t="str">
        <f>IF($D984="","",$C984&amp;"|"&amp;COUNTIFS($C$7:$C984,$C984))</f>
        <v/>
      </c>
      <c r="R984" s="1" t="str">
        <f t="shared" si="78"/>
        <v/>
      </c>
      <c r="S984" s="1" t="str">
        <f t="shared" si="79"/>
        <v/>
      </c>
      <c r="T984" s="1">
        <f>IF($E984="",0,SUMPRODUCT((AY_SONU!$O$7:$O$42="Evet")*(AY_SONU!$B$7:$B$42=DATE(YEAR($E984),MONTH($E984),1))))</f>
        <v>0</v>
      </c>
    </row>
    <row r="985" spans="1:20" ht="18" customHeight="1" x14ac:dyDescent="0.3">
      <c r="A985" s="2"/>
      <c r="B985" s="65" t="str">
        <f t="shared" si="75"/>
        <v/>
      </c>
      <c r="C985" s="65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66"/>
      <c r="F985" s="67"/>
      <c r="G985" s="60"/>
      <c r="H985" s="60"/>
      <c r="I985" s="61"/>
      <c r="J985" s="61"/>
      <c r="K985" s="61"/>
      <c r="L985" s="73" t="str">
        <f t="shared" si="76"/>
        <v/>
      </c>
      <c r="M985" s="65" t="str">
        <f t="shared" ca="1" si="77"/>
        <v/>
      </c>
      <c r="N985" s="74" t="str">
        <f>IF($C985="","",IF($C985="TANIMSIZ MÜŞTERİ","—",INDEX(MUSTERILER!$C$7:$C$156,MATCH($C985,MUSTERILER!$B$7:$B$156,0))))</f>
        <v/>
      </c>
      <c r="O985" s="2"/>
      <c r="P985" s="2"/>
      <c r="Q985" s="1" t="str">
        <f>IF($D985="","",$C985&amp;"|"&amp;COUNTIFS($C$7:$C985,$C985))</f>
        <v/>
      </c>
      <c r="R985" s="1" t="str">
        <f t="shared" si="78"/>
        <v/>
      </c>
      <c r="S985" s="1" t="str">
        <f t="shared" si="79"/>
        <v/>
      </c>
      <c r="T985" s="1">
        <f>IF($E985="",0,SUMPRODUCT((AY_SONU!$O$7:$O$42="Evet")*(AY_SONU!$B$7:$B$42=DATE(YEAR($E985),MONTH($E985),1))))</f>
        <v>0</v>
      </c>
    </row>
    <row r="986" spans="1:20" ht="18" customHeight="1" x14ac:dyDescent="0.3">
      <c r="A986" s="2"/>
      <c r="B986" s="65" t="str">
        <f t="shared" si="75"/>
        <v/>
      </c>
      <c r="C986" s="65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66"/>
      <c r="F986" s="67"/>
      <c r="G986" s="60"/>
      <c r="H986" s="60"/>
      <c r="I986" s="61"/>
      <c r="J986" s="61"/>
      <c r="K986" s="61"/>
      <c r="L986" s="73" t="str">
        <f t="shared" si="76"/>
        <v/>
      </c>
      <c r="M986" s="65" t="str">
        <f t="shared" ca="1" si="77"/>
        <v/>
      </c>
      <c r="N986" s="74" t="str">
        <f>IF($C986="","",IF($C986="TANIMSIZ MÜŞTERİ","—",INDEX(MUSTERILER!$C$7:$C$156,MATCH($C986,MUSTERILER!$B$7:$B$156,0))))</f>
        <v/>
      </c>
      <c r="O986" s="2"/>
      <c r="P986" s="2"/>
      <c r="Q986" s="1" t="str">
        <f>IF($D986="","",$C986&amp;"|"&amp;COUNTIFS($C$7:$C986,$C986))</f>
        <v/>
      </c>
      <c r="R986" s="1" t="str">
        <f t="shared" si="78"/>
        <v/>
      </c>
      <c r="S986" s="1" t="str">
        <f t="shared" si="79"/>
        <v/>
      </c>
      <c r="T986" s="1">
        <f>IF($E986="",0,SUMPRODUCT((AY_SONU!$O$7:$O$42="Evet")*(AY_SONU!$B$7:$B$42=DATE(YEAR($E986),MONTH($E986),1))))</f>
        <v>0</v>
      </c>
    </row>
    <row r="987" spans="1:20" ht="18" customHeight="1" x14ac:dyDescent="0.3">
      <c r="A987" s="2"/>
      <c r="B987" s="65" t="str">
        <f t="shared" si="75"/>
        <v/>
      </c>
      <c r="C987" s="65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66"/>
      <c r="F987" s="67"/>
      <c r="G987" s="60"/>
      <c r="H987" s="60"/>
      <c r="I987" s="61"/>
      <c r="J987" s="61"/>
      <c r="K987" s="61"/>
      <c r="L987" s="73" t="str">
        <f t="shared" si="76"/>
        <v/>
      </c>
      <c r="M987" s="65" t="str">
        <f t="shared" ca="1" si="77"/>
        <v/>
      </c>
      <c r="N987" s="74" t="str">
        <f>IF($C987="","",IF($C987="TANIMSIZ MÜŞTERİ","—",INDEX(MUSTERILER!$C$7:$C$156,MATCH($C987,MUSTERILER!$B$7:$B$156,0))))</f>
        <v/>
      </c>
      <c r="O987" s="2"/>
      <c r="P987" s="2"/>
      <c r="Q987" s="1" t="str">
        <f>IF($D987="","",$C987&amp;"|"&amp;COUNTIFS($C$7:$C987,$C987))</f>
        <v/>
      </c>
      <c r="R987" s="1" t="str">
        <f t="shared" si="78"/>
        <v/>
      </c>
      <c r="S987" s="1" t="str">
        <f t="shared" si="79"/>
        <v/>
      </c>
      <c r="T987" s="1">
        <f>IF($E987="",0,SUMPRODUCT((AY_SONU!$O$7:$O$42="Evet")*(AY_SONU!$B$7:$B$42=DATE(YEAR($E987),MONTH($E987),1))))</f>
        <v>0</v>
      </c>
    </row>
    <row r="988" spans="1:20" ht="18" customHeight="1" x14ac:dyDescent="0.3">
      <c r="A988" s="2"/>
      <c r="B988" s="65" t="str">
        <f t="shared" si="75"/>
        <v/>
      </c>
      <c r="C988" s="65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66"/>
      <c r="F988" s="67"/>
      <c r="G988" s="60"/>
      <c r="H988" s="60"/>
      <c r="I988" s="61"/>
      <c r="J988" s="61"/>
      <c r="K988" s="61"/>
      <c r="L988" s="73" t="str">
        <f t="shared" si="76"/>
        <v/>
      </c>
      <c r="M988" s="65" t="str">
        <f t="shared" ca="1" si="77"/>
        <v/>
      </c>
      <c r="N988" s="74" t="str">
        <f>IF($C988="","",IF($C988="TANIMSIZ MÜŞTERİ","—",INDEX(MUSTERILER!$C$7:$C$156,MATCH($C988,MUSTERILER!$B$7:$B$156,0))))</f>
        <v/>
      </c>
      <c r="O988" s="2"/>
      <c r="P988" s="2"/>
      <c r="Q988" s="1" t="str">
        <f>IF($D988="","",$C988&amp;"|"&amp;COUNTIFS($C$7:$C988,$C988))</f>
        <v/>
      </c>
      <c r="R988" s="1" t="str">
        <f t="shared" si="78"/>
        <v/>
      </c>
      <c r="S988" s="1" t="str">
        <f t="shared" si="79"/>
        <v/>
      </c>
      <c r="T988" s="1">
        <f>IF($E988="",0,SUMPRODUCT((AY_SONU!$O$7:$O$42="Evet")*(AY_SONU!$B$7:$B$42=DATE(YEAR($E988),MONTH($E988),1))))</f>
        <v>0</v>
      </c>
    </row>
    <row r="989" spans="1:20" ht="18" customHeight="1" x14ac:dyDescent="0.3">
      <c r="A989" s="2"/>
      <c r="B989" s="65" t="str">
        <f t="shared" si="75"/>
        <v/>
      </c>
      <c r="C989" s="65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66"/>
      <c r="F989" s="67"/>
      <c r="G989" s="60"/>
      <c r="H989" s="60"/>
      <c r="I989" s="61"/>
      <c r="J989" s="61"/>
      <c r="K989" s="61"/>
      <c r="L989" s="73" t="str">
        <f t="shared" si="76"/>
        <v/>
      </c>
      <c r="M989" s="65" t="str">
        <f t="shared" ca="1" si="77"/>
        <v/>
      </c>
      <c r="N989" s="74" t="str">
        <f>IF($C989="","",IF($C989="TANIMSIZ MÜŞTERİ","—",INDEX(MUSTERILER!$C$7:$C$156,MATCH($C989,MUSTERILER!$B$7:$B$156,0))))</f>
        <v/>
      </c>
      <c r="O989" s="2"/>
      <c r="P989" s="2"/>
      <c r="Q989" s="1" t="str">
        <f>IF($D989="","",$C989&amp;"|"&amp;COUNTIFS($C$7:$C989,$C989))</f>
        <v/>
      </c>
      <c r="R989" s="1" t="str">
        <f t="shared" si="78"/>
        <v/>
      </c>
      <c r="S989" s="1" t="str">
        <f t="shared" si="79"/>
        <v/>
      </c>
      <c r="T989" s="1">
        <f>IF($E989="",0,SUMPRODUCT((AY_SONU!$O$7:$O$42="Evet")*(AY_SONU!$B$7:$B$42=DATE(YEAR($E989),MONTH($E989),1))))</f>
        <v>0</v>
      </c>
    </row>
    <row r="990" spans="1:20" ht="18" customHeight="1" x14ac:dyDescent="0.3">
      <c r="A990" s="2"/>
      <c r="B990" s="65" t="str">
        <f t="shared" si="75"/>
        <v/>
      </c>
      <c r="C990" s="65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66"/>
      <c r="F990" s="67"/>
      <c r="G990" s="60"/>
      <c r="H990" s="60"/>
      <c r="I990" s="61"/>
      <c r="J990" s="61"/>
      <c r="K990" s="61"/>
      <c r="L990" s="73" t="str">
        <f t="shared" si="76"/>
        <v/>
      </c>
      <c r="M990" s="65" t="str">
        <f t="shared" ca="1" si="77"/>
        <v/>
      </c>
      <c r="N990" s="74" t="str">
        <f>IF($C990="","",IF($C990="TANIMSIZ MÜŞTERİ","—",INDEX(MUSTERILER!$C$7:$C$156,MATCH($C990,MUSTERILER!$B$7:$B$156,0))))</f>
        <v/>
      </c>
      <c r="O990" s="2"/>
      <c r="P990" s="2"/>
      <c r="Q990" s="1" t="str">
        <f>IF($D990="","",$C990&amp;"|"&amp;COUNTIFS($C$7:$C990,$C990))</f>
        <v/>
      </c>
      <c r="R990" s="1" t="str">
        <f t="shared" si="78"/>
        <v/>
      </c>
      <c r="S990" s="1" t="str">
        <f t="shared" si="79"/>
        <v/>
      </c>
      <c r="T990" s="1">
        <f>IF($E990="",0,SUMPRODUCT((AY_SONU!$O$7:$O$42="Evet")*(AY_SONU!$B$7:$B$42=DATE(YEAR($E990),MONTH($E990),1))))</f>
        <v>0</v>
      </c>
    </row>
    <row r="991" spans="1:20" ht="18" customHeight="1" x14ac:dyDescent="0.3">
      <c r="A991" s="2"/>
      <c r="B991" s="65" t="str">
        <f t="shared" si="75"/>
        <v/>
      </c>
      <c r="C991" s="65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66"/>
      <c r="F991" s="67"/>
      <c r="G991" s="60"/>
      <c r="H991" s="60"/>
      <c r="I991" s="61"/>
      <c r="J991" s="61"/>
      <c r="K991" s="61"/>
      <c r="L991" s="73" t="str">
        <f t="shared" si="76"/>
        <v/>
      </c>
      <c r="M991" s="65" t="str">
        <f t="shared" ca="1" si="77"/>
        <v/>
      </c>
      <c r="N991" s="74" t="str">
        <f>IF($C991="","",IF($C991="TANIMSIZ MÜŞTERİ","—",INDEX(MUSTERILER!$C$7:$C$156,MATCH($C991,MUSTERILER!$B$7:$B$156,0))))</f>
        <v/>
      </c>
      <c r="O991" s="2"/>
      <c r="P991" s="2"/>
      <c r="Q991" s="1" t="str">
        <f>IF($D991="","",$C991&amp;"|"&amp;COUNTIFS($C$7:$C991,$C991))</f>
        <v/>
      </c>
      <c r="R991" s="1" t="str">
        <f t="shared" si="78"/>
        <v/>
      </c>
      <c r="S991" s="1" t="str">
        <f t="shared" si="79"/>
        <v/>
      </c>
      <c r="T991" s="1">
        <f>IF($E991="",0,SUMPRODUCT((AY_SONU!$O$7:$O$42="Evet")*(AY_SONU!$B$7:$B$42=DATE(YEAR($E991),MONTH($E991),1))))</f>
        <v>0</v>
      </c>
    </row>
    <row r="992" spans="1:20" ht="18" customHeight="1" x14ac:dyDescent="0.3">
      <c r="A992" s="2"/>
      <c r="B992" s="65" t="str">
        <f t="shared" si="75"/>
        <v/>
      </c>
      <c r="C992" s="65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66"/>
      <c r="F992" s="67"/>
      <c r="G992" s="60"/>
      <c r="H992" s="60"/>
      <c r="I992" s="61"/>
      <c r="J992" s="61"/>
      <c r="K992" s="61"/>
      <c r="L992" s="73" t="str">
        <f t="shared" si="76"/>
        <v/>
      </c>
      <c r="M992" s="65" t="str">
        <f t="shared" ca="1" si="77"/>
        <v/>
      </c>
      <c r="N992" s="74" t="str">
        <f>IF($C992="","",IF($C992="TANIMSIZ MÜŞTERİ","—",INDEX(MUSTERILER!$C$7:$C$156,MATCH($C992,MUSTERILER!$B$7:$B$156,0))))</f>
        <v/>
      </c>
      <c r="O992" s="2"/>
      <c r="P992" s="2"/>
      <c r="Q992" s="1" t="str">
        <f>IF($D992="","",$C992&amp;"|"&amp;COUNTIFS($C$7:$C992,$C992))</f>
        <v/>
      </c>
      <c r="R992" s="1" t="str">
        <f t="shared" si="78"/>
        <v/>
      </c>
      <c r="S992" s="1" t="str">
        <f t="shared" si="79"/>
        <v/>
      </c>
      <c r="T992" s="1">
        <f>IF($E992="",0,SUMPRODUCT((AY_SONU!$O$7:$O$42="Evet")*(AY_SONU!$B$7:$B$42=DATE(YEAR($E992),MONTH($E992),1))))</f>
        <v>0</v>
      </c>
    </row>
    <row r="993" spans="1:20" ht="18" customHeight="1" x14ac:dyDescent="0.3">
      <c r="A993" s="2"/>
      <c r="B993" s="65" t="str">
        <f t="shared" si="75"/>
        <v/>
      </c>
      <c r="C993" s="65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66"/>
      <c r="F993" s="67"/>
      <c r="G993" s="60"/>
      <c r="H993" s="60"/>
      <c r="I993" s="61"/>
      <c r="J993" s="61"/>
      <c r="K993" s="61"/>
      <c r="L993" s="73" t="str">
        <f t="shared" si="76"/>
        <v/>
      </c>
      <c r="M993" s="65" t="str">
        <f t="shared" ca="1" si="77"/>
        <v/>
      </c>
      <c r="N993" s="74" t="str">
        <f>IF($C993="","",IF($C993="TANIMSIZ MÜŞTERİ","—",INDEX(MUSTERILER!$C$7:$C$156,MATCH($C993,MUSTERILER!$B$7:$B$156,0))))</f>
        <v/>
      </c>
      <c r="O993" s="2"/>
      <c r="P993" s="2"/>
      <c r="Q993" s="1" t="str">
        <f>IF($D993="","",$C993&amp;"|"&amp;COUNTIFS($C$7:$C993,$C993))</f>
        <v/>
      </c>
      <c r="R993" s="1" t="str">
        <f t="shared" si="78"/>
        <v/>
      </c>
      <c r="S993" s="1" t="str">
        <f t="shared" si="79"/>
        <v/>
      </c>
      <c r="T993" s="1">
        <f>IF($E993="",0,SUMPRODUCT((AY_SONU!$O$7:$O$42="Evet")*(AY_SONU!$B$7:$B$42=DATE(YEAR($E993),MONTH($E993),1))))</f>
        <v>0</v>
      </c>
    </row>
    <row r="994" spans="1:20" ht="18" customHeight="1" x14ac:dyDescent="0.3">
      <c r="A994" s="2"/>
      <c r="B994" s="65" t="str">
        <f t="shared" si="75"/>
        <v/>
      </c>
      <c r="C994" s="65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66"/>
      <c r="F994" s="67"/>
      <c r="G994" s="60"/>
      <c r="H994" s="60"/>
      <c r="I994" s="61"/>
      <c r="J994" s="61"/>
      <c r="K994" s="61"/>
      <c r="L994" s="73" t="str">
        <f t="shared" si="76"/>
        <v/>
      </c>
      <c r="M994" s="65" t="str">
        <f t="shared" ca="1" si="77"/>
        <v/>
      </c>
      <c r="N994" s="74" t="str">
        <f>IF($C994="","",IF($C994="TANIMSIZ MÜŞTERİ","—",INDEX(MUSTERILER!$C$7:$C$156,MATCH($C994,MUSTERILER!$B$7:$B$156,0))))</f>
        <v/>
      </c>
      <c r="O994" s="2"/>
      <c r="P994" s="2"/>
      <c r="Q994" s="1" t="str">
        <f>IF($D994="","",$C994&amp;"|"&amp;COUNTIFS($C$7:$C994,$C994))</f>
        <v/>
      </c>
      <c r="R994" s="1" t="str">
        <f t="shared" si="78"/>
        <v/>
      </c>
      <c r="S994" s="1" t="str">
        <f t="shared" si="79"/>
        <v/>
      </c>
      <c r="T994" s="1">
        <f>IF($E994="",0,SUMPRODUCT((AY_SONU!$O$7:$O$42="Evet")*(AY_SONU!$B$7:$B$42=DATE(YEAR($E994),MONTH($E994),1))))</f>
        <v>0</v>
      </c>
    </row>
    <row r="995" spans="1:20" ht="18" customHeight="1" x14ac:dyDescent="0.3">
      <c r="A995" s="2"/>
      <c r="B995" s="65" t="str">
        <f t="shared" si="75"/>
        <v/>
      </c>
      <c r="C995" s="65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66"/>
      <c r="F995" s="67"/>
      <c r="G995" s="60"/>
      <c r="H995" s="60"/>
      <c r="I995" s="61"/>
      <c r="J995" s="61"/>
      <c r="K995" s="61"/>
      <c r="L995" s="73" t="str">
        <f t="shared" si="76"/>
        <v/>
      </c>
      <c r="M995" s="65" t="str">
        <f t="shared" ca="1" si="77"/>
        <v/>
      </c>
      <c r="N995" s="74" t="str">
        <f>IF($C995="","",IF($C995="TANIMSIZ MÜŞTERİ","—",INDEX(MUSTERILER!$C$7:$C$156,MATCH($C995,MUSTERILER!$B$7:$B$156,0))))</f>
        <v/>
      </c>
      <c r="O995" s="2"/>
      <c r="P995" s="2"/>
      <c r="Q995" s="1" t="str">
        <f>IF($D995="","",$C995&amp;"|"&amp;COUNTIFS($C$7:$C995,$C995))</f>
        <v/>
      </c>
      <c r="R995" s="1" t="str">
        <f t="shared" si="78"/>
        <v/>
      </c>
      <c r="S995" s="1" t="str">
        <f t="shared" si="79"/>
        <v/>
      </c>
      <c r="T995" s="1">
        <f>IF($E995="",0,SUMPRODUCT((AY_SONU!$O$7:$O$42="Evet")*(AY_SONU!$B$7:$B$42=DATE(YEAR($E995),MONTH($E995),1))))</f>
        <v>0</v>
      </c>
    </row>
    <row r="996" spans="1:20" ht="18" customHeight="1" x14ac:dyDescent="0.3">
      <c r="A996" s="2"/>
      <c r="B996" s="65" t="str">
        <f t="shared" si="75"/>
        <v/>
      </c>
      <c r="C996" s="65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66"/>
      <c r="F996" s="67"/>
      <c r="G996" s="60"/>
      <c r="H996" s="60"/>
      <c r="I996" s="61"/>
      <c r="J996" s="61"/>
      <c r="K996" s="61"/>
      <c r="L996" s="73" t="str">
        <f t="shared" si="76"/>
        <v/>
      </c>
      <c r="M996" s="65" t="str">
        <f t="shared" ca="1" si="77"/>
        <v/>
      </c>
      <c r="N996" s="74" t="str">
        <f>IF($C996="","",IF($C996="TANIMSIZ MÜŞTERİ","—",INDEX(MUSTERILER!$C$7:$C$156,MATCH($C996,MUSTERILER!$B$7:$B$156,0))))</f>
        <v/>
      </c>
      <c r="O996" s="2"/>
      <c r="P996" s="2"/>
      <c r="Q996" s="1" t="str">
        <f>IF($D996="","",$C996&amp;"|"&amp;COUNTIFS($C$7:$C996,$C996))</f>
        <v/>
      </c>
      <c r="R996" s="1" t="str">
        <f t="shared" si="78"/>
        <v/>
      </c>
      <c r="S996" s="1" t="str">
        <f t="shared" si="79"/>
        <v/>
      </c>
      <c r="T996" s="1">
        <f>IF($E996="",0,SUMPRODUCT((AY_SONU!$O$7:$O$42="Evet")*(AY_SONU!$B$7:$B$42=DATE(YEAR($E996),MONTH($E996),1))))</f>
        <v>0</v>
      </c>
    </row>
    <row r="997" spans="1:20" ht="18" customHeight="1" x14ac:dyDescent="0.3">
      <c r="A997" s="2"/>
      <c r="B997" s="65" t="str">
        <f t="shared" si="75"/>
        <v/>
      </c>
      <c r="C997" s="65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66"/>
      <c r="F997" s="67"/>
      <c r="G997" s="60"/>
      <c r="H997" s="60"/>
      <c r="I997" s="61"/>
      <c r="J997" s="61"/>
      <c r="K997" s="61"/>
      <c r="L997" s="73" t="str">
        <f t="shared" si="76"/>
        <v/>
      </c>
      <c r="M997" s="65" t="str">
        <f t="shared" ca="1" si="77"/>
        <v/>
      </c>
      <c r="N997" s="74" t="str">
        <f>IF($C997="","",IF($C997="TANIMSIZ MÜŞTERİ","—",INDEX(MUSTERILER!$C$7:$C$156,MATCH($C997,MUSTERILER!$B$7:$B$156,0))))</f>
        <v/>
      </c>
      <c r="O997" s="2"/>
      <c r="P997" s="2"/>
      <c r="Q997" s="1" t="str">
        <f>IF($D997="","",$C997&amp;"|"&amp;COUNTIFS($C$7:$C997,$C997))</f>
        <v/>
      </c>
      <c r="R997" s="1" t="str">
        <f t="shared" si="78"/>
        <v/>
      </c>
      <c r="S997" s="1" t="str">
        <f t="shared" si="79"/>
        <v/>
      </c>
      <c r="T997" s="1">
        <f>IF($E997="",0,SUMPRODUCT((AY_SONU!$O$7:$O$42="Evet")*(AY_SONU!$B$7:$B$42=DATE(YEAR($E997),MONTH($E997),1))))</f>
        <v>0</v>
      </c>
    </row>
    <row r="998" spans="1:20" ht="18" customHeight="1" x14ac:dyDescent="0.3">
      <c r="A998" s="2"/>
      <c r="B998" s="65" t="str">
        <f t="shared" si="75"/>
        <v/>
      </c>
      <c r="C998" s="65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66"/>
      <c r="F998" s="67"/>
      <c r="G998" s="60"/>
      <c r="H998" s="60"/>
      <c r="I998" s="61"/>
      <c r="J998" s="61"/>
      <c r="K998" s="61"/>
      <c r="L998" s="73" t="str">
        <f t="shared" si="76"/>
        <v/>
      </c>
      <c r="M998" s="65" t="str">
        <f t="shared" ca="1" si="77"/>
        <v/>
      </c>
      <c r="N998" s="74" t="str">
        <f>IF($C998="","",IF($C998="TANIMSIZ MÜŞTERİ","—",INDEX(MUSTERILER!$C$7:$C$156,MATCH($C998,MUSTERILER!$B$7:$B$156,0))))</f>
        <v/>
      </c>
      <c r="O998" s="2"/>
      <c r="P998" s="2"/>
      <c r="Q998" s="1" t="str">
        <f>IF($D998="","",$C998&amp;"|"&amp;COUNTIFS($C$7:$C998,$C998))</f>
        <v/>
      </c>
      <c r="R998" s="1" t="str">
        <f t="shared" si="78"/>
        <v/>
      </c>
      <c r="S998" s="1" t="str">
        <f t="shared" si="79"/>
        <v/>
      </c>
      <c r="T998" s="1">
        <f>IF($E998="",0,SUMPRODUCT((AY_SONU!$O$7:$O$42="Evet")*(AY_SONU!$B$7:$B$42=DATE(YEAR($E998),MONTH($E998),1))))</f>
        <v>0</v>
      </c>
    </row>
    <row r="999" spans="1:20" ht="18" customHeight="1" x14ac:dyDescent="0.3">
      <c r="A999" s="2"/>
      <c r="B999" s="65" t="str">
        <f t="shared" si="75"/>
        <v/>
      </c>
      <c r="C999" s="65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66"/>
      <c r="F999" s="67"/>
      <c r="G999" s="60"/>
      <c r="H999" s="60"/>
      <c r="I999" s="61"/>
      <c r="J999" s="61"/>
      <c r="K999" s="61"/>
      <c r="L999" s="73" t="str">
        <f t="shared" si="76"/>
        <v/>
      </c>
      <c r="M999" s="65" t="str">
        <f t="shared" ca="1" si="77"/>
        <v/>
      </c>
      <c r="N999" s="74" t="str">
        <f>IF($C999="","",IF($C999="TANIMSIZ MÜŞTERİ","—",INDEX(MUSTERILER!$C$7:$C$156,MATCH($C999,MUSTERILER!$B$7:$B$156,0))))</f>
        <v/>
      </c>
      <c r="O999" s="2"/>
      <c r="P999" s="2"/>
      <c r="Q999" s="1" t="str">
        <f>IF($D999="","",$C999&amp;"|"&amp;COUNTIFS($C$7:$C999,$C999))</f>
        <v/>
      </c>
      <c r="R999" s="1" t="str">
        <f t="shared" si="78"/>
        <v/>
      </c>
      <c r="S999" s="1" t="str">
        <f t="shared" si="79"/>
        <v/>
      </c>
      <c r="T999" s="1">
        <f>IF($E999="",0,SUMPRODUCT((AY_SONU!$O$7:$O$42="Evet")*(AY_SONU!$B$7:$B$42=DATE(YEAR($E999),MONTH($E999),1))))</f>
        <v>0</v>
      </c>
    </row>
    <row r="1000" spans="1:20" ht="18" customHeight="1" x14ac:dyDescent="0.3">
      <c r="A1000" s="2"/>
      <c r="B1000" s="65" t="str">
        <f t="shared" si="75"/>
        <v/>
      </c>
      <c r="C1000" s="65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66"/>
      <c r="F1000" s="67"/>
      <c r="G1000" s="60"/>
      <c r="H1000" s="60"/>
      <c r="I1000" s="61"/>
      <c r="J1000" s="61"/>
      <c r="K1000" s="61"/>
      <c r="L1000" s="73" t="str">
        <f t="shared" si="76"/>
        <v/>
      </c>
      <c r="M1000" s="65" t="str">
        <f t="shared" ca="1" si="77"/>
        <v/>
      </c>
      <c r="N1000" s="74" t="str">
        <f>IF($C1000="","",IF($C1000="TANIMSIZ MÜŞTERİ","—",INDEX(MUSTERILER!$C$7:$C$156,MATCH($C1000,MUSTERILER!$B$7:$B$156,0))))</f>
        <v/>
      </c>
      <c r="O1000" s="2"/>
      <c r="P1000" s="2"/>
      <c r="Q1000" s="1" t="str">
        <f>IF($D1000="","",$C1000&amp;"|"&amp;COUNTIFS($C$7:$C1000,$C1000))</f>
        <v/>
      </c>
      <c r="R1000" s="1" t="str">
        <f t="shared" si="78"/>
        <v/>
      </c>
      <c r="S1000" s="1" t="str">
        <f t="shared" si="79"/>
        <v/>
      </c>
      <c r="T1000" s="1">
        <f>IF($E1000="",0,SUMPRODUCT((AY_SONU!$O$7:$O$42="Evet")*(AY_SONU!$B$7:$B$42=DATE(YEAR($E1000),MONTH($E1000),1))))</f>
        <v>0</v>
      </c>
    </row>
    <row r="1001" spans="1:20" ht="18" customHeight="1" x14ac:dyDescent="0.3">
      <c r="A1001" s="2"/>
      <c r="B1001" s="65" t="str">
        <f t="shared" si="75"/>
        <v/>
      </c>
      <c r="C1001" s="65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66"/>
      <c r="F1001" s="67"/>
      <c r="G1001" s="60"/>
      <c r="H1001" s="60"/>
      <c r="I1001" s="61"/>
      <c r="J1001" s="61"/>
      <c r="K1001" s="61"/>
      <c r="L1001" s="73" t="str">
        <f t="shared" si="76"/>
        <v/>
      </c>
      <c r="M1001" s="65" t="str">
        <f t="shared" ca="1" si="77"/>
        <v/>
      </c>
      <c r="N1001" s="74" t="str">
        <f>IF($C1001="","",IF($C1001="TANIMSIZ MÜŞTERİ","—",INDEX(MUSTERILER!$C$7:$C$156,MATCH($C1001,MUSTERILER!$B$7:$B$156,0))))</f>
        <v/>
      </c>
      <c r="O1001" s="2"/>
      <c r="P1001" s="2"/>
      <c r="Q1001" s="1" t="str">
        <f>IF($D1001="","",$C1001&amp;"|"&amp;COUNTIFS($C$7:$C1001,$C1001))</f>
        <v/>
      </c>
      <c r="R1001" s="1" t="str">
        <f t="shared" si="78"/>
        <v/>
      </c>
      <c r="S1001" s="1" t="str">
        <f t="shared" si="79"/>
        <v/>
      </c>
      <c r="T1001" s="1">
        <f>IF($E1001="",0,SUMPRODUCT((AY_SONU!$O$7:$O$42="Evet")*(AY_SONU!$B$7:$B$42=DATE(YEAR($E1001),MONTH($E1001),1))))</f>
        <v>0</v>
      </c>
    </row>
    <row r="1002" spans="1:20" ht="18" customHeight="1" x14ac:dyDescent="0.3">
      <c r="A1002" s="2"/>
      <c r="B1002" s="65" t="str">
        <f t="shared" si="75"/>
        <v/>
      </c>
      <c r="C1002" s="65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66"/>
      <c r="F1002" s="67"/>
      <c r="G1002" s="60"/>
      <c r="H1002" s="60"/>
      <c r="I1002" s="61"/>
      <c r="J1002" s="61"/>
      <c r="K1002" s="61"/>
      <c r="L1002" s="73" t="str">
        <f t="shared" si="76"/>
        <v/>
      </c>
      <c r="M1002" s="65" t="str">
        <f t="shared" ca="1" si="77"/>
        <v/>
      </c>
      <c r="N1002" s="74" t="str">
        <f>IF($C1002="","",IF($C1002="TANIMSIZ MÜŞTERİ","—",INDEX(MUSTERILER!$C$7:$C$156,MATCH($C1002,MUSTERILER!$B$7:$B$156,0))))</f>
        <v/>
      </c>
      <c r="O1002" s="2"/>
      <c r="P1002" s="2"/>
      <c r="Q1002" s="1" t="str">
        <f>IF($D1002="","",$C1002&amp;"|"&amp;COUNTIFS($C$7:$C1002,$C1002))</f>
        <v/>
      </c>
      <c r="R1002" s="1" t="str">
        <f t="shared" si="78"/>
        <v/>
      </c>
      <c r="S1002" s="1" t="str">
        <f t="shared" si="79"/>
        <v/>
      </c>
      <c r="T1002" s="1">
        <f>IF($E1002="",0,SUMPRODUCT((AY_SONU!$O$7:$O$42="Evet")*(AY_SONU!$B$7:$B$42=DATE(YEAR($E1002),MONTH($E1002),1))))</f>
        <v>0</v>
      </c>
    </row>
    <row r="1003" spans="1:20" ht="18" customHeight="1" x14ac:dyDescent="0.3">
      <c r="A1003" s="2"/>
      <c r="B1003" s="65" t="str">
        <f t="shared" si="75"/>
        <v/>
      </c>
      <c r="C1003" s="65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66"/>
      <c r="F1003" s="67"/>
      <c r="G1003" s="60"/>
      <c r="H1003" s="60"/>
      <c r="I1003" s="61"/>
      <c r="J1003" s="61"/>
      <c r="K1003" s="61"/>
      <c r="L1003" s="73" t="str">
        <f t="shared" si="76"/>
        <v/>
      </c>
      <c r="M1003" s="65" t="str">
        <f t="shared" ca="1" si="77"/>
        <v/>
      </c>
      <c r="N1003" s="74" t="str">
        <f>IF($C1003="","",IF($C1003="TANIMSIZ MÜŞTERİ","—",INDEX(MUSTERILER!$C$7:$C$156,MATCH($C1003,MUSTERILER!$B$7:$B$156,0))))</f>
        <v/>
      </c>
      <c r="O1003" s="2"/>
      <c r="P1003" s="2"/>
      <c r="Q1003" s="1" t="str">
        <f>IF($D1003="","",$C1003&amp;"|"&amp;COUNTIFS($C$7:$C1003,$C1003))</f>
        <v/>
      </c>
      <c r="R1003" s="1" t="str">
        <f t="shared" si="78"/>
        <v/>
      </c>
      <c r="S1003" s="1" t="str">
        <f t="shared" si="79"/>
        <v/>
      </c>
      <c r="T1003" s="1">
        <f>IF($E1003="",0,SUMPRODUCT((AY_SONU!$O$7:$O$42="Evet")*(AY_SONU!$B$7:$B$42=DATE(YEAR($E1003),MONTH($E1003),1))))</f>
        <v>0</v>
      </c>
    </row>
    <row r="1004" spans="1:20" ht="18" customHeight="1" x14ac:dyDescent="0.3">
      <c r="A1004" s="2"/>
      <c r="B1004" s="65" t="str">
        <f t="shared" si="75"/>
        <v/>
      </c>
      <c r="C1004" s="65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66"/>
      <c r="F1004" s="67"/>
      <c r="G1004" s="60"/>
      <c r="H1004" s="60"/>
      <c r="I1004" s="61"/>
      <c r="J1004" s="61"/>
      <c r="K1004" s="61"/>
      <c r="L1004" s="73" t="str">
        <f t="shared" si="76"/>
        <v/>
      </c>
      <c r="M1004" s="65" t="str">
        <f t="shared" ca="1" si="77"/>
        <v/>
      </c>
      <c r="N1004" s="74" t="str">
        <f>IF($C1004="","",IF($C1004="TANIMSIZ MÜŞTERİ","—",INDEX(MUSTERILER!$C$7:$C$156,MATCH($C1004,MUSTERILER!$B$7:$B$156,0))))</f>
        <v/>
      </c>
      <c r="O1004" s="2"/>
      <c r="P1004" s="2"/>
      <c r="Q1004" s="1" t="str">
        <f>IF($D1004="","",$C1004&amp;"|"&amp;COUNTIFS($C$7:$C1004,$C1004))</f>
        <v/>
      </c>
      <c r="R1004" s="1" t="str">
        <f t="shared" si="78"/>
        <v/>
      </c>
      <c r="S1004" s="1" t="str">
        <f t="shared" si="79"/>
        <v/>
      </c>
      <c r="T1004" s="1">
        <f>IF($E1004="",0,SUMPRODUCT((AY_SONU!$O$7:$O$42="Evet")*(AY_SONU!$B$7:$B$42=DATE(YEAR($E1004),MONTH($E1004),1))))</f>
        <v>0</v>
      </c>
    </row>
    <row r="1005" spans="1:20" ht="18" customHeight="1" x14ac:dyDescent="0.3">
      <c r="A1005" s="2"/>
      <c r="B1005" s="65" t="str">
        <f t="shared" si="75"/>
        <v/>
      </c>
      <c r="C1005" s="65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66"/>
      <c r="F1005" s="67"/>
      <c r="G1005" s="60"/>
      <c r="H1005" s="60"/>
      <c r="I1005" s="61"/>
      <c r="J1005" s="61"/>
      <c r="K1005" s="61"/>
      <c r="L1005" s="73" t="str">
        <f t="shared" si="76"/>
        <v/>
      </c>
      <c r="M1005" s="65" t="str">
        <f t="shared" ca="1" si="77"/>
        <v/>
      </c>
      <c r="N1005" s="74" t="str">
        <f>IF($C1005="","",IF($C1005="TANIMSIZ MÜŞTERİ","—",INDEX(MUSTERILER!$C$7:$C$156,MATCH($C1005,MUSTERILER!$B$7:$B$156,0))))</f>
        <v/>
      </c>
      <c r="O1005" s="2"/>
      <c r="P1005" s="2"/>
      <c r="Q1005" s="1" t="str">
        <f>IF($D1005="","",$C1005&amp;"|"&amp;COUNTIFS($C$7:$C1005,$C1005))</f>
        <v/>
      </c>
      <c r="R1005" s="1" t="str">
        <f t="shared" si="78"/>
        <v/>
      </c>
      <c r="S1005" s="1" t="str">
        <f t="shared" si="79"/>
        <v/>
      </c>
      <c r="T1005" s="1">
        <f>IF($E1005="",0,SUMPRODUCT((AY_SONU!$O$7:$O$42="Evet")*(AY_SONU!$B$7:$B$42=DATE(YEAR($E1005),MONTH($E1005),1))))</f>
        <v>0</v>
      </c>
    </row>
    <row r="1006" spans="1:20" ht="18" customHeight="1" x14ac:dyDescent="0.3">
      <c r="A1006" s="2"/>
      <c r="B1006" s="65" t="str">
        <f t="shared" si="75"/>
        <v/>
      </c>
      <c r="C1006" s="65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66"/>
      <c r="F1006" s="67"/>
      <c r="G1006" s="60"/>
      <c r="H1006" s="60"/>
      <c r="I1006" s="61"/>
      <c r="J1006" s="61"/>
      <c r="K1006" s="61"/>
      <c r="L1006" s="73" t="str">
        <f t="shared" si="76"/>
        <v/>
      </c>
      <c r="M1006" s="65" t="str">
        <f t="shared" ca="1" si="77"/>
        <v/>
      </c>
      <c r="N1006" s="74" t="str">
        <f>IF($C1006="","",IF($C1006="TANIMSIZ MÜŞTERİ","—",INDEX(MUSTERILER!$C$7:$C$156,MATCH($C1006,MUSTERILER!$B$7:$B$156,0))))</f>
        <v/>
      </c>
      <c r="O1006" s="2"/>
      <c r="P1006" s="2"/>
      <c r="Q1006" s="1" t="str">
        <f>IF($D1006="","",$C1006&amp;"|"&amp;COUNTIFS($C$7:$C1006,$C1006))</f>
        <v/>
      </c>
      <c r="R1006" s="1" t="str">
        <f t="shared" si="78"/>
        <v/>
      </c>
      <c r="S1006" s="1" t="str">
        <f t="shared" si="79"/>
        <v/>
      </c>
      <c r="T1006" s="1">
        <f>IF($E1006="",0,SUMPRODUCT((AY_SONU!$O$7:$O$42="Evet")*(AY_SONU!$B$7:$B$42=DATE(YEAR($E1006),MONTH($E1006),1))))</f>
        <v>0</v>
      </c>
    </row>
    <row r="1007" spans="1:20" ht="18" customHeight="1" x14ac:dyDescent="0.3">
      <c r="A1007" s="2"/>
      <c r="B1007" s="65" t="str">
        <f t="shared" si="75"/>
        <v/>
      </c>
      <c r="C1007" s="65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66"/>
      <c r="F1007" s="67"/>
      <c r="G1007" s="60"/>
      <c r="H1007" s="60"/>
      <c r="I1007" s="61"/>
      <c r="J1007" s="61"/>
      <c r="K1007" s="61"/>
      <c r="L1007" s="73" t="str">
        <f t="shared" si="76"/>
        <v/>
      </c>
      <c r="M1007" s="65" t="str">
        <f t="shared" ca="1" si="77"/>
        <v/>
      </c>
      <c r="N1007" s="74" t="str">
        <f>IF($C1007="","",IF($C1007="TANIMSIZ MÜŞTERİ","—",INDEX(MUSTERILER!$C$7:$C$156,MATCH($C1007,MUSTERILER!$B$7:$B$156,0))))</f>
        <v/>
      </c>
      <c r="O1007" s="2"/>
      <c r="P1007" s="2"/>
      <c r="Q1007" s="1" t="str">
        <f>IF($D1007="","",$C1007&amp;"|"&amp;COUNTIFS($C$7:$C1007,$C1007))</f>
        <v/>
      </c>
      <c r="R1007" s="1" t="str">
        <f t="shared" si="78"/>
        <v/>
      </c>
      <c r="S1007" s="1" t="str">
        <f t="shared" si="79"/>
        <v/>
      </c>
      <c r="T1007" s="1">
        <f>IF($E1007="",0,SUMPRODUCT((AY_SONU!$O$7:$O$42="Evet")*(AY_SONU!$B$7:$B$42=DATE(YEAR($E1007),MONTH($E1007),1))))</f>
        <v>0</v>
      </c>
    </row>
    <row r="1008" spans="1:20" ht="18" customHeight="1" x14ac:dyDescent="0.3">
      <c r="A1008" s="2"/>
      <c r="B1008" s="65" t="str">
        <f t="shared" si="75"/>
        <v/>
      </c>
      <c r="C1008" s="65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66"/>
      <c r="F1008" s="67"/>
      <c r="G1008" s="60"/>
      <c r="H1008" s="60"/>
      <c r="I1008" s="61"/>
      <c r="J1008" s="61"/>
      <c r="K1008" s="61"/>
      <c r="L1008" s="73" t="str">
        <f t="shared" si="76"/>
        <v/>
      </c>
      <c r="M1008" s="65" t="str">
        <f t="shared" ca="1" si="77"/>
        <v/>
      </c>
      <c r="N1008" s="74" t="str">
        <f>IF($C1008="","",IF($C1008="TANIMSIZ MÜŞTERİ","—",INDEX(MUSTERILER!$C$7:$C$156,MATCH($C1008,MUSTERILER!$B$7:$B$156,0))))</f>
        <v/>
      </c>
      <c r="O1008" s="2"/>
      <c r="P1008" s="2"/>
      <c r="Q1008" s="1" t="str">
        <f>IF($D1008="","",$C1008&amp;"|"&amp;COUNTIFS($C$7:$C1008,$C1008))</f>
        <v/>
      </c>
      <c r="R1008" s="1" t="str">
        <f t="shared" si="78"/>
        <v/>
      </c>
      <c r="S1008" s="1" t="str">
        <f t="shared" si="79"/>
        <v/>
      </c>
      <c r="T1008" s="1">
        <f>IF($E1008="",0,SUMPRODUCT((AY_SONU!$O$7:$O$42="Evet")*(AY_SONU!$B$7:$B$42=DATE(YEAR($E1008),MONTH($E1008),1))))</f>
        <v>0</v>
      </c>
    </row>
    <row r="1009" spans="1:20" ht="18" customHeight="1" x14ac:dyDescent="0.3">
      <c r="A1009" s="2"/>
      <c r="B1009" s="65" t="str">
        <f t="shared" si="75"/>
        <v/>
      </c>
      <c r="C1009" s="65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66"/>
      <c r="F1009" s="67"/>
      <c r="G1009" s="60"/>
      <c r="H1009" s="60"/>
      <c r="I1009" s="61"/>
      <c r="J1009" s="61"/>
      <c r="K1009" s="61"/>
      <c r="L1009" s="73" t="str">
        <f t="shared" si="76"/>
        <v/>
      </c>
      <c r="M1009" s="65" t="str">
        <f t="shared" ca="1" si="77"/>
        <v/>
      </c>
      <c r="N1009" s="74" t="str">
        <f>IF($C1009="","",IF($C1009="TANIMSIZ MÜŞTERİ","—",INDEX(MUSTERILER!$C$7:$C$156,MATCH($C1009,MUSTERILER!$B$7:$B$156,0))))</f>
        <v/>
      </c>
      <c r="O1009" s="2"/>
      <c r="P1009" s="2"/>
      <c r="Q1009" s="1" t="str">
        <f>IF($D1009="","",$C1009&amp;"|"&amp;COUNTIFS($C$7:$C1009,$C1009))</f>
        <v/>
      </c>
      <c r="R1009" s="1" t="str">
        <f t="shared" si="78"/>
        <v/>
      </c>
      <c r="S1009" s="1" t="str">
        <f t="shared" si="79"/>
        <v/>
      </c>
      <c r="T1009" s="1">
        <f>IF($E1009="",0,SUMPRODUCT((AY_SONU!$O$7:$O$42="Evet")*(AY_SONU!$B$7:$B$42=DATE(YEAR($E1009),MONTH($E1009),1))))</f>
        <v>0</v>
      </c>
    </row>
    <row r="1010" spans="1:20" ht="18" customHeight="1" x14ac:dyDescent="0.3">
      <c r="A1010" s="2"/>
      <c r="B1010" s="65" t="str">
        <f t="shared" si="75"/>
        <v/>
      </c>
      <c r="C1010" s="65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66"/>
      <c r="F1010" s="67"/>
      <c r="G1010" s="60"/>
      <c r="H1010" s="60"/>
      <c r="I1010" s="61"/>
      <c r="J1010" s="61"/>
      <c r="K1010" s="61"/>
      <c r="L1010" s="73" t="str">
        <f t="shared" si="76"/>
        <v/>
      </c>
      <c r="M1010" s="65" t="str">
        <f t="shared" ca="1" si="77"/>
        <v/>
      </c>
      <c r="N1010" s="74" t="str">
        <f>IF($C1010="","",IF($C1010="TANIMSIZ MÜŞTERİ","—",INDEX(MUSTERILER!$C$7:$C$156,MATCH($C1010,MUSTERILER!$B$7:$B$156,0))))</f>
        <v/>
      </c>
      <c r="O1010" s="2"/>
      <c r="P1010" s="2"/>
      <c r="Q1010" s="1" t="str">
        <f>IF($D1010="","",$C1010&amp;"|"&amp;COUNTIFS($C$7:$C1010,$C1010))</f>
        <v/>
      </c>
      <c r="R1010" s="1" t="str">
        <f t="shared" si="78"/>
        <v/>
      </c>
      <c r="S1010" s="1" t="str">
        <f t="shared" si="79"/>
        <v/>
      </c>
      <c r="T1010" s="1">
        <f>IF($E1010="",0,SUMPRODUCT((AY_SONU!$O$7:$O$42="Evet")*(AY_SONU!$B$7:$B$42=DATE(YEAR($E1010),MONTH($E1010),1))))</f>
        <v>0</v>
      </c>
    </row>
    <row r="1011" spans="1:20" ht="18" customHeight="1" x14ac:dyDescent="0.3">
      <c r="A1011" s="2"/>
      <c r="B1011" s="65" t="str">
        <f t="shared" si="75"/>
        <v/>
      </c>
      <c r="C1011" s="65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66"/>
      <c r="F1011" s="67"/>
      <c r="G1011" s="60"/>
      <c r="H1011" s="60"/>
      <c r="I1011" s="61"/>
      <c r="J1011" s="61"/>
      <c r="K1011" s="61"/>
      <c r="L1011" s="73" t="str">
        <f t="shared" si="76"/>
        <v/>
      </c>
      <c r="M1011" s="65" t="str">
        <f t="shared" ca="1" si="77"/>
        <v/>
      </c>
      <c r="N1011" s="74" t="str">
        <f>IF($C1011="","",IF($C1011="TANIMSIZ MÜŞTERİ","—",INDEX(MUSTERILER!$C$7:$C$156,MATCH($C1011,MUSTERILER!$B$7:$B$156,0))))</f>
        <v/>
      </c>
      <c r="O1011" s="2"/>
      <c r="P1011" s="2"/>
      <c r="Q1011" s="1" t="str">
        <f>IF($D1011="","",$C1011&amp;"|"&amp;COUNTIFS($C$7:$C1011,$C1011))</f>
        <v/>
      </c>
      <c r="R1011" s="1" t="str">
        <f t="shared" si="78"/>
        <v/>
      </c>
      <c r="S1011" s="1" t="str">
        <f t="shared" si="79"/>
        <v/>
      </c>
      <c r="T1011" s="1">
        <f>IF($E1011="",0,SUMPRODUCT((AY_SONU!$O$7:$O$42="Evet")*(AY_SONU!$B$7:$B$42=DATE(YEAR($E1011),MONTH($E1011),1))))</f>
        <v>0</v>
      </c>
    </row>
    <row r="1012" spans="1:20" ht="18" customHeight="1" x14ac:dyDescent="0.3">
      <c r="A1012" s="2"/>
      <c r="B1012" s="65" t="str">
        <f t="shared" si="75"/>
        <v/>
      </c>
      <c r="C1012" s="65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66"/>
      <c r="F1012" s="67"/>
      <c r="G1012" s="60"/>
      <c r="H1012" s="60"/>
      <c r="I1012" s="61"/>
      <c r="J1012" s="61"/>
      <c r="K1012" s="61"/>
      <c r="L1012" s="73" t="str">
        <f t="shared" si="76"/>
        <v/>
      </c>
      <c r="M1012" s="65" t="str">
        <f t="shared" ca="1" si="77"/>
        <v/>
      </c>
      <c r="N1012" s="74" t="str">
        <f>IF($C1012="","",IF($C1012="TANIMSIZ MÜŞTERİ","—",INDEX(MUSTERILER!$C$7:$C$156,MATCH($C1012,MUSTERILER!$B$7:$B$156,0))))</f>
        <v/>
      </c>
      <c r="O1012" s="2"/>
      <c r="P1012" s="2"/>
      <c r="Q1012" s="1" t="str">
        <f>IF($D1012="","",$C1012&amp;"|"&amp;COUNTIFS($C$7:$C1012,$C1012))</f>
        <v/>
      </c>
      <c r="R1012" s="1" t="str">
        <f t="shared" si="78"/>
        <v/>
      </c>
      <c r="S1012" s="1" t="str">
        <f t="shared" si="79"/>
        <v/>
      </c>
      <c r="T1012" s="1">
        <f>IF($E1012="",0,SUMPRODUCT((AY_SONU!$O$7:$O$42="Evet")*(AY_SONU!$B$7:$B$42=DATE(YEAR($E1012),MONTH($E1012),1))))</f>
        <v>0</v>
      </c>
    </row>
    <row r="1013" spans="1:20" ht="18" customHeight="1" x14ac:dyDescent="0.3">
      <c r="A1013" s="2"/>
      <c r="B1013" s="65" t="str">
        <f t="shared" si="75"/>
        <v/>
      </c>
      <c r="C1013" s="65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66"/>
      <c r="F1013" s="67"/>
      <c r="G1013" s="60"/>
      <c r="H1013" s="60"/>
      <c r="I1013" s="61"/>
      <c r="J1013" s="61"/>
      <c r="K1013" s="61"/>
      <c r="L1013" s="73" t="str">
        <f t="shared" si="76"/>
        <v/>
      </c>
      <c r="M1013" s="65" t="str">
        <f t="shared" ca="1" si="77"/>
        <v/>
      </c>
      <c r="N1013" s="74" t="str">
        <f>IF($C1013="","",IF($C1013="TANIMSIZ MÜŞTERİ","—",INDEX(MUSTERILER!$C$7:$C$156,MATCH($C1013,MUSTERILER!$B$7:$B$156,0))))</f>
        <v/>
      </c>
      <c r="O1013" s="2"/>
      <c r="P1013" s="2"/>
      <c r="Q1013" s="1" t="str">
        <f>IF($D1013="","",$C1013&amp;"|"&amp;COUNTIFS($C$7:$C1013,$C1013))</f>
        <v/>
      </c>
      <c r="R1013" s="1" t="str">
        <f t="shared" si="78"/>
        <v/>
      </c>
      <c r="S1013" s="1" t="str">
        <f t="shared" si="79"/>
        <v/>
      </c>
      <c r="T1013" s="1">
        <f>IF($E1013="",0,SUMPRODUCT((AY_SONU!$O$7:$O$42="Evet")*(AY_SONU!$B$7:$B$42=DATE(YEAR($E1013),MONTH($E1013),1))))</f>
        <v>0</v>
      </c>
    </row>
    <row r="1014" spans="1:20" ht="18" customHeight="1" x14ac:dyDescent="0.3">
      <c r="A1014" s="2"/>
      <c r="B1014" s="65" t="str">
        <f t="shared" si="75"/>
        <v/>
      </c>
      <c r="C1014" s="65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66"/>
      <c r="F1014" s="67"/>
      <c r="G1014" s="60"/>
      <c r="H1014" s="60"/>
      <c r="I1014" s="61"/>
      <c r="J1014" s="61"/>
      <c r="K1014" s="61"/>
      <c r="L1014" s="73" t="str">
        <f t="shared" si="76"/>
        <v/>
      </c>
      <c r="M1014" s="65" t="str">
        <f t="shared" ca="1" si="77"/>
        <v/>
      </c>
      <c r="N1014" s="74" t="str">
        <f>IF($C1014="","",IF($C1014="TANIMSIZ MÜŞTERİ","—",INDEX(MUSTERILER!$C$7:$C$156,MATCH($C1014,MUSTERILER!$B$7:$B$156,0))))</f>
        <v/>
      </c>
      <c r="O1014" s="2"/>
      <c r="P1014" s="2"/>
      <c r="Q1014" s="1" t="str">
        <f>IF($D1014="","",$C1014&amp;"|"&amp;COUNTIFS($C$7:$C1014,$C1014))</f>
        <v/>
      </c>
      <c r="R1014" s="1" t="str">
        <f t="shared" si="78"/>
        <v/>
      </c>
      <c r="S1014" s="1" t="str">
        <f t="shared" si="79"/>
        <v/>
      </c>
      <c r="T1014" s="1">
        <f>IF($E1014="",0,SUMPRODUCT((AY_SONU!$O$7:$O$42="Evet")*(AY_SONU!$B$7:$B$42=DATE(YEAR($E1014),MONTH($E1014),1))))</f>
        <v>0</v>
      </c>
    </row>
    <row r="1015" spans="1:20" ht="18" customHeight="1" x14ac:dyDescent="0.3">
      <c r="A1015" s="2"/>
      <c r="B1015" s="65" t="str">
        <f t="shared" si="75"/>
        <v/>
      </c>
      <c r="C1015" s="65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66"/>
      <c r="F1015" s="67"/>
      <c r="G1015" s="60"/>
      <c r="H1015" s="60"/>
      <c r="I1015" s="61"/>
      <c r="J1015" s="61"/>
      <c r="K1015" s="61"/>
      <c r="L1015" s="73" t="str">
        <f t="shared" si="76"/>
        <v/>
      </c>
      <c r="M1015" s="65" t="str">
        <f t="shared" ca="1" si="77"/>
        <v/>
      </c>
      <c r="N1015" s="74" t="str">
        <f>IF($C1015="","",IF($C1015="TANIMSIZ MÜŞTERİ","—",INDEX(MUSTERILER!$C$7:$C$156,MATCH($C1015,MUSTERILER!$B$7:$B$156,0))))</f>
        <v/>
      </c>
      <c r="O1015" s="2"/>
      <c r="P1015" s="2"/>
      <c r="Q1015" s="1" t="str">
        <f>IF($D1015="","",$C1015&amp;"|"&amp;COUNTIFS($C$7:$C1015,$C1015))</f>
        <v/>
      </c>
      <c r="R1015" s="1" t="str">
        <f t="shared" si="78"/>
        <v/>
      </c>
      <c r="S1015" s="1" t="str">
        <f t="shared" si="79"/>
        <v/>
      </c>
      <c r="T1015" s="1">
        <f>IF($E1015="",0,SUMPRODUCT((AY_SONU!$O$7:$O$42="Evet")*(AY_SONU!$B$7:$B$42=DATE(YEAR($E1015),MONTH($E1015),1))))</f>
        <v>0</v>
      </c>
    </row>
    <row r="1016" spans="1:20" ht="18" customHeight="1" x14ac:dyDescent="0.3">
      <c r="A1016" s="2"/>
      <c r="B1016" s="65" t="str">
        <f t="shared" si="75"/>
        <v/>
      </c>
      <c r="C1016" s="65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66"/>
      <c r="F1016" s="67"/>
      <c r="G1016" s="60"/>
      <c r="H1016" s="60"/>
      <c r="I1016" s="61"/>
      <c r="J1016" s="61"/>
      <c r="K1016" s="61"/>
      <c r="L1016" s="73" t="str">
        <f t="shared" si="76"/>
        <v/>
      </c>
      <c r="M1016" s="65" t="str">
        <f t="shared" ca="1" si="77"/>
        <v/>
      </c>
      <c r="N1016" s="74" t="str">
        <f>IF($C1016="","",IF($C1016="TANIMSIZ MÜŞTERİ","—",INDEX(MUSTERILER!$C$7:$C$156,MATCH($C1016,MUSTERILER!$B$7:$B$156,0))))</f>
        <v/>
      </c>
      <c r="O1016" s="2"/>
      <c r="P1016" s="2"/>
      <c r="Q1016" s="1" t="str">
        <f>IF($D1016="","",$C1016&amp;"|"&amp;COUNTIFS($C$7:$C1016,$C1016))</f>
        <v/>
      </c>
      <c r="R1016" s="1" t="str">
        <f t="shared" si="78"/>
        <v/>
      </c>
      <c r="S1016" s="1" t="str">
        <f t="shared" si="79"/>
        <v/>
      </c>
      <c r="T1016" s="1">
        <f>IF($E1016="",0,SUMPRODUCT((AY_SONU!$O$7:$O$42="Evet")*(AY_SONU!$B$7:$B$42=DATE(YEAR($E1016),MONTH($E1016),1))))</f>
        <v>0</v>
      </c>
    </row>
    <row r="1017" spans="1:20" ht="18" customHeight="1" x14ac:dyDescent="0.3">
      <c r="A1017" s="2"/>
      <c r="B1017" s="65" t="str">
        <f t="shared" si="75"/>
        <v/>
      </c>
      <c r="C1017" s="65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66"/>
      <c r="F1017" s="67"/>
      <c r="G1017" s="60"/>
      <c r="H1017" s="60"/>
      <c r="I1017" s="61"/>
      <c r="J1017" s="61"/>
      <c r="K1017" s="61"/>
      <c r="L1017" s="73" t="str">
        <f t="shared" si="76"/>
        <v/>
      </c>
      <c r="M1017" s="65" t="str">
        <f t="shared" ca="1" si="77"/>
        <v/>
      </c>
      <c r="N1017" s="74" t="str">
        <f>IF($C1017="","",IF($C1017="TANIMSIZ MÜŞTERİ","—",INDEX(MUSTERILER!$C$7:$C$156,MATCH($C1017,MUSTERILER!$B$7:$B$156,0))))</f>
        <v/>
      </c>
      <c r="O1017" s="2"/>
      <c r="P1017" s="2"/>
      <c r="Q1017" s="1" t="str">
        <f>IF($D1017="","",$C1017&amp;"|"&amp;COUNTIFS($C$7:$C1017,$C1017))</f>
        <v/>
      </c>
      <c r="R1017" s="1" t="str">
        <f t="shared" si="78"/>
        <v/>
      </c>
      <c r="S1017" s="1" t="str">
        <f t="shared" si="79"/>
        <v/>
      </c>
      <c r="T1017" s="1">
        <f>IF($E1017="",0,SUMPRODUCT((AY_SONU!$O$7:$O$42="Evet")*(AY_SONU!$B$7:$B$42=DATE(YEAR($E1017),MONTH($E1017),1))))</f>
        <v>0</v>
      </c>
    </row>
    <row r="1018" spans="1:20" ht="18" customHeight="1" x14ac:dyDescent="0.3">
      <c r="A1018" s="2"/>
      <c r="B1018" s="65" t="str">
        <f t="shared" si="75"/>
        <v/>
      </c>
      <c r="C1018" s="65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66"/>
      <c r="F1018" s="67"/>
      <c r="G1018" s="60"/>
      <c r="H1018" s="60"/>
      <c r="I1018" s="61"/>
      <c r="J1018" s="61"/>
      <c r="K1018" s="61"/>
      <c r="L1018" s="73" t="str">
        <f t="shared" si="76"/>
        <v/>
      </c>
      <c r="M1018" s="65" t="str">
        <f t="shared" ca="1" si="77"/>
        <v/>
      </c>
      <c r="N1018" s="74" t="str">
        <f>IF($C1018="","",IF($C1018="TANIMSIZ MÜŞTERİ","—",INDEX(MUSTERILER!$C$7:$C$156,MATCH($C1018,MUSTERILER!$B$7:$B$156,0))))</f>
        <v/>
      </c>
      <c r="O1018" s="2"/>
      <c r="P1018" s="2"/>
      <c r="Q1018" s="1" t="str">
        <f>IF($D1018="","",$C1018&amp;"|"&amp;COUNTIFS($C$7:$C1018,$C1018))</f>
        <v/>
      </c>
      <c r="R1018" s="1" t="str">
        <f t="shared" si="78"/>
        <v/>
      </c>
      <c r="S1018" s="1" t="str">
        <f t="shared" si="79"/>
        <v/>
      </c>
      <c r="T1018" s="1">
        <f>IF($E1018="",0,SUMPRODUCT((AY_SONU!$O$7:$O$42="Evet")*(AY_SONU!$B$7:$B$42=DATE(YEAR($E1018),MONTH($E1018),1))))</f>
        <v>0</v>
      </c>
    </row>
    <row r="1019" spans="1:20" ht="18" customHeight="1" x14ac:dyDescent="0.3">
      <c r="A1019" s="2"/>
      <c r="B1019" s="65" t="str">
        <f t="shared" si="75"/>
        <v/>
      </c>
      <c r="C1019" s="65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66"/>
      <c r="F1019" s="67"/>
      <c r="G1019" s="60"/>
      <c r="H1019" s="60"/>
      <c r="I1019" s="61"/>
      <c r="J1019" s="61"/>
      <c r="K1019" s="61"/>
      <c r="L1019" s="73" t="str">
        <f t="shared" si="76"/>
        <v/>
      </c>
      <c r="M1019" s="65" t="str">
        <f t="shared" ca="1" si="77"/>
        <v/>
      </c>
      <c r="N1019" s="74" t="str">
        <f>IF($C1019="","",IF($C1019="TANIMSIZ MÜŞTERİ","—",INDEX(MUSTERILER!$C$7:$C$156,MATCH($C1019,MUSTERILER!$B$7:$B$156,0))))</f>
        <v/>
      </c>
      <c r="O1019" s="2"/>
      <c r="P1019" s="2"/>
      <c r="Q1019" s="1" t="str">
        <f>IF($D1019="","",$C1019&amp;"|"&amp;COUNTIFS($C$7:$C1019,$C1019))</f>
        <v/>
      </c>
      <c r="R1019" s="1" t="str">
        <f t="shared" si="78"/>
        <v/>
      </c>
      <c r="S1019" s="1" t="str">
        <f t="shared" si="79"/>
        <v/>
      </c>
      <c r="T1019" s="1">
        <f>IF($E1019="",0,SUMPRODUCT((AY_SONU!$O$7:$O$42="Evet")*(AY_SONU!$B$7:$B$42=DATE(YEAR($E1019),MONTH($E1019),1))))</f>
        <v>0</v>
      </c>
    </row>
    <row r="1020" spans="1:20" ht="18" customHeight="1" x14ac:dyDescent="0.3">
      <c r="A1020" s="2"/>
      <c r="B1020" s="65" t="str">
        <f t="shared" si="75"/>
        <v/>
      </c>
      <c r="C1020" s="65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66"/>
      <c r="F1020" s="67"/>
      <c r="G1020" s="60"/>
      <c r="H1020" s="60"/>
      <c r="I1020" s="61"/>
      <c r="J1020" s="61"/>
      <c r="K1020" s="61"/>
      <c r="L1020" s="73" t="str">
        <f t="shared" si="76"/>
        <v/>
      </c>
      <c r="M1020" s="65" t="str">
        <f t="shared" ca="1" si="77"/>
        <v/>
      </c>
      <c r="N1020" s="74" t="str">
        <f>IF($C1020="","",IF($C1020="TANIMSIZ MÜŞTERİ","—",INDEX(MUSTERILER!$C$7:$C$156,MATCH($C1020,MUSTERILER!$B$7:$B$156,0))))</f>
        <v/>
      </c>
      <c r="O1020" s="2"/>
      <c r="P1020" s="2"/>
      <c r="Q1020" s="1" t="str">
        <f>IF($D1020="","",$C1020&amp;"|"&amp;COUNTIFS($C$7:$C1020,$C1020))</f>
        <v/>
      </c>
      <c r="R1020" s="1" t="str">
        <f t="shared" si="78"/>
        <v/>
      </c>
      <c r="S1020" s="1" t="str">
        <f t="shared" si="79"/>
        <v/>
      </c>
      <c r="T1020" s="1">
        <f>IF($E1020="",0,SUMPRODUCT((AY_SONU!$O$7:$O$42="Evet")*(AY_SONU!$B$7:$B$42=DATE(YEAR($E1020),MONTH($E1020),1))))</f>
        <v>0</v>
      </c>
    </row>
    <row r="1021" spans="1:20" ht="18" customHeight="1" x14ac:dyDescent="0.3">
      <c r="A1021" s="2"/>
      <c r="B1021" s="65" t="str">
        <f t="shared" si="75"/>
        <v/>
      </c>
      <c r="C1021" s="65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66"/>
      <c r="F1021" s="67"/>
      <c r="G1021" s="60"/>
      <c r="H1021" s="60"/>
      <c r="I1021" s="61"/>
      <c r="J1021" s="61"/>
      <c r="K1021" s="61"/>
      <c r="L1021" s="73" t="str">
        <f t="shared" si="76"/>
        <v/>
      </c>
      <c r="M1021" s="65" t="str">
        <f t="shared" ca="1" si="77"/>
        <v/>
      </c>
      <c r="N1021" s="74" t="str">
        <f>IF($C1021="","",IF($C1021="TANIMSIZ MÜŞTERİ","—",INDEX(MUSTERILER!$C$7:$C$156,MATCH($C1021,MUSTERILER!$B$7:$B$156,0))))</f>
        <v/>
      </c>
      <c r="O1021" s="2"/>
      <c r="P1021" s="2"/>
      <c r="Q1021" s="1" t="str">
        <f>IF($D1021="","",$C1021&amp;"|"&amp;COUNTIFS($C$7:$C1021,$C1021))</f>
        <v/>
      </c>
      <c r="R1021" s="1" t="str">
        <f t="shared" si="78"/>
        <v/>
      </c>
      <c r="S1021" s="1" t="str">
        <f t="shared" si="79"/>
        <v/>
      </c>
      <c r="T1021" s="1">
        <f>IF($E1021="",0,SUMPRODUCT((AY_SONU!$O$7:$O$42="Evet")*(AY_SONU!$B$7:$B$42=DATE(YEAR($E1021),MONTH($E1021),1))))</f>
        <v>0</v>
      </c>
    </row>
    <row r="1022" spans="1:20" ht="18" customHeight="1" x14ac:dyDescent="0.3">
      <c r="A1022" s="2"/>
      <c r="B1022" s="65" t="str">
        <f t="shared" si="75"/>
        <v/>
      </c>
      <c r="C1022" s="65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66"/>
      <c r="F1022" s="67"/>
      <c r="G1022" s="60"/>
      <c r="H1022" s="60"/>
      <c r="I1022" s="61"/>
      <c r="J1022" s="61"/>
      <c r="K1022" s="61"/>
      <c r="L1022" s="73" t="str">
        <f t="shared" si="76"/>
        <v/>
      </c>
      <c r="M1022" s="65" t="str">
        <f t="shared" ca="1" si="77"/>
        <v/>
      </c>
      <c r="N1022" s="74" t="str">
        <f>IF($C1022="","",IF($C1022="TANIMSIZ MÜŞTERİ","—",INDEX(MUSTERILER!$C$7:$C$156,MATCH($C1022,MUSTERILER!$B$7:$B$156,0))))</f>
        <v/>
      </c>
      <c r="O1022" s="2"/>
      <c r="P1022" s="2"/>
      <c r="Q1022" s="1" t="str">
        <f>IF($D1022="","",$C1022&amp;"|"&amp;COUNTIFS($C$7:$C1022,$C1022))</f>
        <v/>
      </c>
      <c r="R1022" s="1" t="str">
        <f t="shared" si="78"/>
        <v/>
      </c>
      <c r="S1022" s="1" t="str">
        <f t="shared" si="79"/>
        <v/>
      </c>
      <c r="T1022" s="1">
        <f>IF($E1022="",0,SUMPRODUCT((AY_SONU!$O$7:$O$42="Evet")*(AY_SONU!$B$7:$B$42=DATE(YEAR($E1022),MONTH($E1022),1))))</f>
        <v>0</v>
      </c>
    </row>
    <row r="1023" spans="1:20" ht="18" customHeight="1" x14ac:dyDescent="0.3">
      <c r="A1023" s="2"/>
      <c r="B1023" s="65" t="str">
        <f t="shared" si="75"/>
        <v/>
      </c>
      <c r="C1023" s="65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66"/>
      <c r="F1023" s="67"/>
      <c r="G1023" s="60"/>
      <c r="H1023" s="60"/>
      <c r="I1023" s="61"/>
      <c r="J1023" s="61"/>
      <c r="K1023" s="61"/>
      <c r="L1023" s="73" t="str">
        <f t="shared" si="76"/>
        <v/>
      </c>
      <c r="M1023" s="65" t="str">
        <f t="shared" ca="1" si="77"/>
        <v/>
      </c>
      <c r="N1023" s="74" t="str">
        <f>IF($C1023="","",IF($C1023="TANIMSIZ MÜŞTERİ","—",INDEX(MUSTERILER!$C$7:$C$156,MATCH($C1023,MUSTERILER!$B$7:$B$156,0))))</f>
        <v/>
      </c>
      <c r="O1023" s="2"/>
      <c r="P1023" s="2"/>
      <c r="Q1023" s="1" t="str">
        <f>IF($D1023="","",$C1023&amp;"|"&amp;COUNTIFS($C$7:$C1023,$C1023))</f>
        <v/>
      </c>
      <c r="R1023" s="1" t="str">
        <f t="shared" si="78"/>
        <v/>
      </c>
      <c r="S1023" s="1" t="str">
        <f t="shared" si="79"/>
        <v/>
      </c>
      <c r="T1023" s="1">
        <f>IF($E1023="",0,SUMPRODUCT((AY_SONU!$O$7:$O$42="Evet")*(AY_SONU!$B$7:$B$42=DATE(YEAR($E1023),MONTH($E1023),1))))</f>
        <v>0</v>
      </c>
    </row>
    <row r="1024" spans="1:20" ht="18" customHeight="1" x14ac:dyDescent="0.3">
      <c r="A1024" s="2"/>
      <c r="B1024" s="65" t="str">
        <f t="shared" si="75"/>
        <v/>
      </c>
      <c r="C1024" s="65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66"/>
      <c r="F1024" s="67"/>
      <c r="G1024" s="60"/>
      <c r="H1024" s="60"/>
      <c r="I1024" s="61"/>
      <c r="J1024" s="61"/>
      <c r="K1024" s="61"/>
      <c r="L1024" s="73" t="str">
        <f t="shared" si="76"/>
        <v/>
      </c>
      <c r="M1024" s="65" t="str">
        <f t="shared" ca="1" si="77"/>
        <v/>
      </c>
      <c r="N1024" s="74" t="str">
        <f>IF($C1024="","",IF($C1024="TANIMSIZ MÜŞTERİ","—",INDEX(MUSTERILER!$C$7:$C$156,MATCH($C1024,MUSTERILER!$B$7:$B$156,0))))</f>
        <v/>
      </c>
      <c r="O1024" s="2"/>
      <c r="P1024" s="2"/>
      <c r="Q1024" s="1" t="str">
        <f>IF($D1024="","",$C1024&amp;"|"&amp;COUNTIFS($C$7:$C1024,$C1024))</f>
        <v/>
      </c>
      <c r="R1024" s="1" t="str">
        <f t="shared" si="78"/>
        <v/>
      </c>
      <c r="S1024" s="1" t="str">
        <f t="shared" si="79"/>
        <v/>
      </c>
      <c r="T1024" s="1">
        <f>IF($E1024="",0,SUMPRODUCT((AY_SONU!$O$7:$O$42="Evet")*(AY_SONU!$B$7:$B$42=DATE(YEAR($E1024),MONTH($E1024),1))))</f>
        <v>0</v>
      </c>
    </row>
    <row r="1025" spans="1:20" ht="18" customHeight="1" x14ac:dyDescent="0.3">
      <c r="A1025" s="2"/>
      <c r="B1025" s="65" t="str">
        <f t="shared" si="75"/>
        <v/>
      </c>
      <c r="C1025" s="65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66"/>
      <c r="F1025" s="67"/>
      <c r="G1025" s="60"/>
      <c r="H1025" s="60"/>
      <c r="I1025" s="61"/>
      <c r="J1025" s="61"/>
      <c r="K1025" s="61"/>
      <c r="L1025" s="73" t="str">
        <f t="shared" si="76"/>
        <v/>
      </c>
      <c r="M1025" s="65" t="str">
        <f t="shared" ca="1" si="77"/>
        <v/>
      </c>
      <c r="N1025" s="74" t="str">
        <f>IF($C1025="","",IF($C1025="TANIMSIZ MÜŞTERİ","—",INDEX(MUSTERILER!$C$7:$C$156,MATCH($C1025,MUSTERILER!$B$7:$B$156,0))))</f>
        <v/>
      </c>
      <c r="O1025" s="2"/>
      <c r="P1025" s="2"/>
      <c r="Q1025" s="1" t="str">
        <f>IF($D1025="","",$C1025&amp;"|"&amp;COUNTIFS($C$7:$C1025,$C1025))</f>
        <v/>
      </c>
      <c r="R1025" s="1" t="str">
        <f t="shared" si="78"/>
        <v/>
      </c>
      <c r="S1025" s="1" t="str">
        <f t="shared" si="79"/>
        <v/>
      </c>
      <c r="T1025" s="1">
        <f>IF($E1025="",0,SUMPRODUCT((AY_SONU!$O$7:$O$42="Evet")*(AY_SONU!$B$7:$B$42=DATE(YEAR($E1025),MONTH($E1025),1))))</f>
        <v>0</v>
      </c>
    </row>
    <row r="1026" spans="1:20" ht="18" customHeight="1" x14ac:dyDescent="0.3">
      <c r="A1026" s="2"/>
      <c r="B1026" s="65" t="str">
        <f t="shared" si="75"/>
        <v/>
      </c>
      <c r="C1026" s="65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66"/>
      <c r="F1026" s="67"/>
      <c r="G1026" s="60"/>
      <c r="H1026" s="60"/>
      <c r="I1026" s="61"/>
      <c r="J1026" s="61"/>
      <c r="K1026" s="61"/>
      <c r="L1026" s="73" t="str">
        <f t="shared" si="76"/>
        <v/>
      </c>
      <c r="M1026" s="65" t="str">
        <f t="shared" ca="1" si="77"/>
        <v/>
      </c>
      <c r="N1026" s="74" t="str">
        <f>IF($C1026="","",IF($C1026="TANIMSIZ MÜŞTERİ","—",INDEX(MUSTERILER!$C$7:$C$156,MATCH($C1026,MUSTERILER!$B$7:$B$156,0))))</f>
        <v/>
      </c>
      <c r="O1026" s="2"/>
      <c r="P1026" s="2"/>
      <c r="Q1026" s="1" t="str">
        <f>IF($D1026="","",$C1026&amp;"|"&amp;COUNTIFS($C$7:$C1026,$C1026))</f>
        <v/>
      </c>
      <c r="R1026" s="1" t="str">
        <f t="shared" si="78"/>
        <v/>
      </c>
      <c r="S1026" s="1" t="str">
        <f t="shared" si="79"/>
        <v/>
      </c>
      <c r="T1026" s="1">
        <f>IF($E1026="",0,SUMPRODUCT((AY_SONU!$O$7:$O$42="Evet")*(AY_SONU!$B$7:$B$42=DATE(YEAR($E1026),MONTH($E1026),1))))</f>
        <v>0</v>
      </c>
    </row>
    <row r="1027" spans="1:20" ht="18" customHeight="1" x14ac:dyDescent="0.3">
      <c r="A1027" s="2"/>
      <c r="B1027" s="65" t="str">
        <f t="shared" si="75"/>
        <v/>
      </c>
      <c r="C1027" s="65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66"/>
      <c r="F1027" s="67"/>
      <c r="G1027" s="60"/>
      <c r="H1027" s="60"/>
      <c r="I1027" s="61"/>
      <c r="J1027" s="61"/>
      <c r="K1027" s="61"/>
      <c r="L1027" s="73" t="str">
        <f t="shared" si="76"/>
        <v/>
      </c>
      <c r="M1027" s="65" t="str">
        <f t="shared" ca="1" si="77"/>
        <v/>
      </c>
      <c r="N1027" s="74" t="str">
        <f>IF($C1027="","",IF($C1027="TANIMSIZ MÜŞTERİ","—",INDEX(MUSTERILER!$C$7:$C$156,MATCH($C1027,MUSTERILER!$B$7:$B$156,0))))</f>
        <v/>
      </c>
      <c r="O1027" s="2"/>
      <c r="P1027" s="2"/>
      <c r="Q1027" s="1" t="str">
        <f>IF($D1027="","",$C1027&amp;"|"&amp;COUNTIFS($C$7:$C1027,$C1027))</f>
        <v/>
      </c>
      <c r="R1027" s="1" t="str">
        <f t="shared" si="78"/>
        <v/>
      </c>
      <c r="S1027" s="1" t="str">
        <f t="shared" si="79"/>
        <v/>
      </c>
      <c r="T1027" s="1">
        <f>IF($E1027="",0,SUMPRODUCT((AY_SONU!$O$7:$O$42="Evet")*(AY_SONU!$B$7:$B$42=DATE(YEAR($E1027),MONTH($E1027),1))))</f>
        <v>0</v>
      </c>
    </row>
    <row r="1028" spans="1:20" ht="18" customHeight="1" x14ac:dyDescent="0.3">
      <c r="A1028" s="2"/>
      <c r="B1028" s="65" t="str">
        <f t="shared" si="75"/>
        <v/>
      </c>
      <c r="C1028" s="65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66"/>
      <c r="F1028" s="67"/>
      <c r="G1028" s="60"/>
      <c r="H1028" s="60"/>
      <c r="I1028" s="61"/>
      <c r="J1028" s="61"/>
      <c r="K1028" s="61"/>
      <c r="L1028" s="73" t="str">
        <f t="shared" si="76"/>
        <v/>
      </c>
      <c r="M1028" s="65" t="str">
        <f t="shared" ca="1" si="77"/>
        <v/>
      </c>
      <c r="N1028" s="74" t="str">
        <f>IF($C1028="","",IF($C1028="TANIMSIZ MÜŞTERİ","—",INDEX(MUSTERILER!$C$7:$C$156,MATCH($C1028,MUSTERILER!$B$7:$B$156,0))))</f>
        <v/>
      </c>
      <c r="O1028" s="2"/>
      <c r="P1028" s="2"/>
      <c r="Q1028" s="1" t="str">
        <f>IF($D1028="","",$C1028&amp;"|"&amp;COUNTIFS($C$7:$C1028,$C1028))</f>
        <v/>
      </c>
      <c r="R1028" s="1" t="str">
        <f t="shared" si="78"/>
        <v/>
      </c>
      <c r="S1028" s="1" t="str">
        <f t="shared" si="79"/>
        <v/>
      </c>
      <c r="T1028" s="1">
        <f>IF($E1028="",0,SUMPRODUCT((AY_SONU!$O$7:$O$42="Evet")*(AY_SONU!$B$7:$B$42=DATE(YEAR($E1028),MONTH($E1028),1))))</f>
        <v>0</v>
      </c>
    </row>
    <row r="1029" spans="1:20" ht="18" customHeight="1" x14ac:dyDescent="0.3">
      <c r="A1029" s="2"/>
      <c r="B1029" s="65" t="str">
        <f t="shared" si="75"/>
        <v/>
      </c>
      <c r="C1029" s="65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66"/>
      <c r="F1029" s="67"/>
      <c r="G1029" s="60"/>
      <c r="H1029" s="60"/>
      <c r="I1029" s="61"/>
      <c r="J1029" s="61"/>
      <c r="K1029" s="61"/>
      <c r="L1029" s="73" t="str">
        <f t="shared" si="76"/>
        <v/>
      </c>
      <c r="M1029" s="65" t="str">
        <f t="shared" ca="1" si="77"/>
        <v/>
      </c>
      <c r="N1029" s="74" t="str">
        <f>IF($C1029="","",IF($C1029="TANIMSIZ MÜŞTERİ","—",INDEX(MUSTERILER!$C$7:$C$156,MATCH($C1029,MUSTERILER!$B$7:$B$156,0))))</f>
        <v/>
      </c>
      <c r="O1029" s="2"/>
      <c r="P1029" s="2"/>
      <c r="Q1029" s="1" t="str">
        <f>IF($D1029="","",$C1029&amp;"|"&amp;COUNTIFS($C$7:$C1029,$C1029))</f>
        <v/>
      </c>
      <c r="R1029" s="1" t="str">
        <f t="shared" si="78"/>
        <v/>
      </c>
      <c r="S1029" s="1" t="str">
        <f t="shared" si="79"/>
        <v/>
      </c>
      <c r="T1029" s="1">
        <f>IF($E1029="",0,SUMPRODUCT((AY_SONU!$O$7:$O$42="Evet")*(AY_SONU!$B$7:$B$42=DATE(YEAR($E1029),MONTH($E1029),1))))</f>
        <v>0</v>
      </c>
    </row>
    <row r="1030" spans="1:20" ht="18" customHeight="1" x14ac:dyDescent="0.3">
      <c r="A1030" s="2"/>
      <c r="B1030" s="65" t="str">
        <f t="shared" si="75"/>
        <v/>
      </c>
      <c r="C1030" s="65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66"/>
      <c r="F1030" s="67"/>
      <c r="G1030" s="60"/>
      <c r="H1030" s="60"/>
      <c r="I1030" s="61"/>
      <c r="J1030" s="61"/>
      <c r="K1030" s="61"/>
      <c r="L1030" s="73" t="str">
        <f t="shared" si="76"/>
        <v/>
      </c>
      <c r="M1030" s="65" t="str">
        <f t="shared" ca="1" si="77"/>
        <v/>
      </c>
      <c r="N1030" s="74" t="str">
        <f>IF($C1030="","",IF($C1030="TANIMSIZ MÜŞTERİ","—",INDEX(MUSTERILER!$C$7:$C$156,MATCH($C1030,MUSTERILER!$B$7:$B$156,0))))</f>
        <v/>
      </c>
      <c r="O1030" s="2"/>
      <c r="P1030" s="2"/>
      <c r="Q1030" s="1" t="str">
        <f>IF($D1030="","",$C1030&amp;"|"&amp;COUNTIFS($C$7:$C1030,$C1030))</f>
        <v/>
      </c>
      <c r="R1030" s="1" t="str">
        <f t="shared" si="78"/>
        <v/>
      </c>
      <c r="S1030" s="1" t="str">
        <f t="shared" si="79"/>
        <v/>
      </c>
      <c r="T1030" s="1">
        <f>IF($E1030="",0,SUMPRODUCT((AY_SONU!$O$7:$O$42="Evet")*(AY_SONU!$B$7:$B$42=DATE(YEAR($E1030),MONTH($E1030),1))))</f>
        <v>0</v>
      </c>
    </row>
    <row r="1031" spans="1:20" ht="18" customHeight="1" x14ac:dyDescent="0.3">
      <c r="A1031" s="2"/>
      <c r="B1031" s="65" t="str">
        <f t="shared" ref="B1031:B1094" si="80">IF($D1031="","","T"&amp;TEXT(ROW()-6,"00000"))</f>
        <v/>
      </c>
      <c r="C1031" s="65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66"/>
      <c r="F1031" s="67"/>
      <c r="G1031" s="60"/>
      <c r="H1031" s="60"/>
      <c r="I1031" s="61"/>
      <c r="J1031" s="61"/>
      <c r="K1031" s="61"/>
      <c r="L1031" s="73" t="str">
        <f t="shared" ref="L1031:L1094" si="81">IF($E1031="","",DATE(YEAR($E1031),MONTH($E1031),1))</f>
        <v/>
      </c>
      <c r="M1031" s="65" t="str">
        <f t="shared" ref="M1031:M1094" ca="1" si="82">IF($D1031="","",IF($C1031="TANIMSIZ MÜŞTERİ","HATA",IF(OR($E1031="",$F1031&lt;=0,$G1031=""),"EKSİK",IF($E1031&gt;TODAY(),"İLERİ TARİH",IF(COUNTIF($S$7:$S$2506,$S1031)&gt;1,"MÜKERRER?",IF($T1031&gt;0,"KAPALI DÖNEM","UYGUN"))))))</f>
        <v/>
      </c>
      <c r="N1031" s="74" t="str">
        <f>IF($C1031="","",IF($C1031="TANIMSIZ MÜŞTERİ","—",INDEX(MUSTERILER!$C$7:$C$156,MATCH($C1031,MUSTERILER!$B$7:$B$156,0))))</f>
        <v/>
      </c>
      <c r="O1031" s="2"/>
      <c r="P1031" s="2"/>
      <c r="Q1031" s="1" t="str">
        <f>IF($D1031="","",$C1031&amp;"|"&amp;COUNTIFS($C$7:$C1031,$C1031))</f>
        <v/>
      </c>
      <c r="R1031" s="1" t="str">
        <f t="shared" ref="R1031:R1094" si="83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 t="str">
        <f t="shared" ref="S1031:S1094" si="84"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>0</v>
      </c>
    </row>
    <row r="1032" spans="1:20" ht="18" customHeight="1" x14ac:dyDescent="0.3">
      <c r="A1032" s="2"/>
      <c r="B1032" s="65" t="str">
        <f t="shared" si="80"/>
        <v/>
      </c>
      <c r="C1032" s="65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66"/>
      <c r="F1032" s="67"/>
      <c r="G1032" s="60"/>
      <c r="H1032" s="60"/>
      <c r="I1032" s="61"/>
      <c r="J1032" s="61"/>
      <c r="K1032" s="61"/>
      <c r="L1032" s="73" t="str">
        <f t="shared" si="81"/>
        <v/>
      </c>
      <c r="M1032" s="65" t="str">
        <f t="shared" ca="1" si="82"/>
        <v/>
      </c>
      <c r="N1032" s="74" t="str">
        <f>IF($C1032="","",IF($C1032="TANIMSIZ MÜŞTERİ","—",INDEX(MUSTERILER!$C$7:$C$156,MATCH($C1032,MUSTERILER!$B$7:$B$156,0))))</f>
        <v/>
      </c>
      <c r="O1032" s="2"/>
      <c r="P1032" s="2"/>
      <c r="Q1032" s="1" t="str">
        <f>IF($D1032="","",$C1032&amp;"|"&amp;COUNTIFS($C$7:$C1032,$C1032))</f>
        <v/>
      </c>
      <c r="R1032" s="1" t="str">
        <f t="shared" si="83"/>
        <v/>
      </c>
      <c r="S1032" s="1" t="str">
        <f t="shared" si="84"/>
        <v/>
      </c>
      <c r="T1032" s="1">
        <f>IF($E1032="",0,SUMPRODUCT((AY_SONU!$O$7:$O$42="Evet")*(AY_SONU!$B$7:$B$42=DATE(YEAR($E1032),MONTH($E1032),1))))</f>
        <v>0</v>
      </c>
    </row>
    <row r="1033" spans="1:20" ht="18" customHeight="1" x14ac:dyDescent="0.3">
      <c r="A1033" s="2"/>
      <c r="B1033" s="65" t="str">
        <f t="shared" si="80"/>
        <v/>
      </c>
      <c r="C1033" s="65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66"/>
      <c r="F1033" s="67"/>
      <c r="G1033" s="60"/>
      <c r="H1033" s="60"/>
      <c r="I1033" s="61"/>
      <c r="J1033" s="61"/>
      <c r="K1033" s="61"/>
      <c r="L1033" s="73" t="str">
        <f t="shared" si="81"/>
        <v/>
      </c>
      <c r="M1033" s="65" t="str">
        <f t="shared" ca="1" si="82"/>
        <v/>
      </c>
      <c r="N1033" s="74" t="str">
        <f>IF($C1033="","",IF($C1033="TANIMSIZ MÜŞTERİ","—",INDEX(MUSTERILER!$C$7:$C$156,MATCH($C1033,MUSTERILER!$B$7:$B$156,0))))</f>
        <v/>
      </c>
      <c r="O1033" s="2"/>
      <c r="P1033" s="2"/>
      <c r="Q1033" s="1" t="str">
        <f>IF($D1033="","",$C1033&amp;"|"&amp;COUNTIFS($C$7:$C1033,$C1033))</f>
        <v/>
      </c>
      <c r="R1033" s="1" t="str">
        <f t="shared" si="83"/>
        <v/>
      </c>
      <c r="S1033" s="1" t="str">
        <f t="shared" si="84"/>
        <v/>
      </c>
      <c r="T1033" s="1">
        <f>IF($E1033="",0,SUMPRODUCT((AY_SONU!$O$7:$O$42="Evet")*(AY_SONU!$B$7:$B$42=DATE(YEAR($E1033),MONTH($E1033),1))))</f>
        <v>0</v>
      </c>
    </row>
    <row r="1034" spans="1:20" ht="18" customHeight="1" x14ac:dyDescent="0.3">
      <c r="A1034" s="2"/>
      <c r="B1034" s="65" t="str">
        <f t="shared" si="80"/>
        <v/>
      </c>
      <c r="C1034" s="65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66"/>
      <c r="F1034" s="67"/>
      <c r="G1034" s="60"/>
      <c r="H1034" s="60"/>
      <c r="I1034" s="61"/>
      <c r="J1034" s="61"/>
      <c r="K1034" s="61"/>
      <c r="L1034" s="73" t="str">
        <f t="shared" si="81"/>
        <v/>
      </c>
      <c r="M1034" s="65" t="str">
        <f t="shared" ca="1" si="82"/>
        <v/>
      </c>
      <c r="N1034" s="74" t="str">
        <f>IF($C1034="","",IF($C1034="TANIMSIZ MÜŞTERİ","—",INDEX(MUSTERILER!$C$7:$C$156,MATCH($C1034,MUSTERILER!$B$7:$B$156,0))))</f>
        <v/>
      </c>
      <c r="O1034" s="2"/>
      <c r="P1034" s="2"/>
      <c r="Q1034" s="1" t="str">
        <f>IF($D1034="","",$C1034&amp;"|"&amp;COUNTIFS($C$7:$C1034,$C1034))</f>
        <v/>
      </c>
      <c r="R1034" s="1" t="str">
        <f t="shared" si="83"/>
        <v/>
      </c>
      <c r="S1034" s="1" t="str">
        <f t="shared" si="84"/>
        <v/>
      </c>
      <c r="T1034" s="1">
        <f>IF($E1034="",0,SUMPRODUCT((AY_SONU!$O$7:$O$42="Evet")*(AY_SONU!$B$7:$B$42=DATE(YEAR($E1034),MONTH($E1034),1))))</f>
        <v>0</v>
      </c>
    </row>
    <row r="1035" spans="1:20" ht="18" customHeight="1" x14ac:dyDescent="0.3">
      <c r="A1035" s="2"/>
      <c r="B1035" s="65" t="str">
        <f t="shared" si="80"/>
        <v/>
      </c>
      <c r="C1035" s="65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66"/>
      <c r="F1035" s="67"/>
      <c r="G1035" s="60"/>
      <c r="H1035" s="60"/>
      <c r="I1035" s="61"/>
      <c r="J1035" s="61"/>
      <c r="K1035" s="61"/>
      <c r="L1035" s="73" t="str">
        <f t="shared" si="81"/>
        <v/>
      </c>
      <c r="M1035" s="65" t="str">
        <f t="shared" ca="1" si="82"/>
        <v/>
      </c>
      <c r="N1035" s="74" t="str">
        <f>IF($C1035="","",IF($C1035="TANIMSIZ MÜŞTERİ","—",INDEX(MUSTERILER!$C$7:$C$156,MATCH($C1035,MUSTERILER!$B$7:$B$156,0))))</f>
        <v/>
      </c>
      <c r="O1035" s="2"/>
      <c r="P1035" s="2"/>
      <c r="Q1035" s="1" t="str">
        <f>IF($D1035="","",$C1035&amp;"|"&amp;COUNTIFS($C$7:$C1035,$C1035))</f>
        <v/>
      </c>
      <c r="R1035" s="1" t="str">
        <f t="shared" si="83"/>
        <v/>
      </c>
      <c r="S1035" s="1" t="str">
        <f t="shared" si="84"/>
        <v/>
      </c>
      <c r="T1035" s="1">
        <f>IF($E1035="",0,SUMPRODUCT((AY_SONU!$O$7:$O$42="Evet")*(AY_SONU!$B$7:$B$42=DATE(YEAR($E1035),MONTH($E1035),1))))</f>
        <v>0</v>
      </c>
    </row>
    <row r="1036" spans="1:20" ht="18" customHeight="1" x14ac:dyDescent="0.3">
      <c r="A1036" s="2"/>
      <c r="B1036" s="65" t="str">
        <f t="shared" si="80"/>
        <v/>
      </c>
      <c r="C1036" s="65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66"/>
      <c r="F1036" s="67"/>
      <c r="G1036" s="60"/>
      <c r="H1036" s="60"/>
      <c r="I1036" s="61"/>
      <c r="J1036" s="61"/>
      <c r="K1036" s="61"/>
      <c r="L1036" s="73" t="str">
        <f t="shared" si="81"/>
        <v/>
      </c>
      <c r="M1036" s="65" t="str">
        <f t="shared" ca="1" si="82"/>
        <v/>
      </c>
      <c r="N1036" s="74" t="str">
        <f>IF($C1036="","",IF($C1036="TANIMSIZ MÜŞTERİ","—",INDEX(MUSTERILER!$C$7:$C$156,MATCH($C1036,MUSTERILER!$B$7:$B$156,0))))</f>
        <v/>
      </c>
      <c r="O1036" s="2"/>
      <c r="P1036" s="2"/>
      <c r="Q1036" s="1" t="str">
        <f>IF($D1036="","",$C1036&amp;"|"&amp;COUNTIFS($C$7:$C1036,$C1036))</f>
        <v/>
      </c>
      <c r="R1036" s="1" t="str">
        <f t="shared" si="83"/>
        <v/>
      </c>
      <c r="S1036" s="1" t="str">
        <f t="shared" si="84"/>
        <v/>
      </c>
      <c r="T1036" s="1">
        <f>IF($E1036="",0,SUMPRODUCT((AY_SONU!$O$7:$O$42="Evet")*(AY_SONU!$B$7:$B$42=DATE(YEAR($E1036),MONTH($E1036),1))))</f>
        <v>0</v>
      </c>
    </row>
    <row r="1037" spans="1:20" ht="18" customHeight="1" x14ac:dyDescent="0.3">
      <c r="A1037" s="2"/>
      <c r="B1037" s="65" t="str">
        <f t="shared" si="80"/>
        <v/>
      </c>
      <c r="C1037" s="65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66"/>
      <c r="F1037" s="67"/>
      <c r="G1037" s="60"/>
      <c r="H1037" s="60"/>
      <c r="I1037" s="61"/>
      <c r="J1037" s="61"/>
      <c r="K1037" s="61"/>
      <c r="L1037" s="73" t="str">
        <f t="shared" si="81"/>
        <v/>
      </c>
      <c r="M1037" s="65" t="str">
        <f t="shared" ca="1" si="82"/>
        <v/>
      </c>
      <c r="N1037" s="74" t="str">
        <f>IF($C1037="","",IF($C1037="TANIMSIZ MÜŞTERİ","—",INDEX(MUSTERILER!$C$7:$C$156,MATCH($C1037,MUSTERILER!$B$7:$B$156,0))))</f>
        <v/>
      </c>
      <c r="O1037" s="2"/>
      <c r="P1037" s="2"/>
      <c r="Q1037" s="1" t="str">
        <f>IF($D1037="","",$C1037&amp;"|"&amp;COUNTIFS($C$7:$C1037,$C1037))</f>
        <v/>
      </c>
      <c r="R1037" s="1" t="str">
        <f t="shared" si="83"/>
        <v/>
      </c>
      <c r="S1037" s="1" t="str">
        <f t="shared" si="84"/>
        <v/>
      </c>
      <c r="T1037" s="1">
        <f>IF($E1037="",0,SUMPRODUCT((AY_SONU!$O$7:$O$42="Evet")*(AY_SONU!$B$7:$B$42=DATE(YEAR($E1037),MONTH($E1037),1))))</f>
        <v>0</v>
      </c>
    </row>
    <row r="1038" spans="1:20" ht="18" customHeight="1" x14ac:dyDescent="0.3">
      <c r="A1038" s="2"/>
      <c r="B1038" s="65" t="str">
        <f t="shared" si="80"/>
        <v/>
      </c>
      <c r="C1038" s="65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66"/>
      <c r="F1038" s="67"/>
      <c r="G1038" s="60"/>
      <c r="H1038" s="60"/>
      <c r="I1038" s="61"/>
      <c r="J1038" s="61"/>
      <c r="K1038" s="61"/>
      <c r="L1038" s="73" t="str">
        <f t="shared" si="81"/>
        <v/>
      </c>
      <c r="M1038" s="65" t="str">
        <f t="shared" ca="1" si="82"/>
        <v/>
      </c>
      <c r="N1038" s="74" t="str">
        <f>IF($C1038="","",IF($C1038="TANIMSIZ MÜŞTERİ","—",INDEX(MUSTERILER!$C$7:$C$156,MATCH($C1038,MUSTERILER!$B$7:$B$156,0))))</f>
        <v/>
      </c>
      <c r="O1038" s="2"/>
      <c r="P1038" s="2"/>
      <c r="Q1038" s="1" t="str">
        <f>IF($D1038="","",$C1038&amp;"|"&amp;COUNTIFS($C$7:$C1038,$C1038))</f>
        <v/>
      </c>
      <c r="R1038" s="1" t="str">
        <f t="shared" si="83"/>
        <v/>
      </c>
      <c r="S1038" s="1" t="str">
        <f t="shared" si="84"/>
        <v/>
      </c>
      <c r="T1038" s="1">
        <f>IF($E1038="",0,SUMPRODUCT((AY_SONU!$O$7:$O$42="Evet")*(AY_SONU!$B$7:$B$42=DATE(YEAR($E1038),MONTH($E1038),1))))</f>
        <v>0</v>
      </c>
    </row>
    <row r="1039" spans="1:20" ht="18" customHeight="1" x14ac:dyDescent="0.3">
      <c r="A1039" s="2"/>
      <c r="B1039" s="65" t="str">
        <f t="shared" si="80"/>
        <v/>
      </c>
      <c r="C1039" s="65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66"/>
      <c r="F1039" s="67"/>
      <c r="G1039" s="60"/>
      <c r="H1039" s="60"/>
      <c r="I1039" s="61"/>
      <c r="J1039" s="61"/>
      <c r="K1039" s="61"/>
      <c r="L1039" s="73" t="str">
        <f t="shared" si="81"/>
        <v/>
      </c>
      <c r="M1039" s="65" t="str">
        <f t="shared" ca="1" si="82"/>
        <v/>
      </c>
      <c r="N1039" s="74" t="str">
        <f>IF($C1039="","",IF($C1039="TANIMSIZ MÜŞTERİ","—",INDEX(MUSTERILER!$C$7:$C$156,MATCH($C1039,MUSTERILER!$B$7:$B$156,0))))</f>
        <v/>
      </c>
      <c r="O1039" s="2"/>
      <c r="P1039" s="2"/>
      <c r="Q1039" s="1" t="str">
        <f>IF($D1039="","",$C1039&amp;"|"&amp;COUNTIFS($C$7:$C1039,$C1039))</f>
        <v/>
      </c>
      <c r="R1039" s="1" t="str">
        <f t="shared" si="83"/>
        <v/>
      </c>
      <c r="S1039" s="1" t="str">
        <f t="shared" si="84"/>
        <v/>
      </c>
      <c r="T1039" s="1">
        <f>IF($E1039="",0,SUMPRODUCT((AY_SONU!$O$7:$O$42="Evet")*(AY_SONU!$B$7:$B$42=DATE(YEAR($E1039),MONTH($E1039),1))))</f>
        <v>0</v>
      </c>
    </row>
    <row r="1040" spans="1:20" ht="18" customHeight="1" x14ac:dyDescent="0.3">
      <c r="A1040" s="2"/>
      <c r="B1040" s="65" t="str">
        <f t="shared" si="80"/>
        <v/>
      </c>
      <c r="C1040" s="65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66"/>
      <c r="F1040" s="67"/>
      <c r="G1040" s="60"/>
      <c r="H1040" s="60"/>
      <c r="I1040" s="61"/>
      <c r="J1040" s="61"/>
      <c r="K1040" s="61"/>
      <c r="L1040" s="73" t="str">
        <f t="shared" si="81"/>
        <v/>
      </c>
      <c r="M1040" s="65" t="str">
        <f t="shared" ca="1" si="82"/>
        <v/>
      </c>
      <c r="N1040" s="74" t="str">
        <f>IF($C1040="","",IF($C1040="TANIMSIZ MÜŞTERİ","—",INDEX(MUSTERILER!$C$7:$C$156,MATCH($C1040,MUSTERILER!$B$7:$B$156,0))))</f>
        <v/>
      </c>
      <c r="O1040" s="2"/>
      <c r="P1040" s="2"/>
      <c r="Q1040" s="1" t="str">
        <f>IF($D1040="","",$C1040&amp;"|"&amp;COUNTIFS($C$7:$C1040,$C1040))</f>
        <v/>
      </c>
      <c r="R1040" s="1" t="str">
        <f t="shared" si="83"/>
        <v/>
      </c>
      <c r="S1040" s="1" t="str">
        <f t="shared" si="84"/>
        <v/>
      </c>
      <c r="T1040" s="1">
        <f>IF($E1040="",0,SUMPRODUCT((AY_SONU!$O$7:$O$42="Evet")*(AY_SONU!$B$7:$B$42=DATE(YEAR($E1040),MONTH($E1040),1))))</f>
        <v>0</v>
      </c>
    </row>
    <row r="1041" spans="1:20" ht="18" customHeight="1" x14ac:dyDescent="0.3">
      <c r="A1041" s="2"/>
      <c r="B1041" s="65" t="str">
        <f t="shared" si="80"/>
        <v/>
      </c>
      <c r="C1041" s="65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66"/>
      <c r="F1041" s="67"/>
      <c r="G1041" s="60"/>
      <c r="H1041" s="60"/>
      <c r="I1041" s="61"/>
      <c r="J1041" s="61"/>
      <c r="K1041" s="61"/>
      <c r="L1041" s="73" t="str">
        <f t="shared" si="81"/>
        <v/>
      </c>
      <c r="M1041" s="65" t="str">
        <f t="shared" ca="1" si="82"/>
        <v/>
      </c>
      <c r="N1041" s="74" t="str">
        <f>IF($C1041="","",IF($C1041="TANIMSIZ MÜŞTERİ","—",INDEX(MUSTERILER!$C$7:$C$156,MATCH($C1041,MUSTERILER!$B$7:$B$156,0))))</f>
        <v/>
      </c>
      <c r="O1041" s="2"/>
      <c r="P1041" s="2"/>
      <c r="Q1041" s="1" t="str">
        <f>IF($D1041="","",$C1041&amp;"|"&amp;COUNTIFS($C$7:$C1041,$C1041))</f>
        <v/>
      </c>
      <c r="R1041" s="1" t="str">
        <f t="shared" si="83"/>
        <v/>
      </c>
      <c r="S1041" s="1" t="str">
        <f t="shared" si="84"/>
        <v/>
      </c>
      <c r="T1041" s="1">
        <f>IF($E1041="",0,SUMPRODUCT((AY_SONU!$O$7:$O$42="Evet")*(AY_SONU!$B$7:$B$42=DATE(YEAR($E1041),MONTH($E1041),1))))</f>
        <v>0</v>
      </c>
    </row>
    <row r="1042" spans="1:20" ht="18" customHeight="1" x14ac:dyDescent="0.3">
      <c r="A1042" s="2"/>
      <c r="B1042" s="65" t="str">
        <f t="shared" si="80"/>
        <v/>
      </c>
      <c r="C1042" s="65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66"/>
      <c r="F1042" s="67"/>
      <c r="G1042" s="60"/>
      <c r="H1042" s="60"/>
      <c r="I1042" s="61"/>
      <c r="J1042" s="61"/>
      <c r="K1042" s="61"/>
      <c r="L1042" s="73" t="str">
        <f t="shared" si="81"/>
        <v/>
      </c>
      <c r="M1042" s="65" t="str">
        <f t="shared" ca="1" si="82"/>
        <v/>
      </c>
      <c r="N1042" s="74" t="str">
        <f>IF($C1042="","",IF($C1042="TANIMSIZ MÜŞTERİ","—",INDEX(MUSTERILER!$C$7:$C$156,MATCH($C1042,MUSTERILER!$B$7:$B$156,0))))</f>
        <v/>
      </c>
      <c r="O1042" s="2"/>
      <c r="P1042" s="2"/>
      <c r="Q1042" s="1" t="str">
        <f>IF($D1042="","",$C1042&amp;"|"&amp;COUNTIFS($C$7:$C1042,$C1042))</f>
        <v/>
      </c>
      <c r="R1042" s="1" t="str">
        <f t="shared" si="83"/>
        <v/>
      </c>
      <c r="S1042" s="1" t="str">
        <f t="shared" si="84"/>
        <v/>
      </c>
      <c r="T1042" s="1">
        <f>IF($E1042="",0,SUMPRODUCT((AY_SONU!$O$7:$O$42="Evet")*(AY_SONU!$B$7:$B$42=DATE(YEAR($E1042),MONTH($E1042),1))))</f>
        <v>0</v>
      </c>
    </row>
    <row r="1043" spans="1:20" ht="18" customHeight="1" x14ac:dyDescent="0.3">
      <c r="A1043" s="2"/>
      <c r="B1043" s="65" t="str">
        <f t="shared" si="80"/>
        <v/>
      </c>
      <c r="C1043" s="65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66"/>
      <c r="F1043" s="67"/>
      <c r="G1043" s="60"/>
      <c r="H1043" s="60"/>
      <c r="I1043" s="61"/>
      <c r="J1043" s="61"/>
      <c r="K1043" s="61"/>
      <c r="L1043" s="73" t="str">
        <f t="shared" si="81"/>
        <v/>
      </c>
      <c r="M1043" s="65" t="str">
        <f t="shared" ca="1" si="82"/>
        <v/>
      </c>
      <c r="N1043" s="74" t="str">
        <f>IF($C1043="","",IF($C1043="TANIMSIZ MÜŞTERİ","—",INDEX(MUSTERILER!$C$7:$C$156,MATCH($C1043,MUSTERILER!$B$7:$B$156,0))))</f>
        <v/>
      </c>
      <c r="O1043" s="2"/>
      <c r="P1043" s="2"/>
      <c r="Q1043" s="1" t="str">
        <f>IF($D1043="","",$C1043&amp;"|"&amp;COUNTIFS($C$7:$C1043,$C1043))</f>
        <v/>
      </c>
      <c r="R1043" s="1" t="str">
        <f t="shared" si="83"/>
        <v/>
      </c>
      <c r="S1043" s="1" t="str">
        <f t="shared" si="84"/>
        <v/>
      </c>
      <c r="T1043" s="1">
        <f>IF($E1043="",0,SUMPRODUCT((AY_SONU!$O$7:$O$42="Evet")*(AY_SONU!$B$7:$B$42=DATE(YEAR($E1043),MONTH($E1043),1))))</f>
        <v>0</v>
      </c>
    </row>
    <row r="1044" spans="1:20" ht="18" customHeight="1" x14ac:dyDescent="0.3">
      <c r="A1044" s="2"/>
      <c r="B1044" s="65" t="str">
        <f t="shared" si="80"/>
        <v/>
      </c>
      <c r="C1044" s="65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66"/>
      <c r="F1044" s="67"/>
      <c r="G1044" s="60"/>
      <c r="H1044" s="60"/>
      <c r="I1044" s="61"/>
      <c r="J1044" s="61"/>
      <c r="K1044" s="61"/>
      <c r="L1044" s="73" t="str">
        <f t="shared" si="81"/>
        <v/>
      </c>
      <c r="M1044" s="65" t="str">
        <f t="shared" ca="1" si="82"/>
        <v/>
      </c>
      <c r="N1044" s="74" t="str">
        <f>IF($C1044="","",IF($C1044="TANIMSIZ MÜŞTERİ","—",INDEX(MUSTERILER!$C$7:$C$156,MATCH($C1044,MUSTERILER!$B$7:$B$156,0))))</f>
        <v/>
      </c>
      <c r="O1044" s="2"/>
      <c r="P1044" s="2"/>
      <c r="Q1044" s="1" t="str">
        <f>IF($D1044="","",$C1044&amp;"|"&amp;COUNTIFS($C$7:$C1044,$C1044))</f>
        <v/>
      </c>
      <c r="R1044" s="1" t="str">
        <f t="shared" si="83"/>
        <v/>
      </c>
      <c r="S1044" s="1" t="str">
        <f t="shared" si="84"/>
        <v/>
      </c>
      <c r="T1044" s="1">
        <f>IF($E1044="",0,SUMPRODUCT((AY_SONU!$O$7:$O$42="Evet")*(AY_SONU!$B$7:$B$42=DATE(YEAR($E1044),MONTH($E1044),1))))</f>
        <v>0</v>
      </c>
    </row>
    <row r="1045" spans="1:20" ht="18" customHeight="1" x14ac:dyDescent="0.3">
      <c r="A1045" s="2"/>
      <c r="B1045" s="65" t="str">
        <f t="shared" si="80"/>
        <v/>
      </c>
      <c r="C1045" s="65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66"/>
      <c r="F1045" s="67"/>
      <c r="G1045" s="60"/>
      <c r="H1045" s="60"/>
      <c r="I1045" s="61"/>
      <c r="J1045" s="61"/>
      <c r="K1045" s="61"/>
      <c r="L1045" s="73" t="str">
        <f t="shared" si="81"/>
        <v/>
      </c>
      <c r="M1045" s="65" t="str">
        <f t="shared" ca="1" si="82"/>
        <v/>
      </c>
      <c r="N1045" s="74" t="str">
        <f>IF($C1045="","",IF($C1045="TANIMSIZ MÜŞTERİ","—",INDEX(MUSTERILER!$C$7:$C$156,MATCH($C1045,MUSTERILER!$B$7:$B$156,0))))</f>
        <v/>
      </c>
      <c r="O1045" s="2"/>
      <c r="P1045" s="2"/>
      <c r="Q1045" s="1" t="str">
        <f>IF($D1045="","",$C1045&amp;"|"&amp;COUNTIFS($C$7:$C1045,$C1045))</f>
        <v/>
      </c>
      <c r="R1045" s="1" t="str">
        <f t="shared" si="83"/>
        <v/>
      </c>
      <c r="S1045" s="1" t="str">
        <f t="shared" si="84"/>
        <v/>
      </c>
      <c r="T1045" s="1">
        <f>IF($E1045="",0,SUMPRODUCT((AY_SONU!$O$7:$O$42="Evet")*(AY_SONU!$B$7:$B$42=DATE(YEAR($E1045),MONTH($E1045),1))))</f>
        <v>0</v>
      </c>
    </row>
    <row r="1046" spans="1:20" ht="18" customHeight="1" x14ac:dyDescent="0.3">
      <c r="A1046" s="2"/>
      <c r="B1046" s="65" t="str">
        <f t="shared" si="80"/>
        <v/>
      </c>
      <c r="C1046" s="65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66"/>
      <c r="F1046" s="67"/>
      <c r="G1046" s="60"/>
      <c r="H1046" s="60"/>
      <c r="I1046" s="61"/>
      <c r="J1046" s="61"/>
      <c r="K1046" s="61"/>
      <c r="L1046" s="73" t="str">
        <f t="shared" si="81"/>
        <v/>
      </c>
      <c r="M1046" s="65" t="str">
        <f t="shared" ca="1" si="82"/>
        <v/>
      </c>
      <c r="N1046" s="74" t="str">
        <f>IF($C1046="","",IF($C1046="TANIMSIZ MÜŞTERİ","—",INDEX(MUSTERILER!$C$7:$C$156,MATCH($C1046,MUSTERILER!$B$7:$B$156,0))))</f>
        <v/>
      </c>
      <c r="O1046" s="2"/>
      <c r="P1046" s="2"/>
      <c r="Q1046" s="1" t="str">
        <f>IF($D1046="","",$C1046&amp;"|"&amp;COUNTIFS($C$7:$C1046,$C1046))</f>
        <v/>
      </c>
      <c r="R1046" s="1" t="str">
        <f t="shared" si="83"/>
        <v/>
      </c>
      <c r="S1046" s="1" t="str">
        <f t="shared" si="84"/>
        <v/>
      </c>
      <c r="T1046" s="1">
        <f>IF($E1046="",0,SUMPRODUCT((AY_SONU!$O$7:$O$42="Evet")*(AY_SONU!$B$7:$B$42=DATE(YEAR($E1046),MONTH($E1046),1))))</f>
        <v>0</v>
      </c>
    </row>
    <row r="1047" spans="1:20" ht="18" customHeight="1" x14ac:dyDescent="0.3">
      <c r="A1047" s="2"/>
      <c r="B1047" s="65" t="str">
        <f t="shared" si="80"/>
        <v/>
      </c>
      <c r="C1047" s="65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66"/>
      <c r="F1047" s="67"/>
      <c r="G1047" s="60"/>
      <c r="H1047" s="60"/>
      <c r="I1047" s="61"/>
      <c r="J1047" s="61"/>
      <c r="K1047" s="61"/>
      <c r="L1047" s="73" t="str">
        <f t="shared" si="81"/>
        <v/>
      </c>
      <c r="M1047" s="65" t="str">
        <f t="shared" ca="1" si="82"/>
        <v/>
      </c>
      <c r="N1047" s="74" t="str">
        <f>IF($C1047="","",IF($C1047="TANIMSIZ MÜŞTERİ","—",INDEX(MUSTERILER!$C$7:$C$156,MATCH($C1047,MUSTERILER!$B$7:$B$156,0))))</f>
        <v/>
      </c>
      <c r="O1047" s="2"/>
      <c r="P1047" s="2"/>
      <c r="Q1047" s="1" t="str">
        <f>IF($D1047="","",$C1047&amp;"|"&amp;COUNTIFS($C$7:$C1047,$C1047))</f>
        <v/>
      </c>
      <c r="R1047" s="1" t="str">
        <f t="shared" si="83"/>
        <v/>
      </c>
      <c r="S1047" s="1" t="str">
        <f t="shared" si="84"/>
        <v/>
      </c>
      <c r="T1047" s="1">
        <f>IF($E1047="",0,SUMPRODUCT((AY_SONU!$O$7:$O$42="Evet")*(AY_SONU!$B$7:$B$42=DATE(YEAR($E1047),MONTH($E1047),1))))</f>
        <v>0</v>
      </c>
    </row>
    <row r="1048" spans="1:20" ht="18" customHeight="1" x14ac:dyDescent="0.3">
      <c r="A1048" s="2"/>
      <c r="B1048" s="65" t="str">
        <f t="shared" si="80"/>
        <v/>
      </c>
      <c r="C1048" s="65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66"/>
      <c r="F1048" s="67"/>
      <c r="G1048" s="60"/>
      <c r="H1048" s="60"/>
      <c r="I1048" s="61"/>
      <c r="J1048" s="61"/>
      <c r="K1048" s="61"/>
      <c r="L1048" s="73" t="str">
        <f t="shared" si="81"/>
        <v/>
      </c>
      <c r="M1048" s="65" t="str">
        <f t="shared" ca="1" si="82"/>
        <v/>
      </c>
      <c r="N1048" s="74" t="str">
        <f>IF($C1048="","",IF($C1048="TANIMSIZ MÜŞTERİ","—",INDEX(MUSTERILER!$C$7:$C$156,MATCH($C1048,MUSTERILER!$B$7:$B$156,0))))</f>
        <v/>
      </c>
      <c r="O1048" s="2"/>
      <c r="P1048" s="2"/>
      <c r="Q1048" s="1" t="str">
        <f>IF($D1048="","",$C1048&amp;"|"&amp;COUNTIFS($C$7:$C1048,$C1048))</f>
        <v/>
      </c>
      <c r="R1048" s="1" t="str">
        <f t="shared" si="83"/>
        <v/>
      </c>
      <c r="S1048" s="1" t="str">
        <f t="shared" si="84"/>
        <v/>
      </c>
      <c r="T1048" s="1">
        <f>IF($E1048="",0,SUMPRODUCT((AY_SONU!$O$7:$O$42="Evet")*(AY_SONU!$B$7:$B$42=DATE(YEAR($E1048),MONTH($E1048),1))))</f>
        <v>0</v>
      </c>
    </row>
    <row r="1049" spans="1:20" ht="18" customHeight="1" x14ac:dyDescent="0.3">
      <c r="A1049" s="2"/>
      <c r="B1049" s="65" t="str">
        <f t="shared" si="80"/>
        <v/>
      </c>
      <c r="C1049" s="65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66"/>
      <c r="F1049" s="67"/>
      <c r="G1049" s="60"/>
      <c r="H1049" s="60"/>
      <c r="I1049" s="61"/>
      <c r="J1049" s="61"/>
      <c r="K1049" s="61"/>
      <c r="L1049" s="73" t="str">
        <f t="shared" si="81"/>
        <v/>
      </c>
      <c r="M1049" s="65" t="str">
        <f t="shared" ca="1" si="82"/>
        <v/>
      </c>
      <c r="N1049" s="74" t="str">
        <f>IF($C1049="","",IF($C1049="TANIMSIZ MÜŞTERİ","—",INDEX(MUSTERILER!$C$7:$C$156,MATCH($C1049,MUSTERILER!$B$7:$B$156,0))))</f>
        <v/>
      </c>
      <c r="O1049" s="2"/>
      <c r="P1049" s="2"/>
      <c r="Q1049" s="1" t="str">
        <f>IF($D1049="","",$C1049&amp;"|"&amp;COUNTIFS($C$7:$C1049,$C1049))</f>
        <v/>
      </c>
      <c r="R1049" s="1" t="str">
        <f t="shared" si="83"/>
        <v/>
      </c>
      <c r="S1049" s="1" t="str">
        <f t="shared" si="84"/>
        <v/>
      </c>
      <c r="T1049" s="1">
        <f>IF($E1049="",0,SUMPRODUCT((AY_SONU!$O$7:$O$42="Evet")*(AY_SONU!$B$7:$B$42=DATE(YEAR($E1049),MONTH($E1049),1))))</f>
        <v>0</v>
      </c>
    </row>
    <row r="1050" spans="1:20" ht="18" customHeight="1" x14ac:dyDescent="0.3">
      <c r="A1050" s="2"/>
      <c r="B1050" s="65" t="str">
        <f t="shared" si="80"/>
        <v/>
      </c>
      <c r="C1050" s="65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66"/>
      <c r="F1050" s="67"/>
      <c r="G1050" s="60"/>
      <c r="H1050" s="60"/>
      <c r="I1050" s="61"/>
      <c r="J1050" s="61"/>
      <c r="K1050" s="61"/>
      <c r="L1050" s="73" t="str">
        <f t="shared" si="81"/>
        <v/>
      </c>
      <c r="M1050" s="65" t="str">
        <f t="shared" ca="1" si="82"/>
        <v/>
      </c>
      <c r="N1050" s="74" t="str">
        <f>IF($C1050="","",IF($C1050="TANIMSIZ MÜŞTERİ","—",INDEX(MUSTERILER!$C$7:$C$156,MATCH($C1050,MUSTERILER!$B$7:$B$156,0))))</f>
        <v/>
      </c>
      <c r="O1050" s="2"/>
      <c r="P1050" s="2"/>
      <c r="Q1050" s="1" t="str">
        <f>IF($D1050="","",$C1050&amp;"|"&amp;COUNTIFS($C$7:$C1050,$C1050))</f>
        <v/>
      </c>
      <c r="R1050" s="1" t="str">
        <f t="shared" si="83"/>
        <v/>
      </c>
      <c r="S1050" s="1" t="str">
        <f t="shared" si="84"/>
        <v/>
      </c>
      <c r="T1050" s="1">
        <f>IF($E1050="",0,SUMPRODUCT((AY_SONU!$O$7:$O$42="Evet")*(AY_SONU!$B$7:$B$42=DATE(YEAR($E1050),MONTH($E1050),1))))</f>
        <v>0</v>
      </c>
    </row>
    <row r="1051" spans="1:20" ht="18" customHeight="1" x14ac:dyDescent="0.3">
      <c r="A1051" s="2"/>
      <c r="B1051" s="65" t="str">
        <f t="shared" si="80"/>
        <v/>
      </c>
      <c r="C1051" s="65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66"/>
      <c r="F1051" s="67"/>
      <c r="G1051" s="60"/>
      <c r="H1051" s="60"/>
      <c r="I1051" s="61"/>
      <c r="J1051" s="61"/>
      <c r="K1051" s="61"/>
      <c r="L1051" s="73" t="str">
        <f t="shared" si="81"/>
        <v/>
      </c>
      <c r="M1051" s="65" t="str">
        <f t="shared" ca="1" si="82"/>
        <v/>
      </c>
      <c r="N1051" s="74" t="str">
        <f>IF($C1051="","",IF($C1051="TANIMSIZ MÜŞTERİ","—",INDEX(MUSTERILER!$C$7:$C$156,MATCH($C1051,MUSTERILER!$B$7:$B$156,0))))</f>
        <v/>
      </c>
      <c r="O1051" s="2"/>
      <c r="P1051" s="2"/>
      <c r="Q1051" s="1" t="str">
        <f>IF($D1051="","",$C1051&amp;"|"&amp;COUNTIFS($C$7:$C1051,$C1051))</f>
        <v/>
      </c>
      <c r="R1051" s="1" t="str">
        <f t="shared" si="83"/>
        <v/>
      </c>
      <c r="S1051" s="1" t="str">
        <f t="shared" si="84"/>
        <v/>
      </c>
      <c r="T1051" s="1">
        <f>IF($E1051="",0,SUMPRODUCT((AY_SONU!$O$7:$O$42="Evet")*(AY_SONU!$B$7:$B$42=DATE(YEAR($E1051),MONTH($E1051),1))))</f>
        <v>0</v>
      </c>
    </row>
    <row r="1052" spans="1:20" ht="18" customHeight="1" x14ac:dyDescent="0.3">
      <c r="A1052" s="2"/>
      <c r="B1052" s="65" t="str">
        <f t="shared" si="80"/>
        <v/>
      </c>
      <c r="C1052" s="65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66"/>
      <c r="F1052" s="67"/>
      <c r="G1052" s="60"/>
      <c r="H1052" s="60"/>
      <c r="I1052" s="61"/>
      <c r="J1052" s="61"/>
      <c r="K1052" s="61"/>
      <c r="L1052" s="73" t="str">
        <f t="shared" si="81"/>
        <v/>
      </c>
      <c r="M1052" s="65" t="str">
        <f t="shared" ca="1" si="82"/>
        <v/>
      </c>
      <c r="N1052" s="74" t="str">
        <f>IF($C1052="","",IF($C1052="TANIMSIZ MÜŞTERİ","—",INDEX(MUSTERILER!$C$7:$C$156,MATCH($C1052,MUSTERILER!$B$7:$B$156,0))))</f>
        <v/>
      </c>
      <c r="O1052" s="2"/>
      <c r="P1052" s="2"/>
      <c r="Q1052" s="1" t="str">
        <f>IF($D1052="","",$C1052&amp;"|"&amp;COUNTIFS($C$7:$C1052,$C1052))</f>
        <v/>
      </c>
      <c r="R1052" s="1" t="str">
        <f t="shared" si="83"/>
        <v/>
      </c>
      <c r="S1052" s="1" t="str">
        <f t="shared" si="84"/>
        <v/>
      </c>
      <c r="T1052" s="1">
        <f>IF($E1052="",0,SUMPRODUCT((AY_SONU!$O$7:$O$42="Evet")*(AY_SONU!$B$7:$B$42=DATE(YEAR($E1052),MONTH($E1052),1))))</f>
        <v>0</v>
      </c>
    </row>
    <row r="1053" spans="1:20" ht="18" customHeight="1" x14ac:dyDescent="0.3">
      <c r="A1053" s="2"/>
      <c r="B1053" s="65" t="str">
        <f t="shared" si="80"/>
        <v/>
      </c>
      <c r="C1053" s="65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66"/>
      <c r="F1053" s="67"/>
      <c r="G1053" s="60"/>
      <c r="H1053" s="60"/>
      <c r="I1053" s="61"/>
      <c r="J1053" s="61"/>
      <c r="K1053" s="61"/>
      <c r="L1053" s="73" t="str">
        <f t="shared" si="81"/>
        <v/>
      </c>
      <c r="M1053" s="65" t="str">
        <f t="shared" ca="1" si="82"/>
        <v/>
      </c>
      <c r="N1053" s="74" t="str">
        <f>IF($C1053="","",IF($C1053="TANIMSIZ MÜŞTERİ","—",INDEX(MUSTERILER!$C$7:$C$156,MATCH($C1053,MUSTERILER!$B$7:$B$156,0))))</f>
        <v/>
      </c>
      <c r="O1053" s="2"/>
      <c r="P1053" s="2"/>
      <c r="Q1053" s="1" t="str">
        <f>IF($D1053="","",$C1053&amp;"|"&amp;COUNTIFS($C$7:$C1053,$C1053))</f>
        <v/>
      </c>
      <c r="R1053" s="1" t="str">
        <f t="shared" si="83"/>
        <v/>
      </c>
      <c r="S1053" s="1" t="str">
        <f t="shared" si="84"/>
        <v/>
      </c>
      <c r="T1053" s="1">
        <f>IF($E1053="",0,SUMPRODUCT((AY_SONU!$O$7:$O$42="Evet")*(AY_SONU!$B$7:$B$42=DATE(YEAR($E1053),MONTH($E1053),1))))</f>
        <v>0</v>
      </c>
    </row>
    <row r="1054" spans="1:20" ht="18" customHeight="1" x14ac:dyDescent="0.3">
      <c r="A1054" s="2"/>
      <c r="B1054" s="65" t="str">
        <f t="shared" si="80"/>
        <v/>
      </c>
      <c r="C1054" s="65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66"/>
      <c r="F1054" s="67"/>
      <c r="G1054" s="60"/>
      <c r="H1054" s="60"/>
      <c r="I1054" s="61"/>
      <c r="J1054" s="61"/>
      <c r="K1054" s="61"/>
      <c r="L1054" s="73" t="str">
        <f t="shared" si="81"/>
        <v/>
      </c>
      <c r="M1054" s="65" t="str">
        <f t="shared" ca="1" si="82"/>
        <v/>
      </c>
      <c r="N1054" s="74" t="str">
        <f>IF($C1054="","",IF($C1054="TANIMSIZ MÜŞTERİ","—",INDEX(MUSTERILER!$C$7:$C$156,MATCH($C1054,MUSTERILER!$B$7:$B$156,0))))</f>
        <v/>
      </c>
      <c r="O1054" s="2"/>
      <c r="P1054" s="2"/>
      <c r="Q1054" s="1" t="str">
        <f>IF($D1054="","",$C1054&amp;"|"&amp;COUNTIFS($C$7:$C1054,$C1054))</f>
        <v/>
      </c>
      <c r="R1054" s="1" t="str">
        <f t="shared" si="83"/>
        <v/>
      </c>
      <c r="S1054" s="1" t="str">
        <f t="shared" si="84"/>
        <v/>
      </c>
      <c r="T1054" s="1">
        <f>IF($E1054="",0,SUMPRODUCT((AY_SONU!$O$7:$O$42="Evet")*(AY_SONU!$B$7:$B$42=DATE(YEAR($E1054),MONTH($E1054),1))))</f>
        <v>0</v>
      </c>
    </row>
    <row r="1055" spans="1:20" ht="18" customHeight="1" x14ac:dyDescent="0.3">
      <c r="A1055" s="2"/>
      <c r="B1055" s="65" t="str">
        <f t="shared" si="80"/>
        <v/>
      </c>
      <c r="C1055" s="65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66"/>
      <c r="F1055" s="67"/>
      <c r="G1055" s="60"/>
      <c r="H1055" s="60"/>
      <c r="I1055" s="61"/>
      <c r="J1055" s="61"/>
      <c r="K1055" s="61"/>
      <c r="L1055" s="73" t="str">
        <f t="shared" si="81"/>
        <v/>
      </c>
      <c r="M1055" s="65" t="str">
        <f t="shared" ca="1" si="82"/>
        <v/>
      </c>
      <c r="N1055" s="74" t="str">
        <f>IF($C1055="","",IF($C1055="TANIMSIZ MÜŞTERİ","—",INDEX(MUSTERILER!$C$7:$C$156,MATCH($C1055,MUSTERILER!$B$7:$B$156,0))))</f>
        <v/>
      </c>
      <c r="O1055" s="2"/>
      <c r="P1055" s="2"/>
      <c r="Q1055" s="1" t="str">
        <f>IF($D1055="","",$C1055&amp;"|"&amp;COUNTIFS($C$7:$C1055,$C1055))</f>
        <v/>
      </c>
      <c r="R1055" s="1" t="str">
        <f t="shared" si="83"/>
        <v/>
      </c>
      <c r="S1055" s="1" t="str">
        <f t="shared" si="84"/>
        <v/>
      </c>
      <c r="T1055" s="1">
        <f>IF($E1055="",0,SUMPRODUCT((AY_SONU!$O$7:$O$42="Evet")*(AY_SONU!$B$7:$B$42=DATE(YEAR($E1055),MONTH($E1055),1))))</f>
        <v>0</v>
      </c>
    </row>
    <row r="1056" spans="1:20" ht="18" customHeight="1" x14ac:dyDescent="0.3">
      <c r="A1056" s="2"/>
      <c r="B1056" s="65" t="str">
        <f t="shared" si="80"/>
        <v/>
      </c>
      <c r="C1056" s="65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66"/>
      <c r="F1056" s="67"/>
      <c r="G1056" s="60"/>
      <c r="H1056" s="60"/>
      <c r="I1056" s="61"/>
      <c r="J1056" s="61"/>
      <c r="K1056" s="61"/>
      <c r="L1056" s="73" t="str">
        <f t="shared" si="81"/>
        <v/>
      </c>
      <c r="M1056" s="65" t="str">
        <f t="shared" ca="1" si="82"/>
        <v/>
      </c>
      <c r="N1056" s="74" t="str">
        <f>IF($C1056="","",IF($C1056="TANIMSIZ MÜŞTERİ","—",INDEX(MUSTERILER!$C$7:$C$156,MATCH($C1056,MUSTERILER!$B$7:$B$156,0))))</f>
        <v/>
      </c>
      <c r="O1056" s="2"/>
      <c r="P1056" s="2"/>
      <c r="Q1056" s="1" t="str">
        <f>IF($D1056="","",$C1056&amp;"|"&amp;COUNTIFS($C$7:$C1056,$C1056))</f>
        <v/>
      </c>
      <c r="R1056" s="1" t="str">
        <f t="shared" si="83"/>
        <v/>
      </c>
      <c r="S1056" s="1" t="str">
        <f t="shared" si="84"/>
        <v/>
      </c>
      <c r="T1056" s="1">
        <f>IF($E1056="",0,SUMPRODUCT((AY_SONU!$O$7:$O$42="Evet")*(AY_SONU!$B$7:$B$42=DATE(YEAR($E1056),MONTH($E1056),1))))</f>
        <v>0</v>
      </c>
    </row>
    <row r="1057" spans="1:20" ht="18" customHeight="1" x14ac:dyDescent="0.3">
      <c r="A1057" s="2"/>
      <c r="B1057" s="65" t="str">
        <f t="shared" si="80"/>
        <v/>
      </c>
      <c r="C1057" s="65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66"/>
      <c r="F1057" s="67"/>
      <c r="G1057" s="60"/>
      <c r="H1057" s="60"/>
      <c r="I1057" s="61"/>
      <c r="J1057" s="61"/>
      <c r="K1057" s="61"/>
      <c r="L1057" s="73" t="str">
        <f t="shared" si="81"/>
        <v/>
      </c>
      <c r="M1057" s="65" t="str">
        <f t="shared" ca="1" si="82"/>
        <v/>
      </c>
      <c r="N1057" s="74" t="str">
        <f>IF($C1057="","",IF($C1057="TANIMSIZ MÜŞTERİ","—",INDEX(MUSTERILER!$C$7:$C$156,MATCH($C1057,MUSTERILER!$B$7:$B$156,0))))</f>
        <v/>
      </c>
      <c r="O1057" s="2"/>
      <c r="P1057" s="2"/>
      <c r="Q1057" s="1" t="str">
        <f>IF($D1057="","",$C1057&amp;"|"&amp;COUNTIFS($C$7:$C1057,$C1057))</f>
        <v/>
      </c>
      <c r="R1057" s="1" t="str">
        <f t="shared" si="83"/>
        <v/>
      </c>
      <c r="S1057" s="1" t="str">
        <f t="shared" si="84"/>
        <v/>
      </c>
      <c r="T1057" s="1">
        <f>IF($E1057="",0,SUMPRODUCT((AY_SONU!$O$7:$O$42="Evet")*(AY_SONU!$B$7:$B$42=DATE(YEAR($E1057),MONTH($E1057),1))))</f>
        <v>0</v>
      </c>
    </row>
    <row r="1058" spans="1:20" ht="18" customHeight="1" x14ac:dyDescent="0.3">
      <c r="A1058" s="2"/>
      <c r="B1058" s="65" t="str">
        <f t="shared" si="80"/>
        <v/>
      </c>
      <c r="C1058" s="65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66"/>
      <c r="F1058" s="67"/>
      <c r="G1058" s="60"/>
      <c r="H1058" s="60"/>
      <c r="I1058" s="61"/>
      <c r="J1058" s="61"/>
      <c r="K1058" s="61"/>
      <c r="L1058" s="73" t="str">
        <f t="shared" si="81"/>
        <v/>
      </c>
      <c r="M1058" s="65" t="str">
        <f t="shared" ca="1" si="82"/>
        <v/>
      </c>
      <c r="N1058" s="74" t="str">
        <f>IF($C1058="","",IF($C1058="TANIMSIZ MÜŞTERİ","—",INDEX(MUSTERILER!$C$7:$C$156,MATCH($C1058,MUSTERILER!$B$7:$B$156,0))))</f>
        <v/>
      </c>
      <c r="O1058" s="2"/>
      <c r="P1058" s="2"/>
      <c r="Q1058" s="1" t="str">
        <f>IF($D1058="","",$C1058&amp;"|"&amp;COUNTIFS($C$7:$C1058,$C1058))</f>
        <v/>
      </c>
      <c r="R1058" s="1" t="str">
        <f t="shared" si="83"/>
        <v/>
      </c>
      <c r="S1058" s="1" t="str">
        <f t="shared" si="84"/>
        <v/>
      </c>
      <c r="T1058" s="1">
        <f>IF($E1058="",0,SUMPRODUCT((AY_SONU!$O$7:$O$42="Evet")*(AY_SONU!$B$7:$B$42=DATE(YEAR($E1058),MONTH($E1058),1))))</f>
        <v>0</v>
      </c>
    </row>
    <row r="1059" spans="1:20" ht="18" customHeight="1" x14ac:dyDescent="0.3">
      <c r="A1059" s="2"/>
      <c r="B1059" s="65" t="str">
        <f t="shared" si="80"/>
        <v/>
      </c>
      <c r="C1059" s="65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66"/>
      <c r="F1059" s="67"/>
      <c r="G1059" s="60"/>
      <c r="H1059" s="60"/>
      <c r="I1059" s="61"/>
      <c r="J1059" s="61"/>
      <c r="K1059" s="61"/>
      <c r="L1059" s="73" t="str">
        <f t="shared" si="81"/>
        <v/>
      </c>
      <c r="M1059" s="65" t="str">
        <f t="shared" ca="1" si="82"/>
        <v/>
      </c>
      <c r="N1059" s="74" t="str">
        <f>IF($C1059="","",IF($C1059="TANIMSIZ MÜŞTERİ","—",INDEX(MUSTERILER!$C$7:$C$156,MATCH($C1059,MUSTERILER!$B$7:$B$156,0))))</f>
        <v/>
      </c>
      <c r="O1059" s="2"/>
      <c r="P1059" s="2"/>
      <c r="Q1059" s="1" t="str">
        <f>IF($D1059="","",$C1059&amp;"|"&amp;COUNTIFS($C$7:$C1059,$C1059))</f>
        <v/>
      </c>
      <c r="R1059" s="1" t="str">
        <f t="shared" si="83"/>
        <v/>
      </c>
      <c r="S1059" s="1" t="str">
        <f t="shared" si="84"/>
        <v/>
      </c>
      <c r="T1059" s="1">
        <f>IF($E1059="",0,SUMPRODUCT((AY_SONU!$O$7:$O$42="Evet")*(AY_SONU!$B$7:$B$42=DATE(YEAR($E1059),MONTH($E1059),1))))</f>
        <v>0</v>
      </c>
    </row>
    <row r="1060" spans="1:20" ht="18" customHeight="1" x14ac:dyDescent="0.3">
      <c r="A1060" s="2"/>
      <c r="B1060" s="65" t="str">
        <f t="shared" si="80"/>
        <v/>
      </c>
      <c r="C1060" s="65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66"/>
      <c r="F1060" s="67"/>
      <c r="G1060" s="60"/>
      <c r="H1060" s="60"/>
      <c r="I1060" s="61"/>
      <c r="J1060" s="61"/>
      <c r="K1060" s="61"/>
      <c r="L1060" s="73" t="str">
        <f t="shared" si="81"/>
        <v/>
      </c>
      <c r="M1060" s="65" t="str">
        <f t="shared" ca="1" si="82"/>
        <v/>
      </c>
      <c r="N1060" s="74" t="str">
        <f>IF($C1060="","",IF($C1060="TANIMSIZ MÜŞTERİ","—",INDEX(MUSTERILER!$C$7:$C$156,MATCH($C1060,MUSTERILER!$B$7:$B$156,0))))</f>
        <v/>
      </c>
      <c r="O1060" s="2"/>
      <c r="P1060" s="2"/>
      <c r="Q1060" s="1" t="str">
        <f>IF($D1060="","",$C1060&amp;"|"&amp;COUNTIFS($C$7:$C1060,$C1060))</f>
        <v/>
      </c>
      <c r="R1060" s="1" t="str">
        <f t="shared" si="83"/>
        <v/>
      </c>
      <c r="S1060" s="1" t="str">
        <f t="shared" si="84"/>
        <v/>
      </c>
      <c r="T1060" s="1">
        <f>IF($E1060="",0,SUMPRODUCT((AY_SONU!$O$7:$O$42="Evet")*(AY_SONU!$B$7:$B$42=DATE(YEAR($E1060),MONTH($E1060),1))))</f>
        <v>0</v>
      </c>
    </row>
    <row r="1061" spans="1:20" ht="18" customHeight="1" x14ac:dyDescent="0.3">
      <c r="A1061" s="2"/>
      <c r="B1061" s="65" t="str">
        <f t="shared" si="80"/>
        <v/>
      </c>
      <c r="C1061" s="65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66"/>
      <c r="F1061" s="67"/>
      <c r="G1061" s="60"/>
      <c r="H1061" s="60"/>
      <c r="I1061" s="61"/>
      <c r="J1061" s="61"/>
      <c r="K1061" s="61"/>
      <c r="L1061" s="73" t="str">
        <f t="shared" si="81"/>
        <v/>
      </c>
      <c r="M1061" s="65" t="str">
        <f t="shared" ca="1" si="82"/>
        <v/>
      </c>
      <c r="N1061" s="74" t="str">
        <f>IF($C1061="","",IF($C1061="TANIMSIZ MÜŞTERİ","—",INDEX(MUSTERILER!$C$7:$C$156,MATCH($C1061,MUSTERILER!$B$7:$B$156,0))))</f>
        <v/>
      </c>
      <c r="O1061" s="2"/>
      <c r="P1061" s="2"/>
      <c r="Q1061" s="1" t="str">
        <f>IF($D1061="","",$C1061&amp;"|"&amp;COUNTIFS($C$7:$C1061,$C1061))</f>
        <v/>
      </c>
      <c r="R1061" s="1" t="str">
        <f t="shared" si="83"/>
        <v/>
      </c>
      <c r="S1061" s="1" t="str">
        <f t="shared" si="84"/>
        <v/>
      </c>
      <c r="T1061" s="1">
        <f>IF($E1061="",0,SUMPRODUCT((AY_SONU!$O$7:$O$42="Evet")*(AY_SONU!$B$7:$B$42=DATE(YEAR($E1061),MONTH($E1061),1))))</f>
        <v>0</v>
      </c>
    </row>
    <row r="1062" spans="1:20" ht="18" customHeight="1" x14ac:dyDescent="0.3">
      <c r="A1062" s="2"/>
      <c r="B1062" s="65" t="str">
        <f t="shared" si="80"/>
        <v/>
      </c>
      <c r="C1062" s="65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66"/>
      <c r="F1062" s="67"/>
      <c r="G1062" s="60"/>
      <c r="H1062" s="60"/>
      <c r="I1062" s="61"/>
      <c r="J1062" s="61"/>
      <c r="K1062" s="61"/>
      <c r="L1062" s="73" t="str">
        <f t="shared" si="81"/>
        <v/>
      </c>
      <c r="M1062" s="65" t="str">
        <f t="shared" ca="1" si="82"/>
        <v/>
      </c>
      <c r="N1062" s="74" t="str">
        <f>IF($C1062="","",IF($C1062="TANIMSIZ MÜŞTERİ","—",INDEX(MUSTERILER!$C$7:$C$156,MATCH($C1062,MUSTERILER!$B$7:$B$156,0))))</f>
        <v/>
      </c>
      <c r="O1062" s="2"/>
      <c r="P1062" s="2"/>
      <c r="Q1062" s="1" t="str">
        <f>IF($D1062="","",$C1062&amp;"|"&amp;COUNTIFS($C$7:$C1062,$C1062))</f>
        <v/>
      </c>
      <c r="R1062" s="1" t="str">
        <f t="shared" si="83"/>
        <v/>
      </c>
      <c r="S1062" s="1" t="str">
        <f t="shared" si="84"/>
        <v/>
      </c>
      <c r="T1062" s="1">
        <f>IF($E1062="",0,SUMPRODUCT((AY_SONU!$O$7:$O$42="Evet")*(AY_SONU!$B$7:$B$42=DATE(YEAR($E1062),MONTH($E1062),1))))</f>
        <v>0</v>
      </c>
    </row>
    <row r="1063" spans="1:20" ht="18" customHeight="1" x14ac:dyDescent="0.3">
      <c r="A1063" s="2"/>
      <c r="B1063" s="65" t="str">
        <f t="shared" si="80"/>
        <v/>
      </c>
      <c r="C1063" s="65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66"/>
      <c r="F1063" s="67"/>
      <c r="G1063" s="60"/>
      <c r="H1063" s="60"/>
      <c r="I1063" s="61"/>
      <c r="J1063" s="61"/>
      <c r="K1063" s="61"/>
      <c r="L1063" s="73" t="str">
        <f t="shared" si="81"/>
        <v/>
      </c>
      <c r="M1063" s="65" t="str">
        <f t="shared" ca="1" si="82"/>
        <v/>
      </c>
      <c r="N1063" s="74" t="str">
        <f>IF($C1063="","",IF($C1063="TANIMSIZ MÜŞTERİ","—",INDEX(MUSTERILER!$C$7:$C$156,MATCH($C1063,MUSTERILER!$B$7:$B$156,0))))</f>
        <v/>
      </c>
      <c r="O1063" s="2"/>
      <c r="P1063" s="2"/>
      <c r="Q1063" s="1" t="str">
        <f>IF($D1063="","",$C1063&amp;"|"&amp;COUNTIFS($C$7:$C1063,$C1063))</f>
        <v/>
      </c>
      <c r="R1063" s="1" t="str">
        <f t="shared" si="83"/>
        <v/>
      </c>
      <c r="S1063" s="1" t="str">
        <f t="shared" si="84"/>
        <v/>
      </c>
      <c r="T1063" s="1">
        <f>IF($E1063="",0,SUMPRODUCT((AY_SONU!$O$7:$O$42="Evet")*(AY_SONU!$B$7:$B$42=DATE(YEAR($E1063),MONTH($E1063),1))))</f>
        <v>0</v>
      </c>
    </row>
    <row r="1064" spans="1:20" ht="18" customHeight="1" x14ac:dyDescent="0.3">
      <c r="A1064" s="2"/>
      <c r="B1064" s="65" t="str">
        <f t="shared" si="80"/>
        <v/>
      </c>
      <c r="C1064" s="65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66"/>
      <c r="F1064" s="67"/>
      <c r="G1064" s="60"/>
      <c r="H1064" s="60"/>
      <c r="I1064" s="61"/>
      <c r="J1064" s="61"/>
      <c r="K1064" s="61"/>
      <c r="L1064" s="73" t="str">
        <f t="shared" si="81"/>
        <v/>
      </c>
      <c r="M1064" s="65" t="str">
        <f t="shared" ca="1" si="82"/>
        <v/>
      </c>
      <c r="N1064" s="74" t="str">
        <f>IF($C1064="","",IF($C1064="TANIMSIZ MÜŞTERİ","—",INDEX(MUSTERILER!$C$7:$C$156,MATCH($C1064,MUSTERILER!$B$7:$B$156,0))))</f>
        <v/>
      </c>
      <c r="O1064" s="2"/>
      <c r="P1064" s="2"/>
      <c r="Q1064" s="1" t="str">
        <f>IF($D1064="","",$C1064&amp;"|"&amp;COUNTIFS($C$7:$C1064,$C1064))</f>
        <v/>
      </c>
      <c r="R1064" s="1" t="str">
        <f t="shared" si="83"/>
        <v/>
      </c>
      <c r="S1064" s="1" t="str">
        <f t="shared" si="84"/>
        <v/>
      </c>
      <c r="T1064" s="1">
        <f>IF($E1064="",0,SUMPRODUCT((AY_SONU!$O$7:$O$42="Evet")*(AY_SONU!$B$7:$B$42=DATE(YEAR($E1064),MONTH($E1064),1))))</f>
        <v>0</v>
      </c>
    </row>
    <row r="1065" spans="1:20" ht="18" customHeight="1" x14ac:dyDescent="0.3">
      <c r="A1065" s="2"/>
      <c r="B1065" s="65" t="str">
        <f t="shared" si="80"/>
        <v/>
      </c>
      <c r="C1065" s="65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66"/>
      <c r="F1065" s="67"/>
      <c r="G1065" s="60"/>
      <c r="H1065" s="60"/>
      <c r="I1065" s="61"/>
      <c r="J1065" s="61"/>
      <c r="K1065" s="61"/>
      <c r="L1065" s="73" t="str">
        <f t="shared" si="81"/>
        <v/>
      </c>
      <c r="M1065" s="65" t="str">
        <f t="shared" ca="1" si="82"/>
        <v/>
      </c>
      <c r="N1065" s="74" t="str">
        <f>IF($C1065="","",IF($C1065="TANIMSIZ MÜŞTERİ","—",INDEX(MUSTERILER!$C$7:$C$156,MATCH($C1065,MUSTERILER!$B$7:$B$156,0))))</f>
        <v/>
      </c>
      <c r="O1065" s="2"/>
      <c r="P1065" s="2"/>
      <c r="Q1065" s="1" t="str">
        <f>IF($D1065="","",$C1065&amp;"|"&amp;COUNTIFS($C$7:$C1065,$C1065))</f>
        <v/>
      </c>
      <c r="R1065" s="1" t="str">
        <f t="shared" si="83"/>
        <v/>
      </c>
      <c r="S1065" s="1" t="str">
        <f t="shared" si="84"/>
        <v/>
      </c>
      <c r="T1065" s="1">
        <f>IF($E1065="",0,SUMPRODUCT((AY_SONU!$O$7:$O$42="Evet")*(AY_SONU!$B$7:$B$42=DATE(YEAR($E1065),MONTH($E1065),1))))</f>
        <v>0</v>
      </c>
    </row>
    <row r="1066" spans="1:20" ht="18" customHeight="1" x14ac:dyDescent="0.3">
      <c r="A1066" s="2"/>
      <c r="B1066" s="65" t="str">
        <f t="shared" si="80"/>
        <v/>
      </c>
      <c r="C1066" s="65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66"/>
      <c r="F1066" s="67"/>
      <c r="G1066" s="60"/>
      <c r="H1066" s="60"/>
      <c r="I1066" s="61"/>
      <c r="J1066" s="61"/>
      <c r="K1066" s="61"/>
      <c r="L1066" s="73" t="str">
        <f t="shared" si="81"/>
        <v/>
      </c>
      <c r="M1066" s="65" t="str">
        <f t="shared" ca="1" si="82"/>
        <v/>
      </c>
      <c r="N1066" s="74" t="str">
        <f>IF($C1066="","",IF($C1066="TANIMSIZ MÜŞTERİ","—",INDEX(MUSTERILER!$C$7:$C$156,MATCH($C1066,MUSTERILER!$B$7:$B$156,0))))</f>
        <v/>
      </c>
      <c r="O1066" s="2"/>
      <c r="P1066" s="2"/>
      <c r="Q1066" s="1" t="str">
        <f>IF($D1066="","",$C1066&amp;"|"&amp;COUNTIFS($C$7:$C1066,$C1066))</f>
        <v/>
      </c>
      <c r="R1066" s="1" t="str">
        <f t="shared" si="83"/>
        <v/>
      </c>
      <c r="S1066" s="1" t="str">
        <f t="shared" si="84"/>
        <v/>
      </c>
      <c r="T1066" s="1">
        <f>IF($E1066="",0,SUMPRODUCT((AY_SONU!$O$7:$O$42="Evet")*(AY_SONU!$B$7:$B$42=DATE(YEAR($E1066),MONTH($E1066),1))))</f>
        <v>0</v>
      </c>
    </row>
    <row r="1067" spans="1:20" ht="18" customHeight="1" x14ac:dyDescent="0.3">
      <c r="A1067" s="2"/>
      <c r="B1067" s="65" t="str">
        <f t="shared" si="80"/>
        <v/>
      </c>
      <c r="C1067" s="65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66"/>
      <c r="F1067" s="67"/>
      <c r="G1067" s="60"/>
      <c r="H1067" s="60"/>
      <c r="I1067" s="61"/>
      <c r="J1067" s="61"/>
      <c r="K1067" s="61"/>
      <c r="L1067" s="73" t="str">
        <f t="shared" si="81"/>
        <v/>
      </c>
      <c r="M1067" s="65" t="str">
        <f t="shared" ca="1" si="82"/>
        <v/>
      </c>
      <c r="N1067" s="74" t="str">
        <f>IF($C1067="","",IF($C1067="TANIMSIZ MÜŞTERİ","—",INDEX(MUSTERILER!$C$7:$C$156,MATCH($C1067,MUSTERILER!$B$7:$B$156,0))))</f>
        <v/>
      </c>
      <c r="O1067" s="2"/>
      <c r="P1067" s="2"/>
      <c r="Q1067" s="1" t="str">
        <f>IF($D1067="","",$C1067&amp;"|"&amp;COUNTIFS($C$7:$C1067,$C1067))</f>
        <v/>
      </c>
      <c r="R1067" s="1" t="str">
        <f t="shared" si="83"/>
        <v/>
      </c>
      <c r="S1067" s="1" t="str">
        <f t="shared" si="84"/>
        <v/>
      </c>
      <c r="T1067" s="1">
        <f>IF($E1067="",0,SUMPRODUCT((AY_SONU!$O$7:$O$42="Evet")*(AY_SONU!$B$7:$B$42=DATE(YEAR($E1067),MONTH($E1067),1))))</f>
        <v>0</v>
      </c>
    </row>
    <row r="1068" spans="1:20" ht="18" customHeight="1" x14ac:dyDescent="0.3">
      <c r="A1068" s="2"/>
      <c r="B1068" s="65" t="str">
        <f t="shared" si="80"/>
        <v/>
      </c>
      <c r="C1068" s="65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66"/>
      <c r="F1068" s="67"/>
      <c r="G1068" s="60"/>
      <c r="H1068" s="60"/>
      <c r="I1068" s="61"/>
      <c r="J1068" s="61"/>
      <c r="K1068" s="61"/>
      <c r="L1068" s="73" t="str">
        <f t="shared" si="81"/>
        <v/>
      </c>
      <c r="M1068" s="65" t="str">
        <f t="shared" ca="1" si="82"/>
        <v/>
      </c>
      <c r="N1068" s="74" t="str">
        <f>IF($C1068="","",IF($C1068="TANIMSIZ MÜŞTERİ","—",INDEX(MUSTERILER!$C$7:$C$156,MATCH($C1068,MUSTERILER!$B$7:$B$156,0))))</f>
        <v/>
      </c>
      <c r="O1068" s="2"/>
      <c r="P1068" s="2"/>
      <c r="Q1068" s="1" t="str">
        <f>IF($D1068="","",$C1068&amp;"|"&amp;COUNTIFS($C$7:$C1068,$C1068))</f>
        <v/>
      </c>
      <c r="R1068" s="1" t="str">
        <f t="shared" si="83"/>
        <v/>
      </c>
      <c r="S1068" s="1" t="str">
        <f t="shared" si="84"/>
        <v/>
      </c>
      <c r="T1068" s="1">
        <f>IF($E1068="",0,SUMPRODUCT((AY_SONU!$O$7:$O$42="Evet")*(AY_SONU!$B$7:$B$42=DATE(YEAR($E1068),MONTH($E1068),1))))</f>
        <v>0</v>
      </c>
    </row>
    <row r="1069" spans="1:20" ht="18" customHeight="1" x14ac:dyDescent="0.3">
      <c r="A1069" s="2"/>
      <c r="B1069" s="65" t="str">
        <f t="shared" si="80"/>
        <v/>
      </c>
      <c r="C1069" s="65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66"/>
      <c r="F1069" s="67"/>
      <c r="G1069" s="60"/>
      <c r="H1069" s="60"/>
      <c r="I1069" s="61"/>
      <c r="J1069" s="61"/>
      <c r="K1069" s="61"/>
      <c r="L1069" s="73" t="str">
        <f t="shared" si="81"/>
        <v/>
      </c>
      <c r="M1069" s="65" t="str">
        <f t="shared" ca="1" si="82"/>
        <v/>
      </c>
      <c r="N1069" s="74" t="str">
        <f>IF($C1069="","",IF($C1069="TANIMSIZ MÜŞTERİ","—",INDEX(MUSTERILER!$C$7:$C$156,MATCH($C1069,MUSTERILER!$B$7:$B$156,0))))</f>
        <v/>
      </c>
      <c r="O1069" s="2"/>
      <c r="P1069" s="2"/>
      <c r="Q1069" s="1" t="str">
        <f>IF($D1069="","",$C1069&amp;"|"&amp;COUNTIFS($C$7:$C1069,$C1069))</f>
        <v/>
      </c>
      <c r="R1069" s="1" t="str">
        <f t="shared" si="83"/>
        <v/>
      </c>
      <c r="S1069" s="1" t="str">
        <f t="shared" si="84"/>
        <v/>
      </c>
      <c r="T1069" s="1">
        <f>IF($E1069="",0,SUMPRODUCT((AY_SONU!$O$7:$O$42="Evet")*(AY_SONU!$B$7:$B$42=DATE(YEAR($E1069),MONTH($E1069),1))))</f>
        <v>0</v>
      </c>
    </row>
    <row r="1070" spans="1:20" ht="18" customHeight="1" x14ac:dyDescent="0.3">
      <c r="A1070" s="2"/>
      <c r="B1070" s="65" t="str">
        <f t="shared" si="80"/>
        <v/>
      </c>
      <c r="C1070" s="65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66"/>
      <c r="F1070" s="67"/>
      <c r="G1070" s="60"/>
      <c r="H1070" s="60"/>
      <c r="I1070" s="61"/>
      <c r="J1070" s="61"/>
      <c r="K1070" s="61"/>
      <c r="L1070" s="73" t="str">
        <f t="shared" si="81"/>
        <v/>
      </c>
      <c r="M1070" s="65" t="str">
        <f t="shared" ca="1" si="82"/>
        <v/>
      </c>
      <c r="N1070" s="74" t="str">
        <f>IF($C1070="","",IF($C1070="TANIMSIZ MÜŞTERİ","—",INDEX(MUSTERILER!$C$7:$C$156,MATCH($C1070,MUSTERILER!$B$7:$B$156,0))))</f>
        <v/>
      </c>
      <c r="O1070" s="2"/>
      <c r="P1070" s="2"/>
      <c r="Q1070" s="1" t="str">
        <f>IF($D1070="","",$C1070&amp;"|"&amp;COUNTIFS($C$7:$C1070,$C1070))</f>
        <v/>
      </c>
      <c r="R1070" s="1" t="str">
        <f t="shared" si="83"/>
        <v/>
      </c>
      <c r="S1070" s="1" t="str">
        <f t="shared" si="84"/>
        <v/>
      </c>
      <c r="T1070" s="1">
        <f>IF($E1070="",0,SUMPRODUCT((AY_SONU!$O$7:$O$42="Evet")*(AY_SONU!$B$7:$B$42=DATE(YEAR($E1070),MONTH($E1070),1))))</f>
        <v>0</v>
      </c>
    </row>
    <row r="1071" spans="1:20" ht="18" customHeight="1" x14ac:dyDescent="0.3">
      <c r="A1071" s="2"/>
      <c r="B1071" s="65" t="str">
        <f t="shared" si="80"/>
        <v/>
      </c>
      <c r="C1071" s="65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66"/>
      <c r="F1071" s="67"/>
      <c r="G1071" s="60"/>
      <c r="H1071" s="60"/>
      <c r="I1071" s="61"/>
      <c r="J1071" s="61"/>
      <c r="K1071" s="61"/>
      <c r="L1071" s="73" t="str">
        <f t="shared" si="81"/>
        <v/>
      </c>
      <c r="M1071" s="65" t="str">
        <f t="shared" ca="1" si="82"/>
        <v/>
      </c>
      <c r="N1071" s="74" t="str">
        <f>IF($C1071="","",IF($C1071="TANIMSIZ MÜŞTERİ","—",INDEX(MUSTERILER!$C$7:$C$156,MATCH($C1071,MUSTERILER!$B$7:$B$156,0))))</f>
        <v/>
      </c>
      <c r="O1071" s="2"/>
      <c r="P1071" s="2"/>
      <c r="Q1071" s="1" t="str">
        <f>IF($D1071="","",$C1071&amp;"|"&amp;COUNTIFS($C$7:$C1071,$C1071))</f>
        <v/>
      </c>
      <c r="R1071" s="1" t="str">
        <f t="shared" si="83"/>
        <v/>
      </c>
      <c r="S1071" s="1" t="str">
        <f t="shared" si="84"/>
        <v/>
      </c>
      <c r="T1071" s="1">
        <f>IF($E1071="",0,SUMPRODUCT((AY_SONU!$O$7:$O$42="Evet")*(AY_SONU!$B$7:$B$42=DATE(YEAR($E1071),MONTH($E1071),1))))</f>
        <v>0</v>
      </c>
    </row>
    <row r="1072" spans="1:20" ht="18" customHeight="1" x14ac:dyDescent="0.3">
      <c r="A1072" s="2"/>
      <c r="B1072" s="65" t="str">
        <f t="shared" si="80"/>
        <v/>
      </c>
      <c r="C1072" s="65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66"/>
      <c r="F1072" s="67"/>
      <c r="G1072" s="60"/>
      <c r="H1072" s="60"/>
      <c r="I1072" s="61"/>
      <c r="J1072" s="61"/>
      <c r="K1072" s="61"/>
      <c r="L1072" s="73" t="str">
        <f t="shared" si="81"/>
        <v/>
      </c>
      <c r="M1072" s="65" t="str">
        <f t="shared" ca="1" si="82"/>
        <v/>
      </c>
      <c r="N1072" s="74" t="str">
        <f>IF($C1072="","",IF($C1072="TANIMSIZ MÜŞTERİ","—",INDEX(MUSTERILER!$C$7:$C$156,MATCH($C1072,MUSTERILER!$B$7:$B$156,0))))</f>
        <v/>
      </c>
      <c r="O1072" s="2"/>
      <c r="P1072" s="2"/>
      <c r="Q1072" s="1" t="str">
        <f>IF($D1072="","",$C1072&amp;"|"&amp;COUNTIFS($C$7:$C1072,$C1072))</f>
        <v/>
      </c>
      <c r="R1072" s="1" t="str">
        <f t="shared" si="83"/>
        <v/>
      </c>
      <c r="S1072" s="1" t="str">
        <f t="shared" si="84"/>
        <v/>
      </c>
      <c r="T1072" s="1">
        <f>IF($E1072="",0,SUMPRODUCT((AY_SONU!$O$7:$O$42="Evet")*(AY_SONU!$B$7:$B$42=DATE(YEAR($E1072),MONTH($E1072),1))))</f>
        <v>0</v>
      </c>
    </row>
    <row r="1073" spans="1:20" ht="18" customHeight="1" x14ac:dyDescent="0.3">
      <c r="A1073" s="2"/>
      <c r="B1073" s="65" t="str">
        <f t="shared" si="80"/>
        <v/>
      </c>
      <c r="C1073" s="65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66"/>
      <c r="F1073" s="67"/>
      <c r="G1073" s="60"/>
      <c r="H1073" s="60"/>
      <c r="I1073" s="61"/>
      <c r="J1073" s="61"/>
      <c r="K1073" s="61"/>
      <c r="L1073" s="73" t="str">
        <f t="shared" si="81"/>
        <v/>
      </c>
      <c r="M1073" s="65" t="str">
        <f t="shared" ca="1" si="82"/>
        <v/>
      </c>
      <c r="N1073" s="74" t="str">
        <f>IF($C1073="","",IF($C1073="TANIMSIZ MÜŞTERİ","—",INDEX(MUSTERILER!$C$7:$C$156,MATCH($C1073,MUSTERILER!$B$7:$B$156,0))))</f>
        <v/>
      </c>
      <c r="O1073" s="2"/>
      <c r="P1073" s="2"/>
      <c r="Q1073" s="1" t="str">
        <f>IF($D1073="","",$C1073&amp;"|"&amp;COUNTIFS($C$7:$C1073,$C1073))</f>
        <v/>
      </c>
      <c r="R1073" s="1" t="str">
        <f t="shared" si="83"/>
        <v/>
      </c>
      <c r="S1073" s="1" t="str">
        <f t="shared" si="84"/>
        <v/>
      </c>
      <c r="T1073" s="1">
        <f>IF($E1073="",0,SUMPRODUCT((AY_SONU!$O$7:$O$42="Evet")*(AY_SONU!$B$7:$B$42=DATE(YEAR($E1073),MONTH($E1073),1))))</f>
        <v>0</v>
      </c>
    </row>
    <row r="1074" spans="1:20" ht="18" customHeight="1" x14ac:dyDescent="0.3">
      <c r="A1074" s="2"/>
      <c r="B1074" s="65" t="str">
        <f t="shared" si="80"/>
        <v/>
      </c>
      <c r="C1074" s="65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66"/>
      <c r="F1074" s="67"/>
      <c r="G1074" s="60"/>
      <c r="H1074" s="60"/>
      <c r="I1074" s="61"/>
      <c r="J1074" s="61"/>
      <c r="K1074" s="61"/>
      <c r="L1074" s="73" t="str">
        <f t="shared" si="81"/>
        <v/>
      </c>
      <c r="M1074" s="65" t="str">
        <f t="shared" ca="1" si="82"/>
        <v/>
      </c>
      <c r="N1074" s="74" t="str">
        <f>IF($C1074="","",IF($C1074="TANIMSIZ MÜŞTERİ","—",INDEX(MUSTERILER!$C$7:$C$156,MATCH($C1074,MUSTERILER!$B$7:$B$156,0))))</f>
        <v/>
      </c>
      <c r="O1074" s="2"/>
      <c r="P1074" s="2"/>
      <c r="Q1074" s="1" t="str">
        <f>IF($D1074="","",$C1074&amp;"|"&amp;COUNTIFS($C$7:$C1074,$C1074))</f>
        <v/>
      </c>
      <c r="R1074" s="1" t="str">
        <f t="shared" si="83"/>
        <v/>
      </c>
      <c r="S1074" s="1" t="str">
        <f t="shared" si="84"/>
        <v/>
      </c>
      <c r="T1074" s="1">
        <f>IF($E1074="",0,SUMPRODUCT((AY_SONU!$O$7:$O$42="Evet")*(AY_SONU!$B$7:$B$42=DATE(YEAR($E1074),MONTH($E1074),1))))</f>
        <v>0</v>
      </c>
    </row>
    <row r="1075" spans="1:20" ht="18" customHeight="1" x14ac:dyDescent="0.3">
      <c r="A1075" s="2"/>
      <c r="B1075" s="65" t="str">
        <f t="shared" si="80"/>
        <v/>
      </c>
      <c r="C1075" s="65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66"/>
      <c r="F1075" s="67"/>
      <c r="G1075" s="60"/>
      <c r="H1075" s="60"/>
      <c r="I1075" s="61"/>
      <c r="J1075" s="61"/>
      <c r="K1075" s="61"/>
      <c r="L1075" s="73" t="str">
        <f t="shared" si="81"/>
        <v/>
      </c>
      <c r="M1075" s="65" t="str">
        <f t="shared" ca="1" si="82"/>
        <v/>
      </c>
      <c r="N1075" s="74" t="str">
        <f>IF($C1075="","",IF($C1075="TANIMSIZ MÜŞTERİ","—",INDEX(MUSTERILER!$C$7:$C$156,MATCH($C1075,MUSTERILER!$B$7:$B$156,0))))</f>
        <v/>
      </c>
      <c r="O1075" s="2"/>
      <c r="P1075" s="2"/>
      <c r="Q1075" s="1" t="str">
        <f>IF($D1075="","",$C1075&amp;"|"&amp;COUNTIFS($C$7:$C1075,$C1075))</f>
        <v/>
      </c>
      <c r="R1075" s="1" t="str">
        <f t="shared" si="83"/>
        <v/>
      </c>
      <c r="S1075" s="1" t="str">
        <f t="shared" si="84"/>
        <v/>
      </c>
      <c r="T1075" s="1">
        <f>IF($E1075="",0,SUMPRODUCT((AY_SONU!$O$7:$O$42="Evet")*(AY_SONU!$B$7:$B$42=DATE(YEAR($E1075),MONTH($E1075),1))))</f>
        <v>0</v>
      </c>
    </row>
    <row r="1076" spans="1:20" ht="18" customHeight="1" x14ac:dyDescent="0.3">
      <c r="A1076" s="2"/>
      <c r="B1076" s="65" t="str">
        <f t="shared" si="80"/>
        <v/>
      </c>
      <c r="C1076" s="65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66"/>
      <c r="F1076" s="67"/>
      <c r="G1076" s="60"/>
      <c r="H1076" s="60"/>
      <c r="I1076" s="61"/>
      <c r="J1076" s="61"/>
      <c r="K1076" s="61"/>
      <c r="L1076" s="73" t="str">
        <f t="shared" si="81"/>
        <v/>
      </c>
      <c r="M1076" s="65" t="str">
        <f t="shared" ca="1" si="82"/>
        <v/>
      </c>
      <c r="N1076" s="74" t="str">
        <f>IF($C1076="","",IF($C1076="TANIMSIZ MÜŞTERİ","—",INDEX(MUSTERILER!$C$7:$C$156,MATCH($C1076,MUSTERILER!$B$7:$B$156,0))))</f>
        <v/>
      </c>
      <c r="O1076" s="2"/>
      <c r="P1076" s="2"/>
      <c r="Q1076" s="1" t="str">
        <f>IF($D1076="","",$C1076&amp;"|"&amp;COUNTIFS($C$7:$C1076,$C1076))</f>
        <v/>
      </c>
      <c r="R1076" s="1" t="str">
        <f t="shared" si="83"/>
        <v/>
      </c>
      <c r="S1076" s="1" t="str">
        <f t="shared" si="84"/>
        <v/>
      </c>
      <c r="T1076" s="1">
        <f>IF($E1076="",0,SUMPRODUCT((AY_SONU!$O$7:$O$42="Evet")*(AY_SONU!$B$7:$B$42=DATE(YEAR($E1076),MONTH($E1076),1))))</f>
        <v>0</v>
      </c>
    </row>
    <row r="1077" spans="1:20" ht="18" customHeight="1" x14ac:dyDescent="0.3">
      <c r="A1077" s="2"/>
      <c r="B1077" s="65" t="str">
        <f t="shared" si="80"/>
        <v/>
      </c>
      <c r="C1077" s="65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66"/>
      <c r="F1077" s="67"/>
      <c r="G1077" s="60"/>
      <c r="H1077" s="60"/>
      <c r="I1077" s="61"/>
      <c r="J1077" s="61"/>
      <c r="K1077" s="61"/>
      <c r="L1077" s="73" t="str">
        <f t="shared" si="81"/>
        <v/>
      </c>
      <c r="M1077" s="65" t="str">
        <f t="shared" ca="1" si="82"/>
        <v/>
      </c>
      <c r="N1077" s="74" t="str">
        <f>IF($C1077="","",IF($C1077="TANIMSIZ MÜŞTERİ","—",INDEX(MUSTERILER!$C$7:$C$156,MATCH($C1077,MUSTERILER!$B$7:$B$156,0))))</f>
        <v/>
      </c>
      <c r="O1077" s="2"/>
      <c r="P1077" s="2"/>
      <c r="Q1077" s="1" t="str">
        <f>IF($D1077="","",$C1077&amp;"|"&amp;COUNTIFS($C$7:$C1077,$C1077))</f>
        <v/>
      </c>
      <c r="R1077" s="1" t="str">
        <f t="shared" si="83"/>
        <v/>
      </c>
      <c r="S1077" s="1" t="str">
        <f t="shared" si="84"/>
        <v/>
      </c>
      <c r="T1077" s="1">
        <f>IF($E1077="",0,SUMPRODUCT((AY_SONU!$O$7:$O$42="Evet")*(AY_SONU!$B$7:$B$42=DATE(YEAR($E1077),MONTH($E1077),1))))</f>
        <v>0</v>
      </c>
    </row>
    <row r="1078" spans="1:20" ht="18" customHeight="1" x14ac:dyDescent="0.3">
      <c r="A1078" s="2"/>
      <c r="B1078" s="65" t="str">
        <f t="shared" si="80"/>
        <v/>
      </c>
      <c r="C1078" s="65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66"/>
      <c r="F1078" s="67"/>
      <c r="G1078" s="60"/>
      <c r="H1078" s="60"/>
      <c r="I1078" s="61"/>
      <c r="J1078" s="61"/>
      <c r="K1078" s="61"/>
      <c r="L1078" s="73" t="str">
        <f t="shared" si="81"/>
        <v/>
      </c>
      <c r="M1078" s="65" t="str">
        <f t="shared" ca="1" si="82"/>
        <v/>
      </c>
      <c r="N1078" s="74" t="str">
        <f>IF($C1078="","",IF($C1078="TANIMSIZ MÜŞTERİ","—",INDEX(MUSTERILER!$C$7:$C$156,MATCH($C1078,MUSTERILER!$B$7:$B$156,0))))</f>
        <v/>
      </c>
      <c r="O1078" s="2"/>
      <c r="P1078" s="2"/>
      <c r="Q1078" s="1" t="str">
        <f>IF($D1078="","",$C1078&amp;"|"&amp;COUNTIFS($C$7:$C1078,$C1078))</f>
        <v/>
      </c>
      <c r="R1078" s="1" t="str">
        <f t="shared" si="83"/>
        <v/>
      </c>
      <c r="S1078" s="1" t="str">
        <f t="shared" si="84"/>
        <v/>
      </c>
      <c r="T1078" s="1">
        <f>IF($E1078="",0,SUMPRODUCT((AY_SONU!$O$7:$O$42="Evet")*(AY_SONU!$B$7:$B$42=DATE(YEAR($E1078),MONTH($E1078),1))))</f>
        <v>0</v>
      </c>
    </row>
    <row r="1079" spans="1:20" ht="18" customHeight="1" x14ac:dyDescent="0.3">
      <c r="A1079" s="2"/>
      <c r="B1079" s="65" t="str">
        <f t="shared" si="80"/>
        <v/>
      </c>
      <c r="C1079" s="65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66"/>
      <c r="F1079" s="67"/>
      <c r="G1079" s="60"/>
      <c r="H1079" s="60"/>
      <c r="I1079" s="61"/>
      <c r="J1079" s="61"/>
      <c r="K1079" s="61"/>
      <c r="L1079" s="73" t="str">
        <f t="shared" si="81"/>
        <v/>
      </c>
      <c r="M1079" s="65" t="str">
        <f t="shared" ca="1" si="82"/>
        <v/>
      </c>
      <c r="N1079" s="74" t="str">
        <f>IF($C1079="","",IF($C1079="TANIMSIZ MÜŞTERİ","—",INDEX(MUSTERILER!$C$7:$C$156,MATCH($C1079,MUSTERILER!$B$7:$B$156,0))))</f>
        <v/>
      </c>
      <c r="O1079" s="2"/>
      <c r="P1079" s="2"/>
      <c r="Q1079" s="1" t="str">
        <f>IF($D1079="","",$C1079&amp;"|"&amp;COUNTIFS($C$7:$C1079,$C1079))</f>
        <v/>
      </c>
      <c r="R1079" s="1" t="str">
        <f t="shared" si="83"/>
        <v/>
      </c>
      <c r="S1079" s="1" t="str">
        <f t="shared" si="84"/>
        <v/>
      </c>
      <c r="T1079" s="1">
        <f>IF($E1079="",0,SUMPRODUCT((AY_SONU!$O$7:$O$42="Evet")*(AY_SONU!$B$7:$B$42=DATE(YEAR($E1079),MONTH($E1079),1))))</f>
        <v>0</v>
      </c>
    </row>
    <row r="1080" spans="1:20" ht="18" customHeight="1" x14ac:dyDescent="0.3">
      <c r="A1080" s="2"/>
      <c r="B1080" s="65" t="str">
        <f t="shared" si="80"/>
        <v/>
      </c>
      <c r="C1080" s="65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66"/>
      <c r="F1080" s="67"/>
      <c r="G1080" s="60"/>
      <c r="H1080" s="60"/>
      <c r="I1080" s="61"/>
      <c r="J1080" s="61"/>
      <c r="K1080" s="61"/>
      <c r="L1080" s="73" t="str">
        <f t="shared" si="81"/>
        <v/>
      </c>
      <c r="M1080" s="65" t="str">
        <f t="shared" ca="1" si="82"/>
        <v/>
      </c>
      <c r="N1080" s="74" t="str">
        <f>IF($C1080="","",IF($C1080="TANIMSIZ MÜŞTERİ","—",INDEX(MUSTERILER!$C$7:$C$156,MATCH($C1080,MUSTERILER!$B$7:$B$156,0))))</f>
        <v/>
      </c>
      <c r="O1080" s="2"/>
      <c r="P1080" s="2"/>
      <c r="Q1080" s="1" t="str">
        <f>IF($D1080="","",$C1080&amp;"|"&amp;COUNTIFS($C$7:$C1080,$C1080))</f>
        <v/>
      </c>
      <c r="R1080" s="1" t="str">
        <f t="shared" si="83"/>
        <v/>
      </c>
      <c r="S1080" s="1" t="str">
        <f t="shared" si="84"/>
        <v/>
      </c>
      <c r="T1080" s="1">
        <f>IF($E1080="",0,SUMPRODUCT((AY_SONU!$O$7:$O$42="Evet")*(AY_SONU!$B$7:$B$42=DATE(YEAR($E1080),MONTH($E1080),1))))</f>
        <v>0</v>
      </c>
    </row>
    <row r="1081" spans="1:20" ht="18" customHeight="1" x14ac:dyDescent="0.3">
      <c r="A1081" s="2"/>
      <c r="B1081" s="65" t="str">
        <f t="shared" si="80"/>
        <v/>
      </c>
      <c r="C1081" s="65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66"/>
      <c r="F1081" s="67"/>
      <c r="G1081" s="60"/>
      <c r="H1081" s="60"/>
      <c r="I1081" s="61"/>
      <c r="J1081" s="61"/>
      <c r="K1081" s="61"/>
      <c r="L1081" s="73" t="str">
        <f t="shared" si="81"/>
        <v/>
      </c>
      <c r="M1081" s="65" t="str">
        <f t="shared" ca="1" si="82"/>
        <v/>
      </c>
      <c r="N1081" s="74" t="str">
        <f>IF($C1081="","",IF($C1081="TANIMSIZ MÜŞTERİ","—",INDEX(MUSTERILER!$C$7:$C$156,MATCH($C1081,MUSTERILER!$B$7:$B$156,0))))</f>
        <v/>
      </c>
      <c r="O1081" s="2"/>
      <c r="P1081" s="2"/>
      <c r="Q1081" s="1" t="str">
        <f>IF($D1081="","",$C1081&amp;"|"&amp;COUNTIFS($C$7:$C1081,$C1081))</f>
        <v/>
      </c>
      <c r="R1081" s="1" t="str">
        <f t="shared" si="83"/>
        <v/>
      </c>
      <c r="S1081" s="1" t="str">
        <f t="shared" si="84"/>
        <v/>
      </c>
      <c r="T1081" s="1">
        <f>IF($E1081="",0,SUMPRODUCT((AY_SONU!$O$7:$O$42="Evet")*(AY_SONU!$B$7:$B$42=DATE(YEAR($E1081),MONTH($E1081),1))))</f>
        <v>0</v>
      </c>
    </row>
    <row r="1082" spans="1:20" ht="18" customHeight="1" x14ac:dyDescent="0.3">
      <c r="A1082" s="2"/>
      <c r="B1082" s="65" t="str">
        <f t="shared" si="80"/>
        <v/>
      </c>
      <c r="C1082" s="65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66"/>
      <c r="F1082" s="67"/>
      <c r="G1082" s="60"/>
      <c r="H1082" s="60"/>
      <c r="I1082" s="61"/>
      <c r="J1082" s="61"/>
      <c r="K1082" s="61"/>
      <c r="L1082" s="73" t="str">
        <f t="shared" si="81"/>
        <v/>
      </c>
      <c r="M1082" s="65" t="str">
        <f t="shared" ca="1" si="82"/>
        <v/>
      </c>
      <c r="N1082" s="74" t="str">
        <f>IF($C1082="","",IF($C1082="TANIMSIZ MÜŞTERİ","—",INDEX(MUSTERILER!$C$7:$C$156,MATCH($C1082,MUSTERILER!$B$7:$B$156,0))))</f>
        <v/>
      </c>
      <c r="O1082" s="2"/>
      <c r="P1082" s="2"/>
      <c r="Q1082" s="1" t="str">
        <f>IF($D1082="","",$C1082&amp;"|"&amp;COUNTIFS($C$7:$C1082,$C1082))</f>
        <v/>
      </c>
      <c r="R1082" s="1" t="str">
        <f t="shared" si="83"/>
        <v/>
      </c>
      <c r="S1082" s="1" t="str">
        <f t="shared" si="84"/>
        <v/>
      </c>
      <c r="T1082" s="1">
        <f>IF($E1082="",0,SUMPRODUCT((AY_SONU!$O$7:$O$42="Evet")*(AY_SONU!$B$7:$B$42=DATE(YEAR($E1082),MONTH($E1082),1))))</f>
        <v>0</v>
      </c>
    </row>
    <row r="1083" spans="1:20" ht="18" customHeight="1" x14ac:dyDescent="0.3">
      <c r="A1083" s="2"/>
      <c r="B1083" s="65" t="str">
        <f t="shared" si="80"/>
        <v/>
      </c>
      <c r="C1083" s="65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66"/>
      <c r="F1083" s="67"/>
      <c r="G1083" s="60"/>
      <c r="H1083" s="60"/>
      <c r="I1083" s="61"/>
      <c r="J1083" s="61"/>
      <c r="K1083" s="61"/>
      <c r="L1083" s="73" t="str">
        <f t="shared" si="81"/>
        <v/>
      </c>
      <c r="M1083" s="65" t="str">
        <f t="shared" ca="1" si="82"/>
        <v/>
      </c>
      <c r="N1083" s="74" t="str">
        <f>IF($C1083="","",IF($C1083="TANIMSIZ MÜŞTERİ","—",INDEX(MUSTERILER!$C$7:$C$156,MATCH($C1083,MUSTERILER!$B$7:$B$156,0))))</f>
        <v/>
      </c>
      <c r="O1083" s="2"/>
      <c r="P1083" s="2"/>
      <c r="Q1083" s="1" t="str">
        <f>IF($D1083="","",$C1083&amp;"|"&amp;COUNTIFS($C$7:$C1083,$C1083))</f>
        <v/>
      </c>
      <c r="R1083" s="1" t="str">
        <f t="shared" si="83"/>
        <v/>
      </c>
      <c r="S1083" s="1" t="str">
        <f t="shared" si="84"/>
        <v/>
      </c>
      <c r="T1083" s="1">
        <f>IF($E1083="",0,SUMPRODUCT((AY_SONU!$O$7:$O$42="Evet")*(AY_SONU!$B$7:$B$42=DATE(YEAR($E1083),MONTH($E1083),1))))</f>
        <v>0</v>
      </c>
    </row>
    <row r="1084" spans="1:20" ht="18" customHeight="1" x14ac:dyDescent="0.3">
      <c r="A1084" s="2"/>
      <c r="B1084" s="65" t="str">
        <f t="shared" si="80"/>
        <v/>
      </c>
      <c r="C1084" s="65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66"/>
      <c r="F1084" s="67"/>
      <c r="G1084" s="60"/>
      <c r="H1084" s="60"/>
      <c r="I1084" s="61"/>
      <c r="J1084" s="61"/>
      <c r="K1084" s="61"/>
      <c r="L1084" s="73" t="str">
        <f t="shared" si="81"/>
        <v/>
      </c>
      <c r="M1084" s="65" t="str">
        <f t="shared" ca="1" si="82"/>
        <v/>
      </c>
      <c r="N1084" s="74" t="str">
        <f>IF($C1084="","",IF($C1084="TANIMSIZ MÜŞTERİ","—",INDEX(MUSTERILER!$C$7:$C$156,MATCH($C1084,MUSTERILER!$B$7:$B$156,0))))</f>
        <v/>
      </c>
      <c r="O1084" s="2"/>
      <c r="P1084" s="2"/>
      <c r="Q1084" s="1" t="str">
        <f>IF($D1084="","",$C1084&amp;"|"&amp;COUNTIFS($C$7:$C1084,$C1084))</f>
        <v/>
      </c>
      <c r="R1084" s="1" t="str">
        <f t="shared" si="83"/>
        <v/>
      </c>
      <c r="S1084" s="1" t="str">
        <f t="shared" si="84"/>
        <v/>
      </c>
      <c r="T1084" s="1">
        <f>IF($E1084="",0,SUMPRODUCT((AY_SONU!$O$7:$O$42="Evet")*(AY_SONU!$B$7:$B$42=DATE(YEAR($E1084),MONTH($E1084),1))))</f>
        <v>0</v>
      </c>
    </row>
    <row r="1085" spans="1:20" ht="18" customHeight="1" x14ac:dyDescent="0.3">
      <c r="A1085" s="2"/>
      <c r="B1085" s="65" t="str">
        <f t="shared" si="80"/>
        <v/>
      </c>
      <c r="C1085" s="65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66"/>
      <c r="F1085" s="67"/>
      <c r="G1085" s="60"/>
      <c r="H1085" s="60"/>
      <c r="I1085" s="61"/>
      <c r="J1085" s="61"/>
      <c r="K1085" s="61"/>
      <c r="L1085" s="73" t="str">
        <f t="shared" si="81"/>
        <v/>
      </c>
      <c r="M1085" s="65" t="str">
        <f t="shared" ca="1" si="82"/>
        <v/>
      </c>
      <c r="N1085" s="74" t="str">
        <f>IF($C1085="","",IF($C1085="TANIMSIZ MÜŞTERİ","—",INDEX(MUSTERILER!$C$7:$C$156,MATCH($C1085,MUSTERILER!$B$7:$B$156,0))))</f>
        <v/>
      </c>
      <c r="O1085" s="2"/>
      <c r="P1085" s="2"/>
      <c r="Q1085" s="1" t="str">
        <f>IF($D1085="","",$C1085&amp;"|"&amp;COUNTIFS($C$7:$C1085,$C1085))</f>
        <v/>
      </c>
      <c r="R1085" s="1" t="str">
        <f t="shared" si="83"/>
        <v/>
      </c>
      <c r="S1085" s="1" t="str">
        <f t="shared" si="84"/>
        <v/>
      </c>
      <c r="T1085" s="1">
        <f>IF($E1085="",0,SUMPRODUCT((AY_SONU!$O$7:$O$42="Evet")*(AY_SONU!$B$7:$B$42=DATE(YEAR($E1085),MONTH($E1085),1))))</f>
        <v>0</v>
      </c>
    </row>
    <row r="1086" spans="1:20" ht="18" customHeight="1" x14ac:dyDescent="0.3">
      <c r="A1086" s="2"/>
      <c r="B1086" s="65" t="str">
        <f t="shared" si="80"/>
        <v/>
      </c>
      <c r="C1086" s="65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66"/>
      <c r="F1086" s="67"/>
      <c r="G1086" s="60"/>
      <c r="H1086" s="60"/>
      <c r="I1086" s="61"/>
      <c r="J1086" s="61"/>
      <c r="K1086" s="61"/>
      <c r="L1086" s="73" t="str">
        <f t="shared" si="81"/>
        <v/>
      </c>
      <c r="M1086" s="65" t="str">
        <f t="shared" ca="1" si="82"/>
        <v/>
      </c>
      <c r="N1086" s="74" t="str">
        <f>IF($C1086="","",IF($C1086="TANIMSIZ MÜŞTERİ","—",INDEX(MUSTERILER!$C$7:$C$156,MATCH($C1086,MUSTERILER!$B$7:$B$156,0))))</f>
        <v/>
      </c>
      <c r="O1086" s="2"/>
      <c r="P1086" s="2"/>
      <c r="Q1086" s="1" t="str">
        <f>IF($D1086="","",$C1086&amp;"|"&amp;COUNTIFS($C$7:$C1086,$C1086))</f>
        <v/>
      </c>
      <c r="R1086" s="1" t="str">
        <f t="shared" si="83"/>
        <v/>
      </c>
      <c r="S1086" s="1" t="str">
        <f t="shared" si="84"/>
        <v/>
      </c>
      <c r="T1086" s="1">
        <f>IF($E1086="",0,SUMPRODUCT((AY_SONU!$O$7:$O$42="Evet")*(AY_SONU!$B$7:$B$42=DATE(YEAR($E1086),MONTH($E1086),1))))</f>
        <v>0</v>
      </c>
    </row>
    <row r="1087" spans="1:20" ht="18" customHeight="1" x14ac:dyDescent="0.3">
      <c r="A1087" s="2"/>
      <c r="B1087" s="65" t="str">
        <f t="shared" si="80"/>
        <v/>
      </c>
      <c r="C1087" s="65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66"/>
      <c r="F1087" s="67"/>
      <c r="G1087" s="60"/>
      <c r="H1087" s="60"/>
      <c r="I1087" s="61"/>
      <c r="J1087" s="61"/>
      <c r="K1087" s="61"/>
      <c r="L1087" s="73" t="str">
        <f t="shared" si="81"/>
        <v/>
      </c>
      <c r="M1087" s="65" t="str">
        <f t="shared" ca="1" si="82"/>
        <v/>
      </c>
      <c r="N1087" s="74" t="str">
        <f>IF($C1087="","",IF($C1087="TANIMSIZ MÜŞTERİ","—",INDEX(MUSTERILER!$C$7:$C$156,MATCH($C1087,MUSTERILER!$B$7:$B$156,0))))</f>
        <v/>
      </c>
      <c r="O1087" s="2"/>
      <c r="P1087" s="2"/>
      <c r="Q1087" s="1" t="str">
        <f>IF($D1087="","",$C1087&amp;"|"&amp;COUNTIFS($C$7:$C1087,$C1087))</f>
        <v/>
      </c>
      <c r="R1087" s="1" t="str">
        <f t="shared" si="83"/>
        <v/>
      </c>
      <c r="S1087" s="1" t="str">
        <f t="shared" si="84"/>
        <v/>
      </c>
      <c r="T1087" s="1">
        <f>IF($E1087="",0,SUMPRODUCT((AY_SONU!$O$7:$O$42="Evet")*(AY_SONU!$B$7:$B$42=DATE(YEAR($E1087),MONTH($E1087),1))))</f>
        <v>0</v>
      </c>
    </row>
    <row r="1088" spans="1:20" ht="18" customHeight="1" x14ac:dyDescent="0.3">
      <c r="A1088" s="2"/>
      <c r="B1088" s="65" t="str">
        <f t="shared" si="80"/>
        <v/>
      </c>
      <c r="C1088" s="65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66"/>
      <c r="F1088" s="67"/>
      <c r="G1088" s="60"/>
      <c r="H1088" s="60"/>
      <c r="I1088" s="61"/>
      <c r="J1088" s="61"/>
      <c r="K1088" s="61"/>
      <c r="L1088" s="73" t="str">
        <f t="shared" si="81"/>
        <v/>
      </c>
      <c r="M1088" s="65" t="str">
        <f t="shared" ca="1" si="82"/>
        <v/>
      </c>
      <c r="N1088" s="74" t="str">
        <f>IF($C1088="","",IF($C1088="TANIMSIZ MÜŞTERİ","—",INDEX(MUSTERILER!$C$7:$C$156,MATCH($C1088,MUSTERILER!$B$7:$B$156,0))))</f>
        <v/>
      </c>
      <c r="O1088" s="2"/>
      <c r="P1088" s="2"/>
      <c r="Q1088" s="1" t="str">
        <f>IF($D1088="","",$C1088&amp;"|"&amp;COUNTIFS($C$7:$C1088,$C1088))</f>
        <v/>
      </c>
      <c r="R1088" s="1" t="str">
        <f t="shared" si="83"/>
        <v/>
      </c>
      <c r="S1088" s="1" t="str">
        <f t="shared" si="84"/>
        <v/>
      </c>
      <c r="T1088" s="1">
        <f>IF($E1088="",0,SUMPRODUCT((AY_SONU!$O$7:$O$42="Evet")*(AY_SONU!$B$7:$B$42=DATE(YEAR($E1088),MONTH($E1088),1))))</f>
        <v>0</v>
      </c>
    </row>
    <row r="1089" spans="1:20" ht="18" customHeight="1" x14ac:dyDescent="0.3">
      <c r="A1089" s="2"/>
      <c r="B1089" s="65" t="str">
        <f t="shared" si="80"/>
        <v/>
      </c>
      <c r="C1089" s="65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66"/>
      <c r="F1089" s="67"/>
      <c r="G1089" s="60"/>
      <c r="H1089" s="60"/>
      <c r="I1089" s="61"/>
      <c r="J1089" s="61"/>
      <c r="K1089" s="61"/>
      <c r="L1089" s="73" t="str">
        <f t="shared" si="81"/>
        <v/>
      </c>
      <c r="M1089" s="65" t="str">
        <f t="shared" ca="1" si="82"/>
        <v/>
      </c>
      <c r="N1089" s="74" t="str">
        <f>IF($C1089="","",IF($C1089="TANIMSIZ MÜŞTERİ","—",INDEX(MUSTERILER!$C$7:$C$156,MATCH($C1089,MUSTERILER!$B$7:$B$156,0))))</f>
        <v/>
      </c>
      <c r="O1089" s="2"/>
      <c r="P1089" s="2"/>
      <c r="Q1089" s="1" t="str">
        <f>IF($D1089="","",$C1089&amp;"|"&amp;COUNTIFS($C$7:$C1089,$C1089))</f>
        <v/>
      </c>
      <c r="R1089" s="1" t="str">
        <f t="shared" si="83"/>
        <v/>
      </c>
      <c r="S1089" s="1" t="str">
        <f t="shared" si="84"/>
        <v/>
      </c>
      <c r="T1089" s="1">
        <f>IF($E1089="",0,SUMPRODUCT((AY_SONU!$O$7:$O$42="Evet")*(AY_SONU!$B$7:$B$42=DATE(YEAR($E1089),MONTH($E1089),1))))</f>
        <v>0</v>
      </c>
    </row>
    <row r="1090" spans="1:20" ht="18" customHeight="1" x14ac:dyDescent="0.3">
      <c r="A1090" s="2"/>
      <c r="B1090" s="65" t="str">
        <f t="shared" si="80"/>
        <v/>
      </c>
      <c r="C1090" s="65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66"/>
      <c r="F1090" s="67"/>
      <c r="G1090" s="60"/>
      <c r="H1090" s="60"/>
      <c r="I1090" s="61"/>
      <c r="J1090" s="61"/>
      <c r="K1090" s="61"/>
      <c r="L1090" s="73" t="str">
        <f t="shared" si="81"/>
        <v/>
      </c>
      <c r="M1090" s="65" t="str">
        <f t="shared" ca="1" si="82"/>
        <v/>
      </c>
      <c r="N1090" s="74" t="str">
        <f>IF($C1090="","",IF($C1090="TANIMSIZ MÜŞTERİ","—",INDEX(MUSTERILER!$C$7:$C$156,MATCH($C1090,MUSTERILER!$B$7:$B$156,0))))</f>
        <v/>
      </c>
      <c r="O1090" s="2"/>
      <c r="P1090" s="2"/>
      <c r="Q1090" s="1" t="str">
        <f>IF($D1090="","",$C1090&amp;"|"&amp;COUNTIFS($C$7:$C1090,$C1090))</f>
        <v/>
      </c>
      <c r="R1090" s="1" t="str">
        <f t="shared" si="83"/>
        <v/>
      </c>
      <c r="S1090" s="1" t="str">
        <f t="shared" si="84"/>
        <v/>
      </c>
      <c r="T1090" s="1">
        <f>IF($E1090="",0,SUMPRODUCT((AY_SONU!$O$7:$O$42="Evet")*(AY_SONU!$B$7:$B$42=DATE(YEAR($E1090),MONTH($E1090),1))))</f>
        <v>0</v>
      </c>
    </row>
    <row r="1091" spans="1:20" ht="18" customHeight="1" x14ac:dyDescent="0.3">
      <c r="A1091" s="2"/>
      <c r="B1091" s="65" t="str">
        <f t="shared" si="80"/>
        <v/>
      </c>
      <c r="C1091" s="65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66"/>
      <c r="F1091" s="67"/>
      <c r="G1091" s="60"/>
      <c r="H1091" s="60"/>
      <c r="I1091" s="61"/>
      <c r="J1091" s="61"/>
      <c r="K1091" s="61"/>
      <c r="L1091" s="73" t="str">
        <f t="shared" si="81"/>
        <v/>
      </c>
      <c r="M1091" s="65" t="str">
        <f t="shared" ca="1" si="82"/>
        <v/>
      </c>
      <c r="N1091" s="74" t="str">
        <f>IF($C1091="","",IF($C1091="TANIMSIZ MÜŞTERİ","—",INDEX(MUSTERILER!$C$7:$C$156,MATCH($C1091,MUSTERILER!$B$7:$B$156,0))))</f>
        <v/>
      </c>
      <c r="O1091" s="2"/>
      <c r="P1091" s="2"/>
      <c r="Q1091" s="1" t="str">
        <f>IF($D1091="","",$C1091&amp;"|"&amp;COUNTIFS($C$7:$C1091,$C1091))</f>
        <v/>
      </c>
      <c r="R1091" s="1" t="str">
        <f t="shared" si="83"/>
        <v/>
      </c>
      <c r="S1091" s="1" t="str">
        <f t="shared" si="84"/>
        <v/>
      </c>
      <c r="T1091" s="1">
        <f>IF($E1091="",0,SUMPRODUCT((AY_SONU!$O$7:$O$42="Evet")*(AY_SONU!$B$7:$B$42=DATE(YEAR($E1091),MONTH($E1091),1))))</f>
        <v>0</v>
      </c>
    </row>
    <row r="1092" spans="1:20" ht="18" customHeight="1" x14ac:dyDescent="0.3">
      <c r="A1092" s="2"/>
      <c r="B1092" s="65" t="str">
        <f t="shared" si="80"/>
        <v/>
      </c>
      <c r="C1092" s="65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66"/>
      <c r="F1092" s="67"/>
      <c r="G1092" s="60"/>
      <c r="H1092" s="60"/>
      <c r="I1092" s="61"/>
      <c r="J1092" s="61"/>
      <c r="K1092" s="61"/>
      <c r="L1092" s="73" t="str">
        <f t="shared" si="81"/>
        <v/>
      </c>
      <c r="M1092" s="65" t="str">
        <f t="shared" ca="1" si="82"/>
        <v/>
      </c>
      <c r="N1092" s="74" t="str">
        <f>IF($C1092="","",IF($C1092="TANIMSIZ MÜŞTERİ","—",INDEX(MUSTERILER!$C$7:$C$156,MATCH($C1092,MUSTERILER!$B$7:$B$156,0))))</f>
        <v/>
      </c>
      <c r="O1092" s="2"/>
      <c r="P1092" s="2"/>
      <c r="Q1092" s="1" t="str">
        <f>IF($D1092="","",$C1092&amp;"|"&amp;COUNTIFS($C$7:$C1092,$C1092))</f>
        <v/>
      </c>
      <c r="R1092" s="1" t="str">
        <f t="shared" si="83"/>
        <v/>
      </c>
      <c r="S1092" s="1" t="str">
        <f t="shared" si="84"/>
        <v/>
      </c>
      <c r="T1092" s="1">
        <f>IF($E1092="",0,SUMPRODUCT((AY_SONU!$O$7:$O$42="Evet")*(AY_SONU!$B$7:$B$42=DATE(YEAR($E1092),MONTH($E1092),1))))</f>
        <v>0</v>
      </c>
    </row>
    <row r="1093" spans="1:20" ht="18" customHeight="1" x14ac:dyDescent="0.3">
      <c r="A1093" s="2"/>
      <c r="B1093" s="65" t="str">
        <f t="shared" si="80"/>
        <v/>
      </c>
      <c r="C1093" s="65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66"/>
      <c r="F1093" s="67"/>
      <c r="G1093" s="60"/>
      <c r="H1093" s="60"/>
      <c r="I1093" s="61"/>
      <c r="J1093" s="61"/>
      <c r="K1093" s="61"/>
      <c r="L1093" s="73" t="str">
        <f t="shared" si="81"/>
        <v/>
      </c>
      <c r="M1093" s="65" t="str">
        <f t="shared" ca="1" si="82"/>
        <v/>
      </c>
      <c r="N1093" s="74" t="str">
        <f>IF($C1093="","",IF($C1093="TANIMSIZ MÜŞTERİ","—",INDEX(MUSTERILER!$C$7:$C$156,MATCH($C1093,MUSTERILER!$B$7:$B$156,0))))</f>
        <v/>
      </c>
      <c r="O1093" s="2"/>
      <c r="P1093" s="2"/>
      <c r="Q1093" s="1" t="str">
        <f>IF($D1093="","",$C1093&amp;"|"&amp;COUNTIFS($C$7:$C1093,$C1093))</f>
        <v/>
      </c>
      <c r="R1093" s="1" t="str">
        <f t="shared" si="83"/>
        <v/>
      </c>
      <c r="S1093" s="1" t="str">
        <f t="shared" si="84"/>
        <v/>
      </c>
      <c r="T1093" s="1">
        <f>IF($E1093="",0,SUMPRODUCT((AY_SONU!$O$7:$O$42="Evet")*(AY_SONU!$B$7:$B$42=DATE(YEAR($E1093),MONTH($E1093),1))))</f>
        <v>0</v>
      </c>
    </row>
    <row r="1094" spans="1:20" ht="18" customHeight="1" x14ac:dyDescent="0.3">
      <c r="A1094" s="2"/>
      <c r="B1094" s="65" t="str">
        <f t="shared" si="80"/>
        <v/>
      </c>
      <c r="C1094" s="65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66"/>
      <c r="F1094" s="67"/>
      <c r="G1094" s="60"/>
      <c r="H1094" s="60"/>
      <c r="I1094" s="61"/>
      <c r="J1094" s="61"/>
      <c r="K1094" s="61"/>
      <c r="L1094" s="73" t="str">
        <f t="shared" si="81"/>
        <v/>
      </c>
      <c r="M1094" s="65" t="str">
        <f t="shared" ca="1" si="82"/>
        <v/>
      </c>
      <c r="N1094" s="74" t="str">
        <f>IF($C1094="","",IF($C1094="TANIMSIZ MÜŞTERİ","—",INDEX(MUSTERILER!$C$7:$C$156,MATCH($C1094,MUSTERILER!$B$7:$B$156,0))))</f>
        <v/>
      </c>
      <c r="O1094" s="2"/>
      <c r="P1094" s="2"/>
      <c r="Q1094" s="1" t="str">
        <f>IF($D1094="","",$C1094&amp;"|"&amp;COUNTIFS($C$7:$C1094,$C1094))</f>
        <v/>
      </c>
      <c r="R1094" s="1" t="str">
        <f t="shared" si="83"/>
        <v/>
      </c>
      <c r="S1094" s="1" t="str">
        <f t="shared" si="84"/>
        <v/>
      </c>
      <c r="T1094" s="1">
        <f>IF($E1094="",0,SUMPRODUCT((AY_SONU!$O$7:$O$42="Evet")*(AY_SONU!$B$7:$B$42=DATE(YEAR($E1094),MONTH($E1094),1))))</f>
        <v>0</v>
      </c>
    </row>
    <row r="1095" spans="1:20" ht="18" customHeight="1" x14ac:dyDescent="0.3">
      <c r="A1095" s="2"/>
      <c r="B1095" s="65" t="str">
        <f t="shared" ref="B1095:B1158" si="85">IF($D1095="","","T"&amp;TEXT(ROW()-6,"00000"))</f>
        <v/>
      </c>
      <c r="C1095" s="65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66"/>
      <c r="F1095" s="67"/>
      <c r="G1095" s="60"/>
      <c r="H1095" s="60"/>
      <c r="I1095" s="61"/>
      <c r="J1095" s="61"/>
      <c r="K1095" s="61"/>
      <c r="L1095" s="73" t="str">
        <f t="shared" ref="L1095:L1158" si="86">IF($E1095="","",DATE(YEAR($E1095),MONTH($E1095),1))</f>
        <v/>
      </c>
      <c r="M1095" s="65" t="str">
        <f t="shared" ref="M1095:M1158" ca="1" si="87">IF($D1095="","",IF($C1095="TANIMSIZ MÜŞTERİ","HATA",IF(OR($E1095="",$F1095&lt;=0,$G1095=""),"EKSİK",IF($E1095&gt;TODAY(),"İLERİ TARİH",IF(COUNTIF($S$7:$S$2506,$S1095)&gt;1,"MÜKERRER?",IF($T1095&gt;0,"KAPALI DÖNEM","UYGUN"))))))</f>
        <v/>
      </c>
      <c r="N1095" s="74" t="str">
        <f>IF($C1095="","",IF($C1095="TANIMSIZ MÜŞTERİ","—",INDEX(MUSTERILER!$C$7:$C$156,MATCH($C1095,MUSTERILER!$B$7:$B$156,0))))</f>
        <v/>
      </c>
      <c r="O1095" s="2"/>
      <c r="P1095" s="2"/>
      <c r="Q1095" s="1" t="str">
        <f>IF($D1095="","",$C1095&amp;"|"&amp;COUNTIFS($C$7:$C1095,$C1095))</f>
        <v/>
      </c>
      <c r="R1095" s="1" t="str">
        <f t="shared" ref="R1095:R1158" si="88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 t="str">
        <f t="shared" ref="S1095:S1158" si="89"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>0</v>
      </c>
    </row>
    <row r="1096" spans="1:20" ht="18" customHeight="1" x14ac:dyDescent="0.3">
      <c r="A1096" s="2"/>
      <c r="B1096" s="65" t="str">
        <f t="shared" si="85"/>
        <v/>
      </c>
      <c r="C1096" s="65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66"/>
      <c r="F1096" s="67"/>
      <c r="G1096" s="60"/>
      <c r="H1096" s="60"/>
      <c r="I1096" s="61"/>
      <c r="J1096" s="61"/>
      <c r="K1096" s="61"/>
      <c r="L1096" s="73" t="str">
        <f t="shared" si="86"/>
        <v/>
      </c>
      <c r="M1096" s="65" t="str">
        <f t="shared" ca="1" si="87"/>
        <v/>
      </c>
      <c r="N1096" s="74" t="str">
        <f>IF($C1096="","",IF($C1096="TANIMSIZ MÜŞTERİ","—",INDEX(MUSTERILER!$C$7:$C$156,MATCH($C1096,MUSTERILER!$B$7:$B$156,0))))</f>
        <v/>
      </c>
      <c r="O1096" s="2"/>
      <c r="P1096" s="2"/>
      <c r="Q1096" s="1" t="str">
        <f>IF($D1096="","",$C1096&amp;"|"&amp;COUNTIFS($C$7:$C1096,$C1096))</f>
        <v/>
      </c>
      <c r="R1096" s="1" t="str">
        <f t="shared" si="88"/>
        <v/>
      </c>
      <c r="S1096" s="1" t="str">
        <f t="shared" si="89"/>
        <v/>
      </c>
      <c r="T1096" s="1">
        <f>IF($E1096="",0,SUMPRODUCT((AY_SONU!$O$7:$O$42="Evet")*(AY_SONU!$B$7:$B$42=DATE(YEAR($E1096),MONTH($E1096),1))))</f>
        <v>0</v>
      </c>
    </row>
    <row r="1097" spans="1:20" ht="18" customHeight="1" x14ac:dyDescent="0.3">
      <c r="A1097" s="2"/>
      <c r="B1097" s="65" t="str">
        <f t="shared" si="85"/>
        <v/>
      </c>
      <c r="C1097" s="65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66"/>
      <c r="F1097" s="67"/>
      <c r="G1097" s="60"/>
      <c r="H1097" s="60"/>
      <c r="I1097" s="61"/>
      <c r="J1097" s="61"/>
      <c r="K1097" s="61"/>
      <c r="L1097" s="73" t="str">
        <f t="shared" si="86"/>
        <v/>
      </c>
      <c r="M1097" s="65" t="str">
        <f t="shared" ca="1" si="87"/>
        <v/>
      </c>
      <c r="N1097" s="74" t="str">
        <f>IF($C1097="","",IF($C1097="TANIMSIZ MÜŞTERİ","—",INDEX(MUSTERILER!$C$7:$C$156,MATCH($C1097,MUSTERILER!$B$7:$B$156,0))))</f>
        <v/>
      </c>
      <c r="O1097" s="2"/>
      <c r="P1097" s="2"/>
      <c r="Q1097" s="1" t="str">
        <f>IF($D1097="","",$C1097&amp;"|"&amp;COUNTIFS($C$7:$C1097,$C1097))</f>
        <v/>
      </c>
      <c r="R1097" s="1" t="str">
        <f t="shared" si="88"/>
        <v/>
      </c>
      <c r="S1097" s="1" t="str">
        <f t="shared" si="89"/>
        <v/>
      </c>
      <c r="T1097" s="1">
        <f>IF($E1097="",0,SUMPRODUCT((AY_SONU!$O$7:$O$42="Evet")*(AY_SONU!$B$7:$B$42=DATE(YEAR($E1097),MONTH($E1097),1))))</f>
        <v>0</v>
      </c>
    </row>
    <row r="1098" spans="1:20" ht="18" customHeight="1" x14ac:dyDescent="0.3">
      <c r="A1098" s="2"/>
      <c r="B1098" s="65" t="str">
        <f t="shared" si="85"/>
        <v/>
      </c>
      <c r="C1098" s="65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66"/>
      <c r="F1098" s="67"/>
      <c r="G1098" s="60"/>
      <c r="H1098" s="60"/>
      <c r="I1098" s="61"/>
      <c r="J1098" s="61"/>
      <c r="K1098" s="61"/>
      <c r="L1098" s="73" t="str">
        <f t="shared" si="86"/>
        <v/>
      </c>
      <c r="M1098" s="65" t="str">
        <f t="shared" ca="1" si="87"/>
        <v/>
      </c>
      <c r="N1098" s="74" t="str">
        <f>IF($C1098="","",IF($C1098="TANIMSIZ MÜŞTERİ","—",INDEX(MUSTERILER!$C$7:$C$156,MATCH($C1098,MUSTERILER!$B$7:$B$156,0))))</f>
        <v/>
      </c>
      <c r="O1098" s="2"/>
      <c r="P1098" s="2"/>
      <c r="Q1098" s="1" t="str">
        <f>IF($D1098="","",$C1098&amp;"|"&amp;COUNTIFS($C$7:$C1098,$C1098))</f>
        <v/>
      </c>
      <c r="R1098" s="1" t="str">
        <f t="shared" si="88"/>
        <v/>
      </c>
      <c r="S1098" s="1" t="str">
        <f t="shared" si="89"/>
        <v/>
      </c>
      <c r="T1098" s="1">
        <f>IF($E1098="",0,SUMPRODUCT((AY_SONU!$O$7:$O$42="Evet")*(AY_SONU!$B$7:$B$42=DATE(YEAR($E1098),MONTH($E1098),1))))</f>
        <v>0</v>
      </c>
    </row>
    <row r="1099" spans="1:20" ht="18" customHeight="1" x14ac:dyDescent="0.3">
      <c r="A1099" s="2"/>
      <c r="B1099" s="65" t="str">
        <f t="shared" si="85"/>
        <v/>
      </c>
      <c r="C1099" s="65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66"/>
      <c r="F1099" s="67"/>
      <c r="G1099" s="60"/>
      <c r="H1099" s="60"/>
      <c r="I1099" s="61"/>
      <c r="J1099" s="61"/>
      <c r="K1099" s="61"/>
      <c r="L1099" s="73" t="str">
        <f t="shared" si="86"/>
        <v/>
      </c>
      <c r="M1099" s="65" t="str">
        <f t="shared" ca="1" si="87"/>
        <v/>
      </c>
      <c r="N1099" s="74" t="str">
        <f>IF($C1099="","",IF($C1099="TANIMSIZ MÜŞTERİ","—",INDEX(MUSTERILER!$C$7:$C$156,MATCH($C1099,MUSTERILER!$B$7:$B$156,0))))</f>
        <v/>
      </c>
      <c r="O1099" s="2"/>
      <c r="P1099" s="2"/>
      <c r="Q1099" s="1" t="str">
        <f>IF($D1099="","",$C1099&amp;"|"&amp;COUNTIFS($C$7:$C1099,$C1099))</f>
        <v/>
      </c>
      <c r="R1099" s="1" t="str">
        <f t="shared" si="88"/>
        <v/>
      </c>
      <c r="S1099" s="1" t="str">
        <f t="shared" si="89"/>
        <v/>
      </c>
      <c r="T1099" s="1">
        <f>IF($E1099="",0,SUMPRODUCT((AY_SONU!$O$7:$O$42="Evet")*(AY_SONU!$B$7:$B$42=DATE(YEAR($E1099),MONTH($E1099),1))))</f>
        <v>0</v>
      </c>
    </row>
    <row r="1100" spans="1:20" ht="18" customHeight="1" x14ac:dyDescent="0.3">
      <c r="A1100" s="2"/>
      <c r="B1100" s="65" t="str">
        <f t="shared" si="85"/>
        <v/>
      </c>
      <c r="C1100" s="65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66"/>
      <c r="F1100" s="67"/>
      <c r="G1100" s="60"/>
      <c r="H1100" s="60"/>
      <c r="I1100" s="61"/>
      <c r="J1100" s="61"/>
      <c r="K1100" s="61"/>
      <c r="L1100" s="73" t="str">
        <f t="shared" si="86"/>
        <v/>
      </c>
      <c r="M1100" s="65" t="str">
        <f t="shared" ca="1" si="87"/>
        <v/>
      </c>
      <c r="N1100" s="74" t="str">
        <f>IF($C1100="","",IF($C1100="TANIMSIZ MÜŞTERİ","—",INDEX(MUSTERILER!$C$7:$C$156,MATCH($C1100,MUSTERILER!$B$7:$B$156,0))))</f>
        <v/>
      </c>
      <c r="O1100" s="2"/>
      <c r="P1100" s="2"/>
      <c r="Q1100" s="1" t="str">
        <f>IF($D1100="","",$C1100&amp;"|"&amp;COUNTIFS($C$7:$C1100,$C1100))</f>
        <v/>
      </c>
      <c r="R1100" s="1" t="str">
        <f t="shared" si="88"/>
        <v/>
      </c>
      <c r="S1100" s="1" t="str">
        <f t="shared" si="89"/>
        <v/>
      </c>
      <c r="T1100" s="1">
        <f>IF($E1100="",0,SUMPRODUCT((AY_SONU!$O$7:$O$42="Evet")*(AY_SONU!$B$7:$B$42=DATE(YEAR($E1100),MONTH($E1100),1))))</f>
        <v>0</v>
      </c>
    </row>
    <row r="1101" spans="1:20" ht="18" customHeight="1" x14ac:dyDescent="0.3">
      <c r="A1101" s="2"/>
      <c r="B1101" s="65" t="str">
        <f t="shared" si="85"/>
        <v/>
      </c>
      <c r="C1101" s="65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66"/>
      <c r="F1101" s="67"/>
      <c r="G1101" s="60"/>
      <c r="H1101" s="60"/>
      <c r="I1101" s="61"/>
      <c r="J1101" s="61"/>
      <c r="K1101" s="61"/>
      <c r="L1101" s="73" t="str">
        <f t="shared" si="86"/>
        <v/>
      </c>
      <c r="M1101" s="65" t="str">
        <f t="shared" ca="1" si="87"/>
        <v/>
      </c>
      <c r="N1101" s="74" t="str">
        <f>IF($C1101="","",IF($C1101="TANIMSIZ MÜŞTERİ","—",INDEX(MUSTERILER!$C$7:$C$156,MATCH($C1101,MUSTERILER!$B$7:$B$156,0))))</f>
        <v/>
      </c>
      <c r="O1101" s="2"/>
      <c r="P1101" s="2"/>
      <c r="Q1101" s="1" t="str">
        <f>IF($D1101="","",$C1101&amp;"|"&amp;COUNTIFS($C$7:$C1101,$C1101))</f>
        <v/>
      </c>
      <c r="R1101" s="1" t="str">
        <f t="shared" si="88"/>
        <v/>
      </c>
      <c r="S1101" s="1" t="str">
        <f t="shared" si="89"/>
        <v/>
      </c>
      <c r="T1101" s="1">
        <f>IF($E1101="",0,SUMPRODUCT((AY_SONU!$O$7:$O$42="Evet")*(AY_SONU!$B$7:$B$42=DATE(YEAR($E1101),MONTH($E1101),1))))</f>
        <v>0</v>
      </c>
    </row>
    <row r="1102" spans="1:20" ht="18" customHeight="1" x14ac:dyDescent="0.3">
      <c r="A1102" s="2"/>
      <c r="B1102" s="65" t="str">
        <f t="shared" si="85"/>
        <v/>
      </c>
      <c r="C1102" s="65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66"/>
      <c r="F1102" s="67"/>
      <c r="G1102" s="60"/>
      <c r="H1102" s="60"/>
      <c r="I1102" s="61"/>
      <c r="J1102" s="61"/>
      <c r="K1102" s="61"/>
      <c r="L1102" s="73" t="str">
        <f t="shared" si="86"/>
        <v/>
      </c>
      <c r="M1102" s="65" t="str">
        <f t="shared" ca="1" si="87"/>
        <v/>
      </c>
      <c r="N1102" s="74" t="str">
        <f>IF($C1102="","",IF($C1102="TANIMSIZ MÜŞTERİ","—",INDEX(MUSTERILER!$C$7:$C$156,MATCH($C1102,MUSTERILER!$B$7:$B$156,0))))</f>
        <v/>
      </c>
      <c r="O1102" s="2"/>
      <c r="P1102" s="2"/>
      <c r="Q1102" s="1" t="str">
        <f>IF($D1102="","",$C1102&amp;"|"&amp;COUNTIFS($C$7:$C1102,$C1102))</f>
        <v/>
      </c>
      <c r="R1102" s="1" t="str">
        <f t="shared" si="88"/>
        <v/>
      </c>
      <c r="S1102" s="1" t="str">
        <f t="shared" si="89"/>
        <v/>
      </c>
      <c r="T1102" s="1">
        <f>IF($E1102="",0,SUMPRODUCT((AY_SONU!$O$7:$O$42="Evet")*(AY_SONU!$B$7:$B$42=DATE(YEAR($E1102),MONTH($E1102),1))))</f>
        <v>0</v>
      </c>
    </row>
    <row r="1103" spans="1:20" ht="18" customHeight="1" x14ac:dyDescent="0.3">
      <c r="A1103" s="2"/>
      <c r="B1103" s="65" t="str">
        <f t="shared" si="85"/>
        <v/>
      </c>
      <c r="C1103" s="65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66"/>
      <c r="F1103" s="67"/>
      <c r="G1103" s="60"/>
      <c r="H1103" s="60"/>
      <c r="I1103" s="61"/>
      <c r="J1103" s="61"/>
      <c r="K1103" s="61"/>
      <c r="L1103" s="73" t="str">
        <f t="shared" si="86"/>
        <v/>
      </c>
      <c r="M1103" s="65" t="str">
        <f t="shared" ca="1" si="87"/>
        <v/>
      </c>
      <c r="N1103" s="74" t="str">
        <f>IF($C1103="","",IF($C1103="TANIMSIZ MÜŞTERİ","—",INDEX(MUSTERILER!$C$7:$C$156,MATCH($C1103,MUSTERILER!$B$7:$B$156,0))))</f>
        <v/>
      </c>
      <c r="O1103" s="2"/>
      <c r="P1103" s="2"/>
      <c r="Q1103" s="1" t="str">
        <f>IF($D1103="","",$C1103&amp;"|"&amp;COUNTIFS($C$7:$C1103,$C1103))</f>
        <v/>
      </c>
      <c r="R1103" s="1" t="str">
        <f t="shared" si="88"/>
        <v/>
      </c>
      <c r="S1103" s="1" t="str">
        <f t="shared" si="89"/>
        <v/>
      </c>
      <c r="T1103" s="1">
        <f>IF($E1103="",0,SUMPRODUCT((AY_SONU!$O$7:$O$42="Evet")*(AY_SONU!$B$7:$B$42=DATE(YEAR($E1103),MONTH($E1103),1))))</f>
        <v>0</v>
      </c>
    </row>
    <row r="1104" spans="1:20" ht="18" customHeight="1" x14ac:dyDescent="0.3">
      <c r="A1104" s="2"/>
      <c r="B1104" s="65" t="str">
        <f t="shared" si="85"/>
        <v/>
      </c>
      <c r="C1104" s="65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66"/>
      <c r="F1104" s="67"/>
      <c r="G1104" s="60"/>
      <c r="H1104" s="60"/>
      <c r="I1104" s="61"/>
      <c r="J1104" s="61"/>
      <c r="K1104" s="61"/>
      <c r="L1104" s="73" t="str">
        <f t="shared" si="86"/>
        <v/>
      </c>
      <c r="M1104" s="65" t="str">
        <f t="shared" ca="1" si="87"/>
        <v/>
      </c>
      <c r="N1104" s="74" t="str">
        <f>IF($C1104="","",IF($C1104="TANIMSIZ MÜŞTERİ","—",INDEX(MUSTERILER!$C$7:$C$156,MATCH($C1104,MUSTERILER!$B$7:$B$156,0))))</f>
        <v/>
      </c>
      <c r="O1104" s="2"/>
      <c r="P1104" s="2"/>
      <c r="Q1104" s="1" t="str">
        <f>IF($D1104="","",$C1104&amp;"|"&amp;COUNTIFS($C$7:$C1104,$C1104))</f>
        <v/>
      </c>
      <c r="R1104" s="1" t="str">
        <f t="shared" si="88"/>
        <v/>
      </c>
      <c r="S1104" s="1" t="str">
        <f t="shared" si="89"/>
        <v/>
      </c>
      <c r="T1104" s="1">
        <f>IF($E1104="",0,SUMPRODUCT((AY_SONU!$O$7:$O$42="Evet")*(AY_SONU!$B$7:$B$42=DATE(YEAR($E1104),MONTH($E1104),1))))</f>
        <v>0</v>
      </c>
    </row>
    <row r="1105" spans="1:20" ht="18" customHeight="1" x14ac:dyDescent="0.3">
      <c r="A1105" s="2"/>
      <c r="B1105" s="65" t="str">
        <f t="shared" si="85"/>
        <v/>
      </c>
      <c r="C1105" s="65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66"/>
      <c r="F1105" s="67"/>
      <c r="G1105" s="60"/>
      <c r="H1105" s="60"/>
      <c r="I1105" s="61"/>
      <c r="J1105" s="61"/>
      <c r="K1105" s="61"/>
      <c r="L1105" s="73" t="str">
        <f t="shared" si="86"/>
        <v/>
      </c>
      <c r="M1105" s="65" t="str">
        <f t="shared" ca="1" si="87"/>
        <v/>
      </c>
      <c r="N1105" s="74" t="str">
        <f>IF($C1105="","",IF($C1105="TANIMSIZ MÜŞTERİ","—",INDEX(MUSTERILER!$C$7:$C$156,MATCH($C1105,MUSTERILER!$B$7:$B$156,0))))</f>
        <v/>
      </c>
      <c r="O1105" s="2"/>
      <c r="P1105" s="2"/>
      <c r="Q1105" s="1" t="str">
        <f>IF($D1105="","",$C1105&amp;"|"&amp;COUNTIFS($C$7:$C1105,$C1105))</f>
        <v/>
      </c>
      <c r="R1105" s="1" t="str">
        <f t="shared" si="88"/>
        <v/>
      </c>
      <c r="S1105" s="1" t="str">
        <f t="shared" si="89"/>
        <v/>
      </c>
      <c r="T1105" s="1">
        <f>IF($E1105="",0,SUMPRODUCT((AY_SONU!$O$7:$O$42="Evet")*(AY_SONU!$B$7:$B$42=DATE(YEAR($E1105),MONTH($E1105),1))))</f>
        <v>0</v>
      </c>
    </row>
    <row r="1106" spans="1:20" ht="18" customHeight="1" x14ac:dyDescent="0.3">
      <c r="A1106" s="2"/>
      <c r="B1106" s="65" t="str">
        <f t="shared" si="85"/>
        <v/>
      </c>
      <c r="C1106" s="65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66"/>
      <c r="F1106" s="67"/>
      <c r="G1106" s="60"/>
      <c r="H1106" s="60"/>
      <c r="I1106" s="61"/>
      <c r="J1106" s="61"/>
      <c r="K1106" s="61"/>
      <c r="L1106" s="73" t="str">
        <f t="shared" si="86"/>
        <v/>
      </c>
      <c r="M1106" s="65" t="str">
        <f t="shared" ca="1" si="87"/>
        <v/>
      </c>
      <c r="N1106" s="74" t="str">
        <f>IF($C1106="","",IF($C1106="TANIMSIZ MÜŞTERİ","—",INDEX(MUSTERILER!$C$7:$C$156,MATCH($C1106,MUSTERILER!$B$7:$B$156,0))))</f>
        <v/>
      </c>
      <c r="O1106" s="2"/>
      <c r="P1106" s="2"/>
      <c r="Q1106" s="1" t="str">
        <f>IF($D1106="","",$C1106&amp;"|"&amp;COUNTIFS($C$7:$C1106,$C1106))</f>
        <v/>
      </c>
      <c r="R1106" s="1" t="str">
        <f t="shared" si="88"/>
        <v/>
      </c>
      <c r="S1106" s="1" t="str">
        <f t="shared" si="89"/>
        <v/>
      </c>
      <c r="T1106" s="1">
        <f>IF($E1106="",0,SUMPRODUCT((AY_SONU!$O$7:$O$42="Evet")*(AY_SONU!$B$7:$B$42=DATE(YEAR($E1106),MONTH($E1106),1))))</f>
        <v>0</v>
      </c>
    </row>
    <row r="1107" spans="1:20" ht="18" customHeight="1" x14ac:dyDescent="0.3">
      <c r="A1107" s="2"/>
      <c r="B1107" s="65" t="str">
        <f t="shared" si="85"/>
        <v/>
      </c>
      <c r="C1107" s="65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66"/>
      <c r="F1107" s="67"/>
      <c r="G1107" s="60"/>
      <c r="H1107" s="60"/>
      <c r="I1107" s="61"/>
      <c r="J1107" s="61"/>
      <c r="K1107" s="61"/>
      <c r="L1107" s="73" t="str">
        <f t="shared" si="86"/>
        <v/>
      </c>
      <c r="M1107" s="65" t="str">
        <f t="shared" ca="1" si="87"/>
        <v/>
      </c>
      <c r="N1107" s="74" t="str">
        <f>IF($C1107="","",IF($C1107="TANIMSIZ MÜŞTERİ","—",INDEX(MUSTERILER!$C$7:$C$156,MATCH($C1107,MUSTERILER!$B$7:$B$156,0))))</f>
        <v/>
      </c>
      <c r="O1107" s="2"/>
      <c r="P1107" s="2"/>
      <c r="Q1107" s="1" t="str">
        <f>IF($D1107="","",$C1107&amp;"|"&amp;COUNTIFS($C$7:$C1107,$C1107))</f>
        <v/>
      </c>
      <c r="R1107" s="1" t="str">
        <f t="shared" si="88"/>
        <v/>
      </c>
      <c r="S1107" s="1" t="str">
        <f t="shared" si="89"/>
        <v/>
      </c>
      <c r="T1107" s="1">
        <f>IF($E1107="",0,SUMPRODUCT((AY_SONU!$O$7:$O$42="Evet")*(AY_SONU!$B$7:$B$42=DATE(YEAR($E1107),MONTH($E1107),1))))</f>
        <v>0</v>
      </c>
    </row>
    <row r="1108" spans="1:20" ht="18" customHeight="1" x14ac:dyDescent="0.3">
      <c r="A1108" s="2"/>
      <c r="B1108" s="65" t="str">
        <f t="shared" si="85"/>
        <v/>
      </c>
      <c r="C1108" s="65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66"/>
      <c r="F1108" s="67"/>
      <c r="G1108" s="60"/>
      <c r="H1108" s="60"/>
      <c r="I1108" s="61"/>
      <c r="J1108" s="61"/>
      <c r="K1108" s="61"/>
      <c r="L1108" s="73" t="str">
        <f t="shared" si="86"/>
        <v/>
      </c>
      <c r="M1108" s="65" t="str">
        <f t="shared" ca="1" si="87"/>
        <v/>
      </c>
      <c r="N1108" s="74" t="str">
        <f>IF($C1108="","",IF($C1108="TANIMSIZ MÜŞTERİ","—",INDEX(MUSTERILER!$C$7:$C$156,MATCH($C1108,MUSTERILER!$B$7:$B$156,0))))</f>
        <v/>
      </c>
      <c r="O1108" s="2"/>
      <c r="P1108" s="2"/>
      <c r="Q1108" s="1" t="str">
        <f>IF($D1108="","",$C1108&amp;"|"&amp;COUNTIFS($C$7:$C1108,$C1108))</f>
        <v/>
      </c>
      <c r="R1108" s="1" t="str">
        <f t="shared" si="88"/>
        <v/>
      </c>
      <c r="S1108" s="1" t="str">
        <f t="shared" si="89"/>
        <v/>
      </c>
      <c r="T1108" s="1">
        <f>IF($E1108="",0,SUMPRODUCT((AY_SONU!$O$7:$O$42="Evet")*(AY_SONU!$B$7:$B$42=DATE(YEAR($E1108),MONTH($E1108),1))))</f>
        <v>0</v>
      </c>
    </row>
    <row r="1109" spans="1:20" ht="18" customHeight="1" x14ac:dyDescent="0.3">
      <c r="A1109" s="2"/>
      <c r="B1109" s="65" t="str">
        <f t="shared" si="85"/>
        <v/>
      </c>
      <c r="C1109" s="65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66"/>
      <c r="F1109" s="67"/>
      <c r="G1109" s="60"/>
      <c r="H1109" s="60"/>
      <c r="I1109" s="61"/>
      <c r="J1109" s="61"/>
      <c r="K1109" s="61"/>
      <c r="L1109" s="73" t="str">
        <f t="shared" si="86"/>
        <v/>
      </c>
      <c r="M1109" s="65" t="str">
        <f t="shared" ca="1" si="87"/>
        <v/>
      </c>
      <c r="N1109" s="74" t="str">
        <f>IF($C1109="","",IF($C1109="TANIMSIZ MÜŞTERİ","—",INDEX(MUSTERILER!$C$7:$C$156,MATCH($C1109,MUSTERILER!$B$7:$B$156,0))))</f>
        <v/>
      </c>
      <c r="O1109" s="2"/>
      <c r="P1109" s="2"/>
      <c r="Q1109" s="1" t="str">
        <f>IF($D1109="","",$C1109&amp;"|"&amp;COUNTIFS($C$7:$C1109,$C1109))</f>
        <v/>
      </c>
      <c r="R1109" s="1" t="str">
        <f t="shared" si="88"/>
        <v/>
      </c>
      <c r="S1109" s="1" t="str">
        <f t="shared" si="89"/>
        <v/>
      </c>
      <c r="T1109" s="1">
        <f>IF($E1109="",0,SUMPRODUCT((AY_SONU!$O$7:$O$42="Evet")*(AY_SONU!$B$7:$B$42=DATE(YEAR($E1109),MONTH($E1109),1))))</f>
        <v>0</v>
      </c>
    </row>
    <row r="1110" spans="1:20" ht="18" customHeight="1" x14ac:dyDescent="0.3">
      <c r="A1110" s="2"/>
      <c r="B1110" s="65" t="str">
        <f t="shared" si="85"/>
        <v/>
      </c>
      <c r="C1110" s="65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66"/>
      <c r="F1110" s="67"/>
      <c r="G1110" s="60"/>
      <c r="H1110" s="60"/>
      <c r="I1110" s="61"/>
      <c r="J1110" s="61"/>
      <c r="K1110" s="61"/>
      <c r="L1110" s="73" t="str">
        <f t="shared" si="86"/>
        <v/>
      </c>
      <c r="M1110" s="65" t="str">
        <f t="shared" ca="1" si="87"/>
        <v/>
      </c>
      <c r="N1110" s="74" t="str">
        <f>IF($C1110="","",IF($C1110="TANIMSIZ MÜŞTERİ","—",INDEX(MUSTERILER!$C$7:$C$156,MATCH($C1110,MUSTERILER!$B$7:$B$156,0))))</f>
        <v/>
      </c>
      <c r="O1110" s="2"/>
      <c r="P1110" s="2"/>
      <c r="Q1110" s="1" t="str">
        <f>IF($D1110="","",$C1110&amp;"|"&amp;COUNTIFS($C$7:$C1110,$C1110))</f>
        <v/>
      </c>
      <c r="R1110" s="1" t="str">
        <f t="shared" si="88"/>
        <v/>
      </c>
      <c r="S1110" s="1" t="str">
        <f t="shared" si="89"/>
        <v/>
      </c>
      <c r="T1110" s="1">
        <f>IF($E1110="",0,SUMPRODUCT((AY_SONU!$O$7:$O$42="Evet")*(AY_SONU!$B$7:$B$42=DATE(YEAR($E1110),MONTH($E1110),1))))</f>
        <v>0</v>
      </c>
    </row>
    <row r="1111" spans="1:20" ht="18" customHeight="1" x14ac:dyDescent="0.3">
      <c r="A1111" s="2"/>
      <c r="B1111" s="65" t="str">
        <f t="shared" si="85"/>
        <v/>
      </c>
      <c r="C1111" s="65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66"/>
      <c r="F1111" s="67"/>
      <c r="G1111" s="60"/>
      <c r="H1111" s="60"/>
      <c r="I1111" s="61"/>
      <c r="J1111" s="61"/>
      <c r="K1111" s="61"/>
      <c r="L1111" s="73" t="str">
        <f t="shared" si="86"/>
        <v/>
      </c>
      <c r="M1111" s="65" t="str">
        <f t="shared" ca="1" si="87"/>
        <v/>
      </c>
      <c r="N1111" s="74" t="str">
        <f>IF($C1111="","",IF($C1111="TANIMSIZ MÜŞTERİ","—",INDEX(MUSTERILER!$C$7:$C$156,MATCH($C1111,MUSTERILER!$B$7:$B$156,0))))</f>
        <v/>
      </c>
      <c r="O1111" s="2"/>
      <c r="P1111" s="2"/>
      <c r="Q1111" s="1" t="str">
        <f>IF($D1111="","",$C1111&amp;"|"&amp;COUNTIFS($C$7:$C1111,$C1111))</f>
        <v/>
      </c>
      <c r="R1111" s="1" t="str">
        <f t="shared" si="88"/>
        <v/>
      </c>
      <c r="S1111" s="1" t="str">
        <f t="shared" si="89"/>
        <v/>
      </c>
      <c r="T1111" s="1">
        <f>IF($E1111="",0,SUMPRODUCT((AY_SONU!$O$7:$O$42="Evet")*(AY_SONU!$B$7:$B$42=DATE(YEAR($E1111),MONTH($E1111),1))))</f>
        <v>0</v>
      </c>
    </row>
    <row r="1112" spans="1:20" ht="18" customHeight="1" x14ac:dyDescent="0.3">
      <c r="A1112" s="2"/>
      <c r="B1112" s="65" t="str">
        <f t="shared" si="85"/>
        <v/>
      </c>
      <c r="C1112" s="65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66"/>
      <c r="F1112" s="67"/>
      <c r="G1112" s="60"/>
      <c r="H1112" s="60"/>
      <c r="I1112" s="61"/>
      <c r="J1112" s="61"/>
      <c r="K1112" s="61"/>
      <c r="L1112" s="73" t="str">
        <f t="shared" si="86"/>
        <v/>
      </c>
      <c r="M1112" s="65" t="str">
        <f t="shared" ca="1" si="87"/>
        <v/>
      </c>
      <c r="N1112" s="74" t="str">
        <f>IF($C1112="","",IF($C1112="TANIMSIZ MÜŞTERİ","—",INDEX(MUSTERILER!$C$7:$C$156,MATCH($C1112,MUSTERILER!$B$7:$B$156,0))))</f>
        <v/>
      </c>
      <c r="O1112" s="2"/>
      <c r="P1112" s="2"/>
      <c r="Q1112" s="1" t="str">
        <f>IF($D1112="","",$C1112&amp;"|"&amp;COUNTIFS($C$7:$C1112,$C1112))</f>
        <v/>
      </c>
      <c r="R1112" s="1" t="str">
        <f t="shared" si="88"/>
        <v/>
      </c>
      <c r="S1112" s="1" t="str">
        <f t="shared" si="89"/>
        <v/>
      </c>
      <c r="T1112" s="1">
        <f>IF($E1112="",0,SUMPRODUCT((AY_SONU!$O$7:$O$42="Evet")*(AY_SONU!$B$7:$B$42=DATE(YEAR($E1112),MONTH($E1112),1))))</f>
        <v>0</v>
      </c>
    </row>
    <row r="1113" spans="1:20" ht="18" customHeight="1" x14ac:dyDescent="0.3">
      <c r="A1113" s="2"/>
      <c r="B1113" s="65" t="str">
        <f t="shared" si="85"/>
        <v/>
      </c>
      <c r="C1113" s="65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66"/>
      <c r="F1113" s="67"/>
      <c r="G1113" s="60"/>
      <c r="H1113" s="60"/>
      <c r="I1113" s="61"/>
      <c r="J1113" s="61"/>
      <c r="K1113" s="61"/>
      <c r="L1113" s="73" t="str">
        <f t="shared" si="86"/>
        <v/>
      </c>
      <c r="M1113" s="65" t="str">
        <f t="shared" ca="1" si="87"/>
        <v/>
      </c>
      <c r="N1113" s="74" t="str">
        <f>IF($C1113="","",IF($C1113="TANIMSIZ MÜŞTERİ","—",INDEX(MUSTERILER!$C$7:$C$156,MATCH($C1113,MUSTERILER!$B$7:$B$156,0))))</f>
        <v/>
      </c>
      <c r="O1113" s="2"/>
      <c r="P1113" s="2"/>
      <c r="Q1113" s="1" t="str">
        <f>IF($D1113="","",$C1113&amp;"|"&amp;COUNTIFS($C$7:$C1113,$C1113))</f>
        <v/>
      </c>
      <c r="R1113" s="1" t="str">
        <f t="shared" si="88"/>
        <v/>
      </c>
      <c r="S1113" s="1" t="str">
        <f t="shared" si="89"/>
        <v/>
      </c>
      <c r="T1113" s="1">
        <f>IF($E1113="",0,SUMPRODUCT((AY_SONU!$O$7:$O$42="Evet")*(AY_SONU!$B$7:$B$42=DATE(YEAR($E1113),MONTH($E1113),1))))</f>
        <v>0</v>
      </c>
    </row>
    <row r="1114" spans="1:20" ht="18" customHeight="1" x14ac:dyDescent="0.3">
      <c r="A1114" s="2"/>
      <c r="B1114" s="65" t="str">
        <f t="shared" si="85"/>
        <v/>
      </c>
      <c r="C1114" s="65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66"/>
      <c r="F1114" s="67"/>
      <c r="G1114" s="60"/>
      <c r="H1114" s="60"/>
      <c r="I1114" s="61"/>
      <c r="J1114" s="61"/>
      <c r="K1114" s="61"/>
      <c r="L1114" s="73" t="str">
        <f t="shared" si="86"/>
        <v/>
      </c>
      <c r="M1114" s="65" t="str">
        <f t="shared" ca="1" si="87"/>
        <v/>
      </c>
      <c r="N1114" s="74" t="str">
        <f>IF($C1114="","",IF($C1114="TANIMSIZ MÜŞTERİ","—",INDEX(MUSTERILER!$C$7:$C$156,MATCH($C1114,MUSTERILER!$B$7:$B$156,0))))</f>
        <v/>
      </c>
      <c r="O1114" s="2"/>
      <c r="P1114" s="2"/>
      <c r="Q1114" s="1" t="str">
        <f>IF($D1114="","",$C1114&amp;"|"&amp;COUNTIFS($C$7:$C1114,$C1114))</f>
        <v/>
      </c>
      <c r="R1114" s="1" t="str">
        <f t="shared" si="88"/>
        <v/>
      </c>
      <c r="S1114" s="1" t="str">
        <f t="shared" si="89"/>
        <v/>
      </c>
      <c r="T1114" s="1">
        <f>IF($E1114="",0,SUMPRODUCT((AY_SONU!$O$7:$O$42="Evet")*(AY_SONU!$B$7:$B$42=DATE(YEAR($E1114),MONTH($E1114),1))))</f>
        <v>0</v>
      </c>
    </row>
    <row r="1115" spans="1:20" ht="18" customHeight="1" x14ac:dyDescent="0.3">
      <c r="A1115" s="2"/>
      <c r="B1115" s="65" t="str">
        <f t="shared" si="85"/>
        <v/>
      </c>
      <c r="C1115" s="65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66"/>
      <c r="F1115" s="67"/>
      <c r="G1115" s="60"/>
      <c r="H1115" s="60"/>
      <c r="I1115" s="61"/>
      <c r="J1115" s="61"/>
      <c r="K1115" s="61"/>
      <c r="L1115" s="73" t="str">
        <f t="shared" si="86"/>
        <v/>
      </c>
      <c r="M1115" s="65" t="str">
        <f t="shared" ca="1" si="87"/>
        <v/>
      </c>
      <c r="N1115" s="74" t="str">
        <f>IF($C1115="","",IF($C1115="TANIMSIZ MÜŞTERİ","—",INDEX(MUSTERILER!$C$7:$C$156,MATCH($C1115,MUSTERILER!$B$7:$B$156,0))))</f>
        <v/>
      </c>
      <c r="O1115" s="2"/>
      <c r="P1115" s="2"/>
      <c r="Q1115" s="1" t="str">
        <f>IF($D1115="","",$C1115&amp;"|"&amp;COUNTIFS($C$7:$C1115,$C1115))</f>
        <v/>
      </c>
      <c r="R1115" s="1" t="str">
        <f t="shared" si="88"/>
        <v/>
      </c>
      <c r="S1115" s="1" t="str">
        <f t="shared" si="89"/>
        <v/>
      </c>
      <c r="T1115" s="1">
        <f>IF($E1115="",0,SUMPRODUCT((AY_SONU!$O$7:$O$42="Evet")*(AY_SONU!$B$7:$B$42=DATE(YEAR($E1115),MONTH($E1115),1))))</f>
        <v>0</v>
      </c>
    </row>
    <row r="1116" spans="1:20" ht="18" customHeight="1" x14ac:dyDescent="0.3">
      <c r="A1116" s="2"/>
      <c r="B1116" s="65" t="str">
        <f t="shared" si="85"/>
        <v/>
      </c>
      <c r="C1116" s="65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66"/>
      <c r="F1116" s="67"/>
      <c r="G1116" s="60"/>
      <c r="H1116" s="60"/>
      <c r="I1116" s="61"/>
      <c r="J1116" s="61"/>
      <c r="K1116" s="61"/>
      <c r="L1116" s="73" t="str">
        <f t="shared" si="86"/>
        <v/>
      </c>
      <c r="M1116" s="65" t="str">
        <f t="shared" ca="1" si="87"/>
        <v/>
      </c>
      <c r="N1116" s="74" t="str">
        <f>IF($C1116="","",IF($C1116="TANIMSIZ MÜŞTERİ","—",INDEX(MUSTERILER!$C$7:$C$156,MATCH($C1116,MUSTERILER!$B$7:$B$156,0))))</f>
        <v/>
      </c>
      <c r="O1116" s="2"/>
      <c r="P1116" s="2"/>
      <c r="Q1116" s="1" t="str">
        <f>IF($D1116="","",$C1116&amp;"|"&amp;COUNTIFS($C$7:$C1116,$C1116))</f>
        <v/>
      </c>
      <c r="R1116" s="1" t="str">
        <f t="shared" si="88"/>
        <v/>
      </c>
      <c r="S1116" s="1" t="str">
        <f t="shared" si="89"/>
        <v/>
      </c>
      <c r="T1116" s="1">
        <f>IF($E1116="",0,SUMPRODUCT((AY_SONU!$O$7:$O$42="Evet")*(AY_SONU!$B$7:$B$42=DATE(YEAR($E1116),MONTH($E1116),1))))</f>
        <v>0</v>
      </c>
    </row>
    <row r="1117" spans="1:20" ht="18" customHeight="1" x14ac:dyDescent="0.3">
      <c r="A1117" s="2"/>
      <c r="B1117" s="65" t="str">
        <f t="shared" si="85"/>
        <v/>
      </c>
      <c r="C1117" s="65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66"/>
      <c r="F1117" s="67"/>
      <c r="G1117" s="60"/>
      <c r="H1117" s="60"/>
      <c r="I1117" s="61"/>
      <c r="J1117" s="61"/>
      <c r="K1117" s="61"/>
      <c r="L1117" s="73" t="str">
        <f t="shared" si="86"/>
        <v/>
      </c>
      <c r="M1117" s="65" t="str">
        <f t="shared" ca="1" si="87"/>
        <v/>
      </c>
      <c r="N1117" s="74" t="str">
        <f>IF($C1117="","",IF($C1117="TANIMSIZ MÜŞTERİ","—",INDEX(MUSTERILER!$C$7:$C$156,MATCH($C1117,MUSTERILER!$B$7:$B$156,0))))</f>
        <v/>
      </c>
      <c r="O1117" s="2"/>
      <c r="P1117" s="2"/>
      <c r="Q1117" s="1" t="str">
        <f>IF($D1117="","",$C1117&amp;"|"&amp;COUNTIFS($C$7:$C1117,$C1117))</f>
        <v/>
      </c>
      <c r="R1117" s="1" t="str">
        <f t="shared" si="88"/>
        <v/>
      </c>
      <c r="S1117" s="1" t="str">
        <f t="shared" si="89"/>
        <v/>
      </c>
      <c r="T1117" s="1">
        <f>IF($E1117="",0,SUMPRODUCT((AY_SONU!$O$7:$O$42="Evet")*(AY_SONU!$B$7:$B$42=DATE(YEAR($E1117),MONTH($E1117),1))))</f>
        <v>0</v>
      </c>
    </row>
    <row r="1118" spans="1:20" ht="18" customHeight="1" x14ac:dyDescent="0.3">
      <c r="A1118" s="2"/>
      <c r="B1118" s="65" t="str">
        <f t="shared" si="85"/>
        <v/>
      </c>
      <c r="C1118" s="65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66"/>
      <c r="F1118" s="67"/>
      <c r="G1118" s="60"/>
      <c r="H1118" s="60"/>
      <c r="I1118" s="61"/>
      <c r="J1118" s="61"/>
      <c r="K1118" s="61"/>
      <c r="L1118" s="73" t="str">
        <f t="shared" si="86"/>
        <v/>
      </c>
      <c r="M1118" s="65" t="str">
        <f t="shared" ca="1" si="87"/>
        <v/>
      </c>
      <c r="N1118" s="74" t="str">
        <f>IF($C1118="","",IF($C1118="TANIMSIZ MÜŞTERİ","—",INDEX(MUSTERILER!$C$7:$C$156,MATCH($C1118,MUSTERILER!$B$7:$B$156,0))))</f>
        <v/>
      </c>
      <c r="O1118" s="2"/>
      <c r="P1118" s="2"/>
      <c r="Q1118" s="1" t="str">
        <f>IF($D1118="","",$C1118&amp;"|"&amp;COUNTIFS($C$7:$C1118,$C1118))</f>
        <v/>
      </c>
      <c r="R1118" s="1" t="str">
        <f t="shared" si="88"/>
        <v/>
      </c>
      <c r="S1118" s="1" t="str">
        <f t="shared" si="89"/>
        <v/>
      </c>
      <c r="T1118" s="1">
        <f>IF($E1118="",0,SUMPRODUCT((AY_SONU!$O$7:$O$42="Evet")*(AY_SONU!$B$7:$B$42=DATE(YEAR($E1118),MONTH($E1118),1))))</f>
        <v>0</v>
      </c>
    </row>
    <row r="1119" spans="1:20" ht="18" customHeight="1" x14ac:dyDescent="0.3">
      <c r="A1119" s="2"/>
      <c r="B1119" s="65" t="str">
        <f t="shared" si="85"/>
        <v/>
      </c>
      <c r="C1119" s="65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66"/>
      <c r="F1119" s="67"/>
      <c r="G1119" s="60"/>
      <c r="H1119" s="60"/>
      <c r="I1119" s="61"/>
      <c r="J1119" s="61"/>
      <c r="K1119" s="61"/>
      <c r="L1119" s="73" t="str">
        <f t="shared" si="86"/>
        <v/>
      </c>
      <c r="M1119" s="65" t="str">
        <f t="shared" ca="1" si="87"/>
        <v/>
      </c>
      <c r="N1119" s="74" t="str">
        <f>IF($C1119="","",IF($C1119="TANIMSIZ MÜŞTERİ","—",INDEX(MUSTERILER!$C$7:$C$156,MATCH($C1119,MUSTERILER!$B$7:$B$156,0))))</f>
        <v/>
      </c>
      <c r="O1119" s="2"/>
      <c r="P1119" s="2"/>
      <c r="Q1119" s="1" t="str">
        <f>IF($D1119="","",$C1119&amp;"|"&amp;COUNTIFS($C$7:$C1119,$C1119))</f>
        <v/>
      </c>
      <c r="R1119" s="1" t="str">
        <f t="shared" si="88"/>
        <v/>
      </c>
      <c r="S1119" s="1" t="str">
        <f t="shared" si="89"/>
        <v/>
      </c>
      <c r="T1119" s="1">
        <f>IF($E1119="",0,SUMPRODUCT((AY_SONU!$O$7:$O$42="Evet")*(AY_SONU!$B$7:$B$42=DATE(YEAR($E1119),MONTH($E1119),1))))</f>
        <v>0</v>
      </c>
    </row>
    <row r="1120" spans="1:20" ht="18" customHeight="1" x14ac:dyDescent="0.3">
      <c r="A1120" s="2"/>
      <c r="B1120" s="65" t="str">
        <f t="shared" si="85"/>
        <v/>
      </c>
      <c r="C1120" s="65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66"/>
      <c r="F1120" s="67"/>
      <c r="G1120" s="60"/>
      <c r="H1120" s="60"/>
      <c r="I1120" s="61"/>
      <c r="J1120" s="61"/>
      <c r="K1120" s="61"/>
      <c r="L1120" s="73" t="str">
        <f t="shared" si="86"/>
        <v/>
      </c>
      <c r="M1120" s="65" t="str">
        <f t="shared" ca="1" si="87"/>
        <v/>
      </c>
      <c r="N1120" s="74" t="str">
        <f>IF($C1120="","",IF($C1120="TANIMSIZ MÜŞTERİ","—",INDEX(MUSTERILER!$C$7:$C$156,MATCH($C1120,MUSTERILER!$B$7:$B$156,0))))</f>
        <v/>
      </c>
      <c r="O1120" s="2"/>
      <c r="P1120" s="2"/>
      <c r="Q1120" s="1" t="str">
        <f>IF($D1120="","",$C1120&amp;"|"&amp;COUNTIFS($C$7:$C1120,$C1120))</f>
        <v/>
      </c>
      <c r="R1120" s="1" t="str">
        <f t="shared" si="88"/>
        <v/>
      </c>
      <c r="S1120" s="1" t="str">
        <f t="shared" si="89"/>
        <v/>
      </c>
      <c r="T1120" s="1">
        <f>IF($E1120="",0,SUMPRODUCT((AY_SONU!$O$7:$O$42="Evet")*(AY_SONU!$B$7:$B$42=DATE(YEAR($E1120),MONTH($E1120),1))))</f>
        <v>0</v>
      </c>
    </row>
    <row r="1121" spans="1:20" ht="18" customHeight="1" x14ac:dyDescent="0.3">
      <c r="A1121" s="2"/>
      <c r="B1121" s="65" t="str">
        <f t="shared" si="85"/>
        <v/>
      </c>
      <c r="C1121" s="65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66"/>
      <c r="F1121" s="67"/>
      <c r="G1121" s="60"/>
      <c r="H1121" s="60"/>
      <c r="I1121" s="61"/>
      <c r="J1121" s="61"/>
      <c r="K1121" s="61"/>
      <c r="L1121" s="73" t="str">
        <f t="shared" si="86"/>
        <v/>
      </c>
      <c r="M1121" s="65" t="str">
        <f t="shared" ca="1" si="87"/>
        <v/>
      </c>
      <c r="N1121" s="74" t="str">
        <f>IF($C1121="","",IF($C1121="TANIMSIZ MÜŞTERİ","—",INDEX(MUSTERILER!$C$7:$C$156,MATCH($C1121,MUSTERILER!$B$7:$B$156,0))))</f>
        <v/>
      </c>
      <c r="O1121" s="2"/>
      <c r="P1121" s="2"/>
      <c r="Q1121" s="1" t="str">
        <f>IF($D1121="","",$C1121&amp;"|"&amp;COUNTIFS($C$7:$C1121,$C1121))</f>
        <v/>
      </c>
      <c r="R1121" s="1" t="str">
        <f t="shared" si="88"/>
        <v/>
      </c>
      <c r="S1121" s="1" t="str">
        <f t="shared" si="89"/>
        <v/>
      </c>
      <c r="T1121" s="1">
        <f>IF($E1121="",0,SUMPRODUCT((AY_SONU!$O$7:$O$42="Evet")*(AY_SONU!$B$7:$B$42=DATE(YEAR($E1121),MONTH($E1121),1))))</f>
        <v>0</v>
      </c>
    </row>
    <row r="1122" spans="1:20" ht="18" customHeight="1" x14ac:dyDescent="0.3">
      <c r="A1122" s="2"/>
      <c r="B1122" s="65" t="str">
        <f t="shared" si="85"/>
        <v/>
      </c>
      <c r="C1122" s="65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66"/>
      <c r="F1122" s="67"/>
      <c r="G1122" s="60"/>
      <c r="H1122" s="60"/>
      <c r="I1122" s="61"/>
      <c r="J1122" s="61"/>
      <c r="K1122" s="61"/>
      <c r="L1122" s="73" t="str">
        <f t="shared" si="86"/>
        <v/>
      </c>
      <c r="M1122" s="65" t="str">
        <f t="shared" ca="1" si="87"/>
        <v/>
      </c>
      <c r="N1122" s="74" t="str">
        <f>IF($C1122="","",IF($C1122="TANIMSIZ MÜŞTERİ","—",INDEX(MUSTERILER!$C$7:$C$156,MATCH($C1122,MUSTERILER!$B$7:$B$156,0))))</f>
        <v/>
      </c>
      <c r="O1122" s="2"/>
      <c r="P1122" s="2"/>
      <c r="Q1122" s="1" t="str">
        <f>IF($D1122="","",$C1122&amp;"|"&amp;COUNTIFS($C$7:$C1122,$C1122))</f>
        <v/>
      </c>
      <c r="R1122" s="1" t="str">
        <f t="shared" si="88"/>
        <v/>
      </c>
      <c r="S1122" s="1" t="str">
        <f t="shared" si="89"/>
        <v/>
      </c>
      <c r="T1122" s="1">
        <f>IF($E1122="",0,SUMPRODUCT((AY_SONU!$O$7:$O$42="Evet")*(AY_SONU!$B$7:$B$42=DATE(YEAR($E1122),MONTH($E1122),1))))</f>
        <v>0</v>
      </c>
    </row>
    <row r="1123" spans="1:20" ht="18" customHeight="1" x14ac:dyDescent="0.3">
      <c r="A1123" s="2"/>
      <c r="B1123" s="65" t="str">
        <f t="shared" si="85"/>
        <v/>
      </c>
      <c r="C1123" s="65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66"/>
      <c r="F1123" s="67"/>
      <c r="G1123" s="60"/>
      <c r="H1123" s="60"/>
      <c r="I1123" s="61"/>
      <c r="J1123" s="61"/>
      <c r="K1123" s="61"/>
      <c r="L1123" s="73" t="str">
        <f t="shared" si="86"/>
        <v/>
      </c>
      <c r="M1123" s="65" t="str">
        <f t="shared" ca="1" si="87"/>
        <v/>
      </c>
      <c r="N1123" s="74" t="str">
        <f>IF($C1123="","",IF($C1123="TANIMSIZ MÜŞTERİ","—",INDEX(MUSTERILER!$C$7:$C$156,MATCH($C1123,MUSTERILER!$B$7:$B$156,0))))</f>
        <v/>
      </c>
      <c r="O1123" s="2"/>
      <c r="P1123" s="2"/>
      <c r="Q1123" s="1" t="str">
        <f>IF($D1123="","",$C1123&amp;"|"&amp;COUNTIFS($C$7:$C1123,$C1123))</f>
        <v/>
      </c>
      <c r="R1123" s="1" t="str">
        <f t="shared" si="88"/>
        <v/>
      </c>
      <c r="S1123" s="1" t="str">
        <f t="shared" si="89"/>
        <v/>
      </c>
      <c r="T1123" s="1">
        <f>IF($E1123="",0,SUMPRODUCT((AY_SONU!$O$7:$O$42="Evet")*(AY_SONU!$B$7:$B$42=DATE(YEAR($E1123),MONTH($E1123),1))))</f>
        <v>0</v>
      </c>
    </row>
    <row r="1124" spans="1:20" ht="18" customHeight="1" x14ac:dyDescent="0.3">
      <c r="A1124" s="2"/>
      <c r="B1124" s="65" t="str">
        <f t="shared" si="85"/>
        <v/>
      </c>
      <c r="C1124" s="65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66"/>
      <c r="F1124" s="67"/>
      <c r="G1124" s="60"/>
      <c r="H1124" s="60"/>
      <c r="I1124" s="61"/>
      <c r="J1124" s="61"/>
      <c r="K1124" s="61"/>
      <c r="L1124" s="73" t="str">
        <f t="shared" si="86"/>
        <v/>
      </c>
      <c r="M1124" s="65" t="str">
        <f t="shared" ca="1" si="87"/>
        <v/>
      </c>
      <c r="N1124" s="74" t="str">
        <f>IF($C1124="","",IF($C1124="TANIMSIZ MÜŞTERİ","—",INDEX(MUSTERILER!$C$7:$C$156,MATCH($C1124,MUSTERILER!$B$7:$B$156,0))))</f>
        <v/>
      </c>
      <c r="O1124" s="2"/>
      <c r="P1124" s="2"/>
      <c r="Q1124" s="1" t="str">
        <f>IF($D1124="","",$C1124&amp;"|"&amp;COUNTIFS($C$7:$C1124,$C1124))</f>
        <v/>
      </c>
      <c r="R1124" s="1" t="str">
        <f t="shared" si="88"/>
        <v/>
      </c>
      <c r="S1124" s="1" t="str">
        <f t="shared" si="89"/>
        <v/>
      </c>
      <c r="T1124" s="1">
        <f>IF($E1124="",0,SUMPRODUCT((AY_SONU!$O$7:$O$42="Evet")*(AY_SONU!$B$7:$B$42=DATE(YEAR($E1124),MONTH($E1124),1))))</f>
        <v>0</v>
      </c>
    </row>
    <row r="1125" spans="1:20" ht="18" customHeight="1" x14ac:dyDescent="0.3">
      <c r="A1125" s="2"/>
      <c r="B1125" s="65" t="str">
        <f t="shared" si="85"/>
        <v/>
      </c>
      <c r="C1125" s="65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66"/>
      <c r="F1125" s="67"/>
      <c r="G1125" s="60"/>
      <c r="H1125" s="60"/>
      <c r="I1125" s="61"/>
      <c r="J1125" s="61"/>
      <c r="K1125" s="61"/>
      <c r="L1125" s="73" t="str">
        <f t="shared" si="86"/>
        <v/>
      </c>
      <c r="M1125" s="65" t="str">
        <f t="shared" ca="1" si="87"/>
        <v/>
      </c>
      <c r="N1125" s="74" t="str">
        <f>IF($C1125="","",IF($C1125="TANIMSIZ MÜŞTERİ","—",INDEX(MUSTERILER!$C$7:$C$156,MATCH($C1125,MUSTERILER!$B$7:$B$156,0))))</f>
        <v/>
      </c>
      <c r="O1125" s="2"/>
      <c r="P1125" s="2"/>
      <c r="Q1125" s="1" t="str">
        <f>IF($D1125="","",$C1125&amp;"|"&amp;COUNTIFS($C$7:$C1125,$C1125))</f>
        <v/>
      </c>
      <c r="R1125" s="1" t="str">
        <f t="shared" si="88"/>
        <v/>
      </c>
      <c r="S1125" s="1" t="str">
        <f t="shared" si="89"/>
        <v/>
      </c>
      <c r="T1125" s="1">
        <f>IF($E1125="",0,SUMPRODUCT((AY_SONU!$O$7:$O$42="Evet")*(AY_SONU!$B$7:$B$42=DATE(YEAR($E1125),MONTH($E1125),1))))</f>
        <v>0</v>
      </c>
    </row>
    <row r="1126" spans="1:20" ht="18" customHeight="1" x14ac:dyDescent="0.3">
      <c r="A1126" s="2"/>
      <c r="B1126" s="65" t="str">
        <f t="shared" si="85"/>
        <v/>
      </c>
      <c r="C1126" s="65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66"/>
      <c r="F1126" s="67"/>
      <c r="G1126" s="60"/>
      <c r="H1126" s="60"/>
      <c r="I1126" s="61"/>
      <c r="J1126" s="61"/>
      <c r="K1126" s="61"/>
      <c r="L1126" s="73" t="str">
        <f t="shared" si="86"/>
        <v/>
      </c>
      <c r="M1126" s="65" t="str">
        <f t="shared" ca="1" si="87"/>
        <v/>
      </c>
      <c r="N1126" s="74" t="str">
        <f>IF($C1126="","",IF($C1126="TANIMSIZ MÜŞTERİ","—",INDEX(MUSTERILER!$C$7:$C$156,MATCH($C1126,MUSTERILER!$B$7:$B$156,0))))</f>
        <v/>
      </c>
      <c r="O1126" s="2"/>
      <c r="P1126" s="2"/>
      <c r="Q1126" s="1" t="str">
        <f>IF($D1126="","",$C1126&amp;"|"&amp;COUNTIFS($C$7:$C1126,$C1126))</f>
        <v/>
      </c>
      <c r="R1126" s="1" t="str">
        <f t="shared" si="88"/>
        <v/>
      </c>
      <c r="S1126" s="1" t="str">
        <f t="shared" si="89"/>
        <v/>
      </c>
      <c r="T1126" s="1">
        <f>IF($E1126="",0,SUMPRODUCT((AY_SONU!$O$7:$O$42="Evet")*(AY_SONU!$B$7:$B$42=DATE(YEAR($E1126),MONTH($E1126),1))))</f>
        <v>0</v>
      </c>
    </row>
    <row r="1127" spans="1:20" ht="18" customHeight="1" x14ac:dyDescent="0.3">
      <c r="A1127" s="2"/>
      <c r="B1127" s="65" t="str">
        <f t="shared" si="85"/>
        <v/>
      </c>
      <c r="C1127" s="65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66"/>
      <c r="F1127" s="67"/>
      <c r="G1127" s="60"/>
      <c r="H1127" s="60"/>
      <c r="I1127" s="61"/>
      <c r="J1127" s="61"/>
      <c r="K1127" s="61"/>
      <c r="L1127" s="73" t="str">
        <f t="shared" si="86"/>
        <v/>
      </c>
      <c r="M1127" s="65" t="str">
        <f t="shared" ca="1" si="87"/>
        <v/>
      </c>
      <c r="N1127" s="74" t="str">
        <f>IF($C1127="","",IF($C1127="TANIMSIZ MÜŞTERİ","—",INDEX(MUSTERILER!$C$7:$C$156,MATCH($C1127,MUSTERILER!$B$7:$B$156,0))))</f>
        <v/>
      </c>
      <c r="O1127" s="2"/>
      <c r="P1127" s="2"/>
      <c r="Q1127" s="1" t="str">
        <f>IF($D1127="","",$C1127&amp;"|"&amp;COUNTIFS($C$7:$C1127,$C1127))</f>
        <v/>
      </c>
      <c r="R1127" s="1" t="str">
        <f t="shared" si="88"/>
        <v/>
      </c>
      <c r="S1127" s="1" t="str">
        <f t="shared" si="89"/>
        <v/>
      </c>
      <c r="T1127" s="1">
        <f>IF($E1127="",0,SUMPRODUCT((AY_SONU!$O$7:$O$42="Evet")*(AY_SONU!$B$7:$B$42=DATE(YEAR($E1127),MONTH($E1127),1))))</f>
        <v>0</v>
      </c>
    </row>
    <row r="1128" spans="1:20" ht="18" customHeight="1" x14ac:dyDescent="0.3">
      <c r="A1128" s="2"/>
      <c r="B1128" s="65" t="str">
        <f t="shared" si="85"/>
        <v/>
      </c>
      <c r="C1128" s="65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66"/>
      <c r="F1128" s="67"/>
      <c r="G1128" s="60"/>
      <c r="H1128" s="60"/>
      <c r="I1128" s="61"/>
      <c r="J1128" s="61"/>
      <c r="K1128" s="61"/>
      <c r="L1128" s="73" t="str">
        <f t="shared" si="86"/>
        <v/>
      </c>
      <c r="M1128" s="65" t="str">
        <f t="shared" ca="1" si="87"/>
        <v/>
      </c>
      <c r="N1128" s="74" t="str">
        <f>IF($C1128="","",IF($C1128="TANIMSIZ MÜŞTERİ","—",INDEX(MUSTERILER!$C$7:$C$156,MATCH($C1128,MUSTERILER!$B$7:$B$156,0))))</f>
        <v/>
      </c>
      <c r="O1128" s="2"/>
      <c r="P1128" s="2"/>
      <c r="Q1128" s="1" t="str">
        <f>IF($D1128="","",$C1128&amp;"|"&amp;COUNTIFS($C$7:$C1128,$C1128))</f>
        <v/>
      </c>
      <c r="R1128" s="1" t="str">
        <f t="shared" si="88"/>
        <v/>
      </c>
      <c r="S1128" s="1" t="str">
        <f t="shared" si="89"/>
        <v/>
      </c>
      <c r="T1128" s="1">
        <f>IF($E1128="",0,SUMPRODUCT((AY_SONU!$O$7:$O$42="Evet")*(AY_SONU!$B$7:$B$42=DATE(YEAR($E1128),MONTH($E1128),1))))</f>
        <v>0</v>
      </c>
    </row>
    <row r="1129" spans="1:20" ht="18" customHeight="1" x14ac:dyDescent="0.3">
      <c r="A1129" s="2"/>
      <c r="B1129" s="65" t="str">
        <f t="shared" si="85"/>
        <v/>
      </c>
      <c r="C1129" s="65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66"/>
      <c r="F1129" s="67"/>
      <c r="G1129" s="60"/>
      <c r="H1129" s="60"/>
      <c r="I1129" s="61"/>
      <c r="J1129" s="61"/>
      <c r="K1129" s="61"/>
      <c r="L1129" s="73" t="str">
        <f t="shared" si="86"/>
        <v/>
      </c>
      <c r="M1129" s="65" t="str">
        <f t="shared" ca="1" si="87"/>
        <v/>
      </c>
      <c r="N1129" s="74" t="str">
        <f>IF($C1129="","",IF($C1129="TANIMSIZ MÜŞTERİ","—",INDEX(MUSTERILER!$C$7:$C$156,MATCH($C1129,MUSTERILER!$B$7:$B$156,0))))</f>
        <v/>
      </c>
      <c r="O1129" s="2"/>
      <c r="P1129" s="2"/>
      <c r="Q1129" s="1" t="str">
        <f>IF($D1129="","",$C1129&amp;"|"&amp;COUNTIFS($C$7:$C1129,$C1129))</f>
        <v/>
      </c>
      <c r="R1129" s="1" t="str">
        <f t="shared" si="88"/>
        <v/>
      </c>
      <c r="S1129" s="1" t="str">
        <f t="shared" si="89"/>
        <v/>
      </c>
      <c r="T1129" s="1">
        <f>IF($E1129="",0,SUMPRODUCT((AY_SONU!$O$7:$O$42="Evet")*(AY_SONU!$B$7:$B$42=DATE(YEAR($E1129),MONTH($E1129),1))))</f>
        <v>0</v>
      </c>
    </row>
    <row r="1130" spans="1:20" ht="18" customHeight="1" x14ac:dyDescent="0.3">
      <c r="A1130" s="2"/>
      <c r="B1130" s="65" t="str">
        <f t="shared" si="85"/>
        <v/>
      </c>
      <c r="C1130" s="65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66"/>
      <c r="F1130" s="67"/>
      <c r="G1130" s="60"/>
      <c r="H1130" s="60"/>
      <c r="I1130" s="61"/>
      <c r="J1130" s="61"/>
      <c r="K1130" s="61"/>
      <c r="L1130" s="73" t="str">
        <f t="shared" si="86"/>
        <v/>
      </c>
      <c r="M1130" s="65" t="str">
        <f t="shared" ca="1" si="87"/>
        <v/>
      </c>
      <c r="N1130" s="74" t="str">
        <f>IF($C1130="","",IF($C1130="TANIMSIZ MÜŞTERİ","—",INDEX(MUSTERILER!$C$7:$C$156,MATCH($C1130,MUSTERILER!$B$7:$B$156,0))))</f>
        <v/>
      </c>
      <c r="O1130" s="2"/>
      <c r="P1130" s="2"/>
      <c r="Q1130" s="1" t="str">
        <f>IF($D1130="","",$C1130&amp;"|"&amp;COUNTIFS($C$7:$C1130,$C1130))</f>
        <v/>
      </c>
      <c r="R1130" s="1" t="str">
        <f t="shared" si="88"/>
        <v/>
      </c>
      <c r="S1130" s="1" t="str">
        <f t="shared" si="89"/>
        <v/>
      </c>
      <c r="T1130" s="1">
        <f>IF($E1130="",0,SUMPRODUCT((AY_SONU!$O$7:$O$42="Evet")*(AY_SONU!$B$7:$B$42=DATE(YEAR($E1130),MONTH($E1130),1))))</f>
        <v>0</v>
      </c>
    </row>
    <row r="1131" spans="1:20" ht="18" customHeight="1" x14ac:dyDescent="0.3">
      <c r="A1131" s="2"/>
      <c r="B1131" s="65" t="str">
        <f t="shared" si="85"/>
        <v/>
      </c>
      <c r="C1131" s="65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66"/>
      <c r="F1131" s="67"/>
      <c r="G1131" s="60"/>
      <c r="H1131" s="60"/>
      <c r="I1131" s="61"/>
      <c r="J1131" s="61"/>
      <c r="K1131" s="61"/>
      <c r="L1131" s="73" t="str">
        <f t="shared" si="86"/>
        <v/>
      </c>
      <c r="M1131" s="65" t="str">
        <f t="shared" ca="1" si="87"/>
        <v/>
      </c>
      <c r="N1131" s="74" t="str">
        <f>IF($C1131="","",IF($C1131="TANIMSIZ MÜŞTERİ","—",INDEX(MUSTERILER!$C$7:$C$156,MATCH($C1131,MUSTERILER!$B$7:$B$156,0))))</f>
        <v/>
      </c>
      <c r="O1131" s="2"/>
      <c r="P1131" s="2"/>
      <c r="Q1131" s="1" t="str">
        <f>IF($D1131="","",$C1131&amp;"|"&amp;COUNTIFS($C$7:$C1131,$C1131))</f>
        <v/>
      </c>
      <c r="R1131" s="1" t="str">
        <f t="shared" si="88"/>
        <v/>
      </c>
      <c r="S1131" s="1" t="str">
        <f t="shared" si="89"/>
        <v/>
      </c>
      <c r="T1131" s="1">
        <f>IF($E1131="",0,SUMPRODUCT((AY_SONU!$O$7:$O$42="Evet")*(AY_SONU!$B$7:$B$42=DATE(YEAR($E1131),MONTH($E1131),1))))</f>
        <v>0</v>
      </c>
    </row>
    <row r="1132" spans="1:20" ht="18" customHeight="1" x14ac:dyDescent="0.3">
      <c r="A1132" s="2"/>
      <c r="B1132" s="65" t="str">
        <f t="shared" si="85"/>
        <v/>
      </c>
      <c r="C1132" s="65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66"/>
      <c r="F1132" s="67"/>
      <c r="G1132" s="60"/>
      <c r="H1132" s="60"/>
      <c r="I1132" s="61"/>
      <c r="J1132" s="61"/>
      <c r="K1132" s="61"/>
      <c r="L1132" s="73" t="str">
        <f t="shared" si="86"/>
        <v/>
      </c>
      <c r="M1132" s="65" t="str">
        <f t="shared" ca="1" si="87"/>
        <v/>
      </c>
      <c r="N1132" s="74" t="str">
        <f>IF($C1132="","",IF($C1132="TANIMSIZ MÜŞTERİ","—",INDEX(MUSTERILER!$C$7:$C$156,MATCH($C1132,MUSTERILER!$B$7:$B$156,0))))</f>
        <v/>
      </c>
      <c r="O1132" s="2"/>
      <c r="P1132" s="2"/>
      <c r="Q1132" s="1" t="str">
        <f>IF($D1132="","",$C1132&amp;"|"&amp;COUNTIFS($C$7:$C1132,$C1132))</f>
        <v/>
      </c>
      <c r="R1132" s="1" t="str">
        <f t="shared" si="88"/>
        <v/>
      </c>
      <c r="S1132" s="1" t="str">
        <f t="shared" si="89"/>
        <v/>
      </c>
      <c r="T1132" s="1">
        <f>IF($E1132="",0,SUMPRODUCT((AY_SONU!$O$7:$O$42="Evet")*(AY_SONU!$B$7:$B$42=DATE(YEAR($E1132),MONTH($E1132),1))))</f>
        <v>0</v>
      </c>
    </row>
    <row r="1133" spans="1:20" ht="18" customHeight="1" x14ac:dyDescent="0.3">
      <c r="A1133" s="2"/>
      <c r="B1133" s="65" t="str">
        <f t="shared" si="85"/>
        <v/>
      </c>
      <c r="C1133" s="65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66"/>
      <c r="F1133" s="67"/>
      <c r="G1133" s="60"/>
      <c r="H1133" s="60"/>
      <c r="I1133" s="61"/>
      <c r="J1133" s="61"/>
      <c r="K1133" s="61"/>
      <c r="L1133" s="73" t="str">
        <f t="shared" si="86"/>
        <v/>
      </c>
      <c r="M1133" s="65" t="str">
        <f t="shared" ca="1" si="87"/>
        <v/>
      </c>
      <c r="N1133" s="74" t="str">
        <f>IF($C1133="","",IF($C1133="TANIMSIZ MÜŞTERİ","—",INDEX(MUSTERILER!$C$7:$C$156,MATCH($C1133,MUSTERILER!$B$7:$B$156,0))))</f>
        <v/>
      </c>
      <c r="O1133" s="2"/>
      <c r="P1133" s="2"/>
      <c r="Q1133" s="1" t="str">
        <f>IF($D1133="","",$C1133&amp;"|"&amp;COUNTIFS($C$7:$C1133,$C1133))</f>
        <v/>
      </c>
      <c r="R1133" s="1" t="str">
        <f t="shared" si="88"/>
        <v/>
      </c>
      <c r="S1133" s="1" t="str">
        <f t="shared" si="89"/>
        <v/>
      </c>
      <c r="T1133" s="1">
        <f>IF($E1133="",0,SUMPRODUCT((AY_SONU!$O$7:$O$42="Evet")*(AY_SONU!$B$7:$B$42=DATE(YEAR($E1133),MONTH($E1133),1))))</f>
        <v>0</v>
      </c>
    </row>
    <row r="1134" spans="1:20" ht="18" customHeight="1" x14ac:dyDescent="0.3">
      <c r="A1134" s="2"/>
      <c r="B1134" s="65" t="str">
        <f t="shared" si="85"/>
        <v/>
      </c>
      <c r="C1134" s="65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66"/>
      <c r="F1134" s="67"/>
      <c r="G1134" s="60"/>
      <c r="H1134" s="60"/>
      <c r="I1134" s="61"/>
      <c r="J1134" s="61"/>
      <c r="K1134" s="61"/>
      <c r="L1134" s="73" t="str">
        <f t="shared" si="86"/>
        <v/>
      </c>
      <c r="M1134" s="65" t="str">
        <f t="shared" ca="1" si="87"/>
        <v/>
      </c>
      <c r="N1134" s="74" t="str">
        <f>IF($C1134="","",IF($C1134="TANIMSIZ MÜŞTERİ","—",INDEX(MUSTERILER!$C$7:$C$156,MATCH($C1134,MUSTERILER!$B$7:$B$156,0))))</f>
        <v/>
      </c>
      <c r="O1134" s="2"/>
      <c r="P1134" s="2"/>
      <c r="Q1134" s="1" t="str">
        <f>IF($D1134="","",$C1134&amp;"|"&amp;COUNTIFS($C$7:$C1134,$C1134))</f>
        <v/>
      </c>
      <c r="R1134" s="1" t="str">
        <f t="shared" si="88"/>
        <v/>
      </c>
      <c r="S1134" s="1" t="str">
        <f t="shared" si="89"/>
        <v/>
      </c>
      <c r="T1134" s="1">
        <f>IF($E1134="",0,SUMPRODUCT((AY_SONU!$O$7:$O$42="Evet")*(AY_SONU!$B$7:$B$42=DATE(YEAR($E1134),MONTH($E1134),1))))</f>
        <v>0</v>
      </c>
    </row>
    <row r="1135" spans="1:20" ht="18" customHeight="1" x14ac:dyDescent="0.3">
      <c r="A1135" s="2"/>
      <c r="B1135" s="65" t="str">
        <f t="shared" si="85"/>
        <v/>
      </c>
      <c r="C1135" s="65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66"/>
      <c r="F1135" s="67"/>
      <c r="G1135" s="60"/>
      <c r="H1135" s="60"/>
      <c r="I1135" s="61"/>
      <c r="J1135" s="61"/>
      <c r="K1135" s="61"/>
      <c r="L1135" s="73" t="str">
        <f t="shared" si="86"/>
        <v/>
      </c>
      <c r="M1135" s="65" t="str">
        <f t="shared" ca="1" si="87"/>
        <v/>
      </c>
      <c r="N1135" s="74" t="str">
        <f>IF($C1135="","",IF($C1135="TANIMSIZ MÜŞTERİ","—",INDEX(MUSTERILER!$C$7:$C$156,MATCH($C1135,MUSTERILER!$B$7:$B$156,0))))</f>
        <v/>
      </c>
      <c r="O1135" s="2"/>
      <c r="P1135" s="2"/>
      <c r="Q1135" s="1" t="str">
        <f>IF($D1135="","",$C1135&amp;"|"&amp;COUNTIFS($C$7:$C1135,$C1135))</f>
        <v/>
      </c>
      <c r="R1135" s="1" t="str">
        <f t="shared" si="88"/>
        <v/>
      </c>
      <c r="S1135" s="1" t="str">
        <f t="shared" si="89"/>
        <v/>
      </c>
      <c r="T1135" s="1">
        <f>IF($E1135="",0,SUMPRODUCT((AY_SONU!$O$7:$O$42="Evet")*(AY_SONU!$B$7:$B$42=DATE(YEAR($E1135),MONTH($E1135),1))))</f>
        <v>0</v>
      </c>
    </row>
    <row r="1136" spans="1:20" ht="18" customHeight="1" x14ac:dyDescent="0.3">
      <c r="A1136" s="2"/>
      <c r="B1136" s="65" t="str">
        <f t="shared" si="85"/>
        <v/>
      </c>
      <c r="C1136" s="65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66"/>
      <c r="F1136" s="67"/>
      <c r="G1136" s="60"/>
      <c r="H1136" s="60"/>
      <c r="I1136" s="61"/>
      <c r="J1136" s="61"/>
      <c r="K1136" s="61"/>
      <c r="L1136" s="73" t="str">
        <f t="shared" si="86"/>
        <v/>
      </c>
      <c r="M1136" s="65" t="str">
        <f t="shared" ca="1" si="87"/>
        <v/>
      </c>
      <c r="N1136" s="74" t="str">
        <f>IF($C1136="","",IF($C1136="TANIMSIZ MÜŞTERİ","—",INDEX(MUSTERILER!$C$7:$C$156,MATCH($C1136,MUSTERILER!$B$7:$B$156,0))))</f>
        <v/>
      </c>
      <c r="O1136" s="2"/>
      <c r="P1136" s="2"/>
      <c r="Q1136" s="1" t="str">
        <f>IF($D1136="","",$C1136&amp;"|"&amp;COUNTIFS($C$7:$C1136,$C1136))</f>
        <v/>
      </c>
      <c r="R1136" s="1" t="str">
        <f t="shared" si="88"/>
        <v/>
      </c>
      <c r="S1136" s="1" t="str">
        <f t="shared" si="89"/>
        <v/>
      </c>
      <c r="T1136" s="1">
        <f>IF($E1136="",0,SUMPRODUCT((AY_SONU!$O$7:$O$42="Evet")*(AY_SONU!$B$7:$B$42=DATE(YEAR($E1136),MONTH($E1136),1))))</f>
        <v>0</v>
      </c>
    </row>
    <row r="1137" spans="1:20" ht="18" customHeight="1" x14ac:dyDescent="0.3">
      <c r="A1137" s="2"/>
      <c r="B1137" s="65" t="str">
        <f t="shared" si="85"/>
        <v/>
      </c>
      <c r="C1137" s="65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66"/>
      <c r="F1137" s="67"/>
      <c r="G1137" s="60"/>
      <c r="H1137" s="60"/>
      <c r="I1137" s="61"/>
      <c r="J1137" s="61"/>
      <c r="K1137" s="61"/>
      <c r="L1137" s="73" t="str">
        <f t="shared" si="86"/>
        <v/>
      </c>
      <c r="M1137" s="65" t="str">
        <f t="shared" ca="1" si="87"/>
        <v/>
      </c>
      <c r="N1137" s="74" t="str">
        <f>IF($C1137="","",IF($C1137="TANIMSIZ MÜŞTERİ","—",INDEX(MUSTERILER!$C$7:$C$156,MATCH($C1137,MUSTERILER!$B$7:$B$156,0))))</f>
        <v/>
      </c>
      <c r="O1137" s="2"/>
      <c r="P1137" s="2"/>
      <c r="Q1137" s="1" t="str">
        <f>IF($D1137="","",$C1137&amp;"|"&amp;COUNTIFS($C$7:$C1137,$C1137))</f>
        <v/>
      </c>
      <c r="R1137" s="1" t="str">
        <f t="shared" si="88"/>
        <v/>
      </c>
      <c r="S1137" s="1" t="str">
        <f t="shared" si="89"/>
        <v/>
      </c>
      <c r="T1137" s="1">
        <f>IF($E1137="",0,SUMPRODUCT((AY_SONU!$O$7:$O$42="Evet")*(AY_SONU!$B$7:$B$42=DATE(YEAR($E1137),MONTH($E1137),1))))</f>
        <v>0</v>
      </c>
    </row>
    <row r="1138" spans="1:20" ht="18" customHeight="1" x14ac:dyDescent="0.3">
      <c r="A1138" s="2"/>
      <c r="B1138" s="65" t="str">
        <f t="shared" si="85"/>
        <v/>
      </c>
      <c r="C1138" s="65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66"/>
      <c r="F1138" s="67"/>
      <c r="G1138" s="60"/>
      <c r="H1138" s="60"/>
      <c r="I1138" s="61"/>
      <c r="J1138" s="61"/>
      <c r="K1138" s="61"/>
      <c r="L1138" s="73" t="str">
        <f t="shared" si="86"/>
        <v/>
      </c>
      <c r="M1138" s="65" t="str">
        <f t="shared" ca="1" si="87"/>
        <v/>
      </c>
      <c r="N1138" s="74" t="str">
        <f>IF($C1138="","",IF($C1138="TANIMSIZ MÜŞTERİ","—",INDEX(MUSTERILER!$C$7:$C$156,MATCH($C1138,MUSTERILER!$B$7:$B$156,0))))</f>
        <v/>
      </c>
      <c r="O1138" s="2"/>
      <c r="P1138" s="2"/>
      <c r="Q1138" s="1" t="str">
        <f>IF($D1138="","",$C1138&amp;"|"&amp;COUNTIFS($C$7:$C1138,$C1138))</f>
        <v/>
      </c>
      <c r="R1138" s="1" t="str">
        <f t="shared" si="88"/>
        <v/>
      </c>
      <c r="S1138" s="1" t="str">
        <f t="shared" si="89"/>
        <v/>
      </c>
      <c r="T1138" s="1">
        <f>IF($E1138="",0,SUMPRODUCT((AY_SONU!$O$7:$O$42="Evet")*(AY_SONU!$B$7:$B$42=DATE(YEAR($E1138),MONTH($E1138),1))))</f>
        <v>0</v>
      </c>
    </row>
    <row r="1139" spans="1:20" ht="18" customHeight="1" x14ac:dyDescent="0.3">
      <c r="A1139" s="2"/>
      <c r="B1139" s="65" t="str">
        <f t="shared" si="85"/>
        <v/>
      </c>
      <c r="C1139" s="65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66"/>
      <c r="F1139" s="67"/>
      <c r="G1139" s="60"/>
      <c r="H1139" s="60"/>
      <c r="I1139" s="61"/>
      <c r="J1139" s="61"/>
      <c r="K1139" s="61"/>
      <c r="L1139" s="73" t="str">
        <f t="shared" si="86"/>
        <v/>
      </c>
      <c r="M1139" s="65" t="str">
        <f t="shared" ca="1" si="87"/>
        <v/>
      </c>
      <c r="N1139" s="74" t="str">
        <f>IF($C1139="","",IF($C1139="TANIMSIZ MÜŞTERİ","—",INDEX(MUSTERILER!$C$7:$C$156,MATCH($C1139,MUSTERILER!$B$7:$B$156,0))))</f>
        <v/>
      </c>
      <c r="O1139" s="2"/>
      <c r="P1139" s="2"/>
      <c r="Q1139" s="1" t="str">
        <f>IF($D1139="","",$C1139&amp;"|"&amp;COUNTIFS($C$7:$C1139,$C1139))</f>
        <v/>
      </c>
      <c r="R1139" s="1" t="str">
        <f t="shared" si="88"/>
        <v/>
      </c>
      <c r="S1139" s="1" t="str">
        <f t="shared" si="89"/>
        <v/>
      </c>
      <c r="T1139" s="1">
        <f>IF($E1139="",0,SUMPRODUCT((AY_SONU!$O$7:$O$42="Evet")*(AY_SONU!$B$7:$B$42=DATE(YEAR($E1139),MONTH($E1139),1))))</f>
        <v>0</v>
      </c>
    </row>
    <row r="1140" spans="1:20" ht="18" customHeight="1" x14ac:dyDescent="0.3">
      <c r="A1140" s="2"/>
      <c r="B1140" s="65" t="str">
        <f t="shared" si="85"/>
        <v/>
      </c>
      <c r="C1140" s="65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66"/>
      <c r="F1140" s="67"/>
      <c r="G1140" s="60"/>
      <c r="H1140" s="60"/>
      <c r="I1140" s="61"/>
      <c r="J1140" s="61"/>
      <c r="K1140" s="61"/>
      <c r="L1140" s="73" t="str">
        <f t="shared" si="86"/>
        <v/>
      </c>
      <c r="M1140" s="65" t="str">
        <f t="shared" ca="1" si="87"/>
        <v/>
      </c>
      <c r="N1140" s="74" t="str">
        <f>IF($C1140="","",IF($C1140="TANIMSIZ MÜŞTERİ","—",INDEX(MUSTERILER!$C$7:$C$156,MATCH($C1140,MUSTERILER!$B$7:$B$156,0))))</f>
        <v/>
      </c>
      <c r="O1140" s="2"/>
      <c r="P1140" s="2"/>
      <c r="Q1140" s="1" t="str">
        <f>IF($D1140="","",$C1140&amp;"|"&amp;COUNTIFS($C$7:$C1140,$C1140))</f>
        <v/>
      </c>
      <c r="R1140" s="1" t="str">
        <f t="shared" si="88"/>
        <v/>
      </c>
      <c r="S1140" s="1" t="str">
        <f t="shared" si="89"/>
        <v/>
      </c>
      <c r="T1140" s="1">
        <f>IF($E1140="",0,SUMPRODUCT((AY_SONU!$O$7:$O$42="Evet")*(AY_SONU!$B$7:$B$42=DATE(YEAR($E1140),MONTH($E1140),1))))</f>
        <v>0</v>
      </c>
    </row>
    <row r="1141" spans="1:20" ht="18" customHeight="1" x14ac:dyDescent="0.3">
      <c r="A1141" s="2"/>
      <c r="B1141" s="65" t="str">
        <f t="shared" si="85"/>
        <v/>
      </c>
      <c r="C1141" s="65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66"/>
      <c r="F1141" s="67"/>
      <c r="G1141" s="60"/>
      <c r="H1141" s="60"/>
      <c r="I1141" s="61"/>
      <c r="J1141" s="61"/>
      <c r="K1141" s="61"/>
      <c r="L1141" s="73" t="str">
        <f t="shared" si="86"/>
        <v/>
      </c>
      <c r="M1141" s="65" t="str">
        <f t="shared" ca="1" si="87"/>
        <v/>
      </c>
      <c r="N1141" s="74" t="str">
        <f>IF($C1141="","",IF($C1141="TANIMSIZ MÜŞTERİ","—",INDEX(MUSTERILER!$C$7:$C$156,MATCH($C1141,MUSTERILER!$B$7:$B$156,0))))</f>
        <v/>
      </c>
      <c r="O1141" s="2"/>
      <c r="P1141" s="2"/>
      <c r="Q1141" s="1" t="str">
        <f>IF($D1141="","",$C1141&amp;"|"&amp;COUNTIFS($C$7:$C1141,$C1141))</f>
        <v/>
      </c>
      <c r="R1141" s="1" t="str">
        <f t="shared" si="88"/>
        <v/>
      </c>
      <c r="S1141" s="1" t="str">
        <f t="shared" si="89"/>
        <v/>
      </c>
      <c r="T1141" s="1">
        <f>IF($E1141="",0,SUMPRODUCT((AY_SONU!$O$7:$O$42="Evet")*(AY_SONU!$B$7:$B$42=DATE(YEAR($E1141),MONTH($E1141),1))))</f>
        <v>0</v>
      </c>
    </row>
    <row r="1142" spans="1:20" ht="18" customHeight="1" x14ac:dyDescent="0.3">
      <c r="A1142" s="2"/>
      <c r="B1142" s="65" t="str">
        <f t="shared" si="85"/>
        <v/>
      </c>
      <c r="C1142" s="65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66"/>
      <c r="F1142" s="67"/>
      <c r="G1142" s="60"/>
      <c r="H1142" s="60"/>
      <c r="I1142" s="61"/>
      <c r="J1142" s="61"/>
      <c r="K1142" s="61"/>
      <c r="L1142" s="73" t="str">
        <f t="shared" si="86"/>
        <v/>
      </c>
      <c r="M1142" s="65" t="str">
        <f t="shared" ca="1" si="87"/>
        <v/>
      </c>
      <c r="N1142" s="74" t="str">
        <f>IF($C1142="","",IF($C1142="TANIMSIZ MÜŞTERİ","—",INDEX(MUSTERILER!$C$7:$C$156,MATCH($C1142,MUSTERILER!$B$7:$B$156,0))))</f>
        <v/>
      </c>
      <c r="O1142" s="2"/>
      <c r="P1142" s="2"/>
      <c r="Q1142" s="1" t="str">
        <f>IF($D1142="","",$C1142&amp;"|"&amp;COUNTIFS($C$7:$C1142,$C1142))</f>
        <v/>
      </c>
      <c r="R1142" s="1" t="str">
        <f t="shared" si="88"/>
        <v/>
      </c>
      <c r="S1142" s="1" t="str">
        <f t="shared" si="89"/>
        <v/>
      </c>
      <c r="T1142" s="1">
        <f>IF($E1142="",0,SUMPRODUCT((AY_SONU!$O$7:$O$42="Evet")*(AY_SONU!$B$7:$B$42=DATE(YEAR($E1142),MONTH($E1142),1))))</f>
        <v>0</v>
      </c>
    </row>
    <row r="1143" spans="1:20" ht="18" customHeight="1" x14ac:dyDescent="0.3">
      <c r="A1143" s="2"/>
      <c r="B1143" s="65" t="str">
        <f t="shared" si="85"/>
        <v/>
      </c>
      <c r="C1143" s="65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66"/>
      <c r="F1143" s="67"/>
      <c r="G1143" s="60"/>
      <c r="H1143" s="60"/>
      <c r="I1143" s="61"/>
      <c r="J1143" s="61"/>
      <c r="K1143" s="61"/>
      <c r="L1143" s="73" t="str">
        <f t="shared" si="86"/>
        <v/>
      </c>
      <c r="M1143" s="65" t="str">
        <f t="shared" ca="1" si="87"/>
        <v/>
      </c>
      <c r="N1143" s="74" t="str">
        <f>IF($C1143="","",IF($C1143="TANIMSIZ MÜŞTERİ","—",INDEX(MUSTERILER!$C$7:$C$156,MATCH($C1143,MUSTERILER!$B$7:$B$156,0))))</f>
        <v/>
      </c>
      <c r="O1143" s="2"/>
      <c r="P1143" s="2"/>
      <c r="Q1143" s="1" t="str">
        <f>IF($D1143="","",$C1143&amp;"|"&amp;COUNTIFS($C$7:$C1143,$C1143))</f>
        <v/>
      </c>
      <c r="R1143" s="1" t="str">
        <f t="shared" si="88"/>
        <v/>
      </c>
      <c r="S1143" s="1" t="str">
        <f t="shared" si="89"/>
        <v/>
      </c>
      <c r="T1143" s="1">
        <f>IF($E1143="",0,SUMPRODUCT((AY_SONU!$O$7:$O$42="Evet")*(AY_SONU!$B$7:$B$42=DATE(YEAR($E1143),MONTH($E1143),1))))</f>
        <v>0</v>
      </c>
    </row>
    <row r="1144" spans="1:20" ht="18" customHeight="1" x14ac:dyDescent="0.3">
      <c r="A1144" s="2"/>
      <c r="B1144" s="65" t="str">
        <f t="shared" si="85"/>
        <v/>
      </c>
      <c r="C1144" s="65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66"/>
      <c r="F1144" s="67"/>
      <c r="G1144" s="60"/>
      <c r="H1144" s="60"/>
      <c r="I1144" s="61"/>
      <c r="J1144" s="61"/>
      <c r="K1144" s="61"/>
      <c r="L1144" s="73" t="str">
        <f t="shared" si="86"/>
        <v/>
      </c>
      <c r="M1144" s="65" t="str">
        <f t="shared" ca="1" si="87"/>
        <v/>
      </c>
      <c r="N1144" s="74" t="str">
        <f>IF($C1144="","",IF($C1144="TANIMSIZ MÜŞTERİ","—",INDEX(MUSTERILER!$C$7:$C$156,MATCH($C1144,MUSTERILER!$B$7:$B$156,0))))</f>
        <v/>
      </c>
      <c r="O1144" s="2"/>
      <c r="P1144" s="2"/>
      <c r="Q1144" s="1" t="str">
        <f>IF($D1144="","",$C1144&amp;"|"&amp;COUNTIFS($C$7:$C1144,$C1144))</f>
        <v/>
      </c>
      <c r="R1144" s="1" t="str">
        <f t="shared" si="88"/>
        <v/>
      </c>
      <c r="S1144" s="1" t="str">
        <f t="shared" si="89"/>
        <v/>
      </c>
      <c r="T1144" s="1">
        <f>IF($E1144="",0,SUMPRODUCT((AY_SONU!$O$7:$O$42="Evet")*(AY_SONU!$B$7:$B$42=DATE(YEAR($E1144),MONTH($E1144),1))))</f>
        <v>0</v>
      </c>
    </row>
    <row r="1145" spans="1:20" ht="18" customHeight="1" x14ac:dyDescent="0.3">
      <c r="A1145" s="2"/>
      <c r="B1145" s="65" t="str">
        <f t="shared" si="85"/>
        <v/>
      </c>
      <c r="C1145" s="65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66"/>
      <c r="F1145" s="67"/>
      <c r="G1145" s="60"/>
      <c r="H1145" s="60"/>
      <c r="I1145" s="61"/>
      <c r="J1145" s="61"/>
      <c r="K1145" s="61"/>
      <c r="L1145" s="73" t="str">
        <f t="shared" si="86"/>
        <v/>
      </c>
      <c r="M1145" s="65" t="str">
        <f t="shared" ca="1" si="87"/>
        <v/>
      </c>
      <c r="N1145" s="74" t="str">
        <f>IF($C1145="","",IF($C1145="TANIMSIZ MÜŞTERİ","—",INDEX(MUSTERILER!$C$7:$C$156,MATCH($C1145,MUSTERILER!$B$7:$B$156,0))))</f>
        <v/>
      </c>
      <c r="O1145" s="2"/>
      <c r="P1145" s="2"/>
      <c r="Q1145" s="1" t="str">
        <f>IF($D1145="","",$C1145&amp;"|"&amp;COUNTIFS($C$7:$C1145,$C1145))</f>
        <v/>
      </c>
      <c r="R1145" s="1" t="str">
        <f t="shared" si="88"/>
        <v/>
      </c>
      <c r="S1145" s="1" t="str">
        <f t="shared" si="89"/>
        <v/>
      </c>
      <c r="T1145" s="1">
        <f>IF($E1145="",0,SUMPRODUCT((AY_SONU!$O$7:$O$42="Evet")*(AY_SONU!$B$7:$B$42=DATE(YEAR($E1145),MONTH($E1145),1))))</f>
        <v>0</v>
      </c>
    </row>
    <row r="1146" spans="1:20" ht="18" customHeight="1" x14ac:dyDescent="0.3">
      <c r="A1146" s="2"/>
      <c r="B1146" s="65" t="str">
        <f t="shared" si="85"/>
        <v/>
      </c>
      <c r="C1146" s="65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66"/>
      <c r="F1146" s="67"/>
      <c r="G1146" s="60"/>
      <c r="H1146" s="60"/>
      <c r="I1146" s="61"/>
      <c r="J1146" s="61"/>
      <c r="K1146" s="61"/>
      <c r="L1146" s="73" t="str">
        <f t="shared" si="86"/>
        <v/>
      </c>
      <c r="M1146" s="65" t="str">
        <f t="shared" ca="1" si="87"/>
        <v/>
      </c>
      <c r="N1146" s="74" t="str">
        <f>IF($C1146="","",IF($C1146="TANIMSIZ MÜŞTERİ","—",INDEX(MUSTERILER!$C$7:$C$156,MATCH($C1146,MUSTERILER!$B$7:$B$156,0))))</f>
        <v/>
      </c>
      <c r="O1146" s="2"/>
      <c r="P1146" s="2"/>
      <c r="Q1146" s="1" t="str">
        <f>IF($D1146="","",$C1146&amp;"|"&amp;COUNTIFS($C$7:$C1146,$C1146))</f>
        <v/>
      </c>
      <c r="R1146" s="1" t="str">
        <f t="shared" si="88"/>
        <v/>
      </c>
      <c r="S1146" s="1" t="str">
        <f t="shared" si="89"/>
        <v/>
      </c>
      <c r="T1146" s="1">
        <f>IF($E1146="",0,SUMPRODUCT((AY_SONU!$O$7:$O$42="Evet")*(AY_SONU!$B$7:$B$42=DATE(YEAR($E1146),MONTH($E1146),1))))</f>
        <v>0</v>
      </c>
    </row>
    <row r="1147" spans="1:20" ht="18" customHeight="1" x14ac:dyDescent="0.3">
      <c r="A1147" s="2"/>
      <c r="B1147" s="65" t="str">
        <f t="shared" si="85"/>
        <v/>
      </c>
      <c r="C1147" s="65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66"/>
      <c r="F1147" s="67"/>
      <c r="G1147" s="60"/>
      <c r="H1147" s="60"/>
      <c r="I1147" s="61"/>
      <c r="J1147" s="61"/>
      <c r="K1147" s="61"/>
      <c r="L1147" s="73" t="str">
        <f t="shared" si="86"/>
        <v/>
      </c>
      <c r="M1147" s="65" t="str">
        <f t="shared" ca="1" si="87"/>
        <v/>
      </c>
      <c r="N1147" s="74" t="str">
        <f>IF($C1147="","",IF($C1147="TANIMSIZ MÜŞTERİ","—",INDEX(MUSTERILER!$C$7:$C$156,MATCH($C1147,MUSTERILER!$B$7:$B$156,0))))</f>
        <v/>
      </c>
      <c r="O1147" s="2"/>
      <c r="P1147" s="2"/>
      <c r="Q1147" s="1" t="str">
        <f>IF($D1147="","",$C1147&amp;"|"&amp;COUNTIFS($C$7:$C1147,$C1147))</f>
        <v/>
      </c>
      <c r="R1147" s="1" t="str">
        <f t="shared" si="88"/>
        <v/>
      </c>
      <c r="S1147" s="1" t="str">
        <f t="shared" si="89"/>
        <v/>
      </c>
      <c r="T1147" s="1">
        <f>IF($E1147="",0,SUMPRODUCT((AY_SONU!$O$7:$O$42="Evet")*(AY_SONU!$B$7:$B$42=DATE(YEAR($E1147),MONTH($E1147),1))))</f>
        <v>0</v>
      </c>
    </row>
    <row r="1148" spans="1:20" ht="18" customHeight="1" x14ac:dyDescent="0.3">
      <c r="A1148" s="2"/>
      <c r="B1148" s="65" t="str">
        <f t="shared" si="85"/>
        <v/>
      </c>
      <c r="C1148" s="65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66"/>
      <c r="F1148" s="67"/>
      <c r="G1148" s="60"/>
      <c r="H1148" s="60"/>
      <c r="I1148" s="61"/>
      <c r="J1148" s="61"/>
      <c r="K1148" s="61"/>
      <c r="L1148" s="73" t="str">
        <f t="shared" si="86"/>
        <v/>
      </c>
      <c r="M1148" s="65" t="str">
        <f t="shared" ca="1" si="87"/>
        <v/>
      </c>
      <c r="N1148" s="74" t="str">
        <f>IF($C1148="","",IF($C1148="TANIMSIZ MÜŞTERİ","—",INDEX(MUSTERILER!$C$7:$C$156,MATCH($C1148,MUSTERILER!$B$7:$B$156,0))))</f>
        <v/>
      </c>
      <c r="O1148" s="2"/>
      <c r="P1148" s="2"/>
      <c r="Q1148" s="1" t="str">
        <f>IF($D1148="","",$C1148&amp;"|"&amp;COUNTIFS($C$7:$C1148,$C1148))</f>
        <v/>
      </c>
      <c r="R1148" s="1" t="str">
        <f t="shared" si="88"/>
        <v/>
      </c>
      <c r="S1148" s="1" t="str">
        <f t="shared" si="89"/>
        <v/>
      </c>
      <c r="T1148" s="1">
        <f>IF($E1148="",0,SUMPRODUCT((AY_SONU!$O$7:$O$42="Evet")*(AY_SONU!$B$7:$B$42=DATE(YEAR($E1148),MONTH($E1148),1))))</f>
        <v>0</v>
      </c>
    </row>
    <row r="1149" spans="1:20" ht="18" customHeight="1" x14ac:dyDescent="0.3">
      <c r="A1149" s="2"/>
      <c r="B1149" s="65" t="str">
        <f t="shared" si="85"/>
        <v/>
      </c>
      <c r="C1149" s="65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66"/>
      <c r="F1149" s="67"/>
      <c r="G1149" s="60"/>
      <c r="H1149" s="60"/>
      <c r="I1149" s="61"/>
      <c r="J1149" s="61"/>
      <c r="K1149" s="61"/>
      <c r="L1149" s="73" t="str">
        <f t="shared" si="86"/>
        <v/>
      </c>
      <c r="M1149" s="65" t="str">
        <f t="shared" ca="1" si="87"/>
        <v/>
      </c>
      <c r="N1149" s="74" t="str">
        <f>IF($C1149="","",IF($C1149="TANIMSIZ MÜŞTERİ","—",INDEX(MUSTERILER!$C$7:$C$156,MATCH($C1149,MUSTERILER!$B$7:$B$156,0))))</f>
        <v/>
      </c>
      <c r="O1149" s="2"/>
      <c r="P1149" s="2"/>
      <c r="Q1149" s="1" t="str">
        <f>IF($D1149="","",$C1149&amp;"|"&amp;COUNTIFS($C$7:$C1149,$C1149))</f>
        <v/>
      </c>
      <c r="R1149" s="1" t="str">
        <f t="shared" si="88"/>
        <v/>
      </c>
      <c r="S1149" s="1" t="str">
        <f t="shared" si="89"/>
        <v/>
      </c>
      <c r="T1149" s="1">
        <f>IF($E1149="",0,SUMPRODUCT((AY_SONU!$O$7:$O$42="Evet")*(AY_SONU!$B$7:$B$42=DATE(YEAR($E1149),MONTH($E1149),1))))</f>
        <v>0</v>
      </c>
    </row>
    <row r="1150" spans="1:20" ht="18" customHeight="1" x14ac:dyDescent="0.3">
      <c r="A1150" s="2"/>
      <c r="B1150" s="65" t="str">
        <f t="shared" si="85"/>
        <v/>
      </c>
      <c r="C1150" s="65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66"/>
      <c r="F1150" s="67"/>
      <c r="G1150" s="60"/>
      <c r="H1150" s="60"/>
      <c r="I1150" s="61"/>
      <c r="J1150" s="61"/>
      <c r="K1150" s="61"/>
      <c r="L1150" s="73" t="str">
        <f t="shared" si="86"/>
        <v/>
      </c>
      <c r="M1150" s="65" t="str">
        <f t="shared" ca="1" si="87"/>
        <v/>
      </c>
      <c r="N1150" s="74" t="str">
        <f>IF($C1150="","",IF($C1150="TANIMSIZ MÜŞTERİ","—",INDEX(MUSTERILER!$C$7:$C$156,MATCH($C1150,MUSTERILER!$B$7:$B$156,0))))</f>
        <v/>
      </c>
      <c r="O1150" s="2"/>
      <c r="P1150" s="2"/>
      <c r="Q1150" s="1" t="str">
        <f>IF($D1150="","",$C1150&amp;"|"&amp;COUNTIFS($C$7:$C1150,$C1150))</f>
        <v/>
      </c>
      <c r="R1150" s="1" t="str">
        <f t="shared" si="88"/>
        <v/>
      </c>
      <c r="S1150" s="1" t="str">
        <f t="shared" si="89"/>
        <v/>
      </c>
      <c r="T1150" s="1">
        <f>IF($E1150="",0,SUMPRODUCT((AY_SONU!$O$7:$O$42="Evet")*(AY_SONU!$B$7:$B$42=DATE(YEAR($E1150),MONTH($E1150),1))))</f>
        <v>0</v>
      </c>
    </row>
    <row r="1151" spans="1:20" ht="18" customHeight="1" x14ac:dyDescent="0.3">
      <c r="A1151" s="2"/>
      <c r="B1151" s="65" t="str">
        <f t="shared" si="85"/>
        <v/>
      </c>
      <c r="C1151" s="65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66"/>
      <c r="F1151" s="67"/>
      <c r="G1151" s="60"/>
      <c r="H1151" s="60"/>
      <c r="I1151" s="61"/>
      <c r="J1151" s="61"/>
      <c r="K1151" s="61"/>
      <c r="L1151" s="73" t="str">
        <f t="shared" si="86"/>
        <v/>
      </c>
      <c r="M1151" s="65" t="str">
        <f t="shared" ca="1" si="87"/>
        <v/>
      </c>
      <c r="N1151" s="74" t="str">
        <f>IF($C1151="","",IF($C1151="TANIMSIZ MÜŞTERİ","—",INDEX(MUSTERILER!$C$7:$C$156,MATCH($C1151,MUSTERILER!$B$7:$B$156,0))))</f>
        <v/>
      </c>
      <c r="O1151" s="2"/>
      <c r="P1151" s="2"/>
      <c r="Q1151" s="1" t="str">
        <f>IF($D1151="","",$C1151&amp;"|"&amp;COUNTIFS($C$7:$C1151,$C1151))</f>
        <v/>
      </c>
      <c r="R1151" s="1" t="str">
        <f t="shared" si="88"/>
        <v/>
      </c>
      <c r="S1151" s="1" t="str">
        <f t="shared" si="89"/>
        <v/>
      </c>
      <c r="T1151" s="1">
        <f>IF($E1151="",0,SUMPRODUCT((AY_SONU!$O$7:$O$42="Evet")*(AY_SONU!$B$7:$B$42=DATE(YEAR($E1151),MONTH($E1151),1))))</f>
        <v>0</v>
      </c>
    </row>
    <row r="1152" spans="1:20" ht="18" customHeight="1" x14ac:dyDescent="0.3">
      <c r="A1152" s="2"/>
      <c r="B1152" s="65" t="str">
        <f t="shared" si="85"/>
        <v/>
      </c>
      <c r="C1152" s="65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66"/>
      <c r="F1152" s="67"/>
      <c r="G1152" s="60"/>
      <c r="H1152" s="60"/>
      <c r="I1152" s="61"/>
      <c r="J1152" s="61"/>
      <c r="K1152" s="61"/>
      <c r="L1152" s="73" t="str">
        <f t="shared" si="86"/>
        <v/>
      </c>
      <c r="M1152" s="65" t="str">
        <f t="shared" ca="1" si="87"/>
        <v/>
      </c>
      <c r="N1152" s="74" t="str">
        <f>IF($C1152="","",IF($C1152="TANIMSIZ MÜŞTERİ","—",INDEX(MUSTERILER!$C$7:$C$156,MATCH($C1152,MUSTERILER!$B$7:$B$156,0))))</f>
        <v/>
      </c>
      <c r="O1152" s="2"/>
      <c r="P1152" s="2"/>
      <c r="Q1152" s="1" t="str">
        <f>IF($D1152="","",$C1152&amp;"|"&amp;COUNTIFS($C$7:$C1152,$C1152))</f>
        <v/>
      </c>
      <c r="R1152" s="1" t="str">
        <f t="shared" si="88"/>
        <v/>
      </c>
      <c r="S1152" s="1" t="str">
        <f t="shared" si="89"/>
        <v/>
      </c>
      <c r="T1152" s="1">
        <f>IF($E1152="",0,SUMPRODUCT((AY_SONU!$O$7:$O$42="Evet")*(AY_SONU!$B$7:$B$42=DATE(YEAR($E1152),MONTH($E1152),1))))</f>
        <v>0</v>
      </c>
    </row>
    <row r="1153" spans="1:20" ht="18" customHeight="1" x14ac:dyDescent="0.3">
      <c r="A1153" s="2"/>
      <c r="B1153" s="65" t="str">
        <f t="shared" si="85"/>
        <v/>
      </c>
      <c r="C1153" s="65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66"/>
      <c r="F1153" s="67"/>
      <c r="G1153" s="60"/>
      <c r="H1153" s="60"/>
      <c r="I1153" s="61"/>
      <c r="J1153" s="61"/>
      <c r="K1153" s="61"/>
      <c r="L1153" s="73" t="str">
        <f t="shared" si="86"/>
        <v/>
      </c>
      <c r="M1153" s="65" t="str">
        <f t="shared" ca="1" si="87"/>
        <v/>
      </c>
      <c r="N1153" s="74" t="str">
        <f>IF($C1153="","",IF($C1153="TANIMSIZ MÜŞTERİ","—",INDEX(MUSTERILER!$C$7:$C$156,MATCH($C1153,MUSTERILER!$B$7:$B$156,0))))</f>
        <v/>
      </c>
      <c r="O1153" s="2"/>
      <c r="P1153" s="2"/>
      <c r="Q1153" s="1" t="str">
        <f>IF($D1153="","",$C1153&amp;"|"&amp;COUNTIFS($C$7:$C1153,$C1153))</f>
        <v/>
      </c>
      <c r="R1153" s="1" t="str">
        <f t="shared" si="88"/>
        <v/>
      </c>
      <c r="S1153" s="1" t="str">
        <f t="shared" si="89"/>
        <v/>
      </c>
      <c r="T1153" s="1">
        <f>IF($E1153="",0,SUMPRODUCT((AY_SONU!$O$7:$O$42="Evet")*(AY_SONU!$B$7:$B$42=DATE(YEAR($E1153),MONTH($E1153),1))))</f>
        <v>0</v>
      </c>
    </row>
    <row r="1154" spans="1:20" ht="18" customHeight="1" x14ac:dyDescent="0.3">
      <c r="A1154" s="2"/>
      <c r="B1154" s="65" t="str">
        <f t="shared" si="85"/>
        <v/>
      </c>
      <c r="C1154" s="65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66"/>
      <c r="F1154" s="67"/>
      <c r="G1154" s="60"/>
      <c r="H1154" s="60"/>
      <c r="I1154" s="61"/>
      <c r="J1154" s="61"/>
      <c r="K1154" s="61"/>
      <c r="L1154" s="73" t="str">
        <f t="shared" si="86"/>
        <v/>
      </c>
      <c r="M1154" s="65" t="str">
        <f t="shared" ca="1" si="87"/>
        <v/>
      </c>
      <c r="N1154" s="74" t="str">
        <f>IF($C1154="","",IF($C1154="TANIMSIZ MÜŞTERİ","—",INDEX(MUSTERILER!$C$7:$C$156,MATCH($C1154,MUSTERILER!$B$7:$B$156,0))))</f>
        <v/>
      </c>
      <c r="O1154" s="2"/>
      <c r="P1154" s="2"/>
      <c r="Q1154" s="1" t="str">
        <f>IF($D1154="","",$C1154&amp;"|"&amp;COUNTIFS($C$7:$C1154,$C1154))</f>
        <v/>
      </c>
      <c r="R1154" s="1" t="str">
        <f t="shared" si="88"/>
        <v/>
      </c>
      <c r="S1154" s="1" t="str">
        <f t="shared" si="89"/>
        <v/>
      </c>
      <c r="T1154" s="1">
        <f>IF($E1154="",0,SUMPRODUCT((AY_SONU!$O$7:$O$42="Evet")*(AY_SONU!$B$7:$B$42=DATE(YEAR($E1154),MONTH($E1154),1))))</f>
        <v>0</v>
      </c>
    </row>
    <row r="1155" spans="1:20" ht="18" customHeight="1" x14ac:dyDescent="0.3">
      <c r="A1155" s="2"/>
      <c r="B1155" s="65" t="str">
        <f t="shared" si="85"/>
        <v/>
      </c>
      <c r="C1155" s="65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66"/>
      <c r="F1155" s="67"/>
      <c r="G1155" s="60"/>
      <c r="H1155" s="60"/>
      <c r="I1155" s="61"/>
      <c r="J1155" s="61"/>
      <c r="K1155" s="61"/>
      <c r="L1155" s="73" t="str">
        <f t="shared" si="86"/>
        <v/>
      </c>
      <c r="M1155" s="65" t="str">
        <f t="shared" ca="1" si="87"/>
        <v/>
      </c>
      <c r="N1155" s="74" t="str">
        <f>IF($C1155="","",IF($C1155="TANIMSIZ MÜŞTERİ","—",INDEX(MUSTERILER!$C$7:$C$156,MATCH($C1155,MUSTERILER!$B$7:$B$156,0))))</f>
        <v/>
      </c>
      <c r="O1155" s="2"/>
      <c r="P1155" s="2"/>
      <c r="Q1155" s="1" t="str">
        <f>IF($D1155="","",$C1155&amp;"|"&amp;COUNTIFS($C$7:$C1155,$C1155))</f>
        <v/>
      </c>
      <c r="R1155" s="1" t="str">
        <f t="shared" si="88"/>
        <v/>
      </c>
      <c r="S1155" s="1" t="str">
        <f t="shared" si="89"/>
        <v/>
      </c>
      <c r="T1155" s="1">
        <f>IF($E1155="",0,SUMPRODUCT((AY_SONU!$O$7:$O$42="Evet")*(AY_SONU!$B$7:$B$42=DATE(YEAR($E1155),MONTH($E1155),1))))</f>
        <v>0</v>
      </c>
    </row>
    <row r="1156" spans="1:20" ht="18" customHeight="1" x14ac:dyDescent="0.3">
      <c r="A1156" s="2"/>
      <c r="B1156" s="65" t="str">
        <f t="shared" si="85"/>
        <v/>
      </c>
      <c r="C1156" s="65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66"/>
      <c r="F1156" s="67"/>
      <c r="G1156" s="60"/>
      <c r="H1156" s="60"/>
      <c r="I1156" s="61"/>
      <c r="J1156" s="61"/>
      <c r="K1156" s="61"/>
      <c r="L1156" s="73" t="str">
        <f t="shared" si="86"/>
        <v/>
      </c>
      <c r="M1156" s="65" t="str">
        <f t="shared" ca="1" si="87"/>
        <v/>
      </c>
      <c r="N1156" s="74" t="str">
        <f>IF($C1156="","",IF($C1156="TANIMSIZ MÜŞTERİ","—",INDEX(MUSTERILER!$C$7:$C$156,MATCH($C1156,MUSTERILER!$B$7:$B$156,0))))</f>
        <v/>
      </c>
      <c r="O1156" s="2"/>
      <c r="P1156" s="2"/>
      <c r="Q1156" s="1" t="str">
        <f>IF($D1156="","",$C1156&amp;"|"&amp;COUNTIFS($C$7:$C1156,$C1156))</f>
        <v/>
      </c>
      <c r="R1156" s="1" t="str">
        <f t="shared" si="88"/>
        <v/>
      </c>
      <c r="S1156" s="1" t="str">
        <f t="shared" si="89"/>
        <v/>
      </c>
      <c r="T1156" s="1">
        <f>IF($E1156="",0,SUMPRODUCT((AY_SONU!$O$7:$O$42="Evet")*(AY_SONU!$B$7:$B$42=DATE(YEAR($E1156),MONTH($E1156),1))))</f>
        <v>0</v>
      </c>
    </row>
    <row r="1157" spans="1:20" ht="18" customHeight="1" x14ac:dyDescent="0.3">
      <c r="A1157" s="2"/>
      <c r="B1157" s="65" t="str">
        <f t="shared" si="85"/>
        <v/>
      </c>
      <c r="C1157" s="65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66"/>
      <c r="F1157" s="67"/>
      <c r="G1157" s="60"/>
      <c r="H1157" s="60"/>
      <c r="I1157" s="61"/>
      <c r="J1157" s="61"/>
      <c r="K1157" s="61"/>
      <c r="L1157" s="73" t="str">
        <f t="shared" si="86"/>
        <v/>
      </c>
      <c r="M1157" s="65" t="str">
        <f t="shared" ca="1" si="87"/>
        <v/>
      </c>
      <c r="N1157" s="74" t="str">
        <f>IF($C1157="","",IF($C1157="TANIMSIZ MÜŞTERİ","—",INDEX(MUSTERILER!$C$7:$C$156,MATCH($C1157,MUSTERILER!$B$7:$B$156,0))))</f>
        <v/>
      </c>
      <c r="O1157" s="2"/>
      <c r="P1157" s="2"/>
      <c r="Q1157" s="1" t="str">
        <f>IF($D1157="","",$C1157&amp;"|"&amp;COUNTIFS($C$7:$C1157,$C1157))</f>
        <v/>
      </c>
      <c r="R1157" s="1" t="str">
        <f t="shared" si="88"/>
        <v/>
      </c>
      <c r="S1157" s="1" t="str">
        <f t="shared" si="89"/>
        <v/>
      </c>
      <c r="T1157" s="1">
        <f>IF($E1157="",0,SUMPRODUCT((AY_SONU!$O$7:$O$42="Evet")*(AY_SONU!$B$7:$B$42=DATE(YEAR($E1157),MONTH($E1157),1))))</f>
        <v>0</v>
      </c>
    </row>
    <row r="1158" spans="1:20" ht="18" customHeight="1" x14ac:dyDescent="0.3">
      <c r="A1158" s="2"/>
      <c r="B1158" s="65" t="str">
        <f t="shared" si="85"/>
        <v/>
      </c>
      <c r="C1158" s="65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66"/>
      <c r="F1158" s="67"/>
      <c r="G1158" s="60"/>
      <c r="H1158" s="60"/>
      <c r="I1158" s="61"/>
      <c r="J1158" s="61"/>
      <c r="K1158" s="61"/>
      <c r="L1158" s="73" t="str">
        <f t="shared" si="86"/>
        <v/>
      </c>
      <c r="M1158" s="65" t="str">
        <f t="shared" ca="1" si="87"/>
        <v/>
      </c>
      <c r="N1158" s="74" t="str">
        <f>IF($C1158="","",IF($C1158="TANIMSIZ MÜŞTERİ","—",INDEX(MUSTERILER!$C$7:$C$156,MATCH($C1158,MUSTERILER!$B$7:$B$156,0))))</f>
        <v/>
      </c>
      <c r="O1158" s="2"/>
      <c r="P1158" s="2"/>
      <c r="Q1158" s="1" t="str">
        <f>IF($D1158="","",$C1158&amp;"|"&amp;COUNTIFS($C$7:$C1158,$C1158))</f>
        <v/>
      </c>
      <c r="R1158" s="1" t="str">
        <f t="shared" si="88"/>
        <v/>
      </c>
      <c r="S1158" s="1" t="str">
        <f t="shared" si="89"/>
        <v/>
      </c>
      <c r="T1158" s="1">
        <f>IF($E1158="",0,SUMPRODUCT((AY_SONU!$O$7:$O$42="Evet")*(AY_SONU!$B$7:$B$42=DATE(YEAR($E1158),MONTH($E1158),1))))</f>
        <v>0</v>
      </c>
    </row>
    <row r="1159" spans="1:20" ht="18" customHeight="1" x14ac:dyDescent="0.3">
      <c r="A1159" s="2"/>
      <c r="B1159" s="65" t="str">
        <f t="shared" ref="B1159:B1222" si="90">IF($D1159="","","T"&amp;TEXT(ROW()-6,"00000"))</f>
        <v/>
      </c>
      <c r="C1159" s="65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66"/>
      <c r="F1159" s="67"/>
      <c r="G1159" s="60"/>
      <c r="H1159" s="60"/>
      <c r="I1159" s="61"/>
      <c r="J1159" s="61"/>
      <c r="K1159" s="61"/>
      <c r="L1159" s="73" t="str">
        <f t="shared" ref="L1159:L1222" si="91">IF($E1159="","",DATE(YEAR($E1159),MONTH($E1159),1))</f>
        <v/>
      </c>
      <c r="M1159" s="65" t="str">
        <f t="shared" ref="M1159:M1222" ca="1" si="92">IF($D1159="","",IF($C1159="TANIMSIZ MÜŞTERİ","HATA",IF(OR($E1159="",$F1159&lt;=0,$G1159=""),"EKSİK",IF($E1159&gt;TODAY(),"İLERİ TARİH",IF(COUNTIF($S$7:$S$2506,$S1159)&gt;1,"MÜKERRER?",IF($T1159&gt;0,"KAPALI DÖNEM","UYGUN"))))))</f>
        <v/>
      </c>
      <c r="N1159" s="74" t="str">
        <f>IF($C1159="","",IF($C1159="TANIMSIZ MÜŞTERİ","—",INDEX(MUSTERILER!$C$7:$C$156,MATCH($C1159,MUSTERILER!$B$7:$B$156,0))))</f>
        <v/>
      </c>
      <c r="O1159" s="2"/>
      <c r="P1159" s="2"/>
      <c r="Q1159" s="1" t="str">
        <f>IF($D1159="","",$C1159&amp;"|"&amp;COUNTIFS($C$7:$C1159,$C1159))</f>
        <v/>
      </c>
      <c r="R1159" s="1" t="str">
        <f t="shared" ref="R1159:R1222" si="93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 t="str">
        <f t="shared" ref="S1159:S1222" si="94"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>0</v>
      </c>
    </row>
    <row r="1160" spans="1:20" ht="18" customHeight="1" x14ac:dyDescent="0.3">
      <c r="A1160" s="2"/>
      <c r="B1160" s="65" t="str">
        <f t="shared" si="90"/>
        <v/>
      </c>
      <c r="C1160" s="65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66"/>
      <c r="F1160" s="67"/>
      <c r="G1160" s="60"/>
      <c r="H1160" s="60"/>
      <c r="I1160" s="61"/>
      <c r="J1160" s="61"/>
      <c r="K1160" s="61"/>
      <c r="L1160" s="73" t="str">
        <f t="shared" si="91"/>
        <v/>
      </c>
      <c r="M1160" s="65" t="str">
        <f t="shared" ca="1" si="92"/>
        <v/>
      </c>
      <c r="N1160" s="74" t="str">
        <f>IF($C1160="","",IF($C1160="TANIMSIZ MÜŞTERİ","—",INDEX(MUSTERILER!$C$7:$C$156,MATCH($C1160,MUSTERILER!$B$7:$B$156,0))))</f>
        <v/>
      </c>
      <c r="O1160" s="2"/>
      <c r="P1160" s="2"/>
      <c r="Q1160" s="1" t="str">
        <f>IF($D1160="","",$C1160&amp;"|"&amp;COUNTIFS($C$7:$C1160,$C1160))</f>
        <v/>
      </c>
      <c r="R1160" s="1" t="str">
        <f t="shared" si="93"/>
        <v/>
      </c>
      <c r="S1160" s="1" t="str">
        <f t="shared" si="94"/>
        <v/>
      </c>
      <c r="T1160" s="1">
        <f>IF($E1160="",0,SUMPRODUCT((AY_SONU!$O$7:$O$42="Evet")*(AY_SONU!$B$7:$B$42=DATE(YEAR($E1160),MONTH($E1160),1))))</f>
        <v>0</v>
      </c>
    </row>
    <row r="1161" spans="1:20" ht="18" customHeight="1" x14ac:dyDescent="0.3">
      <c r="A1161" s="2"/>
      <c r="B1161" s="65" t="str">
        <f t="shared" si="90"/>
        <v/>
      </c>
      <c r="C1161" s="65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66"/>
      <c r="F1161" s="67"/>
      <c r="G1161" s="60"/>
      <c r="H1161" s="60"/>
      <c r="I1161" s="61"/>
      <c r="J1161" s="61"/>
      <c r="K1161" s="61"/>
      <c r="L1161" s="73" t="str">
        <f t="shared" si="91"/>
        <v/>
      </c>
      <c r="M1161" s="65" t="str">
        <f t="shared" ca="1" si="92"/>
        <v/>
      </c>
      <c r="N1161" s="74" t="str">
        <f>IF($C1161="","",IF($C1161="TANIMSIZ MÜŞTERİ","—",INDEX(MUSTERILER!$C$7:$C$156,MATCH($C1161,MUSTERILER!$B$7:$B$156,0))))</f>
        <v/>
      </c>
      <c r="O1161" s="2"/>
      <c r="P1161" s="2"/>
      <c r="Q1161" s="1" t="str">
        <f>IF($D1161="","",$C1161&amp;"|"&amp;COUNTIFS($C$7:$C1161,$C1161))</f>
        <v/>
      </c>
      <c r="R1161" s="1" t="str">
        <f t="shared" si="93"/>
        <v/>
      </c>
      <c r="S1161" s="1" t="str">
        <f t="shared" si="94"/>
        <v/>
      </c>
      <c r="T1161" s="1">
        <f>IF($E1161="",0,SUMPRODUCT((AY_SONU!$O$7:$O$42="Evet")*(AY_SONU!$B$7:$B$42=DATE(YEAR($E1161),MONTH($E1161),1))))</f>
        <v>0</v>
      </c>
    </row>
    <row r="1162" spans="1:20" ht="18" customHeight="1" x14ac:dyDescent="0.3">
      <c r="A1162" s="2"/>
      <c r="B1162" s="65" t="str">
        <f t="shared" si="90"/>
        <v/>
      </c>
      <c r="C1162" s="65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66"/>
      <c r="F1162" s="67"/>
      <c r="G1162" s="60"/>
      <c r="H1162" s="60"/>
      <c r="I1162" s="61"/>
      <c r="J1162" s="61"/>
      <c r="K1162" s="61"/>
      <c r="L1162" s="73" t="str">
        <f t="shared" si="91"/>
        <v/>
      </c>
      <c r="M1162" s="65" t="str">
        <f t="shared" ca="1" si="92"/>
        <v/>
      </c>
      <c r="N1162" s="74" t="str">
        <f>IF($C1162="","",IF($C1162="TANIMSIZ MÜŞTERİ","—",INDEX(MUSTERILER!$C$7:$C$156,MATCH($C1162,MUSTERILER!$B$7:$B$156,0))))</f>
        <v/>
      </c>
      <c r="O1162" s="2"/>
      <c r="P1162" s="2"/>
      <c r="Q1162" s="1" t="str">
        <f>IF($D1162="","",$C1162&amp;"|"&amp;COUNTIFS($C$7:$C1162,$C1162))</f>
        <v/>
      </c>
      <c r="R1162" s="1" t="str">
        <f t="shared" si="93"/>
        <v/>
      </c>
      <c r="S1162" s="1" t="str">
        <f t="shared" si="94"/>
        <v/>
      </c>
      <c r="T1162" s="1">
        <f>IF($E1162="",0,SUMPRODUCT((AY_SONU!$O$7:$O$42="Evet")*(AY_SONU!$B$7:$B$42=DATE(YEAR($E1162),MONTH($E1162),1))))</f>
        <v>0</v>
      </c>
    </row>
    <row r="1163" spans="1:20" ht="18" customHeight="1" x14ac:dyDescent="0.3">
      <c r="A1163" s="2"/>
      <c r="B1163" s="65" t="str">
        <f t="shared" si="90"/>
        <v/>
      </c>
      <c r="C1163" s="65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66"/>
      <c r="F1163" s="67"/>
      <c r="G1163" s="60"/>
      <c r="H1163" s="60"/>
      <c r="I1163" s="61"/>
      <c r="J1163" s="61"/>
      <c r="K1163" s="61"/>
      <c r="L1163" s="73" t="str">
        <f t="shared" si="91"/>
        <v/>
      </c>
      <c r="M1163" s="65" t="str">
        <f t="shared" ca="1" si="92"/>
        <v/>
      </c>
      <c r="N1163" s="74" t="str">
        <f>IF($C1163="","",IF($C1163="TANIMSIZ MÜŞTERİ","—",INDEX(MUSTERILER!$C$7:$C$156,MATCH($C1163,MUSTERILER!$B$7:$B$156,0))))</f>
        <v/>
      </c>
      <c r="O1163" s="2"/>
      <c r="P1163" s="2"/>
      <c r="Q1163" s="1" t="str">
        <f>IF($D1163="","",$C1163&amp;"|"&amp;COUNTIFS($C$7:$C1163,$C1163))</f>
        <v/>
      </c>
      <c r="R1163" s="1" t="str">
        <f t="shared" si="93"/>
        <v/>
      </c>
      <c r="S1163" s="1" t="str">
        <f t="shared" si="94"/>
        <v/>
      </c>
      <c r="T1163" s="1">
        <f>IF($E1163="",0,SUMPRODUCT((AY_SONU!$O$7:$O$42="Evet")*(AY_SONU!$B$7:$B$42=DATE(YEAR($E1163),MONTH($E1163),1))))</f>
        <v>0</v>
      </c>
    </row>
    <row r="1164" spans="1:20" ht="18" customHeight="1" x14ac:dyDescent="0.3">
      <c r="A1164" s="2"/>
      <c r="B1164" s="65" t="str">
        <f t="shared" si="90"/>
        <v/>
      </c>
      <c r="C1164" s="65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66"/>
      <c r="F1164" s="67"/>
      <c r="G1164" s="60"/>
      <c r="H1164" s="60"/>
      <c r="I1164" s="61"/>
      <c r="J1164" s="61"/>
      <c r="K1164" s="61"/>
      <c r="L1164" s="73" t="str">
        <f t="shared" si="91"/>
        <v/>
      </c>
      <c r="M1164" s="65" t="str">
        <f t="shared" ca="1" si="92"/>
        <v/>
      </c>
      <c r="N1164" s="74" t="str">
        <f>IF($C1164="","",IF($C1164="TANIMSIZ MÜŞTERİ","—",INDEX(MUSTERILER!$C$7:$C$156,MATCH($C1164,MUSTERILER!$B$7:$B$156,0))))</f>
        <v/>
      </c>
      <c r="O1164" s="2"/>
      <c r="P1164" s="2"/>
      <c r="Q1164" s="1" t="str">
        <f>IF($D1164="","",$C1164&amp;"|"&amp;COUNTIFS($C$7:$C1164,$C1164))</f>
        <v/>
      </c>
      <c r="R1164" s="1" t="str">
        <f t="shared" si="93"/>
        <v/>
      </c>
      <c r="S1164" s="1" t="str">
        <f t="shared" si="94"/>
        <v/>
      </c>
      <c r="T1164" s="1">
        <f>IF($E1164="",0,SUMPRODUCT((AY_SONU!$O$7:$O$42="Evet")*(AY_SONU!$B$7:$B$42=DATE(YEAR($E1164),MONTH($E1164),1))))</f>
        <v>0</v>
      </c>
    </row>
    <row r="1165" spans="1:20" ht="18" customHeight="1" x14ac:dyDescent="0.3">
      <c r="A1165" s="2"/>
      <c r="B1165" s="65" t="str">
        <f t="shared" si="90"/>
        <v/>
      </c>
      <c r="C1165" s="65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66"/>
      <c r="F1165" s="67"/>
      <c r="G1165" s="60"/>
      <c r="H1165" s="60"/>
      <c r="I1165" s="61"/>
      <c r="J1165" s="61"/>
      <c r="K1165" s="61"/>
      <c r="L1165" s="73" t="str">
        <f t="shared" si="91"/>
        <v/>
      </c>
      <c r="M1165" s="65" t="str">
        <f t="shared" ca="1" si="92"/>
        <v/>
      </c>
      <c r="N1165" s="74" t="str">
        <f>IF($C1165="","",IF($C1165="TANIMSIZ MÜŞTERİ","—",INDEX(MUSTERILER!$C$7:$C$156,MATCH($C1165,MUSTERILER!$B$7:$B$156,0))))</f>
        <v/>
      </c>
      <c r="O1165" s="2"/>
      <c r="P1165" s="2"/>
      <c r="Q1165" s="1" t="str">
        <f>IF($D1165="","",$C1165&amp;"|"&amp;COUNTIFS($C$7:$C1165,$C1165))</f>
        <v/>
      </c>
      <c r="R1165" s="1" t="str">
        <f t="shared" si="93"/>
        <v/>
      </c>
      <c r="S1165" s="1" t="str">
        <f t="shared" si="94"/>
        <v/>
      </c>
      <c r="T1165" s="1">
        <f>IF($E1165="",0,SUMPRODUCT((AY_SONU!$O$7:$O$42="Evet")*(AY_SONU!$B$7:$B$42=DATE(YEAR($E1165),MONTH($E1165),1))))</f>
        <v>0</v>
      </c>
    </row>
    <row r="1166" spans="1:20" ht="18" customHeight="1" x14ac:dyDescent="0.3">
      <c r="A1166" s="2"/>
      <c r="B1166" s="65" t="str">
        <f t="shared" si="90"/>
        <v/>
      </c>
      <c r="C1166" s="65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66"/>
      <c r="F1166" s="67"/>
      <c r="G1166" s="60"/>
      <c r="H1166" s="60"/>
      <c r="I1166" s="61"/>
      <c r="J1166" s="61"/>
      <c r="K1166" s="61"/>
      <c r="L1166" s="73" t="str">
        <f t="shared" si="91"/>
        <v/>
      </c>
      <c r="M1166" s="65" t="str">
        <f t="shared" ca="1" si="92"/>
        <v/>
      </c>
      <c r="N1166" s="74" t="str">
        <f>IF($C1166="","",IF($C1166="TANIMSIZ MÜŞTERİ","—",INDEX(MUSTERILER!$C$7:$C$156,MATCH($C1166,MUSTERILER!$B$7:$B$156,0))))</f>
        <v/>
      </c>
      <c r="O1166" s="2"/>
      <c r="P1166" s="2"/>
      <c r="Q1166" s="1" t="str">
        <f>IF($D1166="","",$C1166&amp;"|"&amp;COUNTIFS($C$7:$C1166,$C1166))</f>
        <v/>
      </c>
      <c r="R1166" s="1" t="str">
        <f t="shared" si="93"/>
        <v/>
      </c>
      <c r="S1166" s="1" t="str">
        <f t="shared" si="94"/>
        <v/>
      </c>
      <c r="T1166" s="1">
        <f>IF($E1166="",0,SUMPRODUCT((AY_SONU!$O$7:$O$42="Evet")*(AY_SONU!$B$7:$B$42=DATE(YEAR($E1166),MONTH($E1166),1))))</f>
        <v>0</v>
      </c>
    </row>
    <row r="1167" spans="1:20" ht="18" customHeight="1" x14ac:dyDescent="0.3">
      <c r="A1167" s="2"/>
      <c r="B1167" s="65" t="str">
        <f t="shared" si="90"/>
        <v/>
      </c>
      <c r="C1167" s="65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66"/>
      <c r="F1167" s="67"/>
      <c r="G1167" s="60"/>
      <c r="H1167" s="60"/>
      <c r="I1167" s="61"/>
      <c r="J1167" s="61"/>
      <c r="K1167" s="61"/>
      <c r="L1167" s="73" t="str">
        <f t="shared" si="91"/>
        <v/>
      </c>
      <c r="M1167" s="65" t="str">
        <f t="shared" ca="1" si="92"/>
        <v/>
      </c>
      <c r="N1167" s="74" t="str">
        <f>IF($C1167="","",IF($C1167="TANIMSIZ MÜŞTERİ","—",INDEX(MUSTERILER!$C$7:$C$156,MATCH($C1167,MUSTERILER!$B$7:$B$156,0))))</f>
        <v/>
      </c>
      <c r="O1167" s="2"/>
      <c r="P1167" s="2"/>
      <c r="Q1167" s="1" t="str">
        <f>IF($D1167="","",$C1167&amp;"|"&amp;COUNTIFS($C$7:$C1167,$C1167))</f>
        <v/>
      </c>
      <c r="R1167" s="1" t="str">
        <f t="shared" si="93"/>
        <v/>
      </c>
      <c r="S1167" s="1" t="str">
        <f t="shared" si="94"/>
        <v/>
      </c>
      <c r="T1167" s="1">
        <f>IF($E1167="",0,SUMPRODUCT((AY_SONU!$O$7:$O$42="Evet")*(AY_SONU!$B$7:$B$42=DATE(YEAR($E1167),MONTH($E1167),1))))</f>
        <v>0</v>
      </c>
    </row>
    <row r="1168" spans="1:20" ht="18" customHeight="1" x14ac:dyDescent="0.3">
      <c r="A1168" s="2"/>
      <c r="B1168" s="65" t="str">
        <f t="shared" si="90"/>
        <v/>
      </c>
      <c r="C1168" s="65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66"/>
      <c r="F1168" s="67"/>
      <c r="G1168" s="60"/>
      <c r="H1168" s="60"/>
      <c r="I1168" s="61"/>
      <c r="J1168" s="61"/>
      <c r="K1168" s="61"/>
      <c r="L1168" s="73" t="str">
        <f t="shared" si="91"/>
        <v/>
      </c>
      <c r="M1168" s="65" t="str">
        <f t="shared" ca="1" si="92"/>
        <v/>
      </c>
      <c r="N1168" s="74" t="str">
        <f>IF($C1168="","",IF($C1168="TANIMSIZ MÜŞTERİ","—",INDEX(MUSTERILER!$C$7:$C$156,MATCH($C1168,MUSTERILER!$B$7:$B$156,0))))</f>
        <v/>
      </c>
      <c r="O1168" s="2"/>
      <c r="P1168" s="2"/>
      <c r="Q1168" s="1" t="str">
        <f>IF($D1168="","",$C1168&amp;"|"&amp;COUNTIFS($C$7:$C1168,$C1168))</f>
        <v/>
      </c>
      <c r="R1168" s="1" t="str">
        <f t="shared" si="93"/>
        <v/>
      </c>
      <c r="S1168" s="1" t="str">
        <f t="shared" si="94"/>
        <v/>
      </c>
      <c r="T1168" s="1">
        <f>IF($E1168="",0,SUMPRODUCT((AY_SONU!$O$7:$O$42="Evet")*(AY_SONU!$B$7:$B$42=DATE(YEAR($E1168),MONTH($E1168),1))))</f>
        <v>0</v>
      </c>
    </row>
    <row r="1169" spans="1:20" ht="18" customHeight="1" x14ac:dyDescent="0.3">
      <c r="A1169" s="2"/>
      <c r="B1169" s="65" t="str">
        <f t="shared" si="90"/>
        <v/>
      </c>
      <c r="C1169" s="65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66"/>
      <c r="F1169" s="67"/>
      <c r="G1169" s="60"/>
      <c r="H1169" s="60"/>
      <c r="I1169" s="61"/>
      <c r="J1169" s="61"/>
      <c r="K1169" s="61"/>
      <c r="L1169" s="73" t="str">
        <f t="shared" si="91"/>
        <v/>
      </c>
      <c r="M1169" s="65" t="str">
        <f t="shared" ca="1" si="92"/>
        <v/>
      </c>
      <c r="N1169" s="74" t="str">
        <f>IF($C1169="","",IF($C1169="TANIMSIZ MÜŞTERİ","—",INDEX(MUSTERILER!$C$7:$C$156,MATCH($C1169,MUSTERILER!$B$7:$B$156,0))))</f>
        <v/>
      </c>
      <c r="O1169" s="2"/>
      <c r="P1169" s="2"/>
      <c r="Q1169" s="1" t="str">
        <f>IF($D1169="","",$C1169&amp;"|"&amp;COUNTIFS($C$7:$C1169,$C1169))</f>
        <v/>
      </c>
      <c r="R1169" s="1" t="str">
        <f t="shared" si="93"/>
        <v/>
      </c>
      <c r="S1169" s="1" t="str">
        <f t="shared" si="94"/>
        <v/>
      </c>
      <c r="T1169" s="1">
        <f>IF($E1169="",0,SUMPRODUCT((AY_SONU!$O$7:$O$42="Evet")*(AY_SONU!$B$7:$B$42=DATE(YEAR($E1169),MONTH($E1169),1))))</f>
        <v>0</v>
      </c>
    </row>
    <row r="1170" spans="1:20" ht="18" customHeight="1" x14ac:dyDescent="0.3">
      <c r="A1170" s="2"/>
      <c r="B1170" s="65" t="str">
        <f t="shared" si="90"/>
        <v/>
      </c>
      <c r="C1170" s="65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66"/>
      <c r="F1170" s="67"/>
      <c r="G1170" s="60"/>
      <c r="H1170" s="60"/>
      <c r="I1170" s="61"/>
      <c r="J1170" s="61"/>
      <c r="K1170" s="61"/>
      <c r="L1170" s="73" t="str">
        <f t="shared" si="91"/>
        <v/>
      </c>
      <c r="M1170" s="65" t="str">
        <f t="shared" ca="1" si="92"/>
        <v/>
      </c>
      <c r="N1170" s="74" t="str">
        <f>IF($C1170="","",IF($C1170="TANIMSIZ MÜŞTERİ","—",INDEX(MUSTERILER!$C$7:$C$156,MATCH($C1170,MUSTERILER!$B$7:$B$156,0))))</f>
        <v/>
      </c>
      <c r="O1170" s="2"/>
      <c r="P1170" s="2"/>
      <c r="Q1170" s="1" t="str">
        <f>IF($D1170="","",$C1170&amp;"|"&amp;COUNTIFS($C$7:$C1170,$C1170))</f>
        <v/>
      </c>
      <c r="R1170" s="1" t="str">
        <f t="shared" si="93"/>
        <v/>
      </c>
      <c r="S1170" s="1" t="str">
        <f t="shared" si="94"/>
        <v/>
      </c>
      <c r="T1170" s="1">
        <f>IF($E1170="",0,SUMPRODUCT((AY_SONU!$O$7:$O$42="Evet")*(AY_SONU!$B$7:$B$42=DATE(YEAR($E1170),MONTH($E1170),1))))</f>
        <v>0</v>
      </c>
    </row>
    <row r="1171" spans="1:20" ht="18" customHeight="1" x14ac:dyDescent="0.3">
      <c r="A1171" s="2"/>
      <c r="B1171" s="65" t="str">
        <f t="shared" si="90"/>
        <v/>
      </c>
      <c r="C1171" s="65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66"/>
      <c r="F1171" s="67"/>
      <c r="G1171" s="60"/>
      <c r="H1171" s="60"/>
      <c r="I1171" s="61"/>
      <c r="J1171" s="61"/>
      <c r="K1171" s="61"/>
      <c r="L1171" s="73" t="str">
        <f t="shared" si="91"/>
        <v/>
      </c>
      <c r="M1171" s="65" t="str">
        <f t="shared" ca="1" si="92"/>
        <v/>
      </c>
      <c r="N1171" s="74" t="str">
        <f>IF($C1171="","",IF($C1171="TANIMSIZ MÜŞTERİ","—",INDEX(MUSTERILER!$C$7:$C$156,MATCH($C1171,MUSTERILER!$B$7:$B$156,0))))</f>
        <v/>
      </c>
      <c r="O1171" s="2"/>
      <c r="P1171" s="2"/>
      <c r="Q1171" s="1" t="str">
        <f>IF($D1171="","",$C1171&amp;"|"&amp;COUNTIFS($C$7:$C1171,$C1171))</f>
        <v/>
      </c>
      <c r="R1171" s="1" t="str">
        <f t="shared" si="93"/>
        <v/>
      </c>
      <c r="S1171" s="1" t="str">
        <f t="shared" si="94"/>
        <v/>
      </c>
      <c r="T1171" s="1">
        <f>IF($E1171="",0,SUMPRODUCT((AY_SONU!$O$7:$O$42="Evet")*(AY_SONU!$B$7:$B$42=DATE(YEAR($E1171),MONTH($E1171),1))))</f>
        <v>0</v>
      </c>
    </row>
    <row r="1172" spans="1:20" ht="18" customHeight="1" x14ac:dyDescent="0.3">
      <c r="A1172" s="2"/>
      <c r="B1172" s="65" t="str">
        <f t="shared" si="90"/>
        <v/>
      </c>
      <c r="C1172" s="65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66"/>
      <c r="F1172" s="67"/>
      <c r="G1172" s="60"/>
      <c r="H1172" s="60"/>
      <c r="I1172" s="61"/>
      <c r="J1172" s="61"/>
      <c r="K1172" s="61"/>
      <c r="L1172" s="73" t="str">
        <f t="shared" si="91"/>
        <v/>
      </c>
      <c r="M1172" s="65" t="str">
        <f t="shared" ca="1" si="92"/>
        <v/>
      </c>
      <c r="N1172" s="74" t="str">
        <f>IF($C1172="","",IF($C1172="TANIMSIZ MÜŞTERİ","—",INDEX(MUSTERILER!$C$7:$C$156,MATCH($C1172,MUSTERILER!$B$7:$B$156,0))))</f>
        <v/>
      </c>
      <c r="O1172" s="2"/>
      <c r="P1172" s="2"/>
      <c r="Q1172" s="1" t="str">
        <f>IF($D1172="","",$C1172&amp;"|"&amp;COUNTIFS($C$7:$C1172,$C1172))</f>
        <v/>
      </c>
      <c r="R1172" s="1" t="str">
        <f t="shared" si="93"/>
        <v/>
      </c>
      <c r="S1172" s="1" t="str">
        <f t="shared" si="94"/>
        <v/>
      </c>
      <c r="T1172" s="1">
        <f>IF($E1172="",0,SUMPRODUCT((AY_SONU!$O$7:$O$42="Evet")*(AY_SONU!$B$7:$B$42=DATE(YEAR($E1172),MONTH($E1172),1))))</f>
        <v>0</v>
      </c>
    </row>
    <row r="1173" spans="1:20" ht="18" customHeight="1" x14ac:dyDescent="0.3">
      <c r="A1173" s="2"/>
      <c r="B1173" s="65" t="str">
        <f t="shared" si="90"/>
        <v/>
      </c>
      <c r="C1173" s="65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66"/>
      <c r="F1173" s="67"/>
      <c r="G1173" s="60"/>
      <c r="H1173" s="60"/>
      <c r="I1173" s="61"/>
      <c r="J1173" s="61"/>
      <c r="K1173" s="61"/>
      <c r="L1173" s="73" t="str">
        <f t="shared" si="91"/>
        <v/>
      </c>
      <c r="M1173" s="65" t="str">
        <f t="shared" ca="1" si="92"/>
        <v/>
      </c>
      <c r="N1173" s="74" t="str">
        <f>IF($C1173="","",IF($C1173="TANIMSIZ MÜŞTERİ","—",INDEX(MUSTERILER!$C$7:$C$156,MATCH($C1173,MUSTERILER!$B$7:$B$156,0))))</f>
        <v/>
      </c>
      <c r="O1173" s="2"/>
      <c r="P1173" s="2"/>
      <c r="Q1173" s="1" t="str">
        <f>IF($D1173="","",$C1173&amp;"|"&amp;COUNTIFS($C$7:$C1173,$C1173))</f>
        <v/>
      </c>
      <c r="R1173" s="1" t="str">
        <f t="shared" si="93"/>
        <v/>
      </c>
      <c r="S1173" s="1" t="str">
        <f t="shared" si="94"/>
        <v/>
      </c>
      <c r="T1173" s="1">
        <f>IF($E1173="",0,SUMPRODUCT((AY_SONU!$O$7:$O$42="Evet")*(AY_SONU!$B$7:$B$42=DATE(YEAR($E1173),MONTH($E1173),1))))</f>
        <v>0</v>
      </c>
    </row>
    <row r="1174" spans="1:20" ht="18" customHeight="1" x14ac:dyDescent="0.3">
      <c r="A1174" s="2"/>
      <c r="B1174" s="65" t="str">
        <f t="shared" si="90"/>
        <v/>
      </c>
      <c r="C1174" s="65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66"/>
      <c r="F1174" s="67"/>
      <c r="G1174" s="60"/>
      <c r="H1174" s="60"/>
      <c r="I1174" s="61"/>
      <c r="J1174" s="61"/>
      <c r="K1174" s="61"/>
      <c r="L1174" s="73" t="str">
        <f t="shared" si="91"/>
        <v/>
      </c>
      <c r="M1174" s="65" t="str">
        <f t="shared" ca="1" si="92"/>
        <v/>
      </c>
      <c r="N1174" s="74" t="str">
        <f>IF($C1174="","",IF($C1174="TANIMSIZ MÜŞTERİ","—",INDEX(MUSTERILER!$C$7:$C$156,MATCH($C1174,MUSTERILER!$B$7:$B$156,0))))</f>
        <v/>
      </c>
      <c r="O1174" s="2"/>
      <c r="P1174" s="2"/>
      <c r="Q1174" s="1" t="str">
        <f>IF($D1174="","",$C1174&amp;"|"&amp;COUNTIFS($C$7:$C1174,$C1174))</f>
        <v/>
      </c>
      <c r="R1174" s="1" t="str">
        <f t="shared" si="93"/>
        <v/>
      </c>
      <c r="S1174" s="1" t="str">
        <f t="shared" si="94"/>
        <v/>
      </c>
      <c r="T1174" s="1">
        <f>IF($E1174="",0,SUMPRODUCT((AY_SONU!$O$7:$O$42="Evet")*(AY_SONU!$B$7:$B$42=DATE(YEAR($E1174),MONTH($E1174),1))))</f>
        <v>0</v>
      </c>
    </row>
    <row r="1175" spans="1:20" ht="18" customHeight="1" x14ac:dyDescent="0.3">
      <c r="A1175" s="2"/>
      <c r="B1175" s="65" t="str">
        <f t="shared" si="90"/>
        <v/>
      </c>
      <c r="C1175" s="65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66"/>
      <c r="F1175" s="67"/>
      <c r="G1175" s="60"/>
      <c r="H1175" s="60"/>
      <c r="I1175" s="61"/>
      <c r="J1175" s="61"/>
      <c r="K1175" s="61"/>
      <c r="L1175" s="73" t="str">
        <f t="shared" si="91"/>
        <v/>
      </c>
      <c r="M1175" s="65" t="str">
        <f t="shared" ca="1" si="92"/>
        <v/>
      </c>
      <c r="N1175" s="74" t="str">
        <f>IF($C1175="","",IF($C1175="TANIMSIZ MÜŞTERİ","—",INDEX(MUSTERILER!$C$7:$C$156,MATCH($C1175,MUSTERILER!$B$7:$B$156,0))))</f>
        <v/>
      </c>
      <c r="O1175" s="2"/>
      <c r="P1175" s="2"/>
      <c r="Q1175" s="1" t="str">
        <f>IF($D1175="","",$C1175&amp;"|"&amp;COUNTIFS($C$7:$C1175,$C1175))</f>
        <v/>
      </c>
      <c r="R1175" s="1" t="str">
        <f t="shared" si="93"/>
        <v/>
      </c>
      <c r="S1175" s="1" t="str">
        <f t="shared" si="94"/>
        <v/>
      </c>
      <c r="T1175" s="1">
        <f>IF($E1175="",0,SUMPRODUCT((AY_SONU!$O$7:$O$42="Evet")*(AY_SONU!$B$7:$B$42=DATE(YEAR($E1175),MONTH($E1175),1))))</f>
        <v>0</v>
      </c>
    </row>
    <row r="1176" spans="1:20" ht="18" customHeight="1" x14ac:dyDescent="0.3">
      <c r="A1176" s="2"/>
      <c r="B1176" s="65" t="str">
        <f t="shared" si="90"/>
        <v/>
      </c>
      <c r="C1176" s="65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66"/>
      <c r="F1176" s="67"/>
      <c r="G1176" s="60"/>
      <c r="H1176" s="60"/>
      <c r="I1176" s="61"/>
      <c r="J1176" s="61"/>
      <c r="K1176" s="61"/>
      <c r="L1176" s="73" t="str">
        <f t="shared" si="91"/>
        <v/>
      </c>
      <c r="M1176" s="65" t="str">
        <f t="shared" ca="1" si="92"/>
        <v/>
      </c>
      <c r="N1176" s="74" t="str">
        <f>IF($C1176="","",IF($C1176="TANIMSIZ MÜŞTERİ","—",INDEX(MUSTERILER!$C$7:$C$156,MATCH($C1176,MUSTERILER!$B$7:$B$156,0))))</f>
        <v/>
      </c>
      <c r="O1176" s="2"/>
      <c r="P1176" s="2"/>
      <c r="Q1176" s="1" t="str">
        <f>IF($D1176="","",$C1176&amp;"|"&amp;COUNTIFS($C$7:$C1176,$C1176))</f>
        <v/>
      </c>
      <c r="R1176" s="1" t="str">
        <f t="shared" si="93"/>
        <v/>
      </c>
      <c r="S1176" s="1" t="str">
        <f t="shared" si="94"/>
        <v/>
      </c>
      <c r="T1176" s="1">
        <f>IF($E1176="",0,SUMPRODUCT((AY_SONU!$O$7:$O$42="Evet")*(AY_SONU!$B$7:$B$42=DATE(YEAR($E1176),MONTH($E1176),1))))</f>
        <v>0</v>
      </c>
    </row>
    <row r="1177" spans="1:20" ht="18" customHeight="1" x14ac:dyDescent="0.3">
      <c r="A1177" s="2"/>
      <c r="B1177" s="65" t="str">
        <f t="shared" si="90"/>
        <v/>
      </c>
      <c r="C1177" s="65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66"/>
      <c r="F1177" s="67"/>
      <c r="G1177" s="60"/>
      <c r="H1177" s="60"/>
      <c r="I1177" s="61"/>
      <c r="J1177" s="61"/>
      <c r="K1177" s="61"/>
      <c r="L1177" s="73" t="str">
        <f t="shared" si="91"/>
        <v/>
      </c>
      <c r="M1177" s="65" t="str">
        <f t="shared" ca="1" si="92"/>
        <v/>
      </c>
      <c r="N1177" s="74" t="str">
        <f>IF($C1177="","",IF($C1177="TANIMSIZ MÜŞTERİ","—",INDEX(MUSTERILER!$C$7:$C$156,MATCH($C1177,MUSTERILER!$B$7:$B$156,0))))</f>
        <v/>
      </c>
      <c r="O1177" s="2"/>
      <c r="P1177" s="2"/>
      <c r="Q1177" s="1" t="str">
        <f>IF($D1177="","",$C1177&amp;"|"&amp;COUNTIFS($C$7:$C1177,$C1177))</f>
        <v/>
      </c>
      <c r="R1177" s="1" t="str">
        <f t="shared" si="93"/>
        <v/>
      </c>
      <c r="S1177" s="1" t="str">
        <f t="shared" si="94"/>
        <v/>
      </c>
      <c r="T1177" s="1">
        <f>IF($E1177="",0,SUMPRODUCT((AY_SONU!$O$7:$O$42="Evet")*(AY_SONU!$B$7:$B$42=DATE(YEAR($E1177),MONTH($E1177),1))))</f>
        <v>0</v>
      </c>
    </row>
    <row r="1178" spans="1:20" ht="18" customHeight="1" x14ac:dyDescent="0.3">
      <c r="A1178" s="2"/>
      <c r="B1178" s="65" t="str">
        <f t="shared" si="90"/>
        <v/>
      </c>
      <c r="C1178" s="65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66"/>
      <c r="F1178" s="67"/>
      <c r="G1178" s="60"/>
      <c r="H1178" s="60"/>
      <c r="I1178" s="61"/>
      <c r="J1178" s="61"/>
      <c r="K1178" s="61"/>
      <c r="L1178" s="73" t="str">
        <f t="shared" si="91"/>
        <v/>
      </c>
      <c r="M1178" s="65" t="str">
        <f t="shared" ca="1" si="92"/>
        <v/>
      </c>
      <c r="N1178" s="74" t="str">
        <f>IF($C1178="","",IF($C1178="TANIMSIZ MÜŞTERİ","—",INDEX(MUSTERILER!$C$7:$C$156,MATCH($C1178,MUSTERILER!$B$7:$B$156,0))))</f>
        <v/>
      </c>
      <c r="O1178" s="2"/>
      <c r="P1178" s="2"/>
      <c r="Q1178" s="1" t="str">
        <f>IF($D1178="","",$C1178&amp;"|"&amp;COUNTIFS($C$7:$C1178,$C1178))</f>
        <v/>
      </c>
      <c r="R1178" s="1" t="str">
        <f t="shared" si="93"/>
        <v/>
      </c>
      <c r="S1178" s="1" t="str">
        <f t="shared" si="94"/>
        <v/>
      </c>
      <c r="T1178" s="1">
        <f>IF($E1178="",0,SUMPRODUCT((AY_SONU!$O$7:$O$42="Evet")*(AY_SONU!$B$7:$B$42=DATE(YEAR($E1178),MONTH($E1178),1))))</f>
        <v>0</v>
      </c>
    </row>
    <row r="1179" spans="1:20" ht="18" customHeight="1" x14ac:dyDescent="0.3">
      <c r="A1179" s="2"/>
      <c r="B1179" s="65" t="str">
        <f t="shared" si="90"/>
        <v/>
      </c>
      <c r="C1179" s="65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66"/>
      <c r="F1179" s="67"/>
      <c r="G1179" s="60"/>
      <c r="H1179" s="60"/>
      <c r="I1179" s="61"/>
      <c r="J1179" s="61"/>
      <c r="K1179" s="61"/>
      <c r="L1179" s="73" t="str">
        <f t="shared" si="91"/>
        <v/>
      </c>
      <c r="M1179" s="65" t="str">
        <f t="shared" ca="1" si="92"/>
        <v/>
      </c>
      <c r="N1179" s="74" t="str">
        <f>IF($C1179="","",IF($C1179="TANIMSIZ MÜŞTERİ","—",INDEX(MUSTERILER!$C$7:$C$156,MATCH($C1179,MUSTERILER!$B$7:$B$156,0))))</f>
        <v/>
      </c>
      <c r="O1179" s="2"/>
      <c r="P1179" s="2"/>
      <c r="Q1179" s="1" t="str">
        <f>IF($D1179="","",$C1179&amp;"|"&amp;COUNTIFS($C$7:$C1179,$C1179))</f>
        <v/>
      </c>
      <c r="R1179" s="1" t="str">
        <f t="shared" si="93"/>
        <v/>
      </c>
      <c r="S1179" s="1" t="str">
        <f t="shared" si="94"/>
        <v/>
      </c>
      <c r="T1179" s="1">
        <f>IF($E1179="",0,SUMPRODUCT((AY_SONU!$O$7:$O$42="Evet")*(AY_SONU!$B$7:$B$42=DATE(YEAR($E1179),MONTH($E1179),1))))</f>
        <v>0</v>
      </c>
    </row>
    <row r="1180" spans="1:20" ht="18" customHeight="1" x14ac:dyDescent="0.3">
      <c r="A1180" s="2"/>
      <c r="B1180" s="65" t="str">
        <f t="shared" si="90"/>
        <v/>
      </c>
      <c r="C1180" s="65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66"/>
      <c r="F1180" s="67"/>
      <c r="G1180" s="60"/>
      <c r="H1180" s="60"/>
      <c r="I1180" s="61"/>
      <c r="J1180" s="61"/>
      <c r="K1180" s="61"/>
      <c r="L1180" s="73" t="str">
        <f t="shared" si="91"/>
        <v/>
      </c>
      <c r="M1180" s="65" t="str">
        <f t="shared" ca="1" si="92"/>
        <v/>
      </c>
      <c r="N1180" s="74" t="str">
        <f>IF($C1180="","",IF($C1180="TANIMSIZ MÜŞTERİ","—",INDEX(MUSTERILER!$C$7:$C$156,MATCH($C1180,MUSTERILER!$B$7:$B$156,0))))</f>
        <v/>
      </c>
      <c r="O1180" s="2"/>
      <c r="P1180" s="2"/>
      <c r="Q1180" s="1" t="str">
        <f>IF($D1180="","",$C1180&amp;"|"&amp;COUNTIFS($C$7:$C1180,$C1180))</f>
        <v/>
      </c>
      <c r="R1180" s="1" t="str">
        <f t="shared" si="93"/>
        <v/>
      </c>
      <c r="S1180" s="1" t="str">
        <f t="shared" si="94"/>
        <v/>
      </c>
      <c r="T1180" s="1">
        <f>IF($E1180="",0,SUMPRODUCT((AY_SONU!$O$7:$O$42="Evet")*(AY_SONU!$B$7:$B$42=DATE(YEAR($E1180),MONTH($E1180),1))))</f>
        <v>0</v>
      </c>
    </row>
    <row r="1181" spans="1:20" ht="18" customHeight="1" x14ac:dyDescent="0.3">
      <c r="A1181" s="2"/>
      <c r="B1181" s="65" t="str">
        <f t="shared" si="90"/>
        <v/>
      </c>
      <c r="C1181" s="65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66"/>
      <c r="F1181" s="67"/>
      <c r="G1181" s="60"/>
      <c r="H1181" s="60"/>
      <c r="I1181" s="61"/>
      <c r="J1181" s="61"/>
      <c r="K1181" s="61"/>
      <c r="L1181" s="73" t="str">
        <f t="shared" si="91"/>
        <v/>
      </c>
      <c r="M1181" s="65" t="str">
        <f t="shared" ca="1" si="92"/>
        <v/>
      </c>
      <c r="N1181" s="74" t="str">
        <f>IF($C1181="","",IF($C1181="TANIMSIZ MÜŞTERİ","—",INDEX(MUSTERILER!$C$7:$C$156,MATCH($C1181,MUSTERILER!$B$7:$B$156,0))))</f>
        <v/>
      </c>
      <c r="O1181" s="2"/>
      <c r="P1181" s="2"/>
      <c r="Q1181" s="1" t="str">
        <f>IF($D1181="","",$C1181&amp;"|"&amp;COUNTIFS($C$7:$C1181,$C1181))</f>
        <v/>
      </c>
      <c r="R1181" s="1" t="str">
        <f t="shared" si="93"/>
        <v/>
      </c>
      <c r="S1181" s="1" t="str">
        <f t="shared" si="94"/>
        <v/>
      </c>
      <c r="T1181" s="1">
        <f>IF($E1181="",0,SUMPRODUCT((AY_SONU!$O$7:$O$42="Evet")*(AY_SONU!$B$7:$B$42=DATE(YEAR($E1181),MONTH($E1181),1))))</f>
        <v>0</v>
      </c>
    </row>
    <row r="1182" spans="1:20" ht="18" customHeight="1" x14ac:dyDescent="0.3">
      <c r="A1182" s="2"/>
      <c r="B1182" s="65" t="str">
        <f t="shared" si="90"/>
        <v/>
      </c>
      <c r="C1182" s="65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66"/>
      <c r="F1182" s="67"/>
      <c r="G1182" s="60"/>
      <c r="H1182" s="60"/>
      <c r="I1182" s="61"/>
      <c r="J1182" s="61"/>
      <c r="K1182" s="61"/>
      <c r="L1182" s="73" t="str">
        <f t="shared" si="91"/>
        <v/>
      </c>
      <c r="M1182" s="65" t="str">
        <f t="shared" ca="1" si="92"/>
        <v/>
      </c>
      <c r="N1182" s="74" t="str">
        <f>IF($C1182="","",IF($C1182="TANIMSIZ MÜŞTERİ","—",INDEX(MUSTERILER!$C$7:$C$156,MATCH($C1182,MUSTERILER!$B$7:$B$156,0))))</f>
        <v/>
      </c>
      <c r="O1182" s="2"/>
      <c r="P1182" s="2"/>
      <c r="Q1182" s="1" t="str">
        <f>IF($D1182="","",$C1182&amp;"|"&amp;COUNTIFS($C$7:$C1182,$C1182))</f>
        <v/>
      </c>
      <c r="R1182" s="1" t="str">
        <f t="shared" si="93"/>
        <v/>
      </c>
      <c r="S1182" s="1" t="str">
        <f t="shared" si="94"/>
        <v/>
      </c>
      <c r="T1182" s="1">
        <f>IF($E1182="",0,SUMPRODUCT((AY_SONU!$O$7:$O$42="Evet")*(AY_SONU!$B$7:$B$42=DATE(YEAR($E1182),MONTH($E1182),1))))</f>
        <v>0</v>
      </c>
    </row>
    <row r="1183" spans="1:20" ht="18" customHeight="1" x14ac:dyDescent="0.3">
      <c r="A1183" s="2"/>
      <c r="B1183" s="65" t="str">
        <f t="shared" si="90"/>
        <v/>
      </c>
      <c r="C1183" s="65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66"/>
      <c r="F1183" s="67"/>
      <c r="G1183" s="60"/>
      <c r="H1183" s="60"/>
      <c r="I1183" s="61"/>
      <c r="J1183" s="61"/>
      <c r="K1183" s="61"/>
      <c r="L1183" s="73" t="str">
        <f t="shared" si="91"/>
        <v/>
      </c>
      <c r="M1183" s="65" t="str">
        <f t="shared" ca="1" si="92"/>
        <v/>
      </c>
      <c r="N1183" s="74" t="str">
        <f>IF($C1183="","",IF($C1183="TANIMSIZ MÜŞTERİ","—",INDEX(MUSTERILER!$C$7:$C$156,MATCH($C1183,MUSTERILER!$B$7:$B$156,0))))</f>
        <v/>
      </c>
      <c r="O1183" s="2"/>
      <c r="P1183" s="2"/>
      <c r="Q1183" s="1" t="str">
        <f>IF($D1183="","",$C1183&amp;"|"&amp;COUNTIFS($C$7:$C1183,$C1183))</f>
        <v/>
      </c>
      <c r="R1183" s="1" t="str">
        <f t="shared" si="93"/>
        <v/>
      </c>
      <c r="S1183" s="1" t="str">
        <f t="shared" si="94"/>
        <v/>
      </c>
      <c r="T1183" s="1">
        <f>IF($E1183="",0,SUMPRODUCT((AY_SONU!$O$7:$O$42="Evet")*(AY_SONU!$B$7:$B$42=DATE(YEAR($E1183),MONTH($E1183),1))))</f>
        <v>0</v>
      </c>
    </row>
    <row r="1184" spans="1:20" ht="18" customHeight="1" x14ac:dyDescent="0.3">
      <c r="A1184" s="2"/>
      <c r="B1184" s="65" t="str">
        <f t="shared" si="90"/>
        <v/>
      </c>
      <c r="C1184" s="65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66"/>
      <c r="F1184" s="67"/>
      <c r="G1184" s="60"/>
      <c r="H1184" s="60"/>
      <c r="I1184" s="61"/>
      <c r="J1184" s="61"/>
      <c r="K1184" s="61"/>
      <c r="L1184" s="73" t="str">
        <f t="shared" si="91"/>
        <v/>
      </c>
      <c r="M1184" s="65" t="str">
        <f t="shared" ca="1" si="92"/>
        <v/>
      </c>
      <c r="N1184" s="74" t="str">
        <f>IF($C1184="","",IF($C1184="TANIMSIZ MÜŞTERİ","—",INDEX(MUSTERILER!$C$7:$C$156,MATCH($C1184,MUSTERILER!$B$7:$B$156,0))))</f>
        <v/>
      </c>
      <c r="O1184" s="2"/>
      <c r="P1184" s="2"/>
      <c r="Q1184" s="1" t="str">
        <f>IF($D1184="","",$C1184&amp;"|"&amp;COUNTIFS($C$7:$C1184,$C1184))</f>
        <v/>
      </c>
      <c r="R1184" s="1" t="str">
        <f t="shared" si="93"/>
        <v/>
      </c>
      <c r="S1184" s="1" t="str">
        <f t="shared" si="94"/>
        <v/>
      </c>
      <c r="T1184" s="1">
        <f>IF($E1184="",0,SUMPRODUCT((AY_SONU!$O$7:$O$42="Evet")*(AY_SONU!$B$7:$B$42=DATE(YEAR($E1184),MONTH($E1184),1))))</f>
        <v>0</v>
      </c>
    </row>
    <row r="1185" spans="1:20" ht="18" customHeight="1" x14ac:dyDescent="0.3">
      <c r="A1185" s="2"/>
      <c r="B1185" s="65" t="str">
        <f t="shared" si="90"/>
        <v/>
      </c>
      <c r="C1185" s="65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66"/>
      <c r="F1185" s="67"/>
      <c r="G1185" s="60"/>
      <c r="H1185" s="60"/>
      <c r="I1185" s="61"/>
      <c r="J1185" s="61"/>
      <c r="K1185" s="61"/>
      <c r="L1185" s="73" t="str">
        <f t="shared" si="91"/>
        <v/>
      </c>
      <c r="M1185" s="65" t="str">
        <f t="shared" ca="1" si="92"/>
        <v/>
      </c>
      <c r="N1185" s="74" t="str">
        <f>IF($C1185="","",IF($C1185="TANIMSIZ MÜŞTERİ","—",INDEX(MUSTERILER!$C$7:$C$156,MATCH($C1185,MUSTERILER!$B$7:$B$156,0))))</f>
        <v/>
      </c>
      <c r="O1185" s="2"/>
      <c r="P1185" s="2"/>
      <c r="Q1185" s="1" t="str">
        <f>IF($D1185="","",$C1185&amp;"|"&amp;COUNTIFS($C$7:$C1185,$C1185))</f>
        <v/>
      </c>
      <c r="R1185" s="1" t="str">
        <f t="shared" si="93"/>
        <v/>
      </c>
      <c r="S1185" s="1" t="str">
        <f t="shared" si="94"/>
        <v/>
      </c>
      <c r="T1185" s="1">
        <f>IF($E1185="",0,SUMPRODUCT((AY_SONU!$O$7:$O$42="Evet")*(AY_SONU!$B$7:$B$42=DATE(YEAR($E1185),MONTH($E1185),1))))</f>
        <v>0</v>
      </c>
    </row>
    <row r="1186" spans="1:20" ht="18" customHeight="1" x14ac:dyDescent="0.3">
      <c r="A1186" s="2"/>
      <c r="B1186" s="65" t="str">
        <f t="shared" si="90"/>
        <v/>
      </c>
      <c r="C1186" s="65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66"/>
      <c r="F1186" s="67"/>
      <c r="G1186" s="60"/>
      <c r="H1186" s="60"/>
      <c r="I1186" s="61"/>
      <c r="J1186" s="61"/>
      <c r="K1186" s="61"/>
      <c r="L1186" s="73" t="str">
        <f t="shared" si="91"/>
        <v/>
      </c>
      <c r="M1186" s="65" t="str">
        <f t="shared" ca="1" si="92"/>
        <v/>
      </c>
      <c r="N1186" s="74" t="str">
        <f>IF($C1186="","",IF($C1186="TANIMSIZ MÜŞTERİ","—",INDEX(MUSTERILER!$C$7:$C$156,MATCH($C1186,MUSTERILER!$B$7:$B$156,0))))</f>
        <v/>
      </c>
      <c r="O1186" s="2"/>
      <c r="P1186" s="2"/>
      <c r="Q1186" s="1" t="str">
        <f>IF($D1186="","",$C1186&amp;"|"&amp;COUNTIFS($C$7:$C1186,$C1186))</f>
        <v/>
      </c>
      <c r="R1186" s="1" t="str">
        <f t="shared" si="93"/>
        <v/>
      </c>
      <c r="S1186" s="1" t="str">
        <f t="shared" si="94"/>
        <v/>
      </c>
      <c r="T1186" s="1">
        <f>IF($E1186="",0,SUMPRODUCT((AY_SONU!$O$7:$O$42="Evet")*(AY_SONU!$B$7:$B$42=DATE(YEAR($E1186),MONTH($E1186),1))))</f>
        <v>0</v>
      </c>
    </row>
    <row r="1187" spans="1:20" ht="18" customHeight="1" x14ac:dyDescent="0.3">
      <c r="A1187" s="2"/>
      <c r="B1187" s="65" t="str">
        <f t="shared" si="90"/>
        <v/>
      </c>
      <c r="C1187" s="65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66"/>
      <c r="F1187" s="67"/>
      <c r="G1187" s="60"/>
      <c r="H1187" s="60"/>
      <c r="I1187" s="61"/>
      <c r="J1187" s="61"/>
      <c r="K1187" s="61"/>
      <c r="L1187" s="73" t="str">
        <f t="shared" si="91"/>
        <v/>
      </c>
      <c r="M1187" s="65" t="str">
        <f t="shared" ca="1" si="92"/>
        <v/>
      </c>
      <c r="N1187" s="74" t="str">
        <f>IF($C1187="","",IF($C1187="TANIMSIZ MÜŞTERİ","—",INDEX(MUSTERILER!$C$7:$C$156,MATCH($C1187,MUSTERILER!$B$7:$B$156,0))))</f>
        <v/>
      </c>
      <c r="O1187" s="2"/>
      <c r="P1187" s="2"/>
      <c r="Q1187" s="1" t="str">
        <f>IF($D1187="","",$C1187&amp;"|"&amp;COUNTIFS($C$7:$C1187,$C1187))</f>
        <v/>
      </c>
      <c r="R1187" s="1" t="str">
        <f t="shared" si="93"/>
        <v/>
      </c>
      <c r="S1187" s="1" t="str">
        <f t="shared" si="94"/>
        <v/>
      </c>
      <c r="T1187" s="1">
        <f>IF($E1187="",0,SUMPRODUCT((AY_SONU!$O$7:$O$42="Evet")*(AY_SONU!$B$7:$B$42=DATE(YEAR($E1187),MONTH($E1187),1))))</f>
        <v>0</v>
      </c>
    </row>
    <row r="1188" spans="1:20" ht="18" customHeight="1" x14ac:dyDescent="0.3">
      <c r="A1188" s="2"/>
      <c r="B1188" s="65" t="str">
        <f t="shared" si="90"/>
        <v/>
      </c>
      <c r="C1188" s="65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66"/>
      <c r="F1188" s="67"/>
      <c r="G1188" s="60"/>
      <c r="H1188" s="60"/>
      <c r="I1188" s="61"/>
      <c r="J1188" s="61"/>
      <c r="K1188" s="61"/>
      <c r="L1188" s="73" t="str">
        <f t="shared" si="91"/>
        <v/>
      </c>
      <c r="M1188" s="65" t="str">
        <f t="shared" ca="1" si="92"/>
        <v/>
      </c>
      <c r="N1188" s="74" t="str">
        <f>IF($C1188="","",IF($C1188="TANIMSIZ MÜŞTERİ","—",INDEX(MUSTERILER!$C$7:$C$156,MATCH($C1188,MUSTERILER!$B$7:$B$156,0))))</f>
        <v/>
      </c>
      <c r="O1188" s="2"/>
      <c r="P1188" s="2"/>
      <c r="Q1188" s="1" t="str">
        <f>IF($D1188="","",$C1188&amp;"|"&amp;COUNTIFS($C$7:$C1188,$C1188))</f>
        <v/>
      </c>
      <c r="R1188" s="1" t="str">
        <f t="shared" si="93"/>
        <v/>
      </c>
      <c r="S1188" s="1" t="str">
        <f t="shared" si="94"/>
        <v/>
      </c>
      <c r="T1188" s="1">
        <f>IF($E1188="",0,SUMPRODUCT((AY_SONU!$O$7:$O$42="Evet")*(AY_SONU!$B$7:$B$42=DATE(YEAR($E1188),MONTH($E1188),1))))</f>
        <v>0</v>
      </c>
    </row>
    <row r="1189" spans="1:20" ht="18" customHeight="1" x14ac:dyDescent="0.3">
      <c r="A1189" s="2"/>
      <c r="B1189" s="65" t="str">
        <f t="shared" si="90"/>
        <v/>
      </c>
      <c r="C1189" s="65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66"/>
      <c r="F1189" s="67"/>
      <c r="G1189" s="60"/>
      <c r="H1189" s="60"/>
      <c r="I1189" s="61"/>
      <c r="J1189" s="61"/>
      <c r="K1189" s="61"/>
      <c r="L1189" s="73" t="str">
        <f t="shared" si="91"/>
        <v/>
      </c>
      <c r="M1189" s="65" t="str">
        <f t="shared" ca="1" si="92"/>
        <v/>
      </c>
      <c r="N1189" s="74" t="str">
        <f>IF($C1189="","",IF($C1189="TANIMSIZ MÜŞTERİ","—",INDEX(MUSTERILER!$C$7:$C$156,MATCH($C1189,MUSTERILER!$B$7:$B$156,0))))</f>
        <v/>
      </c>
      <c r="O1189" s="2"/>
      <c r="P1189" s="2"/>
      <c r="Q1189" s="1" t="str">
        <f>IF($D1189="","",$C1189&amp;"|"&amp;COUNTIFS($C$7:$C1189,$C1189))</f>
        <v/>
      </c>
      <c r="R1189" s="1" t="str">
        <f t="shared" si="93"/>
        <v/>
      </c>
      <c r="S1189" s="1" t="str">
        <f t="shared" si="94"/>
        <v/>
      </c>
      <c r="T1189" s="1">
        <f>IF($E1189="",0,SUMPRODUCT((AY_SONU!$O$7:$O$42="Evet")*(AY_SONU!$B$7:$B$42=DATE(YEAR($E1189),MONTH($E1189),1))))</f>
        <v>0</v>
      </c>
    </row>
    <row r="1190" spans="1:20" ht="18" customHeight="1" x14ac:dyDescent="0.3">
      <c r="A1190" s="2"/>
      <c r="B1190" s="65" t="str">
        <f t="shared" si="90"/>
        <v/>
      </c>
      <c r="C1190" s="65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66"/>
      <c r="F1190" s="67"/>
      <c r="G1190" s="60"/>
      <c r="H1190" s="60"/>
      <c r="I1190" s="61"/>
      <c r="J1190" s="61"/>
      <c r="K1190" s="61"/>
      <c r="L1190" s="73" t="str">
        <f t="shared" si="91"/>
        <v/>
      </c>
      <c r="M1190" s="65" t="str">
        <f t="shared" ca="1" si="92"/>
        <v/>
      </c>
      <c r="N1190" s="74" t="str">
        <f>IF($C1190="","",IF($C1190="TANIMSIZ MÜŞTERİ","—",INDEX(MUSTERILER!$C$7:$C$156,MATCH($C1190,MUSTERILER!$B$7:$B$156,0))))</f>
        <v/>
      </c>
      <c r="O1190" s="2"/>
      <c r="P1190" s="2"/>
      <c r="Q1190" s="1" t="str">
        <f>IF($D1190="","",$C1190&amp;"|"&amp;COUNTIFS($C$7:$C1190,$C1190))</f>
        <v/>
      </c>
      <c r="R1190" s="1" t="str">
        <f t="shared" si="93"/>
        <v/>
      </c>
      <c r="S1190" s="1" t="str">
        <f t="shared" si="94"/>
        <v/>
      </c>
      <c r="T1190" s="1">
        <f>IF($E1190="",0,SUMPRODUCT((AY_SONU!$O$7:$O$42="Evet")*(AY_SONU!$B$7:$B$42=DATE(YEAR($E1190),MONTH($E1190),1))))</f>
        <v>0</v>
      </c>
    </row>
    <row r="1191" spans="1:20" ht="18" customHeight="1" x14ac:dyDescent="0.3">
      <c r="A1191" s="2"/>
      <c r="B1191" s="65" t="str">
        <f t="shared" si="90"/>
        <v/>
      </c>
      <c r="C1191" s="65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66"/>
      <c r="F1191" s="67"/>
      <c r="G1191" s="60"/>
      <c r="H1191" s="60"/>
      <c r="I1191" s="61"/>
      <c r="J1191" s="61"/>
      <c r="K1191" s="61"/>
      <c r="L1191" s="73" t="str">
        <f t="shared" si="91"/>
        <v/>
      </c>
      <c r="M1191" s="65" t="str">
        <f t="shared" ca="1" si="92"/>
        <v/>
      </c>
      <c r="N1191" s="74" t="str">
        <f>IF($C1191="","",IF($C1191="TANIMSIZ MÜŞTERİ","—",INDEX(MUSTERILER!$C$7:$C$156,MATCH($C1191,MUSTERILER!$B$7:$B$156,0))))</f>
        <v/>
      </c>
      <c r="O1191" s="2"/>
      <c r="P1191" s="2"/>
      <c r="Q1191" s="1" t="str">
        <f>IF($D1191="","",$C1191&amp;"|"&amp;COUNTIFS($C$7:$C1191,$C1191))</f>
        <v/>
      </c>
      <c r="R1191" s="1" t="str">
        <f t="shared" si="93"/>
        <v/>
      </c>
      <c r="S1191" s="1" t="str">
        <f t="shared" si="94"/>
        <v/>
      </c>
      <c r="T1191" s="1">
        <f>IF($E1191="",0,SUMPRODUCT((AY_SONU!$O$7:$O$42="Evet")*(AY_SONU!$B$7:$B$42=DATE(YEAR($E1191),MONTH($E1191),1))))</f>
        <v>0</v>
      </c>
    </row>
    <row r="1192" spans="1:20" ht="18" customHeight="1" x14ac:dyDescent="0.3">
      <c r="A1192" s="2"/>
      <c r="B1192" s="65" t="str">
        <f t="shared" si="90"/>
        <v/>
      </c>
      <c r="C1192" s="65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66"/>
      <c r="F1192" s="67"/>
      <c r="G1192" s="60"/>
      <c r="H1192" s="60"/>
      <c r="I1192" s="61"/>
      <c r="J1192" s="61"/>
      <c r="K1192" s="61"/>
      <c r="L1192" s="73" t="str">
        <f t="shared" si="91"/>
        <v/>
      </c>
      <c r="M1192" s="65" t="str">
        <f t="shared" ca="1" si="92"/>
        <v/>
      </c>
      <c r="N1192" s="74" t="str">
        <f>IF($C1192="","",IF($C1192="TANIMSIZ MÜŞTERİ","—",INDEX(MUSTERILER!$C$7:$C$156,MATCH($C1192,MUSTERILER!$B$7:$B$156,0))))</f>
        <v/>
      </c>
      <c r="O1192" s="2"/>
      <c r="P1192" s="2"/>
      <c r="Q1192" s="1" t="str">
        <f>IF($D1192="","",$C1192&amp;"|"&amp;COUNTIFS($C$7:$C1192,$C1192))</f>
        <v/>
      </c>
      <c r="R1192" s="1" t="str">
        <f t="shared" si="93"/>
        <v/>
      </c>
      <c r="S1192" s="1" t="str">
        <f t="shared" si="94"/>
        <v/>
      </c>
      <c r="T1192" s="1">
        <f>IF($E1192="",0,SUMPRODUCT((AY_SONU!$O$7:$O$42="Evet")*(AY_SONU!$B$7:$B$42=DATE(YEAR($E1192),MONTH($E1192),1))))</f>
        <v>0</v>
      </c>
    </row>
    <row r="1193" spans="1:20" ht="18" customHeight="1" x14ac:dyDescent="0.3">
      <c r="A1193" s="2"/>
      <c r="B1193" s="65" t="str">
        <f t="shared" si="90"/>
        <v/>
      </c>
      <c r="C1193" s="65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66"/>
      <c r="F1193" s="67"/>
      <c r="G1193" s="60"/>
      <c r="H1193" s="60"/>
      <c r="I1193" s="61"/>
      <c r="J1193" s="61"/>
      <c r="K1193" s="61"/>
      <c r="L1193" s="73" t="str">
        <f t="shared" si="91"/>
        <v/>
      </c>
      <c r="M1193" s="65" t="str">
        <f t="shared" ca="1" si="92"/>
        <v/>
      </c>
      <c r="N1193" s="74" t="str">
        <f>IF($C1193="","",IF($C1193="TANIMSIZ MÜŞTERİ","—",INDEX(MUSTERILER!$C$7:$C$156,MATCH($C1193,MUSTERILER!$B$7:$B$156,0))))</f>
        <v/>
      </c>
      <c r="O1193" s="2"/>
      <c r="P1193" s="2"/>
      <c r="Q1193" s="1" t="str">
        <f>IF($D1193="","",$C1193&amp;"|"&amp;COUNTIFS($C$7:$C1193,$C1193))</f>
        <v/>
      </c>
      <c r="R1193" s="1" t="str">
        <f t="shared" si="93"/>
        <v/>
      </c>
      <c r="S1193" s="1" t="str">
        <f t="shared" si="94"/>
        <v/>
      </c>
      <c r="T1193" s="1">
        <f>IF($E1193="",0,SUMPRODUCT((AY_SONU!$O$7:$O$42="Evet")*(AY_SONU!$B$7:$B$42=DATE(YEAR($E1193),MONTH($E1193),1))))</f>
        <v>0</v>
      </c>
    </row>
    <row r="1194" spans="1:20" ht="18" customHeight="1" x14ac:dyDescent="0.3">
      <c r="A1194" s="2"/>
      <c r="B1194" s="65" t="str">
        <f t="shared" si="90"/>
        <v/>
      </c>
      <c r="C1194" s="65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66"/>
      <c r="F1194" s="67"/>
      <c r="G1194" s="60"/>
      <c r="H1194" s="60"/>
      <c r="I1194" s="61"/>
      <c r="J1194" s="61"/>
      <c r="K1194" s="61"/>
      <c r="L1194" s="73" t="str">
        <f t="shared" si="91"/>
        <v/>
      </c>
      <c r="M1194" s="65" t="str">
        <f t="shared" ca="1" si="92"/>
        <v/>
      </c>
      <c r="N1194" s="74" t="str">
        <f>IF($C1194="","",IF($C1194="TANIMSIZ MÜŞTERİ","—",INDEX(MUSTERILER!$C$7:$C$156,MATCH($C1194,MUSTERILER!$B$7:$B$156,0))))</f>
        <v/>
      </c>
      <c r="O1194" s="2"/>
      <c r="P1194" s="2"/>
      <c r="Q1194" s="1" t="str">
        <f>IF($D1194="","",$C1194&amp;"|"&amp;COUNTIFS($C$7:$C1194,$C1194))</f>
        <v/>
      </c>
      <c r="R1194" s="1" t="str">
        <f t="shared" si="93"/>
        <v/>
      </c>
      <c r="S1194" s="1" t="str">
        <f t="shared" si="94"/>
        <v/>
      </c>
      <c r="T1194" s="1">
        <f>IF($E1194="",0,SUMPRODUCT((AY_SONU!$O$7:$O$42="Evet")*(AY_SONU!$B$7:$B$42=DATE(YEAR($E1194),MONTH($E1194),1))))</f>
        <v>0</v>
      </c>
    </row>
    <row r="1195" spans="1:20" ht="18" customHeight="1" x14ac:dyDescent="0.3">
      <c r="A1195" s="2"/>
      <c r="B1195" s="65" t="str">
        <f t="shared" si="90"/>
        <v/>
      </c>
      <c r="C1195" s="65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66"/>
      <c r="F1195" s="67"/>
      <c r="G1195" s="60"/>
      <c r="H1195" s="60"/>
      <c r="I1195" s="61"/>
      <c r="J1195" s="61"/>
      <c r="K1195" s="61"/>
      <c r="L1195" s="73" t="str">
        <f t="shared" si="91"/>
        <v/>
      </c>
      <c r="M1195" s="65" t="str">
        <f t="shared" ca="1" si="92"/>
        <v/>
      </c>
      <c r="N1195" s="74" t="str">
        <f>IF($C1195="","",IF($C1195="TANIMSIZ MÜŞTERİ","—",INDEX(MUSTERILER!$C$7:$C$156,MATCH($C1195,MUSTERILER!$B$7:$B$156,0))))</f>
        <v/>
      </c>
      <c r="O1195" s="2"/>
      <c r="P1195" s="2"/>
      <c r="Q1195" s="1" t="str">
        <f>IF($D1195="","",$C1195&amp;"|"&amp;COUNTIFS($C$7:$C1195,$C1195))</f>
        <v/>
      </c>
      <c r="R1195" s="1" t="str">
        <f t="shared" si="93"/>
        <v/>
      </c>
      <c r="S1195" s="1" t="str">
        <f t="shared" si="94"/>
        <v/>
      </c>
      <c r="T1195" s="1">
        <f>IF($E1195="",0,SUMPRODUCT((AY_SONU!$O$7:$O$42="Evet")*(AY_SONU!$B$7:$B$42=DATE(YEAR($E1195),MONTH($E1195),1))))</f>
        <v>0</v>
      </c>
    </row>
    <row r="1196" spans="1:20" ht="18" customHeight="1" x14ac:dyDescent="0.3">
      <c r="A1196" s="2"/>
      <c r="B1196" s="65" t="str">
        <f t="shared" si="90"/>
        <v/>
      </c>
      <c r="C1196" s="65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66"/>
      <c r="F1196" s="67"/>
      <c r="G1196" s="60"/>
      <c r="H1196" s="60"/>
      <c r="I1196" s="61"/>
      <c r="J1196" s="61"/>
      <c r="K1196" s="61"/>
      <c r="L1196" s="73" t="str">
        <f t="shared" si="91"/>
        <v/>
      </c>
      <c r="M1196" s="65" t="str">
        <f t="shared" ca="1" si="92"/>
        <v/>
      </c>
      <c r="N1196" s="74" t="str">
        <f>IF($C1196="","",IF($C1196="TANIMSIZ MÜŞTERİ","—",INDEX(MUSTERILER!$C$7:$C$156,MATCH($C1196,MUSTERILER!$B$7:$B$156,0))))</f>
        <v/>
      </c>
      <c r="O1196" s="2"/>
      <c r="P1196" s="2"/>
      <c r="Q1196" s="1" t="str">
        <f>IF($D1196="","",$C1196&amp;"|"&amp;COUNTIFS($C$7:$C1196,$C1196))</f>
        <v/>
      </c>
      <c r="R1196" s="1" t="str">
        <f t="shared" si="93"/>
        <v/>
      </c>
      <c r="S1196" s="1" t="str">
        <f t="shared" si="94"/>
        <v/>
      </c>
      <c r="T1196" s="1">
        <f>IF($E1196="",0,SUMPRODUCT((AY_SONU!$O$7:$O$42="Evet")*(AY_SONU!$B$7:$B$42=DATE(YEAR($E1196),MONTH($E1196),1))))</f>
        <v>0</v>
      </c>
    </row>
    <row r="1197" spans="1:20" ht="18" customHeight="1" x14ac:dyDescent="0.3">
      <c r="A1197" s="2"/>
      <c r="B1197" s="65" t="str">
        <f t="shared" si="90"/>
        <v/>
      </c>
      <c r="C1197" s="65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66"/>
      <c r="F1197" s="67"/>
      <c r="G1197" s="60"/>
      <c r="H1197" s="60"/>
      <c r="I1197" s="61"/>
      <c r="J1197" s="61"/>
      <c r="K1197" s="61"/>
      <c r="L1197" s="73" t="str">
        <f t="shared" si="91"/>
        <v/>
      </c>
      <c r="M1197" s="65" t="str">
        <f t="shared" ca="1" si="92"/>
        <v/>
      </c>
      <c r="N1197" s="74" t="str">
        <f>IF($C1197="","",IF($C1197="TANIMSIZ MÜŞTERİ","—",INDEX(MUSTERILER!$C$7:$C$156,MATCH($C1197,MUSTERILER!$B$7:$B$156,0))))</f>
        <v/>
      </c>
      <c r="O1197" s="2"/>
      <c r="P1197" s="2"/>
      <c r="Q1197" s="1" t="str">
        <f>IF($D1197="","",$C1197&amp;"|"&amp;COUNTIFS($C$7:$C1197,$C1197))</f>
        <v/>
      </c>
      <c r="R1197" s="1" t="str">
        <f t="shared" si="93"/>
        <v/>
      </c>
      <c r="S1197" s="1" t="str">
        <f t="shared" si="94"/>
        <v/>
      </c>
      <c r="T1197" s="1">
        <f>IF($E1197="",0,SUMPRODUCT((AY_SONU!$O$7:$O$42="Evet")*(AY_SONU!$B$7:$B$42=DATE(YEAR($E1197),MONTH($E1197),1))))</f>
        <v>0</v>
      </c>
    </row>
    <row r="1198" spans="1:20" ht="18" customHeight="1" x14ac:dyDescent="0.3">
      <c r="A1198" s="2"/>
      <c r="B1198" s="65" t="str">
        <f t="shared" si="90"/>
        <v/>
      </c>
      <c r="C1198" s="65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66"/>
      <c r="F1198" s="67"/>
      <c r="G1198" s="60"/>
      <c r="H1198" s="60"/>
      <c r="I1198" s="61"/>
      <c r="J1198" s="61"/>
      <c r="K1198" s="61"/>
      <c r="L1198" s="73" t="str">
        <f t="shared" si="91"/>
        <v/>
      </c>
      <c r="M1198" s="65" t="str">
        <f t="shared" ca="1" si="92"/>
        <v/>
      </c>
      <c r="N1198" s="74" t="str">
        <f>IF($C1198="","",IF($C1198="TANIMSIZ MÜŞTERİ","—",INDEX(MUSTERILER!$C$7:$C$156,MATCH($C1198,MUSTERILER!$B$7:$B$156,0))))</f>
        <v/>
      </c>
      <c r="O1198" s="2"/>
      <c r="P1198" s="2"/>
      <c r="Q1198" s="1" t="str">
        <f>IF($D1198="","",$C1198&amp;"|"&amp;COUNTIFS($C$7:$C1198,$C1198))</f>
        <v/>
      </c>
      <c r="R1198" s="1" t="str">
        <f t="shared" si="93"/>
        <v/>
      </c>
      <c r="S1198" s="1" t="str">
        <f t="shared" si="94"/>
        <v/>
      </c>
      <c r="T1198" s="1">
        <f>IF($E1198="",0,SUMPRODUCT((AY_SONU!$O$7:$O$42="Evet")*(AY_SONU!$B$7:$B$42=DATE(YEAR($E1198),MONTH($E1198),1))))</f>
        <v>0</v>
      </c>
    </row>
    <row r="1199" spans="1:20" ht="18" customHeight="1" x14ac:dyDescent="0.3">
      <c r="A1199" s="2"/>
      <c r="B1199" s="65" t="str">
        <f t="shared" si="90"/>
        <v/>
      </c>
      <c r="C1199" s="65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66"/>
      <c r="F1199" s="67"/>
      <c r="G1199" s="60"/>
      <c r="H1199" s="60"/>
      <c r="I1199" s="61"/>
      <c r="J1199" s="61"/>
      <c r="K1199" s="61"/>
      <c r="L1199" s="73" t="str">
        <f t="shared" si="91"/>
        <v/>
      </c>
      <c r="M1199" s="65" t="str">
        <f t="shared" ca="1" si="92"/>
        <v/>
      </c>
      <c r="N1199" s="74" t="str">
        <f>IF($C1199="","",IF($C1199="TANIMSIZ MÜŞTERİ","—",INDEX(MUSTERILER!$C$7:$C$156,MATCH($C1199,MUSTERILER!$B$7:$B$156,0))))</f>
        <v/>
      </c>
      <c r="O1199" s="2"/>
      <c r="P1199" s="2"/>
      <c r="Q1199" s="1" t="str">
        <f>IF($D1199="","",$C1199&amp;"|"&amp;COUNTIFS($C$7:$C1199,$C1199))</f>
        <v/>
      </c>
      <c r="R1199" s="1" t="str">
        <f t="shared" si="93"/>
        <v/>
      </c>
      <c r="S1199" s="1" t="str">
        <f t="shared" si="94"/>
        <v/>
      </c>
      <c r="T1199" s="1">
        <f>IF($E1199="",0,SUMPRODUCT((AY_SONU!$O$7:$O$42="Evet")*(AY_SONU!$B$7:$B$42=DATE(YEAR($E1199),MONTH($E1199),1))))</f>
        <v>0</v>
      </c>
    </row>
    <row r="1200" spans="1:20" ht="18" customHeight="1" x14ac:dyDescent="0.3">
      <c r="A1200" s="2"/>
      <c r="B1200" s="65" t="str">
        <f t="shared" si="90"/>
        <v/>
      </c>
      <c r="C1200" s="65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66"/>
      <c r="F1200" s="67"/>
      <c r="G1200" s="60"/>
      <c r="H1200" s="60"/>
      <c r="I1200" s="61"/>
      <c r="J1200" s="61"/>
      <c r="K1200" s="61"/>
      <c r="L1200" s="73" t="str">
        <f t="shared" si="91"/>
        <v/>
      </c>
      <c r="M1200" s="65" t="str">
        <f t="shared" ca="1" si="92"/>
        <v/>
      </c>
      <c r="N1200" s="74" t="str">
        <f>IF($C1200="","",IF($C1200="TANIMSIZ MÜŞTERİ","—",INDEX(MUSTERILER!$C$7:$C$156,MATCH($C1200,MUSTERILER!$B$7:$B$156,0))))</f>
        <v/>
      </c>
      <c r="O1200" s="2"/>
      <c r="P1200" s="2"/>
      <c r="Q1200" s="1" t="str">
        <f>IF($D1200="","",$C1200&amp;"|"&amp;COUNTIFS($C$7:$C1200,$C1200))</f>
        <v/>
      </c>
      <c r="R1200" s="1" t="str">
        <f t="shared" si="93"/>
        <v/>
      </c>
      <c r="S1200" s="1" t="str">
        <f t="shared" si="94"/>
        <v/>
      </c>
      <c r="T1200" s="1">
        <f>IF($E1200="",0,SUMPRODUCT((AY_SONU!$O$7:$O$42="Evet")*(AY_SONU!$B$7:$B$42=DATE(YEAR($E1200),MONTH($E1200),1))))</f>
        <v>0</v>
      </c>
    </row>
    <row r="1201" spans="1:20" ht="18" customHeight="1" x14ac:dyDescent="0.3">
      <c r="A1201" s="2"/>
      <c r="B1201" s="65" t="str">
        <f t="shared" si="90"/>
        <v/>
      </c>
      <c r="C1201" s="65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66"/>
      <c r="F1201" s="67"/>
      <c r="G1201" s="60"/>
      <c r="H1201" s="60"/>
      <c r="I1201" s="61"/>
      <c r="J1201" s="61"/>
      <c r="K1201" s="61"/>
      <c r="L1201" s="73" t="str">
        <f t="shared" si="91"/>
        <v/>
      </c>
      <c r="M1201" s="65" t="str">
        <f t="shared" ca="1" si="92"/>
        <v/>
      </c>
      <c r="N1201" s="74" t="str">
        <f>IF($C1201="","",IF($C1201="TANIMSIZ MÜŞTERİ","—",INDEX(MUSTERILER!$C$7:$C$156,MATCH($C1201,MUSTERILER!$B$7:$B$156,0))))</f>
        <v/>
      </c>
      <c r="O1201" s="2"/>
      <c r="P1201" s="2"/>
      <c r="Q1201" s="1" t="str">
        <f>IF($D1201="","",$C1201&amp;"|"&amp;COUNTIFS($C$7:$C1201,$C1201))</f>
        <v/>
      </c>
      <c r="R1201" s="1" t="str">
        <f t="shared" si="93"/>
        <v/>
      </c>
      <c r="S1201" s="1" t="str">
        <f t="shared" si="94"/>
        <v/>
      </c>
      <c r="T1201" s="1">
        <f>IF($E1201="",0,SUMPRODUCT((AY_SONU!$O$7:$O$42="Evet")*(AY_SONU!$B$7:$B$42=DATE(YEAR($E1201),MONTH($E1201),1))))</f>
        <v>0</v>
      </c>
    </row>
    <row r="1202" spans="1:20" ht="18" customHeight="1" x14ac:dyDescent="0.3">
      <c r="A1202" s="2"/>
      <c r="B1202" s="65" t="str">
        <f t="shared" si="90"/>
        <v/>
      </c>
      <c r="C1202" s="65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66"/>
      <c r="F1202" s="67"/>
      <c r="G1202" s="60"/>
      <c r="H1202" s="60"/>
      <c r="I1202" s="61"/>
      <c r="J1202" s="61"/>
      <c r="K1202" s="61"/>
      <c r="L1202" s="73" t="str">
        <f t="shared" si="91"/>
        <v/>
      </c>
      <c r="M1202" s="65" t="str">
        <f t="shared" ca="1" si="92"/>
        <v/>
      </c>
      <c r="N1202" s="74" t="str">
        <f>IF($C1202="","",IF($C1202="TANIMSIZ MÜŞTERİ","—",INDEX(MUSTERILER!$C$7:$C$156,MATCH($C1202,MUSTERILER!$B$7:$B$156,0))))</f>
        <v/>
      </c>
      <c r="O1202" s="2"/>
      <c r="P1202" s="2"/>
      <c r="Q1202" s="1" t="str">
        <f>IF($D1202="","",$C1202&amp;"|"&amp;COUNTIFS($C$7:$C1202,$C1202))</f>
        <v/>
      </c>
      <c r="R1202" s="1" t="str">
        <f t="shared" si="93"/>
        <v/>
      </c>
      <c r="S1202" s="1" t="str">
        <f t="shared" si="94"/>
        <v/>
      </c>
      <c r="T1202" s="1">
        <f>IF($E1202="",0,SUMPRODUCT((AY_SONU!$O$7:$O$42="Evet")*(AY_SONU!$B$7:$B$42=DATE(YEAR($E1202),MONTH($E1202),1))))</f>
        <v>0</v>
      </c>
    </row>
    <row r="1203" spans="1:20" ht="18" customHeight="1" x14ac:dyDescent="0.3">
      <c r="A1203" s="2"/>
      <c r="B1203" s="65" t="str">
        <f t="shared" si="90"/>
        <v/>
      </c>
      <c r="C1203" s="65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66"/>
      <c r="F1203" s="67"/>
      <c r="G1203" s="60"/>
      <c r="H1203" s="60"/>
      <c r="I1203" s="61"/>
      <c r="J1203" s="61"/>
      <c r="K1203" s="61"/>
      <c r="L1203" s="73" t="str">
        <f t="shared" si="91"/>
        <v/>
      </c>
      <c r="M1203" s="65" t="str">
        <f t="shared" ca="1" si="92"/>
        <v/>
      </c>
      <c r="N1203" s="74" t="str">
        <f>IF($C1203="","",IF($C1203="TANIMSIZ MÜŞTERİ","—",INDEX(MUSTERILER!$C$7:$C$156,MATCH($C1203,MUSTERILER!$B$7:$B$156,0))))</f>
        <v/>
      </c>
      <c r="O1203" s="2"/>
      <c r="P1203" s="2"/>
      <c r="Q1203" s="1" t="str">
        <f>IF($D1203="","",$C1203&amp;"|"&amp;COUNTIFS($C$7:$C1203,$C1203))</f>
        <v/>
      </c>
      <c r="R1203" s="1" t="str">
        <f t="shared" si="93"/>
        <v/>
      </c>
      <c r="S1203" s="1" t="str">
        <f t="shared" si="94"/>
        <v/>
      </c>
      <c r="T1203" s="1">
        <f>IF($E1203="",0,SUMPRODUCT((AY_SONU!$O$7:$O$42="Evet")*(AY_SONU!$B$7:$B$42=DATE(YEAR($E1203),MONTH($E1203),1))))</f>
        <v>0</v>
      </c>
    </row>
    <row r="1204" spans="1:20" ht="18" customHeight="1" x14ac:dyDescent="0.3">
      <c r="A1204" s="2"/>
      <c r="B1204" s="65" t="str">
        <f t="shared" si="90"/>
        <v/>
      </c>
      <c r="C1204" s="65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66"/>
      <c r="F1204" s="67"/>
      <c r="G1204" s="60"/>
      <c r="H1204" s="60"/>
      <c r="I1204" s="61"/>
      <c r="J1204" s="61"/>
      <c r="K1204" s="61"/>
      <c r="L1204" s="73" t="str">
        <f t="shared" si="91"/>
        <v/>
      </c>
      <c r="M1204" s="65" t="str">
        <f t="shared" ca="1" si="92"/>
        <v/>
      </c>
      <c r="N1204" s="74" t="str">
        <f>IF($C1204="","",IF($C1204="TANIMSIZ MÜŞTERİ","—",INDEX(MUSTERILER!$C$7:$C$156,MATCH($C1204,MUSTERILER!$B$7:$B$156,0))))</f>
        <v/>
      </c>
      <c r="O1204" s="2"/>
      <c r="P1204" s="2"/>
      <c r="Q1204" s="1" t="str">
        <f>IF($D1204="","",$C1204&amp;"|"&amp;COUNTIFS($C$7:$C1204,$C1204))</f>
        <v/>
      </c>
      <c r="R1204" s="1" t="str">
        <f t="shared" si="93"/>
        <v/>
      </c>
      <c r="S1204" s="1" t="str">
        <f t="shared" si="94"/>
        <v/>
      </c>
      <c r="T1204" s="1">
        <f>IF($E1204="",0,SUMPRODUCT((AY_SONU!$O$7:$O$42="Evet")*(AY_SONU!$B$7:$B$42=DATE(YEAR($E1204),MONTH($E1204),1))))</f>
        <v>0</v>
      </c>
    </row>
    <row r="1205" spans="1:20" ht="18" customHeight="1" x14ac:dyDescent="0.3">
      <c r="A1205" s="2"/>
      <c r="B1205" s="65" t="str">
        <f t="shared" si="90"/>
        <v/>
      </c>
      <c r="C1205" s="65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66"/>
      <c r="F1205" s="67"/>
      <c r="G1205" s="60"/>
      <c r="H1205" s="60"/>
      <c r="I1205" s="61"/>
      <c r="J1205" s="61"/>
      <c r="K1205" s="61"/>
      <c r="L1205" s="73" t="str">
        <f t="shared" si="91"/>
        <v/>
      </c>
      <c r="M1205" s="65" t="str">
        <f t="shared" ca="1" si="92"/>
        <v/>
      </c>
      <c r="N1205" s="74" t="str">
        <f>IF($C1205="","",IF($C1205="TANIMSIZ MÜŞTERİ","—",INDEX(MUSTERILER!$C$7:$C$156,MATCH($C1205,MUSTERILER!$B$7:$B$156,0))))</f>
        <v/>
      </c>
      <c r="O1205" s="2"/>
      <c r="P1205" s="2"/>
      <c r="Q1205" s="1" t="str">
        <f>IF($D1205="","",$C1205&amp;"|"&amp;COUNTIFS($C$7:$C1205,$C1205))</f>
        <v/>
      </c>
      <c r="R1205" s="1" t="str">
        <f t="shared" si="93"/>
        <v/>
      </c>
      <c r="S1205" s="1" t="str">
        <f t="shared" si="94"/>
        <v/>
      </c>
      <c r="T1205" s="1">
        <f>IF($E1205="",0,SUMPRODUCT((AY_SONU!$O$7:$O$42="Evet")*(AY_SONU!$B$7:$B$42=DATE(YEAR($E1205),MONTH($E1205),1))))</f>
        <v>0</v>
      </c>
    </row>
    <row r="1206" spans="1:20" ht="18" customHeight="1" x14ac:dyDescent="0.3">
      <c r="A1206" s="2"/>
      <c r="B1206" s="65" t="str">
        <f t="shared" si="90"/>
        <v/>
      </c>
      <c r="C1206" s="65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66"/>
      <c r="F1206" s="67"/>
      <c r="G1206" s="60"/>
      <c r="H1206" s="60"/>
      <c r="I1206" s="61"/>
      <c r="J1206" s="61"/>
      <c r="K1206" s="61"/>
      <c r="L1206" s="73" t="str">
        <f t="shared" si="91"/>
        <v/>
      </c>
      <c r="M1206" s="65" t="str">
        <f t="shared" ca="1" si="92"/>
        <v/>
      </c>
      <c r="N1206" s="74" t="str">
        <f>IF($C1206="","",IF($C1206="TANIMSIZ MÜŞTERİ","—",INDEX(MUSTERILER!$C$7:$C$156,MATCH($C1206,MUSTERILER!$B$7:$B$156,0))))</f>
        <v/>
      </c>
      <c r="O1206" s="2"/>
      <c r="P1206" s="2"/>
      <c r="Q1206" s="1" t="str">
        <f>IF($D1206="","",$C1206&amp;"|"&amp;COUNTIFS($C$7:$C1206,$C1206))</f>
        <v/>
      </c>
      <c r="R1206" s="1" t="str">
        <f t="shared" si="93"/>
        <v/>
      </c>
      <c r="S1206" s="1" t="str">
        <f t="shared" si="94"/>
        <v/>
      </c>
      <c r="T1206" s="1">
        <f>IF($E1206="",0,SUMPRODUCT((AY_SONU!$O$7:$O$42="Evet")*(AY_SONU!$B$7:$B$42=DATE(YEAR($E1206),MONTH($E1206),1))))</f>
        <v>0</v>
      </c>
    </row>
    <row r="1207" spans="1:20" ht="18" customHeight="1" x14ac:dyDescent="0.3">
      <c r="A1207" s="2"/>
      <c r="B1207" s="65" t="str">
        <f t="shared" si="90"/>
        <v/>
      </c>
      <c r="C1207" s="65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66"/>
      <c r="F1207" s="67"/>
      <c r="G1207" s="60"/>
      <c r="H1207" s="60"/>
      <c r="I1207" s="61"/>
      <c r="J1207" s="61"/>
      <c r="K1207" s="61"/>
      <c r="L1207" s="73" t="str">
        <f t="shared" si="91"/>
        <v/>
      </c>
      <c r="M1207" s="65" t="str">
        <f t="shared" ca="1" si="92"/>
        <v/>
      </c>
      <c r="N1207" s="74" t="str">
        <f>IF($C1207="","",IF($C1207="TANIMSIZ MÜŞTERİ","—",INDEX(MUSTERILER!$C$7:$C$156,MATCH($C1207,MUSTERILER!$B$7:$B$156,0))))</f>
        <v/>
      </c>
      <c r="O1207" s="2"/>
      <c r="P1207" s="2"/>
      <c r="Q1207" s="1" t="str">
        <f>IF($D1207="","",$C1207&amp;"|"&amp;COUNTIFS($C$7:$C1207,$C1207))</f>
        <v/>
      </c>
      <c r="R1207" s="1" t="str">
        <f t="shared" si="93"/>
        <v/>
      </c>
      <c r="S1207" s="1" t="str">
        <f t="shared" si="94"/>
        <v/>
      </c>
      <c r="T1207" s="1">
        <f>IF($E1207="",0,SUMPRODUCT((AY_SONU!$O$7:$O$42="Evet")*(AY_SONU!$B$7:$B$42=DATE(YEAR($E1207),MONTH($E1207),1))))</f>
        <v>0</v>
      </c>
    </row>
    <row r="1208" spans="1:20" ht="18" customHeight="1" x14ac:dyDescent="0.3">
      <c r="A1208" s="2"/>
      <c r="B1208" s="65" t="str">
        <f t="shared" si="90"/>
        <v/>
      </c>
      <c r="C1208" s="65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66"/>
      <c r="F1208" s="67"/>
      <c r="G1208" s="60"/>
      <c r="H1208" s="60"/>
      <c r="I1208" s="61"/>
      <c r="J1208" s="61"/>
      <c r="K1208" s="61"/>
      <c r="L1208" s="73" t="str">
        <f t="shared" si="91"/>
        <v/>
      </c>
      <c r="M1208" s="65" t="str">
        <f t="shared" ca="1" si="92"/>
        <v/>
      </c>
      <c r="N1208" s="74" t="str">
        <f>IF($C1208="","",IF($C1208="TANIMSIZ MÜŞTERİ","—",INDEX(MUSTERILER!$C$7:$C$156,MATCH($C1208,MUSTERILER!$B$7:$B$156,0))))</f>
        <v/>
      </c>
      <c r="O1208" s="2"/>
      <c r="P1208" s="2"/>
      <c r="Q1208" s="1" t="str">
        <f>IF($D1208="","",$C1208&amp;"|"&amp;COUNTIFS($C$7:$C1208,$C1208))</f>
        <v/>
      </c>
      <c r="R1208" s="1" t="str">
        <f t="shared" si="93"/>
        <v/>
      </c>
      <c r="S1208" s="1" t="str">
        <f t="shared" si="94"/>
        <v/>
      </c>
      <c r="T1208" s="1">
        <f>IF($E1208="",0,SUMPRODUCT((AY_SONU!$O$7:$O$42="Evet")*(AY_SONU!$B$7:$B$42=DATE(YEAR($E1208),MONTH($E1208),1))))</f>
        <v>0</v>
      </c>
    </row>
    <row r="1209" spans="1:20" ht="18" customHeight="1" x14ac:dyDescent="0.3">
      <c r="A1209" s="2"/>
      <c r="B1209" s="65" t="str">
        <f t="shared" si="90"/>
        <v/>
      </c>
      <c r="C1209" s="65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66"/>
      <c r="F1209" s="67"/>
      <c r="G1209" s="60"/>
      <c r="H1209" s="60"/>
      <c r="I1209" s="61"/>
      <c r="J1209" s="61"/>
      <c r="K1209" s="61"/>
      <c r="L1209" s="73" t="str">
        <f t="shared" si="91"/>
        <v/>
      </c>
      <c r="M1209" s="65" t="str">
        <f t="shared" ca="1" si="92"/>
        <v/>
      </c>
      <c r="N1209" s="74" t="str">
        <f>IF($C1209="","",IF($C1209="TANIMSIZ MÜŞTERİ","—",INDEX(MUSTERILER!$C$7:$C$156,MATCH($C1209,MUSTERILER!$B$7:$B$156,0))))</f>
        <v/>
      </c>
      <c r="O1209" s="2"/>
      <c r="P1209" s="2"/>
      <c r="Q1209" s="1" t="str">
        <f>IF($D1209="","",$C1209&amp;"|"&amp;COUNTIFS($C$7:$C1209,$C1209))</f>
        <v/>
      </c>
      <c r="R1209" s="1" t="str">
        <f t="shared" si="93"/>
        <v/>
      </c>
      <c r="S1209" s="1" t="str">
        <f t="shared" si="94"/>
        <v/>
      </c>
      <c r="T1209" s="1">
        <f>IF($E1209="",0,SUMPRODUCT((AY_SONU!$O$7:$O$42="Evet")*(AY_SONU!$B$7:$B$42=DATE(YEAR($E1209),MONTH($E1209),1))))</f>
        <v>0</v>
      </c>
    </row>
    <row r="1210" spans="1:20" ht="18" customHeight="1" x14ac:dyDescent="0.3">
      <c r="A1210" s="2"/>
      <c r="B1210" s="65" t="str">
        <f t="shared" si="90"/>
        <v/>
      </c>
      <c r="C1210" s="65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66"/>
      <c r="F1210" s="67"/>
      <c r="G1210" s="60"/>
      <c r="H1210" s="60"/>
      <c r="I1210" s="61"/>
      <c r="J1210" s="61"/>
      <c r="K1210" s="61"/>
      <c r="L1210" s="73" t="str">
        <f t="shared" si="91"/>
        <v/>
      </c>
      <c r="M1210" s="65" t="str">
        <f t="shared" ca="1" si="92"/>
        <v/>
      </c>
      <c r="N1210" s="74" t="str">
        <f>IF($C1210="","",IF($C1210="TANIMSIZ MÜŞTERİ","—",INDEX(MUSTERILER!$C$7:$C$156,MATCH($C1210,MUSTERILER!$B$7:$B$156,0))))</f>
        <v/>
      </c>
      <c r="O1210" s="2"/>
      <c r="P1210" s="2"/>
      <c r="Q1210" s="1" t="str">
        <f>IF($D1210="","",$C1210&amp;"|"&amp;COUNTIFS($C$7:$C1210,$C1210))</f>
        <v/>
      </c>
      <c r="R1210" s="1" t="str">
        <f t="shared" si="93"/>
        <v/>
      </c>
      <c r="S1210" s="1" t="str">
        <f t="shared" si="94"/>
        <v/>
      </c>
      <c r="T1210" s="1">
        <f>IF($E1210="",0,SUMPRODUCT((AY_SONU!$O$7:$O$42="Evet")*(AY_SONU!$B$7:$B$42=DATE(YEAR($E1210),MONTH($E1210),1))))</f>
        <v>0</v>
      </c>
    </row>
    <row r="1211" spans="1:20" ht="18" customHeight="1" x14ac:dyDescent="0.3">
      <c r="A1211" s="2"/>
      <c r="B1211" s="65" t="str">
        <f t="shared" si="90"/>
        <v/>
      </c>
      <c r="C1211" s="65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66"/>
      <c r="F1211" s="67"/>
      <c r="G1211" s="60"/>
      <c r="H1211" s="60"/>
      <c r="I1211" s="61"/>
      <c r="J1211" s="61"/>
      <c r="K1211" s="61"/>
      <c r="L1211" s="73" t="str">
        <f t="shared" si="91"/>
        <v/>
      </c>
      <c r="M1211" s="65" t="str">
        <f t="shared" ca="1" si="92"/>
        <v/>
      </c>
      <c r="N1211" s="74" t="str">
        <f>IF($C1211="","",IF($C1211="TANIMSIZ MÜŞTERİ","—",INDEX(MUSTERILER!$C$7:$C$156,MATCH($C1211,MUSTERILER!$B$7:$B$156,0))))</f>
        <v/>
      </c>
      <c r="O1211" s="2"/>
      <c r="P1211" s="2"/>
      <c r="Q1211" s="1" t="str">
        <f>IF($D1211="","",$C1211&amp;"|"&amp;COUNTIFS($C$7:$C1211,$C1211))</f>
        <v/>
      </c>
      <c r="R1211" s="1" t="str">
        <f t="shared" si="93"/>
        <v/>
      </c>
      <c r="S1211" s="1" t="str">
        <f t="shared" si="94"/>
        <v/>
      </c>
      <c r="T1211" s="1">
        <f>IF($E1211="",0,SUMPRODUCT((AY_SONU!$O$7:$O$42="Evet")*(AY_SONU!$B$7:$B$42=DATE(YEAR($E1211),MONTH($E1211),1))))</f>
        <v>0</v>
      </c>
    </row>
    <row r="1212" spans="1:20" ht="18" customHeight="1" x14ac:dyDescent="0.3">
      <c r="A1212" s="2"/>
      <c r="B1212" s="65" t="str">
        <f t="shared" si="90"/>
        <v/>
      </c>
      <c r="C1212" s="65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66"/>
      <c r="F1212" s="67"/>
      <c r="G1212" s="60"/>
      <c r="H1212" s="60"/>
      <c r="I1212" s="61"/>
      <c r="J1212" s="61"/>
      <c r="K1212" s="61"/>
      <c r="L1212" s="73" t="str">
        <f t="shared" si="91"/>
        <v/>
      </c>
      <c r="M1212" s="65" t="str">
        <f t="shared" ca="1" si="92"/>
        <v/>
      </c>
      <c r="N1212" s="74" t="str">
        <f>IF($C1212="","",IF($C1212="TANIMSIZ MÜŞTERİ","—",INDEX(MUSTERILER!$C$7:$C$156,MATCH($C1212,MUSTERILER!$B$7:$B$156,0))))</f>
        <v/>
      </c>
      <c r="O1212" s="2"/>
      <c r="P1212" s="2"/>
      <c r="Q1212" s="1" t="str">
        <f>IF($D1212="","",$C1212&amp;"|"&amp;COUNTIFS($C$7:$C1212,$C1212))</f>
        <v/>
      </c>
      <c r="R1212" s="1" t="str">
        <f t="shared" si="93"/>
        <v/>
      </c>
      <c r="S1212" s="1" t="str">
        <f t="shared" si="94"/>
        <v/>
      </c>
      <c r="T1212" s="1">
        <f>IF($E1212="",0,SUMPRODUCT((AY_SONU!$O$7:$O$42="Evet")*(AY_SONU!$B$7:$B$42=DATE(YEAR($E1212),MONTH($E1212),1))))</f>
        <v>0</v>
      </c>
    </row>
    <row r="1213" spans="1:20" ht="18" customHeight="1" x14ac:dyDescent="0.3">
      <c r="A1213" s="2"/>
      <c r="B1213" s="65" t="str">
        <f t="shared" si="90"/>
        <v/>
      </c>
      <c r="C1213" s="65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66"/>
      <c r="F1213" s="67"/>
      <c r="G1213" s="60"/>
      <c r="H1213" s="60"/>
      <c r="I1213" s="61"/>
      <c r="J1213" s="61"/>
      <c r="K1213" s="61"/>
      <c r="L1213" s="73" t="str">
        <f t="shared" si="91"/>
        <v/>
      </c>
      <c r="M1213" s="65" t="str">
        <f t="shared" ca="1" si="92"/>
        <v/>
      </c>
      <c r="N1213" s="74" t="str">
        <f>IF($C1213="","",IF($C1213="TANIMSIZ MÜŞTERİ","—",INDEX(MUSTERILER!$C$7:$C$156,MATCH($C1213,MUSTERILER!$B$7:$B$156,0))))</f>
        <v/>
      </c>
      <c r="O1213" s="2"/>
      <c r="P1213" s="2"/>
      <c r="Q1213" s="1" t="str">
        <f>IF($D1213="","",$C1213&amp;"|"&amp;COUNTIFS($C$7:$C1213,$C1213))</f>
        <v/>
      </c>
      <c r="R1213" s="1" t="str">
        <f t="shared" si="93"/>
        <v/>
      </c>
      <c r="S1213" s="1" t="str">
        <f t="shared" si="94"/>
        <v/>
      </c>
      <c r="T1213" s="1">
        <f>IF($E1213="",0,SUMPRODUCT((AY_SONU!$O$7:$O$42="Evet")*(AY_SONU!$B$7:$B$42=DATE(YEAR($E1213),MONTH($E1213),1))))</f>
        <v>0</v>
      </c>
    </row>
    <row r="1214" spans="1:20" ht="18" customHeight="1" x14ac:dyDescent="0.3">
      <c r="A1214" s="2"/>
      <c r="B1214" s="65" t="str">
        <f t="shared" si="90"/>
        <v/>
      </c>
      <c r="C1214" s="65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66"/>
      <c r="F1214" s="67"/>
      <c r="G1214" s="60"/>
      <c r="H1214" s="60"/>
      <c r="I1214" s="61"/>
      <c r="J1214" s="61"/>
      <c r="K1214" s="61"/>
      <c r="L1214" s="73" t="str">
        <f t="shared" si="91"/>
        <v/>
      </c>
      <c r="M1214" s="65" t="str">
        <f t="shared" ca="1" si="92"/>
        <v/>
      </c>
      <c r="N1214" s="74" t="str">
        <f>IF($C1214="","",IF($C1214="TANIMSIZ MÜŞTERİ","—",INDEX(MUSTERILER!$C$7:$C$156,MATCH($C1214,MUSTERILER!$B$7:$B$156,0))))</f>
        <v/>
      </c>
      <c r="O1214" s="2"/>
      <c r="P1214" s="2"/>
      <c r="Q1214" s="1" t="str">
        <f>IF($D1214="","",$C1214&amp;"|"&amp;COUNTIFS($C$7:$C1214,$C1214))</f>
        <v/>
      </c>
      <c r="R1214" s="1" t="str">
        <f t="shared" si="93"/>
        <v/>
      </c>
      <c r="S1214" s="1" t="str">
        <f t="shared" si="94"/>
        <v/>
      </c>
      <c r="T1214" s="1">
        <f>IF($E1214="",0,SUMPRODUCT((AY_SONU!$O$7:$O$42="Evet")*(AY_SONU!$B$7:$B$42=DATE(YEAR($E1214),MONTH($E1214),1))))</f>
        <v>0</v>
      </c>
    </row>
    <row r="1215" spans="1:20" ht="18" customHeight="1" x14ac:dyDescent="0.3">
      <c r="A1215" s="2"/>
      <c r="B1215" s="65" t="str">
        <f t="shared" si="90"/>
        <v/>
      </c>
      <c r="C1215" s="65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66"/>
      <c r="F1215" s="67"/>
      <c r="G1215" s="60"/>
      <c r="H1215" s="60"/>
      <c r="I1215" s="61"/>
      <c r="J1215" s="61"/>
      <c r="K1215" s="61"/>
      <c r="L1215" s="73" t="str">
        <f t="shared" si="91"/>
        <v/>
      </c>
      <c r="M1215" s="65" t="str">
        <f t="shared" ca="1" si="92"/>
        <v/>
      </c>
      <c r="N1215" s="74" t="str">
        <f>IF($C1215="","",IF($C1215="TANIMSIZ MÜŞTERİ","—",INDEX(MUSTERILER!$C$7:$C$156,MATCH($C1215,MUSTERILER!$B$7:$B$156,0))))</f>
        <v/>
      </c>
      <c r="O1215" s="2"/>
      <c r="P1215" s="2"/>
      <c r="Q1215" s="1" t="str">
        <f>IF($D1215="","",$C1215&amp;"|"&amp;COUNTIFS($C$7:$C1215,$C1215))</f>
        <v/>
      </c>
      <c r="R1215" s="1" t="str">
        <f t="shared" si="93"/>
        <v/>
      </c>
      <c r="S1215" s="1" t="str">
        <f t="shared" si="94"/>
        <v/>
      </c>
      <c r="T1215" s="1">
        <f>IF($E1215="",0,SUMPRODUCT((AY_SONU!$O$7:$O$42="Evet")*(AY_SONU!$B$7:$B$42=DATE(YEAR($E1215),MONTH($E1215),1))))</f>
        <v>0</v>
      </c>
    </row>
    <row r="1216" spans="1:20" ht="18" customHeight="1" x14ac:dyDescent="0.3">
      <c r="A1216" s="2"/>
      <c r="B1216" s="65" t="str">
        <f t="shared" si="90"/>
        <v/>
      </c>
      <c r="C1216" s="65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66"/>
      <c r="F1216" s="67"/>
      <c r="G1216" s="60"/>
      <c r="H1216" s="60"/>
      <c r="I1216" s="61"/>
      <c r="J1216" s="61"/>
      <c r="K1216" s="61"/>
      <c r="L1216" s="73" t="str">
        <f t="shared" si="91"/>
        <v/>
      </c>
      <c r="M1216" s="65" t="str">
        <f t="shared" ca="1" si="92"/>
        <v/>
      </c>
      <c r="N1216" s="74" t="str">
        <f>IF($C1216="","",IF($C1216="TANIMSIZ MÜŞTERİ","—",INDEX(MUSTERILER!$C$7:$C$156,MATCH($C1216,MUSTERILER!$B$7:$B$156,0))))</f>
        <v/>
      </c>
      <c r="O1216" s="2"/>
      <c r="P1216" s="2"/>
      <c r="Q1216" s="1" t="str">
        <f>IF($D1216="","",$C1216&amp;"|"&amp;COUNTIFS($C$7:$C1216,$C1216))</f>
        <v/>
      </c>
      <c r="R1216" s="1" t="str">
        <f t="shared" si="93"/>
        <v/>
      </c>
      <c r="S1216" s="1" t="str">
        <f t="shared" si="94"/>
        <v/>
      </c>
      <c r="T1216" s="1">
        <f>IF($E1216="",0,SUMPRODUCT((AY_SONU!$O$7:$O$42="Evet")*(AY_SONU!$B$7:$B$42=DATE(YEAR($E1216),MONTH($E1216),1))))</f>
        <v>0</v>
      </c>
    </row>
    <row r="1217" spans="1:20" ht="18" customHeight="1" x14ac:dyDescent="0.3">
      <c r="A1217" s="2"/>
      <c r="B1217" s="65" t="str">
        <f t="shared" si="90"/>
        <v/>
      </c>
      <c r="C1217" s="65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66"/>
      <c r="F1217" s="67"/>
      <c r="G1217" s="60"/>
      <c r="H1217" s="60"/>
      <c r="I1217" s="61"/>
      <c r="J1217" s="61"/>
      <c r="K1217" s="61"/>
      <c r="L1217" s="73" t="str">
        <f t="shared" si="91"/>
        <v/>
      </c>
      <c r="M1217" s="65" t="str">
        <f t="shared" ca="1" si="92"/>
        <v/>
      </c>
      <c r="N1217" s="74" t="str">
        <f>IF($C1217="","",IF($C1217="TANIMSIZ MÜŞTERİ","—",INDEX(MUSTERILER!$C$7:$C$156,MATCH($C1217,MUSTERILER!$B$7:$B$156,0))))</f>
        <v/>
      </c>
      <c r="O1217" s="2"/>
      <c r="P1217" s="2"/>
      <c r="Q1217" s="1" t="str">
        <f>IF($D1217="","",$C1217&amp;"|"&amp;COUNTIFS($C$7:$C1217,$C1217))</f>
        <v/>
      </c>
      <c r="R1217" s="1" t="str">
        <f t="shared" si="93"/>
        <v/>
      </c>
      <c r="S1217" s="1" t="str">
        <f t="shared" si="94"/>
        <v/>
      </c>
      <c r="T1217" s="1">
        <f>IF($E1217="",0,SUMPRODUCT((AY_SONU!$O$7:$O$42="Evet")*(AY_SONU!$B$7:$B$42=DATE(YEAR($E1217),MONTH($E1217),1))))</f>
        <v>0</v>
      </c>
    </row>
    <row r="1218" spans="1:20" ht="18" customHeight="1" x14ac:dyDescent="0.3">
      <c r="A1218" s="2"/>
      <c r="B1218" s="65" t="str">
        <f t="shared" si="90"/>
        <v/>
      </c>
      <c r="C1218" s="65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66"/>
      <c r="F1218" s="67"/>
      <c r="G1218" s="60"/>
      <c r="H1218" s="60"/>
      <c r="I1218" s="61"/>
      <c r="J1218" s="61"/>
      <c r="K1218" s="61"/>
      <c r="L1218" s="73" t="str">
        <f t="shared" si="91"/>
        <v/>
      </c>
      <c r="M1218" s="65" t="str">
        <f t="shared" ca="1" si="92"/>
        <v/>
      </c>
      <c r="N1218" s="74" t="str">
        <f>IF($C1218="","",IF($C1218="TANIMSIZ MÜŞTERİ","—",INDEX(MUSTERILER!$C$7:$C$156,MATCH($C1218,MUSTERILER!$B$7:$B$156,0))))</f>
        <v/>
      </c>
      <c r="O1218" s="2"/>
      <c r="P1218" s="2"/>
      <c r="Q1218" s="1" t="str">
        <f>IF($D1218="","",$C1218&amp;"|"&amp;COUNTIFS($C$7:$C1218,$C1218))</f>
        <v/>
      </c>
      <c r="R1218" s="1" t="str">
        <f t="shared" si="93"/>
        <v/>
      </c>
      <c r="S1218" s="1" t="str">
        <f t="shared" si="94"/>
        <v/>
      </c>
      <c r="T1218" s="1">
        <f>IF($E1218="",0,SUMPRODUCT((AY_SONU!$O$7:$O$42="Evet")*(AY_SONU!$B$7:$B$42=DATE(YEAR($E1218),MONTH($E1218),1))))</f>
        <v>0</v>
      </c>
    </row>
    <row r="1219" spans="1:20" ht="18" customHeight="1" x14ac:dyDescent="0.3">
      <c r="A1219" s="2"/>
      <c r="B1219" s="65" t="str">
        <f t="shared" si="90"/>
        <v/>
      </c>
      <c r="C1219" s="65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66"/>
      <c r="F1219" s="67"/>
      <c r="G1219" s="60"/>
      <c r="H1219" s="60"/>
      <c r="I1219" s="61"/>
      <c r="J1219" s="61"/>
      <c r="K1219" s="61"/>
      <c r="L1219" s="73" t="str">
        <f t="shared" si="91"/>
        <v/>
      </c>
      <c r="M1219" s="65" t="str">
        <f t="shared" ca="1" si="92"/>
        <v/>
      </c>
      <c r="N1219" s="74" t="str">
        <f>IF($C1219="","",IF($C1219="TANIMSIZ MÜŞTERİ","—",INDEX(MUSTERILER!$C$7:$C$156,MATCH($C1219,MUSTERILER!$B$7:$B$156,0))))</f>
        <v/>
      </c>
      <c r="O1219" s="2"/>
      <c r="P1219" s="2"/>
      <c r="Q1219" s="1" t="str">
        <f>IF($D1219="","",$C1219&amp;"|"&amp;COUNTIFS($C$7:$C1219,$C1219))</f>
        <v/>
      </c>
      <c r="R1219" s="1" t="str">
        <f t="shared" si="93"/>
        <v/>
      </c>
      <c r="S1219" s="1" t="str">
        <f t="shared" si="94"/>
        <v/>
      </c>
      <c r="T1219" s="1">
        <f>IF($E1219="",0,SUMPRODUCT((AY_SONU!$O$7:$O$42="Evet")*(AY_SONU!$B$7:$B$42=DATE(YEAR($E1219),MONTH($E1219),1))))</f>
        <v>0</v>
      </c>
    </row>
    <row r="1220" spans="1:20" ht="18" customHeight="1" x14ac:dyDescent="0.3">
      <c r="A1220" s="2"/>
      <c r="B1220" s="65" t="str">
        <f t="shared" si="90"/>
        <v/>
      </c>
      <c r="C1220" s="65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66"/>
      <c r="F1220" s="67"/>
      <c r="G1220" s="60"/>
      <c r="H1220" s="60"/>
      <c r="I1220" s="61"/>
      <c r="J1220" s="61"/>
      <c r="K1220" s="61"/>
      <c r="L1220" s="73" t="str">
        <f t="shared" si="91"/>
        <v/>
      </c>
      <c r="M1220" s="65" t="str">
        <f t="shared" ca="1" si="92"/>
        <v/>
      </c>
      <c r="N1220" s="74" t="str">
        <f>IF($C1220="","",IF($C1220="TANIMSIZ MÜŞTERİ","—",INDEX(MUSTERILER!$C$7:$C$156,MATCH($C1220,MUSTERILER!$B$7:$B$156,0))))</f>
        <v/>
      </c>
      <c r="O1220" s="2"/>
      <c r="P1220" s="2"/>
      <c r="Q1220" s="1" t="str">
        <f>IF($D1220="","",$C1220&amp;"|"&amp;COUNTIFS($C$7:$C1220,$C1220))</f>
        <v/>
      </c>
      <c r="R1220" s="1" t="str">
        <f t="shared" si="93"/>
        <v/>
      </c>
      <c r="S1220" s="1" t="str">
        <f t="shared" si="94"/>
        <v/>
      </c>
      <c r="T1220" s="1">
        <f>IF($E1220="",0,SUMPRODUCT((AY_SONU!$O$7:$O$42="Evet")*(AY_SONU!$B$7:$B$42=DATE(YEAR($E1220),MONTH($E1220),1))))</f>
        <v>0</v>
      </c>
    </row>
    <row r="1221" spans="1:20" ht="18" customHeight="1" x14ac:dyDescent="0.3">
      <c r="A1221" s="2"/>
      <c r="B1221" s="65" t="str">
        <f t="shared" si="90"/>
        <v/>
      </c>
      <c r="C1221" s="65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66"/>
      <c r="F1221" s="67"/>
      <c r="G1221" s="60"/>
      <c r="H1221" s="60"/>
      <c r="I1221" s="61"/>
      <c r="J1221" s="61"/>
      <c r="K1221" s="61"/>
      <c r="L1221" s="73" t="str">
        <f t="shared" si="91"/>
        <v/>
      </c>
      <c r="M1221" s="65" t="str">
        <f t="shared" ca="1" si="92"/>
        <v/>
      </c>
      <c r="N1221" s="74" t="str">
        <f>IF($C1221="","",IF($C1221="TANIMSIZ MÜŞTERİ","—",INDEX(MUSTERILER!$C$7:$C$156,MATCH($C1221,MUSTERILER!$B$7:$B$156,0))))</f>
        <v/>
      </c>
      <c r="O1221" s="2"/>
      <c r="P1221" s="2"/>
      <c r="Q1221" s="1" t="str">
        <f>IF($D1221="","",$C1221&amp;"|"&amp;COUNTIFS($C$7:$C1221,$C1221))</f>
        <v/>
      </c>
      <c r="R1221" s="1" t="str">
        <f t="shared" si="93"/>
        <v/>
      </c>
      <c r="S1221" s="1" t="str">
        <f t="shared" si="94"/>
        <v/>
      </c>
      <c r="T1221" s="1">
        <f>IF($E1221="",0,SUMPRODUCT((AY_SONU!$O$7:$O$42="Evet")*(AY_SONU!$B$7:$B$42=DATE(YEAR($E1221),MONTH($E1221),1))))</f>
        <v>0</v>
      </c>
    </row>
    <row r="1222" spans="1:20" ht="18" customHeight="1" x14ac:dyDescent="0.3">
      <c r="A1222" s="2"/>
      <c r="B1222" s="65" t="str">
        <f t="shared" si="90"/>
        <v/>
      </c>
      <c r="C1222" s="65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66"/>
      <c r="F1222" s="67"/>
      <c r="G1222" s="60"/>
      <c r="H1222" s="60"/>
      <c r="I1222" s="61"/>
      <c r="J1222" s="61"/>
      <c r="K1222" s="61"/>
      <c r="L1222" s="73" t="str">
        <f t="shared" si="91"/>
        <v/>
      </c>
      <c r="M1222" s="65" t="str">
        <f t="shared" ca="1" si="92"/>
        <v/>
      </c>
      <c r="N1222" s="74" t="str">
        <f>IF($C1222="","",IF($C1222="TANIMSIZ MÜŞTERİ","—",INDEX(MUSTERILER!$C$7:$C$156,MATCH($C1222,MUSTERILER!$B$7:$B$156,0))))</f>
        <v/>
      </c>
      <c r="O1222" s="2"/>
      <c r="P1222" s="2"/>
      <c r="Q1222" s="1" t="str">
        <f>IF($D1222="","",$C1222&amp;"|"&amp;COUNTIFS($C$7:$C1222,$C1222))</f>
        <v/>
      </c>
      <c r="R1222" s="1" t="str">
        <f t="shared" si="93"/>
        <v/>
      </c>
      <c r="S1222" s="1" t="str">
        <f t="shared" si="94"/>
        <v/>
      </c>
      <c r="T1222" s="1">
        <f>IF($E1222="",0,SUMPRODUCT((AY_SONU!$O$7:$O$42="Evet")*(AY_SONU!$B$7:$B$42=DATE(YEAR($E1222),MONTH($E1222),1))))</f>
        <v>0</v>
      </c>
    </row>
    <row r="1223" spans="1:20" ht="18" customHeight="1" x14ac:dyDescent="0.3">
      <c r="A1223" s="2"/>
      <c r="B1223" s="65" t="str">
        <f t="shared" ref="B1223:B1286" si="95">IF($D1223="","","T"&amp;TEXT(ROW()-6,"00000"))</f>
        <v/>
      </c>
      <c r="C1223" s="65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66"/>
      <c r="F1223" s="67"/>
      <c r="G1223" s="60"/>
      <c r="H1223" s="60"/>
      <c r="I1223" s="61"/>
      <c r="J1223" s="61"/>
      <c r="K1223" s="61"/>
      <c r="L1223" s="73" t="str">
        <f t="shared" ref="L1223:L1286" si="96">IF($E1223="","",DATE(YEAR($E1223),MONTH($E1223),1))</f>
        <v/>
      </c>
      <c r="M1223" s="65" t="str">
        <f t="shared" ref="M1223:M1286" ca="1" si="97">IF($D1223="","",IF($C1223="TANIMSIZ MÜŞTERİ","HATA",IF(OR($E1223="",$F1223&lt;=0,$G1223=""),"EKSİK",IF($E1223&gt;TODAY(),"İLERİ TARİH",IF(COUNTIF($S$7:$S$2506,$S1223)&gt;1,"MÜKERRER?",IF($T1223&gt;0,"KAPALI DÖNEM","UYGUN"))))))</f>
        <v/>
      </c>
      <c r="N1223" s="74" t="str">
        <f>IF($C1223="","",IF($C1223="TANIMSIZ MÜŞTERİ","—",INDEX(MUSTERILER!$C$7:$C$156,MATCH($C1223,MUSTERILER!$B$7:$B$156,0))))</f>
        <v/>
      </c>
      <c r="O1223" s="2"/>
      <c r="P1223" s="2"/>
      <c r="Q1223" s="1" t="str">
        <f>IF($D1223="","",$C1223&amp;"|"&amp;COUNTIFS($C$7:$C1223,$C1223))</f>
        <v/>
      </c>
      <c r="R1223" s="1" t="str">
        <f t="shared" ref="R1223:R1286" si="9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 t="str">
        <f t="shared" ref="S1223:S1286" si="99"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>0</v>
      </c>
    </row>
    <row r="1224" spans="1:20" ht="18" customHeight="1" x14ac:dyDescent="0.3">
      <c r="A1224" s="2"/>
      <c r="B1224" s="65" t="str">
        <f t="shared" si="95"/>
        <v/>
      </c>
      <c r="C1224" s="65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66"/>
      <c r="F1224" s="67"/>
      <c r="G1224" s="60"/>
      <c r="H1224" s="60"/>
      <c r="I1224" s="61"/>
      <c r="J1224" s="61"/>
      <c r="K1224" s="61"/>
      <c r="L1224" s="73" t="str">
        <f t="shared" si="96"/>
        <v/>
      </c>
      <c r="M1224" s="65" t="str">
        <f t="shared" ca="1" si="97"/>
        <v/>
      </c>
      <c r="N1224" s="74" t="str">
        <f>IF($C1224="","",IF($C1224="TANIMSIZ MÜŞTERİ","—",INDEX(MUSTERILER!$C$7:$C$156,MATCH($C1224,MUSTERILER!$B$7:$B$156,0))))</f>
        <v/>
      </c>
      <c r="O1224" s="2"/>
      <c r="P1224" s="2"/>
      <c r="Q1224" s="1" t="str">
        <f>IF($D1224="","",$C1224&amp;"|"&amp;COUNTIFS($C$7:$C1224,$C1224))</f>
        <v/>
      </c>
      <c r="R1224" s="1" t="str">
        <f t="shared" si="98"/>
        <v/>
      </c>
      <c r="S1224" s="1" t="str">
        <f t="shared" si="99"/>
        <v/>
      </c>
      <c r="T1224" s="1">
        <f>IF($E1224="",0,SUMPRODUCT((AY_SONU!$O$7:$O$42="Evet")*(AY_SONU!$B$7:$B$42=DATE(YEAR($E1224),MONTH($E1224),1))))</f>
        <v>0</v>
      </c>
    </row>
    <row r="1225" spans="1:20" ht="18" customHeight="1" x14ac:dyDescent="0.3">
      <c r="A1225" s="2"/>
      <c r="B1225" s="65" t="str">
        <f t="shared" si="95"/>
        <v/>
      </c>
      <c r="C1225" s="65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66"/>
      <c r="F1225" s="67"/>
      <c r="G1225" s="60"/>
      <c r="H1225" s="60"/>
      <c r="I1225" s="61"/>
      <c r="J1225" s="61"/>
      <c r="K1225" s="61"/>
      <c r="L1225" s="73" t="str">
        <f t="shared" si="96"/>
        <v/>
      </c>
      <c r="M1225" s="65" t="str">
        <f t="shared" ca="1" si="97"/>
        <v/>
      </c>
      <c r="N1225" s="74" t="str">
        <f>IF($C1225="","",IF($C1225="TANIMSIZ MÜŞTERİ","—",INDEX(MUSTERILER!$C$7:$C$156,MATCH($C1225,MUSTERILER!$B$7:$B$156,0))))</f>
        <v/>
      </c>
      <c r="O1225" s="2"/>
      <c r="P1225" s="2"/>
      <c r="Q1225" s="1" t="str">
        <f>IF($D1225="","",$C1225&amp;"|"&amp;COUNTIFS($C$7:$C1225,$C1225))</f>
        <v/>
      </c>
      <c r="R1225" s="1" t="str">
        <f t="shared" si="98"/>
        <v/>
      </c>
      <c r="S1225" s="1" t="str">
        <f t="shared" si="99"/>
        <v/>
      </c>
      <c r="T1225" s="1">
        <f>IF($E1225="",0,SUMPRODUCT((AY_SONU!$O$7:$O$42="Evet")*(AY_SONU!$B$7:$B$42=DATE(YEAR($E1225),MONTH($E1225),1))))</f>
        <v>0</v>
      </c>
    </row>
    <row r="1226" spans="1:20" ht="18" customHeight="1" x14ac:dyDescent="0.3">
      <c r="A1226" s="2"/>
      <c r="B1226" s="65" t="str">
        <f t="shared" si="95"/>
        <v/>
      </c>
      <c r="C1226" s="65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66"/>
      <c r="F1226" s="67"/>
      <c r="G1226" s="60"/>
      <c r="H1226" s="60"/>
      <c r="I1226" s="61"/>
      <c r="J1226" s="61"/>
      <c r="K1226" s="61"/>
      <c r="L1226" s="73" t="str">
        <f t="shared" si="96"/>
        <v/>
      </c>
      <c r="M1226" s="65" t="str">
        <f t="shared" ca="1" si="97"/>
        <v/>
      </c>
      <c r="N1226" s="74" t="str">
        <f>IF($C1226="","",IF($C1226="TANIMSIZ MÜŞTERİ","—",INDEX(MUSTERILER!$C$7:$C$156,MATCH($C1226,MUSTERILER!$B$7:$B$156,0))))</f>
        <v/>
      </c>
      <c r="O1226" s="2"/>
      <c r="P1226" s="2"/>
      <c r="Q1226" s="1" t="str">
        <f>IF($D1226="","",$C1226&amp;"|"&amp;COUNTIFS($C$7:$C1226,$C1226))</f>
        <v/>
      </c>
      <c r="R1226" s="1" t="str">
        <f t="shared" si="98"/>
        <v/>
      </c>
      <c r="S1226" s="1" t="str">
        <f t="shared" si="99"/>
        <v/>
      </c>
      <c r="T1226" s="1">
        <f>IF($E1226="",0,SUMPRODUCT((AY_SONU!$O$7:$O$42="Evet")*(AY_SONU!$B$7:$B$42=DATE(YEAR($E1226),MONTH($E1226),1))))</f>
        <v>0</v>
      </c>
    </row>
    <row r="1227" spans="1:20" ht="18" customHeight="1" x14ac:dyDescent="0.3">
      <c r="A1227" s="2"/>
      <c r="B1227" s="65" t="str">
        <f t="shared" si="95"/>
        <v/>
      </c>
      <c r="C1227" s="65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66"/>
      <c r="F1227" s="67"/>
      <c r="G1227" s="60"/>
      <c r="H1227" s="60"/>
      <c r="I1227" s="61"/>
      <c r="J1227" s="61"/>
      <c r="K1227" s="61"/>
      <c r="L1227" s="73" t="str">
        <f t="shared" si="96"/>
        <v/>
      </c>
      <c r="M1227" s="65" t="str">
        <f t="shared" ca="1" si="97"/>
        <v/>
      </c>
      <c r="N1227" s="74" t="str">
        <f>IF($C1227="","",IF($C1227="TANIMSIZ MÜŞTERİ","—",INDEX(MUSTERILER!$C$7:$C$156,MATCH($C1227,MUSTERILER!$B$7:$B$156,0))))</f>
        <v/>
      </c>
      <c r="O1227" s="2"/>
      <c r="P1227" s="2"/>
      <c r="Q1227" s="1" t="str">
        <f>IF($D1227="","",$C1227&amp;"|"&amp;COUNTIFS($C$7:$C1227,$C1227))</f>
        <v/>
      </c>
      <c r="R1227" s="1" t="str">
        <f t="shared" si="98"/>
        <v/>
      </c>
      <c r="S1227" s="1" t="str">
        <f t="shared" si="99"/>
        <v/>
      </c>
      <c r="T1227" s="1">
        <f>IF($E1227="",0,SUMPRODUCT((AY_SONU!$O$7:$O$42="Evet")*(AY_SONU!$B$7:$B$42=DATE(YEAR($E1227),MONTH($E1227),1))))</f>
        <v>0</v>
      </c>
    </row>
    <row r="1228" spans="1:20" ht="18" customHeight="1" x14ac:dyDescent="0.3">
      <c r="A1228" s="2"/>
      <c r="B1228" s="65" t="str">
        <f t="shared" si="95"/>
        <v/>
      </c>
      <c r="C1228" s="65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66"/>
      <c r="F1228" s="67"/>
      <c r="G1228" s="60"/>
      <c r="H1228" s="60"/>
      <c r="I1228" s="61"/>
      <c r="J1228" s="61"/>
      <c r="K1228" s="61"/>
      <c r="L1228" s="73" t="str">
        <f t="shared" si="96"/>
        <v/>
      </c>
      <c r="M1228" s="65" t="str">
        <f t="shared" ca="1" si="97"/>
        <v/>
      </c>
      <c r="N1228" s="74" t="str">
        <f>IF($C1228="","",IF($C1228="TANIMSIZ MÜŞTERİ","—",INDEX(MUSTERILER!$C$7:$C$156,MATCH($C1228,MUSTERILER!$B$7:$B$156,0))))</f>
        <v/>
      </c>
      <c r="O1228" s="2"/>
      <c r="P1228" s="2"/>
      <c r="Q1228" s="1" t="str">
        <f>IF($D1228="","",$C1228&amp;"|"&amp;COUNTIFS($C$7:$C1228,$C1228))</f>
        <v/>
      </c>
      <c r="R1228" s="1" t="str">
        <f t="shared" si="98"/>
        <v/>
      </c>
      <c r="S1228" s="1" t="str">
        <f t="shared" si="99"/>
        <v/>
      </c>
      <c r="T1228" s="1">
        <f>IF($E1228="",0,SUMPRODUCT((AY_SONU!$O$7:$O$42="Evet")*(AY_SONU!$B$7:$B$42=DATE(YEAR($E1228),MONTH($E1228),1))))</f>
        <v>0</v>
      </c>
    </row>
    <row r="1229" spans="1:20" ht="18" customHeight="1" x14ac:dyDescent="0.3">
      <c r="A1229" s="2"/>
      <c r="B1229" s="65" t="str">
        <f t="shared" si="95"/>
        <v/>
      </c>
      <c r="C1229" s="65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66"/>
      <c r="F1229" s="67"/>
      <c r="G1229" s="60"/>
      <c r="H1229" s="60"/>
      <c r="I1229" s="61"/>
      <c r="J1229" s="61"/>
      <c r="K1229" s="61"/>
      <c r="L1229" s="73" t="str">
        <f t="shared" si="96"/>
        <v/>
      </c>
      <c r="M1229" s="65" t="str">
        <f t="shared" ca="1" si="97"/>
        <v/>
      </c>
      <c r="N1229" s="74" t="str">
        <f>IF($C1229="","",IF($C1229="TANIMSIZ MÜŞTERİ","—",INDEX(MUSTERILER!$C$7:$C$156,MATCH($C1229,MUSTERILER!$B$7:$B$156,0))))</f>
        <v/>
      </c>
      <c r="O1229" s="2"/>
      <c r="P1229" s="2"/>
      <c r="Q1229" s="1" t="str">
        <f>IF($D1229="","",$C1229&amp;"|"&amp;COUNTIFS($C$7:$C1229,$C1229))</f>
        <v/>
      </c>
      <c r="R1229" s="1" t="str">
        <f t="shared" si="98"/>
        <v/>
      </c>
      <c r="S1229" s="1" t="str">
        <f t="shared" si="99"/>
        <v/>
      </c>
      <c r="T1229" s="1">
        <f>IF($E1229="",0,SUMPRODUCT((AY_SONU!$O$7:$O$42="Evet")*(AY_SONU!$B$7:$B$42=DATE(YEAR($E1229),MONTH($E1229),1))))</f>
        <v>0</v>
      </c>
    </row>
    <row r="1230" spans="1:20" ht="18" customHeight="1" x14ac:dyDescent="0.3">
      <c r="A1230" s="2"/>
      <c r="B1230" s="65" t="str">
        <f t="shared" si="95"/>
        <v/>
      </c>
      <c r="C1230" s="65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66"/>
      <c r="F1230" s="67"/>
      <c r="G1230" s="60"/>
      <c r="H1230" s="60"/>
      <c r="I1230" s="61"/>
      <c r="J1230" s="61"/>
      <c r="K1230" s="61"/>
      <c r="L1230" s="73" t="str">
        <f t="shared" si="96"/>
        <v/>
      </c>
      <c r="M1230" s="65" t="str">
        <f t="shared" ca="1" si="97"/>
        <v/>
      </c>
      <c r="N1230" s="74" t="str">
        <f>IF($C1230="","",IF($C1230="TANIMSIZ MÜŞTERİ","—",INDEX(MUSTERILER!$C$7:$C$156,MATCH($C1230,MUSTERILER!$B$7:$B$156,0))))</f>
        <v/>
      </c>
      <c r="O1230" s="2"/>
      <c r="P1230" s="2"/>
      <c r="Q1230" s="1" t="str">
        <f>IF($D1230="","",$C1230&amp;"|"&amp;COUNTIFS($C$7:$C1230,$C1230))</f>
        <v/>
      </c>
      <c r="R1230" s="1" t="str">
        <f t="shared" si="98"/>
        <v/>
      </c>
      <c r="S1230" s="1" t="str">
        <f t="shared" si="99"/>
        <v/>
      </c>
      <c r="T1230" s="1">
        <f>IF($E1230="",0,SUMPRODUCT((AY_SONU!$O$7:$O$42="Evet")*(AY_SONU!$B$7:$B$42=DATE(YEAR($E1230),MONTH($E1230),1))))</f>
        <v>0</v>
      </c>
    </row>
    <row r="1231" spans="1:20" ht="18" customHeight="1" x14ac:dyDescent="0.3">
      <c r="A1231" s="2"/>
      <c r="B1231" s="65" t="str">
        <f t="shared" si="95"/>
        <v/>
      </c>
      <c r="C1231" s="65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66"/>
      <c r="F1231" s="67"/>
      <c r="G1231" s="60"/>
      <c r="H1231" s="60"/>
      <c r="I1231" s="61"/>
      <c r="J1231" s="61"/>
      <c r="K1231" s="61"/>
      <c r="L1231" s="73" t="str">
        <f t="shared" si="96"/>
        <v/>
      </c>
      <c r="M1231" s="65" t="str">
        <f t="shared" ca="1" si="97"/>
        <v/>
      </c>
      <c r="N1231" s="74" t="str">
        <f>IF($C1231="","",IF($C1231="TANIMSIZ MÜŞTERİ","—",INDEX(MUSTERILER!$C$7:$C$156,MATCH($C1231,MUSTERILER!$B$7:$B$156,0))))</f>
        <v/>
      </c>
      <c r="O1231" s="2"/>
      <c r="P1231" s="2"/>
      <c r="Q1231" s="1" t="str">
        <f>IF($D1231="","",$C1231&amp;"|"&amp;COUNTIFS($C$7:$C1231,$C1231))</f>
        <v/>
      </c>
      <c r="R1231" s="1" t="str">
        <f t="shared" si="98"/>
        <v/>
      </c>
      <c r="S1231" s="1" t="str">
        <f t="shared" si="99"/>
        <v/>
      </c>
      <c r="T1231" s="1">
        <f>IF($E1231="",0,SUMPRODUCT((AY_SONU!$O$7:$O$42="Evet")*(AY_SONU!$B$7:$B$42=DATE(YEAR($E1231),MONTH($E1231),1))))</f>
        <v>0</v>
      </c>
    </row>
    <row r="1232" spans="1:20" ht="18" customHeight="1" x14ac:dyDescent="0.3">
      <c r="A1232" s="2"/>
      <c r="B1232" s="65" t="str">
        <f t="shared" si="95"/>
        <v/>
      </c>
      <c r="C1232" s="65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66"/>
      <c r="F1232" s="67"/>
      <c r="G1232" s="60"/>
      <c r="H1232" s="60"/>
      <c r="I1232" s="61"/>
      <c r="J1232" s="61"/>
      <c r="K1232" s="61"/>
      <c r="L1232" s="73" t="str">
        <f t="shared" si="96"/>
        <v/>
      </c>
      <c r="M1232" s="65" t="str">
        <f t="shared" ca="1" si="97"/>
        <v/>
      </c>
      <c r="N1232" s="74" t="str">
        <f>IF($C1232="","",IF($C1232="TANIMSIZ MÜŞTERİ","—",INDEX(MUSTERILER!$C$7:$C$156,MATCH($C1232,MUSTERILER!$B$7:$B$156,0))))</f>
        <v/>
      </c>
      <c r="O1232" s="2"/>
      <c r="P1232" s="2"/>
      <c r="Q1232" s="1" t="str">
        <f>IF($D1232="","",$C1232&amp;"|"&amp;COUNTIFS($C$7:$C1232,$C1232))</f>
        <v/>
      </c>
      <c r="R1232" s="1" t="str">
        <f t="shared" si="98"/>
        <v/>
      </c>
      <c r="S1232" s="1" t="str">
        <f t="shared" si="99"/>
        <v/>
      </c>
      <c r="T1232" s="1">
        <f>IF($E1232="",0,SUMPRODUCT((AY_SONU!$O$7:$O$42="Evet")*(AY_SONU!$B$7:$B$42=DATE(YEAR($E1232),MONTH($E1232),1))))</f>
        <v>0</v>
      </c>
    </row>
    <row r="1233" spans="1:20" ht="18" customHeight="1" x14ac:dyDescent="0.3">
      <c r="A1233" s="2"/>
      <c r="B1233" s="65" t="str">
        <f t="shared" si="95"/>
        <v/>
      </c>
      <c r="C1233" s="65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66"/>
      <c r="F1233" s="67"/>
      <c r="G1233" s="60"/>
      <c r="H1233" s="60"/>
      <c r="I1233" s="61"/>
      <c r="J1233" s="61"/>
      <c r="K1233" s="61"/>
      <c r="L1233" s="73" t="str">
        <f t="shared" si="96"/>
        <v/>
      </c>
      <c r="M1233" s="65" t="str">
        <f t="shared" ca="1" si="97"/>
        <v/>
      </c>
      <c r="N1233" s="74" t="str">
        <f>IF($C1233="","",IF($C1233="TANIMSIZ MÜŞTERİ","—",INDEX(MUSTERILER!$C$7:$C$156,MATCH($C1233,MUSTERILER!$B$7:$B$156,0))))</f>
        <v/>
      </c>
      <c r="O1233" s="2"/>
      <c r="P1233" s="2"/>
      <c r="Q1233" s="1" t="str">
        <f>IF($D1233="","",$C1233&amp;"|"&amp;COUNTIFS($C$7:$C1233,$C1233))</f>
        <v/>
      </c>
      <c r="R1233" s="1" t="str">
        <f t="shared" si="98"/>
        <v/>
      </c>
      <c r="S1233" s="1" t="str">
        <f t="shared" si="99"/>
        <v/>
      </c>
      <c r="T1233" s="1">
        <f>IF($E1233="",0,SUMPRODUCT((AY_SONU!$O$7:$O$42="Evet")*(AY_SONU!$B$7:$B$42=DATE(YEAR($E1233),MONTH($E1233),1))))</f>
        <v>0</v>
      </c>
    </row>
    <row r="1234" spans="1:20" ht="18" customHeight="1" x14ac:dyDescent="0.3">
      <c r="A1234" s="2"/>
      <c r="B1234" s="65" t="str">
        <f t="shared" si="95"/>
        <v/>
      </c>
      <c r="C1234" s="65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66"/>
      <c r="F1234" s="67"/>
      <c r="G1234" s="60"/>
      <c r="H1234" s="60"/>
      <c r="I1234" s="61"/>
      <c r="J1234" s="61"/>
      <c r="K1234" s="61"/>
      <c r="L1234" s="73" t="str">
        <f t="shared" si="96"/>
        <v/>
      </c>
      <c r="M1234" s="65" t="str">
        <f t="shared" ca="1" si="97"/>
        <v/>
      </c>
      <c r="N1234" s="74" t="str">
        <f>IF($C1234="","",IF($C1234="TANIMSIZ MÜŞTERİ","—",INDEX(MUSTERILER!$C$7:$C$156,MATCH($C1234,MUSTERILER!$B$7:$B$156,0))))</f>
        <v/>
      </c>
      <c r="O1234" s="2"/>
      <c r="P1234" s="2"/>
      <c r="Q1234" s="1" t="str">
        <f>IF($D1234="","",$C1234&amp;"|"&amp;COUNTIFS($C$7:$C1234,$C1234))</f>
        <v/>
      </c>
      <c r="R1234" s="1" t="str">
        <f t="shared" si="98"/>
        <v/>
      </c>
      <c r="S1234" s="1" t="str">
        <f t="shared" si="99"/>
        <v/>
      </c>
      <c r="T1234" s="1">
        <f>IF($E1234="",0,SUMPRODUCT((AY_SONU!$O$7:$O$42="Evet")*(AY_SONU!$B$7:$B$42=DATE(YEAR($E1234),MONTH($E1234),1))))</f>
        <v>0</v>
      </c>
    </row>
    <row r="1235" spans="1:20" ht="18" customHeight="1" x14ac:dyDescent="0.3">
      <c r="A1235" s="2"/>
      <c r="B1235" s="65" t="str">
        <f t="shared" si="95"/>
        <v/>
      </c>
      <c r="C1235" s="65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66"/>
      <c r="F1235" s="67"/>
      <c r="G1235" s="60"/>
      <c r="H1235" s="60"/>
      <c r="I1235" s="61"/>
      <c r="J1235" s="61"/>
      <c r="K1235" s="61"/>
      <c r="L1235" s="73" t="str">
        <f t="shared" si="96"/>
        <v/>
      </c>
      <c r="M1235" s="65" t="str">
        <f t="shared" ca="1" si="97"/>
        <v/>
      </c>
      <c r="N1235" s="74" t="str">
        <f>IF($C1235="","",IF($C1235="TANIMSIZ MÜŞTERİ","—",INDEX(MUSTERILER!$C$7:$C$156,MATCH($C1235,MUSTERILER!$B$7:$B$156,0))))</f>
        <v/>
      </c>
      <c r="O1235" s="2"/>
      <c r="P1235" s="2"/>
      <c r="Q1235" s="1" t="str">
        <f>IF($D1235="","",$C1235&amp;"|"&amp;COUNTIFS($C$7:$C1235,$C1235))</f>
        <v/>
      </c>
      <c r="R1235" s="1" t="str">
        <f t="shared" si="98"/>
        <v/>
      </c>
      <c r="S1235" s="1" t="str">
        <f t="shared" si="99"/>
        <v/>
      </c>
      <c r="T1235" s="1">
        <f>IF($E1235="",0,SUMPRODUCT((AY_SONU!$O$7:$O$42="Evet")*(AY_SONU!$B$7:$B$42=DATE(YEAR($E1235),MONTH($E1235),1))))</f>
        <v>0</v>
      </c>
    </row>
    <row r="1236" spans="1:20" ht="18" customHeight="1" x14ac:dyDescent="0.3">
      <c r="A1236" s="2"/>
      <c r="B1236" s="65" t="str">
        <f t="shared" si="95"/>
        <v/>
      </c>
      <c r="C1236" s="65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66"/>
      <c r="F1236" s="67"/>
      <c r="G1236" s="60"/>
      <c r="H1236" s="60"/>
      <c r="I1236" s="61"/>
      <c r="J1236" s="61"/>
      <c r="K1236" s="61"/>
      <c r="L1236" s="73" t="str">
        <f t="shared" si="96"/>
        <v/>
      </c>
      <c r="M1236" s="65" t="str">
        <f t="shared" ca="1" si="97"/>
        <v/>
      </c>
      <c r="N1236" s="74" t="str">
        <f>IF($C1236="","",IF($C1236="TANIMSIZ MÜŞTERİ","—",INDEX(MUSTERILER!$C$7:$C$156,MATCH($C1236,MUSTERILER!$B$7:$B$156,0))))</f>
        <v/>
      </c>
      <c r="O1236" s="2"/>
      <c r="P1236" s="2"/>
      <c r="Q1236" s="1" t="str">
        <f>IF($D1236="","",$C1236&amp;"|"&amp;COUNTIFS($C$7:$C1236,$C1236))</f>
        <v/>
      </c>
      <c r="R1236" s="1" t="str">
        <f t="shared" si="98"/>
        <v/>
      </c>
      <c r="S1236" s="1" t="str">
        <f t="shared" si="99"/>
        <v/>
      </c>
      <c r="T1236" s="1">
        <f>IF($E1236="",0,SUMPRODUCT((AY_SONU!$O$7:$O$42="Evet")*(AY_SONU!$B$7:$B$42=DATE(YEAR($E1236),MONTH($E1236),1))))</f>
        <v>0</v>
      </c>
    </row>
    <row r="1237" spans="1:20" ht="18" customHeight="1" x14ac:dyDescent="0.3">
      <c r="A1237" s="2"/>
      <c r="B1237" s="65" t="str">
        <f t="shared" si="95"/>
        <v/>
      </c>
      <c r="C1237" s="65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66"/>
      <c r="F1237" s="67"/>
      <c r="G1237" s="60"/>
      <c r="H1237" s="60"/>
      <c r="I1237" s="61"/>
      <c r="J1237" s="61"/>
      <c r="K1237" s="61"/>
      <c r="L1237" s="73" t="str">
        <f t="shared" si="96"/>
        <v/>
      </c>
      <c r="M1237" s="65" t="str">
        <f t="shared" ca="1" si="97"/>
        <v/>
      </c>
      <c r="N1237" s="74" t="str">
        <f>IF($C1237="","",IF($C1237="TANIMSIZ MÜŞTERİ","—",INDEX(MUSTERILER!$C$7:$C$156,MATCH($C1237,MUSTERILER!$B$7:$B$156,0))))</f>
        <v/>
      </c>
      <c r="O1237" s="2"/>
      <c r="P1237" s="2"/>
      <c r="Q1237" s="1" t="str">
        <f>IF($D1237="","",$C1237&amp;"|"&amp;COUNTIFS($C$7:$C1237,$C1237))</f>
        <v/>
      </c>
      <c r="R1237" s="1" t="str">
        <f t="shared" si="98"/>
        <v/>
      </c>
      <c r="S1237" s="1" t="str">
        <f t="shared" si="99"/>
        <v/>
      </c>
      <c r="T1237" s="1">
        <f>IF($E1237="",0,SUMPRODUCT((AY_SONU!$O$7:$O$42="Evet")*(AY_SONU!$B$7:$B$42=DATE(YEAR($E1237),MONTH($E1237),1))))</f>
        <v>0</v>
      </c>
    </row>
    <row r="1238" spans="1:20" ht="18" customHeight="1" x14ac:dyDescent="0.3">
      <c r="A1238" s="2"/>
      <c r="B1238" s="65" t="str">
        <f t="shared" si="95"/>
        <v/>
      </c>
      <c r="C1238" s="65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66"/>
      <c r="F1238" s="67"/>
      <c r="G1238" s="60"/>
      <c r="H1238" s="60"/>
      <c r="I1238" s="61"/>
      <c r="J1238" s="61"/>
      <c r="K1238" s="61"/>
      <c r="L1238" s="73" t="str">
        <f t="shared" si="96"/>
        <v/>
      </c>
      <c r="M1238" s="65" t="str">
        <f t="shared" ca="1" si="97"/>
        <v/>
      </c>
      <c r="N1238" s="74" t="str">
        <f>IF($C1238="","",IF($C1238="TANIMSIZ MÜŞTERİ","—",INDEX(MUSTERILER!$C$7:$C$156,MATCH($C1238,MUSTERILER!$B$7:$B$156,0))))</f>
        <v/>
      </c>
      <c r="O1238" s="2"/>
      <c r="P1238" s="2"/>
      <c r="Q1238" s="1" t="str">
        <f>IF($D1238="","",$C1238&amp;"|"&amp;COUNTIFS($C$7:$C1238,$C1238))</f>
        <v/>
      </c>
      <c r="R1238" s="1" t="str">
        <f t="shared" si="98"/>
        <v/>
      </c>
      <c r="S1238" s="1" t="str">
        <f t="shared" si="99"/>
        <v/>
      </c>
      <c r="T1238" s="1">
        <f>IF($E1238="",0,SUMPRODUCT((AY_SONU!$O$7:$O$42="Evet")*(AY_SONU!$B$7:$B$42=DATE(YEAR($E1238),MONTH($E1238),1))))</f>
        <v>0</v>
      </c>
    </row>
    <row r="1239" spans="1:20" ht="18" customHeight="1" x14ac:dyDescent="0.3">
      <c r="A1239" s="2"/>
      <c r="B1239" s="65" t="str">
        <f t="shared" si="95"/>
        <v/>
      </c>
      <c r="C1239" s="65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66"/>
      <c r="F1239" s="67"/>
      <c r="G1239" s="60"/>
      <c r="H1239" s="60"/>
      <c r="I1239" s="61"/>
      <c r="J1239" s="61"/>
      <c r="K1239" s="61"/>
      <c r="L1239" s="73" t="str">
        <f t="shared" si="96"/>
        <v/>
      </c>
      <c r="M1239" s="65" t="str">
        <f t="shared" ca="1" si="97"/>
        <v/>
      </c>
      <c r="N1239" s="74" t="str">
        <f>IF($C1239="","",IF($C1239="TANIMSIZ MÜŞTERİ","—",INDEX(MUSTERILER!$C$7:$C$156,MATCH($C1239,MUSTERILER!$B$7:$B$156,0))))</f>
        <v/>
      </c>
      <c r="O1239" s="2"/>
      <c r="P1239" s="2"/>
      <c r="Q1239" s="1" t="str">
        <f>IF($D1239="","",$C1239&amp;"|"&amp;COUNTIFS($C$7:$C1239,$C1239))</f>
        <v/>
      </c>
      <c r="R1239" s="1" t="str">
        <f t="shared" si="98"/>
        <v/>
      </c>
      <c r="S1239" s="1" t="str">
        <f t="shared" si="99"/>
        <v/>
      </c>
      <c r="T1239" s="1">
        <f>IF($E1239="",0,SUMPRODUCT((AY_SONU!$O$7:$O$42="Evet")*(AY_SONU!$B$7:$B$42=DATE(YEAR($E1239),MONTH($E1239),1))))</f>
        <v>0</v>
      </c>
    </row>
    <row r="1240" spans="1:20" ht="18" customHeight="1" x14ac:dyDescent="0.3">
      <c r="A1240" s="2"/>
      <c r="B1240" s="65" t="str">
        <f t="shared" si="95"/>
        <v/>
      </c>
      <c r="C1240" s="65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66"/>
      <c r="F1240" s="67"/>
      <c r="G1240" s="60"/>
      <c r="H1240" s="60"/>
      <c r="I1240" s="61"/>
      <c r="J1240" s="61"/>
      <c r="K1240" s="61"/>
      <c r="L1240" s="73" t="str">
        <f t="shared" si="96"/>
        <v/>
      </c>
      <c r="M1240" s="65" t="str">
        <f t="shared" ca="1" si="97"/>
        <v/>
      </c>
      <c r="N1240" s="74" t="str">
        <f>IF($C1240="","",IF($C1240="TANIMSIZ MÜŞTERİ","—",INDEX(MUSTERILER!$C$7:$C$156,MATCH($C1240,MUSTERILER!$B$7:$B$156,0))))</f>
        <v/>
      </c>
      <c r="O1240" s="2"/>
      <c r="P1240" s="2"/>
      <c r="Q1240" s="1" t="str">
        <f>IF($D1240="","",$C1240&amp;"|"&amp;COUNTIFS($C$7:$C1240,$C1240))</f>
        <v/>
      </c>
      <c r="R1240" s="1" t="str">
        <f t="shared" si="98"/>
        <v/>
      </c>
      <c r="S1240" s="1" t="str">
        <f t="shared" si="99"/>
        <v/>
      </c>
      <c r="T1240" s="1">
        <f>IF($E1240="",0,SUMPRODUCT((AY_SONU!$O$7:$O$42="Evet")*(AY_SONU!$B$7:$B$42=DATE(YEAR($E1240),MONTH($E1240),1))))</f>
        <v>0</v>
      </c>
    </row>
    <row r="1241" spans="1:20" ht="18" customHeight="1" x14ac:dyDescent="0.3">
      <c r="A1241" s="2"/>
      <c r="B1241" s="65" t="str">
        <f t="shared" si="95"/>
        <v/>
      </c>
      <c r="C1241" s="65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66"/>
      <c r="F1241" s="67"/>
      <c r="G1241" s="60"/>
      <c r="H1241" s="60"/>
      <c r="I1241" s="61"/>
      <c r="J1241" s="61"/>
      <c r="K1241" s="61"/>
      <c r="L1241" s="73" t="str">
        <f t="shared" si="96"/>
        <v/>
      </c>
      <c r="M1241" s="65" t="str">
        <f t="shared" ca="1" si="97"/>
        <v/>
      </c>
      <c r="N1241" s="74" t="str">
        <f>IF($C1241="","",IF($C1241="TANIMSIZ MÜŞTERİ","—",INDEX(MUSTERILER!$C$7:$C$156,MATCH($C1241,MUSTERILER!$B$7:$B$156,0))))</f>
        <v/>
      </c>
      <c r="O1241" s="2"/>
      <c r="P1241" s="2"/>
      <c r="Q1241" s="1" t="str">
        <f>IF($D1241="","",$C1241&amp;"|"&amp;COUNTIFS($C$7:$C1241,$C1241))</f>
        <v/>
      </c>
      <c r="R1241" s="1" t="str">
        <f t="shared" si="98"/>
        <v/>
      </c>
      <c r="S1241" s="1" t="str">
        <f t="shared" si="99"/>
        <v/>
      </c>
      <c r="T1241" s="1">
        <f>IF($E1241="",0,SUMPRODUCT((AY_SONU!$O$7:$O$42="Evet")*(AY_SONU!$B$7:$B$42=DATE(YEAR($E1241),MONTH($E1241),1))))</f>
        <v>0</v>
      </c>
    </row>
    <row r="1242" spans="1:20" ht="18" customHeight="1" x14ac:dyDescent="0.3">
      <c r="A1242" s="2"/>
      <c r="B1242" s="65" t="str">
        <f t="shared" si="95"/>
        <v/>
      </c>
      <c r="C1242" s="65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66"/>
      <c r="F1242" s="67"/>
      <c r="G1242" s="60"/>
      <c r="H1242" s="60"/>
      <c r="I1242" s="61"/>
      <c r="J1242" s="61"/>
      <c r="K1242" s="61"/>
      <c r="L1242" s="73" t="str">
        <f t="shared" si="96"/>
        <v/>
      </c>
      <c r="M1242" s="65" t="str">
        <f t="shared" ca="1" si="97"/>
        <v/>
      </c>
      <c r="N1242" s="74" t="str">
        <f>IF($C1242="","",IF($C1242="TANIMSIZ MÜŞTERİ","—",INDEX(MUSTERILER!$C$7:$C$156,MATCH($C1242,MUSTERILER!$B$7:$B$156,0))))</f>
        <v/>
      </c>
      <c r="O1242" s="2"/>
      <c r="P1242" s="2"/>
      <c r="Q1242" s="1" t="str">
        <f>IF($D1242="","",$C1242&amp;"|"&amp;COUNTIFS($C$7:$C1242,$C1242))</f>
        <v/>
      </c>
      <c r="R1242" s="1" t="str">
        <f t="shared" si="98"/>
        <v/>
      </c>
      <c r="S1242" s="1" t="str">
        <f t="shared" si="99"/>
        <v/>
      </c>
      <c r="T1242" s="1">
        <f>IF($E1242="",0,SUMPRODUCT((AY_SONU!$O$7:$O$42="Evet")*(AY_SONU!$B$7:$B$42=DATE(YEAR($E1242),MONTH($E1242),1))))</f>
        <v>0</v>
      </c>
    </row>
    <row r="1243" spans="1:20" ht="18" customHeight="1" x14ac:dyDescent="0.3">
      <c r="A1243" s="2"/>
      <c r="B1243" s="65" t="str">
        <f t="shared" si="95"/>
        <v/>
      </c>
      <c r="C1243" s="65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66"/>
      <c r="F1243" s="67"/>
      <c r="G1243" s="60"/>
      <c r="H1243" s="60"/>
      <c r="I1243" s="61"/>
      <c r="J1243" s="61"/>
      <c r="K1243" s="61"/>
      <c r="L1243" s="73" t="str">
        <f t="shared" si="96"/>
        <v/>
      </c>
      <c r="M1243" s="65" t="str">
        <f t="shared" ca="1" si="97"/>
        <v/>
      </c>
      <c r="N1243" s="74" t="str">
        <f>IF($C1243="","",IF($C1243="TANIMSIZ MÜŞTERİ","—",INDEX(MUSTERILER!$C$7:$C$156,MATCH($C1243,MUSTERILER!$B$7:$B$156,0))))</f>
        <v/>
      </c>
      <c r="O1243" s="2"/>
      <c r="P1243" s="2"/>
      <c r="Q1243" s="1" t="str">
        <f>IF($D1243="","",$C1243&amp;"|"&amp;COUNTIFS($C$7:$C1243,$C1243))</f>
        <v/>
      </c>
      <c r="R1243" s="1" t="str">
        <f t="shared" si="98"/>
        <v/>
      </c>
      <c r="S1243" s="1" t="str">
        <f t="shared" si="99"/>
        <v/>
      </c>
      <c r="T1243" s="1">
        <f>IF($E1243="",0,SUMPRODUCT((AY_SONU!$O$7:$O$42="Evet")*(AY_SONU!$B$7:$B$42=DATE(YEAR($E1243),MONTH($E1243),1))))</f>
        <v>0</v>
      </c>
    </row>
    <row r="1244" spans="1:20" ht="18" customHeight="1" x14ac:dyDescent="0.3">
      <c r="A1244" s="2"/>
      <c r="B1244" s="65" t="str">
        <f t="shared" si="95"/>
        <v/>
      </c>
      <c r="C1244" s="65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66"/>
      <c r="F1244" s="67"/>
      <c r="G1244" s="60"/>
      <c r="H1244" s="60"/>
      <c r="I1244" s="61"/>
      <c r="J1244" s="61"/>
      <c r="K1244" s="61"/>
      <c r="L1244" s="73" t="str">
        <f t="shared" si="96"/>
        <v/>
      </c>
      <c r="M1244" s="65" t="str">
        <f t="shared" ca="1" si="97"/>
        <v/>
      </c>
      <c r="N1244" s="74" t="str">
        <f>IF($C1244="","",IF($C1244="TANIMSIZ MÜŞTERİ","—",INDEX(MUSTERILER!$C$7:$C$156,MATCH($C1244,MUSTERILER!$B$7:$B$156,0))))</f>
        <v/>
      </c>
      <c r="O1244" s="2"/>
      <c r="P1244" s="2"/>
      <c r="Q1244" s="1" t="str">
        <f>IF($D1244="","",$C1244&amp;"|"&amp;COUNTIFS($C$7:$C1244,$C1244))</f>
        <v/>
      </c>
      <c r="R1244" s="1" t="str">
        <f t="shared" si="98"/>
        <v/>
      </c>
      <c r="S1244" s="1" t="str">
        <f t="shared" si="99"/>
        <v/>
      </c>
      <c r="T1244" s="1">
        <f>IF($E1244="",0,SUMPRODUCT((AY_SONU!$O$7:$O$42="Evet")*(AY_SONU!$B$7:$B$42=DATE(YEAR($E1244),MONTH($E1244),1))))</f>
        <v>0</v>
      </c>
    </row>
    <row r="1245" spans="1:20" ht="18" customHeight="1" x14ac:dyDescent="0.3">
      <c r="A1245" s="2"/>
      <c r="B1245" s="65" t="str">
        <f t="shared" si="95"/>
        <v/>
      </c>
      <c r="C1245" s="65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66"/>
      <c r="F1245" s="67"/>
      <c r="G1245" s="60"/>
      <c r="H1245" s="60"/>
      <c r="I1245" s="61"/>
      <c r="J1245" s="61"/>
      <c r="K1245" s="61"/>
      <c r="L1245" s="73" t="str">
        <f t="shared" si="96"/>
        <v/>
      </c>
      <c r="M1245" s="65" t="str">
        <f t="shared" ca="1" si="97"/>
        <v/>
      </c>
      <c r="N1245" s="74" t="str">
        <f>IF($C1245="","",IF($C1245="TANIMSIZ MÜŞTERİ","—",INDEX(MUSTERILER!$C$7:$C$156,MATCH($C1245,MUSTERILER!$B$7:$B$156,0))))</f>
        <v/>
      </c>
      <c r="O1245" s="2"/>
      <c r="P1245" s="2"/>
      <c r="Q1245" s="1" t="str">
        <f>IF($D1245="","",$C1245&amp;"|"&amp;COUNTIFS($C$7:$C1245,$C1245))</f>
        <v/>
      </c>
      <c r="R1245" s="1" t="str">
        <f t="shared" si="98"/>
        <v/>
      </c>
      <c r="S1245" s="1" t="str">
        <f t="shared" si="99"/>
        <v/>
      </c>
      <c r="T1245" s="1">
        <f>IF($E1245="",0,SUMPRODUCT((AY_SONU!$O$7:$O$42="Evet")*(AY_SONU!$B$7:$B$42=DATE(YEAR($E1245),MONTH($E1245),1))))</f>
        <v>0</v>
      </c>
    </row>
    <row r="1246" spans="1:20" ht="18" customHeight="1" x14ac:dyDescent="0.3">
      <c r="A1246" s="2"/>
      <c r="B1246" s="65" t="str">
        <f t="shared" si="95"/>
        <v/>
      </c>
      <c r="C1246" s="65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66"/>
      <c r="F1246" s="67"/>
      <c r="G1246" s="60"/>
      <c r="H1246" s="60"/>
      <c r="I1246" s="61"/>
      <c r="J1246" s="61"/>
      <c r="K1246" s="61"/>
      <c r="L1246" s="73" t="str">
        <f t="shared" si="96"/>
        <v/>
      </c>
      <c r="M1246" s="65" t="str">
        <f t="shared" ca="1" si="97"/>
        <v/>
      </c>
      <c r="N1246" s="74" t="str">
        <f>IF($C1246="","",IF($C1246="TANIMSIZ MÜŞTERİ","—",INDEX(MUSTERILER!$C$7:$C$156,MATCH($C1246,MUSTERILER!$B$7:$B$156,0))))</f>
        <v/>
      </c>
      <c r="O1246" s="2"/>
      <c r="P1246" s="2"/>
      <c r="Q1246" s="1" t="str">
        <f>IF($D1246="","",$C1246&amp;"|"&amp;COUNTIFS($C$7:$C1246,$C1246))</f>
        <v/>
      </c>
      <c r="R1246" s="1" t="str">
        <f t="shared" si="98"/>
        <v/>
      </c>
      <c r="S1246" s="1" t="str">
        <f t="shared" si="99"/>
        <v/>
      </c>
      <c r="T1246" s="1">
        <f>IF($E1246="",0,SUMPRODUCT((AY_SONU!$O$7:$O$42="Evet")*(AY_SONU!$B$7:$B$42=DATE(YEAR($E1246),MONTH($E1246),1))))</f>
        <v>0</v>
      </c>
    </row>
    <row r="1247" spans="1:20" ht="18" customHeight="1" x14ac:dyDescent="0.3">
      <c r="A1247" s="2"/>
      <c r="B1247" s="65" t="str">
        <f t="shared" si="95"/>
        <v/>
      </c>
      <c r="C1247" s="65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66"/>
      <c r="F1247" s="67"/>
      <c r="G1247" s="60"/>
      <c r="H1247" s="60"/>
      <c r="I1247" s="61"/>
      <c r="J1247" s="61"/>
      <c r="K1247" s="61"/>
      <c r="L1247" s="73" t="str">
        <f t="shared" si="96"/>
        <v/>
      </c>
      <c r="M1247" s="65" t="str">
        <f t="shared" ca="1" si="97"/>
        <v/>
      </c>
      <c r="N1247" s="74" t="str">
        <f>IF($C1247="","",IF($C1247="TANIMSIZ MÜŞTERİ","—",INDEX(MUSTERILER!$C$7:$C$156,MATCH($C1247,MUSTERILER!$B$7:$B$156,0))))</f>
        <v/>
      </c>
      <c r="O1247" s="2"/>
      <c r="P1247" s="2"/>
      <c r="Q1247" s="1" t="str">
        <f>IF($D1247="","",$C1247&amp;"|"&amp;COUNTIFS($C$7:$C1247,$C1247))</f>
        <v/>
      </c>
      <c r="R1247" s="1" t="str">
        <f t="shared" si="98"/>
        <v/>
      </c>
      <c r="S1247" s="1" t="str">
        <f t="shared" si="99"/>
        <v/>
      </c>
      <c r="T1247" s="1">
        <f>IF($E1247="",0,SUMPRODUCT((AY_SONU!$O$7:$O$42="Evet")*(AY_SONU!$B$7:$B$42=DATE(YEAR($E1247),MONTH($E1247),1))))</f>
        <v>0</v>
      </c>
    </row>
    <row r="1248" spans="1:20" ht="18" customHeight="1" x14ac:dyDescent="0.3">
      <c r="A1248" s="2"/>
      <c r="B1248" s="65" t="str">
        <f t="shared" si="95"/>
        <v/>
      </c>
      <c r="C1248" s="65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66"/>
      <c r="F1248" s="67"/>
      <c r="G1248" s="60"/>
      <c r="H1248" s="60"/>
      <c r="I1248" s="61"/>
      <c r="J1248" s="61"/>
      <c r="K1248" s="61"/>
      <c r="L1248" s="73" t="str">
        <f t="shared" si="96"/>
        <v/>
      </c>
      <c r="M1248" s="65" t="str">
        <f t="shared" ca="1" si="97"/>
        <v/>
      </c>
      <c r="N1248" s="74" t="str">
        <f>IF($C1248="","",IF($C1248="TANIMSIZ MÜŞTERİ","—",INDEX(MUSTERILER!$C$7:$C$156,MATCH($C1248,MUSTERILER!$B$7:$B$156,0))))</f>
        <v/>
      </c>
      <c r="O1248" s="2"/>
      <c r="P1248" s="2"/>
      <c r="Q1248" s="1" t="str">
        <f>IF($D1248="","",$C1248&amp;"|"&amp;COUNTIFS($C$7:$C1248,$C1248))</f>
        <v/>
      </c>
      <c r="R1248" s="1" t="str">
        <f t="shared" si="98"/>
        <v/>
      </c>
      <c r="S1248" s="1" t="str">
        <f t="shared" si="99"/>
        <v/>
      </c>
      <c r="T1248" s="1">
        <f>IF($E1248="",0,SUMPRODUCT((AY_SONU!$O$7:$O$42="Evet")*(AY_SONU!$B$7:$B$42=DATE(YEAR($E1248),MONTH($E1248),1))))</f>
        <v>0</v>
      </c>
    </row>
    <row r="1249" spans="1:20" ht="18" customHeight="1" x14ac:dyDescent="0.3">
      <c r="A1249" s="2"/>
      <c r="B1249" s="65" t="str">
        <f t="shared" si="95"/>
        <v/>
      </c>
      <c r="C1249" s="65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66"/>
      <c r="F1249" s="67"/>
      <c r="G1249" s="60"/>
      <c r="H1249" s="60"/>
      <c r="I1249" s="61"/>
      <c r="J1249" s="61"/>
      <c r="K1249" s="61"/>
      <c r="L1249" s="73" t="str">
        <f t="shared" si="96"/>
        <v/>
      </c>
      <c r="M1249" s="65" t="str">
        <f t="shared" ca="1" si="97"/>
        <v/>
      </c>
      <c r="N1249" s="74" t="str">
        <f>IF($C1249="","",IF($C1249="TANIMSIZ MÜŞTERİ","—",INDEX(MUSTERILER!$C$7:$C$156,MATCH($C1249,MUSTERILER!$B$7:$B$156,0))))</f>
        <v/>
      </c>
      <c r="O1249" s="2"/>
      <c r="P1249" s="2"/>
      <c r="Q1249" s="1" t="str">
        <f>IF($D1249="","",$C1249&amp;"|"&amp;COUNTIFS($C$7:$C1249,$C1249))</f>
        <v/>
      </c>
      <c r="R1249" s="1" t="str">
        <f t="shared" si="98"/>
        <v/>
      </c>
      <c r="S1249" s="1" t="str">
        <f t="shared" si="99"/>
        <v/>
      </c>
      <c r="T1249" s="1">
        <f>IF($E1249="",0,SUMPRODUCT((AY_SONU!$O$7:$O$42="Evet")*(AY_SONU!$B$7:$B$42=DATE(YEAR($E1249),MONTH($E1249),1))))</f>
        <v>0</v>
      </c>
    </row>
    <row r="1250" spans="1:20" ht="18" customHeight="1" x14ac:dyDescent="0.3">
      <c r="A1250" s="2"/>
      <c r="B1250" s="65" t="str">
        <f t="shared" si="95"/>
        <v/>
      </c>
      <c r="C1250" s="65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66"/>
      <c r="F1250" s="67"/>
      <c r="G1250" s="60"/>
      <c r="H1250" s="60"/>
      <c r="I1250" s="61"/>
      <c r="J1250" s="61"/>
      <c r="K1250" s="61"/>
      <c r="L1250" s="73" t="str">
        <f t="shared" si="96"/>
        <v/>
      </c>
      <c r="M1250" s="65" t="str">
        <f t="shared" ca="1" si="97"/>
        <v/>
      </c>
      <c r="N1250" s="74" t="str">
        <f>IF($C1250="","",IF($C1250="TANIMSIZ MÜŞTERİ","—",INDEX(MUSTERILER!$C$7:$C$156,MATCH($C1250,MUSTERILER!$B$7:$B$156,0))))</f>
        <v/>
      </c>
      <c r="O1250" s="2"/>
      <c r="P1250" s="2"/>
      <c r="Q1250" s="1" t="str">
        <f>IF($D1250="","",$C1250&amp;"|"&amp;COUNTIFS($C$7:$C1250,$C1250))</f>
        <v/>
      </c>
      <c r="R1250" s="1" t="str">
        <f t="shared" si="98"/>
        <v/>
      </c>
      <c r="S1250" s="1" t="str">
        <f t="shared" si="99"/>
        <v/>
      </c>
      <c r="T1250" s="1">
        <f>IF($E1250="",0,SUMPRODUCT((AY_SONU!$O$7:$O$42="Evet")*(AY_SONU!$B$7:$B$42=DATE(YEAR($E1250),MONTH($E1250),1))))</f>
        <v>0</v>
      </c>
    </row>
    <row r="1251" spans="1:20" ht="18" customHeight="1" x14ac:dyDescent="0.3">
      <c r="A1251" s="2"/>
      <c r="B1251" s="65" t="str">
        <f t="shared" si="95"/>
        <v/>
      </c>
      <c r="C1251" s="65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66"/>
      <c r="F1251" s="67"/>
      <c r="G1251" s="60"/>
      <c r="H1251" s="60"/>
      <c r="I1251" s="61"/>
      <c r="J1251" s="61"/>
      <c r="K1251" s="61"/>
      <c r="L1251" s="73" t="str">
        <f t="shared" si="96"/>
        <v/>
      </c>
      <c r="M1251" s="65" t="str">
        <f t="shared" ca="1" si="97"/>
        <v/>
      </c>
      <c r="N1251" s="74" t="str">
        <f>IF($C1251="","",IF($C1251="TANIMSIZ MÜŞTERİ","—",INDEX(MUSTERILER!$C$7:$C$156,MATCH($C1251,MUSTERILER!$B$7:$B$156,0))))</f>
        <v/>
      </c>
      <c r="O1251" s="2"/>
      <c r="P1251" s="2"/>
      <c r="Q1251" s="1" t="str">
        <f>IF($D1251="","",$C1251&amp;"|"&amp;COUNTIFS($C$7:$C1251,$C1251))</f>
        <v/>
      </c>
      <c r="R1251" s="1" t="str">
        <f t="shared" si="98"/>
        <v/>
      </c>
      <c r="S1251" s="1" t="str">
        <f t="shared" si="99"/>
        <v/>
      </c>
      <c r="T1251" s="1">
        <f>IF($E1251="",0,SUMPRODUCT((AY_SONU!$O$7:$O$42="Evet")*(AY_SONU!$B$7:$B$42=DATE(YEAR($E1251),MONTH($E1251),1))))</f>
        <v>0</v>
      </c>
    </row>
    <row r="1252" spans="1:20" ht="18" customHeight="1" x14ac:dyDescent="0.3">
      <c r="A1252" s="2"/>
      <c r="B1252" s="65" t="str">
        <f t="shared" si="95"/>
        <v/>
      </c>
      <c r="C1252" s="65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66"/>
      <c r="F1252" s="67"/>
      <c r="G1252" s="60"/>
      <c r="H1252" s="60"/>
      <c r="I1252" s="61"/>
      <c r="J1252" s="61"/>
      <c r="K1252" s="61"/>
      <c r="L1252" s="73" t="str">
        <f t="shared" si="96"/>
        <v/>
      </c>
      <c r="M1252" s="65" t="str">
        <f t="shared" ca="1" si="97"/>
        <v/>
      </c>
      <c r="N1252" s="74" t="str">
        <f>IF($C1252="","",IF($C1252="TANIMSIZ MÜŞTERİ","—",INDEX(MUSTERILER!$C$7:$C$156,MATCH($C1252,MUSTERILER!$B$7:$B$156,0))))</f>
        <v/>
      </c>
      <c r="O1252" s="2"/>
      <c r="P1252" s="2"/>
      <c r="Q1252" s="1" t="str">
        <f>IF($D1252="","",$C1252&amp;"|"&amp;COUNTIFS($C$7:$C1252,$C1252))</f>
        <v/>
      </c>
      <c r="R1252" s="1" t="str">
        <f t="shared" si="98"/>
        <v/>
      </c>
      <c r="S1252" s="1" t="str">
        <f t="shared" si="99"/>
        <v/>
      </c>
      <c r="T1252" s="1">
        <f>IF($E1252="",0,SUMPRODUCT((AY_SONU!$O$7:$O$42="Evet")*(AY_SONU!$B$7:$B$42=DATE(YEAR($E1252),MONTH($E1252),1))))</f>
        <v>0</v>
      </c>
    </row>
    <row r="1253" spans="1:20" ht="18" customHeight="1" x14ac:dyDescent="0.3">
      <c r="A1253" s="2"/>
      <c r="B1253" s="65" t="str">
        <f t="shared" si="95"/>
        <v/>
      </c>
      <c r="C1253" s="65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66"/>
      <c r="F1253" s="67"/>
      <c r="G1253" s="60"/>
      <c r="H1253" s="60"/>
      <c r="I1253" s="61"/>
      <c r="J1253" s="61"/>
      <c r="K1253" s="61"/>
      <c r="L1253" s="73" t="str">
        <f t="shared" si="96"/>
        <v/>
      </c>
      <c r="M1253" s="65" t="str">
        <f t="shared" ca="1" si="97"/>
        <v/>
      </c>
      <c r="N1253" s="74" t="str">
        <f>IF($C1253="","",IF($C1253="TANIMSIZ MÜŞTERİ","—",INDEX(MUSTERILER!$C$7:$C$156,MATCH($C1253,MUSTERILER!$B$7:$B$156,0))))</f>
        <v/>
      </c>
      <c r="O1253" s="2"/>
      <c r="P1253" s="2"/>
      <c r="Q1253" s="1" t="str">
        <f>IF($D1253="","",$C1253&amp;"|"&amp;COUNTIFS($C$7:$C1253,$C1253))</f>
        <v/>
      </c>
      <c r="R1253" s="1" t="str">
        <f t="shared" si="98"/>
        <v/>
      </c>
      <c r="S1253" s="1" t="str">
        <f t="shared" si="99"/>
        <v/>
      </c>
      <c r="T1253" s="1">
        <f>IF($E1253="",0,SUMPRODUCT((AY_SONU!$O$7:$O$42="Evet")*(AY_SONU!$B$7:$B$42=DATE(YEAR($E1253),MONTH($E1253),1))))</f>
        <v>0</v>
      </c>
    </row>
    <row r="1254" spans="1:20" ht="18" customHeight="1" x14ac:dyDescent="0.3">
      <c r="A1254" s="2"/>
      <c r="B1254" s="65" t="str">
        <f t="shared" si="95"/>
        <v/>
      </c>
      <c r="C1254" s="65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66"/>
      <c r="F1254" s="67"/>
      <c r="G1254" s="60"/>
      <c r="H1254" s="60"/>
      <c r="I1254" s="61"/>
      <c r="J1254" s="61"/>
      <c r="K1254" s="61"/>
      <c r="L1254" s="73" t="str">
        <f t="shared" si="96"/>
        <v/>
      </c>
      <c r="M1254" s="65" t="str">
        <f t="shared" ca="1" si="97"/>
        <v/>
      </c>
      <c r="N1254" s="74" t="str">
        <f>IF($C1254="","",IF($C1254="TANIMSIZ MÜŞTERİ","—",INDEX(MUSTERILER!$C$7:$C$156,MATCH($C1254,MUSTERILER!$B$7:$B$156,0))))</f>
        <v/>
      </c>
      <c r="O1254" s="2"/>
      <c r="P1254" s="2"/>
      <c r="Q1254" s="1" t="str">
        <f>IF($D1254="","",$C1254&amp;"|"&amp;COUNTIFS($C$7:$C1254,$C1254))</f>
        <v/>
      </c>
      <c r="R1254" s="1" t="str">
        <f t="shared" si="98"/>
        <v/>
      </c>
      <c r="S1254" s="1" t="str">
        <f t="shared" si="99"/>
        <v/>
      </c>
      <c r="T1254" s="1">
        <f>IF($E1254="",0,SUMPRODUCT((AY_SONU!$O$7:$O$42="Evet")*(AY_SONU!$B$7:$B$42=DATE(YEAR($E1254),MONTH($E1254),1))))</f>
        <v>0</v>
      </c>
    </row>
    <row r="1255" spans="1:20" ht="18" customHeight="1" x14ac:dyDescent="0.3">
      <c r="A1255" s="2"/>
      <c r="B1255" s="65" t="str">
        <f t="shared" si="95"/>
        <v/>
      </c>
      <c r="C1255" s="65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66"/>
      <c r="F1255" s="67"/>
      <c r="G1255" s="60"/>
      <c r="H1255" s="60"/>
      <c r="I1255" s="61"/>
      <c r="J1255" s="61"/>
      <c r="K1255" s="61"/>
      <c r="L1255" s="73" t="str">
        <f t="shared" si="96"/>
        <v/>
      </c>
      <c r="M1255" s="65" t="str">
        <f t="shared" ca="1" si="97"/>
        <v/>
      </c>
      <c r="N1255" s="74" t="str">
        <f>IF($C1255="","",IF($C1255="TANIMSIZ MÜŞTERİ","—",INDEX(MUSTERILER!$C$7:$C$156,MATCH($C1255,MUSTERILER!$B$7:$B$156,0))))</f>
        <v/>
      </c>
      <c r="O1255" s="2"/>
      <c r="P1255" s="2"/>
      <c r="Q1255" s="1" t="str">
        <f>IF($D1255="","",$C1255&amp;"|"&amp;COUNTIFS($C$7:$C1255,$C1255))</f>
        <v/>
      </c>
      <c r="R1255" s="1" t="str">
        <f t="shared" si="98"/>
        <v/>
      </c>
      <c r="S1255" s="1" t="str">
        <f t="shared" si="99"/>
        <v/>
      </c>
      <c r="T1255" s="1">
        <f>IF($E1255="",0,SUMPRODUCT((AY_SONU!$O$7:$O$42="Evet")*(AY_SONU!$B$7:$B$42=DATE(YEAR($E1255),MONTH($E1255),1))))</f>
        <v>0</v>
      </c>
    </row>
    <row r="1256" spans="1:20" ht="18" customHeight="1" x14ac:dyDescent="0.3">
      <c r="A1256" s="2"/>
      <c r="B1256" s="65" t="str">
        <f t="shared" si="95"/>
        <v/>
      </c>
      <c r="C1256" s="65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66"/>
      <c r="F1256" s="67"/>
      <c r="G1256" s="60"/>
      <c r="H1256" s="60"/>
      <c r="I1256" s="61"/>
      <c r="J1256" s="61"/>
      <c r="K1256" s="61"/>
      <c r="L1256" s="73" t="str">
        <f t="shared" si="96"/>
        <v/>
      </c>
      <c r="M1256" s="65" t="str">
        <f t="shared" ca="1" si="97"/>
        <v/>
      </c>
      <c r="N1256" s="74" t="str">
        <f>IF($C1256="","",IF($C1256="TANIMSIZ MÜŞTERİ","—",INDEX(MUSTERILER!$C$7:$C$156,MATCH($C1256,MUSTERILER!$B$7:$B$156,0))))</f>
        <v/>
      </c>
      <c r="O1256" s="2"/>
      <c r="P1256" s="2"/>
      <c r="Q1256" s="1" t="str">
        <f>IF($D1256="","",$C1256&amp;"|"&amp;COUNTIFS($C$7:$C1256,$C1256))</f>
        <v/>
      </c>
      <c r="R1256" s="1" t="str">
        <f t="shared" si="98"/>
        <v/>
      </c>
      <c r="S1256" s="1" t="str">
        <f t="shared" si="99"/>
        <v/>
      </c>
      <c r="T1256" s="1">
        <f>IF($E1256="",0,SUMPRODUCT((AY_SONU!$O$7:$O$42="Evet")*(AY_SONU!$B$7:$B$42=DATE(YEAR($E1256),MONTH($E1256),1))))</f>
        <v>0</v>
      </c>
    </row>
    <row r="1257" spans="1:20" ht="18" customHeight="1" x14ac:dyDescent="0.3">
      <c r="A1257" s="2"/>
      <c r="B1257" s="65" t="str">
        <f t="shared" si="95"/>
        <v/>
      </c>
      <c r="C1257" s="65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66"/>
      <c r="F1257" s="67"/>
      <c r="G1257" s="60"/>
      <c r="H1257" s="60"/>
      <c r="I1257" s="61"/>
      <c r="J1257" s="61"/>
      <c r="K1257" s="61"/>
      <c r="L1257" s="73" t="str">
        <f t="shared" si="96"/>
        <v/>
      </c>
      <c r="M1257" s="65" t="str">
        <f t="shared" ca="1" si="97"/>
        <v/>
      </c>
      <c r="N1257" s="74" t="str">
        <f>IF($C1257="","",IF($C1257="TANIMSIZ MÜŞTERİ","—",INDEX(MUSTERILER!$C$7:$C$156,MATCH($C1257,MUSTERILER!$B$7:$B$156,0))))</f>
        <v/>
      </c>
      <c r="O1257" s="2"/>
      <c r="P1257" s="2"/>
      <c r="Q1257" s="1" t="str">
        <f>IF($D1257="","",$C1257&amp;"|"&amp;COUNTIFS($C$7:$C1257,$C1257))</f>
        <v/>
      </c>
      <c r="R1257" s="1" t="str">
        <f t="shared" si="98"/>
        <v/>
      </c>
      <c r="S1257" s="1" t="str">
        <f t="shared" si="99"/>
        <v/>
      </c>
      <c r="T1257" s="1">
        <f>IF($E1257="",0,SUMPRODUCT((AY_SONU!$O$7:$O$42="Evet")*(AY_SONU!$B$7:$B$42=DATE(YEAR($E1257),MONTH($E1257),1))))</f>
        <v>0</v>
      </c>
    </row>
    <row r="1258" spans="1:20" ht="18" customHeight="1" x14ac:dyDescent="0.3">
      <c r="A1258" s="2"/>
      <c r="B1258" s="65" t="str">
        <f t="shared" si="95"/>
        <v/>
      </c>
      <c r="C1258" s="65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66"/>
      <c r="F1258" s="67"/>
      <c r="G1258" s="60"/>
      <c r="H1258" s="60"/>
      <c r="I1258" s="61"/>
      <c r="J1258" s="61"/>
      <c r="K1258" s="61"/>
      <c r="L1258" s="73" t="str">
        <f t="shared" si="96"/>
        <v/>
      </c>
      <c r="M1258" s="65" t="str">
        <f t="shared" ca="1" si="97"/>
        <v/>
      </c>
      <c r="N1258" s="74" t="str">
        <f>IF($C1258="","",IF($C1258="TANIMSIZ MÜŞTERİ","—",INDEX(MUSTERILER!$C$7:$C$156,MATCH($C1258,MUSTERILER!$B$7:$B$156,0))))</f>
        <v/>
      </c>
      <c r="O1258" s="2"/>
      <c r="P1258" s="2"/>
      <c r="Q1258" s="1" t="str">
        <f>IF($D1258="","",$C1258&amp;"|"&amp;COUNTIFS($C$7:$C1258,$C1258))</f>
        <v/>
      </c>
      <c r="R1258" s="1" t="str">
        <f t="shared" si="98"/>
        <v/>
      </c>
      <c r="S1258" s="1" t="str">
        <f t="shared" si="99"/>
        <v/>
      </c>
      <c r="T1258" s="1">
        <f>IF($E1258="",0,SUMPRODUCT((AY_SONU!$O$7:$O$42="Evet")*(AY_SONU!$B$7:$B$42=DATE(YEAR($E1258),MONTH($E1258),1))))</f>
        <v>0</v>
      </c>
    </row>
    <row r="1259" spans="1:20" ht="18" customHeight="1" x14ac:dyDescent="0.3">
      <c r="A1259" s="2"/>
      <c r="B1259" s="65" t="str">
        <f t="shared" si="95"/>
        <v/>
      </c>
      <c r="C1259" s="65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66"/>
      <c r="F1259" s="67"/>
      <c r="G1259" s="60"/>
      <c r="H1259" s="60"/>
      <c r="I1259" s="61"/>
      <c r="J1259" s="61"/>
      <c r="K1259" s="61"/>
      <c r="L1259" s="73" t="str">
        <f t="shared" si="96"/>
        <v/>
      </c>
      <c r="M1259" s="65" t="str">
        <f t="shared" ca="1" si="97"/>
        <v/>
      </c>
      <c r="N1259" s="74" t="str">
        <f>IF($C1259="","",IF($C1259="TANIMSIZ MÜŞTERİ","—",INDEX(MUSTERILER!$C$7:$C$156,MATCH($C1259,MUSTERILER!$B$7:$B$156,0))))</f>
        <v/>
      </c>
      <c r="O1259" s="2"/>
      <c r="P1259" s="2"/>
      <c r="Q1259" s="1" t="str">
        <f>IF($D1259="","",$C1259&amp;"|"&amp;COUNTIFS($C$7:$C1259,$C1259))</f>
        <v/>
      </c>
      <c r="R1259" s="1" t="str">
        <f t="shared" si="98"/>
        <v/>
      </c>
      <c r="S1259" s="1" t="str">
        <f t="shared" si="99"/>
        <v/>
      </c>
      <c r="T1259" s="1">
        <f>IF($E1259="",0,SUMPRODUCT((AY_SONU!$O$7:$O$42="Evet")*(AY_SONU!$B$7:$B$42=DATE(YEAR($E1259),MONTH($E1259),1))))</f>
        <v>0</v>
      </c>
    </row>
    <row r="1260" spans="1:20" ht="18" customHeight="1" x14ac:dyDescent="0.3">
      <c r="A1260" s="2"/>
      <c r="B1260" s="65" t="str">
        <f t="shared" si="95"/>
        <v/>
      </c>
      <c r="C1260" s="65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66"/>
      <c r="F1260" s="67"/>
      <c r="G1260" s="60"/>
      <c r="H1260" s="60"/>
      <c r="I1260" s="61"/>
      <c r="J1260" s="61"/>
      <c r="K1260" s="61"/>
      <c r="L1260" s="73" t="str">
        <f t="shared" si="96"/>
        <v/>
      </c>
      <c r="M1260" s="65" t="str">
        <f t="shared" ca="1" si="97"/>
        <v/>
      </c>
      <c r="N1260" s="74" t="str">
        <f>IF($C1260="","",IF($C1260="TANIMSIZ MÜŞTERİ","—",INDEX(MUSTERILER!$C$7:$C$156,MATCH($C1260,MUSTERILER!$B$7:$B$156,0))))</f>
        <v/>
      </c>
      <c r="O1260" s="2"/>
      <c r="P1260" s="2"/>
      <c r="Q1260" s="1" t="str">
        <f>IF($D1260="","",$C1260&amp;"|"&amp;COUNTIFS($C$7:$C1260,$C1260))</f>
        <v/>
      </c>
      <c r="R1260" s="1" t="str">
        <f t="shared" si="98"/>
        <v/>
      </c>
      <c r="S1260" s="1" t="str">
        <f t="shared" si="99"/>
        <v/>
      </c>
      <c r="T1260" s="1">
        <f>IF($E1260="",0,SUMPRODUCT((AY_SONU!$O$7:$O$42="Evet")*(AY_SONU!$B$7:$B$42=DATE(YEAR($E1260),MONTH($E1260),1))))</f>
        <v>0</v>
      </c>
    </row>
    <row r="1261" spans="1:20" ht="18" customHeight="1" x14ac:dyDescent="0.3">
      <c r="A1261" s="2"/>
      <c r="B1261" s="65" t="str">
        <f t="shared" si="95"/>
        <v/>
      </c>
      <c r="C1261" s="65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66"/>
      <c r="F1261" s="67"/>
      <c r="G1261" s="60"/>
      <c r="H1261" s="60"/>
      <c r="I1261" s="61"/>
      <c r="J1261" s="61"/>
      <c r="K1261" s="61"/>
      <c r="L1261" s="73" t="str">
        <f t="shared" si="96"/>
        <v/>
      </c>
      <c r="M1261" s="65" t="str">
        <f t="shared" ca="1" si="97"/>
        <v/>
      </c>
      <c r="N1261" s="74" t="str">
        <f>IF($C1261="","",IF($C1261="TANIMSIZ MÜŞTERİ","—",INDEX(MUSTERILER!$C$7:$C$156,MATCH($C1261,MUSTERILER!$B$7:$B$156,0))))</f>
        <v/>
      </c>
      <c r="O1261" s="2"/>
      <c r="P1261" s="2"/>
      <c r="Q1261" s="1" t="str">
        <f>IF($D1261="","",$C1261&amp;"|"&amp;COUNTIFS($C$7:$C1261,$C1261))</f>
        <v/>
      </c>
      <c r="R1261" s="1" t="str">
        <f t="shared" si="98"/>
        <v/>
      </c>
      <c r="S1261" s="1" t="str">
        <f t="shared" si="99"/>
        <v/>
      </c>
      <c r="T1261" s="1">
        <f>IF($E1261="",0,SUMPRODUCT((AY_SONU!$O$7:$O$42="Evet")*(AY_SONU!$B$7:$B$42=DATE(YEAR($E1261),MONTH($E1261),1))))</f>
        <v>0</v>
      </c>
    </row>
    <row r="1262" spans="1:20" ht="18" customHeight="1" x14ac:dyDescent="0.3">
      <c r="A1262" s="2"/>
      <c r="B1262" s="65" t="str">
        <f t="shared" si="95"/>
        <v/>
      </c>
      <c r="C1262" s="65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66"/>
      <c r="F1262" s="67"/>
      <c r="G1262" s="60"/>
      <c r="H1262" s="60"/>
      <c r="I1262" s="61"/>
      <c r="J1262" s="61"/>
      <c r="K1262" s="61"/>
      <c r="L1262" s="73" t="str">
        <f t="shared" si="96"/>
        <v/>
      </c>
      <c r="M1262" s="65" t="str">
        <f t="shared" ca="1" si="97"/>
        <v/>
      </c>
      <c r="N1262" s="74" t="str">
        <f>IF($C1262="","",IF($C1262="TANIMSIZ MÜŞTERİ","—",INDEX(MUSTERILER!$C$7:$C$156,MATCH($C1262,MUSTERILER!$B$7:$B$156,0))))</f>
        <v/>
      </c>
      <c r="O1262" s="2"/>
      <c r="P1262" s="2"/>
      <c r="Q1262" s="1" t="str">
        <f>IF($D1262="","",$C1262&amp;"|"&amp;COUNTIFS($C$7:$C1262,$C1262))</f>
        <v/>
      </c>
      <c r="R1262" s="1" t="str">
        <f t="shared" si="98"/>
        <v/>
      </c>
      <c r="S1262" s="1" t="str">
        <f t="shared" si="99"/>
        <v/>
      </c>
      <c r="T1262" s="1">
        <f>IF($E1262="",0,SUMPRODUCT((AY_SONU!$O$7:$O$42="Evet")*(AY_SONU!$B$7:$B$42=DATE(YEAR($E1262),MONTH($E1262),1))))</f>
        <v>0</v>
      </c>
    </row>
    <row r="1263" spans="1:20" ht="18" customHeight="1" x14ac:dyDescent="0.3">
      <c r="A1263" s="2"/>
      <c r="B1263" s="65" t="str">
        <f t="shared" si="95"/>
        <v/>
      </c>
      <c r="C1263" s="65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66"/>
      <c r="F1263" s="67"/>
      <c r="G1263" s="60"/>
      <c r="H1263" s="60"/>
      <c r="I1263" s="61"/>
      <c r="J1263" s="61"/>
      <c r="K1263" s="61"/>
      <c r="L1263" s="73" t="str">
        <f t="shared" si="96"/>
        <v/>
      </c>
      <c r="M1263" s="65" t="str">
        <f t="shared" ca="1" si="97"/>
        <v/>
      </c>
      <c r="N1263" s="74" t="str">
        <f>IF($C1263="","",IF($C1263="TANIMSIZ MÜŞTERİ","—",INDEX(MUSTERILER!$C$7:$C$156,MATCH($C1263,MUSTERILER!$B$7:$B$156,0))))</f>
        <v/>
      </c>
      <c r="O1263" s="2"/>
      <c r="P1263" s="2"/>
      <c r="Q1263" s="1" t="str">
        <f>IF($D1263="","",$C1263&amp;"|"&amp;COUNTIFS($C$7:$C1263,$C1263))</f>
        <v/>
      </c>
      <c r="R1263" s="1" t="str">
        <f t="shared" si="98"/>
        <v/>
      </c>
      <c r="S1263" s="1" t="str">
        <f t="shared" si="99"/>
        <v/>
      </c>
      <c r="T1263" s="1">
        <f>IF($E1263="",0,SUMPRODUCT((AY_SONU!$O$7:$O$42="Evet")*(AY_SONU!$B$7:$B$42=DATE(YEAR($E1263),MONTH($E1263),1))))</f>
        <v>0</v>
      </c>
    </row>
    <row r="1264" spans="1:20" ht="18" customHeight="1" x14ac:dyDescent="0.3">
      <c r="A1264" s="2"/>
      <c r="B1264" s="65" t="str">
        <f t="shared" si="95"/>
        <v/>
      </c>
      <c r="C1264" s="65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66"/>
      <c r="F1264" s="67"/>
      <c r="G1264" s="60"/>
      <c r="H1264" s="60"/>
      <c r="I1264" s="61"/>
      <c r="J1264" s="61"/>
      <c r="K1264" s="61"/>
      <c r="L1264" s="73" t="str">
        <f t="shared" si="96"/>
        <v/>
      </c>
      <c r="M1264" s="65" t="str">
        <f t="shared" ca="1" si="97"/>
        <v/>
      </c>
      <c r="N1264" s="74" t="str">
        <f>IF($C1264="","",IF($C1264="TANIMSIZ MÜŞTERİ","—",INDEX(MUSTERILER!$C$7:$C$156,MATCH($C1264,MUSTERILER!$B$7:$B$156,0))))</f>
        <v/>
      </c>
      <c r="O1264" s="2"/>
      <c r="P1264" s="2"/>
      <c r="Q1264" s="1" t="str">
        <f>IF($D1264="","",$C1264&amp;"|"&amp;COUNTIFS($C$7:$C1264,$C1264))</f>
        <v/>
      </c>
      <c r="R1264" s="1" t="str">
        <f t="shared" si="98"/>
        <v/>
      </c>
      <c r="S1264" s="1" t="str">
        <f t="shared" si="99"/>
        <v/>
      </c>
      <c r="T1264" s="1">
        <f>IF($E1264="",0,SUMPRODUCT((AY_SONU!$O$7:$O$42="Evet")*(AY_SONU!$B$7:$B$42=DATE(YEAR($E1264),MONTH($E1264),1))))</f>
        <v>0</v>
      </c>
    </row>
    <row r="1265" spans="1:20" ht="18" customHeight="1" x14ac:dyDescent="0.3">
      <c r="A1265" s="2"/>
      <c r="B1265" s="65" t="str">
        <f t="shared" si="95"/>
        <v/>
      </c>
      <c r="C1265" s="65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66"/>
      <c r="F1265" s="67"/>
      <c r="G1265" s="60"/>
      <c r="H1265" s="60"/>
      <c r="I1265" s="61"/>
      <c r="J1265" s="61"/>
      <c r="K1265" s="61"/>
      <c r="L1265" s="73" t="str">
        <f t="shared" si="96"/>
        <v/>
      </c>
      <c r="M1265" s="65" t="str">
        <f t="shared" ca="1" si="97"/>
        <v/>
      </c>
      <c r="N1265" s="74" t="str">
        <f>IF($C1265="","",IF($C1265="TANIMSIZ MÜŞTERİ","—",INDEX(MUSTERILER!$C$7:$C$156,MATCH($C1265,MUSTERILER!$B$7:$B$156,0))))</f>
        <v/>
      </c>
      <c r="O1265" s="2"/>
      <c r="P1265" s="2"/>
      <c r="Q1265" s="1" t="str">
        <f>IF($D1265="","",$C1265&amp;"|"&amp;COUNTIFS($C$7:$C1265,$C1265))</f>
        <v/>
      </c>
      <c r="R1265" s="1" t="str">
        <f t="shared" si="98"/>
        <v/>
      </c>
      <c r="S1265" s="1" t="str">
        <f t="shared" si="99"/>
        <v/>
      </c>
      <c r="T1265" s="1">
        <f>IF($E1265="",0,SUMPRODUCT((AY_SONU!$O$7:$O$42="Evet")*(AY_SONU!$B$7:$B$42=DATE(YEAR($E1265),MONTH($E1265),1))))</f>
        <v>0</v>
      </c>
    </row>
    <row r="1266" spans="1:20" ht="18" customHeight="1" x14ac:dyDescent="0.3">
      <c r="A1266" s="2"/>
      <c r="B1266" s="65" t="str">
        <f t="shared" si="95"/>
        <v/>
      </c>
      <c r="C1266" s="65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66"/>
      <c r="F1266" s="67"/>
      <c r="G1266" s="60"/>
      <c r="H1266" s="60"/>
      <c r="I1266" s="61"/>
      <c r="J1266" s="61"/>
      <c r="K1266" s="61"/>
      <c r="L1266" s="73" t="str">
        <f t="shared" si="96"/>
        <v/>
      </c>
      <c r="M1266" s="65" t="str">
        <f t="shared" ca="1" si="97"/>
        <v/>
      </c>
      <c r="N1266" s="74" t="str">
        <f>IF($C1266="","",IF($C1266="TANIMSIZ MÜŞTERİ","—",INDEX(MUSTERILER!$C$7:$C$156,MATCH($C1266,MUSTERILER!$B$7:$B$156,0))))</f>
        <v/>
      </c>
      <c r="O1266" s="2"/>
      <c r="P1266" s="2"/>
      <c r="Q1266" s="1" t="str">
        <f>IF($D1266="","",$C1266&amp;"|"&amp;COUNTIFS($C$7:$C1266,$C1266))</f>
        <v/>
      </c>
      <c r="R1266" s="1" t="str">
        <f t="shared" si="98"/>
        <v/>
      </c>
      <c r="S1266" s="1" t="str">
        <f t="shared" si="99"/>
        <v/>
      </c>
      <c r="T1266" s="1">
        <f>IF($E1266="",0,SUMPRODUCT((AY_SONU!$O$7:$O$42="Evet")*(AY_SONU!$B$7:$B$42=DATE(YEAR($E1266),MONTH($E1266),1))))</f>
        <v>0</v>
      </c>
    </row>
    <row r="1267" spans="1:20" ht="18" customHeight="1" x14ac:dyDescent="0.3">
      <c r="A1267" s="2"/>
      <c r="B1267" s="65" t="str">
        <f t="shared" si="95"/>
        <v/>
      </c>
      <c r="C1267" s="65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66"/>
      <c r="F1267" s="67"/>
      <c r="G1267" s="60"/>
      <c r="H1267" s="60"/>
      <c r="I1267" s="61"/>
      <c r="J1267" s="61"/>
      <c r="K1267" s="61"/>
      <c r="L1267" s="73" t="str">
        <f t="shared" si="96"/>
        <v/>
      </c>
      <c r="M1267" s="65" t="str">
        <f t="shared" ca="1" si="97"/>
        <v/>
      </c>
      <c r="N1267" s="74" t="str">
        <f>IF($C1267="","",IF($C1267="TANIMSIZ MÜŞTERİ","—",INDEX(MUSTERILER!$C$7:$C$156,MATCH($C1267,MUSTERILER!$B$7:$B$156,0))))</f>
        <v/>
      </c>
      <c r="O1267" s="2"/>
      <c r="P1267" s="2"/>
      <c r="Q1267" s="1" t="str">
        <f>IF($D1267="","",$C1267&amp;"|"&amp;COUNTIFS($C$7:$C1267,$C1267))</f>
        <v/>
      </c>
      <c r="R1267" s="1" t="str">
        <f t="shared" si="98"/>
        <v/>
      </c>
      <c r="S1267" s="1" t="str">
        <f t="shared" si="99"/>
        <v/>
      </c>
      <c r="T1267" s="1">
        <f>IF($E1267="",0,SUMPRODUCT((AY_SONU!$O$7:$O$42="Evet")*(AY_SONU!$B$7:$B$42=DATE(YEAR($E1267),MONTH($E1267),1))))</f>
        <v>0</v>
      </c>
    </row>
    <row r="1268" spans="1:20" ht="18" customHeight="1" x14ac:dyDescent="0.3">
      <c r="A1268" s="2"/>
      <c r="B1268" s="65" t="str">
        <f t="shared" si="95"/>
        <v/>
      </c>
      <c r="C1268" s="65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66"/>
      <c r="F1268" s="67"/>
      <c r="G1268" s="60"/>
      <c r="H1268" s="60"/>
      <c r="I1268" s="61"/>
      <c r="J1268" s="61"/>
      <c r="K1268" s="61"/>
      <c r="L1268" s="73" t="str">
        <f t="shared" si="96"/>
        <v/>
      </c>
      <c r="M1268" s="65" t="str">
        <f t="shared" ca="1" si="97"/>
        <v/>
      </c>
      <c r="N1268" s="74" t="str">
        <f>IF($C1268="","",IF($C1268="TANIMSIZ MÜŞTERİ","—",INDEX(MUSTERILER!$C$7:$C$156,MATCH($C1268,MUSTERILER!$B$7:$B$156,0))))</f>
        <v/>
      </c>
      <c r="O1268" s="2"/>
      <c r="P1268" s="2"/>
      <c r="Q1268" s="1" t="str">
        <f>IF($D1268="","",$C1268&amp;"|"&amp;COUNTIFS($C$7:$C1268,$C1268))</f>
        <v/>
      </c>
      <c r="R1268" s="1" t="str">
        <f t="shared" si="98"/>
        <v/>
      </c>
      <c r="S1268" s="1" t="str">
        <f t="shared" si="99"/>
        <v/>
      </c>
      <c r="T1268" s="1">
        <f>IF($E1268="",0,SUMPRODUCT((AY_SONU!$O$7:$O$42="Evet")*(AY_SONU!$B$7:$B$42=DATE(YEAR($E1268),MONTH($E1268),1))))</f>
        <v>0</v>
      </c>
    </row>
    <row r="1269" spans="1:20" ht="18" customHeight="1" x14ac:dyDescent="0.3">
      <c r="A1269" s="2"/>
      <c r="B1269" s="65" t="str">
        <f t="shared" si="95"/>
        <v/>
      </c>
      <c r="C1269" s="65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66"/>
      <c r="F1269" s="67"/>
      <c r="G1269" s="60"/>
      <c r="H1269" s="60"/>
      <c r="I1269" s="61"/>
      <c r="J1269" s="61"/>
      <c r="K1269" s="61"/>
      <c r="L1269" s="73" t="str">
        <f t="shared" si="96"/>
        <v/>
      </c>
      <c r="M1269" s="65" t="str">
        <f t="shared" ca="1" si="97"/>
        <v/>
      </c>
      <c r="N1269" s="74" t="str">
        <f>IF($C1269="","",IF($C1269="TANIMSIZ MÜŞTERİ","—",INDEX(MUSTERILER!$C$7:$C$156,MATCH($C1269,MUSTERILER!$B$7:$B$156,0))))</f>
        <v/>
      </c>
      <c r="O1269" s="2"/>
      <c r="P1269" s="2"/>
      <c r="Q1269" s="1" t="str">
        <f>IF($D1269="","",$C1269&amp;"|"&amp;COUNTIFS($C$7:$C1269,$C1269))</f>
        <v/>
      </c>
      <c r="R1269" s="1" t="str">
        <f t="shared" si="98"/>
        <v/>
      </c>
      <c r="S1269" s="1" t="str">
        <f t="shared" si="99"/>
        <v/>
      </c>
      <c r="T1269" s="1">
        <f>IF($E1269="",0,SUMPRODUCT((AY_SONU!$O$7:$O$42="Evet")*(AY_SONU!$B$7:$B$42=DATE(YEAR($E1269),MONTH($E1269),1))))</f>
        <v>0</v>
      </c>
    </row>
    <row r="1270" spans="1:20" ht="18" customHeight="1" x14ac:dyDescent="0.3">
      <c r="A1270" s="2"/>
      <c r="B1270" s="65" t="str">
        <f t="shared" si="95"/>
        <v/>
      </c>
      <c r="C1270" s="65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66"/>
      <c r="F1270" s="67"/>
      <c r="G1270" s="60"/>
      <c r="H1270" s="60"/>
      <c r="I1270" s="61"/>
      <c r="J1270" s="61"/>
      <c r="K1270" s="61"/>
      <c r="L1270" s="73" t="str">
        <f t="shared" si="96"/>
        <v/>
      </c>
      <c r="M1270" s="65" t="str">
        <f t="shared" ca="1" si="97"/>
        <v/>
      </c>
      <c r="N1270" s="74" t="str">
        <f>IF($C1270="","",IF($C1270="TANIMSIZ MÜŞTERİ","—",INDEX(MUSTERILER!$C$7:$C$156,MATCH($C1270,MUSTERILER!$B$7:$B$156,0))))</f>
        <v/>
      </c>
      <c r="O1270" s="2"/>
      <c r="P1270" s="2"/>
      <c r="Q1270" s="1" t="str">
        <f>IF($D1270="","",$C1270&amp;"|"&amp;COUNTIFS($C$7:$C1270,$C1270))</f>
        <v/>
      </c>
      <c r="R1270" s="1" t="str">
        <f t="shared" si="98"/>
        <v/>
      </c>
      <c r="S1270" s="1" t="str">
        <f t="shared" si="99"/>
        <v/>
      </c>
      <c r="T1270" s="1">
        <f>IF($E1270="",0,SUMPRODUCT((AY_SONU!$O$7:$O$42="Evet")*(AY_SONU!$B$7:$B$42=DATE(YEAR($E1270),MONTH($E1270),1))))</f>
        <v>0</v>
      </c>
    </row>
    <row r="1271" spans="1:20" ht="18" customHeight="1" x14ac:dyDescent="0.3">
      <c r="A1271" s="2"/>
      <c r="B1271" s="65" t="str">
        <f t="shared" si="95"/>
        <v/>
      </c>
      <c r="C1271" s="65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66"/>
      <c r="F1271" s="67"/>
      <c r="G1271" s="60"/>
      <c r="H1271" s="60"/>
      <c r="I1271" s="61"/>
      <c r="J1271" s="61"/>
      <c r="K1271" s="61"/>
      <c r="L1271" s="73" t="str">
        <f t="shared" si="96"/>
        <v/>
      </c>
      <c r="M1271" s="65" t="str">
        <f t="shared" ca="1" si="97"/>
        <v/>
      </c>
      <c r="N1271" s="74" t="str">
        <f>IF($C1271="","",IF($C1271="TANIMSIZ MÜŞTERİ","—",INDEX(MUSTERILER!$C$7:$C$156,MATCH($C1271,MUSTERILER!$B$7:$B$156,0))))</f>
        <v/>
      </c>
      <c r="O1271" s="2"/>
      <c r="P1271" s="2"/>
      <c r="Q1271" s="1" t="str">
        <f>IF($D1271="","",$C1271&amp;"|"&amp;COUNTIFS($C$7:$C1271,$C1271))</f>
        <v/>
      </c>
      <c r="R1271" s="1" t="str">
        <f t="shared" si="98"/>
        <v/>
      </c>
      <c r="S1271" s="1" t="str">
        <f t="shared" si="99"/>
        <v/>
      </c>
      <c r="T1271" s="1">
        <f>IF($E1271="",0,SUMPRODUCT((AY_SONU!$O$7:$O$42="Evet")*(AY_SONU!$B$7:$B$42=DATE(YEAR($E1271),MONTH($E1271),1))))</f>
        <v>0</v>
      </c>
    </row>
    <row r="1272" spans="1:20" ht="18" customHeight="1" x14ac:dyDescent="0.3">
      <c r="A1272" s="2"/>
      <c r="B1272" s="65" t="str">
        <f t="shared" si="95"/>
        <v/>
      </c>
      <c r="C1272" s="65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66"/>
      <c r="F1272" s="67"/>
      <c r="G1272" s="60"/>
      <c r="H1272" s="60"/>
      <c r="I1272" s="61"/>
      <c r="J1272" s="61"/>
      <c r="K1272" s="61"/>
      <c r="L1272" s="73" t="str">
        <f t="shared" si="96"/>
        <v/>
      </c>
      <c r="M1272" s="65" t="str">
        <f t="shared" ca="1" si="97"/>
        <v/>
      </c>
      <c r="N1272" s="74" t="str">
        <f>IF($C1272="","",IF($C1272="TANIMSIZ MÜŞTERİ","—",INDEX(MUSTERILER!$C$7:$C$156,MATCH($C1272,MUSTERILER!$B$7:$B$156,0))))</f>
        <v/>
      </c>
      <c r="O1272" s="2"/>
      <c r="P1272" s="2"/>
      <c r="Q1272" s="1" t="str">
        <f>IF($D1272="","",$C1272&amp;"|"&amp;COUNTIFS($C$7:$C1272,$C1272))</f>
        <v/>
      </c>
      <c r="R1272" s="1" t="str">
        <f t="shared" si="98"/>
        <v/>
      </c>
      <c r="S1272" s="1" t="str">
        <f t="shared" si="99"/>
        <v/>
      </c>
      <c r="T1272" s="1">
        <f>IF($E1272="",0,SUMPRODUCT((AY_SONU!$O$7:$O$42="Evet")*(AY_SONU!$B$7:$B$42=DATE(YEAR($E1272),MONTH($E1272),1))))</f>
        <v>0</v>
      </c>
    </row>
    <row r="1273" spans="1:20" ht="18" customHeight="1" x14ac:dyDescent="0.3">
      <c r="A1273" s="2"/>
      <c r="B1273" s="65" t="str">
        <f t="shared" si="95"/>
        <v/>
      </c>
      <c r="C1273" s="65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66"/>
      <c r="F1273" s="67"/>
      <c r="G1273" s="60"/>
      <c r="H1273" s="60"/>
      <c r="I1273" s="61"/>
      <c r="J1273" s="61"/>
      <c r="K1273" s="61"/>
      <c r="L1273" s="73" t="str">
        <f t="shared" si="96"/>
        <v/>
      </c>
      <c r="M1273" s="65" t="str">
        <f t="shared" ca="1" si="97"/>
        <v/>
      </c>
      <c r="N1273" s="74" t="str">
        <f>IF($C1273="","",IF($C1273="TANIMSIZ MÜŞTERİ","—",INDEX(MUSTERILER!$C$7:$C$156,MATCH($C1273,MUSTERILER!$B$7:$B$156,0))))</f>
        <v/>
      </c>
      <c r="O1273" s="2"/>
      <c r="P1273" s="2"/>
      <c r="Q1273" s="1" t="str">
        <f>IF($D1273="","",$C1273&amp;"|"&amp;COUNTIFS($C$7:$C1273,$C1273))</f>
        <v/>
      </c>
      <c r="R1273" s="1" t="str">
        <f t="shared" si="98"/>
        <v/>
      </c>
      <c r="S1273" s="1" t="str">
        <f t="shared" si="99"/>
        <v/>
      </c>
      <c r="T1273" s="1">
        <f>IF($E1273="",0,SUMPRODUCT((AY_SONU!$O$7:$O$42="Evet")*(AY_SONU!$B$7:$B$42=DATE(YEAR($E1273),MONTH($E1273),1))))</f>
        <v>0</v>
      </c>
    </row>
    <row r="1274" spans="1:20" ht="18" customHeight="1" x14ac:dyDescent="0.3">
      <c r="A1274" s="2"/>
      <c r="B1274" s="65" t="str">
        <f t="shared" si="95"/>
        <v/>
      </c>
      <c r="C1274" s="65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66"/>
      <c r="F1274" s="67"/>
      <c r="G1274" s="60"/>
      <c r="H1274" s="60"/>
      <c r="I1274" s="61"/>
      <c r="J1274" s="61"/>
      <c r="K1274" s="61"/>
      <c r="L1274" s="73" t="str">
        <f t="shared" si="96"/>
        <v/>
      </c>
      <c r="M1274" s="65" t="str">
        <f t="shared" ca="1" si="97"/>
        <v/>
      </c>
      <c r="N1274" s="74" t="str">
        <f>IF($C1274="","",IF($C1274="TANIMSIZ MÜŞTERİ","—",INDEX(MUSTERILER!$C$7:$C$156,MATCH($C1274,MUSTERILER!$B$7:$B$156,0))))</f>
        <v/>
      </c>
      <c r="O1274" s="2"/>
      <c r="P1274" s="2"/>
      <c r="Q1274" s="1" t="str">
        <f>IF($D1274="","",$C1274&amp;"|"&amp;COUNTIFS($C$7:$C1274,$C1274))</f>
        <v/>
      </c>
      <c r="R1274" s="1" t="str">
        <f t="shared" si="98"/>
        <v/>
      </c>
      <c r="S1274" s="1" t="str">
        <f t="shared" si="99"/>
        <v/>
      </c>
      <c r="T1274" s="1">
        <f>IF($E1274="",0,SUMPRODUCT((AY_SONU!$O$7:$O$42="Evet")*(AY_SONU!$B$7:$B$42=DATE(YEAR($E1274),MONTH($E1274),1))))</f>
        <v>0</v>
      </c>
    </row>
    <row r="1275" spans="1:20" ht="18" customHeight="1" x14ac:dyDescent="0.3">
      <c r="A1275" s="2"/>
      <c r="B1275" s="65" t="str">
        <f t="shared" si="95"/>
        <v/>
      </c>
      <c r="C1275" s="65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66"/>
      <c r="F1275" s="67"/>
      <c r="G1275" s="60"/>
      <c r="H1275" s="60"/>
      <c r="I1275" s="61"/>
      <c r="J1275" s="61"/>
      <c r="K1275" s="61"/>
      <c r="L1275" s="73" t="str">
        <f t="shared" si="96"/>
        <v/>
      </c>
      <c r="M1275" s="65" t="str">
        <f t="shared" ca="1" si="97"/>
        <v/>
      </c>
      <c r="N1275" s="74" t="str">
        <f>IF($C1275="","",IF($C1275="TANIMSIZ MÜŞTERİ","—",INDEX(MUSTERILER!$C$7:$C$156,MATCH($C1275,MUSTERILER!$B$7:$B$156,0))))</f>
        <v/>
      </c>
      <c r="O1275" s="2"/>
      <c r="P1275" s="2"/>
      <c r="Q1275" s="1" t="str">
        <f>IF($D1275="","",$C1275&amp;"|"&amp;COUNTIFS($C$7:$C1275,$C1275))</f>
        <v/>
      </c>
      <c r="R1275" s="1" t="str">
        <f t="shared" si="98"/>
        <v/>
      </c>
      <c r="S1275" s="1" t="str">
        <f t="shared" si="99"/>
        <v/>
      </c>
      <c r="T1275" s="1">
        <f>IF($E1275="",0,SUMPRODUCT((AY_SONU!$O$7:$O$42="Evet")*(AY_SONU!$B$7:$B$42=DATE(YEAR($E1275),MONTH($E1275),1))))</f>
        <v>0</v>
      </c>
    </row>
    <row r="1276" spans="1:20" ht="18" customHeight="1" x14ac:dyDescent="0.3">
      <c r="A1276" s="2"/>
      <c r="B1276" s="65" t="str">
        <f t="shared" si="95"/>
        <v/>
      </c>
      <c r="C1276" s="65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66"/>
      <c r="F1276" s="67"/>
      <c r="G1276" s="60"/>
      <c r="H1276" s="60"/>
      <c r="I1276" s="61"/>
      <c r="J1276" s="61"/>
      <c r="K1276" s="61"/>
      <c r="L1276" s="73" t="str">
        <f t="shared" si="96"/>
        <v/>
      </c>
      <c r="M1276" s="65" t="str">
        <f t="shared" ca="1" si="97"/>
        <v/>
      </c>
      <c r="N1276" s="74" t="str">
        <f>IF($C1276="","",IF($C1276="TANIMSIZ MÜŞTERİ","—",INDEX(MUSTERILER!$C$7:$C$156,MATCH($C1276,MUSTERILER!$B$7:$B$156,0))))</f>
        <v/>
      </c>
      <c r="O1276" s="2"/>
      <c r="P1276" s="2"/>
      <c r="Q1276" s="1" t="str">
        <f>IF($D1276="","",$C1276&amp;"|"&amp;COUNTIFS($C$7:$C1276,$C1276))</f>
        <v/>
      </c>
      <c r="R1276" s="1" t="str">
        <f t="shared" si="98"/>
        <v/>
      </c>
      <c r="S1276" s="1" t="str">
        <f t="shared" si="99"/>
        <v/>
      </c>
      <c r="T1276" s="1">
        <f>IF($E1276="",0,SUMPRODUCT((AY_SONU!$O$7:$O$42="Evet")*(AY_SONU!$B$7:$B$42=DATE(YEAR($E1276),MONTH($E1276),1))))</f>
        <v>0</v>
      </c>
    </row>
    <row r="1277" spans="1:20" ht="18" customHeight="1" x14ac:dyDescent="0.3">
      <c r="A1277" s="2"/>
      <c r="B1277" s="65" t="str">
        <f t="shared" si="95"/>
        <v/>
      </c>
      <c r="C1277" s="65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66"/>
      <c r="F1277" s="67"/>
      <c r="G1277" s="60"/>
      <c r="H1277" s="60"/>
      <c r="I1277" s="61"/>
      <c r="J1277" s="61"/>
      <c r="K1277" s="61"/>
      <c r="L1277" s="73" t="str">
        <f t="shared" si="96"/>
        <v/>
      </c>
      <c r="M1277" s="65" t="str">
        <f t="shared" ca="1" si="97"/>
        <v/>
      </c>
      <c r="N1277" s="74" t="str">
        <f>IF($C1277="","",IF($C1277="TANIMSIZ MÜŞTERİ","—",INDEX(MUSTERILER!$C$7:$C$156,MATCH($C1277,MUSTERILER!$B$7:$B$156,0))))</f>
        <v/>
      </c>
      <c r="O1277" s="2"/>
      <c r="P1277" s="2"/>
      <c r="Q1277" s="1" t="str">
        <f>IF($D1277="","",$C1277&amp;"|"&amp;COUNTIFS($C$7:$C1277,$C1277))</f>
        <v/>
      </c>
      <c r="R1277" s="1" t="str">
        <f t="shared" si="98"/>
        <v/>
      </c>
      <c r="S1277" s="1" t="str">
        <f t="shared" si="99"/>
        <v/>
      </c>
      <c r="T1277" s="1">
        <f>IF($E1277="",0,SUMPRODUCT((AY_SONU!$O$7:$O$42="Evet")*(AY_SONU!$B$7:$B$42=DATE(YEAR($E1277),MONTH($E1277),1))))</f>
        <v>0</v>
      </c>
    </row>
    <row r="1278" spans="1:20" ht="18" customHeight="1" x14ac:dyDescent="0.3">
      <c r="A1278" s="2"/>
      <c r="B1278" s="65" t="str">
        <f t="shared" si="95"/>
        <v/>
      </c>
      <c r="C1278" s="65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66"/>
      <c r="F1278" s="67"/>
      <c r="G1278" s="60"/>
      <c r="H1278" s="60"/>
      <c r="I1278" s="61"/>
      <c r="J1278" s="61"/>
      <c r="K1278" s="61"/>
      <c r="L1278" s="73" t="str">
        <f t="shared" si="96"/>
        <v/>
      </c>
      <c r="M1278" s="65" t="str">
        <f t="shared" ca="1" si="97"/>
        <v/>
      </c>
      <c r="N1278" s="74" t="str">
        <f>IF($C1278="","",IF($C1278="TANIMSIZ MÜŞTERİ","—",INDEX(MUSTERILER!$C$7:$C$156,MATCH($C1278,MUSTERILER!$B$7:$B$156,0))))</f>
        <v/>
      </c>
      <c r="O1278" s="2"/>
      <c r="P1278" s="2"/>
      <c r="Q1278" s="1" t="str">
        <f>IF($D1278="","",$C1278&amp;"|"&amp;COUNTIFS($C$7:$C1278,$C1278))</f>
        <v/>
      </c>
      <c r="R1278" s="1" t="str">
        <f t="shared" si="98"/>
        <v/>
      </c>
      <c r="S1278" s="1" t="str">
        <f t="shared" si="99"/>
        <v/>
      </c>
      <c r="T1278" s="1">
        <f>IF($E1278="",0,SUMPRODUCT((AY_SONU!$O$7:$O$42="Evet")*(AY_SONU!$B$7:$B$42=DATE(YEAR($E1278),MONTH($E1278),1))))</f>
        <v>0</v>
      </c>
    </row>
    <row r="1279" spans="1:20" ht="18" customHeight="1" x14ac:dyDescent="0.3">
      <c r="A1279" s="2"/>
      <c r="B1279" s="65" t="str">
        <f t="shared" si="95"/>
        <v/>
      </c>
      <c r="C1279" s="65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66"/>
      <c r="F1279" s="67"/>
      <c r="G1279" s="60"/>
      <c r="H1279" s="60"/>
      <c r="I1279" s="61"/>
      <c r="J1279" s="61"/>
      <c r="K1279" s="61"/>
      <c r="L1279" s="73" t="str">
        <f t="shared" si="96"/>
        <v/>
      </c>
      <c r="M1279" s="65" t="str">
        <f t="shared" ca="1" si="97"/>
        <v/>
      </c>
      <c r="N1279" s="74" t="str">
        <f>IF($C1279="","",IF($C1279="TANIMSIZ MÜŞTERİ","—",INDEX(MUSTERILER!$C$7:$C$156,MATCH($C1279,MUSTERILER!$B$7:$B$156,0))))</f>
        <v/>
      </c>
      <c r="O1279" s="2"/>
      <c r="P1279" s="2"/>
      <c r="Q1279" s="1" t="str">
        <f>IF($D1279="","",$C1279&amp;"|"&amp;COUNTIFS($C$7:$C1279,$C1279))</f>
        <v/>
      </c>
      <c r="R1279" s="1" t="str">
        <f t="shared" si="98"/>
        <v/>
      </c>
      <c r="S1279" s="1" t="str">
        <f t="shared" si="99"/>
        <v/>
      </c>
      <c r="T1279" s="1">
        <f>IF($E1279="",0,SUMPRODUCT((AY_SONU!$O$7:$O$42="Evet")*(AY_SONU!$B$7:$B$42=DATE(YEAR($E1279),MONTH($E1279),1))))</f>
        <v>0</v>
      </c>
    </row>
    <row r="1280" spans="1:20" ht="18" customHeight="1" x14ac:dyDescent="0.3">
      <c r="A1280" s="2"/>
      <c r="B1280" s="65" t="str">
        <f t="shared" si="95"/>
        <v/>
      </c>
      <c r="C1280" s="65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66"/>
      <c r="F1280" s="67"/>
      <c r="G1280" s="60"/>
      <c r="H1280" s="60"/>
      <c r="I1280" s="61"/>
      <c r="J1280" s="61"/>
      <c r="K1280" s="61"/>
      <c r="L1280" s="73" t="str">
        <f t="shared" si="96"/>
        <v/>
      </c>
      <c r="M1280" s="65" t="str">
        <f t="shared" ca="1" si="97"/>
        <v/>
      </c>
      <c r="N1280" s="74" t="str">
        <f>IF($C1280="","",IF($C1280="TANIMSIZ MÜŞTERİ","—",INDEX(MUSTERILER!$C$7:$C$156,MATCH($C1280,MUSTERILER!$B$7:$B$156,0))))</f>
        <v/>
      </c>
      <c r="O1280" s="2"/>
      <c r="P1280" s="2"/>
      <c r="Q1280" s="1" t="str">
        <f>IF($D1280="","",$C1280&amp;"|"&amp;COUNTIFS($C$7:$C1280,$C1280))</f>
        <v/>
      </c>
      <c r="R1280" s="1" t="str">
        <f t="shared" si="98"/>
        <v/>
      </c>
      <c r="S1280" s="1" t="str">
        <f t="shared" si="99"/>
        <v/>
      </c>
      <c r="T1280" s="1">
        <f>IF($E1280="",0,SUMPRODUCT((AY_SONU!$O$7:$O$42="Evet")*(AY_SONU!$B$7:$B$42=DATE(YEAR($E1280),MONTH($E1280),1))))</f>
        <v>0</v>
      </c>
    </row>
    <row r="1281" spans="1:20" ht="18" customHeight="1" x14ac:dyDescent="0.3">
      <c r="A1281" s="2"/>
      <c r="B1281" s="65" t="str">
        <f t="shared" si="95"/>
        <v/>
      </c>
      <c r="C1281" s="65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66"/>
      <c r="F1281" s="67"/>
      <c r="G1281" s="60"/>
      <c r="H1281" s="60"/>
      <c r="I1281" s="61"/>
      <c r="J1281" s="61"/>
      <c r="K1281" s="61"/>
      <c r="L1281" s="73" t="str">
        <f t="shared" si="96"/>
        <v/>
      </c>
      <c r="M1281" s="65" t="str">
        <f t="shared" ca="1" si="97"/>
        <v/>
      </c>
      <c r="N1281" s="74" t="str">
        <f>IF($C1281="","",IF($C1281="TANIMSIZ MÜŞTERİ","—",INDEX(MUSTERILER!$C$7:$C$156,MATCH($C1281,MUSTERILER!$B$7:$B$156,0))))</f>
        <v/>
      </c>
      <c r="O1281" s="2"/>
      <c r="P1281" s="2"/>
      <c r="Q1281" s="1" t="str">
        <f>IF($D1281="","",$C1281&amp;"|"&amp;COUNTIFS($C$7:$C1281,$C1281))</f>
        <v/>
      </c>
      <c r="R1281" s="1" t="str">
        <f t="shared" si="98"/>
        <v/>
      </c>
      <c r="S1281" s="1" t="str">
        <f t="shared" si="99"/>
        <v/>
      </c>
      <c r="T1281" s="1">
        <f>IF($E1281="",0,SUMPRODUCT((AY_SONU!$O$7:$O$42="Evet")*(AY_SONU!$B$7:$B$42=DATE(YEAR($E1281),MONTH($E1281),1))))</f>
        <v>0</v>
      </c>
    </row>
    <row r="1282" spans="1:20" ht="18" customHeight="1" x14ac:dyDescent="0.3">
      <c r="A1282" s="2"/>
      <c r="B1282" s="65" t="str">
        <f t="shared" si="95"/>
        <v/>
      </c>
      <c r="C1282" s="65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66"/>
      <c r="F1282" s="67"/>
      <c r="G1282" s="60"/>
      <c r="H1282" s="60"/>
      <c r="I1282" s="61"/>
      <c r="J1282" s="61"/>
      <c r="K1282" s="61"/>
      <c r="L1282" s="73" t="str">
        <f t="shared" si="96"/>
        <v/>
      </c>
      <c r="M1282" s="65" t="str">
        <f t="shared" ca="1" si="97"/>
        <v/>
      </c>
      <c r="N1282" s="74" t="str">
        <f>IF($C1282="","",IF($C1282="TANIMSIZ MÜŞTERİ","—",INDEX(MUSTERILER!$C$7:$C$156,MATCH($C1282,MUSTERILER!$B$7:$B$156,0))))</f>
        <v/>
      </c>
      <c r="O1282" s="2"/>
      <c r="P1282" s="2"/>
      <c r="Q1282" s="1" t="str">
        <f>IF($D1282="","",$C1282&amp;"|"&amp;COUNTIFS($C$7:$C1282,$C1282))</f>
        <v/>
      </c>
      <c r="R1282" s="1" t="str">
        <f t="shared" si="98"/>
        <v/>
      </c>
      <c r="S1282" s="1" t="str">
        <f t="shared" si="99"/>
        <v/>
      </c>
      <c r="T1282" s="1">
        <f>IF($E1282="",0,SUMPRODUCT((AY_SONU!$O$7:$O$42="Evet")*(AY_SONU!$B$7:$B$42=DATE(YEAR($E1282),MONTH($E1282),1))))</f>
        <v>0</v>
      </c>
    </row>
    <row r="1283" spans="1:20" ht="18" customHeight="1" x14ac:dyDescent="0.3">
      <c r="A1283" s="2"/>
      <c r="B1283" s="65" t="str">
        <f t="shared" si="95"/>
        <v/>
      </c>
      <c r="C1283" s="65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66"/>
      <c r="F1283" s="67"/>
      <c r="G1283" s="60"/>
      <c r="H1283" s="60"/>
      <c r="I1283" s="61"/>
      <c r="J1283" s="61"/>
      <c r="K1283" s="61"/>
      <c r="L1283" s="73" t="str">
        <f t="shared" si="96"/>
        <v/>
      </c>
      <c r="M1283" s="65" t="str">
        <f t="shared" ca="1" si="97"/>
        <v/>
      </c>
      <c r="N1283" s="74" t="str">
        <f>IF($C1283="","",IF($C1283="TANIMSIZ MÜŞTERİ","—",INDEX(MUSTERILER!$C$7:$C$156,MATCH($C1283,MUSTERILER!$B$7:$B$156,0))))</f>
        <v/>
      </c>
      <c r="O1283" s="2"/>
      <c r="P1283" s="2"/>
      <c r="Q1283" s="1" t="str">
        <f>IF($D1283="","",$C1283&amp;"|"&amp;COUNTIFS($C$7:$C1283,$C1283))</f>
        <v/>
      </c>
      <c r="R1283" s="1" t="str">
        <f t="shared" si="98"/>
        <v/>
      </c>
      <c r="S1283" s="1" t="str">
        <f t="shared" si="99"/>
        <v/>
      </c>
      <c r="T1283" s="1">
        <f>IF($E1283="",0,SUMPRODUCT((AY_SONU!$O$7:$O$42="Evet")*(AY_SONU!$B$7:$B$42=DATE(YEAR($E1283),MONTH($E1283),1))))</f>
        <v>0</v>
      </c>
    </row>
    <row r="1284" spans="1:20" ht="18" customHeight="1" x14ac:dyDescent="0.3">
      <c r="A1284" s="2"/>
      <c r="B1284" s="65" t="str">
        <f t="shared" si="95"/>
        <v/>
      </c>
      <c r="C1284" s="65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66"/>
      <c r="F1284" s="67"/>
      <c r="G1284" s="60"/>
      <c r="H1284" s="60"/>
      <c r="I1284" s="61"/>
      <c r="J1284" s="61"/>
      <c r="K1284" s="61"/>
      <c r="L1284" s="73" t="str">
        <f t="shared" si="96"/>
        <v/>
      </c>
      <c r="M1284" s="65" t="str">
        <f t="shared" ca="1" si="97"/>
        <v/>
      </c>
      <c r="N1284" s="74" t="str">
        <f>IF($C1284="","",IF($C1284="TANIMSIZ MÜŞTERİ","—",INDEX(MUSTERILER!$C$7:$C$156,MATCH($C1284,MUSTERILER!$B$7:$B$156,0))))</f>
        <v/>
      </c>
      <c r="O1284" s="2"/>
      <c r="P1284" s="2"/>
      <c r="Q1284" s="1" t="str">
        <f>IF($D1284="","",$C1284&amp;"|"&amp;COUNTIFS($C$7:$C1284,$C1284))</f>
        <v/>
      </c>
      <c r="R1284" s="1" t="str">
        <f t="shared" si="98"/>
        <v/>
      </c>
      <c r="S1284" s="1" t="str">
        <f t="shared" si="99"/>
        <v/>
      </c>
      <c r="T1284" s="1">
        <f>IF($E1284="",0,SUMPRODUCT((AY_SONU!$O$7:$O$42="Evet")*(AY_SONU!$B$7:$B$42=DATE(YEAR($E1284),MONTH($E1284),1))))</f>
        <v>0</v>
      </c>
    </row>
    <row r="1285" spans="1:20" ht="18" customHeight="1" x14ac:dyDescent="0.3">
      <c r="A1285" s="2"/>
      <c r="B1285" s="65" t="str">
        <f t="shared" si="95"/>
        <v/>
      </c>
      <c r="C1285" s="65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66"/>
      <c r="F1285" s="67"/>
      <c r="G1285" s="60"/>
      <c r="H1285" s="60"/>
      <c r="I1285" s="61"/>
      <c r="J1285" s="61"/>
      <c r="K1285" s="61"/>
      <c r="L1285" s="73" t="str">
        <f t="shared" si="96"/>
        <v/>
      </c>
      <c r="M1285" s="65" t="str">
        <f t="shared" ca="1" si="97"/>
        <v/>
      </c>
      <c r="N1285" s="74" t="str">
        <f>IF($C1285="","",IF($C1285="TANIMSIZ MÜŞTERİ","—",INDEX(MUSTERILER!$C$7:$C$156,MATCH($C1285,MUSTERILER!$B$7:$B$156,0))))</f>
        <v/>
      </c>
      <c r="O1285" s="2"/>
      <c r="P1285" s="2"/>
      <c r="Q1285" s="1" t="str">
        <f>IF($D1285="","",$C1285&amp;"|"&amp;COUNTIFS($C$7:$C1285,$C1285))</f>
        <v/>
      </c>
      <c r="R1285" s="1" t="str">
        <f t="shared" si="98"/>
        <v/>
      </c>
      <c r="S1285" s="1" t="str">
        <f t="shared" si="99"/>
        <v/>
      </c>
      <c r="T1285" s="1">
        <f>IF($E1285="",0,SUMPRODUCT((AY_SONU!$O$7:$O$42="Evet")*(AY_SONU!$B$7:$B$42=DATE(YEAR($E1285),MONTH($E1285),1))))</f>
        <v>0</v>
      </c>
    </row>
    <row r="1286" spans="1:20" ht="18" customHeight="1" x14ac:dyDescent="0.3">
      <c r="A1286" s="2"/>
      <c r="B1286" s="65" t="str">
        <f t="shared" si="95"/>
        <v/>
      </c>
      <c r="C1286" s="65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66"/>
      <c r="F1286" s="67"/>
      <c r="G1286" s="60"/>
      <c r="H1286" s="60"/>
      <c r="I1286" s="61"/>
      <c r="J1286" s="61"/>
      <c r="K1286" s="61"/>
      <c r="L1286" s="73" t="str">
        <f t="shared" si="96"/>
        <v/>
      </c>
      <c r="M1286" s="65" t="str">
        <f t="shared" ca="1" si="97"/>
        <v/>
      </c>
      <c r="N1286" s="74" t="str">
        <f>IF($C1286="","",IF($C1286="TANIMSIZ MÜŞTERİ","—",INDEX(MUSTERILER!$C$7:$C$156,MATCH($C1286,MUSTERILER!$B$7:$B$156,0))))</f>
        <v/>
      </c>
      <c r="O1286" s="2"/>
      <c r="P1286" s="2"/>
      <c r="Q1286" s="1" t="str">
        <f>IF($D1286="","",$C1286&amp;"|"&amp;COUNTIFS($C$7:$C1286,$C1286))</f>
        <v/>
      </c>
      <c r="R1286" s="1" t="str">
        <f t="shared" si="98"/>
        <v/>
      </c>
      <c r="S1286" s="1" t="str">
        <f t="shared" si="99"/>
        <v/>
      </c>
      <c r="T1286" s="1">
        <f>IF($E1286="",0,SUMPRODUCT((AY_SONU!$O$7:$O$42="Evet")*(AY_SONU!$B$7:$B$42=DATE(YEAR($E1286),MONTH($E1286),1))))</f>
        <v>0</v>
      </c>
    </row>
    <row r="1287" spans="1:20" ht="18" customHeight="1" x14ac:dyDescent="0.3">
      <c r="A1287" s="2"/>
      <c r="B1287" s="65" t="str">
        <f t="shared" ref="B1287:B1350" si="100">IF($D1287="","","T"&amp;TEXT(ROW()-6,"00000"))</f>
        <v/>
      </c>
      <c r="C1287" s="65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66"/>
      <c r="F1287" s="67"/>
      <c r="G1287" s="60"/>
      <c r="H1287" s="60"/>
      <c r="I1287" s="61"/>
      <c r="J1287" s="61"/>
      <c r="K1287" s="61"/>
      <c r="L1287" s="73" t="str">
        <f t="shared" ref="L1287:L1350" si="101">IF($E1287="","",DATE(YEAR($E1287),MONTH($E1287),1))</f>
        <v/>
      </c>
      <c r="M1287" s="65" t="str">
        <f t="shared" ref="M1287:M1350" ca="1" si="102">IF($D1287="","",IF($C1287="TANIMSIZ MÜŞTERİ","HATA",IF(OR($E1287="",$F1287&lt;=0,$G1287=""),"EKSİK",IF($E1287&gt;TODAY(),"İLERİ TARİH",IF(COUNTIF($S$7:$S$2506,$S1287)&gt;1,"MÜKERRER?",IF($T1287&gt;0,"KAPALI DÖNEM","UYGUN"))))))</f>
        <v/>
      </c>
      <c r="N1287" s="74" t="str">
        <f>IF($C1287="","",IF($C1287="TANIMSIZ MÜŞTERİ","—",INDEX(MUSTERILER!$C$7:$C$156,MATCH($C1287,MUSTERILER!$B$7:$B$156,0))))</f>
        <v/>
      </c>
      <c r="O1287" s="2"/>
      <c r="P1287" s="2"/>
      <c r="Q1287" s="1" t="str">
        <f>IF($D1287="","",$C1287&amp;"|"&amp;COUNTIFS($C$7:$C1287,$C1287))</f>
        <v/>
      </c>
      <c r="R1287" s="1" t="str">
        <f t="shared" ref="R1287:R1350" si="103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 t="str">
        <f t="shared" ref="S1287:S1350" si="104"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>0</v>
      </c>
    </row>
    <row r="1288" spans="1:20" ht="18" customHeight="1" x14ac:dyDescent="0.3">
      <c r="A1288" s="2"/>
      <c r="B1288" s="65" t="str">
        <f t="shared" si="100"/>
        <v/>
      </c>
      <c r="C1288" s="65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66"/>
      <c r="F1288" s="67"/>
      <c r="G1288" s="60"/>
      <c r="H1288" s="60"/>
      <c r="I1288" s="61"/>
      <c r="J1288" s="61"/>
      <c r="K1288" s="61"/>
      <c r="L1288" s="73" t="str">
        <f t="shared" si="101"/>
        <v/>
      </c>
      <c r="M1288" s="65" t="str">
        <f t="shared" ca="1" si="102"/>
        <v/>
      </c>
      <c r="N1288" s="74" t="str">
        <f>IF($C1288="","",IF($C1288="TANIMSIZ MÜŞTERİ","—",INDEX(MUSTERILER!$C$7:$C$156,MATCH($C1288,MUSTERILER!$B$7:$B$156,0))))</f>
        <v/>
      </c>
      <c r="O1288" s="2"/>
      <c r="P1288" s="2"/>
      <c r="Q1288" s="1" t="str">
        <f>IF($D1288="","",$C1288&amp;"|"&amp;COUNTIFS($C$7:$C1288,$C1288))</f>
        <v/>
      </c>
      <c r="R1288" s="1" t="str">
        <f t="shared" si="103"/>
        <v/>
      </c>
      <c r="S1288" s="1" t="str">
        <f t="shared" si="104"/>
        <v/>
      </c>
      <c r="T1288" s="1">
        <f>IF($E1288="",0,SUMPRODUCT((AY_SONU!$O$7:$O$42="Evet")*(AY_SONU!$B$7:$B$42=DATE(YEAR($E1288),MONTH($E1288),1))))</f>
        <v>0</v>
      </c>
    </row>
    <row r="1289" spans="1:20" ht="18" customHeight="1" x14ac:dyDescent="0.3">
      <c r="A1289" s="2"/>
      <c r="B1289" s="65" t="str">
        <f t="shared" si="100"/>
        <v/>
      </c>
      <c r="C1289" s="65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66"/>
      <c r="F1289" s="67"/>
      <c r="G1289" s="60"/>
      <c r="H1289" s="60"/>
      <c r="I1289" s="61"/>
      <c r="J1289" s="61"/>
      <c r="K1289" s="61"/>
      <c r="L1289" s="73" t="str">
        <f t="shared" si="101"/>
        <v/>
      </c>
      <c r="M1289" s="65" t="str">
        <f t="shared" ca="1" si="102"/>
        <v/>
      </c>
      <c r="N1289" s="74" t="str">
        <f>IF($C1289="","",IF($C1289="TANIMSIZ MÜŞTERİ","—",INDEX(MUSTERILER!$C$7:$C$156,MATCH($C1289,MUSTERILER!$B$7:$B$156,0))))</f>
        <v/>
      </c>
      <c r="O1289" s="2"/>
      <c r="P1289" s="2"/>
      <c r="Q1289" s="1" t="str">
        <f>IF($D1289="","",$C1289&amp;"|"&amp;COUNTIFS($C$7:$C1289,$C1289))</f>
        <v/>
      </c>
      <c r="R1289" s="1" t="str">
        <f t="shared" si="103"/>
        <v/>
      </c>
      <c r="S1289" s="1" t="str">
        <f t="shared" si="104"/>
        <v/>
      </c>
      <c r="T1289" s="1">
        <f>IF($E1289="",0,SUMPRODUCT((AY_SONU!$O$7:$O$42="Evet")*(AY_SONU!$B$7:$B$42=DATE(YEAR($E1289),MONTH($E1289),1))))</f>
        <v>0</v>
      </c>
    </row>
    <row r="1290" spans="1:20" ht="18" customHeight="1" x14ac:dyDescent="0.3">
      <c r="A1290" s="2"/>
      <c r="B1290" s="65" t="str">
        <f t="shared" si="100"/>
        <v/>
      </c>
      <c r="C1290" s="65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66"/>
      <c r="F1290" s="67"/>
      <c r="G1290" s="60"/>
      <c r="H1290" s="60"/>
      <c r="I1290" s="61"/>
      <c r="J1290" s="61"/>
      <c r="K1290" s="61"/>
      <c r="L1290" s="73" t="str">
        <f t="shared" si="101"/>
        <v/>
      </c>
      <c r="M1290" s="65" t="str">
        <f t="shared" ca="1" si="102"/>
        <v/>
      </c>
      <c r="N1290" s="74" t="str">
        <f>IF($C1290="","",IF($C1290="TANIMSIZ MÜŞTERİ","—",INDEX(MUSTERILER!$C$7:$C$156,MATCH($C1290,MUSTERILER!$B$7:$B$156,0))))</f>
        <v/>
      </c>
      <c r="O1290" s="2"/>
      <c r="P1290" s="2"/>
      <c r="Q1290" s="1" t="str">
        <f>IF($D1290="","",$C1290&amp;"|"&amp;COUNTIFS($C$7:$C1290,$C1290))</f>
        <v/>
      </c>
      <c r="R1290" s="1" t="str">
        <f t="shared" si="103"/>
        <v/>
      </c>
      <c r="S1290" s="1" t="str">
        <f t="shared" si="104"/>
        <v/>
      </c>
      <c r="T1290" s="1">
        <f>IF($E1290="",0,SUMPRODUCT((AY_SONU!$O$7:$O$42="Evet")*(AY_SONU!$B$7:$B$42=DATE(YEAR($E1290),MONTH($E1290),1))))</f>
        <v>0</v>
      </c>
    </row>
    <row r="1291" spans="1:20" ht="18" customHeight="1" x14ac:dyDescent="0.3">
      <c r="A1291" s="2"/>
      <c r="B1291" s="65" t="str">
        <f t="shared" si="100"/>
        <v/>
      </c>
      <c r="C1291" s="65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66"/>
      <c r="F1291" s="67"/>
      <c r="G1291" s="60"/>
      <c r="H1291" s="60"/>
      <c r="I1291" s="61"/>
      <c r="J1291" s="61"/>
      <c r="K1291" s="61"/>
      <c r="L1291" s="73" t="str">
        <f t="shared" si="101"/>
        <v/>
      </c>
      <c r="M1291" s="65" t="str">
        <f t="shared" ca="1" si="102"/>
        <v/>
      </c>
      <c r="N1291" s="74" t="str">
        <f>IF($C1291="","",IF($C1291="TANIMSIZ MÜŞTERİ","—",INDEX(MUSTERILER!$C$7:$C$156,MATCH($C1291,MUSTERILER!$B$7:$B$156,0))))</f>
        <v/>
      </c>
      <c r="O1291" s="2"/>
      <c r="P1291" s="2"/>
      <c r="Q1291" s="1" t="str">
        <f>IF($D1291="","",$C1291&amp;"|"&amp;COUNTIFS($C$7:$C1291,$C1291))</f>
        <v/>
      </c>
      <c r="R1291" s="1" t="str">
        <f t="shared" si="103"/>
        <v/>
      </c>
      <c r="S1291" s="1" t="str">
        <f t="shared" si="104"/>
        <v/>
      </c>
      <c r="T1291" s="1">
        <f>IF($E1291="",0,SUMPRODUCT((AY_SONU!$O$7:$O$42="Evet")*(AY_SONU!$B$7:$B$42=DATE(YEAR($E1291),MONTH($E1291),1))))</f>
        <v>0</v>
      </c>
    </row>
    <row r="1292" spans="1:20" ht="18" customHeight="1" x14ac:dyDescent="0.3">
      <c r="A1292" s="2"/>
      <c r="B1292" s="65" t="str">
        <f t="shared" si="100"/>
        <v/>
      </c>
      <c r="C1292" s="65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66"/>
      <c r="F1292" s="67"/>
      <c r="G1292" s="60"/>
      <c r="H1292" s="60"/>
      <c r="I1292" s="61"/>
      <c r="J1292" s="61"/>
      <c r="K1292" s="61"/>
      <c r="L1292" s="73" t="str">
        <f t="shared" si="101"/>
        <v/>
      </c>
      <c r="M1292" s="65" t="str">
        <f t="shared" ca="1" si="102"/>
        <v/>
      </c>
      <c r="N1292" s="74" t="str">
        <f>IF($C1292="","",IF($C1292="TANIMSIZ MÜŞTERİ","—",INDEX(MUSTERILER!$C$7:$C$156,MATCH($C1292,MUSTERILER!$B$7:$B$156,0))))</f>
        <v/>
      </c>
      <c r="O1292" s="2"/>
      <c r="P1292" s="2"/>
      <c r="Q1292" s="1" t="str">
        <f>IF($D1292="","",$C1292&amp;"|"&amp;COUNTIFS($C$7:$C1292,$C1292))</f>
        <v/>
      </c>
      <c r="R1292" s="1" t="str">
        <f t="shared" si="103"/>
        <v/>
      </c>
      <c r="S1292" s="1" t="str">
        <f t="shared" si="104"/>
        <v/>
      </c>
      <c r="T1292" s="1">
        <f>IF($E1292="",0,SUMPRODUCT((AY_SONU!$O$7:$O$42="Evet")*(AY_SONU!$B$7:$B$42=DATE(YEAR($E1292),MONTH($E1292),1))))</f>
        <v>0</v>
      </c>
    </row>
    <row r="1293" spans="1:20" ht="18" customHeight="1" x14ac:dyDescent="0.3">
      <c r="A1293" s="2"/>
      <c r="B1293" s="65" t="str">
        <f t="shared" si="100"/>
        <v/>
      </c>
      <c r="C1293" s="65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66"/>
      <c r="F1293" s="67"/>
      <c r="G1293" s="60"/>
      <c r="H1293" s="60"/>
      <c r="I1293" s="61"/>
      <c r="J1293" s="61"/>
      <c r="K1293" s="61"/>
      <c r="L1293" s="73" t="str">
        <f t="shared" si="101"/>
        <v/>
      </c>
      <c r="M1293" s="65" t="str">
        <f t="shared" ca="1" si="102"/>
        <v/>
      </c>
      <c r="N1293" s="74" t="str">
        <f>IF($C1293="","",IF($C1293="TANIMSIZ MÜŞTERİ","—",INDEX(MUSTERILER!$C$7:$C$156,MATCH($C1293,MUSTERILER!$B$7:$B$156,0))))</f>
        <v/>
      </c>
      <c r="O1293" s="2"/>
      <c r="P1293" s="2"/>
      <c r="Q1293" s="1" t="str">
        <f>IF($D1293="","",$C1293&amp;"|"&amp;COUNTIFS($C$7:$C1293,$C1293))</f>
        <v/>
      </c>
      <c r="R1293" s="1" t="str">
        <f t="shared" si="103"/>
        <v/>
      </c>
      <c r="S1293" s="1" t="str">
        <f t="shared" si="104"/>
        <v/>
      </c>
      <c r="T1293" s="1">
        <f>IF($E1293="",0,SUMPRODUCT((AY_SONU!$O$7:$O$42="Evet")*(AY_SONU!$B$7:$B$42=DATE(YEAR($E1293),MONTH($E1293),1))))</f>
        <v>0</v>
      </c>
    </row>
    <row r="1294" spans="1:20" ht="18" customHeight="1" x14ac:dyDescent="0.3">
      <c r="A1294" s="2"/>
      <c r="B1294" s="65" t="str">
        <f t="shared" si="100"/>
        <v/>
      </c>
      <c r="C1294" s="65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66"/>
      <c r="F1294" s="67"/>
      <c r="G1294" s="60"/>
      <c r="H1294" s="60"/>
      <c r="I1294" s="61"/>
      <c r="J1294" s="61"/>
      <c r="K1294" s="61"/>
      <c r="L1294" s="73" t="str">
        <f t="shared" si="101"/>
        <v/>
      </c>
      <c r="M1294" s="65" t="str">
        <f t="shared" ca="1" si="102"/>
        <v/>
      </c>
      <c r="N1294" s="74" t="str">
        <f>IF($C1294="","",IF($C1294="TANIMSIZ MÜŞTERİ","—",INDEX(MUSTERILER!$C$7:$C$156,MATCH($C1294,MUSTERILER!$B$7:$B$156,0))))</f>
        <v/>
      </c>
      <c r="O1294" s="2"/>
      <c r="P1294" s="2"/>
      <c r="Q1294" s="1" t="str">
        <f>IF($D1294="","",$C1294&amp;"|"&amp;COUNTIFS($C$7:$C1294,$C1294))</f>
        <v/>
      </c>
      <c r="R1294" s="1" t="str">
        <f t="shared" si="103"/>
        <v/>
      </c>
      <c r="S1294" s="1" t="str">
        <f t="shared" si="104"/>
        <v/>
      </c>
      <c r="T1294" s="1">
        <f>IF($E1294="",0,SUMPRODUCT((AY_SONU!$O$7:$O$42="Evet")*(AY_SONU!$B$7:$B$42=DATE(YEAR($E1294),MONTH($E1294),1))))</f>
        <v>0</v>
      </c>
    </row>
    <row r="1295" spans="1:20" ht="18" customHeight="1" x14ac:dyDescent="0.3">
      <c r="A1295" s="2"/>
      <c r="B1295" s="65" t="str">
        <f t="shared" si="100"/>
        <v/>
      </c>
      <c r="C1295" s="65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66"/>
      <c r="F1295" s="67"/>
      <c r="G1295" s="60"/>
      <c r="H1295" s="60"/>
      <c r="I1295" s="61"/>
      <c r="J1295" s="61"/>
      <c r="K1295" s="61"/>
      <c r="L1295" s="73" t="str">
        <f t="shared" si="101"/>
        <v/>
      </c>
      <c r="M1295" s="65" t="str">
        <f t="shared" ca="1" si="102"/>
        <v/>
      </c>
      <c r="N1295" s="74" t="str">
        <f>IF($C1295="","",IF($C1295="TANIMSIZ MÜŞTERİ","—",INDEX(MUSTERILER!$C$7:$C$156,MATCH($C1295,MUSTERILER!$B$7:$B$156,0))))</f>
        <v/>
      </c>
      <c r="O1295" s="2"/>
      <c r="P1295" s="2"/>
      <c r="Q1295" s="1" t="str">
        <f>IF($D1295="","",$C1295&amp;"|"&amp;COUNTIFS($C$7:$C1295,$C1295))</f>
        <v/>
      </c>
      <c r="R1295" s="1" t="str">
        <f t="shared" si="103"/>
        <v/>
      </c>
      <c r="S1295" s="1" t="str">
        <f t="shared" si="104"/>
        <v/>
      </c>
      <c r="T1295" s="1">
        <f>IF($E1295="",0,SUMPRODUCT((AY_SONU!$O$7:$O$42="Evet")*(AY_SONU!$B$7:$B$42=DATE(YEAR($E1295),MONTH($E1295),1))))</f>
        <v>0</v>
      </c>
    </row>
    <row r="1296" spans="1:20" ht="18" customHeight="1" x14ac:dyDescent="0.3">
      <c r="A1296" s="2"/>
      <c r="B1296" s="65" t="str">
        <f t="shared" si="100"/>
        <v/>
      </c>
      <c r="C1296" s="65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66"/>
      <c r="F1296" s="67"/>
      <c r="G1296" s="60"/>
      <c r="H1296" s="60"/>
      <c r="I1296" s="61"/>
      <c r="J1296" s="61"/>
      <c r="K1296" s="61"/>
      <c r="L1296" s="73" t="str">
        <f t="shared" si="101"/>
        <v/>
      </c>
      <c r="M1296" s="65" t="str">
        <f t="shared" ca="1" si="102"/>
        <v/>
      </c>
      <c r="N1296" s="74" t="str">
        <f>IF($C1296="","",IF($C1296="TANIMSIZ MÜŞTERİ","—",INDEX(MUSTERILER!$C$7:$C$156,MATCH($C1296,MUSTERILER!$B$7:$B$156,0))))</f>
        <v/>
      </c>
      <c r="O1296" s="2"/>
      <c r="P1296" s="2"/>
      <c r="Q1296" s="1" t="str">
        <f>IF($D1296="","",$C1296&amp;"|"&amp;COUNTIFS($C$7:$C1296,$C1296))</f>
        <v/>
      </c>
      <c r="R1296" s="1" t="str">
        <f t="shared" si="103"/>
        <v/>
      </c>
      <c r="S1296" s="1" t="str">
        <f t="shared" si="104"/>
        <v/>
      </c>
      <c r="T1296" s="1">
        <f>IF($E1296="",0,SUMPRODUCT((AY_SONU!$O$7:$O$42="Evet")*(AY_SONU!$B$7:$B$42=DATE(YEAR($E1296),MONTH($E1296),1))))</f>
        <v>0</v>
      </c>
    </row>
    <row r="1297" spans="1:20" ht="18" customHeight="1" x14ac:dyDescent="0.3">
      <c r="A1297" s="2"/>
      <c r="B1297" s="65" t="str">
        <f t="shared" si="100"/>
        <v/>
      </c>
      <c r="C1297" s="65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66"/>
      <c r="F1297" s="67"/>
      <c r="G1297" s="60"/>
      <c r="H1297" s="60"/>
      <c r="I1297" s="61"/>
      <c r="J1297" s="61"/>
      <c r="K1297" s="61"/>
      <c r="L1297" s="73" t="str">
        <f t="shared" si="101"/>
        <v/>
      </c>
      <c r="M1297" s="65" t="str">
        <f t="shared" ca="1" si="102"/>
        <v/>
      </c>
      <c r="N1297" s="74" t="str">
        <f>IF($C1297="","",IF($C1297="TANIMSIZ MÜŞTERİ","—",INDEX(MUSTERILER!$C$7:$C$156,MATCH($C1297,MUSTERILER!$B$7:$B$156,0))))</f>
        <v/>
      </c>
      <c r="O1297" s="2"/>
      <c r="P1297" s="2"/>
      <c r="Q1297" s="1" t="str">
        <f>IF($D1297="","",$C1297&amp;"|"&amp;COUNTIFS($C$7:$C1297,$C1297))</f>
        <v/>
      </c>
      <c r="R1297" s="1" t="str">
        <f t="shared" si="103"/>
        <v/>
      </c>
      <c r="S1297" s="1" t="str">
        <f t="shared" si="104"/>
        <v/>
      </c>
      <c r="T1297" s="1">
        <f>IF($E1297="",0,SUMPRODUCT((AY_SONU!$O$7:$O$42="Evet")*(AY_SONU!$B$7:$B$42=DATE(YEAR($E1297),MONTH($E1297),1))))</f>
        <v>0</v>
      </c>
    </row>
    <row r="1298" spans="1:20" ht="18" customHeight="1" x14ac:dyDescent="0.3">
      <c r="A1298" s="2"/>
      <c r="B1298" s="65" t="str">
        <f t="shared" si="100"/>
        <v/>
      </c>
      <c r="C1298" s="65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66"/>
      <c r="F1298" s="67"/>
      <c r="G1298" s="60"/>
      <c r="H1298" s="60"/>
      <c r="I1298" s="61"/>
      <c r="J1298" s="61"/>
      <c r="K1298" s="61"/>
      <c r="L1298" s="73" t="str">
        <f t="shared" si="101"/>
        <v/>
      </c>
      <c r="M1298" s="65" t="str">
        <f t="shared" ca="1" si="102"/>
        <v/>
      </c>
      <c r="N1298" s="74" t="str">
        <f>IF($C1298="","",IF($C1298="TANIMSIZ MÜŞTERİ","—",INDEX(MUSTERILER!$C$7:$C$156,MATCH($C1298,MUSTERILER!$B$7:$B$156,0))))</f>
        <v/>
      </c>
      <c r="O1298" s="2"/>
      <c r="P1298" s="2"/>
      <c r="Q1298" s="1" t="str">
        <f>IF($D1298="","",$C1298&amp;"|"&amp;COUNTIFS($C$7:$C1298,$C1298))</f>
        <v/>
      </c>
      <c r="R1298" s="1" t="str">
        <f t="shared" si="103"/>
        <v/>
      </c>
      <c r="S1298" s="1" t="str">
        <f t="shared" si="104"/>
        <v/>
      </c>
      <c r="T1298" s="1">
        <f>IF($E1298="",0,SUMPRODUCT((AY_SONU!$O$7:$O$42="Evet")*(AY_SONU!$B$7:$B$42=DATE(YEAR($E1298),MONTH($E1298),1))))</f>
        <v>0</v>
      </c>
    </row>
    <row r="1299" spans="1:20" ht="18" customHeight="1" x14ac:dyDescent="0.3">
      <c r="A1299" s="2"/>
      <c r="B1299" s="65" t="str">
        <f t="shared" si="100"/>
        <v/>
      </c>
      <c r="C1299" s="65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66"/>
      <c r="F1299" s="67"/>
      <c r="G1299" s="60"/>
      <c r="H1299" s="60"/>
      <c r="I1299" s="61"/>
      <c r="J1299" s="61"/>
      <c r="K1299" s="61"/>
      <c r="L1299" s="73" t="str">
        <f t="shared" si="101"/>
        <v/>
      </c>
      <c r="M1299" s="65" t="str">
        <f t="shared" ca="1" si="102"/>
        <v/>
      </c>
      <c r="N1299" s="74" t="str">
        <f>IF($C1299="","",IF($C1299="TANIMSIZ MÜŞTERİ","—",INDEX(MUSTERILER!$C$7:$C$156,MATCH($C1299,MUSTERILER!$B$7:$B$156,0))))</f>
        <v/>
      </c>
      <c r="O1299" s="2"/>
      <c r="P1299" s="2"/>
      <c r="Q1299" s="1" t="str">
        <f>IF($D1299="","",$C1299&amp;"|"&amp;COUNTIFS($C$7:$C1299,$C1299))</f>
        <v/>
      </c>
      <c r="R1299" s="1" t="str">
        <f t="shared" si="103"/>
        <v/>
      </c>
      <c r="S1299" s="1" t="str">
        <f t="shared" si="104"/>
        <v/>
      </c>
      <c r="T1299" s="1">
        <f>IF($E1299="",0,SUMPRODUCT((AY_SONU!$O$7:$O$42="Evet")*(AY_SONU!$B$7:$B$42=DATE(YEAR($E1299),MONTH($E1299),1))))</f>
        <v>0</v>
      </c>
    </row>
    <row r="1300" spans="1:20" ht="18" customHeight="1" x14ac:dyDescent="0.3">
      <c r="A1300" s="2"/>
      <c r="B1300" s="65" t="str">
        <f t="shared" si="100"/>
        <v/>
      </c>
      <c r="C1300" s="65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66"/>
      <c r="F1300" s="67"/>
      <c r="G1300" s="60"/>
      <c r="H1300" s="60"/>
      <c r="I1300" s="61"/>
      <c r="J1300" s="61"/>
      <c r="K1300" s="61"/>
      <c r="L1300" s="73" t="str">
        <f t="shared" si="101"/>
        <v/>
      </c>
      <c r="M1300" s="65" t="str">
        <f t="shared" ca="1" si="102"/>
        <v/>
      </c>
      <c r="N1300" s="74" t="str">
        <f>IF($C1300="","",IF($C1300="TANIMSIZ MÜŞTERİ","—",INDEX(MUSTERILER!$C$7:$C$156,MATCH($C1300,MUSTERILER!$B$7:$B$156,0))))</f>
        <v/>
      </c>
      <c r="O1300" s="2"/>
      <c r="P1300" s="2"/>
      <c r="Q1300" s="1" t="str">
        <f>IF($D1300="","",$C1300&amp;"|"&amp;COUNTIFS($C$7:$C1300,$C1300))</f>
        <v/>
      </c>
      <c r="R1300" s="1" t="str">
        <f t="shared" si="103"/>
        <v/>
      </c>
      <c r="S1300" s="1" t="str">
        <f t="shared" si="104"/>
        <v/>
      </c>
      <c r="T1300" s="1">
        <f>IF($E1300="",0,SUMPRODUCT((AY_SONU!$O$7:$O$42="Evet")*(AY_SONU!$B$7:$B$42=DATE(YEAR($E1300),MONTH($E1300),1))))</f>
        <v>0</v>
      </c>
    </row>
    <row r="1301" spans="1:20" ht="18" customHeight="1" x14ac:dyDescent="0.3">
      <c r="A1301" s="2"/>
      <c r="B1301" s="65" t="str">
        <f t="shared" si="100"/>
        <v/>
      </c>
      <c r="C1301" s="65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66"/>
      <c r="F1301" s="67"/>
      <c r="G1301" s="60"/>
      <c r="H1301" s="60"/>
      <c r="I1301" s="61"/>
      <c r="J1301" s="61"/>
      <c r="K1301" s="61"/>
      <c r="L1301" s="73" t="str">
        <f t="shared" si="101"/>
        <v/>
      </c>
      <c r="M1301" s="65" t="str">
        <f t="shared" ca="1" si="102"/>
        <v/>
      </c>
      <c r="N1301" s="74" t="str">
        <f>IF($C1301="","",IF($C1301="TANIMSIZ MÜŞTERİ","—",INDEX(MUSTERILER!$C$7:$C$156,MATCH($C1301,MUSTERILER!$B$7:$B$156,0))))</f>
        <v/>
      </c>
      <c r="O1301" s="2"/>
      <c r="P1301" s="2"/>
      <c r="Q1301" s="1" t="str">
        <f>IF($D1301="","",$C1301&amp;"|"&amp;COUNTIFS($C$7:$C1301,$C1301))</f>
        <v/>
      </c>
      <c r="R1301" s="1" t="str">
        <f t="shared" si="103"/>
        <v/>
      </c>
      <c r="S1301" s="1" t="str">
        <f t="shared" si="104"/>
        <v/>
      </c>
      <c r="T1301" s="1">
        <f>IF($E1301="",0,SUMPRODUCT((AY_SONU!$O$7:$O$42="Evet")*(AY_SONU!$B$7:$B$42=DATE(YEAR($E1301),MONTH($E1301),1))))</f>
        <v>0</v>
      </c>
    </row>
    <row r="1302" spans="1:20" ht="18" customHeight="1" x14ac:dyDescent="0.3">
      <c r="A1302" s="2"/>
      <c r="B1302" s="65" t="str">
        <f t="shared" si="100"/>
        <v/>
      </c>
      <c r="C1302" s="65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66"/>
      <c r="F1302" s="67"/>
      <c r="G1302" s="60"/>
      <c r="H1302" s="60"/>
      <c r="I1302" s="61"/>
      <c r="J1302" s="61"/>
      <c r="K1302" s="61"/>
      <c r="L1302" s="73" t="str">
        <f t="shared" si="101"/>
        <v/>
      </c>
      <c r="M1302" s="65" t="str">
        <f t="shared" ca="1" si="102"/>
        <v/>
      </c>
      <c r="N1302" s="74" t="str">
        <f>IF($C1302="","",IF($C1302="TANIMSIZ MÜŞTERİ","—",INDEX(MUSTERILER!$C$7:$C$156,MATCH($C1302,MUSTERILER!$B$7:$B$156,0))))</f>
        <v/>
      </c>
      <c r="O1302" s="2"/>
      <c r="P1302" s="2"/>
      <c r="Q1302" s="1" t="str">
        <f>IF($D1302="","",$C1302&amp;"|"&amp;COUNTIFS($C$7:$C1302,$C1302))</f>
        <v/>
      </c>
      <c r="R1302" s="1" t="str">
        <f t="shared" si="103"/>
        <v/>
      </c>
      <c r="S1302" s="1" t="str">
        <f t="shared" si="104"/>
        <v/>
      </c>
      <c r="T1302" s="1">
        <f>IF($E1302="",0,SUMPRODUCT((AY_SONU!$O$7:$O$42="Evet")*(AY_SONU!$B$7:$B$42=DATE(YEAR($E1302),MONTH($E1302),1))))</f>
        <v>0</v>
      </c>
    </row>
    <row r="1303" spans="1:20" ht="18" customHeight="1" x14ac:dyDescent="0.3">
      <c r="A1303" s="2"/>
      <c r="B1303" s="65" t="str">
        <f t="shared" si="100"/>
        <v/>
      </c>
      <c r="C1303" s="65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66"/>
      <c r="F1303" s="67"/>
      <c r="G1303" s="60"/>
      <c r="H1303" s="60"/>
      <c r="I1303" s="61"/>
      <c r="J1303" s="61"/>
      <c r="K1303" s="61"/>
      <c r="L1303" s="73" t="str">
        <f t="shared" si="101"/>
        <v/>
      </c>
      <c r="M1303" s="65" t="str">
        <f t="shared" ca="1" si="102"/>
        <v/>
      </c>
      <c r="N1303" s="74" t="str">
        <f>IF($C1303="","",IF($C1303="TANIMSIZ MÜŞTERİ","—",INDEX(MUSTERILER!$C$7:$C$156,MATCH($C1303,MUSTERILER!$B$7:$B$156,0))))</f>
        <v/>
      </c>
      <c r="O1303" s="2"/>
      <c r="P1303" s="2"/>
      <c r="Q1303" s="1" t="str">
        <f>IF($D1303="","",$C1303&amp;"|"&amp;COUNTIFS($C$7:$C1303,$C1303))</f>
        <v/>
      </c>
      <c r="R1303" s="1" t="str">
        <f t="shared" si="103"/>
        <v/>
      </c>
      <c r="S1303" s="1" t="str">
        <f t="shared" si="104"/>
        <v/>
      </c>
      <c r="T1303" s="1">
        <f>IF($E1303="",0,SUMPRODUCT((AY_SONU!$O$7:$O$42="Evet")*(AY_SONU!$B$7:$B$42=DATE(YEAR($E1303),MONTH($E1303),1))))</f>
        <v>0</v>
      </c>
    </row>
    <row r="1304" spans="1:20" ht="18" customHeight="1" x14ac:dyDescent="0.3">
      <c r="A1304" s="2"/>
      <c r="B1304" s="65" t="str">
        <f t="shared" si="100"/>
        <v/>
      </c>
      <c r="C1304" s="65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66"/>
      <c r="F1304" s="67"/>
      <c r="G1304" s="60"/>
      <c r="H1304" s="60"/>
      <c r="I1304" s="61"/>
      <c r="J1304" s="61"/>
      <c r="K1304" s="61"/>
      <c r="L1304" s="73" t="str">
        <f t="shared" si="101"/>
        <v/>
      </c>
      <c r="M1304" s="65" t="str">
        <f t="shared" ca="1" si="102"/>
        <v/>
      </c>
      <c r="N1304" s="74" t="str">
        <f>IF($C1304="","",IF($C1304="TANIMSIZ MÜŞTERİ","—",INDEX(MUSTERILER!$C$7:$C$156,MATCH($C1304,MUSTERILER!$B$7:$B$156,0))))</f>
        <v/>
      </c>
      <c r="O1304" s="2"/>
      <c r="P1304" s="2"/>
      <c r="Q1304" s="1" t="str">
        <f>IF($D1304="","",$C1304&amp;"|"&amp;COUNTIFS($C$7:$C1304,$C1304))</f>
        <v/>
      </c>
      <c r="R1304" s="1" t="str">
        <f t="shared" si="103"/>
        <v/>
      </c>
      <c r="S1304" s="1" t="str">
        <f t="shared" si="104"/>
        <v/>
      </c>
      <c r="T1304" s="1">
        <f>IF($E1304="",0,SUMPRODUCT((AY_SONU!$O$7:$O$42="Evet")*(AY_SONU!$B$7:$B$42=DATE(YEAR($E1304),MONTH($E1304),1))))</f>
        <v>0</v>
      </c>
    </row>
    <row r="1305" spans="1:20" ht="18" customHeight="1" x14ac:dyDescent="0.3">
      <c r="A1305" s="2"/>
      <c r="B1305" s="65" t="str">
        <f t="shared" si="100"/>
        <v/>
      </c>
      <c r="C1305" s="65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66"/>
      <c r="F1305" s="67"/>
      <c r="G1305" s="60"/>
      <c r="H1305" s="60"/>
      <c r="I1305" s="61"/>
      <c r="J1305" s="61"/>
      <c r="K1305" s="61"/>
      <c r="L1305" s="73" t="str">
        <f t="shared" si="101"/>
        <v/>
      </c>
      <c r="M1305" s="65" t="str">
        <f t="shared" ca="1" si="102"/>
        <v/>
      </c>
      <c r="N1305" s="74" t="str">
        <f>IF($C1305="","",IF($C1305="TANIMSIZ MÜŞTERİ","—",INDEX(MUSTERILER!$C$7:$C$156,MATCH($C1305,MUSTERILER!$B$7:$B$156,0))))</f>
        <v/>
      </c>
      <c r="O1305" s="2"/>
      <c r="P1305" s="2"/>
      <c r="Q1305" s="1" t="str">
        <f>IF($D1305="","",$C1305&amp;"|"&amp;COUNTIFS($C$7:$C1305,$C1305))</f>
        <v/>
      </c>
      <c r="R1305" s="1" t="str">
        <f t="shared" si="103"/>
        <v/>
      </c>
      <c r="S1305" s="1" t="str">
        <f t="shared" si="104"/>
        <v/>
      </c>
      <c r="T1305" s="1">
        <f>IF($E1305="",0,SUMPRODUCT((AY_SONU!$O$7:$O$42="Evet")*(AY_SONU!$B$7:$B$42=DATE(YEAR($E1305),MONTH($E1305),1))))</f>
        <v>0</v>
      </c>
    </row>
    <row r="1306" spans="1:20" ht="18" customHeight="1" x14ac:dyDescent="0.3">
      <c r="A1306" s="2"/>
      <c r="B1306" s="65" t="str">
        <f t="shared" si="100"/>
        <v/>
      </c>
      <c r="C1306" s="65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66"/>
      <c r="F1306" s="67"/>
      <c r="G1306" s="60"/>
      <c r="H1306" s="60"/>
      <c r="I1306" s="61"/>
      <c r="J1306" s="61"/>
      <c r="K1306" s="61"/>
      <c r="L1306" s="73" t="str">
        <f t="shared" si="101"/>
        <v/>
      </c>
      <c r="M1306" s="65" t="str">
        <f t="shared" ca="1" si="102"/>
        <v/>
      </c>
      <c r="N1306" s="74" t="str">
        <f>IF($C1306="","",IF($C1306="TANIMSIZ MÜŞTERİ","—",INDEX(MUSTERILER!$C$7:$C$156,MATCH($C1306,MUSTERILER!$B$7:$B$156,0))))</f>
        <v/>
      </c>
      <c r="O1306" s="2"/>
      <c r="P1306" s="2"/>
      <c r="Q1306" s="1" t="str">
        <f>IF($D1306="","",$C1306&amp;"|"&amp;COUNTIFS($C$7:$C1306,$C1306))</f>
        <v/>
      </c>
      <c r="R1306" s="1" t="str">
        <f t="shared" si="103"/>
        <v/>
      </c>
      <c r="S1306" s="1" t="str">
        <f t="shared" si="104"/>
        <v/>
      </c>
      <c r="T1306" s="1">
        <f>IF($E1306="",0,SUMPRODUCT((AY_SONU!$O$7:$O$42="Evet")*(AY_SONU!$B$7:$B$42=DATE(YEAR($E1306),MONTH($E1306),1))))</f>
        <v>0</v>
      </c>
    </row>
    <row r="1307" spans="1:20" ht="18" customHeight="1" x14ac:dyDescent="0.3">
      <c r="A1307" s="2"/>
      <c r="B1307" s="65" t="str">
        <f t="shared" si="100"/>
        <v/>
      </c>
      <c r="C1307" s="65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66"/>
      <c r="F1307" s="67"/>
      <c r="G1307" s="60"/>
      <c r="H1307" s="60"/>
      <c r="I1307" s="61"/>
      <c r="J1307" s="61"/>
      <c r="K1307" s="61"/>
      <c r="L1307" s="73" t="str">
        <f t="shared" si="101"/>
        <v/>
      </c>
      <c r="M1307" s="65" t="str">
        <f t="shared" ca="1" si="102"/>
        <v/>
      </c>
      <c r="N1307" s="74" t="str">
        <f>IF($C1307="","",IF($C1307="TANIMSIZ MÜŞTERİ","—",INDEX(MUSTERILER!$C$7:$C$156,MATCH($C1307,MUSTERILER!$B$7:$B$156,0))))</f>
        <v/>
      </c>
      <c r="O1307" s="2"/>
      <c r="P1307" s="2"/>
      <c r="Q1307" s="1" t="str">
        <f>IF($D1307="","",$C1307&amp;"|"&amp;COUNTIFS($C$7:$C1307,$C1307))</f>
        <v/>
      </c>
      <c r="R1307" s="1" t="str">
        <f t="shared" si="103"/>
        <v/>
      </c>
      <c r="S1307" s="1" t="str">
        <f t="shared" si="104"/>
        <v/>
      </c>
      <c r="T1307" s="1">
        <f>IF($E1307="",0,SUMPRODUCT((AY_SONU!$O$7:$O$42="Evet")*(AY_SONU!$B$7:$B$42=DATE(YEAR($E1307),MONTH($E1307),1))))</f>
        <v>0</v>
      </c>
    </row>
    <row r="1308" spans="1:20" ht="18" customHeight="1" x14ac:dyDescent="0.3">
      <c r="A1308" s="2"/>
      <c r="B1308" s="65" t="str">
        <f t="shared" si="100"/>
        <v/>
      </c>
      <c r="C1308" s="65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66"/>
      <c r="F1308" s="67"/>
      <c r="G1308" s="60"/>
      <c r="H1308" s="60"/>
      <c r="I1308" s="61"/>
      <c r="J1308" s="61"/>
      <c r="K1308" s="61"/>
      <c r="L1308" s="73" t="str">
        <f t="shared" si="101"/>
        <v/>
      </c>
      <c r="M1308" s="65" t="str">
        <f t="shared" ca="1" si="102"/>
        <v/>
      </c>
      <c r="N1308" s="74" t="str">
        <f>IF($C1308="","",IF($C1308="TANIMSIZ MÜŞTERİ","—",INDEX(MUSTERILER!$C$7:$C$156,MATCH($C1308,MUSTERILER!$B$7:$B$156,0))))</f>
        <v/>
      </c>
      <c r="O1308" s="2"/>
      <c r="P1308" s="2"/>
      <c r="Q1308" s="1" t="str">
        <f>IF($D1308="","",$C1308&amp;"|"&amp;COUNTIFS($C$7:$C1308,$C1308))</f>
        <v/>
      </c>
      <c r="R1308" s="1" t="str">
        <f t="shared" si="103"/>
        <v/>
      </c>
      <c r="S1308" s="1" t="str">
        <f t="shared" si="104"/>
        <v/>
      </c>
      <c r="T1308" s="1">
        <f>IF($E1308="",0,SUMPRODUCT((AY_SONU!$O$7:$O$42="Evet")*(AY_SONU!$B$7:$B$42=DATE(YEAR($E1308),MONTH($E1308),1))))</f>
        <v>0</v>
      </c>
    </row>
    <row r="1309" spans="1:20" ht="18" customHeight="1" x14ac:dyDescent="0.3">
      <c r="A1309" s="2"/>
      <c r="B1309" s="65" t="str">
        <f t="shared" si="100"/>
        <v/>
      </c>
      <c r="C1309" s="65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66"/>
      <c r="F1309" s="67"/>
      <c r="G1309" s="60"/>
      <c r="H1309" s="60"/>
      <c r="I1309" s="61"/>
      <c r="J1309" s="61"/>
      <c r="K1309" s="61"/>
      <c r="L1309" s="73" t="str">
        <f t="shared" si="101"/>
        <v/>
      </c>
      <c r="M1309" s="65" t="str">
        <f t="shared" ca="1" si="102"/>
        <v/>
      </c>
      <c r="N1309" s="74" t="str">
        <f>IF($C1309="","",IF($C1309="TANIMSIZ MÜŞTERİ","—",INDEX(MUSTERILER!$C$7:$C$156,MATCH($C1309,MUSTERILER!$B$7:$B$156,0))))</f>
        <v/>
      </c>
      <c r="O1309" s="2"/>
      <c r="P1309" s="2"/>
      <c r="Q1309" s="1" t="str">
        <f>IF($D1309="","",$C1309&amp;"|"&amp;COUNTIFS($C$7:$C1309,$C1309))</f>
        <v/>
      </c>
      <c r="R1309" s="1" t="str">
        <f t="shared" si="103"/>
        <v/>
      </c>
      <c r="S1309" s="1" t="str">
        <f t="shared" si="104"/>
        <v/>
      </c>
      <c r="T1309" s="1">
        <f>IF($E1309="",0,SUMPRODUCT((AY_SONU!$O$7:$O$42="Evet")*(AY_SONU!$B$7:$B$42=DATE(YEAR($E1309),MONTH($E1309),1))))</f>
        <v>0</v>
      </c>
    </row>
    <row r="1310" spans="1:20" ht="18" customHeight="1" x14ac:dyDescent="0.3">
      <c r="A1310" s="2"/>
      <c r="B1310" s="65" t="str">
        <f t="shared" si="100"/>
        <v/>
      </c>
      <c r="C1310" s="65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66"/>
      <c r="F1310" s="67"/>
      <c r="G1310" s="60"/>
      <c r="H1310" s="60"/>
      <c r="I1310" s="61"/>
      <c r="J1310" s="61"/>
      <c r="K1310" s="61"/>
      <c r="L1310" s="73" t="str">
        <f t="shared" si="101"/>
        <v/>
      </c>
      <c r="M1310" s="65" t="str">
        <f t="shared" ca="1" si="102"/>
        <v/>
      </c>
      <c r="N1310" s="74" t="str">
        <f>IF($C1310="","",IF($C1310="TANIMSIZ MÜŞTERİ","—",INDEX(MUSTERILER!$C$7:$C$156,MATCH($C1310,MUSTERILER!$B$7:$B$156,0))))</f>
        <v/>
      </c>
      <c r="O1310" s="2"/>
      <c r="P1310" s="2"/>
      <c r="Q1310" s="1" t="str">
        <f>IF($D1310="","",$C1310&amp;"|"&amp;COUNTIFS($C$7:$C1310,$C1310))</f>
        <v/>
      </c>
      <c r="R1310" s="1" t="str">
        <f t="shared" si="103"/>
        <v/>
      </c>
      <c r="S1310" s="1" t="str">
        <f t="shared" si="104"/>
        <v/>
      </c>
      <c r="T1310" s="1">
        <f>IF($E1310="",0,SUMPRODUCT((AY_SONU!$O$7:$O$42="Evet")*(AY_SONU!$B$7:$B$42=DATE(YEAR($E1310),MONTH($E1310),1))))</f>
        <v>0</v>
      </c>
    </row>
    <row r="1311" spans="1:20" ht="18" customHeight="1" x14ac:dyDescent="0.3">
      <c r="A1311" s="2"/>
      <c r="B1311" s="65" t="str">
        <f t="shared" si="100"/>
        <v/>
      </c>
      <c r="C1311" s="65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66"/>
      <c r="F1311" s="67"/>
      <c r="G1311" s="60"/>
      <c r="H1311" s="60"/>
      <c r="I1311" s="61"/>
      <c r="J1311" s="61"/>
      <c r="K1311" s="61"/>
      <c r="L1311" s="73" t="str">
        <f t="shared" si="101"/>
        <v/>
      </c>
      <c r="M1311" s="65" t="str">
        <f t="shared" ca="1" si="102"/>
        <v/>
      </c>
      <c r="N1311" s="74" t="str">
        <f>IF($C1311="","",IF($C1311="TANIMSIZ MÜŞTERİ","—",INDEX(MUSTERILER!$C$7:$C$156,MATCH($C1311,MUSTERILER!$B$7:$B$156,0))))</f>
        <v/>
      </c>
      <c r="O1311" s="2"/>
      <c r="P1311" s="2"/>
      <c r="Q1311" s="1" t="str">
        <f>IF($D1311="","",$C1311&amp;"|"&amp;COUNTIFS($C$7:$C1311,$C1311))</f>
        <v/>
      </c>
      <c r="R1311" s="1" t="str">
        <f t="shared" si="103"/>
        <v/>
      </c>
      <c r="S1311" s="1" t="str">
        <f t="shared" si="104"/>
        <v/>
      </c>
      <c r="T1311" s="1">
        <f>IF($E1311="",0,SUMPRODUCT((AY_SONU!$O$7:$O$42="Evet")*(AY_SONU!$B$7:$B$42=DATE(YEAR($E1311),MONTH($E1311),1))))</f>
        <v>0</v>
      </c>
    </row>
    <row r="1312" spans="1:20" ht="18" customHeight="1" x14ac:dyDescent="0.3">
      <c r="A1312" s="2"/>
      <c r="B1312" s="65" t="str">
        <f t="shared" si="100"/>
        <v/>
      </c>
      <c r="C1312" s="65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66"/>
      <c r="F1312" s="67"/>
      <c r="G1312" s="60"/>
      <c r="H1312" s="60"/>
      <c r="I1312" s="61"/>
      <c r="J1312" s="61"/>
      <c r="K1312" s="61"/>
      <c r="L1312" s="73" t="str">
        <f t="shared" si="101"/>
        <v/>
      </c>
      <c r="M1312" s="65" t="str">
        <f t="shared" ca="1" si="102"/>
        <v/>
      </c>
      <c r="N1312" s="74" t="str">
        <f>IF($C1312="","",IF($C1312="TANIMSIZ MÜŞTERİ","—",INDEX(MUSTERILER!$C$7:$C$156,MATCH($C1312,MUSTERILER!$B$7:$B$156,0))))</f>
        <v/>
      </c>
      <c r="O1312" s="2"/>
      <c r="P1312" s="2"/>
      <c r="Q1312" s="1" t="str">
        <f>IF($D1312="","",$C1312&amp;"|"&amp;COUNTIFS($C$7:$C1312,$C1312))</f>
        <v/>
      </c>
      <c r="R1312" s="1" t="str">
        <f t="shared" si="103"/>
        <v/>
      </c>
      <c r="S1312" s="1" t="str">
        <f t="shared" si="104"/>
        <v/>
      </c>
      <c r="T1312" s="1">
        <f>IF($E1312="",0,SUMPRODUCT((AY_SONU!$O$7:$O$42="Evet")*(AY_SONU!$B$7:$B$42=DATE(YEAR($E1312),MONTH($E1312),1))))</f>
        <v>0</v>
      </c>
    </row>
    <row r="1313" spans="1:20" ht="18" customHeight="1" x14ac:dyDescent="0.3">
      <c r="A1313" s="2"/>
      <c r="B1313" s="65" t="str">
        <f t="shared" si="100"/>
        <v/>
      </c>
      <c r="C1313" s="65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66"/>
      <c r="F1313" s="67"/>
      <c r="G1313" s="60"/>
      <c r="H1313" s="60"/>
      <c r="I1313" s="61"/>
      <c r="J1313" s="61"/>
      <c r="K1313" s="61"/>
      <c r="L1313" s="73" t="str">
        <f t="shared" si="101"/>
        <v/>
      </c>
      <c r="M1313" s="65" t="str">
        <f t="shared" ca="1" si="102"/>
        <v/>
      </c>
      <c r="N1313" s="74" t="str">
        <f>IF($C1313="","",IF($C1313="TANIMSIZ MÜŞTERİ","—",INDEX(MUSTERILER!$C$7:$C$156,MATCH($C1313,MUSTERILER!$B$7:$B$156,0))))</f>
        <v/>
      </c>
      <c r="O1313" s="2"/>
      <c r="P1313" s="2"/>
      <c r="Q1313" s="1" t="str">
        <f>IF($D1313="","",$C1313&amp;"|"&amp;COUNTIFS($C$7:$C1313,$C1313))</f>
        <v/>
      </c>
      <c r="R1313" s="1" t="str">
        <f t="shared" si="103"/>
        <v/>
      </c>
      <c r="S1313" s="1" t="str">
        <f t="shared" si="104"/>
        <v/>
      </c>
      <c r="T1313" s="1">
        <f>IF($E1313="",0,SUMPRODUCT((AY_SONU!$O$7:$O$42="Evet")*(AY_SONU!$B$7:$B$42=DATE(YEAR($E1313),MONTH($E1313),1))))</f>
        <v>0</v>
      </c>
    </row>
    <row r="1314" spans="1:20" ht="18" customHeight="1" x14ac:dyDescent="0.3">
      <c r="A1314" s="2"/>
      <c r="B1314" s="65" t="str">
        <f t="shared" si="100"/>
        <v/>
      </c>
      <c r="C1314" s="65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66"/>
      <c r="F1314" s="67"/>
      <c r="G1314" s="60"/>
      <c r="H1314" s="60"/>
      <c r="I1314" s="61"/>
      <c r="J1314" s="61"/>
      <c r="K1314" s="61"/>
      <c r="L1314" s="73" t="str">
        <f t="shared" si="101"/>
        <v/>
      </c>
      <c r="M1314" s="65" t="str">
        <f t="shared" ca="1" si="102"/>
        <v/>
      </c>
      <c r="N1314" s="74" t="str">
        <f>IF($C1314="","",IF($C1314="TANIMSIZ MÜŞTERİ","—",INDEX(MUSTERILER!$C$7:$C$156,MATCH($C1314,MUSTERILER!$B$7:$B$156,0))))</f>
        <v/>
      </c>
      <c r="O1314" s="2"/>
      <c r="P1314" s="2"/>
      <c r="Q1314" s="1" t="str">
        <f>IF($D1314="","",$C1314&amp;"|"&amp;COUNTIFS($C$7:$C1314,$C1314))</f>
        <v/>
      </c>
      <c r="R1314" s="1" t="str">
        <f t="shared" si="103"/>
        <v/>
      </c>
      <c r="S1314" s="1" t="str">
        <f t="shared" si="104"/>
        <v/>
      </c>
      <c r="T1314" s="1">
        <f>IF($E1314="",0,SUMPRODUCT((AY_SONU!$O$7:$O$42="Evet")*(AY_SONU!$B$7:$B$42=DATE(YEAR($E1314),MONTH($E1314),1))))</f>
        <v>0</v>
      </c>
    </row>
    <row r="1315" spans="1:20" ht="18" customHeight="1" x14ac:dyDescent="0.3">
      <c r="A1315" s="2"/>
      <c r="B1315" s="65" t="str">
        <f t="shared" si="100"/>
        <v/>
      </c>
      <c r="C1315" s="65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66"/>
      <c r="F1315" s="67"/>
      <c r="G1315" s="60"/>
      <c r="H1315" s="60"/>
      <c r="I1315" s="61"/>
      <c r="J1315" s="61"/>
      <c r="K1315" s="61"/>
      <c r="L1315" s="73" t="str">
        <f t="shared" si="101"/>
        <v/>
      </c>
      <c r="M1315" s="65" t="str">
        <f t="shared" ca="1" si="102"/>
        <v/>
      </c>
      <c r="N1315" s="74" t="str">
        <f>IF($C1315="","",IF($C1315="TANIMSIZ MÜŞTERİ","—",INDEX(MUSTERILER!$C$7:$C$156,MATCH($C1315,MUSTERILER!$B$7:$B$156,0))))</f>
        <v/>
      </c>
      <c r="O1315" s="2"/>
      <c r="P1315" s="2"/>
      <c r="Q1315" s="1" t="str">
        <f>IF($D1315="","",$C1315&amp;"|"&amp;COUNTIFS($C$7:$C1315,$C1315))</f>
        <v/>
      </c>
      <c r="R1315" s="1" t="str">
        <f t="shared" si="103"/>
        <v/>
      </c>
      <c r="S1315" s="1" t="str">
        <f t="shared" si="104"/>
        <v/>
      </c>
      <c r="T1315" s="1">
        <f>IF($E1315="",0,SUMPRODUCT((AY_SONU!$O$7:$O$42="Evet")*(AY_SONU!$B$7:$B$42=DATE(YEAR($E1315),MONTH($E1315),1))))</f>
        <v>0</v>
      </c>
    </row>
    <row r="1316" spans="1:20" ht="18" customHeight="1" x14ac:dyDescent="0.3">
      <c r="A1316" s="2"/>
      <c r="B1316" s="65" t="str">
        <f t="shared" si="100"/>
        <v/>
      </c>
      <c r="C1316" s="65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66"/>
      <c r="F1316" s="67"/>
      <c r="G1316" s="60"/>
      <c r="H1316" s="60"/>
      <c r="I1316" s="61"/>
      <c r="J1316" s="61"/>
      <c r="K1316" s="61"/>
      <c r="L1316" s="73" t="str">
        <f t="shared" si="101"/>
        <v/>
      </c>
      <c r="M1316" s="65" t="str">
        <f t="shared" ca="1" si="102"/>
        <v/>
      </c>
      <c r="N1316" s="74" t="str">
        <f>IF($C1316="","",IF($C1316="TANIMSIZ MÜŞTERİ","—",INDEX(MUSTERILER!$C$7:$C$156,MATCH($C1316,MUSTERILER!$B$7:$B$156,0))))</f>
        <v/>
      </c>
      <c r="O1316" s="2"/>
      <c r="P1316" s="2"/>
      <c r="Q1316" s="1" t="str">
        <f>IF($D1316="","",$C1316&amp;"|"&amp;COUNTIFS($C$7:$C1316,$C1316))</f>
        <v/>
      </c>
      <c r="R1316" s="1" t="str">
        <f t="shared" si="103"/>
        <v/>
      </c>
      <c r="S1316" s="1" t="str">
        <f t="shared" si="104"/>
        <v/>
      </c>
      <c r="T1316" s="1">
        <f>IF($E1316="",0,SUMPRODUCT((AY_SONU!$O$7:$O$42="Evet")*(AY_SONU!$B$7:$B$42=DATE(YEAR($E1316),MONTH($E1316),1))))</f>
        <v>0</v>
      </c>
    </row>
    <row r="1317" spans="1:20" ht="18" customHeight="1" x14ac:dyDescent="0.3">
      <c r="A1317" s="2"/>
      <c r="B1317" s="65" t="str">
        <f t="shared" si="100"/>
        <v/>
      </c>
      <c r="C1317" s="65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66"/>
      <c r="F1317" s="67"/>
      <c r="G1317" s="60"/>
      <c r="H1317" s="60"/>
      <c r="I1317" s="61"/>
      <c r="J1317" s="61"/>
      <c r="K1317" s="61"/>
      <c r="L1317" s="73" t="str">
        <f t="shared" si="101"/>
        <v/>
      </c>
      <c r="M1317" s="65" t="str">
        <f t="shared" ca="1" si="102"/>
        <v/>
      </c>
      <c r="N1317" s="74" t="str">
        <f>IF($C1317="","",IF($C1317="TANIMSIZ MÜŞTERİ","—",INDEX(MUSTERILER!$C$7:$C$156,MATCH($C1317,MUSTERILER!$B$7:$B$156,0))))</f>
        <v/>
      </c>
      <c r="O1317" s="2"/>
      <c r="P1317" s="2"/>
      <c r="Q1317" s="1" t="str">
        <f>IF($D1317="","",$C1317&amp;"|"&amp;COUNTIFS($C$7:$C1317,$C1317))</f>
        <v/>
      </c>
      <c r="R1317" s="1" t="str">
        <f t="shared" si="103"/>
        <v/>
      </c>
      <c r="S1317" s="1" t="str">
        <f t="shared" si="104"/>
        <v/>
      </c>
      <c r="T1317" s="1">
        <f>IF($E1317="",0,SUMPRODUCT((AY_SONU!$O$7:$O$42="Evet")*(AY_SONU!$B$7:$B$42=DATE(YEAR($E1317),MONTH($E1317),1))))</f>
        <v>0</v>
      </c>
    </row>
    <row r="1318" spans="1:20" ht="18" customHeight="1" x14ac:dyDescent="0.3">
      <c r="A1318" s="2"/>
      <c r="B1318" s="65" t="str">
        <f t="shared" si="100"/>
        <v/>
      </c>
      <c r="C1318" s="65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66"/>
      <c r="F1318" s="67"/>
      <c r="G1318" s="60"/>
      <c r="H1318" s="60"/>
      <c r="I1318" s="61"/>
      <c r="J1318" s="61"/>
      <c r="K1318" s="61"/>
      <c r="L1318" s="73" t="str">
        <f t="shared" si="101"/>
        <v/>
      </c>
      <c r="M1318" s="65" t="str">
        <f t="shared" ca="1" si="102"/>
        <v/>
      </c>
      <c r="N1318" s="74" t="str">
        <f>IF($C1318="","",IF($C1318="TANIMSIZ MÜŞTERİ","—",INDEX(MUSTERILER!$C$7:$C$156,MATCH($C1318,MUSTERILER!$B$7:$B$156,0))))</f>
        <v/>
      </c>
      <c r="O1318" s="2"/>
      <c r="P1318" s="2"/>
      <c r="Q1318" s="1" t="str">
        <f>IF($D1318="","",$C1318&amp;"|"&amp;COUNTIFS($C$7:$C1318,$C1318))</f>
        <v/>
      </c>
      <c r="R1318" s="1" t="str">
        <f t="shared" si="103"/>
        <v/>
      </c>
      <c r="S1318" s="1" t="str">
        <f t="shared" si="104"/>
        <v/>
      </c>
      <c r="T1318" s="1">
        <f>IF($E1318="",0,SUMPRODUCT((AY_SONU!$O$7:$O$42="Evet")*(AY_SONU!$B$7:$B$42=DATE(YEAR($E1318),MONTH($E1318),1))))</f>
        <v>0</v>
      </c>
    </row>
    <row r="1319" spans="1:20" ht="18" customHeight="1" x14ac:dyDescent="0.3">
      <c r="A1319" s="2"/>
      <c r="B1319" s="65" t="str">
        <f t="shared" si="100"/>
        <v/>
      </c>
      <c r="C1319" s="65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66"/>
      <c r="F1319" s="67"/>
      <c r="G1319" s="60"/>
      <c r="H1319" s="60"/>
      <c r="I1319" s="61"/>
      <c r="J1319" s="61"/>
      <c r="K1319" s="61"/>
      <c r="L1319" s="73" t="str">
        <f t="shared" si="101"/>
        <v/>
      </c>
      <c r="M1319" s="65" t="str">
        <f t="shared" ca="1" si="102"/>
        <v/>
      </c>
      <c r="N1319" s="74" t="str">
        <f>IF($C1319="","",IF($C1319="TANIMSIZ MÜŞTERİ","—",INDEX(MUSTERILER!$C$7:$C$156,MATCH($C1319,MUSTERILER!$B$7:$B$156,0))))</f>
        <v/>
      </c>
      <c r="O1319" s="2"/>
      <c r="P1319" s="2"/>
      <c r="Q1319" s="1" t="str">
        <f>IF($D1319="","",$C1319&amp;"|"&amp;COUNTIFS($C$7:$C1319,$C1319))</f>
        <v/>
      </c>
      <c r="R1319" s="1" t="str">
        <f t="shared" si="103"/>
        <v/>
      </c>
      <c r="S1319" s="1" t="str">
        <f t="shared" si="104"/>
        <v/>
      </c>
      <c r="T1319" s="1">
        <f>IF($E1319="",0,SUMPRODUCT((AY_SONU!$O$7:$O$42="Evet")*(AY_SONU!$B$7:$B$42=DATE(YEAR($E1319),MONTH($E1319),1))))</f>
        <v>0</v>
      </c>
    </row>
    <row r="1320" spans="1:20" ht="18" customHeight="1" x14ac:dyDescent="0.3">
      <c r="A1320" s="2"/>
      <c r="B1320" s="65" t="str">
        <f t="shared" si="100"/>
        <v/>
      </c>
      <c r="C1320" s="65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66"/>
      <c r="F1320" s="67"/>
      <c r="G1320" s="60"/>
      <c r="H1320" s="60"/>
      <c r="I1320" s="61"/>
      <c r="J1320" s="61"/>
      <c r="K1320" s="61"/>
      <c r="L1320" s="73" t="str">
        <f t="shared" si="101"/>
        <v/>
      </c>
      <c r="M1320" s="65" t="str">
        <f t="shared" ca="1" si="102"/>
        <v/>
      </c>
      <c r="N1320" s="74" t="str">
        <f>IF($C1320="","",IF($C1320="TANIMSIZ MÜŞTERİ","—",INDEX(MUSTERILER!$C$7:$C$156,MATCH($C1320,MUSTERILER!$B$7:$B$156,0))))</f>
        <v/>
      </c>
      <c r="O1320" s="2"/>
      <c r="P1320" s="2"/>
      <c r="Q1320" s="1" t="str">
        <f>IF($D1320="","",$C1320&amp;"|"&amp;COUNTIFS($C$7:$C1320,$C1320))</f>
        <v/>
      </c>
      <c r="R1320" s="1" t="str">
        <f t="shared" si="103"/>
        <v/>
      </c>
      <c r="S1320" s="1" t="str">
        <f t="shared" si="104"/>
        <v/>
      </c>
      <c r="T1320" s="1">
        <f>IF($E1320="",0,SUMPRODUCT((AY_SONU!$O$7:$O$42="Evet")*(AY_SONU!$B$7:$B$42=DATE(YEAR($E1320),MONTH($E1320),1))))</f>
        <v>0</v>
      </c>
    </row>
    <row r="1321" spans="1:20" ht="18" customHeight="1" x14ac:dyDescent="0.3">
      <c r="A1321" s="2"/>
      <c r="B1321" s="65" t="str">
        <f t="shared" si="100"/>
        <v/>
      </c>
      <c r="C1321" s="65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66"/>
      <c r="F1321" s="67"/>
      <c r="G1321" s="60"/>
      <c r="H1321" s="60"/>
      <c r="I1321" s="61"/>
      <c r="J1321" s="61"/>
      <c r="K1321" s="61"/>
      <c r="L1321" s="73" t="str">
        <f t="shared" si="101"/>
        <v/>
      </c>
      <c r="M1321" s="65" t="str">
        <f t="shared" ca="1" si="102"/>
        <v/>
      </c>
      <c r="N1321" s="74" t="str">
        <f>IF($C1321="","",IF($C1321="TANIMSIZ MÜŞTERİ","—",INDEX(MUSTERILER!$C$7:$C$156,MATCH($C1321,MUSTERILER!$B$7:$B$156,0))))</f>
        <v/>
      </c>
      <c r="O1321" s="2"/>
      <c r="P1321" s="2"/>
      <c r="Q1321" s="1" t="str">
        <f>IF($D1321="","",$C1321&amp;"|"&amp;COUNTIFS($C$7:$C1321,$C1321))</f>
        <v/>
      </c>
      <c r="R1321" s="1" t="str">
        <f t="shared" si="103"/>
        <v/>
      </c>
      <c r="S1321" s="1" t="str">
        <f t="shared" si="104"/>
        <v/>
      </c>
      <c r="T1321" s="1">
        <f>IF($E1321="",0,SUMPRODUCT((AY_SONU!$O$7:$O$42="Evet")*(AY_SONU!$B$7:$B$42=DATE(YEAR($E1321),MONTH($E1321),1))))</f>
        <v>0</v>
      </c>
    </row>
    <row r="1322" spans="1:20" ht="18" customHeight="1" x14ac:dyDescent="0.3">
      <c r="A1322" s="2"/>
      <c r="B1322" s="65" t="str">
        <f t="shared" si="100"/>
        <v/>
      </c>
      <c r="C1322" s="65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66"/>
      <c r="F1322" s="67"/>
      <c r="G1322" s="60"/>
      <c r="H1322" s="60"/>
      <c r="I1322" s="61"/>
      <c r="J1322" s="61"/>
      <c r="K1322" s="61"/>
      <c r="L1322" s="73" t="str">
        <f t="shared" si="101"/>
        <v/>
      </c>
      <c r="M1322" s="65" t="str">
        <f t="shared" ca="1" si="102"/>
        <v/>
      </c>
      <c r="N1322" s="74" t="str">
        <f>IF($C1322="","",IF($C1322="TANIMSIZ MÜŞTERİ","—",INDEX(MUSTERILER!$C$7:$C$156,MATCH($C1322,MUSTERILER!$B$7:$B$156,0))))</f>
        <v/>
      </c>
      <c r="O1322" s="2"/>
      <c r="P1322" s="2"/>
      <c r="Q1322" s="1" t="str">
        <f>IF($D1322="","",$C1322&amp;"|"&amp;COUNTIFS($C$7:$C1322,$C1322))</f>
        <v/>
      </c>
      <c r="R1322" s="1" t="str">
        <f t="shared" si="103"/>
        <v/>
      </c>
      <c r="S1322" s="1" t="str">
        <f t="shared" si="104"/>
        <v/>
      </c>
      <c r="T1322" s="1">
        <f>IF($E1322="",0,SUMPRODUCT((AY_SONU!$O$7:$O$42="Evet")*(AY_SONU!$B$7:$B$42=DATE(YEAR($E1322),MONTH($E1322),1))))</f>
        <v>0</v>
      </c>
    </row>
    <row r="1323" spans="1:20" ht="18" customHeight="1" x14ac:dyDescent="0.3">
      <c r="A1323" s="2"/>
      <c r="B1323" s="65" t="str">
        <f t="shared" si="100"/>
        <v/>
      </c>
      <c r="C1323" s="65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66"/>
      <c r="F1323" s="67"/>
      <c r="G1323" s="60"/>
      <c r="H1323" s="60"/>
      <c r="I1323" s="61"/>
      <c r="J1323" s="61"/>
      <c r="K1323" s="61"/>
      <c r="L1323" s="73" t="str">
        <f t="shared" si="101"/>
        <v/>
      </c>
      <c r="M1323" s="65" t="str">
        <f t="shared" ca="1" si="102"/>
        <v/>
      </c>
      <c r="N1323" s="74" t="str">
        <f>IF($C1323="","",IF($C1323="TANIMSIZ MÜŞTERİ","—",INDEX(MUSTERILER!$C$7:$C$156,MATCH($C1323,MUSTERILER!$B$7:$B$156,0))))</f>
        <v/>
      </c>
      <c r="O1323" s="2"/>
      <c r="P1323" s="2"/>
      <c r="Q1323" s="1" t="str">
        <f>IF($D1323="","",$C1323&amp;"|"&amp;COUNTIFS($C$7:$C1323,$C1323))</f>
        <v/>
      </c>
      <c r="R1323" s="1" t="str">
        <f t="shared" si="103"/>
        <v/>
      </c>
      <c r="S1323" s="1" t="str">
        <f t="shared" si="104"/>
        <v/>
      </c>
      <c r="T1323" s="1">
        <f>IF($E1323="",0,SUMPRODUCT((AY_SONU!$O$7:$O$42="Evet")*(AY_SONU!$B$7:$B$42=DATE(YEAR($E1323),MONTH($E1323),1))))</f>
        <v>0</v>
      </c>
    </row>
    <row r="1324" spans="1:20" ht="18" customHeight="1" x14ac:dyDescent="0.3">
      <c r="A1324" s="2"/>
      <c r="B1324" s="65" t="str">
        <f t="shared" si="100"/>
        <v/>
      </c>
      <c r="C1324" s="65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66"/>
      <c r="F1324" s="67"/>
      <c r="G1324" s="60"/>
      <c r="H1324" s="60"/>
      <c r="I1324" s="61"/>
      <c r="J1324" s="61"/>
      <c r="K1324" s="61"/>
      <c r="L1324" s="73" t="str">
        <f t="shared" si="101"/>
        <v/>
      </c>
      <c r="M1324" s="65" t="str">
        <f t="shared" ca="1" si="102"/>
        <v/>
      </c>
      <c r="N1324" s="74" t="str">
        <f>IF($C1324="","",IF($C1324="TANIMSIZ MÜŞTERİ","—",INDEX(MUSTERILER!$C$7:$C$156,MATCH($C1324,MUSTERILER!$B$7:$B$156,0))))</f>
        <v/>
      </c>
      <c r="O1324" s="2"/>
      <c r="P1324" s="2"/>
      <c r="Q1324" s="1" t="str">
        <f>IF($D1324="","",$C1324&amp;"|"&amp;COUNTIFS($C$7:$C1324,$C1324))</f>
        <v/>
      </c>
      <c r="R1324" s="1" t="str">
        <f t="shared" si="103"/>
        <v/>
      </c>
      <c r="S1324" s="1" t="str">
        <f t="shared" si="104"/>
        <v/>
      </c>
      <c r="T1324" s="1">
        <f>IF($E1324="",0,SUMPRODUCT((AY_SONU!$O$7:$O$42="Evet")*(AY_SONU!$B$7:$B$42=DATE(YEAR($E1324),MONTH($E1324),1))))</f>
        <v>0</v>
      </c>
    </row>
    <row r="1325" spans="1:20" ht="18" customHeight="1" x14ac:dyDescent="0.3">
      <c r="A1325" s="2"/>
      <c r="B1325" s="65" t="str">
        <f t="shared" si="100"/>
        <v/>
      </c>
      <c r="C1325" s="65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66"/>
      <c r="F1325" s="67"/>
      <c r="G1325" s="60"/>
      <c r="H1325" s="60"/>
      <c r="I1325" s="61"/>
      <c r="J1325" s="61"/>
      <c r="K1325" s="61"/>
      <c r="L1325" s="73" t="str">
        <f t="shared" si="101"/>
        <v/>
      </c>
      <c r="M1325" s="65" t="str">
        <f t="shared" ca="1" si="102"/>
        <v/>
      </c>
      <c r="N1325" s="74" t="str">
        <f>IF($C1325="","",IF($C1325="TANIMSIZ MÜŞTERİ","—",INDEX(MUSTERILER!$C$7:$C$156,MATCH($C1325,MUSTERILER!$B$7:$B$156,0))))</f>
        <v/>
      </c>
      <c r="O1325" s="2"/>
      <c r="P1325" s="2"/>
      <c r="Q1325" s="1" t="str">
        <f>IF($D1325="","",$C1325&amp;"|"&amp;COUNTIFS($C$7:$C1325,$C1325))</f>
        <v/>
      </c>
      <c r="R1325" s="1" t="str">
        <f t="shared" si="103"/>
        <v/>
      </c>
      <c r="S1325" s="1" t="str">
        <f t="shared" si="104"/>
        <v/>
      </c>
      <c r="T1325" s="1">
        <f>IF($E1325="",0,SUMPRODUCT((AY_SONU!$O$7:$O$42="Evet")*(AY_SONU!$B$7:$B$42=DATE(YEAR($E1325),MONTH($E1325),1))))</f>
        <v>0</v>
      </c>
    </row>
    <row r="1326" spans="1:20" ht="18" customHeight="1" x14ac:dyDescent="0.3">
      <c r="A1326" s="2"/>
      <c r="B1326" s="65" t="str">
        <f t="shared" si="100"/>
        <v/>
      </c>
      <c r="C1326" s="65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66"/>
      <c r="F1326" s="67"/>
      <c r="G1326" s="60"/>
      <c r="H1326" s="60"/>
      <c r="I1326" s="61"/>
      <c r="J1326" s="61"/>
      <c r="K1326" s="61"/>
      <c r="L1326" s="73" t="str">
        <f t="shared" si="101"/>
        <v/>
      </c>
      <c r="M1326" s="65" t="str">
        <f t="shared" ca="1" si="102"/>
        <v/>
      </c>
      <c r="N1326" s="74" t="str">
        <f>IF($C1326="","",IF($C1326="TANIMSIZ MÜŞTERİ","—",INDEX(MUSTERILER!$C$7:$C$156,MATCH($C1326,MUSTERILER!$B$7:$B$156,0))))</f>
        <v/>
      </c>
      <c r="O1326" s="2"/>
      <c r="P1326" s="2"/>
      <c r="Q1326" s="1" t="str">
        <f>IF($D1326="","",$C1326&amp;"|"&amp;COUNTIFS($C$7:$C1326,$C1326))</f>
        <v/>
      </c>
      <c r="R1326" s="1" t="str">
        <f t="shared" si="103"/>
        <v/>
      </c>
      <c r="S1326" s="1" t="str">
        <f t="shared" si="104"/>
        <v/>
      </c>
      <c r="T1326" s="1">
        <f>IF($E1326="",0,SUMPRODUCT((AY_SONU!$O$7:$O$42="Evet")*(AY_SONU!$B$7:$B$42=DATE(YEAR($E1326),MONTH($E1326),1))))</f>
        <v>0</v>
      </c>
    </row>
    <row r="1327" spans="1:20" ht="18" customHeight="1" x14ac:dyDescent="0.3">
      <c r="A1327" s="2"/>
      <c r="B1327" s="65" t="str">
        <f t="shared" si="100"/>
        <v/>
      </c>
      <c r="C1327" s="65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66"/>
      <c r="F1327" s="67"/>
      <c r="G1327" s="60"/>
      <c r="H1327" s="60"/>
      <c r="I1327" s="61"/>
      <c r="J1327" s="61"/>
      <c r="K1327" s="61"/>
      <c r="L1327" s="73" t="str">
        <f t="shared" si="101"/>
        <v/>
      </c>
      <c r="M1327" s="65" t="str">
        <f t="shared" ca="1" si="102"/>
        <v/>
      </c>
      <c r="N1327" s="74" t="str">
        <f>IF($C1327="","",IF($C1327="TANIMSIZ MÜŞTERİ","—",INDEX(MUSTERILER!$C$7:$C$156,MATCH($C1327,MUSTERILER!$B$7:$B$156,0))))</f>
        <v/>
      </c>
      <c r="O1327" s="2"/>
      <c r="P1327" s="2"/>
      <c r="Q1327" s="1" t="str">
        <f>IF($D1327="","",$C1327&amp;"|"&amp;COUNTIFS($C$7:$C1327,$C1327))</f>
        <v/>
      </c>
      <c r="R1327" s="1" t="str">
        <f t="shared" si="103"/>
        <v/>
      </c>
      <c r="S1327" s="1" t="str">
        <f t="shared" si="104"/>
        <v/>
      </c>
      <c r="T1327" s="1">
        <f>IF($E1327="",0,SUMPRODUCT((AY_SONU!$O$7:$O$42="Evet")*(AY_SONU!$B$7:$B$42=DATE(YEAR($E1327),MONTH($E1327),1))))</f>
        <v>0</v>
      </c>
    </row>
    <row r="1328" spans="1:20" ht="18" customHeight="1" x14ac:dyDescent="0.3">
      <c r="A1328" s="2"/>
      <c r="B1328" s="65" t="str">
        <f t="shared" si="100"/>
        <v/>
      </c>
      <c r="C1328" s="65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66"/>
      <c r="F1328" s="67"/>
      <c r="G1328" s="60"/>
      <c r="H1328" s="60"/>
      <c r="I1328" s="61"/>
      <c r="J1328" s="61"/>
      <c r="K1328" s="61"/>
      <c r="L1328" s="73" t="str">
        <f t="shared" si="101"/>
        <v/>
      </c>
      <c r="M1328" s="65" t="str">
        <f t="shared" ca="1" si="102"/>
        <v/>
      </c>
      <c r="N1328" s="74" t="str">
        <f>IF($C1328="","",IF($C1328="TANIMSIZ MÜŞTERİ","—",INDEX(MUSTERILER!$C$7:$C$156,MATCH($C1328,MUSTERILER!$B$7:$B$156,0))))</f>
        <v/>
      </c>
      <c r="O1328" s="2"/>
      <c r="P1328" s="2"/>
      <c r="Q1328" s="1" t="str">
        <f>IF($D1328="","",$C1328&amp;"|"&amp;COUNTIFS($C$7:$C1328,$C1328))</f>
        <v/>
      </c>
      <c r="R1328" s="1" t="str">
        <f t="shared" si="103"/>
        <v/>
      </c>
      <c r="S1328" s="1" t="str">
        <f t="shared" si="104"/>
        <v/>
      </c>
      <c r="T1328" s="1">
        <f>IF($E1328="",0,SUMPRODUCT((AY_SONU!$O$7:$O$42="Evet")*(AY_SONU!$B$7:$B$42=DATE(YEAR($E1328),MONTH($E1328),1))))</f>
        <v>0</v>
      </c>
    </row>
    <row r="1329" spans="1:20" ht="18" customHeight="1" x14ac:dyDescent="0.3">
      <c r="A1329" s="2"/>
      <c r="B1329" s="65" t="str">
        <f t="shared" si="100"/>
        <v/>
      </c>
      <c r="C1329" s="65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66"/>
      <c r="F1329" s="67"/>
      <c r="G1329" s="60"/>
      <c r="H1329" s="60"/>
      <c r="I1329" s="61"/>
      <c r="J1329" s="61"/>
      <c r="K1329" s="61"/>
      <c r="L1329" s="73" t="str">
        <f t="shared" si="101"/>
        <v/>
      </c>
      <c r="M1329" s="65" t="str">
        <f t="shared" ca="1" si="102"/>
        <v/>
      </c>
      <c r="N1329" s="74" t="str">
        <f>IF($C1329="","",IF($C1329="TANIMSIZ MÜŞTERİ","—",INDEX(MUSTERILER!$C$7:$C$156,MATCH($C1329,MUSTERILER!$B$7:$B$156,0))))</f>
        <v/>
      </c>
      <c r="O1329" s="2"/>
      <c r="P1329" s="2"/>
      <c r="Q1329" s="1" t="str">
        <f>IF($D1329="","",$C1329&amp;"|"&amp;COUNTIFS($C$7:$C1329,$C1329))</f>
        <v/>
      </c>
      <c r="R1329" s="1" t="str">
        <f t="shared" si="103"/>
        <v/>
      </c>
      <c r="S1329" s="1" t="str">
        <f t="shared" si="104"/>
        <v/>
      </c>
      <c r="T1329" s="1">
        <f>IF($E1329="",0,SUMPRODUCT((AY_SONU!$O$7:$O$42="Evet")*(AY_SONU!$B$7:$B$42=DATE(YEAR($E1329),MONTH($E1329),1))))</f>
        <v>0</v>
      </c>
    </row>
    <row r="1330" spans="1:20" ht="18" customHeight="1" x14ac:dyDescent="0.3">
      <c r="A1330" s="2"/>
      <c r="B1330" s="65" t="str">
        <f t="shared" si="100"/>
        <v/>
      </c>
      <c r="C1330" s="65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66"/>
      <c r="F1330" s="67"/>
      <c r="G1330" s="60"/>
      <c r="H1330" s="60"/>
      <c r="I1330" s="61"/>
      <c r="J1330" s="61"/>
      <c r="K1330" s="61"/>
      <c r="L1330" s="73" t="str">
        <f t="shared" si="101"/>
        <v/>
      </c>
      <c r="M1330" s="65" t="str">
        <f t="shared" ca="1" si="102"/>
        <v/>
      </c>
      <c r="N1330" s="74" t="str">
        <f>IF($C1330="","",IF($C1330="TANIMSIZ MÜŞTERİ","—",INDEX(MUSTERILER!$C$7:$C$156,MATCH($C1330,MUSTERILER!$B$7:$B$156,0))))</f>
        <v/>
      </c>
      <c r="O1330" s="2"/>
      <c r="P1330" s="2"/>
      <c r="Q1330" s="1" t="str">
        <f>IF($D1330="","",$C1330&amp;"|"&amp;COUNTIFS($C$7:$C1330,$C1330))</f>
        <v/>
      </c>
      <c r="R1330" s="1" t="str">
        <f t="shared" si="103"/>
        <v/>
      </c>
      <c r="S1330" s="1" t="str">
        <f t="shared" si="104"/>
        <v/>
      </c>
      <c r="T1330" s="1">
        <f>IF($E1330="",0,SUMPRODUCT((AY_SONU!$O$7:$O$42="Evet")*(AY_SONU!$B$7:$B$42=DATE(YEAR($E1330),MONTH($E1330),1))))</f>
        <v>0</v>
      </c>
    </row>
    <row r="1331" spans="1:20" ht="18" customHeight="1" x14ac:dyDescent="0.3">
      <c r="A1331" s="2"/>
      <c r="B1331" s="65" t="str">
        <f t="shared" si="100"/>
        <v/>
      </c>
      <c r="C1331" s="65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66"/>
      <c r="F1331" s="67"/>
      <c r="G1331" s="60"/>
      <c r="H1331" s="60"/>
      <c r="I1331" s="61"/>
      <c r="J1331" s="61"/>
      <c r="K1331" s="61"/>
      <c r="L1331" s="73" t="str">
        <f t="shared" si="101"/>
        <v/>
      </c>
      <c r="M1331" s="65" t="str">
        <f t="shared" ca="1" si="102"/>
        <v/>
      </c>
      <c r="N1331" s="74" t="str">
        <f>IF($C1331="","",IF($C1331="TANIMSIZ MÜŞTERİ","—",INDEX(MUSTERILER!$C$7:$C$156,MATCH($C1331,MUSTERILER!$B$7:$B$156,0))))</f>
        <v/>
      </c>
      <c r="O1331" s="2"/>
      <c r="P1331" s="2"/>
      <c r="Q1331" s="1" t="str">
        <f>IF($D1331="","",$C1331&amp;"|"&amp;COUNTIFS($C$7:$C1331,$C1331))</f>
        <v/>
      </c>
      <c r="R1331" s="1" t="str">
        <f t="shared" si="103"/>
        <v/>
      </c>
      <c r="S1331" s="1" t="str">
        <f t="shared" si="104"/>
        <v/>
      </c>
      <c r="T1331" s="1">
        <f>IF($E1331="",0,SUMPRODUCT((AY_SONU!$O$7:$O$42="Evet")*(AY_SONU!$B$7:$B$42=DATE(YEAR($E1331),MONTH($E1331),1))))</f>
        <v>0</v>
      </c>
    </row>
    <row r="1332" spans="1:20" ht="18" customHeight="1" x14ac:dyDescent="0.3">
      <c r="A1332" s="2"/>
      <c r="B1332" s="65" t="str">
        <f t="shared" si="100"/>
        <v/>
      </c>
      <c r="C1332" s="65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66"/>
      <c r="F1332" s="67"/>
      <c r="G1332" s="60"/>
      <c r="H1332" s="60"/>
      <c r="I1332" s="61"/>
      <c r="J1332" s="61"/>
      <c r="K1332" s="61"/>
      <c r="L1332" s="73" t="str">
        <f t="shared" si="101"/>
        <v/>
      </c>
      <c r="M1332" s="65" t="str">
        <f t="shared" ca="1" si="102"/>
        <v/>
      </c>
      <c r="N1332" s="74" t="str">
        <f>IF($C1332="","",IF($C1332="TANIMSIZ MÜŞTERİ","—",INDEX(MUSTERILER!$C$7:$C$156,MATCH($C1332,MUSTERILER!$B$7:$B$156,0))))</f>
        <v/>
      </c>
      <c r="O1332" s="2"/>
      <c r="P1332" s="2"/>
      <c r="Q1332" s="1" t="str">
        <f>IF($D1332="","",$C1332&amp;"|"&amp;COUNTIFS($C$7:$C1332,$C1332))</f>
        <v/>
      </c>
      <c r="R1332" s="1" t="str">
        <f t="shared" si="103"/>
        <v/>
      </c>
      <c r="S1332" s="1" t="str">
        <f t="shared" si="104"/>
        <v/>
      </c>
      <c r="T1332" s="1">
        <f>IF($E1332="",0,SUMPRODUCT((AY_SONU!$O$7:$O$42="Evet")*(AY_SONU!$B$7:$B$42=DATE(YEAR($E1332),MONTH($E1332),1))))</f>
        <v>0</v>
      </c>
    </row>
    <row r="1333" spans="1:20" ht="18" customHeight="1" x14ac:dyDescent="0.3">
      <c r="A1333" s="2"/>
      <c r="B1333" s="65" t="str">
        <f t="shared" si="100"/>
        <v/>
      </c>
      <c r="C1333" s="65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66"/>
      <c r="F1333" s="67"/>
      <c r="G1333" s="60"/>
      <c r="H1333" s="60"/>
      <c r="I1333" s="61"/>
      <c r="J1333" s="61"/>
      <c r="K1333" s="61"/>
      <c r="L1333" s="73" t="str">
        <f t="shared" si="101"/>
        <v/>
      </c>
      <c r="M1333" s="65" t="str">
        <f t="shared" ca="1" si="102"/>
        <v/>
      </c>
      <c r="N1333" s="74" t="str">
        <f>IF($C1333="","",IF($C1333="TANIMSIZ MÜŞTERİ","—",INDEX(MUSTERILER!$C$7:$C$156,MATCH($C1333,MUSTERILER!$B$7:$B$156,0))))</f>
        <v/>
      </c>
      <c r="O1333" s="2"/>
      <c r="P1333" s="2"/>
      <c r="Q1333" s="1" t="str">
        <f>IF($D1333="","",$C1333&amp;"|"&amp;COUNTIFS($C$7:$C1333,$C1333))</f>
        <v/>
      </c>
      <c r="R1333" s="1" t="str">
        <f t="shared" si="103"/>
        <v/>
      </c>
      <c r="S1333" s="1" t="str">
        <f t="shared" si="104"/>
        <v/>
      </c>
      <c r="T1333" s="1">
        <f>IF($E1333="",0,SUMPRODUCT((AY_SONU!$O$7:$O$42="Evet")*(AY_SONU!$B$7:$B$42=DATE(YEAR($E1333),MONTH($E1333),1))))</f>
        <v>0</v>
      </c>
    </row>
    <row r="1334" spans="1:20" ht="18" customHeight="1" x14ac:dyDescent="0.3">
      <c r="A1334" s="2"/>
      <c r="B1334" s="65" t="str">
        <f t="shared" si="100"/>
        <v/>
      </c>
      <c r="C1334" s="65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66"/>
      <c r="F1334" s="67"/>
      <c r="G1334" s="60"/>
      <c r="H1334" s="60"/>
      <c r="I1334" s="61"/>
      <c r="J1334" s="61"/>
      <c r="K1334" s="61"/>
      <c r="L1334" s="73" t="str">
        <f t="shared" si="101"/>
        <v/>
      </c>
      <c r="M1334" s="65" t="str">
        <f t="shared" ca="1" si="102"/>
        <v/>
      </c>
      <c r="N1334" s="74" t="str">
        <f>IF($C1334="","",IF($C1334="TANIMSIZ MÜŞTERİ","—",INDEX(MUSTERILER!$C$7:$C$156,MATCH($C1334,MUSTERILER!$B$7:$B$156,0))))</f>
        <v/>
      </c>
      <c r="O1334" s="2"/>
      <c r="P1334" s="2"/>
      <c r="Q1334" s="1" t="str">
        <f>IF($D1334="","",$C1334&amp;"|"&amp;COUNTIFS($C$7:$C1334,$C1334))</f>
        <v/>
      </c>
      <c r="R1334" s="1" t="str">
        <f t="shared" si="103"/>
        <v/>
      </c>
      <c r="S1334" s="1" t="str">
        <f t="shared" si="104"/>
        <v/>
      </c>
      <c r="T1334" s="1">
        <f>IF($E1334="",0,SUMPRODUCT((AY_SONU!$O$7:$O$42="Evet")*(AY_SONU!$B$7:$B$42=DATE(YEAR($E1334),MONTH($E1334),1))))</f>
        <v>0</v>
      </c>
    </row>
    <row r="1335" spans="1:20" ht="18" customHeight="1" x14ac:dyDescent="0.3">
      <c r="A1335" s="2"/>
      <c r="B1335" s="65" t="str">
        <f t="shared" si="100"/>
        <v/>
      </c>
      <c r="C1335" s="65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66"/>
      <c r="F1335" s="67"/>
      <c r="G1335" s="60"/>
      <c r="H1335" s="60"/>
      <c r="I1335" s="61"/>
      <c r="J1335" s="61"/>
      <c r="K1335" s="61"/>
      <c r="L1335" s="73" t="str">
        <f t="shared" si="101"/>
        <v/>
      </c>
      <c r="M1335" s="65" t="str">
        <f t="shared" ca="1" si="102"/>
        <v/>
      </c>
      <c r="N1335" s="74" t="str">
        <f>IF($C1335="","",IF($C1335="TANIMSIZ MÜŞTERİ","—",INDEX(MUSTERILER!$C$7:$C$156,MATCH($C1335,MUSTERILER!$B$7:$B$156,0))))</f>
        <v/>
      </c>
      <c r="O1335" s="2"/>
      <c r="P1335" s="2"/>
      <c r="Q1335" s="1" t="str">
        <f>IF($D1335="","",$C1335&amp;"|"&amp;COUNTIFS($C$7:$C1335,$C1335))</f>
        <v/>
      </c>
      <c r="R1335" s="1" t="str">
        <f t="shared" si="103"/>
        <v/>
      </c>
      <c r="S1335" s="1" t="str">
        <f t="shared" si="104"/>
        <v/>
      </c>
      <c r="T1335" s="1">
        <f>IF($E1335="",0,SUMPRODUCT((AY_SONU!$O$7:$O$42="Evet")*(AY_SONU!$B$7:$B$42=DATE(YEAR($E1335),MONTH($E1335),1))))</f>
        <v>0</v>
      </c>
    </row>
    <row r="1336" spans="1:20" ht="18" customHeight="1" x14ac:dyDescent="0.3">
      <c r="A1336" s="2"/>
      <c r="B1336" s="65" t="str">
        <f t="shared" si="100"/>
        <v/>
      </c>
      <c r="C1336" s="65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66"/>
      <c r="F1336" s="67"/>
      <c r="G1336" s="60"/>
      <c r="H1336" s="60"/>
      <c r="I1336" s="61"/>
      <c r="J1336" s="61"/>
      <c r="K1336" s="61"/>
      <c r="L1336" s="73" t="str">
        <f t="shared" si="101"/>
        <v/>
      </c>
      <c r="M1336" s="65" t="str">
        <f t="shared" ca="1" si="102"/>
        <v/>
      </c>
      <c r="N1336" s="74" t="str">
        <f>IF($C1336="","",IF($C1336="TANIMSIZ MÜŞTERİ","—",INDEX(MUSTERILER!$C$7:$C$156,MATCH($C1336,MUSTERILER!$B$7:$B$156,0))))</f>
        <v/>
      </c>
      <c r="O1336" s="2"/>
      <c r="P1336" s="2"/>
      <c r="Q1336" s="1" t="str">
        <f>IF($D1336="","",$C1336&amp;"|"&amp;COUNTIFS($C$7:$C1336,$C1336))</f>
        <v/>
      </c>
      <c r="R1336" s="1" t="str">
        <f t="shared" si="103"/>
        <v/>
      </c>
      <c r="S1336" s="1" t="str">
        <f t="shared" si="104"/>
        <v/>
      </c>
      <c r="T1336" s="1">
        <f>IF($E1336="",0,SUMPRODUCT((AY_SONU!$O$7:$O$42="Evet")*(AY_SONU!$B$7:$B$42=DATE(YEAR($E1336),MONTH($E1336),1))))</f>
        <v>0</v>
      </c>
    </row>
    <row r="1337" spans="1:20" ht="18" customHeight="1" x14ac:dyDescent="0.3">
      <c r="A1337" s="2"/>
      <c r="B1337" s="65" t="str">
        <f t="shared" si="100"/>
        <v/>
      </c>
      <c r="C1337" s="65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66"/>
      <c r="F1337" s="67"/>
      <c r="G1337" s="60"/>
      <c r="H1337" s="60"/>
      <c r="I1337" s="61"/>
      <c r="J1337" s="61"/>
      <c r="K1337" s="61"/>
      <c r="L1337" s="73" t="str">
        <f t="shared" si="101"/>
        <v/>
      </c>
      <c r="M1337" s="65" t="str">
        <f t="shared" ca="1" si="102"/>
        <v/>
      </c>
      <c r="N1337" s="74" t="str">
        <f>IF($C1337="","",IF($C1337="TANIMSIZ MÜŞTERİ","—",INDEX(MUSTERILER!$C$7:$C$156,MATCH($C1337,MUSTERILER!$B$7:$B$156,0))))</f>
        <v/>
      </c>
      <c r="O1337" s="2"/>
      <c r="P1337" s="2"/>
      <c r="Q1337" s="1" t="str">
        <f>IF($D1337="","",$C1337&amp;"|"&amp;COUNTIFS($C$7:$C1337,$C1337))</f>
        <v/>
      </c>
      <c r="R1337" s="1" t="str">
        <f t="shared" si="103"/>
        <v/>
      </c>
      <c r="S1337" s="1" t="str">
        <f t="shared" si="104"/>
        <v/>
      </c>
      <c r="T1337" s="1">
        <f>IF($E1337="",0,SUMPRODUCT((AY_SONU!$O$7:$O$42="Evet")*(AY_SONU!$B$7:$B$42=DATE(YEAR($E1337),MONTH($E1337),1))))</f>
        <v>0</v>
      </c>
    </row>
    <row r="1338" spans="1:20" ht="18" customHeight="1" x14ac:dyDescent="0.3">
      <c r="A1338" s="2"/>
      <c r="B1338" s="65" t="str">
        <f t="shared" si="100"/>
        <v/>
      </c>
      <c r="C1338" s="65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66"/>
      <c r="F1338" s="67"/>
      <c r="G1338" s="60"/>
      <c r="H1338" s="60"/>
      <c r="I1338" s="61"/>
      <c r="J1338" s="61"/>
      <c r="K1338" s="61"/>
      <c r="L1338" s="73" t="str">
        <f t="shared" si="101"/>
        <v/>
      </c>
      <c r="M1338" s="65" t="str">
        <f t="shared" ca="1" si="102"/>
        <v/>
      </c>
      <c r="N1338" s="74" t="str">
        <f>IF($C1338="","",IF($C1338="TANIMSIZ MÜŞTERİ","—",INDEX(MUSTERILER!$C$7:$C$156,MATCH($C1338,MUSTERILER!$B$7:$B$156,0))))</f>
        <v/>
      </c>
      <c r="O1338" s="2"/>
      <c r="P1338" s="2"/>
      <c r="Q1338" s="1" t="str">
        <f>IF($D1338="","",$C1338&amp;"|"&amp;COUNTIFS($C$7:$C1338,$C1338))</f>
        <v/>
      </c>
      <c r="R1338" s="1" t="str">
        <f t="shared" si="103"/>
        <v/>
      </c>
      <c r="S1338" s="1" t="str">
        <f t="shared" si="104"/>
        <v/>
      </c>
      <c r="T1338" s="1">
        <f>IF($E1338="",0,SUMPRODUCT((AY_SONU!$O$7:$O$42="Evet")*(AY_SONU!$B$7:$B$42=DATE(YEAR($E1338),MONTH($E1338),1))))</f>
        <v>0</v>
      </c>
    </row>
    <row r="1339" spans="1:20" ht="18" customHeight="1" x14ac:dyDescent="0.3">
      <c r="A1339" s="2"/>
      <c r="B1339" s="65" t="str">
        <f t="shared" si="100"/>
        <v/>
      </c>
      <c r="C1339" s="65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66"/>
      <c r="F1339" s="67"/>
      <c r="G1339" s="60"/>
      <c r="H1339" s="60"/>
      <c r="I1339" s="61"/>
      <c r="J1339" s="61"/>
      <c r="K1339" s="61"/>
      <c r="L1339" s="73" t="str">
        <f t="shared" si="101"/>
        <v/>
      </c>
      <c r="M1339" s="65" t="str">
        <f t="shared" ca="1" si="102"/>
        <v/>
      </c>
      <c r="N1339" s="74" t="str">
        <f>IF($C1339="","",IF($C1339="TANIMSIZ MÜŞTERİ","—",INDEX(MUSTERILER!$C$7:$C$156,MATCH($C1339,MUSTERILER!$B$7:$B$156,0))))</f>
        <v/>
      </c>
      <c r="O1339" s="2"/>
      <c r="P1339" s="2"/>
      <c r="Q1339" s="1" t="str">
        <f>IF($D1339="","",$C1339&amp;"|"&amp;COUNTIFS($C$7:$C1339,$C1339))</f>
        <v/>
      </c>
      <c r="R1339" s="1" t="str">
        <f t="shared" si="103"/>
        <v/>
      </c>
      <c r="S1339" s="1" t="str">
        <f t="shared" si="104"/>
        <v/>
      </c>
      <c r="T1339" s="1">
        <f>IF($E1339="",0,SUMPRODUCT((AY_SONU!$O$7:$O$42="Evet")*(AY_SONU!$B$7:$B$42=DATE(YEAR($E1339),MONTH($E1339),1))))</f>
        <v>0</v>
      </c>
    </row>
    <row r="1340" spans="1:20" ht="18" customHeight="1" x14ac:dyDescent="0.3">
      <c r="A1340" s="2"/>
      <c r="B1340" s="65" t="str">
        <f t="shared" si="100"/>
        <v/>
      </c>
      <c r="C1340" s="65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66"/>
      <c r="F1340" s="67"/>
      <c r="G1340" s="60"/>
      <c r="H1340" s="60"/>
      <c r="I1340" s="61"/>
      <c r="J1340" s="61"/>
      <c r="K1340" s="61"/>
      <c r="L1340" s="73" t="str">
        <f t="shared" si="101"/>
        <v/>
      </c>
      <c r="M1340" s="65" t="str">
        <f t="shared" ca="1" si="102"/>
        <v/>
      </c>
      <c r="N1340" s="74" t="str">
        <f>IF($C1340="","",IF($C1340="TANIMSIZ MÜŞTERİ","—",INDEX(MUSTERILER!$C$7:$C$156,MATCH($C1340,MUSTERILER!$B$7:$B$156,0))))</f>
        <v/>
      </c>
      <c r="O1340" s="2"/>
      <c r="P1340" s="2"/>
      <c r="Q1340" s="1" t="str">
        <f>IF($D1340="","",$C1340&amp;"|"&amp;COUNTIFS($C$7:$C1340,$C1340))</f>
        <v/>
      </c>
      <c r="R1340" s="1" t="str">
        <f t="shared" si="103"/>
        <v/>
      </c>
      <c r="S1340" s="1" t="str">
        <f t="shared" si="104"/>
        <v/>
      </c>
      <c r="T1340" s="1">
        <f>IF($E1340="",0,SUMPRODUCT((AY_SONU!$O$7:$O$42="Evet")*(AY_SONU!$B$7:$B$42=DATE(YEAR($E1340),MONTH($E1340),1))))</f>
        <v>0</v>
      </c>
    </row>
    <row r="1341" spans="1:20" ht="18" customHeight="1" x14ac:dyDescent="0.3">
      <c r="A1341" s="2"/>
      <c r="B1341" s="65" t="str">
        <f t="shared" si="100"/>
        <v/>
      </c>
      <c r="C1341" s="65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66"/>
      <c r="F1341" s="67"/>
      <c r="G1341" s="60"/>
      <c r="H1341" s="60"/>
      <c r="I1341" s="61"/>
      <c r="J1341" s="61"/>
      <c r="K1341" s="61"/>
      <c r="L1341" s="73" t="str">
        <f t="shared" si="101"/>
        <v/>
      </c>
      <c r="M1341" s="65" t="str">
        <f t="shared" ca="1" si="102"/>
        <v/>
      </c>
      <c r="N1341" s="74" t="str">
        <f>IF($C1341="","",IF($C1341="TANIMSIZ MÜŞTERİ","—",INDEX(MUSTERILER!$C$7:$C$156,MATCH($C1341,MUSTERILER!$B$7:$B$156,0))))</f>
        <v/>
      </c>
      <c r="O1341" s="2"/>
      <c r="P1341" s="2"/>
      <c r="Q1341" s="1" t="str">
        <f>IF($D1341="","",$C1341&amp;"|"&amp;COUNTIFS($C$7:$C1341,$C1341))</f>
        <v/>
      </c>
      <c r="R1341" s="1" t="str">
        <f t="shared" si="103"/>
        <v/>
      </c>
      <c r="S1341" s="1" t="str">
        <f t="shared" si="104"/>
        <v/>
      </c>
      <c r="T1341" s="1">
        <f>IF($E1341="",0,SUMPRODUCT((AY_SONU!$O$7:$O$42="Evet")*(AY_SONU!$B$7:$B$42=DATE(YEAR($E1341),MONTH($E1341),1))))</f>
        <v>0</v>
      </c>
    </row>
    <row r="1342" spans="1:20" ht="18" customHeight="1" x14ac:dyDescent="0.3">
      <c r="A1342" s="2"/>
      <c r="B1342" s="65" t="str">
        <f t="shared" si="100"/>
        <v/>
      </c>
      <c r="C1342" s="65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66"/>
      <c r="F1342" s="67"/>
      <c r="G1342" s="60"/>
      <c r="H1342" s="60"/>
      <c r="I1342" s="61"/>
      <c r="J1342" s="61"/>
      <c r="K1342" s="61"/>
      <c r="L1342" s="73" t="str">
        <f t="shared" si="101"/>
        <v/>
      </c>
      <c r="M1342" s="65" t="str">
        <f t="shared" ca="1" si="102"/>
        <v/>
      </c>
      <c r="N1342" s="74" t="str">
        <f>IF($C1342="","",IF($C1342="TANIMSIZ MÜŞTERİ","—",INDEX(MUSTERILER!$C$7:$C$156,MATCH($C1342,MUSTERILER!$B$7:$B$156,0))))</f>
        <v/>
      </c>
      <c r="O1342" s="2"/>
      <c r="P1342" s="2"/>
      <c r="Q1342" s="1" t="str">
        <f>IF($D1342="","",$C1342&amp;"|"&amp;COUNTIFS($C$7:$C1342,$C1342))</f>
        <v/>
      </c>
      <c r="R1342" s="1" t="str">
        <f t="shared" si="103"/>
        <v/>
      </c>
      <c r="S1342" s="1" t="str">
        <f t="shared" si="104"/>
        <v/>
      </c>
      <c r="T1342" s="1">
        <f>IF($E1342="",0,SUMPRODUCT((AY_SONU!$O$7:$O$42="Evet")*(AY_SONU!$B$7:$B$42=DATE(YEAR($E1342),MONTH($E1342),1))))</f>
        <v>0</v>
      </c>
    </row>
    <row r="1343" spans="1:20" ht="18" customHeight="1" x14ac:dyDescent="0.3">
      <c r="A1343" s="2"/>
      <c r="B1343" s="65" t="str">
        <f t="shared" si="100"/>
        <v/>
      </c>
      <c r="C1343" s="65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66"/>
      <c r="F1343" s="67"/>
      <c r="G1343" s="60"/>
      <c r="H1343" s="60"/>
      <c r="I1343" s="61"/>
      <c r="J1343" s="61"/>
      <c r="K1343" s="61"/>
      <c r="L1343" s="73" t="str">
        <f t="shared" si="101"/>
        <v/>
      </c>
      <c r="M1343" s="65" t="str">
        <f t="shared" ca="1" si="102"/>
        <v/>
      </c>
      <c r="N1343" s="74" t="str">
        <f>IF($C1343="","",IF($C1343="TANIMSIZ MÜŞTERİ","—",INDEX(MUSTERILER!$C$7:$C$156,MATCH($C1343,MUSTERILER!$B$7:$B$156,0))))</f>
        <v/>
      </c>
      <c r="O1343" s="2"/>
      <c r="P1343" s="2"/>
      <c r="Q1343" s="1" t="str">
        <f>IF($D1343="","",$C1343&amp;"|"&amp;COUNTIFS($C$7:$C1343,$C1343))</f>
        <v/>
      </c>
      <c r="R1343" s="1" t="str">
        <f t="shared" si="103"/>
        <v/>
      </c>
      <c r="S1343" s="1" t="str">
        <f t="shared" si="104"/>
        <v/>
      </c>
      <c r="T1343" s="1">
        <f>IF($E1343="",0,SUMPRODUCT((AY_SONU!$O$7:$O$42="Evet")*(AY_SONU!$B$7:$B$42=DATE(YEAR($E1343),MONTH($E1343),1))))</f>
        <v>0</v>
      </c>
    </row>
    <row r="1344" spans="1:20" ht="18" customHeight="1" x14ac:dyDescent="0.3">
      <c r="A1344" s="2"/>
      <c r="B1344" s="65" t="str">
        <f t="shared" si="100"/>
        <v/>
      </c>
      <c r="C1344" s="65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66"/>
      <c r="F1344" s="67"/>
      <c r="G1344" s="60"/>
      <c r="H1344" s="60"/>
      <c r="I1344" s="61"/>
      <c r="J1344" s="61"/>
      <c r="K1344" s="61"/>
      <c r="L1344" s="73" t="str">
        <f t="shared" si="101"/>
        <v/>
      </c>
      <c r="M1344" s="65" t="str">
        <f t="shared" ca="1" si="102"/>
        <v/>
      </c>
      <c r="N1344" s="74" t="str">
        <f>IF($C1344="","",IF($C1344="TANIMSIZ MÜŞTERİ","—",INDEX(MUSTERILER!$C$7:$C$156,MATCH($C1344,MUSTERILER!$B$7:$B$156,0))))</f>
        <v/>
      </c>
      <c r="O1344" s="2"/>
      <c r="P1344" s="2"/>
      <c r="Q1344" s="1" t="str">
        <f>IF($D1344="","",$C1344&amp;"|"&amp;COUNTIFS($C$7:$C1344,$C1344))</f>
        <v/>
      </c>
      <c r="R1344" s="1" t="str">
        <f t="shared" si="103"/>
        <v/>
      </c>
      <c r="S1344" s="1" t="str">
        <f t="shared" si="104"/>
        <v/>
      </c>
      <c r="T1344" s="1">
        <f>IF($E1344="",0,SUMPRODUCT((AY_SONU!$O$7:$O$42="Evet")*(AY_SONU!$B$7:$B$42=DATE(YEAR($E1344),MONTH($E1344),1))))</f>
        <v>0</v>
      </c>
    </row>
    <row r="1345" spans="1:20" ht="18" customHeight="1" x14ac:dyDescent="0.3">
      <c r="A1345" s="2"/>
      <c r="B1345" s="65" t="str">
        <f t="shared" si="100"/>
        <v/>
      </c>
      <c r="C1345" s="65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66"/>
      <c r="F1345" s="67"/>
      <c r="G1345" s="60"/>
      <c r="H1345" s="60"/>
      <c r="I1345" s="61"/>
      <c r="J1345" s="61"/>
      <c r="K1345" s="61"/>
      <c r="L1345" s="73" t="str">
        <f t="shared" si="101"/>
        <v/>
      </c>
      <c r="M1345" s="65" t="str">
        <f t="shared" ca="1" si="102"/>
        <v/>
      </c>
      <c r="N1345" s="74" t="str">
        <f>IF($C1345="","",IF($C1345="TANIMSIZ MÜŞTERİ","—",INDEX(MUSTERILER!$C$7:$C$156,MATCH($C1345,MUSTERILER!$B$7:$B$156,0))))</f>
        <v/>
      </c>
      <c r="O1345" s="2"/>
      <c r="P1345" s="2"/>
      <c r="Q1345" s="1" t="str">
        <f>IF($D1345="","",$C1345&amp;"|"&amp;COUNTIFS($C$7:$C1345,$C1345))</f>
        <v/>
      </c>
      <c r="R1345" s="1" t="str">
        <f t="shared" si="103"/>
        <v/>
      </c>
      <c r="S1345" s="1" t="str">
        <f t="shared" si="104"/>
        <v/>
      </c>
      <c r="T1345" s="1">
        <f>IF($E1345="",0,SUMPRODUCT((AY_SONU!$O$7:$O$42="Evet")*(AY_SONU!$B$7:$B$42=DATE(YEAR($E1345),MONTH($E1345),1))))</f>
        <v>0</v>
      </c>
    </row>
    <row r="1346" spans="1:20" ht="18" customHeight="1" x14ac:dyDescent="0.3">
      <c r="A1346" s="2"/>
      <c r="B1346" s="65" t="str">
        <f t="shared" si="100"/>
        <v/>
      </c>
      <c r="C1346" s="65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66"/>
      <c r="F1346" s="67"/>
      <c r="G1346" s="60"/>
      <c r="H1346" s="60"/>
      <c r="I1346" s="61"/>
      <c r="J1346" s="61"/>
      <c r="K1346" s="61"/>
      <c r="L1346" s="73" t="str">
        <f t="shared" si="101"/>
        <v/>
      </c>
      <c r="M1346" s="65" t="str">
        <f t="shared" ca="1" si="102"/>
        <v/>
      </c>
      <c r="N1346" s="74" t="str">
        <f>IF($C1346="","",IF($C1346="TANIMSIZ MÜŞTERİ","—",INDEX(MUSTERILER!$C$7:$C$156,MATCH($C1346,MUSTERILER!$B$7:$B$156,0))))</f>
        <v/>
      </c>
      <c r="O1346" s="2"/>
      <c r="P1346" s="2"/>
      <c r="Q1346" s="1" t="str">
        <f>IF($D1346="","",$C1346&amp;"|"&amp;COUNTIFS($C$7:$C1346,$C1346))</f>
        <v/>
      </c>
      <c r="R1346" s="1" t="str">
        <f t="shared" si="103"/>
        <v/>
      </c>
      <c r="S1346" s="1" t="str">
        <f t="shared" si="104"/>
        <v/>
      </c>
      <c r="T1346" s="1">
        <f>IF($E1346="",0,SUMPRODUCT((AY_SONU!$O$7:$O$42="Evet")*(AY_SONU!$B$7:$B$42=DATE(YEAR($E1346),MONTH($E1346),1))))</f>
        <v>0</v>
      </c>
    </row>
    <row r="1347" spans="1:20" ht="18" customHeight="1" x14ac:dyDescent="0.3">
      <c r="A1347" s="2"/>
      <c r="B1347" s="65" t="str">
        <f t="shared" si="100"/>
        <v/>
      </c>
      <c r="C1347" s="65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66"/>
      <c r="F1347" s="67"/>
      <c r="G1347" s="60"/>
      <c r="H1347" s="60"/>
      <c r="I1347" s="61"/>
      <c r="J1347" s="61"/>
      <c r="K1347" s="61"/>
      <c r="L1347" s="73" t="str">
        <f t="shared" si="101"/>
        <v/>
      </c>
      <c r="M1347" s="65" t="str">
        <f t="shared" ca="1" si="102"/>
        <v/>
      </c>
      <c r="N1347" s="74" t="str">
        <f>IF($C1347="","",IF($C1347="TANIMSIZ MÜŞTERİ","—",INDEX(MUSTERILER!$C$7:$C$156,MATCH($C1347,MUSTERILER!$B$7:$B$156,0))))</f>
        <v/>
      </c>
      <c r="O1347" s="2"/>
      <c r="P1347" s="2"/>
      <c r="Q1347" s="1" t="str">
        <f>IF($D1347="","",$C1347&amp;"|"&amp;COUNTIFS($C$7:$C1347,$C1347))</f>
        <v/>
      </c>
      <c r="R1347" s="1" t="str">
        <f t="shared" si="103"/>
        <v/>
      </c>
      <c r="S1347" s="1" t="str">
        <f t="shared" si="104"/>
        <v/>
      </c>
      <c r="T1347" s="1">
        <f>IF($E1347="",0,SUMPRODUCT((AY_SONU!$O$7:$O$42="Evet")*(AY_SONU!$B$7:$B$42=DATE(YEAR($E1347),MONTH($E1347),1))))</f>
        <v>0</v>
      </c>
    </row>
    <row r="1348" spans="1:20" ht="18" customHeight="1" x14ac:dyDescent="0.3">
      <c r="A1348" s="2"/>
      <c r="B1348" s="65" t="str">
        <f t="shared" si="100"/>
        <v/>
      </c>
      <c r="C1348" s="65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66"/>
      <c r="F1348" s="67"/>
      <c r="G1348" s="60"/>
      <c r="H1348" s="60"/>
      <c r="I1348" s="61"/>
      <c r="J1348" s="61"/>
      <c r="K1348" s="61"/>
      <c r="L1348" s="73" t="str">
        <f t="shared" si="101"/>
        <v/>
      </c>
      <c r="M1348" s="65" t="str">
        <f t="shared" ca="1" si="102"/>
        <v/>
      </c>
      <c r="N1348" s="74" t="str">
        <f>IF($C1348="","",IF($C1348="TANIMSIZ MÜŞTERİ","—",INDEX(MUSTERILER!$C$7:$C$156,MATCH($C1348,MUSTERILER!$B$7:$B$156,0))))</f>
        <v/>
      </c>
      <c r="O1348" s="2"/>
      <c r="P1348" s="2"/>
      <c r="Q1348" s="1" t="str">
        <f>IF($D1348="","",$C1348&amp;"|"&amp;COUNTIFS($C$7:$C1348,$C1348))</f>
        <v/>
      </c>
      <c r="R1348" s="1" t="str">
        <f t="shared" si="103"/>
        <v/>
      </c>
      <c r="S1348" s="1" t="str">
        <f t="shared" si="104"/>
        <v/>
      </c>
      <c r="T1348" s="1">
        <f>IF($E1348="",0,SUMPRODUCT((AY_SONU!$O$7:$O$42="Evet")*(AY_SONU!$B$7:$B$42=DATE(YEAR($E1348),MONTH($E1348),1))))</f>
        <v>0</v>
      </c>
    </row>
    <row r="1349" spans="1:20" ht="18" customHeight="1" x14ac:dyDescent="0.3">
      <c r="A1349" s="2"/>
      <c r="B1349" s="65" t="str">
        <f t="shared" si="100"/>
        <v/>
      </c>
      <c r="C1349" s="65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66"/>
      <c r="F1349" s="67"/>
      <c r="G1349" s="60"/>
      <c r="H1349" s="60"/>
      <c r="I1349" s="61"/>
      <c r="J1349" s="61"/>
      <c r="K1349" s="61"/>
      <c r="L1349" s="73" t="str">
        <f t="shared" si="101"/>
        <v/>
      </c>
      <c r="M1349" s="65" t="str">
        <f t="shared" ca="1" si="102"/>
        <v/>
      </c>
      <c r="N1349" s="74" t="str">
        <f>IF($C1349="","",IF($C1349="TANIMSIZ MÜŞTERİ","—",INDEX(MUSTERILER!$C$7:$C$156,MATCH($C1349,MUSTERILER!$B$7:$B$156,0))))</f>
        <v/>
      </c>
      <c r="O1349" s="2"/>
      <c r="P1349" s="2"/>
      <c r="Q1349" s="1" t="str">
        <f>IF($D1349="","",$C1349&amp;"|"&amp;COUNTIFS($C$7:$C1349,$C1349))</f>
        <v/>
      </c>
      <c r="R1349" s="1" t="str">
        <f t="shared" si="103"/>
        <v/>
      </c>
      <c r="S1349" s="1" t="str">
        <f t="shared" si="104"/>
        <v/>
      </c>
      <c r="T1349" s="1">
        <f>IF($E1349="",0,SUMPRODUCT((AY_SONU!$O$7:$O$42="Evet")*(AY_SONU!$B$7:$B$42=DATE(YEAR($E1349),MONTH($E1349),1))))</f>
        <v>0</v>
      </c>
    </row>
    <row r="1350" spans="1:20" ht="18" customHeight="1" x14ac:dyDescent="0.3">
      <c r="A1350" s="2"/>
      <c r="B1350" s="65" t="str">
        <f t="shared" si="100"/>
        <v/>
      </c>
      <c r="C1350" s="65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66"/>
      <c r="F1350" s="67"/>
      <c r="G1350" s="60"/>
      <c r="H1350" s="60"/>
      <c r="I1350" s="61"/>
      <c r="J1350" s="61"/>
      <c r="K1350" s="61"/>
      <c r="L1350" s="73" t="str">
        <f t="shared" si="101"/>
        <v/>
      </c>
      <c r="M1350" s="65" t="str">
        <f t="shared" ca="1" si="102"/>
        <v/>
      </c>
      <c r="N1350" s="74" t="str">
        <f>IF($C1350="","",IF($C1350="TANIMSIZ MÜŞTERİ","—",INDEX(MUSTERILER!$C$7:$C$156,MATCH($C1350,MUSTERILER!$B$7:$B$156,0))))</f>
        <v/>
      </c>
      <c r="O1350" s="2"/>
      <c r="P1350" s="2"/>
      <c r="Q1350" s="1" t="str">
        <f>IF($D1350="","",$C1350&amp;"|"&amp;COUNTIFS($C$7:$C1350,$C1350))</f>
        <v/>
      </c>
      <c r="R1350" s="1" t="str">
        <f t="shared" si="103"/>
        <v/>
      </c>
      <c r="S1350" s="1" t="str">
        <f t="shared" si="104"/>
        <v/>
      </c>
      <c r="T1350" s="1">
        <f>IF($E1350="",0,SUMPRODUCT((AY_SONU!$O$7:$O$42="Evet")*(AY_SONU!$B$7:$B$42=DATE(YEAR($E1350),MONTH($E1350),1))))</f>
        <v>0</v>
      </c>
    </row>
    <row r="1351" spans="1:20" ht="18" customHeight="1" x14ac:dyDescent="0.3">
      <c r="A1351" s="2"/>
      <c r="B1351" s="65" t="str">
        <f t="shared" ref="B1351:B1414" si="105">IF($D1351="","","T"&amp;TEXT(ROW()-6,"00000"))</f>
        <v/>
      </c>
      <c r="C1351" s="65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66"/>
      <c r="F1351" s="67"/>
      <c r="G1351" s="60"/>
      <c r="H1351" s="60"/>
      <c r="I1351" s="61"/>
      <c r="J1351" s="61"/>
      <c r="K1351" s="61"/>
      <c r="L1351" s="73" t="str">
        <f t="shared" ref="L1351:L1414" si="106">IF($E1351="","",DATE(YEAR($E1351),MONTH($E1351),1))</f>
        <v/>
      </c>
      <c r="M1351" s="65" t="str">
        <f t="shared" ref="M1351:M1414" ca="1" si="107">IF($D1351="","",IF($C1351="TANIMSIZ MÜŞTERİ","HATA",IF(OR($E1351="",$F1351&lt;=0,$G1351=""),"EKSİK",IF($E1351&gt;TODAY(),"İLERİ TARİH",IF(COUNTIF($S$7:$S$2506,$S1351)&gt;1,"MÜKERRER?",IF($T1351&gt;0,"KAPALI DÖNEM","UYGUN"))))))</f>
        <v/>
      </c>
      <c r="N1351" s="74" t="str">
        <f>IF($C1351="","",IF($C1351="TANIMSIZ MÜŞTERİ","—",INDEX(MUSTERILER!$C$7:$C$156,MATCH($C1351,MUSTERILER!$B$7:$B$156,0))))</f>
        <v/>
      </c>
      <c r="O1351" s="2"/>
      <c r="P1351" s="2"/>
      <c r="Q1351" s="1" t="str">
        <f>IF($D1351="","",$C1351&amp;"|"&amp;COUNTIFS($C$7:$C1351,$C1351))</f>
        <v/>
      </c>
      <c r="R1351" s="1" t="str">
        <f t="shared" ref="R1351:R1414" si="108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 t="str">
        <f t="shared" ref="S1351:S1414" si="109"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>0</v>
      </c>
    </row>
    <row r="1352" spans="1:20" ht="18" customHeight="1" x14ac:dyDescent="0.3">
      <c r="A1352" s="2"/>
      <c r="B1352" s="65" t="str">
        <f t="shared" si="105"/>
        <v/>
      </c>
      <c r="C1352" s="65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66"/>
      <c r="F1352" s="67"/>
      <c r="G1352" s="60"/>
      <c r="H1352" s="60"/>
      <c r="I1352" s="61"/>
      <c r="J1352" s="61"/>
      <c r="K1352" s="61"/>
      <c r="L1352" s="73" t="str">
        <f t="shared" si="106"/>
        <v/>
      </c>
      <c r="M1352" s="65" t="str">
        <f t="shared" ca="1" si="107"/>
        <v/>
      </c>
      <c r="N1352" s="74" t="str">
        <f>IF($C1352="","",IF($C1352="TANIMSIZ MÜŞTERİ","—",INDEX(MUSTERILER!$C$7:$C$156,MATCH($C1352,MUSTERILER!$B$7:$B$156,0))))</f>
        <v/>
      </c>
      <c r="O1352" s="2"/>
      <c r="P1352" s="2"/>
      <c r="Q1352" s="1" t="str">
        <f>IF($D1352="","",$C1352&amp;"|"&amp;COUNTIFS($C$7:$C1352,$C1352))</f>
        <v/>
      </c>
      <c r="R1352" s="1" t="str">
        <f t="shared" si="108"/>
        <v/>
      </c>
      <c r="S1352" s="1" t="str">
        <f t="shared" si="109"/>
        <v/>
      </c>
      <c r="T1352" s="1">
        <f>IF($E1352="",0,SUMPRODUCT((AY_SONU!$O$7:$O$42="Evet")*(AY_SONU!$B$7:$B$42=DATE(YEAR($E1352),MONTH($E1352),1))))</f>
        <v>0</v>
      </c>
    </row>
    <row r="1353" spans="1:20" ht="18" customHeight="1" x14ac:dyDescent="0.3">
      <c r="A1353" s="2"/>
      <c r="B1353" s="65" t="str">
        <f t="shared" si="105"/>
        <v/>
      </c>
      <c r="C1353" s="65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66"/>
      <c r="F1353" s="67"/>
      <c r="G1353" s="60"/>
      <c r="H1353" s="60"/>
      <c r="I1353" s="61"/>
      <c r="J1353" s="61"/>
      <c r="K1353" s="61"/>
      <c r="L1353" s="73" t="str">
        <f t="shared" si="106"/>
        <v/>
      </c>
      <c r="M1353" s="65" t="str">
        <f t="shared" ca="1" si="107"/>
        <v/>
      </c>
      <c r="N1353" s="74" t="str">
        <f>IF($C1353="","",IF($C1353="TANIMSIZ MÜŞTERİ","—",INDEX(MUSTERILER!$C$7:$C$156,MATCH($C1353,MUSTERILER!$B$7:$B$156,0))))</f>
        <v/>
      </c>
      <c r="O1353" s="2"/>
      <c r="P1353" s="2"/>
      <c r="Q1353" s="1" t="str">
        <f>IF($D1353="","",$C1353&amp;"|"&amp;COUNTIFS($C$7:$C1353,$C1353))</f>
        <v/>
      </c>
      <c r="R1353" s="1" t="str">
        <f t="shared" si="108"/>
        <v/>
      </c>
      <c r="S1353" s="1" t="str">
        <f t="shared" si="109"/>
        <v/>
      </c>
      <c r="T1353" s="1">
        <f>IF($E1353="",0,SUMPRODUCT((AY_SONU!$O$7:$O$42="Evet")*(AY_SONU!$B$7:$B$42=DATE(YEAR($E1353),MONTH($E1353),1))))</f>
        <v>0</v>
      </c>
    </row>
    <row r="1354" spans="1:20" ht="18" customHeight="1" x14ac:dyDescent="0.3">
      <c r="A1354" s="2"/>
      <c r="B1354" s="65" t="str">
        <f t="shared" si="105"/>
        <v/>
      </c>
      <c r="C1354" s="65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66"/>
      <c r="F1354" s="67"/>
      <c r="G1354" s="60"/>
      <c r="H1354" s="60"/>
      <c r="I1354" s="61"/>
      <c r="J1354" s="61"/>
      <c r="K1354" s="61"/>
      <c r="L1354" s="73" t="str">
        <f t="shared" si="106"/>
        <v/>
      </c>
      <c r="M1354" s="65" t="str">
        <f t="shared" ca="1" si="107"/>
        <v/>
      </c>
      <c r="N1354" s="74" t="str">
        <f>IF($C1354="","",IF($C1354="TANIMSIZ MÜŞTERİ","—",INDEX(MUSTERILER!$C$7:$C$156,MATCH($C1354,MUSTERILER!$B$7:$B$156,0))))</f>
        <v/>
      </c>
      <c r="O1354" s="2"/>
      <c r="P1354" s="2"/>
      <c r="Q1354" s="1" t="str">
        <f>IF($D1354="","",$C1354&amp;"|"&amp;COUNTIFS($C$7:$C1354,$C1354))</f>
        <v/>
      </c>
      <c r="R1354" s="1" t="str">
        <f t="shared" si="108"/>
        <v/>
      </c>
      <c r="S1354" s="1" t="str">
        <f t="shared" si="109"/>
        <v/>
      </c>
      <c r="T1354" s="1">
        <f>IF($E1354="",0,SUMPRODUCT((AY_SONU!$O$7:$O$42="Evet")*(AY_SONU!$B$7:$B$42=DATE(YEAR($E1354),MONTH($E1354),1))))</f>
        <v>0</v>
      </c>
    </row>
    <row r="1355" spans="1:20" ht="18" customHeight="1" x14ac:dyDescent="0.3">
      <c r="A1355" s="2"/>
      <c r="B1355" s="65" t="str">
        <f t="shared" si="105"/>
        <v/>
      </c>
      <c r="C1355" s="65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66"/>
      <c r="F1355" s="67"/>
      <c r="G1355" s="60"/>
      <c r="H1355" s="60"/>
      <c r="I1355" s="61"/>
      <c r="J1355" s="61"/>
      <c r="K1355" s="61"/>
      <c r="L1355" s="73" t="str">
        <f t="shared" si="106"/>
        <v/>
      </c>
      <c r="M1355" s="65" t="str">
        <f t="shared" ca="1" si="107"/>
        <v/>
      </c>
      <c r="N1355" s="74" t="str">
        <f>IF($C1355="","",IF($C1355="TANIMSIZ MÜŞTERİ","—",INDEX(MUSTERILER!$C$7:$C$156,MATCH($C1355,MUSTERILER!$B$7:$B$156,0))))</f>
        <v/>
      </c>
      <c r="O1355" s="2"/>
      <c r="P1355" s="2"/>
      <c r="Q1355" s="1" t="str">
        <f>IF($D1355="","",$C1355&amp;"|"&amp;COUNTIFS($C$7:$C1355,$C1355))</f>
        <v/>
      </c>
      <c r="R1355" s="1" t="str">
        <f t="shared" si="108"/>
        <v/>
      </c>
      <c r="S1355" s="1" t="str">
        <f t="shared" si="109"/>
        <v/>
      </c>
      <c r="T1355" s="1">
        <f>IF($E1355="",0,SUMPRODUCT((AY_SONU!$O$7:$O$42="Evet")*(AY_SONU!$B$7:$B$42=DATE(YEAR($E1355),MONTH($E1355),1))))</f>
        <v>0</v>
      </c>
    </row>
    <row r="1356" spans="1:20" ht="18" customHeight="1" x14ac:dyDescent="0.3">
      <c r="A1356" s="2"/>
      <c r="B1356" s="65" t="str">
        <f t="shared" si="105"/>
        <v/>
      </c>
      <c r="C1356" s="65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66"/>
      <c r="F1356" s="67"/>
      <c r="G1356" s="60"/>
      <c r="H1356" s="60"/>
      <c r="I1356" s="61"/>
      <c r="J1356" s="61"/>
      <c r="K1356" s="61"/>
      <c r="L1356" s="73" t="str">
        <f t="shared" si="106"/>
        <v/>
      </c>
      <c r="M1356" s="65" t="str">
        <f t="shared" ca="1" si="107"/>
        <v/>
      </c>
      <c r="N1356" s="74" t="str">
        <f>IF($C1356="","",IF($C1356="TANIMSIZ MÜŞTERİ","—",INDEX(MUSTERILER!$C$7:$C$156,MATCH($C1356,MUSTERILER!$B$7:$B$156,0))))</f>
        <v/>
      </c>
      <c r="O1356" s="2"/>
      <c r="P1356" s="2"/>
      <c r="Q1356" s="1" t="str">
        <f>IF($D1356="","",$C1356&amp;"|"&amp;COUNTIFS($C$7:$C1356,$C1356))</f>
        <v/>
      </c>
      <c r="R1356" s="1" t="str">
        <f t="shared" si="108"/>
        <v/>
      </c>
      <c r="S1356" s="1" t="str">
        <f t="shared" si="109"/>
        <v/>
      </c>
      <c r="T1356" s="1">
        <f>IF($E1356="",0,SUMPRODUCT((AY_SONU!$O$7:$O$42="Evet")*(AY_SONU!$B$7:$B$42=DATE(YEAR($E1356),MONTH($E1356),1))))</f>
        <v>0</v>
      </c>
    </row>
    <row r="1357" spans="1:20" ht="18" customHeight="1" x14ac:dyDescent="0.3">
      <c r="A1357" s="2"/>
      <c r="B1357" s="65" t="str">
        <f t="shared" si="105"/>
        <v/>
      </c>
      <c r="C1357" s="65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66"/>
      <c r="F1357" s="67"/>
      <c r="G1357" s="60"/>
      <c r="H1357" s="60"/>
      <c r="I1357" s="61"/>
      <c r="J1357" s="61"/>
      <c r="K1357" s="61"/>
      <c r="L1357" s="73" t="str">
        <f t="shared" si="106"/>
        <v/>
      </c>
      <c r="M1357" s="65" t="str">
        <f t="shared" ca="1" si="107"/>
        <v/>
      </c>
      <c r="N1357" s="74" t="str">
        <f>IF($C1357="","",IF($C1357="TANIMSIZ MÜŞTERİ","—",INDEX(MUSTERILER!$C$7:$C$156,MATCH($C1357,MUSTERILER!$B$7:$B$156,0))))</f>
        <v/>
      </c>
      <c r="O1357" s="2"/>
      <c r="P1357" s="2"/>
      <c r="Q1357" s="1" t="str">
        <f>IF($D1357="","",$C1357&amp;"|"&amp;COUNTIFS($C$7:$C1357,$C1357))</f>
        <v/>
      </c>
      <c r="R1357" s="1" t="str">
        <f t="shared" si="108"/>
        <v/>
      </c>
      <c r="S1357" s="1" t="str">
        <f t="shared" si="109"/>
        <v/>
      </c>
      <c r="T1357" s="1">
        <f>IF($E1357="",0,SUMPRODUCT((AY_SONU!$O$7:$O$42="Evet")*(AY_SONU!$B$7:$B$42=DATE(YEAR($E1357),MONTH($E1357),1))))</f>
        <v>0</v>
      </c>
    </row>
    <row r="1358" spans="1:20" ht="18" customHeight="1" x14ac:dyDescent="0.3">
      <c r="A1358" s="2"/>
      <c r="B1358" s="65" t="str">
        <f t="shared" si="105"/>
        <v/>
      </c>
      <c r="C1358" s="65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66"/>
      <c r="F1358" s="67"/>
      <c r="G1358" s="60"/>
      <c r="H1358" s="60"/>
      <c r="I1358" s="61"/>
      <c r="J1358" s="61"/>
      <c r="K1358" s="61"/>
      <c r="L1358" s="73" t="str">
        <f t="shared" si="106"/>
        <v/>
      </c>
      <c r="M1358" s="65" t="str">
        <f t="shared" ca="1" si="107"/>
        <v/>
      </c>
      <c r="N1358" s="74" t="str">
        <f>IF($C1358="","",IF($C1358="TANIMSIZ MÜŞTERİ","—",INDEX(MUSTERILER!$C$7:$C$156,MATCH($C1358,MUSTERILER!$B$7:$B$156,0))))</f>
        <v/>
      </c>
      <c r="O1358" s="2"/>
      <c r="P1358" s="2"/>
      <c r="Q1358" s="1" t="str">
        <f>IF($D1358="","",$C1358&amp;"|"&amp;COUNTIFS($C$7:$C1358,$C1358))</f>
        <v/>
      </c>
      <c r="R1358" s="1" t="str">
        <f t="shared" si="108"/>
        <v/>
      </c>
      <c r="S1358" s="1" t="str">
        <f t="shared" si="109"/>
        <v/>
      </c>
      <c r="T1358" s="1">
        <f>IF($E1358="",0,SUMPRODUCT((AY_SONU!$O$7:$O$42="Evet")*(AY_SONU!$B$7:$B$42=DATE(YEAR($E1358),MONTH($E1358),1))))</f>
        <v>0</v>
      </c>
    </row>
    <row r="1359" spans="1:20" ht="18" customHeight="1" x14ac:dyDescent="0.3">
      <c r="A1359" s="2"/>
      <c r="B1359" s="65" t="str">
        <f t="shared" si="105"/>
        <v/>
      </c>
      <c r="C1359" s="65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66"/>
      <c r="F1359" s="67"/>
      <c r="G1359" s="60"/>
      <c r="H1359" s="60"/>
      <c r="I1359" s="61"/>
      <c r="J1359" s="61"/>
      <c r="K1359" s="61"/>
      <c r="L1359" s="73" t="str">
        <f t="shared" si="106"/>
        <v/>
      </c>
      <c r="M1359" s="65" t="str">
        <f t="shared" ca="1" si="107"/>
        <v/>
      </c>
      <c r="N1359" s="74" t="str">
        <f>IF($C1359="","",IF($C1359="TANIMSIZ MÜŞTERİ","—",INDEX(MUSTERILER!$C$7:$C$156,MATCH($C1359,MUSTERILER!$B$7:$B$156,0))))</f>
        <v/>
      </c>
      <c r="O1359" s="2"/>
      <c r="P1359" s="2"/>
      <c r="Q1359" s="1" t="str">
        <f>IF($D1359="","",$C1359&amp;"|"&amp;COUNTIFS($C$7:$C1359,$C1359))</f>
        <v/>
      </c>
      <c r="R1359" s="1" t="str">
        <f t="shared" si="108"/>
        <v/>
      </c>
      <c r="S1359" s="1" t="str">
        <f t="shared" si="109"/>
        <v/>
      </c>
      <c r="T1359" s="1">
        <f>IF($E1359="",0,SUMPRODUCT((AY_SONU!$O$7:$O$42="Evet")*(AY_SONU!$B$7:$B$42=DATE(YEAR($E1359),MONTH($E1359),1))))</f>
        <v>0</v>
      </c>
    </row>
    <row r="1360" spans="1:20" ht="18" customHeight="1" x14ac:dyDescent="0.3">
      <c r="A1360" s="2"/>
      <c r="B1360" s="65" t="str">
        <f t="shared" si="105"/>
        <v/>
      </c>
      <c r="C1360" s="65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66"/>
      <c r="F1360" s="67"/>
      <c r="G1360" s="60"/>
      <c r="H1360" s="60"/>
      <c r="I1360" s="61"/>
      <c r="J1360" s="61"/>
      <c r="K1360" s="61"/>
      <c r="L1360" s="73" t="str">
        <f t="shared" si="106"/>
        <v/>
      </c>
      <c r="M1360" s="65" t="str">
        <f t="shared" ca="1" si="107"/>
        <v/>
      </c>
      <c r="N1360" s="74" t="str">
        <f>IF($C1360="","",IF($C1360="TANIMSIZ MÜŞTERİ","—",INDEX(MUSTERILER!$C$7:$C$156,MATCH($C1360,MUSTERILER!$B$7:$B$156,0))))</f>
        <v/>
      </c>
      <c r="O1360" s="2"/>
      <c r="P1360" s="2"/>
      <c r="Q1360" s="1" t="str">
        <f>IF($D1360="","",$C1360&amp;"|"&amp;COUNTIFS($C$7:$C1360,$C1360))</f>
        <v/>
      </c>
      <c r="R1360" s="1" t="str">
        <f t="shared" si="108"/>
        <v/>
      </c>
      <c r="S1360" s="1" t="str">
        <f t="shared" si="109"/>
        <v/>
      </c>
      <c r="T1360" s="1">
        <f>IF($E1360="",0,SUMPRODUCT((AY_SONU!$O$7:$O$42="Evet")*(AY_SONU!$B$7:$B$42=DATE(YEAR($E1360),MONTH($E1360),1))))</f>
        <v>0</v>
      </c>
    </row>
    <row r="1361" spans="1:20" ht="18" customHeight="1" x14ac:dyDescent="0.3">
      <c r="A1361" s="2"/>
      <c r="B1361" s="65" t="str">
        <f t="shared" si="105"/>
        <v/>
      </c>
      <c r="C1361" s="65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66"/>
      <c r="F1361" s="67"/>
      <c r="G1361" s="60"/>
      <c r="H1361" s="60"/>
      <c r="I1361" s="61"/>
      <c r="J1361" s="61"/>
      <c r="K1361" s="61"/>
      <c r="L1361" s="73" t="str">
        <f t="shared" si="106"/>
        <v/>
      </c>
      <c r="M1361" s="65" t="str">
        <f t="shared" ca="1" si="107"/>
        <v/>
      </c>
      <c r="N1361" s="74" t="str">
        <f>IF($C1361="","",IF($C1361="TANIMSIZ MÜŞTERİ","—",INDEX(MUSTERILER!$C$7:$C$156,MATCH($C1361,MUSTERILER!$B$7:$B$156,0))))</f>
        <v/>
      </c>
      <c r="O1361" s="2"/>
      <c r="P1361" s="2"/>
      <c r="Q1361" s="1" t="str">
        <f>IF($D1361="","",$C1361&amp;"|"&amp;COUNTIFS($C$7:$C1361,$C1361))</f>
        <v/>
      </c>
      <c r="R1361" s="1" t="str">
        <f t="shared" si="108"/>
        <v/>
      </c>
      <c r="S1361" s="1" t="str">
        <f t="shared" si="109"/>
        <v/>
      </c>
      <c r="T1361" s="1">
        <f>IF($E1361="",0,SUMPRODUCT((AY_SONU!$O$7:$O$42="Evet")*(AY_SONU!$B$7:$B$42=DATE(YEAR($E1361),MONTH($E1361),1))))</f>
        <v>0</v>
      </c>
    </row>
    <row r="1362" spans="1:20" ht="18" customHeight="1" x14ac:dyDescent="0.3">
      <c r="A1362" s="2"/>
      <c r="B1362" s="65" t="str">
        <f t="shared" si="105"/>
        <v/>
      </c>
      <c r="C1362" s="65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66"/>
      <c r="F1362" s="67"/>
      <c r="G1362" s="60"/>
      <c r="H1362" s="60"/>
      <c r="I1362" s="61"/>
      <c r="J1362" s="61"/>
      <c r="K1362" s="61"/>
      <c r="L1362" s="73" t="str">
        <f t="shared" si="106"/>
        <v/>
      </c>
      <c r="M1362" s="65" t="str">
        <f t="shared" ca="1" si="107"/>
        <v/>
      </c>
      <c r="N1362" s="74" t="str">
        <f>IF($C1362="","",IF($C1362="TANIMSIZ MÜŞTERİ","—",INDEX(MUSTERILER!$C$7:$C$156,MATCH($C1362,MUSTERILER!$B$7:$B$156,0))))</f>
        <v/>
      </c>
      <c r="O1362" s="2"/>
      <c r="P1362" s="2"/>
      <c r="Q1362" s="1" t="str">
        <f>IF($D1362="","",$C1362&amp;"|"&amp;COUNTIFS($C$7:$C1362,$C1362))</f>
        <v/>
      </c>
      <c r="R1362" s="1" t="str">
        <f t="shared" si="108"/>
        <v/>
      </c>
      <c r="S1362" s="1" t="str">
        <f t="shared" si="109"/>
        <v/>
      </c>
      <c r="T1362" s="1">
        <f>IF($E1362="",0,SUMPRODUCT((AY_SONU!$O$7:$O$42="Evet")*(AY_SONU!$B$7:$B$42=DATE(YEAR($E1362),MONTH($E1362),1))))</f>
        <v>0</v>
      </c>
    </row>
    <row r="1363" spans="1:20" ht="18" customHeight="1" x14ac:dyDescent="0.3">
      <c r="A1363" s="2"/>
      <c r="B1363" s="65" t="str">
        <f t="shared" si="105"/>
        <v/>
      </c>
      <c r="C1363" s="65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66"/>
      <c r="F1363" s="67"/>
      <c r="G1363" s="60"/>
      <c r="H1363" s="60"/>
      <c r="I1363" s="61"/>
      <c r="J1363" s="61"/>
      <c r="K1363" s="61"/>
      <c r="L1363" s="73" t="str">
        <f t="shared" si="106"/>
        <v/>
      </c>
      <c r="M1363" s="65" t="str">
        <f t="shared" ca="1" si="107"/>
        <v/>
      </c>
      <c r="N1363" s="74" t="str">
        <f>IF($C1363="","",IF($C1363="TANIMSIZ MÜŞTERİ","—",INDEX(MUSTERILER!$C$7:$C$156,MATCH($C1363,MUSTERILER!$B$7:$B$156,0))))</f>
        <v/>
      </c>
      <c r="O1363" s="2"/>
      <c r="P1363" s="2"/>
      <c r="Q1363" s="1" t="str">
        <f>IF($D1363="","",$C1363&amp;"|"&amp;COUNTIFS($C$7:$C1363,$C1363))</f>
        <v/>
      </c>
      <c r="R1363" s="1" t="str">
        <f t="shared" si="108"/>
        <v/>
      </c>
      <c r="S1363" s="1" t="str">
        <f t="shared" si="109"/>
        <v/>
      </c>
      <c r="T1363" s="1">
        <f>IF($E1363="",0,SUMPRODUCT((AY_SONU!$O$7:$O$42="Evet")*(AY_SONU!$B$7:$B$42=DATE(YEAR($E1363),MONTH($E1363),1))))</f>
        <v>0</v>
      </c>
    </row>
    <row r="1364" spans="1:20" ht="18" customHeight="1" x14ac:dyDescent="0.3">
      <c r="A1364" s="2"/>
      <c r="B1364" s="65" t="str">
        <f t="shared" si="105"/>
        <v/>
      </c>
      <c r="C1364" s="65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66"/>
      <c r="F1364" s="67"/>
      <c r="G1364" s="60"/>
      <c r="H1364" s="60"/>
      <c r="I1364" s="61"/>
      <c r="J1364" s="61"/>
      <c r="K1364" s="61"/>
      <c r="L1364" s="73" t="str">
        <f t="shared" si="106"/>
        <v/>
      </c>
      <c r="M1364" s="65" t="str">
        <f t="shared" ca="1" si="107"/>
        <v/>
      </c>
      <c r="N1364" s="74" t="str">
        <f>IF($C1364="","",IF($C1364="TANIMSIZ MÜŞTERİ","—",INDEX(MUSTERILER!$C$7:$C$156,MATCH($C1364,MUSTERILER!$B$7:$B$156,0))))</f>
        <v/>
      </c>
      <c r="O1364" s="2"/>
      <c r="P1364" s="2"/>
      <c r="Q1364" s="1" t="str">
        <f>IF($D1364="","",$C1364&amp;"|"&amp;COUNTIFS($C$7:$C1364,$C1364))</f>
        <v/>
      </c>
      <c r="R1364" s="1" t="str">
        <f t="shared" si="108"/>
        <v/>
      </c>
      <c r="S1364" s="1" t="str">
        <f t="shared" si="109"/>
        <v/>
      </c>
      <c r="T1364" s="1">
        <f>IF($E1364="",0,SUMPRODUCT((AY_SONU!$O$7:$O$42="Evet")*(AY_SONU!$B$7:$B$42=DATE(YEAR($E1364),MONTH($E1364),1))))</f>
        <v>0</v>
      </c>
    </row>
    <row r="1365" spans="1:20" ht="18" customHeight="1" x14ac:dyDescent="0.3">
      <c r="A1365" s="2"/>
      <c r="B1365" s="65" t="str">
        <f t="shared" si="105"/>
        <v/>
      </c>
      <c r="C1365" s="65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66"/>
      <c r="F1365" s="67"/>
      <c r="G1365" s="60"/>
      <c r="H1365" s="60"/>
      <c r="I1365" s="61"/>
      <c r="J1365" s="61"/>
      <c r="K1365" s="61"/>
      <c r="L1365" s="73" t="str">
        <f t="shared" si="106"/>
        <v/>
      </c>
      <c r="M1365" s="65" t="str">
        <f t="shared" ca="1" si="107"/>
        <v/>
      </c>
      <c r="N1365" s="74" t="str">
        <f>IF($C1365="","",IF($C1365="TANIMSIZ MÜŞTERİ","—",INDEX(MUSTERILER!$C$7:$C$156,MATCH($C1365,MUSTERILER!$B$7:$B$156,0))))</f>
        <v/>
      </c>
      <c r="O1365" s="2"/>
      <c r="P1365" s="2"/>
      <c r="Q1365" s="1" t="str">
        <f>IF($D1365="","",$C1365&amp;"|"&amp;COUNTIFS($C$7:$C1365,$C1365))</f>
        <v/>
      </c>
      <c r="R1365" s="1" t="str">
        <f t="shared" si="108"/>
        <v/>
      </c>
      <c r="S1365" s="1" t="str">
        <f t="shared" si="109"/>
        <v/>
      </c>
      <c r="T1365" s="1">
        <f>IF($E1365="",0,SUMPRODUCT((AY_SONU!$O$7:$O$42="Evet")*(AY_SONU!$B$7:$B$42=DATE(YEAR($E1365),MONTH($E1365),1))))</f>
        <v>0</v>
      </c>
    </row>
    <row r="1366" spans="1:20" ht="18" customHeight="1" x14ac:dyDescent="0.3">
      <c r="A1366" s="2"/>
      <c r="B1366" s="65" t="str">
        <f t="shared" si="105"/>
        <v/>
      </c>
      <c r="C1366" s="65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66"/>
      <c r="F1366" s="67"/>
      <c r="G1366" s="60"/>
      <c r="H1366" s="60"/>
      <c r="I1366" s="61"/>
      <c r="J1366" s="61"/>
      <c r="K1366" s="61"/>
      <c r="L1366" s="73" t="str">
        <f t="shared" si="106"/>
        <v/>
      </c>
      <c r="M1366" s="65" t="str">
        <f t="shared" ca="1" si="107"/>
        <v/>
      </c>
      <c r="N1366" s="74" t="str">
        <f>IF($C1366="","",IF($C1366="TANIMSIZ MÜŞTERİ","—",INDEX(MUSTERILER!$C$7:$C$156,MATCH($C1366,MUSTERILER!$B$7:$B$156,0))))</f>
        <v/>
      </c>
      <c r="O1366" s="2"/>
      <c r="P1366" s="2"/>
      <c r="Q1366" s="1" t="str">
        <f>IF($D1366="","",$C1366&amp;"|"&amp;COUNTIFS($C$7:$C1366,$C1366))</f>
        <v/>
      </c>
      <c r="R1366" s="1" t="str">
        <f t="shared" si="108"/>
        <v/>
      </c>
      <c r="S1366" s="1" t="str">
        <f t="shared" si="109"/>
        <v/>
      </c>
      <c r="T1366" s="1">
        <f>IF($E1366="",0,SUMPRODUCT((AY_SONU!$O$7:$O$42="Evet")*(AY_SONU!$B$7:$B$42=DATE(YEAR($E1366),MONTH($E1366),1))))</f>
        <v>0</v>
      </c>
    </row>
    <row r="1367" spans="1:20" ht="18" customHeight="1" x14ac:dyDescent="0.3">
      <c r="A1367" s="2"/>
      <c r="B1367" s="65" t="str">
        <f t="shared" si="105"/>
        <v/>
      </c>
      <c r="C1367" s="65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66"/>
      <c r="F1367" s="67"/>
      <c r="G1367" s="60"/>
      <c r="H1367" s="60"/>
      <c r="I1367" s="61"/>
      <c r="J1367" s="61"/>
      <c r="K1367" s="61"/>
      <c r="L1367" s="73" t="str">
        <f t="shared" si="106"/>
        <v/>
      </c>
      <c r="M1367" s="65" t="str">
        <f t="shared" ca="1" si="107"/>
        <v/>
      </c>
      <c r="N1367" s="74" t="str">
        <f>IF($C1367="","",IF($C1367="TANIMSIZ MÜŞTERİ","—",INDEX(MUSTERILER!$C$7:$C$156,MATCH($C1367,MUSTERILER!$B$7:$B$156,0))))</f>
        <v/>
      </c>
      <c r="O1367" s="2"/>
      <c r="P1367" s="2"/>
      <c r="Q1367" s="1" t="str">
        <f>IF($D1367="","",$C1367&amp;"|"&amp;COUNTIFS($C$7:$C1367,$C1367))</f>
        <v/>
      </c>
      <c r="R1367" s="1" t="str">
        <f t="shared" si="108"/>
        <v/>
      </c>
      <c r="S1367" s="1" t="str">
        <f t="shared" si="109"/>
        <v/>
      </c>
      <c r="T1367" s="1">
        <f>IF($E1367="",0,SUMPRODUCT((AY_SONU!$O$7:$O$42="Evet")*(AY_SONU!$B$7:$B$42=DATE(YEAR($E1367),MONTH($E1367),1))))</f>
        <v>0</v>
      </c>
    </row>
    <row r="1368" spans="1:20" ht="18" customHeight="1" x14ac:dyDescent="0.3">
      <c r="A1368" s="2"/>
      <c r="B1368" s="65" t="str">
        <f t="shared" si="105"/>
        <v/>
      </c>
      <c r="C1368" s="65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66"/>
      <c r="F1368" s="67"/>
      <c r="G1368" s="60"/>
      <c r="H1368" s="60"/>
      <c r="I1368" s="61"/>
      <c r="J1368" s="61"/>
      <c r="K1368" s="61"/>
      <c r="L1368" s="73" t="str">
        <f t="shared" si="106"/>
        <v/>
      </c>
      <c r="M1368" s="65" t="str">
        <f t="shared" ca="1" si="107"/>
        <v/>
      </c>
      <c r="N1368" s="74" t="str">
        <f>IF($C1368="","",IF($C1368="TANIMSIZ MÜŞTERİ","—",INDEX(MUSTERILER!$C$7:$C$156,MATCH($C1368,MUSTERILER!$B$7:$B$156,0))))</f>
        <v/>
      </c>
      <c r="O1368" s="2"/>
      <c r="P1368" s="2"/>
      <c r="Q1368" s="1" t="str">
        <f>IF($D1368="","",$C1368&amp;"|"&amp;COUNTIFS($C$7:$C1368,$C1368))</f>
        <v/>
      </c>
      <c r="R1368" s="1" t="str">
        <f t="shared" si="108"/>
        <v/>
      </c>
      <c r="S1368" s="1" t="str">
        <f t="shared" si="109"/>
        <v/>
      </c>
      <c r="T1368" s="1">
        <f>IF($E1368="",0,SUMPRODUCT((AY_SONU!$O$7:$O$42="Evet")*(AY_SONU!$B$7:$B$42=DATE(YEAR($E1368),MONTH($E1368),1))))</f>
        <v>0</v>
      </c>
    </row>
    <row r="1369" spans="1:20" ht="18" customHeight="1" x14ac:dyDescent="0.3">
      <c r="A1369" s="2"/>
      <c r="B1369" s="65" t="str">
        <f t="shared" si="105"/>
        <v/>
      </c>
      <c r="C1369" s="65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66"/>
      <c r="F1369" s="67"/>
      <c r="G1369" s="60"/>
      <c r="H1369" s="60"/>
      <c r="I1369" s="61"/>
      <c r="J1369" s="61"/>
      <c r="K1369" s="61"/>
      <c r="L1369" s="73" t="str">
        <f t="shared" si="106"/>
        <v/>
      </c>
      <c r="M1369" s="65" t="str">
        <f t="shared" ca="1" si="107"/>
        <v/>
      </c>
      <c r="N1369" s="74" t="str">
        <f>IF($C1369="","",IF($C1369="TANIMSIZ MÜŞTERİ","—",INDEX(MUSTERILER!$C$7:$C$156,MATCH($C1369,MUSTERILER!$B$7:$B$156,0))))</f>
        <v/>
      </c>
      <c r="O1369" s="2"/>
      <c r="P1369" s="2"/>
      <c r="Q1369" s="1" t="str">
        <f>IF($D1369="","",$C1369&amp;"|"&amp;COUNTIFS($C$7:$C1369,$C1369))</f>
        <v/>
      </c>
      <c r="R1369" s="1" t="str">
        <f t="shared" si="108"/>
        <v/>
      </c>
      <c r="S1369" s="1" t="str">
        <f t="shared" si="109"/>
        <v/>
      </c>
      <c r="T1369" s="1">
        <f>IF($E1369="",0,SUMPRODUCT((AY_SONU!$O$7:$O$42="Evet")*(AY_SONU!$B$7:$B$42=DATE(YEAR($E1369),MONTH($E1369),1))))</f>
        <v>0</v>
      </c>
    </row>
    <row r="1370" spans="1:20" ht="18" customHeight="1" x14ac:dyDescent="0.3">
      <c r="A1370" s="2"/>
      <c r="B1370" s="65" t="str">
        <f t="shared" si="105"/>
        <v/>
      </c>
      <c r="C1370" s="65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66"/>
      <c r="F1370" s="67"/>
      <c r="G1370" s="60"/>
      <c r="H1370" s="60"/>
      <c r="I1370" s="61"/>
      <c r="J1370" s="61"/>
      <c r="K1370" s="61"/>
      <c r="L1370" s="73" t="str">
        <f t="shared" si="106"/>
        <v/>
      </c>
      <c r="M1370" s="65" t="str">
        <f t="shared" ca="1" si="107"/>
        <v/>
      </c>
      <c r="N1370" s="74" t="str">
        <f>IF($C1370="","",IF($C1370="TANIMSIZ MÜŞTERİ","—",INDEX(MUSTERILER!$C$7:$C$156,MATCH($C1370,MUSTERILER!$B$7:$B$156,0))))</f>
        <v/>
      </c>
      <c r="O1370" s="2"/>
      <c r="P1370" s="2"/>
      <c r="Q1370" s="1" t="str">
        <f>IF($D1370="","",$C1370&amp;"|"&amp;COUNTIFS($C$7:$C1370,$C1370))</f>
        <v/>
      </c>
      <c r="R1370" s="1" t="str">
        <f t="shared" si="108"/>
        <v/>
      </c>
      <c r="S1370" s="1" t="str">
        <f t="shared" si="109"/>
        <v/>
      </c>
      <c r="T1370" s="1">
        <f>IF($E1370="",0,SUMPRODUCT((AY_SONU!$O$7:$O$42="Evet")*(AY_SONU!$B$7:$B$42=DATE(YEAR($E1370),MONTH($E1370),1))))</f>
        <v>0</v>
      </c>
    </row>
    <row r="1371" spans="1:20" ht="18" customHeight="1" x14ac:dyDescent="0.3">
      <c r="A1371" s="2"/>
      <c r="B1371" s="65" t="str">
        <f t="shared" si="105"/>
        <v/>
      </c>
      <c r="C1371" s="65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66"/>
      <c r="F1371" s="67"/>
      <c r="G1371" s="60"/>
      <c r="H1371" s="60"/>
      <c r="I1371" s="61"/>
      <c r="J1371" s="61"/>
      <c r="K1371" s="61"/>
      <c r="L1371" s="73" t="str">
        <f t="shared" si="106"/>
        <v/>
      </c>
      <c r="M1371" s="65" t="str">
        <f t="shared" ca="1" si="107"/>
        <v/>
      </c>
      <c r="N1371" s="74" t="str">
        <f>IF($C1371="","",IF($C1371="TANIMSIZ MÜŞTERİ","—",INDEX(MUSTERILER!$C$7:$C$156,MATCH($C1371,MUSTERILER!$B$7:$B$156,0))))</f>
        <v/>
      </c>
      <c r="O1371" s="2"/>
      <c r="P1371" s="2"/>
      <c r="Q1371" s="1" t="str">
        <f>IF($D1371="","",$C1371&amp;"|"&amp;COUNTIFS($C$7:$C1371,$C1371))</f>
        <v/>
      </c>
      <c r="R1371" s="1" t="str">
        <f t="shared" si="108"/>
        <v/>
      </c>
      <c r="S1371" s="1" t="str">
        <f t="shared" si="109"/>
        <v/>
      </c>
      <c r="T1371" s="1">
        <f>IF($E1371="",0,SUMPRODUCT((AY_SONU!$O$7:$O$42="Evet")*(AY_SONU!$B$7:$B$42=DATE(YEAR($E1371),MONTH($E1371),1))))</f>
        <v>0</v>
      </c>
    </row>
    <row r="1372" spans="1:20" ht="18" customHeight="1" x14ac:dyDescent="0.3">
      <c r="A1372" s="2"/>
      <c r="B1372" s="65" t="str">
        <f t="shared" si="105"/>
        <v/>
      </c>
      <c r="C1372" s="65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66"/>
      <c r="F1372" s="67"/>
      <c r="G1372" s="60"/>
      <c r="H1372" s="60"/>
      <c r="I1372" s="61"/>
      <c r="J1372" s="61"/>
      <c r="K1372" s="61"/>
      <c r="L1372" s="73" t="str">
        <f t="shared" si="106"/>
        <v/>
      </c>
      <c r="M1372" s="65" t="str">
        <f t="shared" ca="1" si="107"/>
        <v/>
      </c>
      <c r="N1372" s="74" t="str">
        <f>IF($C1372="","",IF($C1372="TANIMSIZ MÜŞTERİ","—",INDEX(MUSTERILER!$C$7:$C$156,MATCH($C1372,MUSTERILER!$B$7:$B$156,0))))</f>
        <v/>
      </c>
      <c r="O1372" s="2"/>
      <c r="P1372" s="2"/>
      <c r="Q1372" s="1" t="str">
        <f>IF($D1372="","",$C1372&amp;"|"&amp;COUNTIFS($C$7:$C1372,$C1372))</f>
        <v/>
      </c>
      <c r="R1372" s="1" t="str">
        <f t="shared" si="108"/>
        <v/>
      </c>
      <c r="S1372" s="1" t="str">
        <f t="shared" si="109"/>
        <v/>
      </c>
      <c r="T1372" s="1">
        <f>IF($E1372="",0,SUMPRODUCT((AY_SONU!$O$7:$O$42="Evet")*(AY_SONU!$B$7:$B$42=DATE(YEAR($E1372),MONTH($E1372),1))))</f>
        <v>0</v>
      </c>
    </row>
    <row r="1373" spans="1:20" ht="18" customHeight="1" x14ac:dyDescent="0.3">
      <c r="A1373" s="2"/>
      <c r="B1373" s="65" t="str">
        <f t="shared" si="105"/>
        <v/>
      </c>
      <c r="C1373" s="65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66"/>
      <c r="F1373" s="67"/>
      <c r="G1373" s="60"/>
      <c r="H1373" s="60"/>
      <c r="I1373" s="61"/>
      <c r="J1373" s="61"/>
      <c r="K1373" s="61"/>
      <c r="L1373" s="73" t="str">
        <f t="shared" si="106"/>
        <v/>
      </c>
      <c r="M1373" s="65" t="str">
        <f t="shared" ca="1" si="107"/>
        <v/>
      </c>
      <c r="N1373" s="74" t="str">
        <f>IF($C1373="","",IF($C1373="TANIMSIZ MÜŞTERİ","—",INDEX(MUSTERILER!$C$7:$C$156,MATCH($C1373,MUSTERILER!$B$7:$B$156,0))))</f>
        <v/>
      </c>
      <c r="O1373" s="2"/>
      <c r="P1373" s="2"/>
      <c r="Q1373" s="1" t="str">
        <f>IF($D1373="","",$C1373&amp;"|"&amp;COUNTIFS($C$7:$C1373,$C1373))</f>
        <v/>
      </c>
      <c r="R1373" s="1" t="str">
        <f t="shared" si="108"/>
        <v/>
      </c>
      <c r="S1373" s="1" t="str">
        <f t="shared" si="109"/>
        <v/>
      </c>
      <c r="T1373" s="1">
        <f>IF($E1373="",0,SUMPRODUCT((AY_SONU!$O$7:$O$42="Evet")*(AY_SONU!$B$7:$B$42=DATE(YEAR($E1373),MONTH($E1373),1))))</f>
        <v>0</v>
      </c>
    </row>
    <row r="1374" spans="1:20" ht="18" customHeight="1" x14ac:dyDescent="0.3">
      <c r="A1374" s="2"/>
      <c r="B1374" s="65" t="str">
        <f t="shared" si="105"/>
        <v/>
      </c>
      <c r="C1374" s="65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66"/>
      <c r="F1374" s="67"/>
      <c r="G1374" s="60"/>
      <c r="H1374" s="60"/>
      <c r="I1374" s="61"/>
      <c r="J1374" s="61"/>
      <c r="K1374" s="61"/>
      <c r="L1374" s="73" t="str">
        <f t="shared" si="106"/>
        <v/>
      </c>
      <c r="M1374" s="65" t="str">
        <f t="shared" ca="1" si="107"/>
        <v/>
      </c>
      <c r="N1374" s="74" t="str">
        <f>IF($C1374="","",IF($C1374="TANIMSIZ MÜŞTERİ","—",INDEX(MUSTERILER!$C$7:$C$156,MATCH($C1374,MUSTERILER!$B$7:$B$156,0))))</f>
        <v/>
      </c>
      <c r="O1374" s="2"/>
      <c r="P1374" s="2"/>
      <c r="Q1374" s="1" t="str">
        <f>IF($D1374="","",$C1374&amp;"|"&amp;COUNTIFS($C$7:$C1374,$C1374))</f>
        <v/>
      </c>
      <c r="R1374" s="1" t="str">
        <f t="shared" si="108"/>
        <v/>
      </c>
      <c r="S1374" s="1" t="str">
        <f t="shared" si="109"/>
        <v/>
      </c>
      <c r="T1374" s="1">
        <f>IF($E1374="",0,SUMPRODUCT((AY_SONU!$O$7:$O$42="Evet")*(AY_SONU!$B$7:$B$42=DATE(YEAR($E1374),MONTH($E1374),1))))</f>
        <v>0</v>
      </c>
    </row>
    <row r="1375" spans="1:20" ht="18" customHeight="1" x14ac:dyDescent="0.3">
      <c r="A1375" s="2"/>
      <c r="B1375" s="65" t="str">
        <f t="shared" si="105"/>
        <v/>
      </c>
      <c r="C1375" s="65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66"/>
      <c r="F1375" s="67"/>
      <c r="G1375" s="60"/>
      <c r="H1375" s="60"/>
      <c r="I1375" s="61"/>
      <c r="J1375" s="61"/>
      <c r="K1375" s="61"/>
      <c r="L1375" s="73" t="str">
        <f t="shared" si="106"/>
        <v/>
      </c>
      <c r="M1375" s="65" t="str">
        <f t="shared" ca="1" si="107"/>
        <v/>
      </c>
      <c r="N1375" s="74" t="str">
        <f>IF($C1375="","",IF($C1375="TANIMSIZ MÜŞTERİ","—",INDEX(MUSTERILER!$C$7:$C$156,MATCH($C1375,MUSTERILER!$B$7:$B$156,0))))</f>
        <v/>
      </c>
      <c r="O1375" s="2"/>
      <c r="P1375" s="2"/>
      <c r="Q1375" s="1" t="str">
        <f>IF($D1375="","",$C1375&amp;"|"&amp;COUNTIFS($C$7:$C1375,$C1375))</f>
        <v/>
      </c>
      <c r="R1375" s="1" t="str">
        <f t="shared" si="108"/>
        <v/>
      </c>
      <c r="S1375" s="1" t="str">
        <f t="shared" si="109"/>
        <v/>
      </c>
      <c r="T1375" s="1">
        <f>IF($E1375="",0,SUMPRODUCT((AY_SONU!$O$7:$O$42="Evet")*(AY_SONU!$B$7:$B$42=DATE(YEAR($E1375),MONTH($E1375),1))))</f>
        <v>0</v>
      </c>
    </row>
    <row r="1376" spans="1:20" ht="18" customHeight="1" x14ac:dyDescent="0.3">
      <c r="A1376" s="2"/>
      <c r="B1376" s="65" t="str">
        <f t="shared" si="105"/>
        <v/>
      </c>
      <c r="C1376" s="65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66"/>
      <c r="F1376" s="67"/>
      <c r="G1376" s="60"/>
      <c r="H1376" s="60"/>
      <c r="I1376" s="61"/>
      <c r="J1376" s="61"/>
      <c r="K1376" s="61"/>
      <c r="L1376" s="73" t="str">
        <f t="shared" si="106"/>
        <v/>
      </c>
      <c r="M1376" s="65" t="str">
        <f t="shared" ca="1" si="107"/>
        <v/>
      </c>
      <c r="N1376" s="74" t="str">
        <f>IF($C1376="","",IF($C1376="TANIMSIZ MÜŞTERİ","—",INDEX(MUSTERILER!$C$7:$C$156,MATCH($C1376,MUSTERILER!$B$7:$B$156,0))))</f>
        <v/>
      </c>
      <c r="O1376" s="2"/>
      <c r="P1376" s="2"/>
      <c r="Q1376" s="1" t="str">
        <f>IF($D1376="","",$C1376&amp;"|"&amp;COUNTIFS($C$7:$C1376,$C1376))</f>
        <v/>
      </c>
      <c r="R1376" s="1" t="str">
        <f t="shared" si="108"/>
        <v/>
      </c>
      <c r="S1376" s="1" t="str">
        <f t="shared" si="109"/>
        <v/>
      </c>
      <c r="T1376" s="1">
        <f>IF($E1376="",0,SUMPRODUCT((AY_SONU!$O$7:$O$42="Evet")*(AY_SONU!$B$7:$B$42=DATE(YEAR($E1376),MONTH($E1376),1))))</f>
        <v>0</v>
      </c>
    </row>
    <row r="1377" spans="1:20" ht="18" customHeight="1" x14ac:dyDescent="0.3">
      <c r="A1377" s="2"/>
      <c r="B1377" s="65" t="str">
        <f t="shared" si="105"/>
        <v/>
      </c>
      <c r="C1377" s="65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66"/>
      <c r="F1377" s="67"/>
      <c r="G1377" s="60"/>
      <c r="H1377" s="60"/>
      <c r="I1377" s="61"/>
      <c r="J1377" s="61"/>
      <c r="K1377" s="61"/>
      <c r="L1377" s="73" t="str">
        <f t="shared" si="106"/>
        <v/>
      </c>
      <c r="M1377" s="65" t="str">
        <f t="shared" ca="1" si="107"/>
        <v/>
      </c>
      <c r="N1377" s="74" t="str">
        <f>IF($C1377="","",IF($C1377="TANIMSIZ MÜŞTERİ","—",INDEX(MUSTERILER!$C$7:$C$156,MATCH($C1377,MUSTERILER!$B$7:$B$156,0))))</f>
        <v/>
      </c>
      <c r="O1377" s="2"/>
      <c r="P1377" s="2"/>
      <c r="Q1377" s="1" t="str">
        <f>IF($D1377="","",$C1377&amp;"|"&amp;COUNTIFS($C$7:$C1377,$C1377))</f>
        <v/>
      </c>
      <c r="R1377" s="1" t="str">
        <f t="shared" si="108"/>
        <v/>
      </c>
      <c r="S1377" s="1" t="str">
        <f t="shared" si="109"/>
        <v/>
      </c>
      <c r="T1377" s="1">
        <f>IF($E1377="",0,SUMPRODUCT((AY_SONU!$O$7:$O$42="Evet")*(AY_SONU!$B$7:$B$42=DATE(YEAR($E1377),MONTH($E1377),1))))</f>
        <v>0</v>
      </c>
    </row>
    <row r="1378" spans="1:20" ht="18" customHeight="1" x14ac:dyDescent="0.3">
      <c r="A1378" s="2"/>
      <c r="B1378" s="65" t="str">
        <f t="shared" si="105"/>
        <v/>
      </c>
      <c r="C1378" s="65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66"/>
      <c r="F1378" s="67"/>
      <c r="G1378" s="60"/>
      <c r="H1378" s="60"/>
      <c r="I1378" s="61"/>
      <c r="J1378" s="61"/>
      <c r="K1378" s="61"/>
      <c r="L1378" s="73" t="str">
        <f t="shared" si="106"/>
        <v/>
      </c>
      <c r="M1378" s="65" t="str">
        <f t="shared" ca="1" si="107"/>
        <v/>
      </c>
      <c r="N1378" s="74" t="str">
        <f>IF($C1378="","",IF($C1378="TANIMSIZ MÜŞTERİ","—",INDEX(MUSTERILER!$C$7:$C$156,MATCH($C1378,MUSTERILER!$B$7:$B$156,0))))</f>
        <v/>
      </c>
      <c r="O1378" s="2"/>
      <c r="P1378" s="2"/>
      <c r="Q1378" s="1" t="str">
        <f>IF($D1378="","",$C1378&amp;"|"&amp;COUNTIFS($C$7:$C1378,$C1378))</f>
        <v/>
      </c>
      <c r="R1378" s="1" t="str">
        <f t="shared" si="108"/>
        <v/>
      </c>
      <c r="S1378" s="1" t="str">
        <f t="shared" si="109"/>
        <v/>
      </c>
      <c r="T1378" s="1">
        <f>IF($E1378="",0,SUMPRODUCT((AY_SONU!$O$7:$O$42="Evet")*(AY_SONU!$B$7:$B$42=DATE(YEAR($E1378),MONTH($E1378),1))))</f>
        <v>0</v>
      </c>
    </row>
    <row r="1379" spans="1:20" ht="18" customHeight="1" x14ac:dyDescent="0.3">
      <c r="A1379" s="2"/>
      <c r="B1379" s="65" t="str">
        <f t="shared" si="105"/>
        <v/>
      </c>
      <c r="C1379" s="65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66"/>
      <c r="F1379" s="67"/>
      <c r="G1379" s="60"/>
      <c r="H1379" s="60"/>
      <c r="I1379" s="61"/>
      <c r="J1379" s="61"/>
      <c r="K1379" s="61"/>
      <c r="L1379" s="73" t="str">
        <f t="shared" si="106"/>
        <v/>
      </c>
      <c r="M1379" s="65" t="str">
        <f t="shared" ca="1" si="107"/>
        <v/>
      </c>
      <c r="N1379" s="74" t="str">
        <f>IF($C1379="","",IF($C1379="TANIMSIZ MÜŞTERİ","—",INDEX(MUSTERILER!$C$7:$C$156,MATCH($C1379,MUSTERILER!$B$7:$B$156,0))))</f>
        <v/>
      </c>
      <c r="O1379" s="2"/>
      <c r="P1379" s="2"/>
      <c r="Q1379" s="1" t="str">
        <f>IF($D1379="","",$C1379&amp;"|"&amp;COUNTIFS($C$7:$C1379,$C1379))</f>
        <v/>
      </c>
      <c r="R1379" s="1" t="str">
        <f t="shared" si="108"/>
        <v/>
      </c>
      <c r="S1379" s="1" t="str">
        <f t="shared" si="109"/>
        <v/>
      </c>
      <c r="T1379" s="1">
        <f>IF($E1379="",0,SUMPRODUCT((AY_SONU!$O$7:$O$42="Evet")*(AY_SONU!$B$7:$B$42=DATE(YEAR($E1379),MONTH($E1379),1))))</f>
        <v>0</v>
      </c>
    </row>
    <row r="1380" spans="1:20" ht="18" customHeight="1" x14ac:dyDescent="0.3">
      <c r="A1380" s="2"/>
      <c r="B1380" s="65" t="str">
        <f t="shared" si="105"/>
        <v/>
      </c>
      <c r="C1380" s="65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66"/>
      <c r="F1380" s="67"/>
      <c r="G1380" s="60"/>
      <c r="H1380" s="60"/>
      <c r="I1380" s="61"/>
      <c r="J1380" s="61"/>
      <c r="K1380" s="61"/>
      <c r="L1380" s="73" t="str">
        <f t="shared" si="106"/>
        <v/>
      </c>
      <c r="M1380" s="65" t="str">
        <f t="shared" ca="1" si="107"/>
        <v/>
      </c>
      <c r="N1380" s="74" t="str">
        <f>IF($C1380="","",IF($C1380="TANIMSIZ MÜŞTERİ","—",INDEX(MUSTERILER!$C$7:$C$156,MATCH($C1380,MUSTERILER!$B$7:$B$156,0))))</f>
        <v/>
      </c>
      <c r="O1380" s="2"/>
      <c r="P1380" s="2"/>
      <c r="Q1380" s="1" t="str">
        <f>IF($D1380="","",$C1380&amp;"|"&amp;COUNTIFS($C$7:$C1380,$C1380))</f>
        <v/>
      </c>
      <c r="R1380" s="1" t="str">
        <f t="shared" si="108"/>
        <v/>
      </c>
      <c r="S1380" s="1" t="str">
        <f t="shared" si="109"/>
        <v/>
      </c>
      <c r="T1380" s="1">
        <f>IF($E1380="",0,SUMPRODUCT((AY_SONU!$O$7:$O$42="Evet")*(AY_SONU!$B$7:$B$42=DATE(YEAR($E1380),MONTH($E1380),1))))</f>
        <v>0</v>
      </c>
    </row>
    <row r="1381" spans="1:20" ht="18" customHeight="1" x14ac:dyDescent="0.3">
      <c r="A1381" s="2"/>
      <c r="B1381" s="65" t="str">
        <f t="shared" si="105"/>
        <v/>
      </c>
      <c r="C1381" s="65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66"/>
      <c r="F1381" s="67"/>
      <c r="G1381" s="60"/>
      <c r="H1381" s="60"/>
      <c r="I1381" s="61"/>
      <c r="J1381" s="61"/>
      <c r="K1381" s="61"/>
      <c r="L1381" s="73" t="str">
        <f t="shared" si="106"/>
        <v/>
      </c>
      <c r="M1381" s="65" t="str">
        <f t="shared" ca="1" si="107"/>
        <v/>
      </c>
      <c r="N1381" s="74" t="str">
        <f>IF($C1381="","",IF($C1381="TANIMSIZ MÜŞTERİ","—",INDEX(MUSTERILER!$C$7:$C$156,MATCH($C1381,MUSTERILER!$B$7:$B$156,0))))</f>
        <v/>
      </c>
      <c r="O1381" s="2"/>
      <c r="P1381" s="2"/>
      <c r="Q1381" s="1" t="str">
        <f>IF($D1381="","",$C1381&amp;"|"&amp;COUNTIFS($C$7:$C1381,$C1381))</f>
        <v/>
      </c>
      <c r="R1381" s="1" t="str">
        <f t="shared" si="108"/>
        <v/>
      </c>
      <c r="S1381" s="1" t="str">
        <f t="shared" si="109"/>
        <v/>
      </c>
      <c r="T1381" s="1">
        <f>IF($E1381="",0,SUMPRODUCT((AY_SONU!$O$7:$O$42="Evet")*(AY_SONU!$B$7:$B$42=DATE(YEAR($E1381),MONTH($E1381),1))))</f>
        <v>0</v>
      </c>
    </row>
    <row r="1382" spans="1:20" ht="18" customHeight="1" x14ac:dyDescent="0.3">
      <c r="A1382" s="2"/>
      <c r="B1382" s="65" t="str">
        <f t="shared" si="105"/>
        <v/>
      </c>
      <c r="C1382" s="65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66"/>
      <c r="F1382" s="67"/>
      <c r="G1382" s="60"/>
      <c r="H1382" s="60"/>
      <c r="I1382" s="61"/>
      <c r="J1382" s="61"/>
      <c r="K1382" s="61"/>
      <c r="L1382" s="73" t="str">
        <f t="shared" si="106"/>
        <v/>
      </c>
      <c r="M1382" s="65" t="str">
        <f t="shared" ca="1" si="107"/>
        <v/>
      </c>
      <c r="N1382" s="74" t="str">
        <f>IF($C1382="","",IF($C1382="TANIMSIZ MÜŞTERİ","—",INDEX(MUSTERILER!$C$7:$C$156,MATCH($C1382,MUSTERILER!$B$7:$B$156,0))))</f>
        <v/>
      </c>
      <c r="O1382" s="2"/>
      <c r="P1382" s="2"/>
      <c r="Q1382" s="1" t="str">
        <f>IF($D1382="","",$C1382&amp;"|"&amp;COUNTIFS($C$7:$C1382,$C1382))</f>
        <v/>
      </c>
      <c r="R1382" s="1" t="str">
        <f t="shared" si="108"/>
        <v/>
      </c>
      <c r="S1382" s="1" t="str">
        <f t="shared" si="109"/>
        <v/>
      </c>
      <c r="T1382" s="1">
        <f>IF($E1382="",0,SUMPRODUCT((AY_SONU!$O$7:$O$42="Evet")*(AY_SONU!$B$7:$B$42=DATE(YEAR($E1382),MONTH($E1382),1))))</f>
        <v>0</v>
      </c>
    </row>
    <row r="1383" spans="1:20" ht="18" customHeight="1" x14ac:dyDescent="0.3">
      <c r="A1383" s="2"/>
      <c r="B1383" s="65" t="str">
        <f t="shared" si="105"/>
        <v/>
      </c>
      <c r="C1383" s="65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66"/>
      <c r="F1383" s="67"/>
      <c r="G1383" s="60"/>
      <c r="H1383" s="60"/>
      <c r="I1383" s="61"/>
      <c r="J1383" s="61"/>
      <c r="K1383" s="61"/>
      <c r="L1383" s="73" t="str">
        <f t="shared" si="106"/>
        <v/>
      </c>
      <c r="M1383" s="65" t="str">
        <f t="shared" ca="1" si="107"/>
        <v/>
      </c>
      <c r="N1383" s="74" t="str">
        <f>IF($C1383="","",IF($C1383="TANIMSIZ MÜŞTERİ","—",INDEX(MUSTERILER!$C$7:$C$156,MATCH($C1383,MUSTERILER!$B$7:$B$156,0))))</f>
        <v/>
      </c>
      <c r="O1383" s="2"/>
      <c r="P1383" s="2"/>
      <c r="Q1383" s="1" t="str">
        <f>IF($D1383="","",$C1383&amp;"|"&amp;COUNTIFS($C$7:$C1383,$C1383))</f>
        <v/>
      </c>
      <c r="R1383" s="1" t="str">
        <f t="shared" si="108"/>
        <v/>
      </c>
      <c r="S1383" s="1" t="str">
        <f t="shared" si="109"/>
        <v/>
      </c>
      <c r="T1383" s="1">
        <f>IF($E1383="",0,SUMPRODUCT((AY_SONU!$O$7:$O$42="Evet")*(AY_SONU!$B$7:$B$42=DATE(YEAR($E1383),MONTH($E1383),1))))</f>
        <v>0</v>
      </c>
    </row>
    <row r="1384" spans="1:20" ht="18" customHeight="1" x14ac:dyDescent="0.3">
      <c r="A1384" s="2"/>
      <c r="B1384" s="65" t="str">
        <f t="shared" si="105"/>
        <v/>
      </c>
      <c r="C1384" s="65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66"/>
      <c r="F1384" s="67"/>
      <c r="G1384" s="60"/>
      <c r="H1384" s="60"/>
      <c r="I1384" s="61"/>
      <c r="J1384" s="61"/>
      <c r="K1384" s="61"/>
      <c r="L1384" s="73" t="str">
        <f t="shared" si="106"/>
        <v/>
      </c>
      <c r="M1384" s="65" t="str">
        <f t="shared" ca="1" si="107"/>
        <v/>
      </c>
      <c r="N1384" s="74" t="str">
        <f>IF($C1384="","",IF($C1384="TANIMSIZ MÜŞTERİ","—",INDEX(MUSTERILER!$C$7:$C$156,MATCH($C1384,MUSTERILER!$B$7:$B$156,0))))</f>
        <v/>
      </c>
      <c r="O1384" s="2"/>
      <c r="P1384" s="2"/>
      <c r="Q1384" s="1" t="str">
        <f>IF($D1384="","",$C1384&amp;"|"&amp;COUNTIFS($C$7:$C1384,$C1384))</f>
        <v/>
      </c>
      <c r="R1384" s="1" t="str">
        <f t="shared" si="108"/>
        <v/>
      </c>
      <c r="S1384" s="1" t="str">
        <f t="shared" si="109"/>
        <v/>
      </c>
      <c r="T1384" s="1">
        <f>IF($E1384="",0,SUMPRODUCT((AY_SONU!$O$7:$O$42="Evet")*(AY_SONU!$B$7:$B$42=DATE(YEAR($E1384),MONTH($E1384),1))))</f>
        <v>0</v>
      </c>
    </row>
    <row r="1385" spans="1:20" ht="18" customHeight="1" x14ac:dyDescent="0.3">
      <c r="A1385" s="2"/>
      <c r="B1385" s="65" t="str">
        <f t="shared" si="105"/>
        <v/>
      </c>
      <c r="C1385" s="65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66"/>
      <c r="F1385" s="67"/>
      <c r="G1385" s="60"/>
      <c r="H1385" s="60"/>
      <c r="I1385" s="61"/>
      <c r="J1385" s="61"/>
      <c r="K1385" s="61"/>
      <c r="L1385" s="73" t="str">
        <f t="shared" si="106"/>
        <v/>
      </c>
      <c r="M1385" s="65" t="str">
        <f t="shared" ca="1" si="107"/>
        <v/>
      </c>
      <c r="N1385" s="74" t="str">
        <f>IF($C1385="","",IF($C1385="TANIMSIZ MÜŞTERİ","—",INDEX(MUSTERILER!$C$7:$C$156,MATCH($C1385,MUSTERILER!$B$7:$B$156,0))))</f>
        <v/>
      </c>
      <c r="O1385" s="2"/>
      <c r="P1385" s="2"/>
      <c r="Q1385" s="1" t="str">
        <f>IF($D1385="","",$C1385&amp;"|"&amp;COUNTIFS($C$7:$C1385,$C1385))</f>
        <v/>
      </c>
      <c r="R1385" s="1" t="str">
        <f t="shared" si="108"/>
        <v/>
      </c>
      <c r="S1385" s="1" t="str">
        <f t="shared" si="109"/>
        <v/>
      </c>
      <c r="T1385" s="1">
        <f>IF($E1385="",0,SUMPRODUCT((AY_SONU!$O$7:$O$42="Evet")*(AY_SONU!$B$7:$B$42=DATE(YEAR($E1385),MONTH($E1385),1))))</f>
        <v>0</v>
      </c>
    </row>
    <row r="1386" spans="1:20" ht="18" customHeight="1" x14ac:dyDescent="0.3">
      <c r="A1386" s="2"/>
      <c r="B1386" s="65" t="str">
        <f t="shared" si="105"/>
        <v/>
      </c>
      <c r="C1386" s="65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66"/>
      <c r="F1386" s="67"/>
      <c r="G1386" s="60"/>
      <c r="H1386" s="60"/>
      <c r="I1386" s="61"/>
      <c r="J1386" s="61"/>
      <c r="K1386" s="61"/>
      <c r="L1386" s="73" t="str">
        <f t="shared" si="106"/>
        <v/>
      </c>
      <c r="M1386" s="65" t="str">
        <f t="shared" ca="1" si="107"/>
        <v/>
      </c>
      <c r="N1386" s="74" t="str">
        <f>IF($C1386="","",IF($C1386="TANIMSIZ MÜŞTERİ","—",INDEX(MUSTERILER!$C$7:$C$156,MATCH($C1386,MUSTERILER!$B$7:$B$156,0))))</f>
        <v/>
      </c>
      <c r="O1386" s="2"/>
      <c r="P1386" s="2"/>
      <c r="Q1386" s="1" t="str">
        <f>IF($D1386="","",$C1386&amp;"|"&amp;COUNTIFS($C$7:$C1386,$C1386))</f>
        <v/>
      </c>
      <c r="R1386" s="1" t="str">
        <f t="shared" si="108"/>
        <v/>
      </c>
      <c r="S1386" s="1" t="str">
        <f t="shared" si="109"/>
        <v/>
      </c>
      <c r="T1386" s="1">
        <f>IF($E1386="",0,SUMPRODUCT((AY_SONU!$O$7:$O$42="Evet")*(AY_SONU!$B$7:$B$42=DATE(YEAR($E1386),MONTH($E1386),1))))</f>
        <v>0</v>
      </c>
    </row>
    <row r="1387" spans="1:20" ht="18" customHeight="1" x14ac:dyDescent="0.3">
      <c r="A1387" s="2"/>
      <c r="B1387" s="65" t="str">
        <f t="shared" si="105"/>
        <v/>
      </c>
      <c r="C1387" s="65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66"/>
      <c r="F1387" s="67"/>
      <c r="G1387" s="60"/>
      <c r="H1387" s="60"/>
      <c r="I1387" s="61"/>
      <c r="J1387" s="61"/>
      <c r="K1387" s="61"/>
      <c r="L1387" s="73" t="str">
        <f t="shared" si="106"/>
        <v/>
      </c>
      <c r="M1387" s="65" t="str">
        <f t="shared" ca="1" si="107"/>
        <v/>
      </c>
      <c r="N1387" s="74" t="str">
        <f>IF($C1387="","",IF($C1387="TANIMSIZ MÜŞTERİ","—",INDEX(MUSTERILER!$C$7:$C$156,MATCH($C1387,MUSTERILER!$B$7:$B$156,0))))</f>
        <v/>
      </c>
      <c r="O1387" s="2"/>
      <c r="P1387" s="2"/>
      <c r="Q1387" s="1" t="str">
        <f>IF($D1387="","",$C1387&amp;"|"&amp;COUNTIFS($C$7:$C1387,$C1387))</f>
        <v/>
      </c>
      <c r="R1387" s="1" t="str">
        <f t="shared" si="108"/>
        <v/>
      </c>
      <c r="S1387" s="1" t="str">
        <f t="shared" si="109"/>
        <v/>
      </c>
      <c r="T1387" s="1">
        <f>IF($E1387="",0,SUMPRODUCT((AY_SONU!$O$7:$O$42="Evet")*(AY_SONU!$B$7:$B$42=DATE(YEAR($E1387),MONTH($E1387),1))))</f>
        <v>0</v>
      </c>
    </row>
    <row r="1388" spans="1:20" ht="18" customHeight="1" x14ac:dyDescent="0.3">
      <c r="A1388" s="2"/>
      <c r="B1388" s="65" t="str">
        <f t="shared" si="105"/>
        <v/>
      </c>
      <c r="C1388" s="65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66"/>
      <c r="F1388" s="67"/>
      <c r="G1388" s="60"/>
      <c r="H1388" s="60"/>
      <c r="I1388" s="61"/>
      <c r="J1388" s="61"/>
      <c r="K1388" s="61"/>
      <c r="L1388" s="73" t="str">
        <f t="shared" si="106"/>
        <v/>
      </c>
      <c r="M1388" s="65" t="str">
        <f t="shared" ca="1" si="107"/>
        <v/>
      </c>
      <c r="N1388" s="74" t="str">
        <f>IF($C1388="","",IF($C1388="TANIMSIZ MÜŞTERİ","—",INDEX(MUSTERILER!$C$7:$C$156,MATCH($C1388,MUSTERILER!$B$7:$B$156,0))))</f>
        <v/>
      </c>
      <c r="O1388" s="2"/>
      <c r="P1388" s="2"/>
      <c r="Q1388" s="1" t="str">
        <f>IF($D1388="","",$C1388&amp;"|"&amp;COUNTIFS($C$7:$C1388,$C1388))</f>
        <v/>
      </c>
      <c r="R1388" s="1" t="str">
        <f t="shared" si="108"/>
        <v/>
      </c>
      <c r="S1388" s="1" t="str">
        <f t="shared" si="109"/>
        <v/>
      </c>
      <c r="T1388" s="1">
        <f>IF($E1388="",0,SUMPRODUCT((AY_SONU!$O$7:$O$42="Evet")*(AY_SONU!$B$7:$B$42=DATE(YEAR($E1388),MONTH($E1388),1))))</f>
        <v>0</v>
      </c>
    </row>
    <row r="1389" spans="1:20" ht="18" customHeight="1" x14ac:dyDescent="0.3">
      <c r="A1389" s="2"/>
      <c r="B1389" s="65" t="str">
        <f t="shared" si="105"/>
        <v/>
      </c>
      <c r="C1389" s="65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66"/>
      <c r="F1389" s="67"/>
      <c r="G1389" s="60"/>
      <c r="H1389" s="60"/>
      <c r="I1389" s="61"/>
      <c r="J1389" s="61"/>
      <c r="K1389" s="61"/>
      <c r="L1389" s="73" t="str">
        <f t="shared" si="106"/>
        <v/>
      </c>
      <c r="M1389" s="65" t="str">
        <f t="shared" ca="1" si="107"/>
        <v/>
      </c>
      <c r="N1389" s="74" t="str">
        <f>IF($C1389="","",IF($C1389="TANIMSIZ MÜŞTERİ","—",INDEX(MUSTERILER!$C$7:$C$156,MATCH($C1389,MUSTERILER!$B$7:$B$156,0))))</f>
        <v/>
      </c>
      <c r="O1389" s="2"/>
      <c r="P1389" s="2"/>
      <c r="Q1389" s="1" t="str">
        <f>IF($D1389="","",$C1389&amp;"|"&amp;COUNTIFS($C$7:$C1389,$C1389))</f>
        <v/>
      </c>
      <c r="R1389" s="1" t="str">
        <f t="shared" si="108"/>
        <v/>
      </c>
      <c r="S1389" s="1" t="str">
        <f t="shared" si="109"/>
        <v/>
      </c>
      <c r="T1389" s="1">
        <f>IF($E1389="",0,SUMPRODUCT((AY_SONU!$O$7:$O$42="Evet")*(AY_SONU!$B$7:$B$42=DATE(YEAR($E1389),MONTH($E1389),1))))</f>
        <v>0</v>
      </c>
    </row>
    <row r="1390" spans="1:20" ht="18" customHeight="1" x14ac:dyDescent="0.3">
      <c r="A1390" s="2"/>
      <c r="B1390" s="65" t="str">
        <f t="shared" si="105"/>
        <v/>
      </c>
      <c r="C1390" s="65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66"/>
      <c r="F1390" s="67"/>
      <c r="G1390" s="60"/>
      <c r="H1390" s="60"/>
      <c r="I1390" s="61"/>
      <c r="J1390" s="61"/>
      <c r="K1390" s="61"/>
      <c r="L1390" s="73" t="str">
        <f t="shared" si="106"/>
        <v/>
      </c>
      <c r="M1390" s="65" t="str">
        <f t="shared" ca="1" si="107"/>
        <v/>
      </c>
      <c r="N1390" s="74" t="str">
        <f>IF($C1390="","",IF($C1390="TANIMSIZ MÜŞTERİ","—",INDEX(MUSTERILER!$C$7:$C$156,MATCH($C1390,MUSTERILER!$B$7:$B$156,0))))</f>
        <v/>
      </c>
      <c r="O1390" s="2"/>
      <c r="P1390" s="2"/>
      <c r="Q1390" s="1" t="str">
        <f>IF($D1390="","",$C1390&amp;"|"&amp;COUNTIFS($C$7:$C1390,$C1390))</f>
        <v/>
      </c>
      <c r="R1390" s="1" t="str">
        <f t="shared" si="108"/>
        <v/>
      </c>
      <c r="S1390" s="1" t="str">
        <f t="shared" si="109"/>
        <v/>
      </c>
      <c r="T1390" s="1">
        <f>IF($E1390="",0,SUMPRODUCT((AY_SONU!$O$7:$O$42="Evet")*(AY_SONU!$B$7:$B$42=DATE(YEAR($E1390),MONTH($E1390),1))))</f>
        <v>0</v>
      </c>
    </row>
    <row r="1391" spans="1:20" ht="18" customHeight="1" x14ac:dyDescent="0.3">
      <c r="A1391" s="2"/>
      <c r="B1391" s="65" t="str">
        <f t="shared" si="105"/>
        <v/>
      </c>
      <c r="C1391" s="65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66"/>
      <c r="F1391" s="67"/>
      <c r="G1391" s="60"/>
      <c r="H1391" s="60"/>
      <c r="I1391" s="61"/>
      <c r="J1391" s="61"/>
      <c r="K1391" s="61"/>
      <c r="L1391" s="73" t="str">
        <f t="shared" si="106"/>
        <v/>
      </c>
      <c r="M1391" s="65" t="str">
        <f t="shared" ca="1" si="107"/>
        <v/>
      </c>
      <c r="N1391" s="74" t="str">
        <f>IF($C1391="","",IF($C1391="TANIMSIZ MÜŞTERİ","—",INDEX(MUSTERILER!$C$7:$C$156,MATCH($C1391,MUSTERILER!$B$7:$B$156,0))))</f>
        <v/>
      </c>
      <c r="O1391" s="2"/>
      <c r="P1391" s="2"/>
      <c r="Q1391" s="1" t="str">
        <f>IF($D1391="","",$C1391&amp;"|"&amp;COUNTIFS($C$7:$C1391,$C1391))</f>
        <v/>
      </c>
      <c r="R1391" s="1" t="str">
        <f t="shared" si="108"/>
        <v/>
      </c>
      <c r="S1391" s="1" t="str">
        <f t="shared" si="109"/>
        <v/>
      </c>
      <c r="T1391" s="1">
        <f>IF($E1391="",0,SUMPRODUCT((AY_SONU!$O$7:$O$42="Evet")*(AY_SONU!$B$7:$B$42=DATE(YEAR($E1391),MONTH($E1391),1))))</f>
        <v>0</v>
      </c>
    </row>
    <row r="1392" spans="1:20" ht="18" customHeight="1" x14ac:dyDescent="0.3">
      <c r="A1392" s="2"/>
      <c r="B1392" s="65" t="str">
        <f t="shared" si="105"/>
        <v/>
      </c>
      <c r="C1392" s="65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66"/>
      <c r="F1392" s="67"/>
      <c r="G1392" s="60"/>
      <c r="H1392" s="60"/>
      <c r="I1392" s="61"/>
      <c r="J1392" s="61"/>
      <c r="K1392" s="61"/>
      <c r="L1392" s="73" t="str">
        <f t="shared" si="106"/>
        <v/>
      </c>
      <c r="M1392" s="65" t="str">
        <f t="shared" ca="1" si="107"/>
        <v/>
      </c>
      <c r="N1392" s="74" t="str">
        <f>IF($C1392="","",IF($C1392="TANIMSIZ MÜŞTERİ","—",INDEX(MUSTERILER!$C$7:$C$156,MATCH($C1392,MUSTERILER!$B$7:$B$156,0))))</f>
        <v/>
      </c>
      <c r="O1392" s="2"/>
      <c r="P1392" s="2"/>
      <c r="Q1392" s="1" t="str">
        <f>IF($D1392="","",$C1392&amp;"|"&amp;COUNTIFS($C$7:$C1392,$C1392))</f>
        <v/>
      </c>
      <c r="R1392" s="1" t="str">
        <f t="shared" si="108"/>
        <v/>
      </c>
      <c r="S1392" s="1" t="str">
        <f t="shared" si="109"/>
        <v/>
      </c>
      <c r="T1392" s="1">
        <f>IF($E1392="",0,SUMPRODUCT((AY_SONU!$O$7:$O$42="Evet")*(AY_SONU!$B$7:$B$42=DATE(YEAR($E1392),MONTH($E1392),1))))</f>
        <v>0</v>
      </c>
    </row>
    <row r="1393" spans="1:20" ht="18" customHeight="1" x14ac:dyDescent="0.3">
      <c r="A1393" s="2"/>
      <c r="B1393" s="65" t="str">
        <f t="shared" si="105"/>
        <v/>
      </c>
      <c r="C1393" s="65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66"/>
      <c r="F1393" s="67"/>
      <c r="G1393" s="60"/>
      <c r="H1393" s="60"/>
      <c r="I1393" s="61"/>
      <c r="J1393" s="61"/>
      <c r="K1393" s="61"/>
      <c r="L1393" s="73" t="str">
        <f t="shared" si="106"/>
        <v/>
      </c>
      <c r="M1393" s="65" t="str">
        <f t="shared" ca="1" si="107"/>
        <v/>
      </c>
      <c r="N1393" s="74" t="str">
        <f>IF($C1393="","",IF($C1393="TANIMSIZ MÜŞTERİ","—",INDEX(MUSTERILER!$C$7:$C$156,MATCH($C1393,MUSTERILER!$B$7:$B$156,0))))</f>
        <v/>
      </c>
      <c r="O1393" s="2"/>
      <c r="P1393" s="2"/>
      <c r="Q1393" s="1" t="str">
        <f>IF($D1393="","",$C1393&amp;"|"&amp;COUNTIFS($C$7:$C1393,$C1393))</f>
        <v/>
      </c>
      <c r="R1393" s="1" t="str">
        <f t="shared" si="108"/>
        <v/>
      </c>
      <c r="S1393" s="1" t="str">
        <f t="shared" si="109"/>
        <v/>
      </c>
      <c r="T1393" s="1">
        <f>IF($E1393="",0,SUMPRODUCT((AY_SONU!$O$7:$O$42="Evet")*(AY_SONU!$B$7:$B$42=DATE(YEAR($E1393),MONTH($E1393),1))))</f>
        <v>0</v>
      </c>
    </row>
    <row r="1394" spans="1:20" ht="18" customHeight="1" x14ac:dyDescent="0.3">
      <c r="A1394" s="2"/>
      <c r="B1394" s="65" t="str">
        <f t="shared" si="105"/>
        <v/>
      </c>
      <c r="C1394" s="65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66"/>
      <c r="F1394" s="67"/>
      <c r="G1394" s="60"/>
      <c r="H1394" s="60"/>
      <c r="I1394" s="61"/>
      <c r="J1394" s="61"/>
      <c r="K1394" s="61"/>
      <c r="L1394" s="73" t="str">
        <f t="shared" si="106"/>
        <v/>
      </c>
      <c r="M1394" s="65" t="str">
        <f t="shared" ca="1" si="107"/>
        <v/>
      </c>
      <c r="N1394" s="74" t="str">
        <f>IF($C1394="","",IF($C1394="TANIMSIZ MÜŞTERİ","—",INDEX(MUSTERILER!$C$7:$C$156,MATCH($C1394,MUSTERILER!$B$7:$B$156,0))))</f>
        <v/>
      </c>
      <c r="O1394" s="2"/>
      <c r="P1394" s="2"/>
      <c r="Q1394" s="1" t="str">
        <f>IF($D1394="","",$C1394&amp;"|"&amp;COUNTIFS($C$7:$C1394,$C1394))</f>
        <v/>
      </c>
      <c r="R1394" s="1" t="str">
        <f t="shared" si="108"/>
        <v/>
      </c>
      <c r="S1394" s="1" t="str">
        <f t="shared" si="109"/>
        <v/>
      </c>
      <c r="T1394" s="1">
        <f>IF($E1394="",0,SUMPRODUCT((AY_SONU!$O$7:$O$42="Evet")*(AY_SONU!$B$7:$B$42=DATE(YEAR($E1394),MONTH($E1394),1))))</f>
        <v>0</v>
      </c>
    </row>
    <row r="1395" spans="1:20" ht="18" customHeight="1" x14ac:dyDescent="0.3">
      <c r="A1395" s="2"/>
      <c r="B1395" s="65" t="str">
        <f t="shared" si="105"/>
        <v/>
      </c>
      <c r="C1395" s="65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66"/>
      <c r="F1395" s="67"/>
      <c r="G1395" s="60"/>
      <c r="H1395" s="60"/>
      <c r="I1395" s="61"/>
      <c r="J1395" s="61"/>
      <c r="K1395" s="61"/>
      <c r="L1395" s="73" t="str">
        <f t="shared" si="106"/>
        <v/>
      </c>
      <c r="M1395" s="65" t="str">
        <f t="shared" ca="1" si="107"/>
        <v/>
      </c>
      <c r="N1395" s="74" t="str">
        <f>IF($C1395="","",IF($C1395="TANIMSIZ MÜŞTERİ","—",INDEX(MUSTERILER!$C$7:$C$156,MATCH($C1395,MUSTERILER!$B$7:$B$156,0))))</f>
        <v/>
      </c>
      <c r="O1395" s="2"/>
      <c r="P1395" s="2"/>
      <c r="Q1395" s="1" t="str">
        <f>IF($D1395="","",$C1395&amp;"|"&amp;COUNTIFS($C$7:$C1395,$C1395))</f>
        <v/>
      </c>
      <c r="R1395" s="1" t="str">
        <f t="shared" si="108"/>
        <v/>
      </c>
      <c r="S1395" s="1" t="str">
        <f t="shared" si="109"/>
        <v/>
      </c>
      <c r="T1395" s="1">
        <f>IF($E1395="",0,SUMPRODUCT((AY_SONU!$O$7:$O$42="Evet")*(AY_SONU!$B$7:$B$42=DATE(YEAR($E1395),MONTH($E1395),1))))</f>
        <v>0</v>
      </c>
    </row>
    <row r="1396" spans="1:20" ht="18" customHeight="1" x14ac:dyDescent="0.3">
      <c r="A1396" s="2"/>
      <c r="B1396" s="65" t="str">
        <f t="shared" si="105"/>
        <v/>
      </c>
      <c r="C1396" s="65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66"/>
      <c r="F1396" s="67"/>
      <c r="G1396" s="60"/>
      <c r="H1396" s="60"/>
      <c r="I1396" s="61"/>
      <c r="J1396" s="61"/>
      <c r="K1396" s="61"/>
      <c r="L1396" s="73" t="str">
        <f t="shared" si="106"/>
        <v/>
      </c>
      <c r="M1396" s="65" t="str">
        <f t="shared" ca="1" si="107"/>
        <v/>
      </c>
      <c r="N1396" s="74" t="str">
        <f>IF($C1396="","",IF($C1396="TANIMSIZ MÜŞTERİ","—",INDEX(MUSTERILER!$C$7:$C$156,MATCH($C1396,MUSTERILER!$B$7:$B$156,0))))</f>
        <v/>
      </c>
      <c r="O1396" s="2"/>
      <c r="P1396" s="2"/>
      <c r="Q1396" s="1" t="str">
        <f>IF($D1396="","",$C1396&amp;"|"&amp;COUNTIFS($C$7:$C1396,$C1396))</f>
        <v/>
      </c>
      <c r="R1396" s="1" t="str">
        <f t="shared" si="108"/>
        <v/>
      </c>
      <c r="S1396" s="1" t="str">
        <f t="shared" si="109"/>
        <v/>
      </c>
      <c r="T1396" s="1">
        <f>IF($E1396="",0,SUMPRODUCT((AY_SONU!$O$7:$O$42="Evet")*(AY_SONU!$B$7:$B$42=DATE(YEAR($E1396),MONTH($E1396),1))))</f>
        <v>0</v>
      </c>
    </row>
    <row r="1397" spans="1:20" ht="18" customHeight="1" x14ac:dyDescent="0.3">
      <c r="A1397" s="2"/>
      <c r="B1397" s="65" t="str">
        <f t="shared" si="105"/>
        <v/>
      </c>
      <c r="C1397" s="65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66"/>
      <c r="F1397" s="67"/>
      <c r="G1397" s="60"/>
      <c r="H1397" s="60"/>
      <c r="I1397" s="61"/>
      <c r="J1397" s="61"/>
      <c r="K1397" s="61"/>
      <c r="L1397" s="73" t="str">
        <f t="shared" si="106"/>
        <v/>
      </c>
      <c r="M1397" s="65" t="str">
        <f t="shared" ca="1" si="107"/>
        <v/>
      </c>
      <c r="N1397" s="74" t="str">
        <f>IF($C1397="","",IF($C1397="TANIMSIZ MÜŞTERİ","—",INDEX(MUSTERILER!$C$7:$C$156,MATCH($C1397,MUSTERILER!$B$7:$B$156,0))))</f>
        <v/>
      </c>
      <c r="O1397" s="2"/>
      <c r="P1397" s="2"/>
      <c r="Q1397" s="1" t="str">
        <f>IF($D1397="","",$C1397&amp;"|"&amp;COUNTIFS($C$7:$C1397,$C1397))</f>
        <v/>
      </c>
      <c r="R1397" s="1" t="str">
        <f t="shared" si="108"/>
        <v/>
      </c>
      <c r="S1397" s="1" t="str">
        <f t="shared" si="109"/>
        <v/>
      </c>
      <c r="T1397" s="1">
        <f>IF($E1397="",0,SUMPRODUCT((AY_SONU!$O$7:$O$42="Evet")*(AY_SONU!$B$7:$B$42=DATE(YEAR($E1397),MONTH($E1397),1))))</f>
        <v>0</v>
      </c>
    </row>
    <row r="1398" spans="1:20" ht="18" customHeight="1" x14ac:dyDescent="0.3">
      <c r="A1398" s="2"/>
      <c r="B1398" s="65" t="str">
        <f t="shared" si="105"/>
        <v/>
      </c>
      <c r="C1398" s="65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66"/>
      <c r="F1398" s="67"/>
      <c r="G1398" s="60"/>
      <c r="H1398" s="60"/>
      <c r="I1398" s="61"/>
      <c r="J1398" s="61"/>
      <c r="K1398" s="61"/>
      <c r="L1398" s="73" t="str">
        <f t="shared" si="106"/>
        <v/>
      </c>
      <c r="M1398" s="65" t="str">
        <f t="shared" ca="1" si="107"/>
        <v/>
      </c>
      <c r="N1398" s="74" t="str">
        <f>IF($C1398="","",IF($C1398="TANIMSIZ MÜŞTERİ","—",INDEX(MUSTERILER!$C$7:$C$156,MATCH($C1398,MUSTERILER!$B$7:$B$156,0))))</f>
        <v/>
      </c>
      <c r="O1398" s="2"/>
      <c r="P1398" s="2"/>
      <c r="Q1398" s="1" t="str">
        <f>IF($D1398="","",$C1398&amp;"|"&amp;COUNTIFS($C$7:$C1398,$C1398))</f>
        <v/>
      </c>
      <c r="R1398" s="1" t="str">
        <f t="shared" si="108"/>
        <v/>
      </c>
      <c r="S1398" s="1" t="str">
        <f t="shared" si="109"/>
        <v/>
      </c>
      <c r="T1398" s="1">
        <f>IF($E1398="",0,SUMPRODUCT((AY_SONU!$O$7:$O$42="Evet")*(AY_SONU!$B$7:$B$42=DATE(YEAR($E1398),MONTH($E1398),1))))</f>
        <v>0</v>
      </c>
    </row>
    <row r="1399" spans="1:20" ht="18" customHeight="1" x14ac:dyDescent="0.3">
      <c r="A1399" s="2"/>
      <c r="B1399" s="65" t="str">
        <f t="shared" si="105"/>
        <v/>
      </c>
      <c r="C1399" s="65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66"/>
      <c r="F1399" s="67"/>
      <c r="G1399" s="60"/>
      <c r="H1399" s="60"/>
      <c r="I1399" s="61"/>
      <c r="J1399" s="61"/>
      <c r="K1399" s="61"/>
      <c r="L1399" s="73" t="str">
        <f t="shared" si="106"/>
        <v/>
      </c>
      <c r="M1399" s="65" t="str">
        <f t="shared" ca="1" si="107"/>
        <v/>
      </c>
      <c r="N1399" s="74" t="str">
        <f>IF($C1399="","",IF($C1399="TANIMSIZ MÜŞTERİ","—",INDEX(MUSTERILER!$C$7:$C$156,MATCH($C1399,MUSTERILER!$B$7:$B$156,0))))</f>
        <v/>
      </c>
      <c r="O1399" s="2"/>
      <c r="P1399" s="2"/>
      <c r="Q1399" s="1" t="str">
        <f>IF($D1399="","",$C1399&amp;"|"&amp;COUNTIFS($C$7:$C1399,$C1399))</f>
        <v/>
      </c>
      <c r="R1399" s="1" t="str">
        <f t="shared" si="108"/>
        <v/>
      </c>
      <c r="S1399" s="1" t="str">
        <f t="shared" si="109"/>
        <v/>
      </c>
      <c r="T1399" s="1">
        <f>IF($E1399="",0,SUMPRODUCT((AY_SONU!$O$7:$O$42="Evet")*(AY_SONU!$B$7:$B$42=DATE(YEAR($E1399),MONTH($E1399),1))))</f>
        <v>0</v>
      </c>
    </row>
    <row r="1400" spans="1:20" ht="18" customHeight="1" x14ac:dyDescent="0.3">
      <c r="A1400" s="2"/>
      <c r="B1400" s="65" t="str">
        <f t="shared" si="105"/>
        <v/>
      </c>
      <c r="C1400" s="65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66"/>
      <c r="F1400" s="67"/>
      <c r="G1400" s="60"/>
      <c r="H1400" s="60"/>
      <c r="I1400" s="61"/>
      <c r="J1400" s="61"/>
      <c r="K1400" s="61"/>
      <c r="L1400" s="73" t="str">
        <f t="shared" si="106"/>
        <v/>
      </c>
      <c r="M1400" s="65" t="str">
        <f t="shared" ca="1" si="107"/>
        <v/>
      </c>
      <c r="N1400" s="74" t="str">
        <f>IF($C1400="","",IF($C1400="TANIMSIZ MÜŞTERİ","—",INDEX(MUSTERILER!$C$7:$C$156,MATCH($C1400,MUSTERILER!$B$7:$B$156,0))))</f>
        <v/>
      </c>
      <c r="O1400" s="2"/>
      <c r="P1400" s="2"/>
      <c r="Q1400" s="1" t="str">
        <f>IF($D1400="","",$C1400&amp;"|"&amp;COUNTIFS($C$7:$C1400,$C1400))</f>
        <v/>
      </c>
      <c r="R1400" s="1" t="str">
        <f t="shared" si="108"/>
        <v/>
      </c>
      <c r="S1400" s="1" t="str">
        <f t="shared" si="109"/>
        <v/>
      </c>
      <c r="T1400" s="1">
        <f>IF($E1400="",0,SUMPRODUCT((AY_SONU!$O$7:$O$42="Evet")*(AY_SONU!$B$7:$B$42=DATE(YEAR($E1400),MONTH($E1400),1))))</f>
        <v>0</v>
      </c>
    </row>
    <row r="1401" spans="1:20" ht="18" customHeight="1" x14ac:dyDescent="0.3">
      <c r="A1401" s="2"/>
      <c r="B1401" s="65" t="str">
        <f t="shared" si="105"/>
        <v/>
      </c>
      <c r="C1401" s="65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66"/>
      <c r="F1401" s="67"/>
      <c r="G1401" s="60"/>
      <c r="H1401" s="60"/>
      <c r="I1401" s="61"/>
      <c r="J1401" s="61"/>
      <c r="K1401" s="61"/>
      <c r="L1401" s="73" t="str">
        <f t="shared" si="106"/>
        <v/>
      </c>
      <c r="M1401" s="65" t="str">
        <f t="shared" ca="1" si="107"/>
        <v/>
      </c>
      <c r="N1401" s="74" t="str">
        <f>IF($C1401="","",IF($C1401="TANIMSIZ MÜŞTERİ","—",INDEX(MUSTERILER!$C$7:$C$156,MATCH($C1401,MUSTERILER!$B$7:$B$156,0))))</f>
        <v/>
      </c>
      <c r="O1401" s="2"/>
      <c r="P1401" s="2"/>
      <c r="Q1401" s="1" t="str">
        <f>IF($D1401="","",$C1401&amp;"|"&amp;COUNTIFS($C$7:$C1401,$C1401))</f>
        <v/>
      </c>
      <c r="R1401" s="1" t="str">
        <f t="shared" si="108"/>
        <v/>
      </c>
      <c r="S1401" s="1" t="str">
        <f t="shared" si="109"/>
        <v/>
      </c>
      <c r="T1401" s="1">
        <f>IF($E1401="",0,SUMPRODUCT((AY_SONU!$O$7:$O$42="Evet")*(AY_SONU!$B$7:$B$42=DATE(YEAR($E1401),MONTH($E1401),1))))</f>
        <v>0</v>
      </c>
    </row>
    <row r="1402" spans="1:20" ht="18" customHeight="1" x14ac:dyDescent="0.3">
      <c r="A1402" s="2"/>
      <c r="B1402" s="65" t="str">
        <f t="shared" si="105"/>
        <v/>
      </c>
      <c r="C1402" s="65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66"/>
      <c r="F1402" s="67"/>
      <c r="G1402" s="60"/>
      <c r="H1402" s="60"/>
      <c r="I1402" s="61"/>
      <c r="J1402" s="61"/>
      <c r="K1402" s="61"/>
      <c r="L1402" s="73" t="str">
        <f t="shared" si="106"/>
        <v/>
      </c>
      <c r="M1402" s="65" t="str">
        <f t="shared" ca="1" si="107"/>
        <v/>
      </c>
      <c r="N1402" s="74" t="str">
        <f>IF($C1402="","",IF($C1402="TANIMSIZ MÜŞTERİ","—",INDEX(MUSTERILER!$C$7:$C$156,MATCH($C1402,MUSTERILER!$B$7:$B$156,0))))</f>
        <v/>
      </c>
      <c r="O1402" s="2"/>
      <c r="P1402" s="2"/>
      <c r="Q1402" s="1" t="str">
        <f>IF($D1402="","",$C1402&amp;"|"&amp;COUNTIFS($C$7:$C1402,$C1402))</f>
        <v/>
      </c>
      <c r="R1402" s="1" t="str">
        <f t="shared" si="108"/>
        <v/>
      </c>
      <c r="S1402" s="1" t="str">
        <f t="shared" si="109"/>
        <v/>
      </c>
      <c r="T1402" s="1">
        <f>IF($E1402="",0,SUMPRODUCT((AY_SONU!$O$7:$O$42="Evet")*(AY_SONU!$B$7:$B$42=DATE(YEAR($E1402),MONTH($E1402),1))))</f>
        <v>0</v>
      </c>
    </row>
    <row r="1403" spans="1:20" ht="18" customHeight="1" x14ac:dyDescent="0.3">
      <c r="A1403" s="2"/>
      <c r="B1403" s="65" t="str">
        <f t="shared" si="105"/>
        <v/>
      </c>
      <c r="C1403" s="65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66"/>
      <c r="F1403" s="67"/>
      <c r="G1403" s="60"/>
      <c r="H1403" s="60"/>
      <c r="I1403" s="61"/>
      <c r="J1403" s="61"/>
      <c r="K1403" s="61"/>
      <c r="L1403" s="73" t="str">
        <f t="shared" si="106"/>
        <v/>
      </c>
      <c r="M1403" s="65" t="str">
        <f t="shared" ca="1" si="107"/>
        <v/>
      </c>
      <c r="N1403" s="74" t="str">
        <f>IF($C1403="","",IF($C1403="TANIMSIZ MÜŞTERİ","—",INDEX(MUSTERILER!$C$7:$C$156,MATCH($C1403,MUSTERILER!$B$7:$B$156,0))))</f>
        <v/>
      </c>
      <c r="O1403" s="2"/>
      <c r="P1403" s="2"/>
      <c r="Q1403" s="1" t="str">
        <f>IF($D1403="","",$C1403&amp;"|"&amp;COUNTIFS($C$7:$C1403,$C1403))</f>
        <v/>
      </c>
      <c r="R1403" s="1" t="str">
        <f t="shared" si="108"/>
        <v/>
      </c>
      <c r="S1403" s="1" t="str">
        <f t="shared" si="109"/>
        <v/>
      </c>
      <c r="T1403" s="1">
        <f>IF($E1403="",0,SUMPRODUCT((AY_SONU!$O$7:$O$42="Evet")*(AY_SONU!$B$7:$B$42=DATE(YEAR($E1403),MONTH($E1403),1))))</f>
        <v>0</v>
      </c>
    </row>
    <row r="1404" spans="1:20" ht="18" customHeight="1" x14ac:dyDescent="0.3">
      <c r="A1404" s="2"/>
      <c r="B1404" s="65" t="str">
        <f t="shared" si="105"/>
        <v/>
      </c>
      <c r="C1404" s="65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66"/>
      <c r="F1404" s="67"/>
      <c r="G1404" s="60"/>
      <c r="H1404" s="60"/>
      <c r="I1404" s="61"/>
      <c r="J1404" s="61"/>
      <c r="K1404" s="61"/>
      <c r="L1404" s="73" t="str">
        <f t="shared" si="106"/>
        <v/>
      </c>
      <c r="M1404" s="65" t="str">
        <f t="shared" ca="1" si="107"/>
        <v/>
      </c>
      <c r="N1404" s="74" t="str">
        <f>IF($C1404="","",IF($C1404="TANIMSIZ MÜŞTERİ","—",INDEX(MUSTERILER!$C$7:$C$156,MATCH($C1404,MUSTERILER!$B$7:$B$156,0))))</f>
        <v/>
      </c>
      <c r="O1404" s="2"/>
      <c r="P1404" s="2"/>
      <c r="Q1404" s="1" t="str">
        <f>IF($D1404="","",$C1404&amp;"|"&amp;COUNTIFS($C$7:$C1404,$C1404))</f>
        <v/>
      </c>
      <c r="R1404" s="1" t="str">
        <f t="shared" si="108"/>
        <v/>
      </c>
      <c r="S1404" s="1" t="str">
        <f t="shared" si="109"/>
        <v/>
      </c>
      <c r="T1404" s="1">
        <f>IF($E1404="",0,SUMPRODUCT((AY_SONU!$O$7:$O$42="Evet")*(AY_SONU!$B$7:$B$42=DATE(YEAR($E1404),MONTH($E1404),1))))</f>
        <v>0</v>
      </c>
    </row>
    <row r="1405" spans="1:20" ht="18" customHeight="1" x14ac:dyDescent="0.3">
      <c r="A1405" s="2"/>
      <c r="B1405" s="65" t="str">
        <f t="shared" si="105"/>
        <v/>
      </c>
      <c r="C1405" s="65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66"/>
      <c r="F1405" s="67"/>
      <c r="G1405" s="60"/>
      <c r="H1405" s="60"/>
      <c r="I1405" s="61"/>
      <c r="J1405" s="61"/>
      <c r="K1405" s="61"/>
      <c r="L1405" s="73" t="str">
        <f t="shared" si="106"/>
        <v/>
      </c>
      <c r="M1405" s="65" t="str">
        <f t="shared" ca="1" si="107"/>
        <v/>
      </c>
      <c r="N1405" s="74" t="str">
        <f>IF($C1405="","",IF($C1405="TANIMSIZ MÜŞTERİ","—",INDEX(MUSTERILER!$C$7:$C$156,MATCH($C1405,MUSTERILER!$B$7:$B$156,0))))</f>
        <v/>
      </c>
      <c r="O1405" s="2"/>
      <c r="P1405" s="2"/>
      <c r="Q1405" s="1" t="str">
        <f>IF($D1405="","",$C1405&amp;"|"&amp;COUNTIFS($C$7:$C1405,$C1405))</f>
        <v/>
      </c>
      <c r="R1405" s="1" t="str">
        <f t="shared" si="108"/>
        <v/>
      </c>
      <c r="S1405" s="1" t="str">
        <f t="shared" si="109"/>
        <v/>
      </c>
      <c r="T1405" s="1">
        <f>IF($E1405="",0,SUMPRODUCT((AY_SONU!$O$7:$O$42="Evet")*(AY_SONU!$B$7:$B$42=DATE(YEAR($E1405),MONTH($E1405),1))))</f>
        <v>0</v>
      </c>
    </row>
    <row r="1406" spans="1:20" ht="18" customHeight="1" x14ac:dyDescent="0.3">
      <c r="A1406" s="2"/>
      <c r="B1406" s="65" t="str">
        <f t="shared" si="105"/>
        <v/>
      </c>
      <c r="C1406" s="65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66"/>
      <c r="F1406" s="67"/>
      <c r="G1406" s="60"/>
      <c r="H1406" s="60"/>
      <c r="I1406" s="61"/>
      <c r="J1406" s="61"/>
      <c r="K1406" s="61"/>
      <c r="L1406" s="73" t="str">
        <f t="shared" si="106"/>
        <v/>
      </c>
      <c r="M1406" s="65" t="str">
        <f t="shared" ca="1" si="107"/>
        <v/>
      </c>
      <c r="N1406" s="74" t="str">
        <f>IF($C1406="","",IF($C1406="TANIMSIZ MÜŞTERİ","—",INDEX(MUSTERILER!$C$7:$C$156,MATCH($C1406,MUSTERILER!$B$7:$B$156,0))))</f>
        <v/>
      </c>
      <c r="O1406" s="2"/>
      <c r="P1406" s="2"/>
      <c r="Q1406" s="1" t="str">
        <f>IF($D1406="","",$C1406&amp;"|"&amp;COUNTIFS($C$7:$C1406,$C1406))</f>
        <v/>
      </c>
      <c r="R1406" s="1" t="str">
        <f t="shared" si="108"/>
        <v/>
      </c>
      <c r="S1406" s="1" t="str">
        <f t="shared" si="109"/>
        <v/>
      </c>
      <c r="T1406" s="1">
        <f>IF($E1406="",0,SUMPRODUCT((AY_SONU!$O$7:$O$42="Evet")*(AY_SONU!$B$7:$B$42=DATE(YEAR($E1406),MONTH($E1406),1))))</f>
        <v>0</v>
      </c>
    </row>
    <row r="1407" spans="1:20" ht="18" customHeight="1" x14ac:dyDescent="0.3">
      <c r="A1407" s="2"/>
      <c r="B1407" s="65" t="str">
        <f t="shared" si="105"/>
        <v/>
      </c>
      <c r="C1407" s="65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66"/>
      <c r="F1407" s="67"/>
      <c r="G1407" s="60"/>
      <c r="H1407" s="60"/>
      <c r="I1407" s="61"/>
      <c r="J1407" s="61"/>
      <c r="K1407" s="61"/>
      <c r="L1407" s="73" t="str">
        <f t="shared" si="106"/>
        <v/>
      </c>
      <c r="M1407" s="65" t="str">
        <f t="shared" ca="1" si="107"/>
        <v/>
      </c>
      <c r="N1407" s="74" t="str">
        <f>IF($C1407="","",IF($C1407="TANIMSIZ MÜŞTERİ","—",INDEX(MUSTERILER!$C$7:$C$156,MATCH($C1407,MUSTERILER!$B$7:$B$156,0))))</f>
        <v/>
      </c>
      <c r="O1407" s="2"/>
      <c r="P1407" s="2"/>
      <c r="Q1407" s="1" t="str">
        <f>IF($D1407="","",$C1407&amp;"|"&amp;COUNTIFS($C$7:$C1407,$C1407))</f>
        <v/>
      </c>
      <c r="R1407" s="1" t="str">
        <f t="shared" si="108"/>
        <v/>
      </c>
      <c r="S1407" s="1" t="str">
        <f t="shared" si="109"/>
        <v/>
      </c>
      <c r="T1407" s="1">
        <f>IF($E1407="",0,SUMPRODUCT((AY_SONU!$O$7:$O$42="Evet")*(AY_SONU!$B$7:$B$42=DATE(YEAR($E1407),MONTH($E1407),1))))</f>
        <v>0</v>
      </c>
    </row>
    <row r="1408" spans="1:20" ht="18" customHeight="1" x14ac:dyDescent="0.3">
      <c r="A1408" s="2"/>
      <c r="B1408" s="65" t="str">
        <f t="shared" si="105"/>
        <v/>
      </c>
      <c r="C1408" s="65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66"/>
      <c r="F1408" s="67"/>
      <c r="G1408" s="60"/>
      <c r="H1408" s="60"/>
      <c r="I1408" s="61"/>
      <c r="J1408" s="61"/>
      <c r="K1408" s="61"/>
      <c r="L1408" s="73" t="str">
        <f t="shared" si="106"/>
        <v/>
      </c>
      <c r="M1408" s="65" t="str">
        <f t="shared" ca="1" si="107"/>
        <v/>
      </c>
      <c r="N1408" s="74" t="str">
        <f>IF($C1408="","",IF($C1408="TANIMSIZ MÜŞTERİ","—",INDEX(MUSTERILER!$C$7:$C$156,MATCH($C1408,MUSTERILER!$B$7:$B$156,0))))</f>
        <v/>
      </c>
      <c r="O1408" s="2"/>
      <c r="P1408" s="2"/>
      <c r="Q1408" s="1" t="str">
        <f>IF($D1408="","",$C1408&amp;"|"&amp;COUNTIFS($C$7:$C1408,$C1408))</f>
        <v/>
      </c>
      <c r="R1408" s="1" t="str">
        <f t="shared" si="108"/>
        <v/>
      </c>
      <c r="S1408" s="1" t="str">
        <f t="shared" si="109"/>
        <v/>
      </c>
      <c r="T1408" s="1">
        <f>IF($E1408="",0,SUMPRODUCT((AY_SONU!$O$7:$O$42="Evet")*(AY_SONU!$B$7:$B$42=DATE(YEAR($E1408),MONTH($E1408),1))))</f>
        <v>0</v>
      </c>
    </row>
    <row r="1409" spans="1:20" ht="18" customHeight="1" x14ac:dyDescent="0.3">
      <c r="A1409" s="2"/>
      <c r="B1409" s="65" t="str">
        <f t="shared" si="105"/>
        <v/>
      </c>
      <c r="C1409" s="65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66"/>
      <c r="F1409" s="67"/>
      <c r="G1409" s="60"/>
      <c r="H1409" s="60"/>
      <c r="I1409" s="61"/>
      <c r="J1409" s="61"/>
      <c r="K1409" s="61"/>
      <c r="L1409" s="73" t="str">
        <f t="shared" si="106"/>
        <v/>
      </c>
      <c r="M1409" s="65" t="str">
        <f t="shared" ca="1" si="107"/>
        <v/>
      </c>
      <c r="N1409" s="74" t="str">
        <f>IF($C1409="","",IF($C1409="TANIMSIZ MÜŞTERİ","—",INDEX(MUSTERILER!$C$7:$C$156,MATCH($C1409,MUSTERILER!$B$7:$B$156,0))))</f>
        <v/>
      </c>
      <c r="O1409" s="2"/>
      <c r="P1409" s="2"/>
      <c r="Q1409" s="1" t="str">
        <f>IF($D1409="","",$C1409&amp;"|"&amp;COUNTIFS($C$7:$C1409,$C1409))</f>
        <v/>
      </c>
      <c r="R1409" s="1" t="str">
        <f t="shared" si="108"/>
        <v/>
      </c>
      <c r="S1409" s="1" t="str">
        <f t="shared" si="109"/>
        <v/>
      </c>
      <c r="T1409" s="1">
        <f>IF($E1409="",0,SUMPRODUCT((AY_SONU!$O$7:$O$42="Evet")*(AY_SONU!$B$7:$B$42=DATE(YEAR($E1409),MONTH($E1409),1))))</f>
        <v>0</v>
      </c>
    </row>
    <row r="1410" spans="1:20" ht="18" customHeight="1" x14ac:dyDescent="0.3">
      <c r="A1410" s="2"/>
      <c r="B1410" s="65" t="str">
        <f t="shared" si="105"/>
        <v/>
      </c>
      <c r="C1410" s="65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66"/>
      <c r="F1410" s="67"/>
      <c r="G1410" s="60"/>
      <c r="H1410" s="60"/>
      <c r="I1410" s="61"/>
      <c r="J1410" s="61"/>
      <c r="K1410" s="61"/>
      <c r="L1410" s="73" t="str">
        <f t="shared" si="106"/>
        <v/>
      </c>
      <c r="M1410" s="65" t="str">
        <f t="shared" ca="1" si="107"/>
        <v/>
      </c>
      <c r="N1410" s="74" t="str">
        <f>IF($C1410="","",IF($C1410="TANIMSIZ MÜŞTERİ","—",INDEX(MUSTERILER!$C$7:$C$156,MATCH($C1410,MUSTERILER!$B$7:$B$156,0))))</f>
        <v/>
      </c>
      <c r="O1410" s="2"/>
      <c r="P1410" s="2"/>
      <c r="Q1410" s="1" t="str">
        <f>IF($D1410="","",$C1410&amp;"|"&amp;COUNTIFS($C$7:$C1410,$C1410))</f>
        <v/>
      </c>
      <c r="R1410" s="1" t="str">
        <f t="shared" si="108"/>
        <v/>
      </c>
      <c r="S1410" s="1" t="str">
        <f t="shared" si="109"/>
        <v/>
      </c>
      <c r="T1410" s="1">
        <f>IF($E1410="",0,SUMPRODUCT((AY_SONU!$O$7:$O$42="Evet")*(AY_SONU!$B$7:$B$42=DATE(YEAR($E1410),MONTH($E1410),1))))</f>
        <v>0</v>
      </c>
    </row>
    <row r="1411" spans="1:20" ht="18" customHeight="1" x14ac:dyDescent="0.3">
      <c r="A1411" s="2"/>
      <c r="B1411" s="65" t="str">
        <f t="shared" si="105"/>
        <v/>
      </c>
      <c r="C1411" s="65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66"/>
      <c r="F1411" s="67"/>
      <c r="G1411" s="60"/>
      <c r="H1411" s="60"/>
      <c r="I1411" s="61"/>
      <c r="J1411" s="61"/>
      <c r="K1411" s="61"/>
      <c r="L1411" s="73" t="str">
        <f t="shared" si="106"/>
        <v/>
      </c>
      <c r="M1411" s="65" t="str">
        <f t="shared" ca="1" si="107"/>
        <v/>
      </c>
      <c r="N1411" s="74" t="str">
        <f>IF($C1411="","",IF($C1411="TANIMSIZ MÜŞTERİ","—",INDEX(MUSTERILER!$C$7:$C$156,MATCH($C1411,MUSTERILER!$B$7:$B$156,0))))</f>
        <v/>
      </c>
      <c r="O1411" s="2"/>
      <c r="P1411" s="2"/>
      <c r="Q1411" s="1" t="str">
        <f>IF($D1411="","",$C1411&amp;"|"&amp;COUNTIFS($C$7:$C1411,$C1411))</f>
        <v/>
      </c>
      <c r="R1411" s="1" t="str">
        <f t="shared" si="108"/>
        <v/>
      </c>
      <c r="S1411" s="1" t="str">
        <f t="shared" si="109"/>
        <v/>
      </c>
      <c r="T1411" s="1">
        <f>IF($E1411="",0,SUMPRODUCT((AY_SONU!$O$7:$O$42="Evet")*(AY_SONU!$B$7:$B$42=DATE(YEAR($E1411),MONTH($E1411),1))))</f>
        <v>0</v>
      </c>
    </row>
    <row r="1412" spans="1:20" ht="18" customHeight="1" x14ac:dyDescent="0.3">
      <c r="A1412" s="2"/>
      <c r="B1412" s="65" t="str">
        <f t="shared" si="105"/>
        <v/>
      </c>
      <c r="C1412" s="65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66"/>
      <c r="F1412" s="67"/>
      <c r="G1412" s="60"/>
      <c r="H1412" s="60"/>
      <c r="I1412" s="61"/>
      <c r="J1412" s="61"/>
      <c r="K1412" s="61"/>
      <c r="L1412" s="73" t="str">
        <f t="shared" si="106"/>
        <v/>
      </c>
      <c r="M1412" s="65" t="str">
        <f t="shared" ca="1" si="107"/>
        <v/>
      </c>
      <c r="N1412" s="74" t="str">
        <f>IF($C1412="","",IF($C1412="TANIMSIZ MÜŞTERİ","—",INDEX(MUSTERILER!$C$7:$C$156,MATCH($C1412,MUSTERILER!$B$7:$B$156,0))))</f>
        <v/>
      </c>
      <c r="O1412" s="2"/>
      <c r="P1412" s="2"/>
      <c r="Q1412" s="1" t="str">
        <f>IF($D1412="","",$C1412&amp;"|"&amp;COUNTIFS($C$7:$C1412,$C1412))</f>
        <v/>
      </c>
      <c r="R1412" s="1" t="str">
        <f t="shared" si="108"/>
        <v/>
      </c>
      <c r="S1412" s="1" t="str">
        <f t="shared" si="109"/>
        <v/>
      </c>
      <c r="T1412" s="1">
        <f>IF($E1412="",0,SUMPRODUCT((AY_SONU!$O$7:$O$42="Evet")*(AY_SONU!$B$7:$B$42=DATE(YEAR($E1412),MONTH($E1412),1))))</f>
        <v>0</v>
      </c>
    </row>
    <row r="1413" spans="1:20" ht="18" customHeight="1" x14ac:dyDescent="0.3">
      <c r="A1413" s="2"/>
      <c r="B1413" s="65" t="str">
        <f t="shared" si="105"/>
        <v/>
      </c>
      <c r="C1413" s="65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66"/>
      <c r="F1413" s="67"/>
      <c r="G1413" s="60"/>
      <c r="H1413" s="60"/>
      <c r="I1413" s="61"/>
      <c r="J1413" s="61"/>
      <c r="K1413" s="61"/>
      <c r="L1413" s="73" t="str">
        <f t="shared" si="106"/>
        <v/>
      </c>
      <c r="M1413" s="65" t="str">
        <f t="shared" ca="1" si="107"/>
        <v/>
      </c>
      <c r="N1413" s="74" t="str">
        <f>IF($C1413="","",IF($C1413="TANIMSIZ MÜŞTERİ","—",INDEX(MUSTERILER!$C$7:$C$156,MATCH($C1413,MUSTERILER!$B$7:$B$156,0))))</f>
        <v/>
      </c>
      <c r="O1413" s="2"/>
      <c r="P1413" s="2"/>
      <c r="Q1413" s="1" t="str">
        <f>IF($D1413="","",$C1413&amp;"|"&amp;COUNTIFS($C$7:$C1413,$C1413))</f>
        <v/>
      </c>
      <c r="R1413" s="1" t="str">
        <f t="shared" si="108"/>
        <v/>
      </c>
      <c r="S1413" s="1" t="str">
        <f t="shared" si="109"/>
        <v/>
      </c>
      <c r="T1413" s="1">
        <f>IF($E1413="",0,SUMPRODUCT((AY_SONU!$O$7:$O$42="Evet")*(AY_SONU!$B$7:$B$42=DATE(YEAR($E1413),MONTH($E1413),1))))</f>
        <v>0</v>
      </c>
    </row>
    <row r="1414" spans="1:20" ht="18" customHeight="1" x14ac:dyDescent="0.3">
      <c r="A1414" s="2"/>
      <c r="B1414" s="65" t="str">
        <f t="shared" si="105"/>
        <v/>
      </c>
      <c r="C1414" s="65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66"/>
      <c r="F1414" s="67"/>
      <c r="G1414" s="60"/>
      <c r="H1414" s="60"/>
      <c r="I1414" s="61"/>
      <c r="J1414" s="61"/>
      <c r="K1414" s="61"/>
      <c r="L1414" s="73" t="str">
        <f t="shared" si="106"/>
        <v/>
      </c>
      <c r="M1414" s="65" t="str">
        <f t="shared" ca="1" si="107"/>
        <v/>
      </c>
      <c r="N1414" s="74" t="str">
        <f>IF($C1414="","",IF($C1414="TANIMSIZ MÜŞTERİ","—",INDEX(MUSTERILER!$C$7:$C$156,MATCH($C1414,MUSTERILER!$B$7:$B$156,0))))</f>
        <v/>
      </c>
      <c r="O1414" s="2"/>
      <c r="P1414" s="2"/>
      <c r="Q1414" s="1" t="str">
        <f>IF($D1414="","",$C1414&amp;"|"&amp;COUNTIFS($C$7:$C1414,$C1414))</f>
        <v/>
      </c>
      <c r="R1414" s="1" t="str">
        <f t="shared" si="108"/>
        <v/>
      </c>
      <c r="S1414" s="1" t="str">
        <f t="shared" si="109"/>
        <v/>
      </c>
      <c r="T1414" s="1">
        <f>IF($E1414="",0,SUMPRODUCT((AY_SONU!$O$7:$O$42="Evet")*(AY_SONU!$B$7:$B$42=DATE(YEAR($E1414),MONTH($E1414),1))))</f>
        <v>0</v>
      </c>
    </row>
    <row r="1415" spans="1:20" ht="18" customHeight="1" x14ac:dyDescent="0.3">
      <c r="A1415" s="2"/>
      <c r="B1415" s="65" t="str">
        <f t="shared" ref="B1415:B1478" si="110">IF($D1415="","","T"&amp;TEXT(ROW()-6,"00000"))</f>
        <v/>
      </c>
      <c r="C1415" s="65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66"/>
      <c r="F1415" s="67"/>
      <c r="G1415" s="60"/>
      <c r="H1415" s="60"/>
      <c r="I1415" s="61"/>
      <c r="J1415" s="61"/>
      <c r="K1415" s="61"/>
      <c r="L1415" s="73" t="str">
        <f t="shared" ref="L1415:L1478" si="111">IF($E1415="","",DATE(YEAR($E1415),MONTH($E1415),1))</f>
        <v/>
      </c>
      <c r="M1415" s="65" t="str">
        <f t="shared" ref="M1415:M1478" ca="1" si="112">IF($D1415="","",IF($C1415="TANIMSIZ MÜŞTERİ","HATA",IF(OR($E1415="",$F1415&lt;=0,$G1415=""),"EKSİK",IF($E1415&gt;TODAY(),"İLERİ TARİH",IF(COUNTIF($S$7:$S$2506,$S1415)&gt;1,"MÜKERRER?",IF($T1415&gt;0,"KAPALI DÖNEM","UYGUN"))))))</f>
        <v/>
      </c>
      <c r="N1415" s="74" t="str">
        <f>IF($C1415="","",IF($C1415="TANIMSIZ MÜŞTERİ","—",INDEX(MUSTERILER!$C$7:$C$156,MATCH($C1415,MUSTERILER!$B$7:$B$156,0))))</f>
        <v/>
      </c>
      <c r="O1415" s="2"/>
      <c r="P1415" s="2"/>
      <c r="Q1415" s="1" t="str">
        <f>IF($D1415="","",$C1415&amp;"|"&amp;COUNTIFS($C$7:$C1415,$C1415))</f>
        <v/>
      </c>
      <c r="R1415" s="1" t="str">
        <f t="shared" ref="R1415:R1478" si="113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 t="str">
        <f t="shared" ref="S1415:S1478" si="114"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>0</v>
      </c>
    </row>
    <row r="1416" spans="1:20" ht="18" customHeight="1" x14ac:dyDescent="0.3">
      <c r="A1416" s="2"/>
      <c r="B1416" s="65" t="str">
        <f t="shared" si="110"/>
        <v/>
      </c>
      <c r="C1416" s="65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66"/>
      <c r="F1416" s="67"/>
      <c r="G1416" s="60"/>
      <c r="H1416" s="60"/>
      <c r="I1416" s="61"/>
      <c r="J1416" s="61"/>
      <c r="K1416" s="61"/>
      <c r="L1416" s="73" t="str">
        <f t="shared" si="111"/>
        <v/>
      </c>
      <c r="M1416" s="65" t="str">
        <f t="shared" ca="1" si="112"/>
        <v/>
      </c>
      <c r="N1416" s="74" t="str">
        <f>IF($C1416="","",IF($C1416="TANIMSIZ MÜŞTERİ","—",INDEX(MUSTERILER!$C$7:$C$156,MATCH($C1416,MUSTERILER!$B$7:$B$156,0))))</f>
        <v/>
      </c>
      <c r="O1416" s="2"/>
      <c r="P1416" s="2"/>
      <c r="Q1416" s="1" t="str">
        <f>IF($D1416="","",$C1416&amp;"|"&amp;COUNTIFS($C$7:$C1416,$C1416))</f>
        <v/>
      </c>
      <c r="R1416" s="1" t="str">
        <f t="shared" si="113"/>
        <v/>
      </c>
      <c r="S1416" s="1" t="str">
        <f t="shared" si="114"/>
        <v/>
      </c>
      <c r="T1416" s="1">
        <f>IF($E1416="",0,SUMPRODUCT((AY_SONU!$O$7:$O$42="Evet")*(AY_SONU!$B$7:$B$42=DATE(YEAR($E1416),MONTH($E1416),1))))</f>
        <v>0</v>
      </c>
    </row>
    <row r="1417" spans="1:20" ht="18" customHeight="1" x14ac:dyDescent="0.3">
      <c r="A1417" s="2"/>
      <c r="B1417" s="65" t="str">
        <f t="shared" si="110"/>
        <v/>
      </c>
      <c r="C1417" s="65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66"/>
      <c r="F1417" s="67"/>
      <c r="G1417" s="60"/>
      <c r="H1417" s="60"/>
      <c r="I1417" s="61"/>
      <c r="J1417" s="61"/>
      <c r="K1417" s="61"/>
      <c r="L1417" s="73" t="str">
        <f t="shared" si="111"/>
        <v/>
      </c>
      <c r="M1417" s="65" t="str">
        <f t="shared" ca="1" si="112"/>
        <v/>
      </c>
      <c r="N1417" s="74" t="str">
        <f>IF($C1417="","",IF($C1417="TANIMSIZ MÜŞTERİ","—",INDEX(MUSTERILER!$C$7:$C$156,MATCH($C1417,MUSTERILER!$B$7:$B$156,0))))</f>
        <v/>
      </c>
      <c r="O1417" s="2"/>
      <c r="P1417" s="2"/>
      <c r="Q1417" s="1" t="str">
        <f>IF($D1417="","",$C1417&amp;"|"&amp;COUNTIFS($C$7:$C1417,$C1417))</f>
        <v/>
      </c>
      <c r="R1417" s="1" t="str">
        <f t="shared" si="113"/>
        <v/>
      </c>
      <c r="S1417" s="1" t="str">
        <f t="shared" si="114"/>
        <v/>
      </c>
      <c r="T1417" s="1">
        <f>IF($E1417="",0,SUMPRODUCT((AY_SONU!$O$7:$O$42="Evet")*(AY_SONU!$B$7:$B$42=DATE(YEAR($E1417),MONTH($E1417),1))))</f>
        <v>0</v>
      </c>
    </row>
    <row r="1418" spans="1:20" ht="18" customHeight="1" x14ac:dyDescent="0.3">
      <c r="A1418" s="2"/>
      <c r="B1418" s="65" t="str">
        <f t="shared" si="110"/>
        <v/>
      </c>
      <c r="C1418" s="65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66"/>
      <c r="F1418" s="67"/>
      <c r="G1418" s="60"/>
      <c r="H1418" s="60"/>
      <c r="I1418" s="61"/>
      <c r="J1418" s="61"/>
      <c r="K1418" s="61"/>
      <c r="L1418" s="73" t="str">
        <f t="shared" si="111"/>
        <v/>
      </c>
      <c r="M1418" s="65" t="str">
        <f t="shared" ca="1" si="112"/>
        <v/>
      </c>
      <c r="N1418" s="74" t="str">
        <f>IF($C1418="","",IF($C1418="TANIMSIZ MÜŞTERİ","—",INDEX(MUSTERILER!$C$7:$C$156,MATCH($C1418,MUSTERILER!$B$7:$B$156,0))))</f>
        <v/>
      </c>
      <c r="O1418" s="2"/>
      <c r="P1418" s="2"/>
      <c r="Q1418" s="1" t="str">
        <f>IF($D1418="","",$C1418&amp;"|"&amp;COUNTIFS($C$7:$C1418,$C1418))</f>
        <v/>
      </c>
      <c r="R1418" s="1" t="str">
        <f t="shared" si="113"/>
        <v/>
      </c>
      <c r="S1418" s="1" t="str">
        <f t="shared" si="114"/>
        <v/>
      </c>
      <c r="T1418" s="1">
        <f>IF($E1418="",0,SUMPRODUCT((AY_SONU!$O$7:$O$42="Evet")*(AY_SONU!$B$7:$B$42=DATE(YEAR($E1418),MONTH($E1418),1))))</f>
        <v>0</v>
      </c>
    </row>
    <row r="1419" spans="1:20" ht="18" customHeight="1" x14ac:dyDescent="0.3">
      <c r="A1419" s="2"/>
      <c r="B1419" s="65" t="str">
        <f t="shared" si="110"/>
        <v/>
      </c>
      <c r="C1419" s="65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66"/>
      <c r="F1419" s="67"/>
      <c r="G1419" s="60"/>
      <c r="H1419" s="60"/>
      <c r="I1419" s="61"/>
      <c r="J1419" s="61"/>
      <c r="K1419" s="61"/>
      <c r="L1419" s="73" t="str">
        <f t="shared" si="111"/>
        <v/>
      </c>
      <c r="M1419" s="65" t="str">
        <f t="shared" ca="1" si="112"/>
        <v/>
      </c>
      <c r="N1419" s="74" t="str">
        <f>IF($C1419="","",IF($C1419="TANIMSIZ MÜŞTERİ","—",INDEX(MUSTERILER!$C$7:$C$156,MATCH($C1419,MUSTERILER!$B$7:$B$156,0))))</f>
        <v/>
      </c>
      <c r="O1419" s="2"/>
      <c r="P1419" s="2"/>
      <c r="Q1419" s="1" t="str">
        <f>IF($D1419="","",$C1419&amp;"|"&amp;COUNTIFS($C$7:$C1419,$C1419))</f>
        <v/>
      </c>
      <c r="R1419" s="1" t="str">
        <f t="shared" si="113"/>
        <v/>
      </c>
      <c r="S1419" s="1" t="str">
        <f t="shared" si="114"/>
        <v/>
      </c>
      <c r="T1419" s="1">
        <f>IF($E1419="",0,SUMPRODUCT((AY_SONU!$O$7:$O$42="Evet")*(AY_SONU!$B$7:$B$42=DATE(YEAR($E1419),MONTH($E1419),1))))</f>
        <v>0</v>
      </c>
    </row>
    <row r="1420" spans="1:20" ht="18" customHeight="1" x14ac:dyDescent="0.3">
      <c r="A1420" s="2"/>
      <c r="B1420" s="65" t="str">
        <f t="shared" si="110"/>
        <v/>
      </c>
      <c r="C1420" s="65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66"/>
      <c r="F1420" s="67"/>
      <c r="G1420" s="60"/>
      <c r="H1420" s="60"/>
      <c r="I1420" s="61"/>
      <c r="J1420" s="61"/>
      <c r="K1420" s="61"/>
      <c r="L1420" s="73" t="str">
        <f t="shared" si="111"/>
        <v/>
      </c>
      <c r="M1420" s="65" t="str">
        <f t="shared" ca="1" si="112"/>
        <v/>
      </c>
      <c r="N1420" s="74" t="str">
        <f>IF($C1420="","",IF($C1420="TANIMSIZ MÜŞTERİ","—",INDEX(MUSTERILER!$C$7:$C$156,MATCH($C1420,MUSTERILER!$B$7:$B$156,0))))</f>
        <v/>
      </c>
      <c r="O1420" s="2"/>
      <c r="P1420" s="2"/>
      <c r="Q1420" s="1" t="str">
        <f>IF($D1420="","",$C1420&amp;"|"&amp;COUNTIFS($C$7:$C1420,$C1420))</f>
        <v/>
      </c>
      <c r="R1420" s="1" t="str">
        <f t="shared" si="113"/>
        <v/>
      </c>
      <c r="S1420" s="1" t="str">
        <f t="shared" si="114"/>
        <v/>
      </c>
      <c r="T1420" s="1">
        <f>IF($E1420="",0,SUMPRODUCT((AY_SONU!$O$7:$O$42="Evet")*(AY_SONU!$B$7:$B$42=DATE(YEAR($E1420),MONTH($E1420),1))))</f>
        <v>0</v>
      </c>
    </row>
    <row r="1421" spans="1:20" ht="18" customHeight="1" x14ac:dyDescent="0.3">
      <c r="A1421" s="2"/>
      <c r="B1421" s="65" t="str">
        <f t="shared" si="110"/>
        <v/>
      </c>
      <c r="C1421" s="65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66"/>
      <c r="F1421" s="67"/>
      <c r="G1421" s="60"/>
      <c r="H1421" s="60"/>
      <c r="I1421" s="61"/>
      <c r="J1421" s="61"/>
      <c r="K1421" s="61"/>
      <c r="L1421" s="73" t="str">
        <f t="shared" si="111"/>
        <v/>
      </c>
      <c r="M1421" s="65" t="str">
        <f t="shared" ca="1" si="112"/>
        <v/>
      </c>
      <c r="N1421" s="74" t="str">
        <f>IF($C1421="","",IF($C1421="TANIMSIZ MÜŞTERİ","—",INDEX(MUSTERILER!$C$7:$C$156,MATCH($C1421,MUSTERILER!$B$7:$B$156,0))))</f>
        <v/>
      </c>
      <c r="O1421" s="2"/>
      <c r="P1421" s="2"/>
      <c r="Q1421" s="1" t="str">
        <f>IF($D1421="","",$C1421&amp;"|"&amp;COUNTIFS($C$7:$C1421,$C1421))</f>
        <v/>
      </c>
      <c r="R1421" s="1" t="str">
        <f t="shared" si="113"/>
        <v/>
      </c>
      <c r="S1421" s="1" t="str">
        <f t="shared" si="114"/>
        <v/>
      </c>
      <c r="T1421" s="1">
        <f>IF($E1421="",0,SUMPRODUCT((AY_SONU!$O$7:$O$42="Evet")*(AY_SONU!$B$7:$B$42=DATE(YEAR($E1421),MONTH($E1421),1))))</f>
        <v>0</v>
      </c>
    </row>
    <row r="1422" spans="1:20" ht="18" customHeight="1" x14ac:dyDescent="0.3">
      <c r="A1422" s="2"/>
      <c r="B1422" s="65" t="str">
        <f t="shared" si="110"/>
        <v/>
      </c>
      <c r="C1422" s="65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66"/>
      <c r="F1422" s="67"/>
      <c r="G1422" s="60"/>
      <c r="H1422" s="60"/>
      <c r="I1422" s="61"/>
      <c r="J1422" s="61"/>
      <c r="K1422" s="61"/>
      <c r="L1422" s="73" t="str">
        <f t="shared" si="111"/>
        <v/>
      </c>
      <c r="M1422" s="65" t="str">
        <f t="shared" ca="1" si="112"/>
        <v/>
      </c>
      <c r="N1422" s="74" t="str">
        <f>IF($C1422="","",IF($C1422="TANIMSIZ MÜŞTERİ","—",INDEX(MUSTERILER!$C$7:$C$156,MATCH($C1422,MUSTERILER!$B$7:$B$156,0))))</f>
        <v/>
      </c>
      <c r="O1422" s="2"/>
      <c r="P1422" s="2"/>
      <c r="Q1422" s="1" t="str">
        <f>IF($D1422="","",$C1422&amp;"|"&amp;COUNTIFS($C$7:$C1422,$C1422))</f>
        <v/>
      </c>
      <c r="R1422" s="1" t="str">
        <f t="shared" si="113"/>
        <v/>
      </c>
      <c r="S1422" s="1" t="str">
        <f t="shared" si="114"/>
        <v/>
      </c>
      <c r="T1422" s="1">
        <f>IF($E1422="",0,SUMPRODUCT((AY_SONU!$O$7:$O$42="Evet")*(AY_SONU!$B$7:$B$42=DATE(YEAR($E1422),MONTH($E1422),1))))</f>
        <v>0</v>
      </c>
    </row>
    <row r="1423" spans="1:20" ht="18" customHeight="1" x14ac:dyDescent="0.3">
      <c r="A1423" s="2"/>
      <c r="B1423" s="65" t="str">
        <f t="shared" si="110"/>
        <v/>
      </c>
      <c r="C1423" s="65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66"/>
      <c r="F1423" s="67"/>
      <c r="G1423" s="60"/>
      <c r="H1423" s="60"/>
      <c r="I1423" s="61"/>
      <c r="J1423" s="61"/>
      <c r="K1423" s="61"/>
      <c r="L1423" s="73" t="str">
        <f t="shared" si="111"/>
        <v/>
      </c>
      <c r="M1423" s="65" t="str">
        <f t="shared" ca="1" si="112"/>
        <v/>
      </c>
      <c r="N1423" s="74" t="str">
        <f>IF($C1423="","",IF($C1423="TANIMSIZ MÜŞTERİ","—",INDEX(MUSTERILER!$C$7:$C$156,MATCH($C1423,MUSTERILER!$B$7:$B$156,0))))</f>
        <v/>
      </c>
      <c r="O1423" s="2"/>
      <c r="P1423" s="2"/>
      <c r="Q1423" s="1" t="str">
        <f>IF($D1423="","",$C1423&amp;"|"&amp;COUNTIFS($C$7:$C1423,$C1423))</f>
        <v/>
      </c>
      <c r="R1423" s="1" t="str">
        <f t="shared" si="113"/>
        <v/>
      </c>
      <c r="S1423" s="1" t="str">
        <f t="shared" si="114"/>
        <v/>
      </c>
      <c r="T1423" s="1">
        <f>IF($E1423="",0,SUMPRODUCT((AY_SONU!$O$7:$O$42="Evet")*(AY_SONU!$B$7:$B$42=DATE(YEAR($E1423),MONTH($E1423),1))))</f>
        <v>0</v>
      </c>
    </row>
    <row r="1424" spans="1:20" ht="18" customHeight="1" x14ac:dyDescent="0.3">
      <c r="A1424" s="2"/>
      <c r="B1424" s="65" t="str">
        <f t="shared" si="110"/>
        <v/>
      </c>
      <c r="C1424" s="65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66"/>
      <c r="F1424" s="67"/>
      <c r="G1424" s="60"/>
      <c r="H1424" s="60"/>
      <c r="I1424" s="61"/>
      <c r="J1424" s="61"/>
      <c r="K1424" s="61"/>
      <c r="L1424" s="73" t="str">
        <f t="shared" si="111"/>
        <v/>
      </c>
      <c r="M1424" s="65" t="str">
        <f t="shared" ca="1" si="112"/>
        <v/>
      </c>
      <c r="N1424" s="74" t="str">
        <f>IF($C1424="","",IF($C1424="TANIMSIZ MÜŞTERİ","—",INDEX(MUSTERILER!$C$7:$C$156,MATCH($C1424,MUSTERILER!$B$7:$B$156,0))))</f>
        <v/>
      </c>
      <c r="O1424" s="2"/>
      <c r="P1424" s="2"/>
      <c r="Q1424" s="1" t="str">
        <f>IF($D1424="","",$C1424&amp;"|"&amp;COUNTIFS($C$7:$C1424,$C1424))</f>
        <v/>
      </c>
      <c r="R1424" s="1" t="str">
        <f t="shared" si="113"/>
        <v/>
      </c>
      <c r="S1424" s="1" t="str">
        <f t="shared" si="114"/>
        <v/>
      </c>
      <c r="T1424" s="1">
        <f>IF($E1424="",0,SUMPRODUCT((AY_SONU!$O$7:$O$42="Evet")*(AY_SONU!$B$7:$B$42=DATE(YEAR($E1424),MONTH($E1424),1))))</f>
        <v>0</v>
      </c>
    </row>
    <row r="1425" spans="1:20" ht="18" customHeight="1" x14ac:dyDescent="0.3">
      <c r="A1425" s="2"/>
      <c r="B1425" s="65" t="str">
        <f t="shared" si="110"/>
        <v/>
      </c>
      <c r="C1425" s="65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66"/>
      <c r="F1425" s="67"/>
      <c r="G1425" s="60"/>
      <c r="H1425" s="60"/>
      <c r="I1425" s="61"/>
      <c r="J1425" s="61"/>
      <c r="K1425" s="61"/>
      <c r="L1425" s="73" t="str">
        <f t="shared" si="111"/>
        <v/>
      </c>
      <c r="M1425" s="65" t="str">
        <f t="shared" ca="1" si="112"/>
        <v/>
      </c>
      <c r="N1425" s="74" t="str">
        <f>IF($C1425="","",IF($C1425="TANIMSIZ MÜŞTERİ","—",INDEX(MUSTERILER!$C$7:$C$156,MATCH($C1425,MUSTERILER!$B$7:$B$156,0))))</f>
        <v/>
      </c>
      <c r="O1425" s="2"/>
      <c r="P1425" s="2"/>
      <c r="Q1425" s="1" t="str">
        <f>IF($D1425="","",$C1425&amp;"|"&amp;COUNTIFS($C$7:$C1425,$C1425))</f>
        <v/>
      </c>
      <c r="R1425" s="1" t="str">
        <f t="shared" si="113"/>
        <v/>
      </c>
      <c r="S1425" s="1" t="str">
        <f t="shared" si="114"/>
        <v/>
      </c>
      <c r="T1425" s="1">
        <f>IF($E1425="",0,SUMPRODUCT((AY_SONU!$O$7:$O$42="Evet")*(AY_SONU!$B$7:$B$42=DATE(YEAR($E1425),MONTH($E1425),1))))</f>
        <v>0</v>
      </c>
    </row>
    <row r="1426" spans="1:20" ht="18" customHeight="1" x14ac:dyDescent="0.3">
      <c r="A1426" s="2"/>
      <c r="B1426" s="65" t="str">
        <f t="shared" si="110"/>
        <v/>
      </c>
      <c r="C1426" s="65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66"/>
      <c r="F1426" s="67"/>
      <c r="G1426" s="60"/>
      <c r="H1426" s="60"/>
      <c r="I1426" s="61"/>
      <c r="J1426" s="61"/>
      <c r="K1426" s="61"/>
      <c r="L1426" s="73" t="str">
        <f t="shared" si="111"/>
        <v/>
      </c>
      <c r="M1426" s="65" t="str">
        <f t="shared" ca="1" si="112"/>
        <v/>
      </c>
      <c r="N1426" s="74" t="str">
        <f>IF($C1426="","",IF($C1426="TANIMSIZ MÜŞTERİ","—",INDEX(MUSTERILER!$C$7:$C$156,MATCH($C1426,MUSTERILER!$B$7:$B$156,0))))</f>
        <v/>
      </c>
      <c r="O1426" s="2"/>
      <c r="P1426" s="2"/>
      <c r="Q1426" s="1" t="str">
        <f>IF($D1426="","",$C1426&amp;"|"&amp;COUNTIFS($C$7:$C1426,$C1426))</f>
        <v/>
      </c>
      <c r="R1426" s="1" t="str">
        <f t="shared" si="113"/>
        <v/>
      </c>
      <c r="S1426" s="1" t="str">
        <f t="shared" si="114"/>
        <v/>
      </c>
      <c r="T1426" s="1">
        <f>IF($E1426="",0,SUMPRODUCT((AY_SONU!$O$7:$O$42="Evet")*(AY_SONU!$B$7:$B$42=DATE(YEAR($E1426),MONTH($E1426),1))))</f>
        <v>0</v>
      </c>
    </row>
    <row r="1427" spans="1:20" ht="18" customHeight="1" x14ac:dyDescent="0.3">
      <c r="A1427" s="2"/>
      <c r="B1427" s="65" t="str">
        <f t="shared" si="110"/>
        <v/>
      </c>
      <c r="C1427" s="65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66"/>
      <c r="F1427" s="67"/>
      <c r="G1427" s="60"/>
      <c r="H1427" s="60"/>
      <c r="I1427" s="61"/>
      <c r="J1427" s="61"/>
      <c r="K1427" s="61"/>
      <c r="L1427" s="73" t="str">
        <f t="shared" si="111"/>
        <v/>
      </c>
      <c r="M1427" s="65" t="str">
        <f t="shared" ca="1" si="112"/>
        <v/>
      </c>
      <c r="N1427" s="74" t="str">
        <f>IF($C1427="","",IF($C1427="TANIMSIZ MÜŞTERİ","—",INDEX(MUSTERILER!$C$7:$C$156,MATCH($C1427,MUSTERILER!$B$7:$B$156,0))))</f>
        <v/>
      </c>
      <c r="O1427" s="2"/>
      <c r="P1427" s="2"/>
      <c r="Q1427" s="1" t="str">
        <f>IF($D1427="","",$C1427&amp;"|"&amp;COUNTIFS($C$7:$C1427,$C1427))</f>
        <v/>
      </c>
      <c r="R1427" s="1" t="str">
        <f t="shared" si="113"/>
        <v/>
      </c>
      <c r="S1427" s="1" t="str">
        <f t="shared" si="114"/>
        <v/>
      </c>
      <c r="T1427" s="1">
        <f>IF($E1427="",0,SUMPRODUCT((AY_SONU!$O$7:$O$42="Evet")*(AY_SONU!$B$7:$B$42=DATE(YEAR($E1427),MONTH($E1427),1))))</f>
        <v>0</v>
      </c>
    </row>
    <row r="1428" spans="1:20" ht="18" customHeight="1" x14ac:dyDescent="0.3">
      <c r="A1428" s="2"/>
      <c r="B1428" s="65" t="str">
        <f t="shared" si="110"/>
        <v/>
      </c>
      <c r="C1428" s="65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66"/>
      <c r="F1428" s="67"/>
      <c r="G1428" s="60"/>
      <c r="H1428" s="60"/>
      <c r="I1428" s="61"/>
      <c r="J1428" s="61"/>
      <c r="K1428" s="61"/>
      <c r="L1428" s="73" t="str">
        <f t="shared" si="111"/>
        <v/>
      </c>
      <c r="M1428" s="65" t="str">
        <f t="shared" ca="1" si="112"/>
        <v/>
      </c>
      <c r="N1428" s="74" t="str">
        <f>IF($C1428="","",IF($C1428="TANIMSIZ MÜŞTERİ","—",INDEX(MUSTERILER!$C$7:$C$156,MATCH($C1428,MUSTERILER!$B$7:$B$156,0))))</f>
        <v/>
      </c>
      <c r="O1428" s="2"/>
      <c r="P1428" s="2"/>
      <c r="Q1428" s="1" t="str">
        <f>IF($D1428="","",$C1428&amp;"|"&amp;COUNTIFS($C$7:$C1428,$C1428))</f>
        <v/>
      </c>
      <c r="R1428" s="1" t="str">
        <f t="shared" si="113"/>
        <v/>
      </c>
      <c r="S1428" s="1" t="str">
        <f t="shared" si="114"/>
        <v/>
      </c>
      <c r="T1428" s="1">
        <f>IF($E1428="",0,SUMPRODUCT((AY_SONU!$O$7:$O$42="Evet")*(AY_SONU!$B$7:$B$42=DATE(YEAR($E1428),MONTH($E1428),1))))</f>
        <v>0</v>
      </c>
    </row>
    <row r="1429" spans="1:20" ht="18" customHeight="1" x14ac:dyDescent="0.3">
      <c r="A1429" s="2"/>
      <c r="B1429" s="65" t="str">
        <f t="shared" si="110"/>
        <v/>
      </c>
      <c r="C1429" s="65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66"/>
      <c r="F1429" s="67"/>
      <c r="G1429" s="60"/>
      <c r="H1429" s="60"/>
      <c r="I1429" s="61"/>
      <c r="J1429" s="61"/>
      <c r="K1429" s="61"/>
      <c r="L1429" s="73" t="str">
        <f t="shared" si="111"/>
        <v/>
      </c>
      <c r="M1429" s="65" t="str">
        <f t="shared" ca="1" si="112"/>
        <v/>
      </c>
      <c r="N1429" s="74" t="str">
        <f>IF($C1429="","",IF($C1429="TANIMSIZ MÜŞTERİ","—",INDEX(MUSTERILER!$C$7:$C$156,MATCH($C1429,MUSTERILER!$B$7:$B$156,0))))</f>
        <v/>
      </c>
      <c r="O1429" s="2"/>
      <c r="P1429" s="2"/>
      <c r="Q1429" s="1" t="str">
        <f>IF($D1429="","",$C1429&amp;"|"&amp;COUNTIFS($C$7:$C1429,$C1429))</f>
        <v/>
      </c>
      <c r="R1429" s="1" t="str">
        <f t="shared" si="113"/>
        <v/>
      </c>
      <c r="S1429" s="1" t="str">
        <f t="shared" si="114"/>
        <v/>
      </c>
      <c r="T1429" s="1">
        <f>IF($E1429="",0,SUMPRODUCT((AY_SONU!$O$7:$O$42="Evet")*(AY_SONU!$B$7:$B$42=DATE(YEAR($E1429),MONTH($E1429),1))))</f>
        <v>0</v>
      </c>
    </row>
    <row r="1430" spans="1:20" ht="18" customHeight="1" x14ac:dyDescent="0.3">
      <c r="A1430" s="2"/>
      <c r="B1430" s="65" t="str">
        <f t="shared" si="110"/>
        <v/>
      </c>
      <c r="C1430" s="65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66"/>
      <c r="F1430" s="67"/>
      <c r="G1430" s="60"/>
      <c r="H1430" s="60"/>
      <c r="I1430" s="61"/>
      <c r="J1430" s="61"/>
      <c r="K1430" s="61"/>
      <c r="L1430" s="73" t="str">
        <f t="shared" si="111"/>
        <v/>
      </c>
      <c r="M1430" s="65" t="str">
        <f t="shared" ca="1" si="112"/>
        <v/>
      </c>
      <c r="N1430" s="74" t="str">
        <f>IF($C1430="","",IF($C1430="TANIMSIZ MÜŞTERİ","—",INDEX(MUSTERILER!$C$7:$C$156,MATCH($C1430,MUSTERILER!$B$7:$B$156,0))))</f>
        <v/>
      </c>
      <c r="O1430" s="2"/>
      <c r="P1430" s="2"/>
      <c r="Q1430" s="1" t="str">
        <f>IF($D1430="","",$C1430&amp;"|"&amp;COUNTIFS($C$7:$C1430,$C1430))</f>
        <v/>
      </c>
      <c r="R1430" s="1" t="str">
        <f t="shared" si="113"/>
        <v/>
      </c>
      <c r="S1430" s="1" t="str">
        <f t="shared" si="114"/>
        <v/>
      </c>
      <c r="T1430" s="1">
        <f>IF($E1430="",0,SUMPRODUCT((AY_SONU!$O$7:$O$42="Evet")*(AY_SONU!$B$7:$B$42=DATE(YEAR($E1430),MONTH($E1430),1))))</f>
        <v>0</v>
      </c>
    </row>
    <row r="1431" spans="1:20" ht="18" customHeight="1" x14ac:dyDescent="0.3">
      <c r="A1431" s="2"/>
      <c r="B1431" s="65" t="str">
        <f t="shared" si="110"/>
        <v/>
      </c>
      <c r="C1431" s="65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66"/>
      <c r="F1431" s="67"/>
      <c r="G1431" s="60"/>
      <c r="H1431" s="60"/>
      <c r="I1431" s="61"/>
      <c r="J1431" s="61"/>
      <c r="K1431" s="61"/>
      <c r="L1431" s="73" t="str">
        <f t="shared" si="111"/>
        <v/>
      </c>
      <c r="M1431" s="65" t="str">
        <f t="shared" ca="1" si="112"/>
        <v/>
      </c>
      <c r="N1431" s="74" t="str">
        <f>IF($C1431="","",IF($C1431="TANIMSIZ MÜŞTERİ","—",INDEX(MUSTERILER!$C$7:$C$156,MATCH($C1431,MUSTERILER!$B$7:$B$156,0))))</f>
        <v/>
      </c>
      <c r="O1431" s="2"/>
      <c r="P1431" s="2"/>
      <c r="Q1431" s="1" t="str">
        <f>IF($D1431="","",$C1431&amp;"|"&amp;COUNTIFS($C$7:$C1431,$C1431))</f>
        <v/>
      </c>
      <c r="R1431" s="1" t="str">
        <f t="shared" si="113"/>
        <v/>
      </c>
      <c r="S1431" s="1" t="str">
        <f t="shared" si="114"/>
        <v/>
      </c>
      <c r="T1431" s="1">
        <f>IF($E1431="",0,SUMPRODUCT((AY_SONU!$O$7:$O$42="Evet")*(AY_SONU!$B$7:$B$42=DATE(YEAR($E1431),MONTH($E1431),1))))</f>
        <v>0</v>
      </c>
    </row>
    <row r="1432" spans="1:20" ht="18" customHeight="1" x14ac:dyDescent="0.3">
      <c r="A1432" s="2"/>
      <c r="B1432" s="65" t="str">
        <f t="shared" si="110"/>
        <v/>
      </c>
      <c r="C1432" s="65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66"/>
      <c r="F1432" s="67"/>
      <c r="G1432" s="60"/>
      <c r="H1432" s="60"/>
      <c r="I1432" s="61"/>
      <c r="J1432" s="61"/>
      <c r="K1432" s="61"/>
      <c r="L1432" s="73" t="str">
        <f t="shared" si="111"/>
        <v/>
      </c>
      <c r="M1432" s="65" t="str">
        <f t="shared" ca="1" si="112"/>
        <v/>
      </c>
      <c r="N1432" s="74" t="str">
        <f>IF($C1432="","",IF($C1432="TANIMSIZ MÜŞTERİ","—",INDEX(MUSTERILER!$C$7:$C$156,MATCH($C1432,MUSTERILER!$B$7:$B$156,0))))</f>
        <v/>
      </c>
      <c r="O1432" s="2"/>
      <c r="P1432" s="2"/>
      <c r="Q1432" s="1" t="str">
        <f>IF($D1432="","",$C1432&amp;"|"&amp;COUNTIFS($C$7:$C1432,$C1432))</f>
        <v/>
      </c>
      <c r="R1432" s="1" t="str">
        <f t="shared" si="113"/>
        <v/>
      </c>
      <c r="S1432" s="1" t="str">
        <f t="shared" si="114"/>
        <v/>
      </c>
      <c r="T1432" s="1">
        <f>IF($E1432="",0,SUMPRODUCT((AY_SONU!$O$7:$O$42="Evet")*(AY_SONU!$B$7:$B$42=DATE(YEAR($E1432),MONTH($E1432),1))))</f>
        <v>0</v>
      </c>
    </row>
    <row r="1433" spans="1:20" ht="18" customHeight="1" x14ac:dyDescent="0.3">
      <c r="A1433" s="2"/>
      <c r="B1433" s="65" t="str">
        <f t="shared" si="110"/>
        <v/>
      </c>
      <c r="C1433" s="65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66"/>
      <c r="F1433" s="67"/>
      <c r="G1433" s="60"/>
      <c r="H1433" s="60"/>
      <c r="I1433" s="61"/>
      <c r="J1433" s="61"/>
      <c r="K1433" s="61"/>
      <c r="L1433" s="73" t="str">
        <f t="shared" si="111"/>
        <v/>
      </c>
      <c r="M1433" s="65" t="str">
        <f t="shared" ca="1" si="112"/>
        <v/>
      </c>
      <c r="N1433" s="74" t="str">
        <f>IF($C1433="","",IF($C1433="TANIMSIZ MÜŞTERİ","—",INDEX(MUSTERILER!$C$7:$C$156,MATCH($C1433,MUSTERILER!$B$7:$B$156,0))))</f>
        <v/>
      </c>
      <c r="O1433" s="2"/>
      <c r="P1433" s="2"/>
      <c r="Q1433" s="1" t="str">
        <f>IF($D1433="","",$C1433&amp;"|"&amp;COUNTIFS($C$7:$C1433,$C1433))</f>
        <v/>
      </c>
      <c r="R1433" s="1" t="str">
        <f t="shared" si="113"/>
        <v/>
      </c>
      <c r="S1433" s="1" t="str">
        <f t="shared" si="114"/>
        <v/>
      </c>
      <c r="T1433" s="1">
        <f>IF($E1433="",0,SUMPRODUCT((AY_SONU!$O$7:$O$42="Evet")*(AY_SONU!$B$7:$B$42=DATE(YEAR($E1433),MONTH($E1433),1))))</f>
        <v>0</v>
      </c>
    </row>
    <row r="1434" spans="1:20" ht="18" customHeight="1" x14ac:dyDescent="0.3">
      <c r="A1434" s="2"/>
      <c r="B1434" s="65" t="str">
        <f t="shared" si="110"/>
        <v/>
      </c>
      <c r="C1434" s="65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66"/>
      <c r="F1434" s="67"/>
      <c r="G1434" s="60"/>
      <c r="H1434" s="60"/>
      <c r="I1434" s="61"/>
      <c r="J1434" s="61"/>
      <c r="K1434" s="61"/>
      <c r="L1434" s="73" t="str">
        <f t="shared" si="111"/>
        <v/>
      </c>
      <c r="M1434" s="65" t="str">
        <f t="shared" ca="1" si="112"/>
        <v/>
      </c>
      <c r="N1434" s="74" t="str">
        <f>IF($C1434="","",IF($C1434="TANIMSIZ MÜŞTERİ","—",INDEX(MUSTERILER!$C$7:$C$156,MATCH($C1434,MUSTERILER!$B$7:$B$156,0))))</f>
        <v/>
      </c>
      <c r="O1434" s="2"/>
      <c r="P1434" s="2"/>
      <c r="Q1434" s="1" t="str">
        <f>IF($D1434="","",$C1434&amp;"|"&amp;COUNTIFS($C$7:$C1434,$C1434))</f>
        <v/>
      </c>
      <c r="R1434" s="1" t="str">
        <f t="shared" si="113"/>
        <v/>
      </c>
      <c r="S1434" s="1" t="str">
        <f t="shared" si="114"/>
        <v/>
      </c>
      <c r="T1434" s="1">
        <f>IF($E1434="",0,SUMPRODUCT((AY_SONU!$O$7:$O$42="Evet")*(AY_SONU!$B$7:$B$42=DATE(YEAR($E1434),MONTH($E1434),1))))</f>
        <v>0</v>
      </c>
    </row>
    <row r="1435" spans="1:20" ht="18" customHeight="1" x14ac:dyDescent="0.3">
      <c r="A1435" s="2"/>
      <c r="B1435" s="65" t="str">
        <f t="shared" si="110"/>
        <v/>
      </c>
      <c r="C1435" s="65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66"/>
      <c r="F1435" s="67"/>
      <c r="G1435" s="60"/>
      <c r="H1435" s="60"/>
      <c r="I1435" s="61"/>
      <c r="J1435" s="61"/>
      <c r="K1435" s="61"/>
      <c r="L1435" s="73" t="str">
        <f t="shared" si="111"/>
        <v/>
      </c>
      <c r="M1435" s="65" t="str">
        <f t="shared" ca="1" si="112"/>
        <v/>
      </c>
      <c r="N1435" s="74" t="str">
        <f>IF($C1435="","",IF($C1435="TANIMSIZ MÜŞTERİ","—",INDEX(MUSTERILER!$C$7:$C$156,MATCH($C1435,MUSTERILER!$B$7:$B$156,0))))</f>
        <v/>
      </c>
      <c r="O1435" s="2"/>
      <c r="P1435" s="2"/>
      <c r="Q1435" s="1" t="str">
        <f>IF($D1435="","",$C1435&amp;"|"&amp;COUNTIFS($C$7:$C1435,$C1435))</f>
        <v/>
      </c>
      <c r="R1435" s="1" t="str">
        <f t="shared" si="113"/>
        <v/>
      </c>
      <c r="S1435" s="1" t="str">
        <f t="shared" si="114"/>
        <v/>
      </c>
      <c r="T1435" s="1">
        <f>IF($E1435="",0,SUMPRODUCT((AY_SONU!$O$7:$O$42="Evet")*(AY_SONU!$B$7:$B$42=DATE(YEAR($E1435),MONTH($E1435),1))))</f>
        <v>0</v>
      </c>
    </row>
    <row r="1436" spans="1:20" ht="18" customHeight="1" x14ac:dyDescent="0.3">
      <c r="A1436" s="2"/>
      <c r="B1436" s="65" t="str">
        <f t="shared" si="110"/>
        <v/>
      </c>
      <c r="C1436" s="65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66"/>
      <c r="F1436" s="67"/>
      <c r="G1436" s="60"/>
      <c r="H1436" s="60"/>
      <c r="I1436" s="61"/>
      <c r="J1436" s="61"/>
      <c r="K1436" s="61"/>
      <c r="L1436" s="73" t="str">
        <f t="shared" si="111"/>
        <v/>
      </c>
      <c r="M1436" s="65" t="str">
        <f t="shared" ca="1" si="112"/>
        <v/>
      </c>
      <c r="N1436" s="74" t="str">
        <f>IF($C1436="","",IF($C1436="TANIMSIZ MÜŞTERİ","—",INDEX(MUSTERILER!$C$7:$C$156,MATCH($C1436,MUSTERILER!$B$7:$B$156,0))))</f>
        <v/>
      </c>
      <c r="O1436" s="2"/>
      <c r="P1436" s="2"/>
      <c r="Q1436" s="1" t="str">
        <f>IF($D1436="","",$C1436&amp;"|"&amp;COUNTIFS($C$7:$C1436,$C1436))</f>
        <v/>
      </c>
      <c r="R1436" s="1" t="str">
        <f t="shared" si="113"/>
        <v/>
      </c>
      <c r="S1436" s="1" t="str">
        <f t="shared" si="114"/>
        <v/>
      </c>
      <c r="T1436" s="1">
        <f>IF($E1436="",0,SUMPRODUCT((AY_SONU!$O$7:$O$42="Evet")*(AY_SONU!$B$7:$B$42=DATE(YEAR($E1436),MONTH($E1436),1))))</f>
        <v>0</v>
      </c>
    </row>
    <row r="1437" spans="1:20" ht="18" customHeight="1" x14ac:dyDescent="0.3">
      <c r="A1437" s="2"/>
      <c r="B1437" s="65" t="str">
        <f t="shared" si="110"/>
        <v/>
      </c>
      <c r="C1437" s="65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66"/>
      <c r="F1437" s="67"/>
      <c r="G1437" s="60"/>
      <c r="H1437" s="60"/>
      <c r="I1437" s="61"/>
      <c r="J1437" s="61"/>
      <c r="K1437" s="61"/>
      <c r="L1437" s="73" t="str">
        <f t="shared" si="111"/>
        <v/>
      </c>
      <c r="M1437" s="65" t="str">
        <f t="shared" ca="1" si="112"/>
        <v/>
      </c>
      <c r="N1437" s="74" t="str">
        <f>IF($C1437="","",IF($C1437="TANIMSIZ MÜŞTERİ","—",INDEX(MUSTERILER!$C$7:$C$156,MATCH($C1437,MUSTERILER!$B$7:$B$156,0))))</f>
        <v/>
      </c>
      <c r="O1437" s="2"/>
      <c r="P1437" s="2"/>
      <c r="Q1437" s="1" t="str">
        <f>IF($D1437="","",$C1437&amp;"|"&amp;COUNTIFS($C$7:$C1437,$C1437))</f>
        <v/>
      </c>
      <c r="R1437" s="1" t="str">
        <f t="shared" si="113"/>
        <v/>
      </c>
      <c r="S1437" s="1" t="str">
        <f t="shared" si="114"/>
        <v/>
      </c>
      <c r="T1437" s="1">
        <f>IF($E1437="",0,SUMPRODUCT((AY_SONU!$O$7:$O$42="Evet")*(AY_SONU!$B$7:$B$42=DATE(YEAR($E1437),MONTH($E1437),1))))</f>
        <v>0</v>
      </c>
    </row>
    <row r="1438" spans="1:20" ht="18" customHeight="1" x14ac:dyDescent="0.3">
      <c r="A1438" s="2"/>
      <c r="B1438" s="65" t="str">
        <f t="shared" si="110"/>
        <v/>
      </c>
      <c r="C1438" s="65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66"/>
      <c r="F1438" s="67"/>
      <c r="G1438" s="60"/>
      <c r="H1438" s="60"/>
      <c r="I1438" s="61"/>
      <c r="J1438" s="61"/>
      <c r="K1438" s="61"/>
      <c r="L1438" s="73" t="str">
        <f t="shared" si="111"/>
        <v/>
      </c>
      <c r="M1438" s="65" t="str">
        <f t="shared" ca="1" si="112"/>
        <v/>
      </c>
      <c r="N1438" s="74" t="str">
        <f>IF($C1438="","",IF($C1438="TANIMSIZ MÜŞTERİ","—",INDEX(MUSTERILER!$C$7:$C$156,MATCH($C1438,MUSTERILER!$B$7:$B$156,0))))</f>
        <v/>
      </c>
      <c r="O1438" s="2"/>
      <c r="P1438" s="2"/>
      <c r="Q1438" s="1" t="str">
        <f>IF($D1438="","",$C1438&amp;"|"&amp;COUNTIFS($C$7:$C1438,$C1438))</f>
        <v/>
      </c>
      <c r="R1438" s="1" t="str">
        <f t="shared" si="113"/>
        <v/>
      </c>
      <c r="S1438" s="1" t="str">
        <f t="shared" si="114"/>
        <v/>
      </c>
      <c r="T1438" s="1">
        <f>IF($E1438="",0,SUMPRODUCT((AY_SONU!$O$7:$O$42="Evet")*(AY_SONU!$B$7:$B$42=DATE(YEAR($E1438),MONTH($E1438),1))))</f>
        <v>0</v>
      </c>
    </row>
    <row r="1439" spans="1:20" ht="18" customHeight="1" x14ac:dyDescent="0.3">
      <c r="A1439" s="2"/>
      <c r="B1439" s="65" t="str">
        <f t="shared" si="110"/>
        <v/>
      </c>
      <c r="C1439" s="65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66"/>
      <c r="F1439" s="67"/>
      <c r="G1439" s="60"/>
      <c r="H1439" s="60"/>
      <c r="I1439" s="61"/>
      <c r="J1439" s="61"/>
      <c r="K1439" s="61"/>
      <c r="L1439" s="73" t="str">
        <f t="shared" si="111"/>
        <v/>
      </c>
      <c r="M1439" s="65" t="str">
        <f t="shared" ca="1" si="112"/>
        <v/>
      </c>
      <c r="N1439" s="74" t="str">
        <f>IF($C1439="","",IF($C1439="TANIMSIZ MÜŞTERİ","—",INDEX(MUSTERILER!$C$7:$C$156,MATCH($C1439,MUSTERILER!$B$7:$B$156,0))))</f>
        <v/>
      </c>
      <c r="O1439" s="2"/>
      <c r="P1439" s="2"/>
      <c r="Q1439" s="1" t="str">
        <f>IF($D1439="","",$C1439&amp;"|"&amp;COUNTIFS($C$7:$C1439,$C1439))</f>
        <v/>
      </c>
      <c r="R1439" s="1" t="str">
        <f t="shared" si="113"/>
        <v/>
      </c>
      <c r="S1439" s="1" t="str">
        <f t="shared" si="114"/>
        <v/>
      </c>
      <c r="T1439" s="1">
        <f>IF($E1439="",0,SUMPRODUCT((AY_SONU!$O$7:$O$42="Evet")*(AY_SONU!$B$7:$B$42=DATE(YEAR($E1439),MONTH($E1439),1))))</f>
        <v>0</v>
      </c>
    </row>
    <row r="1440" spans="1:20" ht="18" customHeight="1" x14ac:dyDescent="0.3">
      <c r="A1440" s="2"/>
      <c r="B1440" s="65" t="str">
        <f t="shared" si="110"/>
        <v/>
      </c>
      <c r="C1440" s="65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66"/>
      <c r="F1440" s="67"/>
      <c r="G1440" s="60"/>
      <c r="H1440" s="60"/>
      <c r="I1440" s="61"/>
      <c r="J1440" s="61"/>
      <c r="K1440" s="61"/>
      <c r="L1440" s="73" t="str">
        <f t="shared" si="111"/>
        <v/>
      </c>
      <c r="M1440" s="65" t="str">
        <f t="shared" ca="1" si="112"/>
        <v/>
      </c>
      <c r="N1440" s="74" t="str">
        <f>IF($C1440="","",IF($C1440="TANIMSIZ MÜŞTERİ","—",INDEX(MUSTERILER!$C$7:$C$156,MATCH($C1440,MUSTERILER!$B$7:$B$156,0))))</f>
        <v/>
      </c>
      <c r="O1440" s="2"/>
      <c r="P1440" s="2"/>
      <c r="Q1440" s="1" t="str">
        <f>IF($D1440="","",$C1440&amp;"|"&amp;COUNTIFS($C$7:$C1440,$C1440))</f>
        <v/>
      </c>
      <c r="R1440" s="1" t="str">
        <f t="shared" si="113"/>
        <v/>
      </c>
      <c r="S1440" s="1" t="str">
        <f t="shared" si="114"/>
        <v/>
      </c>
      <c r="T1440" s="1">
        <f>IF($E1440="",0,SUMPRODUCT((AY_SONU!$O$7:$O$42="Evet")*(AY_SONU!$B$7:$B$42=DATE(YEAR($E1440),MONTH($E1440),1))))</f>
        <v>0</v>
      </c>
    </row>
    <row r="1441" spans="1:20" ht="18" customHeight="1" x14ac:dyDescent="0.3">
      <c r="A1441" s="2"/>
      <c r="B1441" s="65" t="str">
        <f t="shared" si="110"/>
        <v/>
      </c>
      <c r="C1441" s="65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66"/>
      <c r="F1441" s="67"/>
      <c r="G1441" s="60"/>
      <c r="H1441" s="60"/>
      <c r="I1441" s="61"/>
      <c r="J1441" s="61"/>
      <c r="K1441" s="61"/>
      <c r="L1441" s="73" t="str">
        <f t="shared" si="111"/>
        <v/>
      </c>
      <c r="M1441" s="65" t="str">
        <f t="shared" ca="1" si="112"/>
        <v/>
      </c>
      <c r="N1441" s="74" t="str">
        <f>IF($C1441="","",IF($C1441="TANIMSIZ MÜŞTERİ","—",INDEX(MUSTERILER!$C$7:$C$156,MATCH($C1441,MUSTERILER!$B$7:$B$156,0))))</f>
        <v/>
      </c>
      <c r="O1441" s="2"/>
      <c r="P1441" s="2"/>
      <c r="Q1441" s="1" t="str">
        <f>IF($D1441="","",$C1441&amp;"|"&amp;COUNTIFS($C$7:$C1441,$C1441))</f>
        <v/>
      </c>
      <c r="R1441" s="1" t="str">
        <f t="shared" si="113"/>
        <v/>
      </c>
      <c r="S1441" s="1" t="str">
        <f t="shared" si="114"/>
        <v/>
      </c>
      <c r="T1441" s="1">
        <f>IF($E1441="",0,SUMPRODUCT((AY_SONU!$O$7:$O$42="Evet")*(AY_SONU!$B$7:$B$42=DATE(YEAR($E1441),MONTH($E1441),1))))</f>
        <v>0</v>
      </c>
    </row>
    <row r="1442" spans="1:20" ht="18" customHeight="1" x14ac:dyDescent="0.3">
      <c r="A1442" s="2"/>
      <c r="B1442" s="65" t="str">
        <f t="shared" si="110"/>
        <v/>
      </c>
      <c r="C1442" s="65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66"/>
      <c r="F1442" s="67"/>
      <c r="G1442" s="60"/>
      <c r="H1442" s="60"/>
      <c r="I1442" s="61"/>
      <c r="J1442" s="61"/>
      <c r="K1442" s="61"/>
      <c r="L1442" s="73" t="str">
        <f t="shared" si="111"/>
        <v/>
      </c>
      <c r="M1442" s="65" t="str">
        <f t="shared" ca="1" si="112"/>
        <v/>
      </c>
      <c r="N1442" s="74" t="str">
        <f>IF($C1442="","",IF($C1442="TANIMSIZ MÜŞTERİ","—",INDEX(MUSTERILER!$C$7:$C$156,MATCH($C1442,MUSTERILER!$B$7:$B$156,0))))</f>
        <v/>
      </c>
      <c r="O1442" s="2"/>
      <c r="P1442" s="2"/>
      <c r="Q1442" s="1" t="str">
        <f>IF($D1442="","",$C1442&amp;"|"&amp;COUNTIFS($C$7:$C1442,$C1442))</f>
        <v/>
      </c>
      <c r="R1442" s="1" t="str">
        <f t="shared" si="113"/>
        <v/>
      </c>
      <c r="S1442" s="1" t="str">
        <f t="shared" si="114"/>
        <v/>
      </c>
      <c r="T1442" s="1">
        <f>IF($E1442="",0,SUMPRODUCT((AY_SONU!$O$7:$O$42="Evet")*(AY_SONU!$B$7:$B$42=DATE(YEAR($E1442),MONTH($E1442),1))))</f>
        <v>0</v>
      </c>
    </row>
    <row r="1443" spans="1:20" ht="18" customHeight="1" x14ac:dyDescent="0.3">
      <c r="A1443" s="2"/>
      <c r="B1443" s="65" t="str">
        <f t="shared" si="110"/>
        <v/>
      </c>
      <c r="C1443" s="65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66"/>
      <c r="F1443" s="67"/>
      <c r="G1443" s="60"/>
      <c r="H1443" s="60"/>
      <c r="I1443" s="61"/>
      <c r="J1443" s="61"/>
      <c r="K1443" s="61"/>
      <c r="L1443" s="73" t="str">
        <f t="shared" si="111"/>
        <v/>
      </c>
      <c r="M1443" s="65" t="str">
        <f t="shared" ca="1" si="112"/>
        <v/>
      </c>
      <c r="N1443" s="74" t="str">
        <f>IF($C1443="","",IF($C1443="TANIMSIZ MÜŞTERİ","—",INDEX(MUSTERILER!$C$7:$C$156,MATCH($C1443,MUSTERILER!$B$7:$B$156,0))))</f>
        <v/>
      </c>
      <c r="O1443" s="2"/>
      <c r="P1443" s="2"/>
      <c r="Q1443" s="1" t="str">
        <f>IF($D1443="","",$C1443&amp;"|"&amp;COUNTIFS($C$7:$C1443,$C1443))</f>
        <v/>
      </c>
      <c r="R1443" s="1" t="str">
        <f t="shared" si="113"/>
        <v/>
      </c>
      <c r="S1443" s="1" t="str">
        <f t="shared" si="114"/>
        <v/>
      </c>
      <c r="T1443" s="1">
        <f>IF($E1443="",0,SUMPRODUCT((AY_SONU!$O$7:$O$42="Evet")*(AY_SONU!$B$7:$B$42=DATE(YEAR($E1443),MONTH($E1443),1))))</f>
        <v>0</v>
      </c>
    </row>
    <row r="1444" spans="1:20" ht="18" customHeight="1" x14ac:dyDescent="0.3">
      <c r="A1444" s="2"/>
      <c r="B1444" s="65" t="str">
        <f t="shared" si="110"/>
        <v/>
      </c>
      <c r="C1444" s="65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66"/>
      <c r="F1444" s="67"/>
      <c r="G1444" s="60"/>
      <c r="H1444" s="60"/>
      <c r="I1444" s="61"/>
      <c r="J1444" s="61"/>
      <c r="K1444" s="61"/>
      <c r="L1444" s="73" t="str">
        <f t="shared" si="111"/>
        <v/>
      </c>
      <c r="M1444" s="65" t="str">
        <f t="shared" ca="1" si="112"/>
        <v/>
      </c>
      <c r="N1444" s="74" t="str">
        <f>IF($C1444="","",IF($C1444="TANIMSIZ MÜŞTERİ","—",INDEX(MUSTERILER!$C$7:$C$156,MATCH($C1444,MUSTERILER!$B$7:$B$156,0))))</f>
        <v/>
      </c>
      <c r="O1444" s="2"/>
      <c r="P1444" s="2"/>
      <c r="Q1444" s="1" t="str">
        <f>IF($D1444="","",$C1444&amp;"|"&amp;COUNTIFS($C$7:$C1444,$C1444))</f>
        <v/>
      </c>
      <c r="R1444" s="1" t="str">
        <f t="shared" si="113"/>
        <v/>
      </c>
      <c r="S1444" s="1" t="str">
        <f t="shared" si="114"/>
        <v/>
      </c>
      <c r="T1444" s="1">
        <f>IF($E1444="",0,SUMPRODUCT((AY_SONU!$O$7:$O$42="Evet")*(AY_SONU!$B$7:$B$42=DATE(YEAR($E1444),MONTH($E1444),1))))</f>
        <v>0</v>
      </c>
    </row>
    <row r="1445" spans="1:20" ht="18" customHeight="1" x14ac:dyDescent="0.3">
      <c r="A1445" s="2"/>
      <c r="B1445" s="65" t="str">
        <f t="shared" si="110"/>
        <v/>
      </c>
      <c r="C1445" s="65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66"/>
      <c r="F1445" s="67"/>
      <c r="G1445" s="60"/>
      <c r="H1445" s="60"/>
      <c r="I1445" s="61"/>
      <c r="J1445" s="61"/>
      <c r="K1445" s="61"/>
      <c r="L1445" s="73" t="str">
        <f t="shared" si="111"/>
        <v/>
      </c>
      <c r="M1445" s="65" t="str">
        <f t="shared" ca="1" si="112"/>
        <v/>
      </c>
      <c r="N1445" s="74" t="str">
        <f>IF($C1445="","",IF($C1445="TANIMSIZ MÜŞTERİ","—",INDEX(MUSTERILER!$C$7:$C$156,MATCH($C1445,MUSTERILER!$B$7:$B$156,0))))</f>
        <v/>
      </c>
      <c r="O1445" s="2"/>
      <c r="P1445" s="2"/>
      <c r="Q1445" s="1" t="str">
        <f>IF($D1445="","",$C1445&amp;"|"&amp;COUNTIFS($C$7:$C1445,$C1445))</f>
        <v/>
      </c>
      <c r="R1445" s="1" t="str">
        <f t="shared" si="113"/>
        <v/>
      </c>
      <c r="S1445" s="1" t="str">
        <f t="shared" si="114"/>
        <v/>
      </c>
      <c r="T1445" s="1">
        <f>IF($E1445="",0,SUMPRODUCT((AY_SONU!$O$7:$O$42="Evet")*(AY_SONU!$B$7:$B$42=DATE(YEAR($E1445),MONTH($E1445),1))))</f>
        <v>0</v>
      </c>
    </row>
    <row r="1446" spans="1:20" ht="18" customHeight="1" x14ac:dyDescent="0.3">
      <c r="A1446" s="2"/>
      <c r="B1446" s="65" t="str">
        <f t="shared" si="110"/>
        <v/>
      </c>
      <c r="C1446" s="65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66"/>
      <c r="F1446" s="67"/>
      <c r="G1446" s="60"/>
      <c r="H1446" s="60"/>
      <c r="I1446" s="61"/>
      <c r="J1446" s="61"/>
      <c r="K1446" s="61"/>
      <c r="L1446" s="73" t="str">
        <f t="shared" si="111"/>
        <v/>
      </c>
      <c r="M1446" s="65" t="str">
        <f t="shared" ca="1" si="112"/>
        <v/>
      </c>
      <c r="N1446" s="74" t="str">
        <f>IF($C1446="","",IF($C1446="TANIMSIZ MÜŞTERİ","—",INDEX(MUSTERILER!$C$7:$C$156,MATCH($C1446,MUSTERILER!$B$7:$B$156,0))))</f>
        <v/>
      </c>
      <c r="O1446" s="2"/>
      <c r="P1446" s="2"/>
      <c r="Q1446" s="1" t="str">
        <f>IF($D1446="","",$C1446&amp;"|"&amp;COUNTIFS($C$7:$C1446,$C1446))</f>
        <v/>
      </c>
      <c r="R1446" s="1" t="str">
        <f t="shared" si="113"/>
        <v/>
      </c>
      <c r="S1446" s="1" t="str">
        <f t="shared" si="114"/>
        <v/>
      </c>
      <c r="T1446" s="1">
        <f>IF($E1446="",0,SUMPRODUCT((AY_SONU!$O$7:$O$42="Evet")*(AY_SONU!$B$7:$B$42=DATE(YEAR($E1446),MONTH($E1446),1))))</f>
        <v>0</v>
      </c>
    </row>
    <row r="1447" spans="1:20" ht="18" customHeight="1" x14ac:dyDescent="0.3">
      <c r="A1447" s="2"/>
      <c r="B1447" s="65" t="str">
        <f t="shared" si="110"/>
        <v/>
      </c>
      <c r="C1447" s="65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66"/>
      <c r="F1447" s="67"/>
      <c r="G1447" s="60"/>
      <c r="H1447" s="60"/>
      <c r="I1447" s="61"/>
      <c r="J1447" s="61"/>
      <c r="K1447" s="61"/>
      <c r="L1447" s="73" t="str">
        <f t="shared" si="111"/>
        <v/>
      </c>
      <c r="M1447" s="65" t="str">
        <f t="shared" ca="1" si="112"/>
        <v/>
      </c>
      <c r="N1447" s="74" t="str">
        <f>IF($C1447="","",IF($C1447="TANIMSIZ MÜŞTERİ","—",INDEX(MUSTERILER!$C$7:$C$156,MATCH($C1447,MUSTERILER!$B$7:$B$156,0))))</f>
        <v/>
      </c>
      <c r="O1447" s="2"/>
      <c r="P1447" s="2"/>
      <c r="Q1447" s="1" t="str">
        <f>IF($D1447="","",$C1447&amp;"|"&amp;COUNTIFS($C$7:$C1447,$C1447))</f>
        <v/>
      </c>
      <c r="R1447" s="1" t="str">
        <f t="shared" si="113"/>
        <v/>
      </c>
      <c r="S1447" s="1" t="str">
        <f t="shared" si="114"/>
        <v/>
      </c>
      <c r="T1447" s="1">
        <f>IF($E1447="",0,SUMPRODUCT((AY_SONU!$O$7:$O$42="Evet")*(AY_SONU!$B$7:$B$42=DATE(YEAR($E1447),MONTH($E1447),1))))</f>
        <v>0</v>
      </c>
    </row>
    <row r="1448" spans="1:20" ht="18" customHeight="1" x14ac:dyDescent="0.3">
      <c r="A1448" s="2"/>
      <c r="B1448" s="65" t="str">
        <f t="shared" si="110"/>
        <v/>
      </c>
      <c r="C1448" s="65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66"/>
      <c r="F1448" s="67"/>
      <c r="G1448" s="60"/>
      <c r="H1448" s="60"/>
      <c r="I1448" s="61"/>
      <c r="J1448" s="61"/>
      <c r="K1448" s="61"/>
      <c r="L1448" s="73" t="str">
        <f t="shared" si="111"/>
        <v/>
      </c>
      <c r="M1448" s="65" t="str">
        <f t="shared" ca="1" si="112"/>
        <v/>
      </c>
      <c r="N1448" s="74" t="str">
        <f>IF($C1448="","",IF($C1448="TANIMSIZ MÜŞTERİ","—",INDEX(MUSTERILER!$C$7:$C$156,MATCH($C1448,MUSTERILER!$B$7:$B$156,0))))</f>
        <v/>
      </c>
      <c r="O1448" s="2"/>
      <c r="P1448" s="2"/>
      <c r="Q1448" s="1" t="str">
        <f>IF($D1448="","",$C1448&amp;"|"&amp;COUNTIFS($C$7:$C1448,$C1448))</f>
        <v/>
      </c>
      <c r="R1448" s="1" t="str">
        <f t="shared" si="113"/>
        <v/>
      </c>
      <c r="S1448" s="1" t="str">
        <f t="shared" si="114"/>
        <v/>
      </c>
      <c r="T1448" s="1">
        <f>IF($E1448="",0,SUMPRODUCT((AY_SONU!$O$7:$O$42="Evet")*(AY_SONU!$B$7:$B$42=DATE(YEAR($E1448),MONTH($E1448),1))))</f>
        <v>0</v>
      </c>
    </row>
    <row r="1449" spans="1:20" ht="18" customHeight="1" x14ac:dyDescent="0.3">
      <c r="A1449" s="2"/>
      <c r="B1449" s="65" t="str">
        <f t="shared" si="110"/>
        <v/>
      </c>
      <c r="C1449" s="65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66"/>
      <c r="F1449" s="67"/>
      <c r="G1449" s="60"/>
      <c r="H1449" s="60"/>
      <c r="I1449" s="61"/>
      <c r="J1449" s="61"/>
      <c r="K1449" s="61"/>
      <c r="L1449" s="73" t="str">
        <f t="shared" si="111"/>
        <v/>
      </c>
      <c r="M1449" s="65" t="str">
        <f t="shared" ca="1" si="112"/>
        <v/>
      </c>
      <c r="N1449" s="74" t="str">
        <f>IF($C1449="","",IF($C1449="TANIMSIZ MÜŞTERİ","—",INDEX(MUSTERILER!$C$7:$C$156,MATCH($C1449,MUSTERILER!$B$7:$B$156,0))))</f>
        <v/>
      </c>
      <c r="O1449" s="2"/>
      <c r="P1449" s="2"/>
      <c r="Q1449" s="1" t="str">
        <f>IF($D1449="","",$C1449&amp;"|"&amp;COUNTIFS($C$7:$C1449,$C1449))</f>
        <v/>
      </c>
      <c r="R1449" s="1" t="str">
        <f t="shared" si="113"/>
        <v/>
      </c>
      <c r="S1449" s="1" t="str">
        <f t="shared" si="114"/>
        <v/>
      </c>
      <c r="T1449" s="1">
        <f>IF($E1449="",0,SUMPRODUCT((AY_SONU!$O$7:$O$42="Evet")*(AY_SONU!$B$7:$B$42=DATE(YEAR($E1449),MONTH($E1449),1))))</f>
        <v>0</v>
      </c>
    </row>
    <row r="1450" spans="1:20" ht="18" customHeight="1" x14ac:dyDescent="0.3">
      <c r="A1450" s="2"/>
      <c r="B1450" s="65" t="str">
        <f t="shared" si="110"/>
        <v/>
      </c>
      <c r="C1450" s="65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66"/>
      <c r="F1450" s="67"/>
      <c r="G1450" s="60"/>
      <c r="H1450" s="60"/>
      <c r="I1450" s="61"/>
      <c r="J1450" s="61"/>
      <c r="K1450" s="61"/>
      <c r="L1450" s="73" t="str">
        <f t="shared" si="111"/>
        <v/>
      </c>
      <c r="M1450" s="65" t="str">
        <f t="shared" ca="1" si="112"/>
        <v/>
      </c>
      <c r="N1450" s="74" t="str">
        <f>IF($C1450="","",IF($C1450="TANIMSIZ MÜŞTERİ","—",INDEX(MUSTERILER!$C$7:$C$156,MATCH($C1450,MUSTERILER!$B$7:$B$156,0))))</f>
        <v/>
      </c>
      <c r="O1450" s="2"/>
      <c r="P1450" s="2"/>
      <c r="Q1450" s="1" t="str">
        <f>IF($D1450="","",$C1450&amp;"|"&amp;COUNTIFS($C$7:$C1450,$C1450))</f>
        <v/>
      </c>
      <c r="R1450" s="1" t="str">
        <f t="shared" si="113"/>
        <v/>
      </c>
      <c r="S1450" s="1" t="str">
        <f t="shared" si="114"/>
        <v/>
      </c>
      <c r="T1450" s="1">
        <f>IF($E1450="",0,SUMPRODUCT((AY_SONU!$O$7:$O$42="Evet")*(AY_SONU!$B$7:$B$42=DATE(YEAR($E1450),MONTH($E1450),1))))</f>
        <v>0</v>
      </c>
    </row>
    <row r="1451" spans="1:20" ht="18" customHeight="1" x14ac:dyDescent="0.3">
      <c r="A1451" s="2"/>
      <c r="B1451" s="65" t="str">
        <f t="shared" si="110"/>
        <v/>
      </c>
      <c r="C1451" s="65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66"/>
      <c r="F1451" s="67"/>
      <c r="G1451" s="60"/>
      <c r="H1451" s="60"/>
      <c r="I1451" s="61"/>
      <c r="J1451" s="61"/>
      <c r="K1451" s="61"/>
      <c r="L1451" s="73" t="str">
        <f t="shared" si="111"/>
        <v/>
      </c>
      <c r="M1451" s="65" t="str">
        <f t="shared" ca="1" si="112"/>
        <v/>
      </c>
      <c r="N1451" s="74" t="str">
        <f>IF($C1451="","",IF($C1451="TANIMSIZ MÜŞTERİ","—",INDEX(MUSTERILER!$C$7:$C$156,MATCH($C1451,MUSTERILER!$B$7:$B$156,0))))</f>
        <v/>
      </c>
      <c r="O1451" s="2"/>
      <c r="P1451" s="2"/>
      <c r="Q1451" s="1" t="str">
        <f>IF($D1451="","",$C1451&amp;"|"&amp;COUNTIFS($C$7:$C1451,$C1451))</f>
        <v/>
      </c>
      <c r="R1451" s="1" t="str">
        <f t="shared" si="113"/>
        <v/>
      </c>
      <c r="S1451" s="1" t="str">
        <f t="shared" si="114"/>
        <v/>
      </c>
      <c r="T1451" s="1">
        <f>IF($E1451="",0,SUMPRODUCT((AY_SONU!$O$7:$O$42="Evet")*(AY_SONU!$B$7:$B$42=DATE(YEAR($E1451),MONTH($E1451),1))))</f>
        <v>0</v>
      </c>
    </row>
    <row r="1452" spans="1:20" ht="18" customHeight="1" x14ac:dyDescent="0.3">
      <c r="A1452" s="2"/>
      <c r="B1452" s="65" t="str">
        <f t="shared" si="110"/>
        <v/>
      </c>
      <c r="C1452" s="65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66"/>
      <c r="F1452" s="67"/>
      <c r="G1452" s="60"/>
      <c r="H1452" s="60"/>
      <c r="I1452" s="61"/>
      <c r="J1452" s="61"/>
      <c r="K1452" s="61"/>
      <c r="L1452" s="73" t="str">
        <f t="shared" si="111"/>
        <v/>
      </c>
      <c r="M1452" s="65" t="str">
        <f t="shared" ca="1" si="112"/>
        <v/>
      </c>
      <c r="N1452" s="74" t="str">
        <f>IF($C1452="","",IF($C1452="TANIMSIZ MÜŞTERİ","—",INDEX(MUSTERILER!$C$7:$C$156,MATCH($C1452,MUSTERILER!$B$7:$B$156,0))))</f>
        <v/>
      </c>
      <c r="O1452" s="2"/>
      <c r="P1452" s="2"/>
      <c r="Q1452" s="1" t="str">
        <f>IF($D1452="","",$C1452&amp;"|"&amp;COUNTIFS($C$7:$C1452,$C1452))</f>
        <v/>
      </c>
      <c r="R1452" s="1" t="str">
        <f t="shared" si="113"/>
        <v/>
      </c>
      <c r="S1452" s="1" t="str">
        <f t="shared" si="114"/>
        <v/>
      </c>
      <c r="T1452" s="1">
        <f>IF($E1452="",0,SUMPRODUCT((AY_SONU!$O$7:$O$42="Evet")*(AY_SONU!$B$7:$B$42=DATE(YEAR($E1452),MONTH($E1452),1))))</f>
        <v>0</v>
      </c>
    </row>
    <row r="1453" spans="1:20" ht="18" customHeight="1" x14ac:dyDescent="0.3">
      <c r="A1453" s="2"/>
      <c r="B1453" s="65" t="str">
        <f t="shared" si="110"/>
        <v/>
      </c>
      <c r="C1453" s="65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66"/>
      <c r="F1453" s="67"/>
      <c r="G1453" s="60"/>
      <c r="H1453" s="60"/>
      <c r="I1453" s="61"/>
      <c r="J1453" s="61"/>
      <c r="K1453" s="61"/>
      <c r="L1453" s="73" t="str">
        <f t="shared" si="111"/>
        <v/>
      </c>
      <c r="M1453" s="65" t="str">
        <f t="shared" ca="1" si="112"/>
        <v/>
      </c>
      <c r="N1453" s="74" t="str">
        <f>IF($C1453="","",IF($C1453="TANIMSIZ MÜŞTERİ","—",INDEX(MUSTERILER!$C$7:$C$156,MATCH($C1453,MUSTERILER!$B$7:$B$156,0))))</f>
        <v/>
      </c>
      <c r="O1453" s="2"/>
      <c r="P1453" s="2"/>
      <c r="Q1453" s="1" t="str">
        <f>IF($D1453="","",$C1453&amp;"|"&amp;COUNTIFS($C$7:$C1453,$C1453))</f>
        <v/>
      </c>
      <c r="R1453" s="1" t="str">
        <f t="shared" si="113"/>
        <v/>
      </c>
      <c r="S1453" s="1" t="str">
        <f t="shared" si="114"/>
        <v/>
      </c>
      <c r="T1453" s="1">
        <f>IF($E1453="",0,SUMPRODUCT((AY_SONU!$O$7:$O$42="Evet")*(AY_SONU!$B$7:$B$42=DATE(YEAR($E1453),MONTH($E1453),1))))</f>
        <v>0</v>
      </c>
    </row>
    <row r="1454" spans="1:20" ht="18" customHeight="1" x14ac:dyDescent="0.3">
      <c r="A1454" s="2"/>
      <c r="B1454" s="65" t="str">
        <f t="shared" si="110"/>
        <v/>
      </c>
      <c r="C1454" s="65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66"/>
      <c r="F1454" s="67"/>
      <c r="G1454" s="60"/>
      <c r="H1454" s="60"/>
      <c r="I1454" s="61"/>
      <c r="J1454" s="61"/>
      <c r="K1454" s="61"/>
      <c r="L1454" s="73" t="str">
        <f t="shared" si="111"/>
        <v/>
      </c>
      <c r="M1454" s="65" t="str">
        <f t="shared" ca="1" si="112"/>
        <v/>
      </c>
      <c r="N1454" s="74" t="str">
        <f>IF($C1454="","",IF($C1454="TANIMSIZ MÜŞTERİ","—",INDEX(MUSTERILER!$C$7:$C$156,MATCH($C1454,MUSTERILER!$B$7:$B$156,0))))</f>
        <v/>
      </c>
      <c r="O1454" s="2"/>
      <c r="P1454" s="2"/>
      <c r="Q1454" s="1" t="str">
        <f>IF($D1454="","",$C1454&amp;"|"&amp;COUNTIFS($C$7:$C1454,$C1454))</f>
        <v/>
      </c>
      <c r="R1454" s="1" t="str">
        <f t="shared" si="113"/>
        <v/>
      </c>
      <c r="S1454" s="1" t="str">
        <f t="shared" si="114"/>
        <v/>
      </c>
      <c r="T1454" s="1">
        <f>IF($E1454="",0,SUMPRODUCT((AY_SONU!$O$7:$O$42="Evet")*(AY_SONU!$B$7:$B$42=DATE(YEAR($E1454),MONTH($E1454),1))))</f>
        <v>0</v>
      </c>
    </row>
    <row r="1455" spans="1:20" ht="18" customHeight="1" x14ac:dyDescent="0.3">
      <c r="A1455" s="2"/>
      <c r="B1455" s="65" t="str">
        <f t="shared" si="110"/>
        <v/>
      </c>
      <c r="C1455" s="65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66"/>
      <c r="F1455" s="67"/>
      <c r="G1455" s="60"/>
      <c r="H1455" s="60"/>
      <c r="I1455" s="61"/>
      <c r="J1455" s="61"/>
      <c r="K1455" s="61"/>
      <c r="L1455" s="73" t="str">
        <f t="shared" si="111"/>
        <v/>
      </c>
      <c r="M1455" s="65" t="str">
        <f t="shared" ca="1" si="112"/>
        <v/>
      </c>
      <c r="N1455" s="74" t="str">
        <f>IF($C1455="","",IF($C1455="TANIMSIZ MÜŞTERİ","—",INDEX(MUSTERILER!$C$7:$C$156,MATCH($C1455,MUSTERILER!$B$7:$B$156,0))))</f>
        <v/>
      </c>
      <c r="O1455" s="2"/>
      <c r="P1455" s="2"/>
      <c r="Q1455" s="1" t="str">
        <f>IF($D1455="","",$C1455&amp;"|"&amp;COUNTIFS($C$7:$C1455,$C1455))</f>
        <v/>
      </c>
      <c r="R1455" s="1" t="str">
        <f t="shared" si="113"/>
        <v/>
      </c>
      <c r="S1455" s="1" t="str">
        <f t="shared" si="114"/>
        <v/>
      </c>
      <c r="T1455" s="1">
        <f>IF($E1455="",0,SUMPRODUCT((AY_SONU!$O$7:$O$42="Evet")*(AY_SONU!$B$7:$B$42=DATE(YEAR($E1455),MONTH($E1455),1))))</f>
        <v>0</v>
      </c>
    </row>
    <row r="1456" spans="1:20" ht="18" customHeight="1" x14ac:dyDescent="0.3">
      <c r="A1456" s="2"/>
      <c r="B1456" s="65" t="str">
        <f t="shared" si="110"/>
        <v/>
      </c>
      <c r="C1456" s="65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66"/>
      <c r="F1456" s="67"/>
      <c r="G1456" s="60"/>
      <c r="H1456" s="60"/>
      <c r="I1456" s="61"/>
      <c r="J1456" s="61"/>
      <c r="K1456" s="61"/>
      <c r="L1456" s="73" t="str">
        <f t="shared" si="111"/>
        <v/>
      </c>
      <c r="M1456" s="65" t="str">
        <f t="shared" ca="1" si="112"/>
        <v/>
      </c>
      <c r="N1456" s="74" t="str">
        <f>IF($C1456="","",IF($C1456="TANIMSIZ MÜŞTERİ","—",INDEX(MUSTERILER!$C$7:$C$156,MATCH($C1456,MUSTERILER!$B$7:$B$156,0))))</f>
        <v/>
      </c>
      <c r="O1456" s="2"/>
      <c r="P1456" s="2"/>
      <c r="Q1456" s="1" t="str">
        <f>IF($D1456="","",$C1456&amp;"|"&amp;COUNTIFS($C$7:$C1456,$C1456))</f>
        <v/>
      </c>
      <c r="R1456" s="1" t="str">
        <f t="shared" si="113"/>
        <v/>
      </c>
      <c r="S1456" s="1" t="str">
        <f t="shared" si="114"/>
        <v/>
      </c>
      <c r="T1456" s="1">
        <f>IF($E1456="",0,SUMPRODUCT((AY_SONU!$O$7:$O$42="Evet")*(AY_SONU!$B$7:$B$42=DATE(YEAR($E1456),MONTH($E1456),1))))</f>
        <v>0</v>
      </c>
    </row>
    <row r="1457" spans="1:20" ht="18" customHeight="1" x14ac:dyDescent="0.3">
      <c r="A1457" s="2"/>
      <c r="B1457" s="65" t="str">
        <f t="shared" si="110"/>
        <v/>
      </c>
      <c r="C1457" s="65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66"/>
      <c r="F1457" s="67"/>
      <c r="G1457" s="60"/>
      <c r="H1457" s="60"/>
      <c r="I1457" s="61"/>
      <c r="J1457" s="61"/>
      <c r="K1457" s="61"/>
      <c r="L1457" s="73" t="str">
        <f t="shared" si="111"/>
        <v/>
      </c>
      <c r="M1457" s="65" t="str">
        <f t="shared" ca="1" si="112"/>
        <v/>
      </c>
      <c r="N1457" s="74" t="str">
        <f>IF($C1457="","",IF($C1457="TANIMSIZ MÜŞTERİ","—",INDEX(MUSTERILER!$C$7:$C$156,MATCH($C1457,MUSTERILER!$B$7:$B$156,0))))</f>
        <v/>
      </c>
      <c r="O1457" s="2"/>
      <c r="P1457" s="2"/>
      <c r="Q1457" s="1" t="str">
        <f>IF($D1457="","",$C1457&amp;"|"&amp;COUNTIFS($C$7:$C1457,$C1457))</f>
        <v/>
      </c>
      <c r="R1457" s="1" t="str">
        <f t="shared" si="113"/>
        <v/>
      </c>
      <c r="S1457" s="1" t="str">
        <f t="shared" si="114"/>
        <v/>
      </c>
      <c r="T1457" s="1">
        <f>IF($E1457="",0,SUMPRODUCT((AY_SONU!$O$7:$O$42="Evet")*(AY_SONU!$B$7:$B$42=DATE(YEAR($E1457),MONTH($E1457),1))))</f>
        <v>0</v>
      </c>
    </row>
    <row r="1458" spans="1:20" ht="18" customHeight="1" x14ac:dyDescent="0.3">
      <c r="A1458" s="2"/>
      <c r="B1458" s="65" t="str">
        <f t="shared" si="110"/>
        <v/>
      </c>
      <c r="C1458" s="65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66"/>
      <c r="F1458" s="67"/>
      <c r="G1458" s="60"/>
      <c r="H1458" s="60"/>
      <c r="I1458" s="61"/>
      <c r="J1458" s="61"/>
      <c r="K1458" s="61"/>
      <c r="L1458" s="73" t="str">
        <f t="shared" si="111"/>
        <v/>
      </c>
      <c r="M1458" s="65" t="str">
        <f t="shared" ca="1" si="112"/>
        <v/>
      </c>
      <c r="N1458" s="74" t="str">
        <f>IF($C1458="","",IF($C1458="TANIMSIZ MÜŞTERİ","—",INDEX(MUSTERILER!$C$7:$C$156,MATCH($C1458,MUSTERILER!$B$7:$B$156,0))))</f>
        <v/>
      </c>
      <c r="O1458" s="2"/>
      <c r="P1458" s="2"/>
      <c r="Q1458" s="1" t="str">
        <f>IF($D1458="","",$C1458&amp;"|"&amp;COUNTIFS($C$7:$C1458,$C1458))</f>
        <v/>
      </c>
      <c r="R1458" s="1" t="str">
        <f t="shared" si="113"/>
        <v/>
      </c>
      <c r="S1458" s="1" t="str">
        <f t="shared" si="114"/>
        <v/>
      </c>
      <c r="T1458" s="1">
        <f>IF($E1458="",0,SUMPRODUCT((AY_SONU!$O$7:$O$42="Evet")*(AY_SONU!$B$7:$B$42=DATE(YEAR($E1458),MONTH($E1458),1))))</f>
        <v>0</v>
      </c>
    </row>
    <row r="1459" spans="1:20" ht="18" customHeight="1" x14ac:dyDescent="0.3">
      <c r="A1459" s="2"/>
      <c r="B1459" s="65" t="str">
        <f t="shared" si="110"/>
        <v/>
      </c>
      <c r="C1459" s="65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66"/>
      <c r="F1459" s="67"/>
      <c r="G1459" s="60"/>
      <c r="H1459" s="60"/>
      <c r="I1459" s="61"/>
      <c r="J1459" s="61"/>
      <c r="K1459" s="61"/>
      <c r="L1459" s="73" t="str">
        <f t="shared" si="111"/>
        <v/>
      </c>
      <c r="M1459" s="65" t="str">
        <f t="shared" ca="1" si="112"/>
        <v/>
      </c>
      <c r="N1459" s="74" t="str">
        <f>IF($C1459="","",IF($C1459="TANIMSIZ MÜŞTERİ","—",INDEX(MUSTERILER!$C$7:$C$156,MATCH($C1459,MUSTERILER!$B$7:$B$156,0))))</f>
        <v/>
      </c>
      <c r="O1459" s="2"/>
      <c r="P1459" s="2"/>
      <c r="Q1459" s="1" t="str">
        <f>IF($D1459="","",$C1459&amp;"|"&amp;COUNTIFS($C$7:$C1459,$C1459))</f>
        <v/>
      </c>
      <c r="R1459" s="1" t="str">
        <f t="shared" si="113"/>
        <v/>
      </c>
      <c r="S1459" s="1" t="str">
        <f t="shared" si="114"/>
        <v/>
      </c>
      <c r="T1459" s="1">
        <f>IF($E1459="",0,SUMPRODUCT((AY_SONU!$O$7:$O$42="Evet")*(AY_SONU!$B$7:$B$42=DATE(YEAR($E1459),MONTH($E1459),1))))</f>
        <v>0</v>
      </c>
    </row>
    <row r="1460" spans="1:20" ht="18" customHeight="1" x14ac:dyDescent="0.3">
      <c r="A1460" s="2"/>
      <c r="B1460" s="65" t="str">
        <f t="shared" si="110"/>
        <v/>
      </c>
      <c r="C1460" s="65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66"/>
      <c r="F1460" s="67"/>
      <c r="G1460" s="60"/>
      <c r="H1460" s="60"/>
      <c r="I1460" s="61"/>
      <c r="J1460" s="61"/>
      <c r="K1460" s="61"/>
      <c r="L1460" s="73" t="str">
        <f t="shared" si="111"/>
        <v/>
      </c>
      <c r="M1460" s="65" t="str">
        <f t="shared" ca="1" si="112"/>
        <v/>
      </c>
      <c r="N1460" s="74" t="str">
        <f>IF($C1460="","",IF($C1460="TANIMSIZ MÜŞTERİ","—",INDEX(MUSTERILER!$C$7:$C$156,MATCH($C1460,MUSTERILER!$B$7:$B$156,0))))</f>
        <v/>
      </c>
      <c r="O1460" s="2"/>
      <c r="P1460" s="2"/>
      <c r="Q1460" s="1" t="str">
        <f>IF($D1460="","",$C1460&amp;"|"&amp;COUNTIFS($C$7:$C1460,$C1460))</f>
        <v/>
      </c>
      <c r="R1460" s="1" t="str">
        <f t="shared" si="113"/>
        <v/>
      </c>
      <c r="S1460" s="1" t="str">
        <f t="shared" si="114"/>
        <v/>
      </c>
      <c r="T1460" s="1">
        <f>IF($E1460="",0,SUMPRODUCT((AY_SONU!$O$7:$O$42="Evet")*(AY_SONU!$B$7:$B$42=DATE(YEAR($E1460),MONTH($E1460),1))))</f>
        <v>0</v>
      </c>
    </row>
    <row r="1461" spans="1:20" ht="18" customHeight="1" x14ac:dyDescent="0.3">
      <c r="A1461" s="2"/>
      <c r="B1461" s="65" t="str">
        <f t="shared" si="110"/>
        <v/>
      </c>
      <c r="C1461" s="65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66"/>
      <c r="F1461" s="67"/>
      <c r="G1461" s="60"/>
      <c r="H1461" s="60"/>
      <c r="I1461" s="61"/>
      <c r="J1461" s="61"/>
      <c r="K1461" s="61"/>
      <c r="L1461" s="73" t="str">
        <f t="shared" si="111"/>
        <v/>
      </c>
      <c r="M1461" s="65" t="str">
        <f t="shared" ca="1" si="112"/>
        <v/>
      </c>
      <c r="N1461" s="74" t="str">
        <f>IF($C1461="","",IF($C1461="TANIMSIZ MÜŞTERİ","—",INDEX(MUSTERILER!$C$7:$C$156,MATCH($C1461,MUSTERILER!$B$7:$B$156,0))))</f>
        <v/>
      </c>
      <c r="O1461" s="2"/>
      <c r="P1461" s="2"/>
      <c r="Q1461" s="1" t="str">
        <f>IF($D1461="","",$C1461&amp;"|"&amp;COUNTIFS($C$7:$C1461,$C1461))</f>
        <v/>
      </c>
      <c r="R1461" s="1" t="str">
        <f t="shared" si="113"/>
        <v/>
      </c>
      <c r="S1461" s="1" t="str">
        <f t="shared" si="114"/>
        <v/>
      </c>
      <c r="T1461" s="1">
        <f>IF($E1461="",0,SUMPRODUCT((AY_SONU!$O$7:$O$42="Evet")*(AY_SONU!$B$7:$B$42=DATE(YEAR($E1461),MONTH($E1461),1))))</f>
        <v>0</v>
      </c>
    </row>
    <row r="1462" spans="1:20" ht="18" customHeight="1" x14ac:dyDescent="0.3">
      <c r="A1462" s="2"/>
      <c r="B1462" s="65" t="str">
        <f t="shared" si="110"/>
        <v/>
      </c>
      <c r="C1462" s="65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66"/>
      <c r="F1462" s="67"/>
      <c r="G1462" s="60"/>
      <c r="H1462" s="60"/>
      <c r="I1462" s="61"/>
      <c r="J1462" s="61"/>
      <c r="K1462" s="61"/>
      <c r="L1462" s="73" t="str">
        <f t="shared" si="111"/>
        <v/>
      </c>
      <c r="M1462" s="65" t="str">
        <f t="shared" ca="1" si="112"/>
        <v/>
      </c>
      <c r="N1462" s="74" t="str">
        <f>IF($C1462="","",IF($C1462="TANIMSIZ MÜŞTERİ","—",INDEX(MUSTERILER!$C$7:$C$156,MATCH($C1462,MUSTERILER!$B$7:$B$156,0))))</f>
        <v/>
      </c>
      <c r="O1462" s="2"/>
      <c r="P1462" s="2"/>
      <c r="Q1462" s="1" t="str">
        <f>IF($D1462="","",$C1462&amp;"|"&amp;COUNTIFS($C$7:$C1462,$C1462))</f>
        <v/>
      </c>
      <c r="R1462" s="1" t="str">
        <f t="shared" si="113"/>
        <v/>
      </c>
      <c r="S1462" s="1" t="str">
        <f t="shared" si="114"/>
        <v/>
      </c>
      <c r="T1462" s="1">
        <f>IF($E1462="",0,SUMPRODUCT((AY_SONU!$O$7:$O$42="Evet")*(AY_SONU!$B$7:$B$42=DATE(YEAR($E1462),MONTH($E1462),1))))</f>
        <v>0</v>
      </c>
    </row>
    <row r="1463" spans="1:20" ht="18" customHeight="1" x14ac:dyDescent="0.3">
      <c r="A1463" s="2"/>
      <c r="B1463" s="65" t="str">
        <f t="shared" si="110"/>
        <v/>
      </c>
      <c r="C1463" s="65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66"/>
      <c r="F1463" s="67"/>
      <c r="G1463" s="60"/>
      <c r="H1463" s="60"/>
      <c r="I1463" s="61"/>
      <c r="J1463" s="61"/>
      <c r="K1463" s="61"/>
      <c r="L1463" s="73" t="str">
        <f t="shared" si="111"/>
        <v/>
      </c>
      <c r="M1463" s="65" t="str">
        <f t="shared" ca="1" si="112"/>
        <v/>
      </c>
      <c r="N1463" s="74" t="str">
        <f>IF($C1463="","",IF($C1463="TANIMSIZ MÜŞTERİ","—",INDEX(MUSTERILER!$C$7:$C$156,MATCH($C1463,MUSTERILER!$B$7:$B$156,0))))</f>
        <v/>
      </c>
      <c r="O1463" s="2"/>
      <c r="P1463" s="2"/>
      <c r="Q1463" s="1" t="str">
        <f>IF($D1463="","",$C1463&amp;"|"&amp;COUNTIFS($C$7:$C1463,$C1463))</f>
        <v/>
      </c>
      <c r="R1463" s="1" t="str">
        <f t="shared" si="113"/>
        <v/>
      </c>
      <c r="S1463" s="1" t="str">
        <f t="shared" si="114"/>
        <v/>
      </c>
      <c r="T1463" s="1">
        <f>IF($E1463="",0,SUMPRODUCT((AY_SONU!$O$7:$O$42="Evet")*(AY_SONU!$B$7:$B$42=DATE(YEAR($E1463),MONTH($E1463),1))))</f>
        <v>0</v>
      </c>
    </row>
    <row r="1464" spans="1:20" ht="18" customHeight="1" x14ac:dyDescent="0.3">
      <c r="A1464" s="2"/>
      <c r="B1464" s="65" t="str">
        <f t="shared" si="110"/>
        <v/>
      </c>
      <c r="C1464" s="65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66"/>
      <c r="F1464" s="67"/>
      <c r="G1464" s="60"/>
      <c r="H1464" s="60"/>
      <c r="I1464" s="61"/>
      <c r="J1464" s="61"/>
      <c r="K1464" s="61"/>
      <c r="L1464" s="73" t="str">
        <f t="shared" si="111"/>
        <v/>
      </c>
      <c r="M1464" s="65" t="str">
        <f t="shared" ca="1" si="112"/>
        <v/>
      </c>
      <c r="N1464" s="74" t="str">
        <f>IF($C1464="","",IF($C1464="TANIMSIZ MÜŞTERİ","—",INDEX(MUSTERILER!$C$7:$C$156,MATCH($C1464,MUSTERILER!$B$7:$B$156,0))))</f>
        <v/>
      </c>
      <c r="O1464" s="2"/>
      <c r="P1464" s="2"/>
      <c r="Q1464" s="1" t="str">
        <f>IF($D1464="","",$C1464&amp;"|"&amp;COUNTIFS($C$7:$C1464,$C1464))</f>
        <v/>
      </c>
      <c r="R1464" s="1" t="str">
        <f t="shared" si="113"/>
        <v/>
      </c>
      <c r="S1464" s="1" t="str">
        <f t="shared" si="114"/>
        <v/>
      </c>
      <c r="T1464" s="1">
        <f>IF($E1464="",0,SUMPRODUCT((AY_SONU!$O$7:$O$42="Evet")*(AY_SONU!$B$7:$B$42=DATE(YEAR($E1464),MONTH($E1464),1))))</f>
        <v>0</v>
      </c>
    </row>
    <row r="1465" spans="1:20" ht="18" customHeight="1" x14ac:dyDescent="0.3">
      <c r="A1465" s="2"/>
      <c r="B1465" s="65" t="str">
        <f t="shared" si="110"/>
        <v/>
      </c>
      <c r="C1465" s="65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66"/>
      <c r="F1465" s="67"/>
      <c r="G1465" s="60"/>
      <c r="H1465" s="60"/>
      <c r="I1465" s="61"/>
      <c r="J1465" s="61"/>
      <c r="K1465" s="61"/>
      <c r="L1465" s="73" t="str">
        <f t="shared" si="111"/>
        <v/>
      </c>
      <c r="M1465" s="65" t="str">
        <f t="shared" ca="1" si="112"/>
        <v/>
      </c>
      <c r="N1465" s="74" t="str">
        <f>IF($C1465="","",IF($C1465="TANIMSIZ MÜŞTERİ","—",INDEX(MUSTERILER!$C$7:$C$156,MATCH($C1465,MUSTERILER!$B$7:$B$156,0))))</f>
        <v/>
      </c>
      <c r="O1465" s="2"/>
      <c r="P1465" s="2"/>
      <c r="Q1465" s="1" t="str">
        <f>IF($D1465="","",$C1465&amp;"|"&amp;COUNTIFS($C$7:$C1465,$C1465))</f>
        <v/>
      </c>
      <c r="R1465" s="1" t="str">
        <f t="shared" si="113"/>
        <v/>
      </c>
      <c r="S1465" s="1" t="str">
        <f t="shared" si="114"/>
        <v/>
      </c>
      <c r="T1465" s="1">
        <f>IF($E1465="",0,SUMPRODUCT((AY_SONU!$O$7:$O$42="Evet")*(AY_SONU!$B$7:$B$42=DATE(YEAR($E1465),MONTH($E1465),1))))</f>
        <v>0</v>
      </c>
    </row>
    <row r="1466" spans="1:20" ht="18" customHeight="1" x14ac:dyDescent="0.3">
      <c r="A1466" s="2"/>
      <c r="B1466" s="65" t="str">
        <f t="shared" si="110"/>
        <v/>
      </c>
      <c r="C1466" s="65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66"/>
      <c r="F1466" s="67"/>
      <c r="G1466" s="60"/>
      <c r="H1466" s="60"/>
      <c r="I1466" s="61"/>
      <c r="J1466" s="61"/>
      <c r="K1466" s="61"/>
      <c r="L1466" s="73" t="str">
        <f t="shared" si="111"/>
        <v/>
      </c>
      <c r="M1466" s="65" t="str">
        <f t="shared" ca="1" si="112"/>
        <v/>
      </c>
      <c r="N1466" s="74" t="str">
        <f>IF($C1466="","",IF($C1466="TANIMSIZ MÜŞTERİ","—",INDEX(MUSTERILER!$C$7:$C$156,MATCH($C1466,MUSTERILER!$B$7:$B$156,0))))</f>
        <v/>
      </c>
      <c r="O1466" s="2"/>
      <c r="P1466" s="2"/>
      <c r="Q1466" s="1" t="str">
        <f>IF($D1466="","",$C1466&amp;"|"&amp;COUNTIFS($C$7:$C1466,$C1466))</f>
        <v/>
      </c>
      <c r="R1466" s="1" t="str">
        <f t="shared" si="113"/>
        <v/>
      </c>
      <c r="S1466" s="1" t="str">
        <f t="shared" si="114"/>
        <v/>
      </c>
      <c r="T1466" s="1">
        <f>IF($E1466="",0,SUMPRODUCT((AY_SONU!$O$7:$O$42="Evet")*(AY_SONU!$B$7:$B$42=DATE(YEAR($E1466),MONTH($E1466),1))))</f>
        <v>0</v>
      </c>
    </row>
    <row r="1467" spans="1:20" ht="18" customHeight="1" x14ac:dyDescent="0.3">
      <c r="A1467" s="2"/>
      <c r="B1467" s="65" t="str">
        <f t="shared" si="110"/>
        <v/>
      </c>
      <c r="C1467" s="65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66"/>
      <c r="F1467" s="67"/>
      <c r="G1467" s="60"/>
      <c r="H1467" s="60"/>
      <c r="I1467" s="61"/>
      <c r="J1467" s="61"/>
      <c r="K1467" s="61"/>
      <c r="L1467" s="73" t="str">
        <f t="shared" si="111"/>
        <v/>
      </c>
      <c r="M1467" s="65" t="str">
        <f t="shared" ca="1" si="112"/>
        <v/>
      </c>
      <c r="N1467" s="74" t="str">
        <f>IF($C1467="","",IF($C1467="TANIMSIZ MÜŞTERİ","—",INDEX(MUSTERILER!$C$7:$C$156,MATCH($C1467,MUSTERILER!$B$7:$B$156,0))))</f>
        <v/>
      </c>
      <c r="O1467" s="2"/>
      <c r="P1467" s="2"/>
      <c r="Q1467" s="1" t="str">
        <f>IF($D1467="","",$C1467&amp;"|"&amp;COUNTIFS($C$7:$C1467,$C1467))</f>
        <v/>
      </c>
      <c r="R1467" s="1" t="str">
        <f t="shared" si="113"/>
        <v/>
      </c>
      <c r="S1467" s="1" t="str">
        <f t="shared" si="114"/>
        <v/>
      </c>
      <c r="T1467" s="1">
        <f>IF($E1467="",0,SUMPRODUCT((AY_SONU!$O$7:$O$42="Evet")*(AY_SONU!$B$7:$B$42=DATE(YEAR($E1467),MONTH($E1467),1))))</f>
        <v>0</v>
      </c>
    </row>
    <row r="1468" spans="1:20" ht="18" customHeight="1" x14ac:dyDescent="0.3">
      <c r="A1468" s="2"/>
      <c r="B1468" s="65" t="str">
        <f t="shared" si="110"/>
        <v/>
      </c>
      <c r="C1468" s="65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66"/>
      <c r="F1468" s="67"/>
      <c r="G1468" s="60"/>
      <c r="H1468" s="60"/>
      <c r="I1468" s="61"/>
      <c r="J1468" s="61"/>
      <c r="K1468" s="61"/>
      <c r="L1468" s="73" t="str">
        <f t="shared" si="111"/>
        <v/>
      </c>
      <c r="M1468" s="65" t="str">
        <f t="shared" ca="1" si="112"/>
        <v/>
      </c>
      <c r="N1468" s="74" t="str">
        <f>IF($C1468="","",IF($C1468="TANIMSIZ MÜŞTERİ","—",INDEX(MUSTERILER!$C$7:$C$156,MATCH($C1468,MUSTERILER!$B$7:$B$156,0))))</f>
        <v/>
      </c>
      <c r="O1468" s="2"/>
      <c r="P1468" s="2"/>
      <c r="Q1468" s="1" t="str">
        <f>IF($D1468="","",$C1468&amp;"|"&amp;COUNTIFS($C$7:$C1468,$C1468))</f>
        <v/>
      </c>
      <c r="R1468" s="1" t="str">
        <f t="shared" si="113"/>
        <v/>
      </c>
      <c r="S1468" s="1" t="str">
        <f t="shared" si="114"/>
        <v/>
      </c>
      <c r="T1468" s="1">
        <f>IF($E1468="",0,SUMPRODUCT((AY_SONU!$O$7:$O$42="Evet")*(AY_SONU!$B$7:$B$42=DATE(YEAR($E1468),MONTH($E1468),1))))</f>
        <v>0</v>
      </c>
    </row>
    <row r="1469" spans="1:20" ht="18" customHeight="1" x14ac:dyDescent="0.3">
      <c r="A1469" s="2"/>
      <c r="B1469" s="65" t="str">
        <f t="shared" si="110"/>
        <v/>
      </c>
      <c r="C1469" s="65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66"/>
      <c r="F1469" s="67"/>
      <c r="G1469" s="60"/>
      <c r="H1469" s="60"/>
      <c r="I1469" s="61"/>
      <c r="J1469" s="61"/>
      <c r="K1469" s="61"/>
      <c r="L1469" s="73" t="str">
        <f t="shared" si="111"/>
        <v/>
      </c>
      <c r="M1469" s="65" t="str">
        <f t="shared" ca="1" si="112"/>
        <v/>
      </c>
      <c r="N1469" s="74" t="str">
        <f>IF($C1469="","",IF($C1469="TANIMSIZ MÜŞTERİ","—",INDEX(MUSTERILER!$C$7:$C$156,MATCH($C1469,MUSTERILER!$B$7:$B$156,0))))</f>
        <v/>
      </c>
      <c r="O1469" s="2"/>
      <c r="P1469" s="2"/>
      <c r="Q1469" s="1" t="str">
        <f>IF($D1469="","",$C1469&amp;"|"&amp;COUNTIFS($C$7:$C1469,$C1469))</f>
        <v/>
      </c>
      <c r="R1469" s="1" t="str">
        <f t="shared" si="113"/>
        <v/>
      </c>
      <c r="S1469" s="1" t="str">
        <f t="shared" si="114"/>
        <v/>
      </c>
      <c r="T1469" s="1">
        <f>IF($E1469="",0,SUMPRODUCT((AY_SONU!$O$7:$O$42="Evet")*(AY_SONU!$B$7:$B$42=DATE(YEAR($E1469),MONTH($E1469),1))))</f>
        <v>0</v>
      </c>
    </row>
    <row r="1470" spans="1:20" ht="18" customHeight="1" x14ac:dyDescent="0.3">
      <c r="A1470" s="2"/>
      <c r="B1470" s="65" t="str">
        <f t="shared" si="110"/>
        <v/>
      </c>
      <c r="C1470" s="65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66"/>
      <c r="F1470" s="67"/>
      <c r="G1470" s="60"/>
      <c r="H1470" s="60"/>
      <c r="I1470" s="61"/>
      <c r="J1470" s="61"/>
      <c r="K1470" s="61"/>
      <c r="L1470" s="73" t="str">
        <f t="shared" si="111"/>
        <v/>
      </c>
      <c r="M1470" s="65" t="str">
        <f t="shared" ca="1" si="112"/>
        <v/>
      </c>
      <c r="N1470" s="74" t="str">
        <f>IF($C1470="","",IF($C1470="TANIMSIZ MÜŞTERİ","—",INDEX(MUSTERILER!$C$7:$C$156,MATCH($C1470,MUSTERILER!$B$7:$B$156,0))))</f>
        <v/>
      </c>
      <c r="O1470" s="2"/>
      <c r="P1470" s="2"/>
      <c r="Q1470" s="1" t="str">
        <f>IF($D1470="","",$C1470&amp;"|"&amp;COUNTIFS($C$7:$C1470,$C1470))</f>
        <v/>
      </c>
      <c r="R1470" s="1" t="str">
        <f t="shared" si="113"/>
        <v/>
      </c>
      <c r="S1470" s="1" t="str">
        <f t="shared" si="114"/>
        <v/>
      </c>
      <c r="T1470" s="1">
        <f>IF($E1470="",0,SUMPRODUCT((AY_SONU!$O$7:$O$42="Evet")*(AY_SONU!$B$7:$B$42=DATE(YEAR($E1470),MONTH($E1470),1))))</f>
        <v>0</v>
      </c>
    </row>
    <row r="1471" spans="1:20" ht="18" customHeight="1" x14ac:dyDescent="0.3">
      <c r="A1471" s="2"/>
      <c r="B1471" s="65" t="str">
        <f t="shared" si="110"/>
        <v/>
      </c>
      <c r="C1471" s="65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66"/>
      <c r="F1471" s="67"/>
      <c r="G1471" s="60"/>
      <c r="H1471" s="60"/>
      <c r="I1471" s="61"/>
      <c r="J1471" s="61"/>
      <c r="K1471" s="61"/>
      <c r="L1471" s="73" t="str">
        <f t="shared" si="111"/>
        <v/>
      </c>
      <c r="M1471" s="65" t="str">
        <f t="shared" ca="1" si="112"/>
        <v/>
      </c>
      <c r="N1471" s="74" t="str">
        <f>IF($C1471="","",IF($C1471="TANIMSIZ MÜŞTERİ","—",INDEX(MUSTERILER!$C$7:$C$156,MATCH($C1471,MUSTERILER!$B$7:$B$156,0))))</f>
        <v/>
      </c>
      <c r="O1471" s="2"/>
      <c r="P1471" s="2"/>
      <c r="Q1471" s="1" t="str">
        <f>IF($D1471="","",$C1471&amp;"|"&amp;COUNTIFS($C$7:$C1471,$C1471))</f>
        <v/>
      </c>
      <c r="R1471" s="1" t="str">
        <f t="shared" si="113"/>
        <v/>
      </c>
      <c r="S1471" s="1" t="str">
        <f t="shared" si="114"/>
        <v/>
      </c>
      <c r="T1471" s="1">
        <f>IF($E1471="",0,SUMPRODUCT((AY_SONU!$O$7:$O$42="Evet")*(AY_SONU!$B$7:$B$42=DATE(YEAR($E1471),MONTH($E1471),1))))</f>
        <v>0</v>
      </c>
    </row>
    <row r="1472" spans="1:20" ht="18" customHeight="1" x14ac:dyDescent="0.3">
      <c r="A1472" s="2"/>
      <c r="B1472" s="65" t="str">
        <f t="shared" si="110"/>
        <v/>
      </c>
      <c r="C1472" s="65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66"/>
      <c r="F1472" s="67"/>
      <c r="G1472" s="60"/>
      <c r="H1472" s="60"/>
      <c r="I1472" s="61"/>
      <c r="J1472" s="61"/>
      <c r="K1472" s="61"/>
      <c r="L1472" s="73" t="str">
        <f t="shared" si="111"/>
        <v/>
      </c>
      <c r="M1472" s="65" t="str">
        <f t="shared" ca="1" si="112"/>
        <v/>
      </c>
      <c r="N1472" s="74" t="str">
        <f>IF($C1472="","",IF($C1472="TANIMSIZ MÜŞTERİ","—",INDEX(MUSTERILER!$C$7:$C$156,MATCH($C1472,MUSTERILER!$B$7:$B$156,0))))</f>
        <v/>
      </c>
      <c r="O1472" s="2"/>
      <c r="P1472" s="2"/>
      <c r="Q1472" s="1" t="str">
        <f>IF($D1472="","",$C1472&amp;"|"&amp;COUNTIFS($C$7:$C1472,$C1472))</f>
        <v/>
      </c>
      <c r="R1472" s="1" t="str">
        <f t="shared" si="113"/>
        <v/>
      </c>
      <c r="S1472" s="1" t="str">
        <f t="shared" si="114"/>
        <v/>
      </c>
      <c r="T1472" s="1">
        <f>IF($E1472="",0,SUMPRODUCT((AY_SONU!$O$7:$O$42="Evet")*(AY_SONU!$B$7:$B$42=DATE(YEAR($E1472),MONTH($E1472),1))))</f>
        <v>0</v>
      </c>
    </row>
    <row r="1473" spans="1:20" ht="18" customHeight="1" x14ac:dyDescent="0.3">
      <c r="A1473" s="2"/>
      <c r="B1473" s="65" t="str">
        <f t="shared" si="110"/>
        <v/>
      </c>
      <c r="C1473" s="65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66"/>
      <c r="F1473" s="67"/>
      <c r="G1473" s="60"/>
      <c r="H1473" s="60"/>
      <c r="I1473" s="61"/>
      <c r="J1473" s="61"/>
      <c r="K1473" s="61"/>
      <c r="L1473" s="73" t="str">
        <f t="shared" si="111"/>
        <v/>
      </c>
      <c r="M1473" s="65" t="str">
        <f t="shared" ca="1" si="112"/>
        <v/>
      </c>
      <c r="N1473" s="74" t="str">
        <f>IF($C1473="","",IF($C1473="TANIMSIZ MÜŞTERİ","—",INDEX(MUSTERILER!$C$7:$C$156,MATCH($C1473,MUSTERILER!$B$7:$B$156,0))))</f>
        <v/>
      </c>
      <c r="O1473" s="2"/>
      <c r="P1473" s="2"/>
      <c r="Q1473" s="1" t="str">
        <f>IF($D1473="","",$C1473&amp;"|"&amp;COUNTIFS($C$7:$C1473,$C1473))</f>
        <v/>
      </c>
      <c r="R1473" s="1" t="str">
        <f t="shared" si="113"/>
        <v/>
      </c>
      <c r="S1473" s="1" t="str">
        <f t="shared" si="114"/>
        <v/>
      </c>
      <c r="T1473" s="1">
        <f>IF($E1473="",0,SUMPRODUCT((AY_SONU!$O$7:$O$42="Evet")*(AY_SONU!$B$7:$B$42=DATE(YEAR($E1473),MONTH($E1473),1))))</f>
        <v>0</v>
      </c>
    </row>
    <row r="1474" spans="1:20" ht="18" customHeight="1" x14ac:dyDescent="0.3">
      <c r="A1474" s="2"/>
      <c r="B1474" s="65" t="str">
        <f t="shared" si="110"/>
        <v/>
      </c>
      <c r="C1474" s="65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66"/>
      <c r="F1474" s="67"/>
      <c r="G1474" s="60"/>
      <c r="H1474" s="60"/>
      <c r="I1474" s="61"/>
      <c r="J1474" s="61"/>
      <c r="K1474" s="61"/>
      <c r="L1474" s="73" t="str">
        <f t="shared" si="111"/>
        <v/>
      </c>
      <c r="M1474" s="65" t="str">
        <f t="shared" ca="1" si="112"/>
        <v/>
      </c>
      <c r="N1474" s="74" t="str">
        <f>IF($C1474="","",IF($C1474="TANIMSIZ MÜŞTERİ","—",INDEX(MUSTERILER!$C$7:$C$156,MATCH($C1474,MUSTERILER!$B$7:$B$156,0))))</f>
        <v/>
      </c>
      <c r="O1474" s="2"/>
      <c r="P1474" s="2"/>
      <c r="Q1474" s="1" t="str">
        <f>IF($D1474="","",$C1474&amp;"|"&amp;COUNTIFS($C$7:$C1474,$C1474))</f>
        <v/>
      </c>
      <c r="R1474" s="1" t="str">
        <f t="shared" si="113"/>
        <v/>
      </c>
      <c r="S1474" s="1" t="str">
        <f t="shared" si="114"/>
        <v/>
      </c>
      <c r="T1474" s="1">
        <f>IF($E1474="",0,SUMPRODUCT((AY_SONU!$O$7:$O$42="Evet")*(AY_SONU!$B$7:$B$42=DATE(YEAR($E1474),MONTH($E1474),1))))</f>
        <v>0</v>
      </c>
    </row>
    <row r="1475" spans="1:20" ht="18" customHeight="1" x14ac:dyDescent="0.3">
      <c r="A1475" s="2"/>
      <c r="B1475" s="65" t="str">
        <f t="shared" si="110"/>
        <v/>
      </c>
      <c r="C1475" s="65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66"/>
      <c r="F1475" s="67"/>
      <c r="G1475" s="60"/>
      <c r="H1475" s="60"/>
      <c r="I1475" s="61"/>
      <c r="J1475" s="61"/>
      <c r="K1475" s="61"/>
      <c r="L1475" s="73" t="str">
        <f t="shared" si="111"/>
        <v/>
      </c>
      <c r="M1475" s="65" t="str">
        <f t="shared" ca="1" si="112"/>
        <v/>
      </c>
      <c r="N1475" s="74" t="str">
        <f>IF($C1475="","",IF($C1475="TANIMSIZ MÜŞTERİ","—",INDEX(MUSTERILER!$C$7:$C$156,MATCH($C1475,MUSTERILER!$B$7:$B$156,0))))</f>
        <v/>
      </c>
      <c r="O1475" s="2"/>
      <c r="P1475" s="2"/>
      <c r="Q1475" s="1" t="str">
        <f>IF($D1475="","",$C1475&amp;"|"&amp;COUNTIFS($C$7:$C1475,$C1475))</f>
        <v/>
      </c>
      <c r="R1475" s="1" t="str">
        <f t="shared" si="113"/>
        <v/>
      </c>
      <c r="S1475" s="1" t="str">
        <f t="shared" si="114"/>
        <v/>
      </c>
      <c r="T1475" s="1">
        <f>IF($E1475="",0,SUMPRODUCT((AY_SONU!$O$7:$O$42="Evet")*(AY_SONU!$B$7:$B$42=DATE(YEAR($E1475),MONTH($E1475),1))))</f>
        <v>0</v>
      </c>
    </row>
    <row r="1476" spans="1:20" ht="18" customHeight="1" x14ac:dyDescent="0.3">
      <c r="A1476" s="2"/>
      <c r="B1476" s="65" t="str">
        <f t="shared" si="110"/>
        <v/>
      </c>
      <c r="C1476" s="65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66"/>
      <c r="F1476" s="67"/>
      <c r="G1476" s="60"/>
      <c r="H1476" s="60"/>
      <c r="I1476" s="61"/>
      <c r="J1476" s="61"/>
      <c r="K1476" s="61"/>
      <c r="L1476" s="73" t="str">
        <f t="shared" si="111"/>
        <v/>
      </c>
      <c r="M1476" s="65" t="str">
        <f t="shared" ca="1" si="112"/>
        <v/>
      </c>
      <c r="N1476" s="74" t="str">
        <f>IF($C1476="","",IF($C1476="TANIMSIZ MÜŞTERİ","—",INDEX(MUSTERILER!$C$7:$C$156,MATCH($C1476,MUSTERILER!$B$7:$B$156,0))))</f>
        <v/>
      </c>
      <c r="O1476" s="2"/>
      <c r="P1476" s="2"/>
      <c r="Q1476" s="1" t="str">
        <f>IF($D1476="","",$C1476&amp;"|"&amp;COUNTIFS($C$7:$C1476,$C1476))</f>
        <v/>
      </c>
      <c r="R1476" s="1" t="str">
        <f t="shared" si="113"/>
        <v/>
      </c>
      <c r="S1476" s="1" t="str">
        <f t="shared" si="114"/>
        <v/>
      </c>
      <c r="T1476" s="1">
        <f>IF($E1476="",0,SUMPRODUCT((AY_SONU!$O$7:$O$42="Evet")*(AY_SONU!$B$7:$B$42=DATE(YEAR($E1476),MONTH($E1476),1))))</f>
        <v>0</v>
      </c>
    </row>
    <row r="1477" spans="1:20" ht="18" customHeight="1" x14ac:dyDescent="0.3">
      <c r="A1477" s="2"/>
      <c r="B1477" s="65" t="str">
        <f t="shared" si="110"/>
        <v/>
      </c>
      <c r="C1477" s="65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66"/>
      <c r="F1477" s="67"/>
      <c r="G1477" s="60"/>
      <c r="H1477" s="60"/>
      <c r="I1477" s="61"/>
      <c r="J1477" s="61"/>
      <c r="K1477" s="61"/>
      <c r="L1477" s="73" t="str">
        <f t="shared" si="111"/>
        <v/>
      </c>
      <c r="M1477" s="65" t="str">
        <f t="shared" ca="1" si="112"/>
        <v/>
      </c>
      <c r="N1477" s="74" t="str">
        <f>IF($C1477="","",IF($C1477="TANIMSIZ MÜŞTERİ","—",INDEX(MUSTERILER!$C$7:$C$156,MATCH($C1477,MUSTERILER!$B$7:$B$156,0))))</f>
        <v/>
      </c>
      <c r="O1477" s="2"/>
      <c r="P1477" s="2"/>
      <c r="Q1477" s="1" t="str">
        <f>IF($D1477="","",$C1477&amp;"|"&amp;COUNTIFS($C$7:$C1477,$C1477))</f>
        <v/>
      </c>
      <c r="R1477" s="1" t="str">
        <f t="shared" si="113"/>
        <v/>
      </c>
      <c r="S1477" s="1" t="str">
        <f t="shared" si="114"/>
        <v/>
      </c>
      <c r="T1477" s="1">
        <f>IF($E1477="",0,SUMPRODUCT((AY_SONU!$O$7:$O$42="Evet")*(AY_SONU!$B$7:$B$42=DATE(YEAR($E1477),MONTH($E1477),1))))</f>
        <v>0</v>
      </c>
    </row>
    <row r="1478" spans="1:20" ht="18" customHeight="1" x14ac:dyDescent="0.3">
      <c r="A1478" s="2"/>
      <c r="B1478" s="65" t="str">
        <f t="shared" si="110"/>
        <v/>
      </c>
      <c r="C1478" s="65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66"/>
      <c r="F1478" s="67"/>
      <c r="G1478" s="60"/>
      <c r="H1478" s="60"/>
      <c r="I1478" s="61"/>
      <c r="J1478" s="61"/>
      <c r="K1478" s="61"/>
      <c r="L1478" s="73" t="str">
        <f t="shared" si="111"/>
        <v/>
      </c>
      <c r="M1478" s="65" t="str">
        <f t="shared" ca="1" si="112"/>
        <v/>
      </c>
      <c r="N1478" s="74" t="str">
        <f>IF($C1478="","",IF($C1478="TANIMSIZ MÜŞTERİ","—",INDEX(MUSTERILER!$C$7:$C$156,MATCH($C1478,MUSTERILER!$B$7:$B$156,0))))</f>
        <v/>
      </c>
      <c r="O1478" s="2"/>
      <c r="P1478" s="2"/>
      <c r="Q1478" s="1" t="str">
        <f>IF($D1478="","",$C1478&amp;"|"&amp;COUNTIFS($C$7:$C1478,$C1478))</f>
        <v/>
      </c>
      <c r="R1478" s="1" t="str">
        <f t="shared" si="113"/>
        <v/>
      </c>
      <c r="S1478" s="1" t="str">
        <f t="shared" si="114"/>
        <v/>
      </c>
      <c r="T1478" s="1">
        <f>IF($E1478="",0,SUMPRODUCT((AY_SONU!$O$7:$O$42="Evet")*(AY_SONU!$B$7:$B$42=DATE(YEAR($E1478),MONTH($E1478),1))))</f>
        <v>0</v>
      </c>
    </row>
    <row r="1479" spans="1:20" ht="18" customHeight="1" x14ac:dyDescent="0.3">
      <c r="A1479" s="2"/>
      <c r="B1479" s="65" t="str">
        <f t="shared" ref="B1479:B1542" si="115">IF($D1479="","","T"&amp;TEXT(ROW()-6,"00000"))</f>
        <v/>
      </c>
      <c r="C1479" s="65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66"/>
      <c r="F1479" s="67"/>
      <c r="G1479" s="60"/>
      <c r="H1479" s="60"/>
      <c r="I1479" s="61"/>
      <c r="J1479" s="61"/>
      <c r="K1479" s="61"/>
      <c r="L1479" s="73" t="str">
        <f t="shared" ref="L1479:L1542" si="116">IF($E1479="","",DATE(YEAR($E1479),MONTH($E1479),1))</f>
        <v/>
      </c>
      <c r="M1479" s="65" t="str">
        <f t="shared" ref="M1479:M1542" ca="1" si="117">IF($D1479="","",IF($C1479="TANIMSIZ MÜŞTERİ","HATA",IF(OR($E1479="",$F1479&lt;=0,$G1479=""),"EKSİK",IF($E1479&gt;TODAY(),"İLERİ TARİH",IF(COUNTIF($S$7:$S$2506,$S1479)&gt;1,"MÜKERRER?",IF($T1479&gt;0,"KAPALI DÖNEM","UYGUN"))))))</f>
        <v/>
      </c>
      <c r="N1479" s="74" t="str">
        <f>IF($C1479="","",IF($C1479="TANIMSIZ MÜŞTERİ","—",INDEX(MUSTERILER!$C$7:$C$156,MATCH($C1479,MUSTERILER!$B$7:$B$156,0))))</f>
        <v/>
      </c>
      <c r="O1479" s="2"/>
      <c r="P1479" s="2"/>
      <c r="Q1479" s="1" t="str">
        <f>IF($D1479="","",$C1479&amp;"|"&amp;COUNTIFS($C$7:$C1479,$C1479))</f>
        <v/>
      </c>
      <c r="R1479" s="1" t="str">
        <f t="shared" ref="R1479:R1542" si="118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 t="str">
        <f t="shared" ref="S1479:S1542" si="119"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>0</v>
      </c>
    </row>
    <row r="1480" spans="1:20" ht="18" customHeight="1" x14ac:dyDescent="0.3">
      <c r="A1480" s="2"/>
      <c r="B1480" s="65" t="str">
        <f t="shared" si="115"/>
        <v/>
      </c>
      <c r="C1480" s="65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66"/>
      <c r="F1480" s="67"/>
      <c r="G1480" s="60"/>
      <c r="H1480" s="60"/>
      <c r="I1480" s="61"/>
      <c r="J1480" s="61"/>
      <c r="K1480" s="61"/>
      <c r="L1480" s="73" t="str">
        <f t="shared" si="116"/>
        <v/>
      </c>
      <c r="M1480" s="65" t="str">
        <f t="shared" ca="1" si="117"/>
        <v/>
      </c>
      <c r="N1480" s="74" t="str">
        <f>IF($C1480="","",IF($C1480="TANIMSIZ MÜŞTERİ","—",INDEX(MUSTERILER!$C$7:$C$156,MATCH($C1480,MUSTERILER!$B$7:$B$156,0))))</f>
        <v/>
      </c>
      <c r="O1480" s="2"/>
      <c r="P1480" s="2"/>
      <c r="Q1480" s="1" t="str">
        <f>IF($D1480="","",$C1480&amp;"|"&amp;COUNTIFS($C$7:$C1480,$C1480))</f>
        <v/>
      </c>
      <c r="R1480" s="1" t="str">
        <f t="shared" si="118"/>
        <v/>
      </c>
      <c r="S1480" s="1" t="str">
        <f t="shared" si="119"/>
        <v/>
      </c>
      <c r="T1480" s="1">
        <f>IF($E1480="",0,SUMPRODUCT((AY_SONU!$O$7:$O$42="Evet")*(AY_SONU!$B$7:$B$42=DATE(YEAR($E1480),MONTH($E1480),1))))</f>
        <v>0</v>
      </c>
    </row>
    <row r="1481" spans="1:20" ht="18" customHeight="1" x14ac:dyDescent="0.3">
      <c r="A1481" s="2"/>
      <c r="B1481" s="65" t="str">
        <f t="shared" si="115"/>
        <v/>
      </c>
      <c r="C1481" s="65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66"/>
      <c r="F1481" s="67"/>
      <c r="G1481" s="60"/>
      <c r="H1481" s="60"/>
      <c r="I1481" s="61"/>
      <c r="J1481" s="61"/>
      <c r="K1481" s="61"/>
      <c r="L1481" s="73" t="str">
        <f t="shared" si="116"/>
        <v/>
      </c>
      <c r="M1481" s="65" t="str">
        <f t="shared" ca="1" si="117"/>
        <v/>
      </c>
      <c r="N1481" s="74" t="str">
        <f>IF($C1481="","",IF($C1481="TANIMSIZ MÜŞTERİ","—",INDEX(MUSTERILER!$C$7:$C$156,MATCH($C1481,MUSTERILER!$B$7:$B$156,0))))</f>
        <v/>
      </c>
      <c r="O1481" s="2"/>
      <c r="P1481" s="2"/>
      <c r="Q1481" s="1" t="str">
        <f>IF($D1481="","",$C1481&amp;"|"&amp;COUNTIFS($C$7:$C1481,$C1481))</f>
        <v/>
      </c>
      <c r="R1481" s="1" t="str">
        <f t="shared" si="118"/>
        <v/>
      </c>
      <c r="S1481" s="1" t="str">
        <f t="shared" si="119"/>
        <v/>
      </c>
      <c r="T1481" s="1">
        <f>IF($E1481="",0,SUMPRODUCT((AY_SONU!$O$7:$O$42="Evet")*(AY_SONU!$B$7:$B$42=DATE(YEAR($E1481),MONTH($E1481),1))))</f>
        <v>0</v>
      </c>
    </row>
    <row r="1482" spans="1:20" ht="18" customHeight="1" x14ac:dyDescent="0.3">
      <c r="A1482" s="2"/>
      <c r="B1482" s="65" t="str">
        <f t="shared" si="115"/>
        <v/>
      </c>
      <c r="C1482" s="65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66"/>
      <c r="F1482" s="67"/>
      <c r="G1482" s="60"/>
      <c r="H1482" s="60"/>
      <c r="I1482" s="61"/>
      <c r="J1482" s="61"/>
      <c r="K1482" s="61"/>
      <c r="L1482" s="73" t="str">
        <f t="shared" si="116"/>
        <v/>
      </c>
      <c r="M1482" s="65" t="str">
        <f t="shared" ca="1" si="117"/>
        <v/>
      </c>
      <c r="N1482" s="74" t="str">
        <f>IF($C1482="","",IF($C1482="TANIMSIZ MÜŞTERİ","—",INDEX(MUSTERILER!$C$7:$C$156,MATCH($C1482,MUSTERILER!$B$7:$B$156,0))))</f>
        <v/>
      </c>
      <c r="O1482" s="2"/>
      <c r="P1482" s="2"/>
      <c r="Q1482" s="1" t="str">
        <f>IF($D1482="","",$C1482&amp;"|"&amp;COUNTIFS($C$7:$C1482,$C1482))</f>
        <v/>
      </c>
      <c r="R1482" s="1" t="str">
        <f t="shared" si="118"/>
        <v/>
      </c>
      <c r="S1482" s="1" t="str">
        <f t="shared" si="119"/>
        <v/>
      </c>
      <c r="T1482" s="1">
        <f>IF($E1482="",0,SUMPRODUCT((AY_SONU!$O$7:$O$42="Evet")*(AY_SONU!$B$7:$B$42=DATE(YEAR($E1482),MONTH($E1482),1))))</f>
        <v>0</v>
      </c>
    </row>
    <row r="1483" spans="1:20" ht="18" customHeight="1" x14ac:dyDescent="0.3">
      <c r="A1483" s="2"/>
      <c r="B1483" s="65" t="str">
        <f t="shared" si="115"/>
        <v/>
      </c>
      <c r="C1483" s="65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66"/>
      <c r="F1483" s="67"/>
      <c r="G1483" s="60"/>
      <c r="H1483" s="60"/>
      <c r="I1483" s="61"/>
      <c r="J1483" s="61"/>
      <c r="K1483" s="61"/>
      <c r="L1483" s="73" t="str">
        <f t="shared" si="116"/>
        <v/>
      </c>
      <c r="M1483" s="65" t="str">
        <f t="shared" ca="1" si="117"/>
        <v/>
      </c>
      <c r="N1483" s="74" t="str">
        <f>IF($C1483="","",IF($C1483="TANIMSIZ MÜŞTERİ","—",INDEX(MUSTERILER!$C$7:$C$156,MATCH($C1483,MUSTERILER!$B$7:$B$156,0))))</f>
        <v/>
      </c>
      <c r="O1483" s="2"/>
      <c r="P1483" s="2"/>
      <c r="Q1483" s="1" t="str">
        <f>IF($D1483="","",$C1483&amp;"|"&amp;COUNTIFS($C$7:$C1483,$C1483))</f>
        <v/>
      </c>
      <c r="R1483" s="1" t="str">
        <f t="shared" si="118"/>
        <v/>
      </c>
      <c r="S1483" s="1" t="str">
        <f t="shared" si="119"/>
        <v/>
      </c>
      <c r="T1483" s="1">
        <f>IF($E1483="",0,SUMPRODUCT((AY_SONU!$O$7:$O$42="Evet")*(AY_SONU!$B$7:$B$42=DATE(YEAR($E1483),MONTH($E1483),1))))</f>
        <v>0</v>
      </c>
    </row>
    <row r="1484" spans="1:20" ht="18" customHeight="1" x14ac:dyDescent="0.3">
      <c r="A1484" s="2"/>
      <c r="B1484" s="65" t="str">
        <f t="shared" si="115"/>
        <v/>
      </c>
      <c r="C1484" s="65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66"/>
      <c r="F1484" s="67"/>
      <c r="G1484" s="60"/>
      <c r="H1484" s="60"/>
      <c r="I1484" s="61"/>
      <c r="J1484" s="61"/>
      <c r="K1484" s="61"/>
      <c r="L1484" s="73" t="str">
        <f t="shared" si="116"/>
        <v/>
      </c>
      <c r="M1484" s="65" t="str">
        <f t="shared" ca="1" si="117"/>
        <v/>
      </c>
      <c r="N1484" s="74" t="str">
        <f>IF($C1484="","",IF($C1484="TANIMSIZ MÜŞTERİ","—",INDEX(MUSTERILER!$C$7:$C$156,MATCH($C1484,MUSTERILER!$B$7:$B$156,0))))</f>
        <v/>
      </c>
      <c r="O1484" s="2"/>
      <c r="P1484" s="2"/>
      <c r="Q1484" s="1" t="str">
        <f>IF($D1484="","",$C1484&amp;"|"&amp;COUNTIFS($C$7:$C1484,$C1484))</f>
        <v/>
      </c>
      <c r="R1484" s="1" t="str">
        <f t="shared" si="118"/>
        <v/>
      </c>
      <c r="S1484" s="1" t="str">
        <f t="shared" si="119"/>
        <v/>
      </c>
      <c r="T1484" s="1">
        <f>IF($E1484="",0,SUMPRODUCT((AY_SONU!$O$7:$O$42="Evet")*(AY_SONU!$B$7:$B$42=DATE(YEAR($E1484),MONTH($E1484),1))))</f>
        <v>0</v>
      </c>
    </row>
    <row r="1485" spans="1:20" ht="18" customHeight="1" x14ac:dyDescent="0.3">
      <c r="A1485" s="2"/>
      <c r="B1485" s="65" t="str">
        <f t="shared" si="115"/>
        <v/>
      </c>
      <c r="C1485" s="65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66"/>
      <c r="F1485" s="67"/>
      <c r="G1485" s="60"/>
      <c r="H1485" s="60"/>
      <c r="I1485" s="61"/>
      <c r="J1485" s="61"/>
      <c r="K1485" s="61"/>
      <c r="L1485" s="73" t="str">
        <f t="shared" si="116"/>
        <v/>
      </c>
      <c r="M1485" s="65" t="str">
        <f t="shared" ca="1" si="117"/>
        <v/>
      </c>
      <c r="N1485" s="74" t="str">
        <f>IF($C1485="","",IF($C1485="TANIMSIZ MÜŞTERİ","—",INDEX(MUSTERILER!$C$7:$C$156,MATCH($C1485,MUSTERILER!$B$7:$B$156,0))))</f>
        <v/>
      </c>
      <c r="O1485" s="2"/>
      <c r="P1485" s="2"/>
      <c r="Q1485" s="1" t="str">
        <f>IF($D1485="","",$C1485&amp;"|"&amp;COUNTIFS($C$7:$C1485,$C1485))</f>
        <v/>
      </c>
      <c r="R1485" s="1" t="str">
        <f t="shared" si="118"/>
        <v/>
      </c>
      <c r="S1485" s="1" t="str">
        <f t="shared" si="119"/>
        <v/>
      </c>
      <c r="T1485" s="1">
        <f>IF($E1485="",0,SUMPRODUCT((AY_SONU!$O$7:$O$42="Evet")*(AY_SONU!$B$7:$B$42=DATE(YEAR($E1485),MONTH($E1485),1))))</f>
        <v>0</v>
      </c>
    </row>
    <row r="1486" spans="1:20" ht="18" customHeight="1" x14ac:dyDescent="0.3">
      <c r="A1486" s="2"/>
      <c r="B1486" s="65" t="str">
        <f t="shared" si="115"/>
        <v/>
      </c>
      <c r="C1486" s="65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66"/>
      <c r="F1486" s="67"/>
      <c r="G1486" s="60"/>
      <c r="H1486" s="60"/>
      <c r="I1486" s="61"/>
      <c r="J1486" s="61"/>
      <c r="K1486" s="61"/>
      <c r="L1486" s="73" t="str">
        <f t="shared" si="116"/>
        <v/>
      </c>
      <c r="M1486" s="65" t="str">
        <f t="shared" ca="1" si="117"/>
        <v/>
      </c>
      <c r="N1486" s="74" t="str">
        <f>IF($C1486="","",IF($C1486="TANIMSIZ MÜŞTERİ","—",INDEX(MUSTERILER!$C$7:$C$156,MATCH($C1486,MUSTERILER!$B$7:$B$156,0))))</f>
        <v/>
      </c>
      <c r="O1486" s="2"/>
      <c r="P1486" s="2"/>
      <c r="Q1486" s="1" t="str">
        <f>IF($D1486="","",$C1486&amp;"|"&amp;COUNTIFS($C$7:$C1486,$C1486))</f>
        <v/>
      </c>
      <c r="R1486" s="1" t="str">
        <f t="shared" si="118"/>
        <v/>
      </c>
      <c r="S1486" s="1" t="str">
        <f t="shared" si="119"/>
        <v/>
      </c>
      <c r="T1486" s="1">
        <f>IF($E1486="",0,SUMPRODUCT((AY_SONU!$O$7:$O$42="Evet")*(AY_SONU!$B$7:$B$42=DATE(YEAR($E1486),MONTH($E1486),1))))</f>
        <v>0</v>
      </c>
    </row>
    <row r="1487" spans="1:20" ht="18" customHeight="1" x14ac:dyDescent="0.3">
      <c r="A1487" s="2"/>
      <c r="B1487" s="65" t="str">
        <f t="shared" si="115"/>
        <v/>
      </c>
      <c r="C1487" s="65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66"/>
      <c r="F1487" s="67"/>
      <c r="G1487" s="60"/>
      <c r="H1487" s="60"/>
      <c r="I1487" s="61"/>
      <c r="J1487" s="61"/>
      <c r="K1487" s="61"/>
      <c r="L1487" s="73" t="str">
        <f t="shared" si="116"/>
        <v/>
      </c>
      <c r="M1487" s="65" t="str">
        <f t="shared" ca="1" si="117"/>
        <v/>
      </c>
      <c r="N1487" s="74" t="str">
        <f>IF($C1487="","",IF($C1487="TANIMSIZ MÜŞTERİ","—",INDEX(MUSTERILER!$C$7:$C$156,MATCH($C1487,MUSTERILER!$B$7:$B$156,0))))</f>
        <v/>
      </c>
      <c r="O1487" s="2"/>
      <c r="P1487" s="2"/>
      <c r="Q1487" s="1" t="str">
        <f>IF($D1487="","",$C1487&amp;"|"&amp;COUNTIFS($C$7:$C1487,$C1487))</f>
        <v/>
      </c>
      <c r="R1487" s="1" t="str">
        <f t="shared" si="118"/>
        <v/>
      </c>
      <c r="S1487" s="1" t="str">
        <f t="shared" si="119"/>
        <v/>
      </c>
      <c r="T1487" s="1">
        <f>IF($E1487="",0,SUMPRODUCT((AY_SONU!$O$7:$O$42="Evet")*(AY_SONU!$B$7:$B$42=DATE(YEAR($E1487),MONTH($E1487),1))))</f>
        <v>0</v>
      </c>
    </row>
    <row r="1488" spans="1:20" ht="18" customHeight="1" x14ac:dyDescent="0.3">
      <c r="A1488" s="2"/>
      <c r="B1488" s="65" t="str">
        <f t="shared" si="115"/>
        <v/>
      </c>
      <c r="C1488" s="65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66"/>
      <c r="F1488" s="67"/>
      <c r="G1488" s="60"/>
      <c r="H1488" s="60"/>
      <c r="I1488" s="61"/>
      <c r="J1488" s="61"/>
      <c r="K1488" s="61"/>
      <c r="L1488" s="73" t="str">
        <f t="shared" si="116"/>
        <v/>
      </c>
      <c r="M1488" s="65" t="str">
        <f t="shared" ca="1" si="117"/>
        <v/>
      </c>
      <c r="N1488" s="74" t="str">
        <f>IF($C1488="","",IF($C1488="TANIMSIZ MÜŞTERİ","—",INDEX(MUSTERILER!$C$7:$C$156,MATCH($C1488,MUSTERILER!$B$7:$B$156,0))))</f>
        <v/>
      </c>
      <c r="O1488" s="2"/>
      <c r="P1488" s="2"/>
      <c r="Q1488" s="1" t="str">
        <f>IF($D1488="","",$C1488&amp;"|"&amp;COUNTIFS($C$7:$C1488,$C1488))</f>
        <v/>
      </c>
      <c r="R1488" s="1" t="str">
        <f t="shared" si="118"/>
        <v/>
      </c>
      <c r="S1488" s="1" t="str">
        <f t="shared" si="119"/>
        <v/>
      </c>
      <c r="T1488" s="1">
        <f>IF($E1488="",0,SUMPRODUCT((AY_SONU!$O$7:$O$42="Evet")*(AY_SONU!$B$7:$B$42=DATE(YEAR($E1488),MONTH($E1488),1))))</f>
        <v>0</v>
      </c>
    </row>
    <row r="1489" spans="1:20" ht="18" customHeight="1" x14ac:dyDescent="0.3">
      <c r="A1489" s="2"/>
      <c r="B1489" s="65" t="str">
        <f t="shared" si="115"/>
        <v/>
      </c>
      <c r="C1489" s="65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66"/>
      <c r="F1489" s="67"/>
      <c r="G1489" s="60"/>
      <c r="H1489" s="60"/>
      <c r="I1489" s="61"/>
      <c r="J1489" s="61"/>
      <c r="K1489" s="61"/>
      <c r="L1489" s="73" t="str">
        <f t="shared" si="116"/>
        <v/>
      </c>
      <c r="M1489" s="65" t="str">
        <f t="shared" ca="1" si="117"/>
        <v/>
      </c>
      <c r="N1489" s="74" t="str">
        <f>IF($C1489="","",IF($C1489="TANIMSIZ MÜŞTERİ","—",INDEX(MUSTERILER!$C$7:$C$156,MATCH($C1489,MUSTERILER!$B$7:$B$156,0))))</f>
        <v/>
      </c>
      <c r="O1489" s="2"/>
      <c r="P1489" s="2"/>
      <c r="Q1489" s="1" t="str">
        <f>IF($D1489="","",$C1489&amp;"|"&amp;COUNTIFS($C$7:$C1489,$C1489))</f>
        <v/>
      </c>
      <c r="R1489" s="1" t="str">
        <f t="shared" si="118"/>
        <v/>
      </c>
      <c r="S1489" s="1" t="str">
        <f t="shared" si="119"/>
        <v/>
      </c>
      <c r="T1489" s="1">
        <f>IF($E1489="",0,SUMPRODUCT((AY_SONU!$O$7:$O$42="Evet")*(AY_SONU!$B$7:$B$42=DATE(YEAR($E1489),MONTH($E1489),1))))</f>
        <v>0</v>
      </c>
    </row>
    <row r="1490" spans="1:20" ht="18" customHeight="1" x14ac:dyDescent="0.3">
      <c r="A1490" s="2"/>
      <c r="B1490" s="65" t="str">
        <f t="shared" si="115"/>
        <v/>
      </c>
      <c r="C1490" s="65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66"/>
      <c r="F1490" s="67"/>
      <c r="G1490" s="60"/>
      <c r="H1490" s="60"/>
      <c r="I1490" s="61"/>
      <c r="J1490" s="61"/>
      <c r="K1490" s="61"/>
      <c r="L1490" s="73" t="str">
        <f t="shared" si="116"/>
        <v/>
      </c>
      <c r="M1490" s="65" t="str">
        <f t="shared" ca="1" si="117"/>
        <v/>
      </c>
      <c r="N1490" s="74" t="str">
        <f>IF($C1490="","",IF($C1490="TANIMSIZ MÜŞTERİ","—",INDEX(MUSTERILER!$C$7:$C$156,MATCH($C1490,MUSTERILER!$B$7:$B$156,0))))</f>
        <v/>
      </c>
      <c r="O1490" s="2"/>
      <c r="P1490" s="2"/>
      <c r="Q1490" s="1" t="str">
        <f>IF($D1490="","",$C1490&amp;"|"&amp;COUNTIFS($C$7:$C1490,$C1490))</f>
        <v/>
      </c>
      <c r="R1490" s="1" t="str">
        <f t="shared" si="118"/>
        <v/>
      </c>
      <c r="S1490" s="1" t="str">
        <f t="shared" si="119"/>
        <v/>
      </c>
      <c r="T1490" s="1">
        <f>IF($E1490="",0,SUMPRODUCT((AY_SONU!$O$7:$O$42="Evet")*(AY_SONU!$B$7:$B$42=DATE(YEAR($E1490),MONTH($E1490),1))))</f>
        <v>0</v>
      </c>
    </row>
    <row r="1491" spans="1:20" ht="18" customHeight="1" x14ac:dyDescent="0.3">
      <c r="A1491" s="2"/>
      <c r="B1491" s="65" t="str">
        <f t="shared" si="115"/>
        <v/>
      </c>
      <c r="C1491" s="65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66"/>
      <c r="F1491" s="67"/>
      <c r="G1491" s="60"/>
      <c r="H1491" s="60"/>
      <c r="I1491" s="61"/>
      <c r="J1491" s="61"/>
      <c r="K1491" s="61"/>
      <c r="L1491" s="73" t="str">
        <f t="shared" si="116"/>
        <v/>
      </c>
      <c r="M1491" s="65" t="str">
        <f t="shared" ca="1" si="117"/>
        <v/>
      </c>
      <c r="N1491" s="74" t="str">
        <f>IF($C1491="","",IF($C1491="TANIMSIZ MÜŞTERİ","—",INDEX(MUSTERILER!$C$7:$C$156,MATCH($C1491,MUSTERILER!$B$7:$B$156,0))))</f>
        <v/>
      </c>
      <c r="O1491" s="2"/>
      <c r="P1491" s="2"/>
      <c r="Q1491" s="1" t="str">
        <f>IF($D1491="","",$C1491&amp;"|"&amp;COUNTIFS($C$7:$C1491,$C1491))</f>
        <v/>
      </c>
      <c r="R1491" s="1" t="str">
        <f t="shared" si="118"/>
        <v/>
      </c>
      <c r="S1491" s="1" t="str">
        <f t="shared" si="119"/>
        <v/>
      </c>
      <c r="T1491" s="1">
        <f>IF($E1491="",0,SUMPRODUCT((AY_SONU!$O$7:$O$42="Evet")*(AY_SONU!$B$7:$B$42=DATE(YEAR($E1491),MONTH($E1491),1))))</f>
        <v>0</v>
      </c>
    </row>
    <row r="1492" spans="1:20" ht="18" customHeight="1" x14ac:dyDescent="0.3">
      <c r="A1492" s="2"/>
      <c r="B1492" s="65" t="str">
        <f t="shared" si="115"/>
        <v/>
      </c>
      <c r="C1492" s="65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66"/>
      <c r="F1492" s="67"/>
      <c r="G1492" s="60"/>
      <c r="H1492" s="60"/>
      <c r="I1492" s="61"/>
      <c r="J1492" s="61"/>
      <c r="K1492" s="61"/>
      <c r="L1492" s="73" t="str">
        <f t="shared" si="116"/>
        <v/>
      </c>
      <c r="M1492" s="65" t="str">
        <f t="shared" ca="1" si="117"/>
        <v/>
      </c>
      <c r="N1492" s="74" t="str">
        <f>IF($C1492="","",IF($C1492="TANIMSIZ MÜŞTERİ","—",INDEX(MUSTERILER!$C$7:$C$156,MATCH($C1492,MUSTERILER!$B$7:$B$156,0))))</f>
        <v/>
      </c>
      <c r="O1492" s="2"/>
      <c r="P1492" s="2"/>
      <c r="Q1492" s="1" t="str">
        <f>IF($D1492="","",$C1492&amp;"|"&amp;COUNTIFS($C$7:$C1492,$C1492))</f>
        <v/>
      </c>
      <c r="R1492" s="1" t="str">
        <f t="shared" si="118"/>
        <v/>
      </c>
      <c r="S1492" s="1" t="str">
        <f t="shared" si="119"/>
        <v/>
      </c>
      <c r="T1492" s="1">
        <f>IF($E1492="",0,SUMPRODUCT((AY_SONU!$O$7:$O$42="Evet")*(AY_SONU!$B$7:$B$42=DATE(YEAR($E1492),MONTH($E1492),1))))</f>
        <v>0</v>
      </c>
    </row>
    <row r="1493" spans="1:20" ht="18" customHeight="1" x14ac:dyDescent="0.3">
      <c r="A1493" s="2"/>
      <c r="B1493" s="65" t="str">
        <f t="shared" si="115"/>
        <v/>
      </c>
      <c r="C1493" s="65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66"/>
      <c r="F1493" s="67"/>
      <c r="G1493" s="60"/>
      <c r="H1493" s="60"/>
      <c r="I1493" s="61"/>
      <c r="J1493" s="61"/>
      <c r="K1493" s="61"/>
      <c r="L1493" s="73" t="str">
        <f t="shared" si="116"/>
        <v/>
      </c>
      <c r="M1493" s="65" t="str">
        <f t="shared" ca="1" si="117"/>
        <v/>
      </c>
      <c r="N1493" s="74" t="str">
        <f>IF($C1493="","",IF($C1493="TANIMSIZ MÜŞTERİ","—",INDEX(MUSTERILER!$C$7:$C$156,MATCH($C1493,MUSTERILER!$B$7:$B$156,0))))</f>
        <v/>
      </c>
      <c r="O1493" s="2"/>
      <c r="P1493" s="2"/>
      <c r="Q1493" s="1" t="str">
        <f>IF($D1493="","",$C1493&amp;"|"&amp;COUNTIFS($C$7:$C1493,$C1493))</f>
        <v/>
      </c>
      <c r="R1493" s="1" t="str">
        <f t="shared" si="118"/>
        <v/>
      </c>
      <c r="S1493" s="1" t="str">
        <f t="shared" si="119"/>
        <v/>
      </c>
      <c r="T1493" s="1">
        <f>IF($E1493="",0,SUMPRODUCT((AY_SONU!$O$7:$O$42="Evet")*(AY_SONU!$B$7:$B$42=DATE(YEAR($E1493),MONTH($E1493),1))))</f>
        <v>0</v>
      </c>
    </row>
    <row r="1494" spans="1:20" ht="18" customHeight="1" x14ac:dyDescent="0.3">
      <c r="A1494" s="2"/>
      <c r="B1494" s="65" t="str">
        <f t="shared" si="115"/>
        <v/>
      </c>
      <c r="C1494" s="65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66"/>
      <c r="F1494" s="67"/>
      <c r="G1494" s="60"/>
      <c r="H1494" s="60"/>
      <c r="I1494" s="61"/>
      <c r="J1494" s="61"/>
      <c r="K1494" s="61"/>
      <c r="L1494" s="73" t="str">
        <f t="shared" si="116"/>
        <v/>
      </c>
      <c r="M1494" s="65" t="str">
        <f t="shared" ca="1" si="117"/>
        <v/>
      </c>
      <c r="N1494" s="74" t="str">
        <f>IF($C1494="","",IF($C1494="TANIMSIZ MÜŞTERİ","—",INDEX(MUSTERILER!$C$7:$C$156,MATCH($C1494,MUSTERILER!$B$7:$B$156,0))))</f>
        <v/>
      </c>
      <c r="O1494" s="2"/>
      <c r="P1494" s="2"/>
      <c r="Q1494" s="1" t="str">
        <f>IF($D1494="","",$C1494&amp;"|"&amp;COUNTIFS($C$7:$C1494,$C1494))</f>
        <v/>
      </c>
      <c r="R1494" s="1" t="str">
        <f t="shared" si="118"/>
        <v/>
      </c>
      <c r="S1494" s="1" t="str">
        <f t="shared" si="119"/>
        <v/>
      </c>
      <c r="T1494" s="1">
        <f>IF($E1494="",0,SUMPRODUCT((AY_SONU!$O$7:$O$42="Evet")*(AY_SONU!$B$7:$B$42=DATE(YEAR($E1494),MONTH($E1494),1))))</f>
        <v>0</v>
      </c>
    </row>
    <row r="1495" spans="1:20" ht="18" customHeight="1" x14ac:dyDescent="0.3">
      <c r="A1495" s="2"/>
      <c r="B1495" s="65" t="str">
        <f t="shared" si="115"/>
        <v/>
      </c>
      <c r="C1495" s="65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66"/>
      <c r="F1495" s="67"/>
      <c r="G1495" s="60"/>
      <c r="H1495" s="60"/>
      <c r="I1495" s="61"/>
      <c r="J1495" s="61"/>
      <c r="K1495" s="61"/>
      <c r="L1495" s="73" t="str">
        <f t="shared" si="116"/>
        <v/>
      </c>
      <c r="M1495" s="65" t="str">
        <f t="shared" ca="1" si="117"/>
        <v/>
      </c>
      <c r="N1495" s="74" t="str">
        <f>IF($C1495="","",IF($C1495="TANIMSIZ MÜŞTERİ","—",INDEX(MUSTERILER!$C$7:$C$156,MATCH($C1495,MUSTERILER!$B$7:$B$156,0))))</f>
        <v/>
      </c>
      <c r="O1495" s="2"/>
      <c r="P1495" s="2"/>
      <c r="Q1495" s="1" t="str">
        <f>IF($D1495="","",$C1495&amp;"|"&amp;COUNTIFS($C$7:$C1495,$C1495))</f>
        <v/>
      </c>
      <c r="R1495" s="1" t="str">
        <f t="shared" si="118"/>
        <v/>
      </c>
      <c r="S1495" s="1" t="str">
        <f t="shared" si="119"/>
        <v/>
      </c>
      <c r="T1495" s="1">
        <f>IF($E1495="",0,SUMPRODUCT((AY_SONU!$O$7:$O$42="Evet")*(AY_SONU!$B$7:$B$42=DATE(YEAR($E1495),MONTH($E1495),1))))</f>
        <v>0</v>
      </c>
    </row>
    <row r="1496" spans="1:20" ht="18" customHeight="1" x14ac:dyDescent="0.3">
      <c r="A1496" s="2"/>
      <c r="B1496" s="65" t="str">
        <f t="shared" si="115"/>
        <v/>
      </c>
      <c r="C1496" s="65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66"/>
      <c r="F1496" s="67"/>
      <c r="G1496" s="60"/>
      <c r="H1496" s="60"/>
      <c r="I1496" s="61"/>
      <c r="J1496" s="61"/>
      <c r="K1496" s="61"/>
      <c r="L1496" s="73" t="str">
        <f t="shared" si="116"/>
        <v/>
      </c>
      <c r="M1496" s="65" t="str">
        <f t="shared" ca="1" si="117"/>
        <v/>
      </c>
      <c r="N1496" s="74" t="str">
        <f>IF($C1496="","",IF($C1496="TANIMSIZ MÜŞTERİ","—",INDEX(MUSTERILER!$C$7:$C$156,MATCH($C1496,MUSTERILER!$B$7:$B$156,0))))</f>
        <v/>
      </c>
      <c r="O1496" s="2"/>
      <c r="P1496" s="2"/>
      <c r="Q1496" s="1" t="str">
        <f>IF($D1496="","",$C1496&amp;"|"&amp;COUNTIFS($C$7:$C1496,$C1496))</f>
        <v/>
      </c>
      <c r="R1496" s="1" t="str">
        <f t="shared" si="118"/>
        <v/>
      </c>
      <c r="S1496" s="1" t="str">
        <f t="shared" si="119"/>
        <v/>
      </c>
      <c r="T1496" s="1">
        <f>IF($E1496="",0,SUMPRODUCT((AY_SONU!$O$7:$O$42="Evet")*(AY_SONU!$B$7:$B$42=DATE(YEAR($E1496),MONTH($E1496),1))))</f>
        <v>0</v>
      </c>
    </row>
    <row r="1497" spans="1:20" ht="18" customHeight="1" x14ac:dyDescent="0.3">
      <c r="A1497" s="2"/>
      <c r="B1497" s="65" t="str">
        <f t="shared" si="115"/>
        <v/>
      </c>
      <c r="C1497" s="65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66"/>
      <c r="F1497" s="67"/>
      <c r="G1497" s="60"/>
      <c r="H1497" s="60"/>
      <c r="I1497" s="61"/>
      <c r="J1497" s="61"/>
      <c r="K1497" s="61"/>
      <c r="L1497" s="73" t="str">
        <f t="shared" si="116"/>
        <v/>
      </c>
      <c r="M1497" s="65" t="str">
        <f t="shared" ca="1" si="117"/>
        <v/>
      </c>
      <c r="N1497" s="74" t="str">
        <f>IF($C1497="","",IF($C1497="TANIMSIZ MÜŞTERİ","—",INDEX(MUSTERILER!$C$7:$C$156,MATCH($C1497,MUSTERILER!$B$7:$B$156,0))))</f>
        <v/>
      </c>
      <c r="O1497" s="2"/>
      <c r="P1497" s="2"/>
      <c r="Q1497" s="1" t="str">
        <f>IF($D1497="","",$C1497&amp;"|"&amp;COUNTIFS($C$7:$C1497,$C1497))</f>
        <v/>
      </c>
      <c r="R1497" s="1" t="str">
        <f t="shared" si="118"/>
        <v/>
      </c>
      <c r="S1497" s="1" t="str">
        <f t="shared" si="119"/>
        <v/>
      </c>
      <c r="T1497" s="1">
        <f>IF($E1497="",0,SUMPRODUCT((AY_SONU!$O$7:$O$42="Evet")*(AY_SONU!$B$7:$B$42=DATE(YEAR($E1497),MONTH($E1497),1))))</f>
        <v>0</v>
      </c>
    </row>
    <row r="1498" spans="1:20" ht="18" customHeight="1" x14ac:dyDescent="0.3">
      <c r="A1498" s="2"/>
      <c r="B1498" s="65" t="str">
        <f t="shared" si="115"/>
        <v/>
      </c>
      <c r="C1498" s="65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66"/>
      <c r="F1498" s="67"/>
      <c r="G1498" s="60"/>
      <c r="H1498" s="60"/>
      <c r="I1498" s="61"/>
      <c r="J1498" s="61"/>
      <c r="K1498" s="61"/>
      <c r="L1498" s="73" t="str">
        <f t="shared" si="116"/>
        <v/>
      </c>
      <c r="M1498" s="65" t="str">
        <f t="shared" ca="1" si="117"/>
        <v/>
      </c>
      <c r="N1498" s="74" t="str">
        <f>IF($C1498="","",IF($C1498="TANIMSIZ MÜŞTERİ","—",INDEX(MUSTERILER!$C$7:$C$156,MATCH($C1498,MUSTERILER!$B$7:$B$156,0))))</f>
        <v/>
      </c>
      <c r="O1498" s="2"/>
      <c r="P1498" s="2"/>
      <c r="Q1498" s="1" t="str">
        <f>IF($D1498="","",$C1498&amp;"|"&amp;COUNTIFS($C$7:$C1498,$C1498))</f>
        <v/>
      </c>
      <c r="R1498" s="1" t="str">
        <f t="shared" si="118"/>
        <v/>
      </c>
      <c r="S1498" s="1" t="str">
        <f t="shared" si="119"/>
        <v/>
      </c>
      <c r="T1498" s="1">
        <f>IF($E1498="",0,SUMPRODUCT((AY_SONU!$O$7:$O$42="Evet")*(AY_SONU!$B$7:$B$42=DATE(YEAR($E1498),MONTH($E1498),1))))</f>
        <v>0</v>
      </c>
    </row>
    <row r="1499" spans="1:20" ht="18" customHeight="1" x14ac:dyDescent="0.3">
      <c r="A1499" s="2"/>
      <c r="B1499" s="65" t="str">
        <f t="shared" si="115"/>
        <v/>
      </c>
      <c r="C1499" s="65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66"/>
      <c r="F1499" s="67"/>
      <c r="G1499" s="60"/>
      <c r="H1499" s="60"/>
      <c r="I1499" s="61"/>
      <c r="J1499" s="61"/>
      <c r="K1499" s="61"/>
      <c r="L1499" s="73" t="str">
        <f t="shared" si="116"/>
        <v/>
      </c>
      <c r="M1499" s="65" t="str">
        <f t="shared" ca="1" si="117"/>
        <v/>
      </c>
      <c r="N1499" s="74" t="str">
        <f>IF($C1499="","",IF($C1499="TANIMSIZ MÜŞTERİ","—",INDEX(MUSTERILER!$C$7:$C$156,MATCH($C1499,MUSTERILER!$B$7:$B$156,0))))</f>
        <v/>
      </c>
      <c r="O1499" s="2"/>
      <c r="P1499" s="2"/>
      <c r="Q1499" s="1" t="str">
        <f>IF($D1499="","",$C1499&amp;"|"&amp;COUNTIFS($C$7:$C1499,$C1499))</f>
        <v/>
      </c>
      <c r="R1499" s="1" t="str">
        <f t="shared" si="118"/>
        <v/>
      </c>
      <c r="S1499" s="1" t="str">
        <f t="shared" si="119"/>
        <v/>
      </c>
      <c r="T1499" s="1">
        <f>IF($E1499="",0,SUMPRODUCT((AY_SONU!$O$7:$O$42="Evet")*(AY_SONU!$B$7:$B$42=DATE(YEAR($E1499),MONTH($E1499),1))))</f>
        <v>0</v>
      </c>
    </row>
    <row r="1500" spans="1:20" ht="18" customHeight="1" x14ac:dyDescent="0.3">
      <c r="A1500" s="2"/>
      <c r="B1500" s="65" t="str">
        <f t="shared" si="115"/>
        <v/>
      </c>
      <c r="C1500" s="65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66"/>
      <c r="F1500" s="67"/>
      <c r="G1500" s="60"/>
      <c r="H1500" s="60"/>
      <c r="I1500" s="61"/>
      <c r="J1500" s="61"/>
      <c r="K1500" s="61"/>
      <c r="L1500" s="73" t="str">
        <f t="shared" si="116"/>
        <v/>
      </c>
      <c r="M1500" s="65" t="str">
        <f t="shared" ca="1" si="117"/>
        <v/>
      </c>
      <c r="N1500" s="74" t="str">
        <f>IF($C1500="","",IF($C1500="TANIMSIZ MÜŞTERİ","—",INDEX(MUSTERILER!$C$7:$C$156,MATCH($C1500,MUSTERILER!$B$7:$B$156,0))))</f>
        <v/>
      </c>
      <c r="O1500" s="2"/>
      <c r="P1500" s="2"/>
      <c r="Q1500" s="1" t="str">
        <f>IF($D1500="","",$C1500&amp;"|"&amp;COUNTIFS($C$7:$C1500,$C1500))</f>
        <v/>
      </c>
      <c r="R1500" s="1" t="str">
        <f t="shared" si="118"/>
        <v/>
      </c>
      <c r="S1500" s="1" t="str">
        <f t="shared" si="119"/>
        <v/>
      </c>
      <c r="T1500" s="1">
        <f>IF($E1500="",0,SUMPRODUCT((AY_SONU!$O$7:$O$42="Evet")*(AY_SONU!$B$7:$B$42=DATE(YEAR($E1500),MONTH($E1500),1))))</f>
        <v>0</v>
      </c>
    </row>
    <row r="1501" spans="1:20" ht="18" customHeight="1" x14ac:dyDescent="0.3">
      <c r="A1501" s="2"/>
      <c r="B1501" s="65" t="str">
        <f t="shared" si="115"/>
        <v/>
      </c>
      <c r="C1501" s="65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66"/>
      <c r="F1501" s="67"/>
      <c r="G1501" s="60"/>
      <c r="H1501" s="60"/>
      <c r="I1501" s="61"/>
      <c r="J1501" s="61"/>
      <c r="K1501" s="61"/>
      <c r="L1501" s="73" t="str">
        <f t="shared" si="116"/>
        <v/>
      </c>
      <c r="M1501" s="65" t="str">
        <f t="shared" ca="1" si="117"/>
        <v/>
      </c>
      <c r="N1501" s="74" t="str">
        <f>IF($C1501="","",IF($C1501="TANIMSIZ MÜŞTERİ","—",INDEX(MUSTERILER!$C$7:$C$156,MATCH($C1501,MUSTERILER!$B$7:$B$156,0))))</f>
        <v/>
      </c>
      <c r="O1501" s="2"/>
      <c r="P1501" s="2"/>
      <c r="Q1501" s="1" t="str">
        <f>IF($D1501="","",$C1501&amp;"|"&amp;COUNTIFS($C$7:$C1501,$C1501))</f>
        <v/>
      </c>
      <c r="R1501" s="1" t="str">
        <f t="shared" si="118"/>
        <v/>
      </c>
      <c r="S1501" s="1" t="str">
        <f t="shared" si="119"/>
        <v/>
      </c>
      <c r="T1501" s="1">
        <f>IF($E1501="",0,SUMPRODUCT((AY_SONU!$O$7:$O$42="Evet")*(AY_SONU!$B$7:$B$42=DATE(YEAR($E1501),MONTH($E1501),1))))</f>
        <v>0</v>
      </c>
    </row>
    <row r="1502" spans="1:20" ht="18" customHeight="1" x14ac:dyDescent="0.3">
      <c r="A1502" s="2"/>
      <c r="B1502" s="65" t="str">
        <f t="shared" si="115"/>
        <v/>
      </c>
      <c r="C1502" s="65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66"/>
      <c r="F1502" s="67"/>
      <c r="G1502" s="60"/>
      <c r="H1502" s="60"/>
      <c r="I1502" s="61"/>
      <c r="J1502" s="61"/>
      <c r="K1502" s="61"/>
      <c r="L1502" s="73" t="str">
        <f t="shared" si="116"/>
        <v/>
      </c>
      <c r="M1502" s="65" t="str">
        <f t="shared" ca="1" si="117"/>
        <v/>
      </c>
      <c r="N1502" s="74" t="str">
        <f>IF($C1502="","",IF($C1502="TANIMSIZ MÜŞTERİ","—",INDEX(MUSTERILER!$C$7:$C$156,MATCH($C1502,MUSTERILER!$B$7:$B$156,0))))</f>
        <v/>
      </c>
      <c r="O1502" s="2"/>
      <c r="P1502" s="2"/>
      <c r="Q1502" s="1" t="str">
        <f>IF($D1502="","",$C1502&amp;"|"&amp;COUNTIFS($C$7:$C1502,$C1502))</f>
        <v/>
      </c>
      <c r="R1502" s="1" t="str">
        <f t="shared" si="118"/>
        <v/>
      </c>
      <c r="S1502" s="1" t="str">
        <f t="shared" si="119"/>
        <v/>
      </c>
      <c r="T1502" s="1">
        <f>IF($E1502="",0,SUMPRODUCT((AY_SONU!$O$7:$O$42="Evet")*(AY_SONU!$B$7:$B$42=DATE(YEAR($E1502),MONTH($E1502),1))))</f>
        <v>0</v>
      </c>
    </row>
    <row r="1503" spans="1:20" ht="18" customHeight="1" x14ac:dyDescent="0.3">
      <c r="A1503" s="2"/>
      <c r="B1503" s="65" t="str">
        <f t="shared" si="115"/>
        <v/>
      </c>
      <c r="C1503" s="65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66"/>
      <c r="F1503" s="67"/>
      <c r="G1503" s="60"/>
      <c r="H1503" s="60"/>
      <c r="I1503" s="61"/>
      <c r="J1503" s="61"/>
      <c r="K1503" s="61"/>
      <c r="L1503" s="73" t="str">
        <f t="shared" si="116"/>
        <v/>
      </c>
      <c r="M1503" s="65" t="str">
        <f t="shared" ca="1" si="117"/>
        <v/>
      </c>
      <c r="N1503" s="74" t="str">
        <f>IF($C1503="","",IF($C1503="TANIMSIZ MÜŞTERİ","—",INDEX(MUSTERILER!$C$7:$C$156,MATCH($C1503,MUSTERILER!$B$7:$B$156,0))))</f>
        <v/>
      </c>
      <c r="O1503" s="2"/>
      <c r="P1503" s="2"/>
      <c r="Q1503" s="1" t="str">
        <f>IF($D1503="","",$C1503&amp;"|"&amp;COUNTIFS($C$7:$C1503,$C1503))</f>
        <v/>
      </c>
      <c r="R1503" s="1" t="str">
        <f t="shared" si="118"/>
        <v/>
      </c>
      <c r="S1503" s="1" t="str">
        <f t="shared" si="119"/>
        <v/>
      </c>
      <c r="T1503" s="1">
        <f>IF($E1503="",0,SUMPRODUCT((AY_SONU!$O$7:$O$42="Evet")*(AY_SONU!$B$7:$B$42=DATE(YEAR($E1503),MONTH($E1503),1))))</f>
        <v>0</v>
      </c>
    </row>
    <row r="1504" spans="1:20" ht="18" customHeight="1" x14ac:dyDescent="0.3">
      <c r="A1504" s="2"/>
      <c r="B1504" s="65" t="str">
        <f t="shared" si="115"/>
        <v/>
      </c>
      <c r="C1504" s="65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66"/>
      <c r="F1504" s="67"/>
      <c r="G1504" s="60"/>
      <c r="H1504" s="60"/>
      <c r="I1504" s="61"/>
      <c r="J1504" s="61"/>
      <c r="K1504" s="61"/>
      <c r="L1504" s="73" t="str">
        <f t="shared" si="116"/>
        <v/>
      </c>
      <c r="M1504" s="65" t="str">
        <f t="shared" ca="1" si="117"/>
        <v/>
      </c>
      <c r="N1504" s="74" t="str">
        <f>IF($C1504="","",IF($C1504="TANIMSIZ MÜŞTERİ","—",INDEX(MUSTERILER!$C$7:$C$156,MATCH($C1504,MUSTERILER!$B$7:$B$156,0))))</f>
        <v/>
      </c>
      <c r="O1504" s="2"/>
      <c r="P1504" s="2"/>
      <c r="Q1504" s="1" t="str">
        <f>IF($D1504="","",$C1504&amp;"|"&amp;COUNTIFS($C$7:$C1504,$C1504))</f>
        <v/>
      </c>
      <c r="R1504" s="1" t="str">
        <f t="shared" si="118"/>
        <v/>
      </c>
      <c r="S1504" s="1" t="str">
        <f t="shared" si="119"/>
        <v/>
      </c>
      <c r="T1504" s="1">
        <f>IF($E1504="",0,SUMPRODUCT((AY_SONU!$O$7:$O$42="Evet")*(AY_SONU!$B$7:$B$42=DATE(YEAR($E1504),MONTH($E1504),1))))</f>
        <v>0</v>
      </c>
    </row>
    <row r="1505" spans="1:20" ht="18" customHeight="1" x14ac:dyDescent="0.3">
      <c r="A1505" s="2"/>
      <c r="B1505" s="65" t="str">
        <f t="shared" si="115"/>
        <v/>
      </c>
      <c r="C1505" s="65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66"/>
      <c r="F1505" s="67"/>
      <c r="G1505" s="60"/>
      <c r="H1505" s="60"/>
      <c r="I1505" s="61"/>
      <c r="J1505" s="61"/>
      <c r="K1505" s="61"/>
      <c r="L1505" s="73" t="str">
        <f t="shared" si="116"/>
        <v/>
      </c>
      <c r="M1505" s="65" t="str">
        <f t="shared" ca="1" si="117"/>
        <v/>
      </c>
      <c r="N1505" s="74" t="str">
        <f>IF($C1505="","",IF($C1505="TANIMSIZ MÜŞTERİ","—",INDEX(MUSTERILER!$C$7:$C$156,MATCH($C1505,MUSTERILER!$B$7:$B$156,0))))</f>
        <v/>
      </c>
      <c r="O1505" s="2"/>
      <c r="P1505" s="2"/>
      <c r="Q1505" s="1" t="str">
        <f>IF($D1505="","",$C1505&amp;"|"&amp;COUNTIFS($C$7:$C1505,$C1505))</f>
        <v/>
      </c>
      <c r="R1505" s="1" t="str">
        <f t="shared" si="118"/>
        <v/>
      </c>
      <c r="S1505" s="1" t="str">
        <f t="shared" si="119"/>
        <v/>
      </c>
      <c r="T1505" s="1">
        <f>IF($E1505="",0,SUMPRODUCT((AY_SONU!$O$7:$O$42="Evet")*(AY_SONU!$B$7:$B$42=DATE(YEAR($E1505),MONTH($E1505),1))))</f>
        <v>0</v>
      </c>
    </row>
    <row r="1506" spans="1:20" ht="18" customHeight="1" x14ac:dyDescent="0.3">
      <c r="A1506" s="2"/>
      <c r="B1506" s="65" t="str">
        <f t="shared" si="115"/>
        <v/>
      </c>
      <c r="C1506" s="65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66"/>
      <c r="F1506" s="67"/>
      <c r="G1506" s="60"/>
      <c r="H1506" s="60"/>
      <c r="I1506" s="61"/>
      <c r="J1506" s="61"/>
      <c r="K1506" s="61"/>
      <c r="L1506" s="73" t="str">
        <f t="shared" si="116"/>
        <v/>
      </c>
      <c r="M1506" s="65" t="str">
        <f t="shared" ca="1" si="117"/>
        <v/>
      </c>
      <c r="N1506" s="74" t="str">
        <f>IF($C1506="","",IF($C1506="TANIMSIZ MÜŞTERİ","—",INDEX(MUSTERILER!$C$7:$C$156,MATCH($C1506,MUSTERILER!$B$7:$B$156,0))))</f>
        <v/>
      </c>
      <c r="O1506" s="2"/>
      <c r="P1506" s="2"/>
      <c r="Q1506" s="1" t="str">
        <f>IF($D1506="","",$C1506&amp;"|"&amp;COUNTIFS($C$7:$C1506,$C1506))</f>
        <v/>
      </c>
      <c r="R1506" s="1" t="str">
        <f t="shared" si="118"/>
        <v/>
      </c>
      <c r="S1506" s="1" t="str">
        <f t="shared" si="119"/>
        <v/>
      </c>
      <c r="T1506" s="1">
        <f>IF($E1506="",0,SUMPRODUCT((AY_SONU!$O$7:$O$42="Evet")*(AY_SONU!$B$7:$B$42=DATE(YEAR($E1506),MONTH($E1506),1))))</f>
        <v>0</v>
      </c>
    </row>
    <row r="1507" spans="1:20" ht="18" customHeight="1" x14ac:dyDescent="0.3">
      <c r="A1507" s="2"/>
      <c r="B1507" s="65" t="str">
        <f t="shared" si="115"/>
        <v/>
      </c>
      <c r="C1507" s="65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66"/>
      <c r="F1507" s="67"/>
      <c r="G1507" s="60"/>
      <c r="H1507" s="60"/>
      <c r="I1507" s="61"/>
      <c r="J1507" s="61"/>
      <c r="K1507" s="61"/>
      <c r="L1507" s="73" t="str">
        <f t="shared" si="116"/>
        <v/>
      </c>
      <c r="M1507" s="65" t="str">
        <f t="shared" ca="1" si="117"/>
        <v/>
      </c>
      <c r="N1507" s="74" t="str">
        <f>IF($C1507="","",IF($C1507="TANIMSIZ MÜŞTERİ","—",INDEX(MUSTERILER!$C$7:$C$156,MATCH($C1507,MUSTERILER!$B$7:$B$156,0))))</f>
        <v/>
      </c>
      <c r="O1507" s="2"/>
      <c r="P1507" s="2"/>
      <c r="Q1507" s="1" t="str">
        <f>IF($D1507="","",$C1507&amp;"|"&amp;COUNTIFS($C$7:$C1507,$C1507))</f>
        <v/>
      </c>
      <c r="R1507" s="1" t="str">
        <f t="shared" si="118"/>
        <v/>
      </c>
      <c r="S1507" s="1" t="str">
        <f t="shared" si="119"/>
        <v/>
      </c>
      <c r="T1507" s="1">
        <f>IF($E1507="",0,SUMPRODUCT((AY_SONU!$O$7:$O$42="Evet")*(AY_SONU!$B$7:$B$42=DATE(YEAR($E1507),MONTH($E1507),1))))</f>
        <v>0</v>
      </c>
    </row>
    <row r="1508" spans="1:20" ht="18" customHeight="1" x14ac:dyDescent="0.3">
      <c r="A1508" s="2"/>
      <c r="B1508" s="65" t="str">
        <f t="shared" si="115"/>
        <v/>
      </c>
      <c r="C1508" s="65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66"/>
      <c r="F1508" s="67"/>
      <c r="G1508" s="60"/>
      <c r="H1508" s="60"/>
      <c r="I1508" s="61"/>
      <c r="J1508" s="61"/>
      <c r="K1508" s="61"/>
      <c r="L1508" s="73" t="str">
        <f t="shared" si="116"/>
        <v/>
      </c>
      <c r="M1508" s="65" t="str">
        <f t="shared" ca="1" si="117"/>
        <v/>
      </c>
      <c r="N1508" s="74" t="str">
        <f>IF($C1508="","",IF($C1508="TANIMSIZ MÜŞTERİ","—",INDEX(MUSTERILER!$C$7:$C$156,MATCH($C1508,MUSTERILER!$B$7:$B$156,0))))</f>
        <v/>
      </c>
      <c r="O1508" s="2"/>
      <c r="P1508" s="2"/>
      <c r="Q1508" s="1" t="str">
        <f>IF($D1508="","",$C1508&amp;"|"&amp;COUNTIFS($C$7:$C1508,$C1508))</f>
        <v/>
      </c>
      <c r="R1508" s="1" t="str">
        <f t="shared" si="118"/>
        <v/>
      </c>
      <c r="S1508" s="1" t="str">
        <f t="shared" si="119"/>
        <v/>
      </c>
      <c r="T1508" s="1">
        <f>IF($E1508="",0,SUMPRODUCT((AY_SONU!$O$7:$O$42="Evet")*(AY_SONU!$B$7:$B$42=DATE(YEAR($E1508),MONTH($E1508),1))))</f>
        <v>0</v>
      </c>
    </row>
    <row r="1509" spans="1:20" ht="18" customHeight="1" x14ac:dyDescent="0.3">
      <c r="A1509" s="2"/>
      <c r="B1509" s="65" t="str">
        <f t="shared" si="115"/>
        <v/>
      </c>
      <c r="C1509" s="65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66"/>
      <c r="F1509" s="67"/>
      <c r="G1509" s="60"/>
      <c r="H1509" s="60"/>
      <c r="I1509" s="61"/>
      <c r="J1509" s="61"/>
      <c r="K1509" s="61"/>
      <c r="L1509" s="73" t="str">
        <f t="shared" si="116"/>
        <v/>
      </c>
      <c r="M1509" s="65" t="str">
        <f t="shared" ca="1" si="117"/>
        <v/>
      </c>
      <c r="N1509" s="74" t="str">
        <f>IF($C1509="","",IF($C1509="TANIMSIZ MÜŞTERİ","—",INDEX(MUSTERILER!$C$7:$C$156,MATCH($C1509,MUSTERILER!$B$7:$B$156,0))))</f>
        <v/>
      </c>
      <c r="O1509" s="2"/>
      <c r="P1509" s="2"/>
      <c r="Q1509" s="1" t="str">
        <f>IF($D1509="","",$C1509&amp;"|"&amp;COUNTIFS($C$7:$C1509,$C1509))</f>
        <v/>
      </c>
      <c r="R1509" s="1" t="str">
        <f t="shared" si="118"/>
        <v/>
      </c>
      <c r="S1509" s="1" t="str">
        <f t="shared" si="119"/>
        <v/>
      </c>
      <c r="T1509" s="1">
        <f>IF($E1509="",0,SUMPRODUCT((AY_SONU!$O$7:$O$42="Evet")*(AY_SONU!$B$7:$B$42=DATE(YEAR($E1509),MONTH($E1509),1))))</f>
        <v>0</v>
      </c>
    </row>
    <row r="1510" spans="1:20" ht="18" customHeight="1" x14ac:dyDescent="0.3">
      <c r="A1510" s="2"/>
      <c r="B1510" s="65" t="str">
        <f t="shared" si="115"/>
        <v/>
      </c>
      <c r="C1510" s="65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66"/>
      <c r="F1510" s="67"/>
      <c r="G1510" s="60"/>
      <c r="H1510" s="60"/>
      <c r="I1510" s="61"/>
      <c r="J1510" s="61"/>
      <c r="K1510" s="61"/>
      <c r="L1510" s="73" t="str">
        <f t="shared" si="116"/>
        <v/>
      </c>
      <c r="M1510" s="65" t="str">
        <f t="shared" ca="1" si="117"/>
        <v/>
      </c>
      <c r="N1510" s="74" t="str">
        <f>IF($C1510="","",IF($C1510="TANIMSIZ MÜŞTERİ","—",INDEX(MUSTERILER!$C$7:$C$156,MATCH($C1510,MUSTERILER!$B$7:$B$156,0))))</f>
        <v/>
      </c>
      <c r="O1510" s="2"/>
      <c r="P1510" s="2"/>
      <c r="Q1510" s="1" t="str">
        <f>IF($D1510="","",$C1510&amp;"|"&amp;COUNTIFS($C$7:$C1510,$C1510))</f>
        <v/>
      </c>
      <c r="R1510" s="1" t="str">
        <f t="shared" si="118"/>
        <v/>
      </c>
      <c r="S1510" s="1" t="str">
        <f t="shared" si="119"/>
        <v/>
      </c>
      <c r="T1510" s="1">
        <f>IF($E1510="",0,SUMPRODUCT((AY_SONU!$O$7:$O$42="Evet")*(AY_SONU!$B$7:$B$42=DATE(YEAR($E1510),MONTH($E1510),1))))</f>
        <v>0</v>
      </c>
    </row>
    <row r="1511" spans="1:20" ht="18" customHeight="1" x14ac:dyDescent="0.3">
      <c r="A1511" s="2"/>
      <c r="B1511" s="65" t="str">
        <f t="shared" si="115"/>
        <v/>
      </c>
      <c r="C1511" s="65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66"/>
      <c r="F1511" s="67"/>
      <c r="G1511" s="60"/>
      <c r="H1511" s="60"/>
      <c r="I1511" s="61"/>
      <c r="J1511" s="61"/>
      <c r="K1511" s="61"/>
      <c r="L1511" s="73" t="str">
        <f t="shared" si="116"/>
        <v/>
      </c>
      <c r="M1511" s="65" t="str">
        <f t="shared" ca="1" si="117"/>
        <v/>
      </c>
      <c r="N1511" s="74" t="str">
        <f>IF($C1511="","",IF($C1511="TANIMSIZ MÜŞTERİ","—",INDEX(MUSTERILER!$C$7:$C$156,MATCH($C1511,MUSTERILER!$B$7:$B$156,0))))</f>
        <v/>
      </c>
      <c r="O1511" s="2"/>
      <c r="P1511" s="2"/>
      <c r="Q1511" s="1" t="str">
        <f>IF($D1511="","",$C1511&amp;"|"&amp;COUNTIFS($C$7:$C1511,$C1511))</f>
        <v/>
      </c>
      <c r="R1511" s="1" t="str">
        <f t="shared" si="118"/>
        <v/>
      </c>
      <c r="S1511" s="1" t="str">
        <f t="shared" si="119"/>
        <v/>
      </c>
      <c r="T1511" s="1">
        <f>IF($E1511="",0,SUMPRODUCT((AY_SONU!$O$7:$O$42="Evet")*(AY_SONU!$B$7:$B$42=DATE(YEAR($E1511),MONTH($E1511),1))))</f>
        <v>0</v>
      </c>
    </row>
    <row r="1512" spans="1:20" ht="18" customHeight="1" x14ac:dyDescent="0.3">
      <c r="A1512" s="2"/>
      <c r="B1512" s="65" t="str">
        <f t="shared" si="115"/>
        <v/>
      </c>
      <c r="C1512" s="65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66"/>
      <c r="F1512" s="67"/>
      <c r="G1512" s="60"/>
      <c r="H1512" s="60"/>
      <c r="I1512" s="61"/>
      <c r="J1512" s="61"/>
      <c r="K1512" s="61"/>
      <c r="L1512" s="73" t="str">
        <f t="shared" si="116"/>
        <v/>
      </c>
      <c r="M1512" s="65" t="str">
        <f t="shared" ca="1" si="117"/>
        <v/>
      </c>
      <c r="N1512" s="74" t="str">
        <f>IF($C1512="","",IF($C1512="TANIMSIZ MÜŞTERİ","—",INDEX(MUSTERILER!$C$7:$C$156,MATCH($C1512,MUSTERILER!$B$7:$B$156,0))))</f>
        <v/>
      </c>
      <c r="O1512" s="2"/>
      <c r="P1512" s="2"/>
      <c r="Q1512" s="1" t="str">
        <f>IF($D1512="","",$C1512&amp;"|"&amp;COUNTIFS($C$7:$C1512,$C1512))</f>
        <v/>
      </c>
      <c r="R1512" s="1" t="str">
        <f t="shared" si="118"/>
        <v/>
      </c>
      <c r="S1512" s="1" t="str">
        <f t="shared" si="119"/>
        <v/>
      </c>
      <c r="T1512" s="1">
        <f>IF($E1512="",0,SUMPRODUCT((AY_SONU!$O$7:$O$42="Evet")*(AY_SONU!$B$7:$B$42=DATE(YEAR($E1512),MONTH($E1512),1))))</f>
        <v>0</v>
      </c>
    </row>
    <row r="1513" spans="1:20" ht="18" customHeight="1" x14ac:dyDescent="0.3">
      <c r="A1513" s="2"/>
      <c r="B1513" s="65" t="str">
        <f t="shared" si="115"/>
        <v/>
      </c>
      <c r="C1513" s="65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66"/>
      <c r="F1513" s="67"/>
      <c r="G1513" s="60"/>
      <c r="H1513" s="60"/>
      <c r="I1513" s="61"/>
      <c r="J1513" s="61"/>
      <c r="K1513" s="61"/>
      <c r="L1513" s="73" t="str">
        <f t="shared" si="116"/>
        <v/>
      </c>
      <c r="M1513" s="65" t="str">
        <f t="shared" ca="1" si="117"/>
        <v/>
      </c>
      <c r="N1513" s="74" t="str">
        <f>IF($C1513="","",IF($C1513="TANIMSIZ MÜŞTERİ","—",INDEX(MUSTERILER!$C$7:$C$156,MATCH($C1513,MUSTERILER!$B$7:$B$156,0))))</f>
        <v/>
      </c>
      <c r="O1513" s="2"/>
      <c r="P1513" s="2"/>
      <c r="Q1513" s="1" t="str">
        <f>IF($D1513="","",$C1513&amp;"|"&amp;COUNTIFS($C$7:$C1513,$C1513))</f>
        <v/>
      </c>
      <c r="R1513" s="1" t="str">
        <f t="shared" si="118"/>
        <v/>
      </c>
      <c r="S1513" s="1" t="str">
        <f t="shared" si="119"/>
        <v/>
      </c>
      <c r="T1513" s="1">
        <f>IF($E1513="",0,SUMPRODUCT((AY_SONU!$O$7:$O$42="Evet")*(AY_SONU!$B$7:$B$42=DATE(YEAR($E1513),MONTH($E1513),1))))</f>
        <v>0</v>
      </c>
    </row>
    <row r="1514" spans="1:20" ht="18" customHeight="1" x14ac:dyDescent="0.3">
      <c r="A1514" s="2"/>
      <c r="B1514" s="65" t="str">
        <f t="shared" si="115"/>
        <v/>
      </c>
      <c r="C1514" s="65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66"/>
      <c r="F1514" s="67"/>
      <c r="G1514" s="60"/>
      <c r="H1514" s="60"/>
      <c r="I1514" s="61"/>
      <c r="J1514" s="61"/>
      <c r="K1514" s="61"/>
      <c r="L1514" s="73" t="str">
        <f t="shared" si="116"/>
        <v/>
      </c>
      <c r="M1514" s="65" t="str">
        <f t="shared" ca="1" si="117"/>
        <v/>
      </c>
      <c r="N1514" s="74" t="str">
        <f>IF($C1514="","",IF($C1514="TANIMSIZ MÜŞTERİ","—",INDEX(MUSTERILER!$C$7:$C$156,MATCH($C1514,MUSTERILER!$B$7:$B$156,0))))</f>
        <v/>
      </c>
      <c r="O1514" s="2"/>
      <c r="P1514" s="2"/>
      <c r="Q1514" s="1" t="str">
        <f>IF($D1514="","",$C1514&amp;"|"&amp;COUNTIFS($C$7:$C1514,$C1514))</f>
        <v/>
      </c>
      <c r="R1514" s="1" t="str">
        <f t="shared" si="118"/>
        <v/>
      </c>
      <c r="S1514" s="1" t="str">
        <f t="shared" si="119"/>
        <v/>
      </c>
      <c r="T1514" s="1">
        <f>IF($E1514="",0,SUMPRODUCT((AY_SONU!$O$7:$O$42="Evet")*(AY_SONU!$B$7:$B$42=DATE(YEAR($E1514),MONTH($E1514),1))))</f>
        <v>0</v>
      </c>
    </row>
    <row r="1515" spans="1:20" ht="18" customHeight="1" x14ac:dyDescent="0.3">
      <c r="A1515" s="2"/>
      <c r="B1515" s="65" t="str">
        <f t="shared" si="115"/>
        <v/>
      </c>
      <c r="C1515" s="65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66"/>
      <c r="F1515" s="67"/>
      <c r="G1515" s="60"/>
      <c r="H1515" s="60"/>
      <c r="I1515" s="61"/>
      <c r="J1515" s="61"/>
      <c r="K1515" s="61"/>
      <c r="L1515" s="73" t="str">
        <f t="shared" si="116"/>
        <v/>
      </c>
      <c r="M1515" s="65" t="str">
        <f t="shared" ca="1" si="117"/>
        <v/>
      </c>
      <c r="N1515" s="74" t="str">
        <f>IF($C1515="","",IF($C1515="TANIMSIZ MÜŞTERİ","—",INDEX(MUSTERILER!$C$7:$C$156,MATCH($C1515,MUSTERILER!$B$7:$B$156,0))))</f>
        <v/>
      </c>
      <c r="O1515" s="2"/>
      <c r="P1515" s="2"/>
      <c r="Q1515" s="1" t="str">
        <f>IF($D1515="","",$C1515&amp;"|"&amp;COUNTIFS($C$7:$C1515,$C1515))</f>
        <v/>
      </c>
      <c r="R1515" s="1" t="str">
        <f t="shared" si="118"/>
        <v/>
      </c>
      <c r="S1515" s="1" t="str">
        <f t="shared" si="119"/>
        <v/>
      </c>
      <c r="T1515" s="1">
        <f>IF($E1515="",0,SUMPRODUCT((AY_SONU!$O$7:$O$42="Evet")*(AY_SONU!$B$7:$B$42=DATE(YEAR($E1515),MONTH($E1515),1))))</f>
        <v>0</v>
      </c>
    </row>
    <row r="1516" spans="1:20" ht="18" customHeight="1" x14ac:dyDescent="0.3">
      <c r="A1516" s="2"/>
      <c r="B1516" s="65" t="str">
        <f t="shared" si="115"/>
        <v/>
      </c>
      <c r="C1516" s="65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66"/>
      <c r="F1516" s="67"/>
      <c r="G1516" s="60"/>
      <c r="H1516" s="60"/>
      <c r="I1516" s="61"/>
      <c r="J1516" s="61"/>
      <c r="K1516" s="61"/>
      <c r="L1516" s="73" t="str">
        <f t="shared" si="116"/>
        <v/>
      </c>
      <c r="M1516" s="65" t="str">
        <f t="shared" ca="1" si="117"/>
        <v/>
      </c>
      <c r="N1516" s="74" t="str">
        <f>IF($C1516="","",IF($C1516="TANIMSIZ MÜŞTERİ","—",INDEX(MUSTERILER!$C$7:$C$156,MATCH($C1516,MUSTERILER!$B$7:$B$156,0))))</f>
        <v/>
      </c>
      <c r="O1516" s="2"/>
      <c r="P1516" s="2"/>
      <c r="Q1516" s="1" t="str">
        <f>IF($D1516="","",$C1516&amp;"|"&amp;COUNTIFS($C$7:$C1516,$C1516))</f>
        <v/>
      </c>
      <c r="R1516" s="1" t="str">
        <f t="shared" si="118"/>
        <v/>
      </c>
      <c r="S1516" s="1" t="str">
        <f t="shared" si="119"/>
        <v/>
      </c>
      <c r="T1516" s="1">
        <f>IF($E1516="",0,SUMPRODUCT((AY_SONU!$O$7:$O$42="Evet")*(AY_SONU!$B$7:$B$42=DATE(YEAR($E1516),MONTH($E1516),1))))</f>
        <v>0</v>
      </c>
    </row>
    <row r="1517" spans="1:20" ht="18" customHeight="1" x14ac:dyDescent="0.3">
      <c r="A1517" s="2"/>
      <c r="B1517" s="65" t="str">
        <f t="shared" si="115"/>
        <v/>
      </c>
      <c r="C1517" s="65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66"/>
      <c r="F1517" s="67"/>
      <c r="G1517" s="60"/>
      <c r="H1517" s="60"/>
      <c r="I1517" s="61"/>
      <c r="J1517" s="61"/>
      <c r="K1517" s="61"/>
      <c r="L1517" s="73" t="str">
        <f t="shared" si="116"/>
        <v/>
      </c>
      <c r="M1517" s="65" t="str">
        <f t="shared" ca="1" si="117"/>
        <v/>
      </c>
      <c r="N1517" s="74" t="str">
        <f>IF($C1517="","",IF($C1517="TANIMSIZ MÜŞTERİ","—",INDEX(MUSTERILER!$C$7:$C$156,MATCH($C1517,MUSTERILER!$B$7:$B$156,0))))</f>
        <v/>
      </c>
      <c r="O1517" s="2"/>
      <c r="P1517" s="2"/>
      <c r="Q1517" s="1" t="str">
        <f>IF($D1517="","",$C1517&amp;"|"&amp;COUNTIFS($C$7:$C1517,$C1517))</f>
        <v/>
      </c>
      <c r="R1517" s="1" t="str">
        <f t="shared" si="118"/>
        <v/>
      </c>
      <c r="S1517" s="1" t="str">
        <f t="shared" si="119"/>
        <v/>
      </c>
      <c r="T1517" s="1">
        <f>IF($E1517="",0,SUMPRODUCT((AY_SONU!$O$7:$O$42="Evet")*(AY_SONU!$B$7:$B$42=DATE(YEAR($E1517),MONTH($E1517),1))))</f>
        <v>0</v>
      </c>
    </row>
    <row r="1518" spans="1:20" ht="18" customHeight="1" x14ac:dyDescent="0.3">
      <c r="A1518" s="2"/>
      <c r="B1518" s="65" t="str">
        <f t="shared" si="115"/>
        <v/>
      </c>
      <c r="C1518" s="65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66"/>
      <c r="F1518" s="67"/>
      <c r="G1518" s="60"/>
      <c r="H1518" s="60"/>
      <c r="I1518" s="61"/>
      <c r="J1518" s="61"/>
      <c r="K1518" s="61"/>
      <c r="L1518" s="73" t="str">
        <f t="shared" si="116"/>
        <v/>
      </c>
      <c r="M1518" s="65" t="str">
        <f t="shared" ca="1" si="117"/>
        <v/>
      </c>
      <c r="N1518" s="74" t="str">
        <f>IF($C1518="","",IF($C1518="TANIMSIZ MÜŞTERİ","—",INDEX(MUSTERILER!$C$7:$C$156,MATCH($C1518,MUSTERILER!$B$7:$B$156,0))))</f>
        <v/>
      </c>
      <c r="O1518" s="2"/>
      <c r="P1518" s="2"/>
      <c r="Q1518" s="1" t="str">
        <f>IF($D1518="","",$C1518&amp;"|"&amp;COUNTIFS($C$7:$C1518,$C1518))</f>
        <v/>
      </c>
      <c r="R1518" s="1" t="str">
        <f t="shared" si="118"/>
        <v/>
      </c>
      <c r="S1518" s="1" t="str">
        <f t="shared" si="119"/>
        <v/>
      </c>
      <c r="T1518" s="1">
        <f>IF($E1518="",0,SUMPRODUCT((AY_SONU!$O$7:$O$42="Evet")*(AY_SONU!$B$7:$B$42=DATE(YEAR($E1518),MONTH($E1518),1))))</f>
        <v>0</v>
      </c>
    </row>
    <row r="1519" spans="1:20" ht="18" customHeight="1" x14ac:dyDescent="0.3">
      <c r="A1519" s="2"/>
      <c r="B1519" s="65" t="str">
        <f t="shared" si="115"/>
        <v/>
      </c>
      <c r="C1519" s="65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66"/>
      <c r="F1519" s="67"/>
      <c r="G1519" s="60"/>
      <c r="H1519" s="60"/>
      <c r="I1519" s="61"/>
      <c r="J1519" s="61"/>
      <c r="K1519" s="61"/>
      <c r="L1519" s="73" t="str">
        <f t="shared" si="116"/>
        <v/>
      </c>
      <c r="M1519" s="65" t="str">
        <f t="shared" ca="1" si="117"/>
        <v/>
      </c>
      <c r="N1519" s="74" t="str">
        <f>IF($C1519="","",IF($C1519="TANIMSIZ MÜŞTERİ","—",INDEX(MUSTERILER!$C$7:$C$156,MATCH($C1519,MUSTERILER!$B$7:$B$156,0))))</f>
        <v/>
      </c>
      <c r="O1519" s="2"/>
      <c r="P1519" s="2"/>
      <c r="Q1519" s="1" t="str">
        <f>IF($D1519="","",$C1519&amp;"|"&amp;COUNTIFS($C$7:$C1519,$C1519))</f>
        <v/>
      </c>
      <c r="R1519" s="1" t="str">
        <f t="shared" si="118"/>
        <v/>
      </c>
      <c r="S1519" s="1" t="str">
        <f t="shared" si="119"/>
        <v/>
      </c>
      <c r="T1519" s="1">
        <f>IF($E1519="",0,SUMPRODUCT((AY_SONU!$O$7:$O$42="Evet")*(AY_SONU!$B$7:$B$42=DATE(YEAR($E1519),MONTH($E1519),1))))</f>
        <v>0</v>
      </c>
    </row>
    <row r="1520" spans="1:20" ht="18" customHeight="1" x14ac:dyDescent="0.3">
      <c r="A1520" s="2"/>
      <c r="B1520" s="65" t="str">
        <f t="shared" si="115"/>
        <v/>
      </c>
      <c r="C1520" s="65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66"/>
      <c r="F1520" s="67"/>
      <c r="G1520" s="60"/>
      <c r="H1520" s="60"/>
      <c r="I1520" s="61"/>
      <c r="J1520" s="61"/>
      <c r="K1520" s="61"/>
      <c r="L1520" s="73" t="str">
        <f t="shared" si="116"/>
        <v/>
      </c>
      <c r="M1520" s="65" t="str">
        <f t="shared" ca="1" si="117"/>
        <v/>
      </c>
      <c r="N1520" s="74" t="str">
        <f>IF($C1520="","",IF($C1520="TANIMSIZ MÜŞTERİ","—",INDEX(MUSTERILER!$C$7:$C$156,MATCH($C1520,MUSTERILER!$B$7:$B$156,0))))</f>
        <v/>
      </c>
      <c r="O1520" s="2"/>
      <c r="P1520" s="2"/>
      <c r="Q1520" s="1" t="str">
        <f>IF($D1520="","",$C1520&amp;"|"&amp;COUNTIFS($C$7:$C1520,$C1520))</f>
        <v/>
      </c>
      <c r="R1520" s="1" t="str">
        <f t="shared" si="118"/>
        <v/>
      </c>
      <c r="S1520" s="1" t="str">
        <f t="shared" si="119"/>
        <v/>
      </c>
      <c r="T1520" s="1">
        <f>IF($E1520="",0,SUMPRODUCT((AY_SONU!$O$7:$O$42="Evet")*(AY_SONU!$B$7:$B$42=DATE(YEAR($E1520),MONTH($E1520),1))))</f>
        <v>0</v>
      </c>
    </row>
    <row r="1521" spans="1:20" ht="18" customHeight="1" x14ac:dyDescent="0.3">
      <c r="A1521" s="2"/>
      <c r="B1521" s="65" t="str">
        <f t="shared" si="115"/>
        <v/>
      </c>
      <c r="C1521" s="65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66"/>
      <c r="F1521" s="67"/>
      <c r="G1521" s="60"/>
      <c r="H1521" s="60"/>
      <c r="I1521" s="61"/>
      <c r="J1521" s="61"/>
      <c r="K1521" s="61"/>
      <c r="L1521" s="73" t="str">
        <f t="shared" si="116"/>
        <v/>
      </c>
      <c r="M1521" s="65" t="str">
        <f t="shared" ca="1" si="117"/>
        <v/>
      </c>
      <c r="N1521" s="74" t="str">
        <f>IF($C1521="","",IF($C1521="TANIMSIZ MÜŞTERİ","—",INDEX(MUSTERILER!$C$7:$C$156,MATCH($C1521,MUSTERILER!$B$7:$B$156,0))))</f>
        <v/>
      </c>
      <c r="O1521" s="2"/>
      <c r="P1521" s="2"/>
      <c r="Q1521" s="1" t="str">
        <f>IF($D1521="","",$C1521&amp;"|"&amp;COUNTIFS($C$7:$C1521,$C1521))</f>
        <v/>
      </c>
      <c r="R1521" s="1" t="str">
        <f t="shared" si="118"/>
        <v/>
      </c>
      <c r="S1521" s="1" t="str">
        <f t="shared" si="119"/>
        <v/>
      </c>
      <c r="T1521" s="1">
        <f>IF($E1521="",0,SUMPRODUCT((AY_SONU!$O$7:$O$42="Evet")*(AY_SONU!$B$7:$B$42=DATE(YEAR($E1521),MONTH($E1521),1))))</f>
        <v>0</v>
      </c>
    </row>
    <row r="1522" spans="1:20" ht="18" customHeight="1" x14ac:dyDescent="0.3">
      <c r="A1522" s="2"/>
      <c r="B1522" s="65" t="str">
        <f t="shared" si="115"/>
        <v/>
      </c>
      <c r="C1522" s="65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66"/>
      <c r="F1522" s="67"/>
      <c r="G1522" s="60"/>
      <c r="H1522" s="60"/>
      <c r="I1522" s="61"/>
      <c r="J1522" s="61"/>
      <c r="K1522" s="61"/>
      <c r="L1522" s="73" t="str">
        <f t="shared" si="116"/>
        <v/>
      </c>
      <c r="M1522" s="65" t="str">
        <f t="shared" ca="1" si="117"/>
        <v/>
      </c>
      <c r="N1522" s="74" t="str">
        <f>IF($C1522="","",IF($C1522="TANIMSIZ MÜŞTERİ","—",INDEX(MUSTERILER!$C$7:$C$156,MATCH($C1522,MUSTERILER!$B$7:$B$156,0))))</f>
        <v/>
      </c>
      <c r="O1522" s="2"/>
      <c r="P1522" s="2"/>
      <c r="Q1522" s="1" t="str">
        <f>IF($D1522="","",$C1522&amp;"|"&amp;COUNTIFS($C$7:$C1522,$C1522))</f>
        <v/>
      </c>
      <c r="R1522" s="1" t="str">
        <f t="shared" si="118"/>
        <v/>
      </c>
      <c r="S1522" s="1" t="str">
        <f t="shared" si="119"/>
        <v/>
      </c>
      <c r="T1522" s="1">
        <f>IF($E1522="",0,SUMPRODUCT((AY_SONU!$O$7:$O$42="Evet")*(AY_SONU!$B$7:$B$42=DATE(YEAR($E1522),MONTH($E1522),1))))</f>
        <v>0</v>
      </c>
    </row>
    <row r="1523" spans="1:20" ht="18" customHeight="1" x14ac:dyDescent="0.3">
      <c r="A1523" s="2"/>
      <c r="B1523" s="65" t="str">
        <f t="shared" si="115"/>
        <v/>
      </c>
      <c r="C1523" s="65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66"/>
      <c r="F1523" s="67"/>
      <c r="G1523" s="60"/>
      <c r="H1523" s="60"/>
      <c r="I1523" s="61"/>
      <c r="J1523" s="61"/>
      <c r="K1523" s="61"/>
      <c r="L1523" s="73" t="str">
        <f t="shared" si="116"/>
        <v/>
      </c>
      <c r="M1523" s="65" t="str">
        <f t="shared" ca="1" si="117"/>
        <v/>
      </c>
      <c r="N1523" s="74" t="str">
        <f>IF($C1523="","",IF($C1523="TANIMSIZ MÜŞTERİ","—",INDEX(MUSTERILER!$C$7:$C$156,MATCH($C1523,MUSTERILER!$B$7:$B$156,0))))</f>
        <v/>
      </c>
      <c r="O1523" s="2"/>
      <c r="P1523" s="2"/>
      <c r="Q1523" s="1" t="str">
        <f>IF($D1523="","",$C1523&amp;"|"&amp;COUNTIFS($C$7:$C1523,$C1523))</f>
        <v/>
      </c>
      <c r="R1523" s="1" t="str">
        <f t="shared" si="118"/>
        <v/>
      </c>
      <c r="S1523" s="1" t="str">
        <f t="shared" si="119"/>
        <v/>
      </c>
      <c r="T1523" s="1">
        <f>IF($E1523="",0,SUMPRODUCT((AY_SONU!$O$7:$O$42="Evet")*(AY_SONU!$B$7:$B$42=DATE(YEAR($E1523),MONTH($E1523),1))))</f>
        <v>0</v>
      </c>
    </row>
    <row r="1524" spans="1:20" ht="18" customHeight="1" x14ac:dyDescent="0.3">
      <c r="A1524" s="2"/>
      <c r="B1524" s="65" t="str">
        <f t="shared" si="115"/>
        <v/>
      </c>
      <c r="C1524" s="65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66"/>
      <c r="F1524" s="67"/>
      <c r="G1524" s="60"/>
      <c r="H1524" s="60"/>
      <c r="I1524" s="61"/>
      <c r="J1524" s="61"/>
      <c r="K1524" s="61"/>
      <c r="L1524" s="73" t="str">
        <f t="shared" si="116"/>
        <v/>
      </c>
      <c r="M1524" s="65" t="str">
        <f t="shared" ca="1" si="117"/>
        <v/>
      </c>
      <c r="N1524" s="74" t="str">
        <f>IF($C1524="","",IF($C1524="TANIMSIZ MÜŞTERİ","—",INDEX(MUSTERILER!$C$7:$C$156,MATCH($C1524,MUSTERILER!$B$7:$B$156,0))))</f>
        <v/>
      </c>
      <c r="O1524" s="2"/>
      <c r="P1524" s="2"/>
      <c r="Q1524" s="1" t="str">
        <f>IF($D1524="","",$C1524&amp;"|"&amp;COUNTIFS($C$7:$C1524,$C1524))</f>
        <v/>
      </c>
      <c r="R1524" s="1" t="str">
        <f t="shared" si="118"/>
        <v/>
      </c>
      <c r="S1524" s="1" t="str">
        <f t="shared" si="119"/>
        <v/>
      </c>
      <c r="T1524" s="1">
        <f>IF($E1524="",0,SUMPRODUCT((AY_SONU!$O$7:$O$42="Evet")*(AY_SONU!$B$7:$B$42=DATE(YEAR($E1524),MONTH($E1524),1))))</f>
        <v>0</v>
      </c>
    </row>
    <row r="1525" spans="1:20" ht="18" customHeight="1" x14ac:dyDescent="0.3">
      <c r="A1525" s="2"/>
      <c r="B1525" s="65" t="str">
        <f t="shared" si="115"/>
        <v/>
      </c>
      <c r="C1525" s="65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66"/>
      <c r="F1525" s="67"/>
      <c r="G1525" s="60"/>
      <c r="H1525" s="60"/>
      <c r="I1525" s="61"/>
      <c r="J1525" s="61"/>
      <c r="K1525" s="61"/>
      <c r="L1525" s="73" t="str">
        <f t="shared" si="116"/>
        <v/>
      </c>
      <c r="M1525" s="65" t="str">
        <f t="shared" ca="1" si="117"/>
        <v/>
      </c>
      <c r="N1525" s="74" t="str">
        <f>IF($C1525="","",IF($C1525="TANIMSIZ MÜŞTERİ","—",INDEX(MUSTERILER!$C$7:$C$156,MATCH($C1525,MUSTERILER!$B$7:$B$156,0))))</f>
        <v/>
      </c>
      <c r="O1525" s="2"/>
      <c r="P1525" s="2"/>
      <c r="Q1525" s="1" t="str">
        <f>IF($D1525="","",$C1525&amp;"|"&amp;COUNTIFS($C$7:$C1525,$C1525))</f>
        <v/>
      </c>
      <c r="R1525" s="1" t="str">
        <f t="shared" si="118"/>
        <v/>
      </c>
      <c r="S1525" s="1" t="str">
        <f t="shared" si="119"/>
        <v/>
      </c>
      <c r="T1525" s="1">
        <f>IF($E1525="",0,SUMPRODUCT((AY_SONU!$O$7:$O$42="Evet")*(AY_SONU!$B$7:$B$42=DATE(YEAR($E1525),MONTH($E1525),1))))</f>
        <v>0</v>
      </c>
    </row>
    <row r="1526" spans="1:20" ht="18" customHeight="1" x14ac:dyDescent="0.3">
      <c r="A1526" s="2"/>
      <c r="B1526" s="65" t="str">
        <f t="shared" si="115"/>
        <v/>
      </c>
      <c r="C1526" s="65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66"/>
      <c r="F1526" s="67"/>
      <c r="G1526" s="60"/>
      <c r="H1526" s="60"/>
      <c r="I1526" s="61"/>
      <c r="J1526" s="61"/>
      <c r="K1526" s="61"/>
      <c r="L1526" s="73" t="str">
        <f t="shared" si="116"/>
        <v/>
      </c>
      <c r="M1526" s="65" t="str">
        <f t="shared" ca="1" si="117"/>
        <v/>
      </c>
      <c r="N1526" s="74" t="str">
        <f>IF($C1526="","",IF($C1526="TANIMSIZ MÜŞTERİ","—",INDEX(MUSTERILER!$C$7:$C$156,MATCH($C1526,MUSTERILER!$B$7:$B$156,0))))</f>
        <v/>
      </c>
      <c r="O1526" s="2"/>
      <c r="P1526" s="2"/>
      <c r="Q1526" s="1" t="str">
        <f>IF($D1526="","",$C1526&amp;"|"&amp;COUNTIFS($C$7:$C1526,$C1526))</f>
        <v/>
      </c>
      <c r="R1526" s="1" t="str">
        <f t="shared" si="118"/>
        <v/>
      </c>
      <c r="S1526" s="1" t="str">
        <f t="shared" si="119"/>
        <v/>
      </c>
      <c r="T1526" s="1">
        <f>IF($E1526="",0,SUMPRODUCT((AY_SONU!$O$7:$O$42="Evet")*(AY_SONU!$B$7:$B$42=DATE(YEAR($E1526),MONTH($E1526),1))))</f>
        <v>0</v>
      </c>
    </row>
    <row r="1527" spans="1:20" ht="18" customHeight="1" x14ac:dyDescent="0.3">
      <c r="A1527" s="2"/>
      <c r="B1527" s="65" t="str">
        <f t="shared" si="115"/>
        <v/>
      </c>
      <c r="C1527" s="65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66"/>
      <c r="F1527" s="67"/>
      <c r="G1527" s="60"/>
      <c r="H1527" s="60"/>
      <c r="I1527" s="61"/>
      <c r="J1527" s="61"/>
      <c r="K1527" s="61"/>
      <c r="L1527" s="73" t="str">
        <f t="shared" si="116"/>
        <v/>
      </c>
      <c r="M1527" s="65" t="str">
        <f t="shared" ca="1" si="117"/>
        <v/>
      </c>
      <c r="N1527" s="74" t="str">
        <f>IF($C1527="","",IF($C1527="TANIMSIZ MÜŞTERİ","—",INDEX(MUSTERILER!$C$7:$C$156,MATCH($C1527,MUSTERILER!$B$7:$B$156,0))))</f>
        <v/>
      </c>
      <c r="O1527" s="2"/>
      <c r="P1527" s="2"/>
      <c r="Q1527" s="1" t="str">
        <f>IF($D1527="","",$C1527&amp;"|"&amp;COUNTIFS($C$7:$C1527,$C1527))</f>
        <v/>
      </c>
      <c r="R1527" s="1" t="str">
        <f t="shared" si="118"/>
        <v/>
      </c>
      <c r="S1527" s="1" t="str">
        <f t="shared" si="119"/>
        <v/>
      </c>
      <c r="T1527" s="1">
        <f>IF($E1527="",0,SUMPRODUCT((AY_SONU!$O$7:$O$42="Evet")*(AY_SONU!$B$7:$B$42=DATE(YEAR($E1527),MONTH($E1527),1))))</f>
        <v>0</v>
      </c>
    </row>
    <row r="1528" spans="1:20" ht="18" customHeight="1" x14ac:dyDescent="0.3">
      <c r="A1528" s="2"/>
      <c r="B1528" s="65" t="str">
        <f t="shared" si="115"/>
        <v/>
      </c>
      <c r="C1528" s="65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66"/>
      <c r="F1528" s="67"/>
      <c r="G1528" s="60"/>
      <c r="H1528" s="60"/>
      <c r="I1528" s="61"/>
      <c r="J1528" s="61"/>
      <c r="K1528" s="61"/>
      <c r="L1528" s="73" t="str">
        <f t="shared" si="116"/>
        <v/>
      </c>
      <c r="M1528" s="65" t="str">
        <f t="shared" ca="1" si="117"/>
        <v/>
      </c>
      <c r="N1528" s="74" t="str">
        <f>IF($C1528="","",IF($C1528="TANIMSIZ MÜŞTERİ","—",INDEX(MUSTERILER!$C$7:$C$156,MATCH($C1528,MUSTERILER!$B$7:$B$156,0))))</f>
        <v/>
      </c>
      <c r="O1528" s="2"/>
      <c r="P1528" s="2"/>
      <c r="Q1528" s="1" t="str">
        <f>IF($D1528="","",$C1528&amp;"|"&amp;COUNTIFS($C$7:$C1528,$C1528))</f>
        <v/>
      </c>
      <c r="R1528" s="1" t="str">
        <f t="shared" si="118"/>
        <v/>
      </c>
      <c r="S1528" s="1" t="str">
        <f t="shared" si="119"/>
        <v/>
      </c>
      <c r="T1528" s="1">
        <f>IF($E1528="",0,SUMPRODUCT((AY_SONU!$O$7:$O$42="Evet")*(AY_SONU!$B$7:$B$42=DATE(YEAR($E1528),MONTH($E1528),1))))</f>
        <v>0</v>
      </c>
    </row>
    <row r="1529" spans="1:20" ht="18" customHeight="1" x14ac:dyDescent="0.3">
      <c r="A1529" s="2"/>
      <c r="B1529" s="65" t="str">
        <f t="shared" si="115"/>
        <v/>
      </c>
      <c r="C1529" s="65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66"/>
      <c r="F1529" s="67"/>
      <c r="G1529" s="60"/>
      <c r="H1529" s="60"/>
      <c r="I1529" s="61"/>
      <c r="J1529" s="61"/>
      <c r="K1529" s="61"/>
      <c r="L1529" s="73" t="str">
        <f t="shared" si="116"/>
        <v/>
      </c>
      <c r="M1529" s="65" t="str">
        <f t="shared" ca="1" si="117"/>
        <v/>
      </c>
      <c r="N1529" s="74" t="str">
        <f>IF($C1529="","",IF($C1529="TANIMSIZ MÜŞTERİ","—",INDEX(MUSTERILER!$C$7:$C$156,MATCH($C1529,MUSTERILER!$B$7:$B$156,0))))</f>
        <v/>
      </c>
      <c r="O1529" s="2"/>
      <c r="P1529" s="2"/>
      <c r="Q1529" s="1" t="str">
        <f>IF($D1529="","",$C1529&amp;"|"&amp;COUNTIFS($C$7:$C1529,$C1529))</f>
        <v/>
      </c>
      <c r="R1529" s="1" t="str">
        <f t="shared" si="118"/>
        <v/>
      </c>
      <c r="S1529" s="1" t="str">
        <f t="shared" si="119"/>
        <v/>
      </c>
      <c r="T1529" s="1">
        <f>IF($E1529="",0,SUMPRODUCT((AY_SONU!$O$7:$O$42="Evet")*(AY_SONU!$B$7:$B$42=DATE(YEAR($E1529),MONTH($E1529),1))))</f>
        <v>0</v>
      </c>
    </row>
    <row r="1530" spans="1:20" ht="18" customHeight="1" x14ac:dyDescent="0.3">
      <c r="A1530" s="2"/>
      <c r="B1530" s="65" t="str">
        <f t="shared" si="115"/>
        <v/>
      </c>
      <c r="C1530" s="65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66"/>
      <c r="F1530" s="67"/>
      <c r="G1530" s="60"/>
      <c r="H1530" s="60"/>
      <c r="I1530" s="61"/>
      <c r="J1530" s="61"/>
      <c r="K1530" s="61"/>
      <c r="L1530" s="73" t="str">
        <f t="shared" si="116"/>
        <v/>
      </c>
      <c r="M1530" s="65" t="str">
        <f t="shared" ca="1" si="117"/>
        <v/>
      </c>
      <c r="N1530" s="74" t="str">
        <f>IF($C1530="","",IF($C1530="TANIMSIZ MÜŞTERİ","—",INDEX(MUSTERILER!$C$7:$C$156,MATCH($C1530,MUSTERILER!$B$7:$B$156,0))))</f>
        <v/>
      </c>
      <c r="O1530" s="2"/>
      <c r="P1530" s="2"/>
      <c r="Q1530" s="1" t="str">
        <f>IF($D1530="","",$C1530&amp;"|"&amp;COUNTIFS($C$7:$C1530,$C1530))</f>
        <v/>
      </c>
      <c r="R1530" s="1" t="str">
        <f t="shared" si="118"/>
        <v/>
      </c>
      <c r="S1530" s="1" t="str">
        <f t="shared" si="119"/>
        <v/>
      </c>
      <c r="T1530" s="1">
        <f>IF($E1530="",0,SUMPRODUCT((AY_SONU!$O$7:$O$42="Evet")*(AY_SONU!$B$7:$B$42=DATE(YEAR($E1530),MONTH($E1530),1))))</f>
        <v>0</v>
      </c>
    </row>
    <row r="1531" spans="1:20" ht="18" customHeight="1" x14ac:dyDescent="0.3">
      <c r="A1531" s="2"/>
      <c r="B1531" s="65" t="str">
        <f t="shared" si="115"/>
        <v/>
      </c>
      <c r="C1531" s="65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66"/>
      <c r="F1531" s="67"/>
      <c r="G1531" s="60"/>
      <c r="H1531" s="60"/>
      <c r="I1531" s="61"/>
      <c r="J1531" s="61"/>
      <c r="K1531" s="61"/>
      <c r="L1531" s="73" t="str">
        <f t="shared" si="116"/>
        <v/>
      </c>
      <c r="M1531" s="65" t="str">
        <f t="shared" ca="1" si="117"/>
        <v/>
      </c>
      <c r="N1531" s="74" t="str">
        <f>IF($C1531="","",IF($C1531="TANIMSIZ MÜŞTERİ","—",INDEX(MUSTERILER!$C$7:$C$156,MATCH($C1531,MUSTERILER!$B$7:$B$156,0))))</f>
        <v/>
      </c>
      <c r="O1531" s="2"/>
      <c r="P1531" s="2"/>
      <c r="Q1531" s="1" t="str">
        <f>IF($D1531="","",$C1531&amp;"|"&amp;COUNTIFS($C$7:$C1531,$C1531))</f>
        <v/>
      </c>
      <c r="R1531" s="1" t="str">
        <f t="shared" si="118"/>
        <v/>
      </c>
      <c r="S1531" s="1" t="str">
        <f t="shared" si="119"/>
        <v/>
      </c>
      <c r="T1531" s="1">
        <f>IF($E1531="",0,SUMPRODUCT((AY_SONU!$O$7:$O$42="Evet")*(AY_SONU!$B$7:$B$42=DATE(YEAR($E1531),MONTH($E1531),1))))</f>
        <v>0</v>
      </c>
    </row>
    <row r="1532" spans="1:20" ht="18" customHeight="1" x14ac:dyDescent="0.3">
      <c r="A1532" s="2"/>
      <c r="B1532" s="65" t="str">
        <f t="shared" si="115"/>
        <v/>
      </c>
      <c r="C1532" s="65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66"/>
      <c r="F1532" s="67"/>
      <c r="G1532" s="60"/>
      <c r="H1532" s="60"/>
      <c r="I1532" s="61"/>
      <c r="J1532" s="61"/>
      <c r="K1532" s="61"/>
      <c r="L1532" s="73" t="str">
        <f t="shared" si="116"/>
        <v/>
      </c>
      <c r="M1532" s="65" t="str">
        <f t="shared" ca="1" si="117"/>
        <v/>
      </c>
      <c r="N1532" s="74" t="str">
        <f>IF($C1532="","",IF($C1532="TANIMSIZ MÜŞTERİ","—",INDEX(MUSTERILER!$C$7:$C$156,MATCH($C1532,MUSTERILER!$B$7:$B$156,0))))</f>
        <v/>
      </c>
      <c r="O1532" s="2"/>
      <c r="P1532" s="2"/>
      <c r="Q1532" s="1" t="str">
        <f>IF($D1532="","",$C1532&amp;"|"&amp;COUNTIFS($C$7:$C1532,$C1532))</f>
        <v/>
      </c>
      <c r="R1532" s="1" t="str">
        <f t="shared" si="118"/>
        <v/>
      </c>
      <c r="S1532" s="1" t="str">
        <f t="shared" si="119"/>
        <v/>
      </c>
      <c r="T1532" s="1">
        <f>IF($E1532="",0,SUMPRODUCT((AY_SONU!$O$7:$O$42="Evet")*(AY_SONU!$B$7:$B$42=DATE(YEAR($E1532),MONTH($E1532),1))))</f>
        <v>0</v>
      </c>
    </row>
    <row r="1533" spans="1:20" ht="18" customHeight="1" x14ac:dyDescent="0.3">
      <c r="A1533" s="2"/>
      <c r="B1533" s="65" t="str">
        <f t="shared" si="115"/>
        <v/>
      </c>
      <c r="C1533" s="65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66"/>
      <c r="F1533" s="67"/>
      <c r="G1533" s="60"/>
      <c r="H1533" s="60"/>
      <c r="I1533" s="61"/>
      <c r="J1533" s="61"/>
      <c r="K1533" s="61"/>
      <c r="L1533" s="73" t="str">
        <f t="shared" si="116"/>
        <v/>
      </c>
      <c r="M1533" s="65" t="str">
        <f t="shared" ca="1" si="117"/>
        <v/>
      </c>
      <c r="N1533" s="74" t="str">
        <f>IF($C1533="","",IF($C1533="TANIMSIZ MÜŞTERİ","—",INDEX(MUSTERILER!$C$7:$C$156,MATCH($C1533,MUSTERILER!$B$7:$B$156,0))))</f>
        <v/>
      </c>
      <c r="O1533" s="2"/>
      <c r="P1533" s="2"/>
      <c r="Q1533" s="1" t="str">
        <f>IF($D1533="","",$C1533&amp;"|"&amp;COUNTIFS($C$7:$C1533,$C1533))</f>
        <v/>
      </c>
      <c r="R1533" s="1" t="str">
        <f t="shared" si="118"/>
        <v/>
      </c>
      <c r="S1533" s="1" t="str">
        <f t="shared" si="119"/>
        <v/>
      </c>
      <c r="T1533" s="1">
        <f>IF($E1533="",0,SUMPRODUCT((AY_SONU!$O$7:$O$42="Evet")*(AY_SONU!$B$7:$B$42=DATE(YEAR($E1533),MONTH($E1533),1))))</f>
        <v>0</v>
      </c>
    </row>
    <row r="1534" spans="1:20" ht="18" customHeight="1" x14ac:dyDescent="0.3">
      <c r="A1534" s="2"/>
      <c r="B1534" s="65" t="str">
        <f t="shared" si="115"/>
        <v/>
      </c>
      <c r="C1534" s="65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66"/>
      <c r="F1534" s="67"/>
      <c r="G1534" s="60"/>
      <c r="H1534" s="60"/>
      <c r="I1534" s="61"/>
      <c r="J1534" s="61"/>
      <c r="K1534" s="61"/>
      <c r="L1534" s="73" t="str">
        <f t="shared" si="116"/>
        <v/>
      </c>
      <c r="M1534" s="65" t="str">
        <f t="shared" ca="1" si="117"/>
        <v/>
      </c>
      <c r="N1534" s="74" t="str">
        <f>IF($C1534="","",IF($C1534="TANIMSIZ MÜŞTERİ","—",INDEX(MUSTERILER!$C$7:$C$156,MATCH($C1534,MUSTERILER!$B$7:$B$156,0))))</f>
        <v/>
      </c>
      <c r="O1534" s="2"/>
      <c r="P1534" s="2"/>
      <c r="Q1534" s="1" t="str">
        <f>IF($D1534="","",$C1534&amp;"|"&amp;COUNTIFS($C$7:$C1534,$C1534))</f>
        <v/>
      </c>
      <c r="R1534" s="1" t="str">
        <f t="shared" si="118"/>
        <v/>
      </c>
      <c r="S1534" s="1" t="str">
        <f t="shared" si="119"/>
        <v/>
      </c>
      <c r="T1534" s="1">
        <f>IF($E1534="",0,SUMPRODUCT((AY_SONU!$O$7:$O$42="Evet")*(AY_SONU!$B$7:$B$42=DATE(YEAR($E1534),MONTH($E1534),1))))</f>
        <v>0</v>
      </c>
    </row>
    <row r="1535" spans="1:20" ht="18" customHeight="1" x14ac:dyDescent="0.3">
      <c r="A1535" s="2"/>
      <c r="B1535" s="65" t="str">
        <f t="shared" si="115"/>
        <v/>
      </c>
      <c r="C1535" s="65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66"/>
      <c r="F1535" s="67"/>
      <c r="G1535" s="60"/>
      <c r="H1535" s="60"/>
      <c r="I1535" s="61"/>
      <c r="J1535" s="61"/>
      <c r="K1535" s="61"/>
      <c r="L1535" s="73" t="str">
        <f t="shared" si="116"/>
        <v/>
      </c>
      <c r="M1535" s="65" t="str">
        <f t="shared" ca="1" si="117"/>
        <v/>
      </c>
      <c r="N1535" s="74" t="str">
        <f>IF($C1535="","",IF($C1535="TANIMSIZ MÜŞTERİ","—",INDEX(MUSTERILER!$C$7:$C$156,MATCH($C1535,MUSTERILER!$B$7:$B$156,0))))</f>
        <v/>
      </c>
      <c r="O1535" s="2"/>
      <c r="P1535" s="2"/>
      <c r="Q1535" s="1" t="str">
        <f>IF($D1535="","",$C1535&amp;"|"&amp;COUNTIFS($C$7:$C1535,$C1535))</f>
        <v/>
      </c>
      <c r="R1535" s="1" t="str">
        <f t="shared" si="118"/>
        <v/>
      </c>
      <c r="S1535" s="1" t="str">
        <f t="shared" si="119"/>
        <v/>
      </c>
      <c r="T1535" s="1">
        <f>IF($E1535="",0,SUMPRODUCT((AY_SONU!$O$7:$O$42="Evet")*(AY_SONU!$B$7:$B$42=DATE(YEAR($E1535),MONTH($E1535),1))))</f>
        <v>0</v>
      </c>
    </row>
    <row r="1536" spans="1:20" ht="18" customHeight="1" x14ac:dyDescent="0.3">
      <c r="A1536" s="2"/>
      <c r="B1536" s="65" t="str">
        <f t="shared" si="115"/>
        <v/>
      </c>
      <c r="C1536" s="65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66"/>
      <c r="F1536" s="67"/>
      <c r="G1536" s="60"/>
      <c r="H1536" s="60"/>
      <c r="I1536" s="61"/>
      <c r="J1536" s="61"/>
      <c r="K1536" s="61"/>
      <c r="L1536" s="73" t="str">
        <f t="shared" si="116"/>
        <v/>
      </c>
      <c r="M1536" s="65" t="str">
        <f t="shared" ca="1" si="117"/>
        <v/>
      </c>
      <c r="N1536" s="74" t="str">
        <f>IF($C1536="","",IF($C1536="TANIMSIZ MÜŞTERİ","—",INDEX(MUSTERILER!$C$7:$C$156,MATCH($C1536,MUSTERILER!$B$7:$B$156,0))))</f>
        <v/>
      </c>
      <c r="O1536" s="2"/>
      <c r="P1536" s="2"/>
      <c r="Q1536" s="1" t="str">
        <f>IF($D1536="","",$C1536&amp;"|"&amp;COUNTIFS($C$7:$C1536,$C1536))</f>
        <v/>
      </c>
      <c r="R1536" s="1" t="str">
        <f t="shared" si="118"/>
        <v/>
      </c>
      <c r="S1536" s="1" t="str">
        <f t="shared" si="119"/>
        <v/>
      </c>
      <c r="T1536" s="1">
        <f>IF($E1536="",0,SUMPRODUCT((AY_SONU!$O$7:$O$42="Evet")*(AY_SONU!$B$7:$B$42=DATE(YEAR($E1536),MONTH($E1536),1))))</f>
        <v>0</v>
      </c>
    </row>
    <row r="1537" spans="1:20" ht="18" customHeight="1" x14ac:dyDescent="0.3">
      <c r="A1537" s="2"/>
      <c r="B1537" s="65" t="str">
        <f t="shared" si="115"/>
        <v/>
      </c>
      <c r="C1537" s="65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66"/>
      <c r="F1537" s="67"/>
      <c r="G1537" s="60"/>
      <c r="H1537" s="60"/>
      <c r="I1537" s="61"/>
      <c r="J1537" s="61"/>
      <c r="K1537" s="61"/>
      <c r="L1537" s="73" t="str">
        <f t="shared" si="116"/>
        <v/>
      </c>
      <c r="M1537" s="65" t="str">
        <f t="shared" ca="1" si="117"/>
        <v/>
      </c>
      <c r="N1537" s="74" t="str">
        <f>IF($C1537="","",IF($C1537="TANIMSIZ MÜŞTERİ","—",INDEX(MUSTERILER!$C$7:$C$156,MATCH($C1537,MUSTERILER!$B$7:$B$156,0))))</f>
        <v/>
      </c>
      <c r="O1537" s="2"/>
      <c r="P1537" s="2"/>
      <c r="Q1537" s="1" t="str">
        <f>IF($D1537="","",$C1537&amp;"|"&amp;COUNTIFS($C$7:$C1537,$C1537))</f>
        <v/>
      </c>
      <c r="R1537" s="1" t="str">
        <f t="shared" si="118"/>
        <v/>
      </c>
      <c r="S1537" s="1" t="str">
        <f t="shared" si="119"/>
        <v/>
      </c>
      <c r="T1537" s="1">
        <f>IF($E1537="",0,SUMPRODUCT((AY_SONU!$O$7:$O$42="Evet")*(AY_SONU!$B$7:$B$42=DATE(YEAR($E1537),MONTH($E1537),1))))</f>
        <v>0</v>
      </c>
    </row>
    <row r="1538" spans="1:20" ht="18" customHeight="1" x14ac:dyDescent="0.3">
      <c r="A1538" s="2"/>
      <c r="B1538" s="65" t="str">
        <f t="shared" si="115"/>
        <v/>
      </c>
      <c r="C1538" s="65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66"/>
      <c r="F1538" s="67"/>
      <c r="G1538" s="60"/>
      <c r="H1538" s="60"/>
      <c r="I1538" s="61"/>
      <c r="J1538" s="61"/>
      <c r="K1538" s="61"/>
      <c r="L1538" s="73" t="str">
        <f t="shared" si="116"/>
        <v/>
      </c>
      <c r="M1538" s="65" t="str">
        <f t="shared" ca="1" si="117"/>
        <v/>
      </c>
      <c r="N1538" s="74" t="str">
        <f>IF($C1538="","",IF($C1538="TANIMSIZ MÜŞTERİ","—",INDEX(MUSTERILER!$C$7:$C$156,MATCH($C1538,MUSTERILER!$B$7:$B$156,0))))</f>
        <v/>
      </c>
      <c r="O1538" s="2"/>
      <c r="P1538" s="2"/>
      <c r="Q1538" s="1" t="str">
        <f>IF($D1538="","",$C1538&amp;"|"&amp;COUNTIFS($C$7:$C1538,$C1538))</f>
        <v/>
      </c>
      <c r="R1538" s="1" t="str">
        <f t="shared" si="118"/>
        <v/>
      </c>
      <c r="S1538" s="1" t="str">
        <f t="shared" si="119"/>
        <v/>
      </c>
      <c r="T1538" s="1">
        <f>IF($E1538="",0,SUMPRODUCT((AY_SONU!$O$7:$O$42="Evet")*(AY_SONU!$B$7:$B$42=DATE(YEAR($E1538),MONTH($E1538),1))))</f>
        <v>0</v>
      </c>
    </row>
    <row r="1539" spans="1:20" ht="18" customHeight="1" x14ac:dyDescent="0.3">
      <c r="A1539" s="2"/>
      <c r="B1539" s="65" t="str">
        <f t="shared" si="115"/>
        <v/>
      </c>
      <c r="C1539" s="65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66"/>
      <c r="F1539" s="67"/>
      <c r="G1539" s="60"/>
      <c r="H1539" s="60"/>
      <c r="I1539" s="61"/>
      <c r="J1539" s="61"/>
      <c r="K1539" s="61"/>
      <c r="L1539" s="73" t="str">
        <f t="shared" si="116"/>
        <v/>
      </c>
      <c r="M1539" s="65" t="str">
        <f t="shared" ca="1" si="117"/>
        <v/>
      </c>
      <c r="N1539" s="74" t="str">
        <f>IF($C1539="","",IF($C1539="TANIMSIZ MÜŞTERİ","—",INDEX(MUSTERILER!$C$7:$C$156,MATCH($C1539,MUSTERILER!$B$7:$B$156,0))))</f>
        <v/>
      </c>
      <c r="O1539" s="2"/>
      <c r="P1539" s="2"/>
      <c r="Q1539" s="1" t="str">
        <f>IF($D1539="","",$C1539&amp;"|"&amp;COUNTIFS($C$7:$C1539,$C1539))</f>
        <v/>
      </c>
      <c r="R1539" s="1" t="str">
        <f t="shared" si="118"/>
        <v/>
      </c>
      <c r="S1539" s="1" t="str">
        <f t="shared" si="119"/>
        <v/>
      </c>
      <c r="T1539" s="1">
        <f>IF($E1539="",0,SUMPRODUCT((AY_SONU!$O$7:$O$42="Evet")*(AY_SONU!$B$7:$B$42=DATE(YEAR($E1539),MONTH($E1539),1))))</f>
        <v>0</v>
      </c>
    </row>
    <row r="1540" spans="1:20" ht="18" customHeight="1" x14ac:dyDescent="0.3">
      <c r="A1540" s="2"/>
      <c r="B1540" s="65" t="str">
        <f t="shared" si="115"/>
        <v/>
      </c>
      <c r="C1540" s="65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66"/>
      <c r="F1540" s="67"/>
      <c r="G1540" s="60"/>
      <c r="H1540" s="60"/>
      <c r="I1540" s="61"/>
      <c r="J1540" s="61"/>
      <c r="K1540" s="61"/>
      <c r="L1540" s="73" t="str">
        <f t="shared" si="116"/>
        <v/>
      </c>
      <c r="M1540" s="65" t="str">
        <f t="shared" ca="1" si="117"/>
        <v/>
      </c>
      <c r="N1540" s="74" t="str">
        <f>IF($C1540="","",IF($C1540="TANIMSIZ MÜŞTERİ","—",INDEX(MUSTERILER!$C$7:$C$156,MATCH($C1540,MUSTERILER!$B$7:$B$156,0))))</f>
        <v/>
      </c>
      <c r="O1540" s="2"/>
      <c r="P1540" s="2"/>
      <c r="Q1540" s="1" t="str">
        <f>IF($D1540="","",$C1540&amp;"|"&amp;COUNTIFS($C$7:$C1540,$C1540))</f>
        <v/>
      </c>
      <c r="R1540" s="1" t="str">
        <f t="shared" si="118"/>
        <v/>
      </c>
      <c r="S1540" s="1" t="str">
        <f t="shared" si="119"/>
        <v/>
      </c>
      <c r="T1540" s="1">
        <f>IF($E1540="",0,SUMPRODUCT((AY_SONU!$O$7:$O$42="Evet")*(AY_SONU!$B$7:$B$42=DATE(YEAR($E1540),MONTH($E1540),1))))</f>
        <v>0</v>
      </c>
    </row>
    <row r="1541" spans="1:20" ht="18" customHeight="1" x14ac:dyDescent="0.3">
      <c r="A1541" s="2"/>
      <c r="B1541" s="65" t="str">
        <f t="shared" si="115"/>
        <v/>
      </c>
      <c r="C1541" s="65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66"/>
      <c r="F1541" s="67"/>
      <c r="G1541" s="60"/>
      <c r="H1541" s="60"/>
      <c r="I1541" s="61"/>
      <c r="J1541" s="61"/>
      <c r="K1541" s="61"/>
      <c r="L1541" s="73" t="str">
        <f t="shared" si="116"/>
        <v/>
      </c>
      <c r="M1541" s="65" t="str">
        <f t="shared" ca="1" si="117"/>
        <v/>
      </c>
      <c r="N1541" s="74" t="str">
        <f>IF($C1541="","",IF($C1541="TANIMSIZ MÜŞTERİ","—",INDEX(MUSTERILER!$C$7:$C$156,MATCH($C1541,MUSTERILER!$B$7:$B$156,0))))</f>
        <v/>
      </c>
      <c r="O1541" s="2"/>
      <c r="P1541" s="2"/>
      <c r="Q1541" s="1" t="str">
        <f>IF($D1541="","",$C1541&amp;"|"&amp;COUNTIFS($C$7:$C1541,$C1541))</f>
        <v/>
      </c>
      <c r="R1541" s="1" t="str">
        <f t="shared" si="118"/>
        <v/>
      </c>
      <c r="S1541" s="1" t="str">
        <f t="shared" si="119"/>
        <v/>
      </c>
      <c r="T1541" s="1">
        <f>IF($E1541="",0,SUMPRODUCT((AY_SONU!$O$7:$O$42="Evet")*(AY_SONU!$B$7:$B$42=DATE(YEAR($E1541),MONTH($E1541),1))))</f>
        <v>0</v>
      </c>
    </row>
    <row r="1542" spans="1:20" ht="18" customHeight="1" x14ac:dyDescent="0.3">
      <c r="A1542" s="2"/>
      <c r="B1542" s="65" t="str">
        <f t="shared" si="115"/>
        <v/>
      </c>
      <c r="C1542" s="65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66"/>
      <c r="F1542" s="67"/>
      <c r="G1542" s="60"/>
      <c r="H1542" s="60"/>
      <c r="I1542" s="61"/>
      <c r="J1542" s="61"/>
      <c r="K1542" s="61"/>
      <c r="L1542" s="73" t="str">
        <f t="shared" si="116"/>
        <v/>
      </c>
      <c r="M1542" s="65" t="str">
        <f t="shared" ca="1" si="117"/>
        <v/>
      </c>
      <c r="N1542" s="74" t="str">
        <f>IF($C1542="","",IF($C1542="TANIMSIZ MÜŞTERİ","—",INDEX(MUSTERILER!$C$7:$C$156,MATCH($C1542,MUSTERILER!$B$7:$B$156,0))))</f>
        <v/>
      </c>
      <c r="O1542" s="2"/>
      <c r="P1542" s="2"/>
      <c r="Q1542" s="1" t="str">
        <f>IF($D1542="","",$C1542&amp;"|"&amp;COUNTIFS($C$7:$C1542,$C1542))</f>
        <v/>
      </c>
      <c r="R1542" s="1" t="str">
        <f t="shared" si="118"/>
        <v/>
      </c>
      <c r="S1542" s="1" t="str">
        <f t="shared" si="119"/>
        <v/>
      </c>
      <c r="T1542" s="1">
        <f>IF($E1542="",0,SUMPRODUCT((AY_SONU!$O$7:$O$42="Evet")*(AY_SONU!$B$7:$B$42=DATE(YEAR($E1542),MONTH($E1542),1))))</f>
        <v>0</v>
      </c>
    </row>
    <row r="1543" spans="1:20" ht="18" customHeight="1" x14ac:dyDescent="0.3">
      <c r="A1543" s="2"/>
      <c r="B1543" s="65" t="str">
        <f t="shared" ref="B1543:B1606" si="120">IF($D1543="","","T"&amp;TEXT(ROW()-6,"00000"))</f>
        <v/>
      </c>
      <c r="C1543" s="65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66"/>
      <c r="F1543" s="67"/>
      <c r="G1543" s="60"/>
      <c r="H1543" s="60"/>
      <c r="I1543" s="61"/>
      <c r="J1543" s="61"/>
      <c r="K1543" s="61"/>
      <c r="L1543" s="73" t="str">
        <f t="shared" ref="L1543:L1606" si="121">IF($E1543="","",DATE(YEAR($E1543),MONTH($E1543),1))</f>
        <v/>
      </c>
      <c r="M1543" s="65" t="str">
        <f t="shared" ref="M1543:M1606" ca="1" si="122">IF($D1543="","",IF($C1543="TANIMSIZ MÜŞTERİ","HATA",IF(OR($E1543="",$F1543&lt;=0,$G1543=""),"EKSİK",IF($E1543&gt;TODAY(),"İLERİ TARİH",IF(COUNTIF($S$7:$S$2506,$S1543)&gt;1,"MÜKERRER?",IF($T1543&gt;0,"KAPALI DÖNEM","UYGUN"))))))</f>
        <v/>
      </c>
      <c r="N1543" s="74" t="str">
        <f>IF($C1543="","",IF($C1543="TANIMSIZ MÜŞTERİ","—",INDEX(MUSTERILER!$C$7:$C$156,MATCH($C1543,MUSTERILER!$B$7:$B$156,0))))</f>
        <v/>
      </c>
      <c r="O1543" s="2"/>
      <c r="P1543" s="2"/>
      <c r="Q1543" s="1" t="str">
        <f>IF($D1543="","",$C1543&amp;"|"&amp;COUNTIFS($C$7:$C1543,$C1543))</f>
        <v/>
      </c>
      <c r="R1543" s="1" t="str">
        <f t="shared" ref="R1543:R1606" si="123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 t="str">
        <f t="shared" ref="S1543:S1606" si="124"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>0</v>
      </c>
    </row>
    <row r="1544" spans="1:20" ht="18" customHeight="1" x14ac:dyDescent="0.3">
      <c r="A1544" s="2"/>
      <c r="B1544" s="65" t="str">
        <f t="shared" si="120"/>
        <v/>
      </c>
      <c r="C1544" s="65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66"/>
      <c r="F1544" s="67"/>
      <c r="G1544" s="60"/>
      <c r="H1544" s="60"/>
      <c r="I1544" s="61"/>
      <c r="J1544" s="61"/>
      <c r="K1544" s="61"/>
      <c r="L1544" s="73" t="str">
        <f t="shared" si="121"/>
        <v/>
      </c>
      <c r="M1544" s="65" t="str">
        <f t="shared" ca="1" si="122"/>
        <v/>
      </c>
      <c r="N1544" s="74" t="str">
        <f>IF($C1544="","",IF($C1544="TANIMSIZ MÜŞTERİ","—",INDEX(MUSTERILER!$C$7:$C$156,MATCH($C1544,MUSTERILER!$B$7:$B$156,0))))</f>
        <v/>
      </c>
      <c r="O1544" s="2"/>
      <c r="P1544" s="2"/>
      <c r="Q1544" s="1" t="str">
        <f>IF($D1544="","",$C1544&amp;"|"&amp;COUNTIFS($C$7:$C1544,$C1544))</f>
        <v/>
      </c>
      <c r="R1544" s="1" t="str">
        <f t="shared" si="123"/>
        <v/>
      </c>
      <c r="S1544" s="1" t="str">
        <f t="shared" si="124"/>
        <v/>
      </c>
      <c r="T1544" s="1">
        <f>IF($E1544="",0,SUMPRODUCT((AY_SONU!$O$7:$O$42="Evet")*(AY_SONU!$B$7:$B$42=DATE(YEAR($E1544),MONTH($E1544),1))))</f>
        <v>0</v>
      </c>
    </row>
    <row r="1545" spans="1:20" ht="18" customHeight="1" x14ac:dyDescent="0.3">
      <c r="A1545" s="2"/>
      <c r="B1545" s="65" t="str">
        <f t="shared" si="120"/>
        <v/>
      </c>
      <c r="C1545" s="65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66"/>
      <c r="F1545" s="67"/>
      <c r="G1545" s="60"/>
      <c r="H1545" s="60"/>
      <c r="I1545" s="61"/>
      <c r="J1545" s="61"/>
      <c r="K1545" s="61"/>
      <c r="L1545" s="73" t="str">
        <f t="shared" si="121"/>
        <v/>
      </c>
      <c r="M1545" s="65" t="str">
        <f t="shared" ca="1" si="122"/>
        <v/>
      </c>
      <c r="N1545" s="74" t="str">
        <f>IF($C1545="","",IF($C1545="TANIMSIZ MÜŞTERİ","—",INDEX(MUSTERILER!$C$7:$C$156,MATCH($C1545,MUSTERILER!$B$7:$B$156,0))))</f>
        <v/>
      </c>
      <c r="O1545" s="2"/>
      <c r="P1545" s="2"/>
      <c r="Q1545" s="1" t="str">
        <f>IF($D1545="","",$C1545&amp;"|"&amp;COUNTIFS($C$7:$C1545,$C1545))</f>
        <v/>
      </c>
      <c r="R1545" s="1" t="str">
        <f t="shared" si="123"/>
        <v/>
      </c>
      <c r="S1545" s="1" t="str">
        <f t="shared" si="124"/>
        <v/>
      </c>
      <c r="T1545" s="1">
        <f>IF($E1545="",0,SUMPRODUCT((AY_SONU!$O$7:$O$42="Evet")*(AY_SONU!$B$7:$B$42=DATE(YEAR($E1545),MONTH($E1545),1))))</f>
        <v>0</v>
      </c>
    </row>
    <row r="1546" spans="1:20" ht="18" customHeight="1" x14ac:dyDescent="0.3">
      <c r="A1546" s="2"/>
      <c r="B1546" s="65" t="str">
        <f t="shared" si="120"/>
        <v/>
      </c>
      <c r="C1546" s="65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66"/>
      <c r="F1546" s="67"/>
      <c r="G1546" s="60"/>
      <c r="H1546" s="60"/>
      <c r="I1546" s="61"/>
      <c r="J1546" s="61"/>
      <c r="K1546" s="61"/>
      <c r="L1546" s="73" t="str">
        <f t="shared" si="121"/>
        <v/>
      </c>
      <c r="M1546" s="65" t="str">
        <f t="shared" ca="1" si="122"/>
        <v/>
      </c>
      <c r="N1546" s="74" t="str">
        <f>IF($C1546="","",IF($C1546="TANIMSIZ MÜŞTERİ","—",INDEX(MUSTERILER!$C$7:$C$156,MATCH($C1546,MUSTERILER!$B$7:$B$156,0))))</f>
        <v/>
      </c>
      <c r="O1546" s="2"/>
      <c r="P1546" s="2"/>
      <c r="Q1546" s="1" t="str">
        <f>IF($D1546="","",$C1546&amp;"|"&amp;COUNTIFS($C$7:$C1546,$C1546))</f>
        <v/>
      </c>
      <c r="R1546" s="1" t="str">
        <f t="shared" si="123"/>
        <v/>
      </c>
      <c r="S1546" s="1" t="str">
        <f t="shared" si="124"/>
        <v/>
      </c>
      <c r="T1546" s="1">
        <f>IF($E1546="",0,SUMPRODUCT((AY_SONU!$O$7:$O$42="Evet")*(AY_SONU!$B$7:$B$42=DATE(YEAR($E1546),MONTH($E1546),1))))</f>
        <v>0</v>
      </c>
    </row>
    <row r="1547" spans="1:20" ht="18" customHeight="1" x14ac:dyDescent="0.3">
      <c r="A1547" s="2"/>
      <c r="B1547" s="65" t="str">
        <f t="shared" si="120"/>
        <v/>
      </c>
      <c r="C1547" s="65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66"/>
      <c r="F1547" s="67"/>
      <c r="G1547" s="60"/>
      <c r="H1547" s="60"/>
      <c r="I1547" s="61"/>
      <c r="J1547" s="61"/>
      <c r="K1547" s="61"/>
      <c r="L1547" s="73" t="str">
        <f t="shared" si="121"/>
        <v/>
      </c>
      <c r="M1547" s="65" t="str">
        <f t="shared" ca="1" si="122"/>
        <v/>
      </c>
      <c r="N1547" s="74" t="str">
        <f>IF($C1547="","",IF($C1547="TANIMSIZ MÜŞTERİ","—",INDEX(MUSTERILER!$C$7:$C$156,MATCH($C1547,MUSTERILER!$B$7:$B$156,0))))</f>
        <v/>
      </c>
      <c r="O1547" s="2"/>
      <c r="P1547" s="2"/>
      <c r="Q1547" s="1" t="str">
        <f>IF($D1547="","",$C1547&amp;"|"&amp;COUNTIFS($C$7:$C1547,$C1547))</f>
        <v/>
      </c>
      <c r="R1547" s="1" t="str">
        <f t="shared" si="123"/>
        <v/>
      </c>
      <c r="S1547" s="1" t="str">
        <f t="shared" si="124"/>
        <v/>
      </c>
      <c r="T1547" s="1">
        <f>IF($E1547="",0,SUMPRODUCT((AY_SONU!$O$7:$O$42="Evet")*(AY_SONU!$B$7:$B$42=DATE(YEAR($E1547),MONTH($E1547),1))))</f>
        <v>0</v>
      </c>
    </row>
    <row r="1548" spans="1:20" ht="18" customHeight="1" x14ac:dyDescent="0.3">
      <c r="A1548" s="2"/>
      <c r="B1548" s="65" t="str">
        <f t="shared" si="120"/>
        <v/>
      </c>
      <c r="C1548" s="65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66"/>
      <c r="F1548" s="67"/>
      <c r="G1548" s="60"/>
      <c r="H1548" s="60"/>
      <c r="I1548" s="61"/>
      <c r="J1548" s="61"/>
      <c r="K1548" s="61"/>
      <c r="L1548" s="73" t="str">
        <f t="shared" si="121"/>
        <v/>
      </c>
      <c r="M1548" s="65" t="str">
        <f t="shared" ca="1" si="122"/>
        <v/>
      </c>
      <c r="N1548" s="74" t="str">
        <f>IF($C1548="","",IF($C1548="TANIMSIZ MÜŞTERİ","—",INDEX(MUSTERILER!$C$7:$C$156,MATCH($C1548,MUSTERILER!$B$7:$B$156,0))))</f>
        <v/>
      </c>
      <c r="O1548" s="2"/>
      <c r="P1548" s="2"/>
      <c r="Q1548" s="1" t="str">
        <f>IF($D1548="","",$C1548&amp;"|"&amp;COUNTIFS($C$7:$C1548,$C1548))</f>
        <v/>
      </c>
      <c r="R1548" s="1" t="str">
        <f t="shared" si="123"/>
        <v/>
      </c>
      <c r="S1548" s="1" t="str">
        <f t="shared" si="124"/>
        <v/>
      </c>
      <c r="T1548" s="1">
        <f>IF($E1548="",0,SUMPRODUCT((AY_SONU!$O$7:$O$42="Evet")*(AY_SONU!$B$7:$B$42=DATE(YEAR($E1548),MONTH($E1548),1))))</f>
        <v>0</v>
      </c>
    </row>
    <row r="1549" spans="1:20" ht="18" customHeight="1" x14ac:dyDescent="0.3">
      <c r="A1549" s="2"/>
      <c r="B1549" s="65" t="str">
        <f t="shared" si="120"/>
        <v/>
      </c>
      <c r="C1549" s="65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66"/>
      <c r="F1549" s="67"/>
      <c r="G1549" s="60"/>
      <c r="H1549" s="60"/>
      <c r="I1549" s="61"/>
      <c r="J1549" s="61"/>
      <c r="K1549" s="61"/>
      <c r="L1549" s="73" t="str">
        <f t="shared" si="121"/>
        <v/>
      </c>
      <c r="M1549" s="65" t="str">
        <f t="shared" ca="1" si="122"/>
        <v/>
      </c>
      <c r="N1549" s="74" t="str">
        <f>IF($C1549="","",IF($C1549="TANIMSIZ MÜŞTERİ","—",INDEX(MUSTERILER!$C$7:$C$156,MATCH($C1549,MUSTERILER!$B$7:$B$156,0))))</f>
        <v/>
      </c>
      <c r="O1549" s="2"/>
      <c r="P1549" s="2"/>
      <c r="Q1549" s="1" t="str">
        <f>IF($D1549="","",$C1549&amp;"|"&amp;COUNTIFS($C$7:$C1549,$C1549))</f>
        <v/>
      </c>
      <c r="R1549" s="1" t="str">
        <f t="shared" si="123"/>
        <v/>
      </c>
      <c r="S1549" s="1" t="str">
        <f t="shared" si="124"/>
        <v/>
      </c>
      <c r="T1549" s="1">
        <f>IF($E1549="",0,SUMPRODUCT((AY_SONU!$O$7:$O$42="Evet")*(AY_SONU!$B$7:$B$42=DATE(YEAR($E1549),MONTH($E1549),1))))</f>
        <v>0</v>
      </c>
    </row>
    <row r="1550" spans="1:20" ht="18" customHeight="1" x14ac:dyDescent="0.3">
      <c r="A1550" s="2"/>
      <c r="B1550" s="65" t="str">
        <f t="shared" si="120"/>
        <v/>
      </c>
      <c r="C1550" s="65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66"/>
      <c r="F1550" s="67"/>
      <c r="G1550" s="60"/>
      <c r="H1550" s="60"/>
      <c r="I1550" s="61"/>
      <c r="J1550" s="61"/>
      <c r="K1550" s="61"/>
      <c r="L1550" s="73" t="str">
        <f t="shared" si="121"/>
        <v/>
      </c>
      <c r="M1550" s="65" t="str">
        <f t="shared" ca="1" si="122"/>
        <v/>
      </c>
      <c r="N1550" s="74" t="str">
        <f>IF($C1550="","",IF($C1550="TANIMSIZ MÜŞTERİ","—",INDEX(MUSTERILER!$C$7:$C$156,MATCH($C1550,MUSTERILER!$B$7:$B$156,0))))</f>
        <v/>
      </c>
      <c r="O1550" s="2"/>
      <c r="P1550" s="2"/>
      <c r="Q1550" s="1" t="str">
        <f>IF($D1550="","",$C1550&amp;"|"&amp;COUNTIFS($C$7:$C1550,$C1550))</f>
        <v/>
      </c>
      <c r="R1550" s="1" t="str">
        <f t="shared" si="123"/>
        <v/>
      </c>
      <c r="S1550" s="1" t="str">
        <f t="shared" si="124"/>
        <v/>
      </c>
      <c r="T1550" s="1">
        <f>IF($E1550="",0,SUMPRODUCT((AY_SONU!$O$7:$O$42="Evet")*(AY_SONU!$B$7:$B$42=DATE(YEAR($E1550),MONTH($E1550),1))))</f>
        <v>0</v>
      </c>
    </row>
    <row r="1551" spans="1:20" ht="18" customHeight="1" x14ac:dyDescent="0.3">
      <c r="A1551" s="2"/>
      <c r="B1551" s="65" t="str">
        <f t="shared" si="120"/>
        <v/>
      </c>
      <c r="C1551" s="65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66"/>
      <c r="F1551" s="67"/>
      <c r="G1551" s="60"/>
      <c r="H1551" s="60"/>
      <c r="I1551" s="61"/>
      <c r="J1551" s="61"/>
      <c r="K1551" s="61"/>
      <c r="L1551" s="73" t="str">
        <f t="shared" si="121"/>
        <v/>
      </c>
      <c r="M1551" s="65" t="str">
        <f t="shared" ca="1" si="122"/>
        <v/>
      </c>
      <c r="N1551" s="74" t="str">
        <f>IF($C1551="","",IF($C1551="TANIMSIZ MÜŞTERİ","—",INDEX(MUSTERILER!$C$7:$C$156,MATCH($C1551,MUSTERILER!$B$7:$B$156,0))))</f>
        <v/>
      </c>
      <c r="O1551" s="2"/>
      <c r="P1551" s="2"/>
      <c r="Q1551" s="1" t="str">
        <f>IF($D1551="","",$C1551&amp;"|"&amp;COUNTIFS($C$7:$C1551,$C1551))</f>
        <v/>
      </c>
      <c r="R1551" s="1" t="str">
        <f t="shared" si="123"/>
        <v/>
      </c>
      <c r="S1551" s="1" t="str">
        <f t="shared" si="124"/>
        <v/>
      </c>
      <c r="T1551" s="1">
        <f>IF($E1551="",0,SUMPRODUCT((AY_SONU!$O$7:$O$42="Evet")*(AY_SONU!$B$7:$B$42=DATE(YEAR($E1551),MONTH($E1551),1))))</f>
        <v>0</v>
      </c>
    </row>
    <row r="1552" spans="1:20" ht="18" customHeight="1" x14ac:dyDescent="0.3">
      <c r="A1552" s="2"/>
      <c r="B1552" s="65" t="str">
        <f t="shared" si="120"/>
        <v/>
      </c>
      <c r="C1552" s="65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66"/>
      <c r="F1552" s="67"/>
      <c r="G1552" s="60"/>
      <c r="H1552" s="60"/>
      <c r="I1552" s="61"/>
      <c r="J1552" s="61"/>
      <c r="K1552" s="61"/>
      <c r="L1552" s="73" t="str">
        <f t="shared" si="121"/>
        <v/>
      </c>
      <c r="M1552" s="65" t="str">
        <f t="shared" ca="1" si="122"/>
        <v/>
      </c>
      <c r="N1552" s="74" t="str">
        <f>IF($C1552="","",IF($C1552="TANIMSIZ MÜŞTERİ","—",INDEX(MUSTERILER!$C$7:$C$156,MATCH($C1552,MUSTERILER!$B$7:$B$156,0))))</f>
        <v/>
      </c>
      <c r="O1552" s="2"/>
      <c r="P1552" s="2"/>
      <c r="Q1552" s="1" t="str">
        <f>IF($D1552="","",$C1552&amp;"|"&amp;COUNTIFS($C$7:$C1552,$C1552))</f>
        <v/>
      </c>
      <c r="R1552" s="1" t="str">
        <f t="shared" si="123"/>
        <v/>
      </c>
      <c r="S1552" s="1" t="str">
        <f t="shared" si="124"/>
        <v/>
      </c>
      <c r="T1552" s="1">
        <f>IF($E1552="",0,SUMPRODUCT((AY_SONU!$O$7:$O$42="Evet")*(AY_SONU!$B$7:$B$42=DATE(YEAR($E1552),MONTH($E1552),1))))</f>
        <v>0</v>
      </c>
    </row>
    <row r="1553" spans="1:20" ht="18" customHeight="1" x14ac:dyDescent="0.3">
      <c r="A1553" s="2"/>
      <c r="B1553" s="65" t="str">
        <f t="shared" si="120"/>
        <v/>
      </c>
      <c r="C1553" s="65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66"/>
      <c r="F1553" s="67"/>
      <c r="G1553" s="60"/>
      <c r="H1553" s="60"/>
      <c r="I1553" s="61"/>
      <c r="J1553" s="61"/>
      <c r="K1553" s="61"/>
      <c r="L1553" s="73" t="str">
        <f t="shared" si="121"/>
        <v/>
      </c>
      <c r="M1553" s="65" t="str">
        <f t="shared" ca="1" si="122"/>
        <v/>
      </c>
      <c r="N1553" s="74" t="str">
        <f>IF($C1553="","",IF($C1553="TANIMSIZ MÜŞTERİ","—",INDEX(MUSTERILER!$C$7:$C$156,MATCH($C1553,MUSTERILER!$B$7:$B$156,0))))</f>
        <v/>
      </c>
      <c r="O1553" s="2"/>
      <c r="P1553" s="2"/>
      <c r="Q1553" s="1" t="str">
        <f>IF($D1553="","",$C1553&amp;"|"&amp;COUNTIFS($C$7:$C1553,$C1553))</f>
        <v/>
      </c>
      <c r="R1553" s="1" t="str">
        <f t="shared" si="123"/>
        <v/>
      </c>
      <c r="S1553" s="1" t="str">
        <f t="shared" si="124"/>
        <v/>
      </c>
      <c r="T1553" s="1">
        <f>IF($E1553="",0,SUMPRODUCT((AY_SONU!$O$7:$O$42="Evet")*(AY_SONU!$B$7:$B$42=DATE(YEAR($E1553),MONTH($E1553),1))))</f>
        <v>0</v>
      </c>
    </row>
    <row r="1554" spans="1:20" ht="18" customHeight="1" x14ac:dyDescent="0.3">
      <c r="A1554" s="2"/>
      <c r="B1554" s="65" t="str">
        <f t="shared" si="120"/>
        <v/>
      </c>
      <c r="C1554" s="65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66"/>
      <c r="F1554" s="67"/>
      <c r="G1554" s="60"/>
      <c r="H1554" s="60"/>
      <c r="I1554" s="61"/>
      <c r="J1554" s="61"/>
      <c r="K1554" s="61"/>
      <c r="L1554" s="73" t="str">
        <f t="shared" si="121"/>
        <v/>
      </c>
      <c r="M1554" s="65" t="str">
        <f t="shared" ca="1" si="122"/>
        <v/>
      </c>
      <c r="N1554" s="74" t="str">
        <f>IF($C1554="","",IF($C1554="TANIMSIZ MÜŞTERİ","—",INDEX(MUSTERILER!$C$7:$C$156,MATCH($C1554,MUSTERILER!$B$7:$B$156,0))))</f>
        <v/>
      </c>
      <c r="O1554" s="2"/>
      <c r="P1554" s="2"/>
      <c r="Q1554" s="1" t="str">
        <f>IF($D1554="","",$C1554&amp;"|"&amp;COUNTIFS($C$7:$C1554,$C1554))</f>
        <v/>
      </c>
      <c r="R1554" s="1" t="str">
        <f t="shared" si="123"/>
        <v/>
      </c>
      <c r="S1554" s="1" t="str">
        <f t="shared" si="124"/>
        <v/>
      </c>
      <c r="T1554" s="1">
        <f>IF($E1554="",0,SUMPRODUCT((AY_SONU!$O$7:$O$42="Evet")*(AY_SONU!$B$7:$B$42=DATE(YEAR($E1554),MONTH($E1554),1))))</f>
        <v>0</v>
      </c>
    </row>
    <row r="1555" spans="1:20" ht="18" customHeight="1" x14ac:dyDescent="0.3">
      <c r="A1555" s="2"/>
      <c r="B1555" s="65" t="str">
        <f t="shared" si="120"/>
        <v/>
      </c>
      <c r="C1555" s="65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66"/>
      <c r="F1555" s="67"/>
      <c r="G1555" s="60"/>
      <c r="H1555" s="60"/>
      <c r="I1555" s="61"/>
      <c r="J1555" s="61"/>
      <c r="K1555" s="61"/>
      <c r="L1555" s="73" t="str">
        <f t="shared" si="121"/>
        <v/>
      </c>
      <c r="M1555" s="65" t="str">
        <f t="shared" ca="1" si="122"/>
        <v/>
      </c>
      <c r="N1555" s="74" t="str">
        <f>IF($C1555="","",IF($C1555="TANIMSIZ MÜŞTERİ","—",INDEX(MUSTERILER!$C$7:$C$156,MATCH($C1555,MUSTERILER!$B$7:$B$156,0))))</f>
        <v/>
      </c>
      <c r="O1555" s="2"/>
      <c r="P1555" s="2"/>
      <c r="Q1555" s="1" t="str">
        <f>IF($D1555="","",$C1555&amp;"|"&amp;COUNTIFS($C$7:$C1555,$C1555))</f>
        <v/>
      </c>
      <c r="R1555" s="1" t="str">
        <f t="shared" si="123"/>
        <v/>
      </c>
      <c r="S1555" s="1" t="str">
        <f t="shared" si="124"/>
        <v/>
      </c>
      <c r="T1555" s="1">
        <f>IF($E1555="",0,SUMPRODUCT((AY_SONU!$O$7:$O$42="Evet")*(AY_SONU!$B$7:$B$42=DATE(YEAR($E1555),MONTH($E1555),1))))</f>
        <v>0</v>
      </c>
    </row>
    <row r="1556" spans="1:20" ht="18" customHeight="1" x14ac:dyDescent="0.3">
      <c r="A1556" s="2"/>
      <c r="B1556" s="65" t="str">
        <f t="shared" si="120"/>
        <v/>
      </c>
      <c r="C1556" s="65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66"/>
      <c r="F1556" s="67"/>
      <c r="G1556" s="60"/>
      <c r="H1556" s="60"/>
      <c r="I1556" s="61"/>
      <c r="J1556" s="61"/>
      <c r="K1556" s="61"/>
      <c r="L1556" s="73" t="str">
        <f t="shared" si="121"/>
        <v/>
      </c>
      <c r="M1556" s="65" t="str">
        <f t="shared" ca="1" si="122"/>
        <v/>
      </c>
      <c r="N1556" s="74" t="str">
        <f>IF($C1556="","",IF($C1556="TANIMSIZ MÜŞTERİ","—",INDEX(MUSTERILER!$C$7:$C$156,MATCH($C1556,MUSTERILER!$B$7:$B$156,0))))</f>
        <v/>
      </c>
      <c r="O1556" s="2"/>
      <c r="P1556" s="2"/>
      <c r="Q1556" s="1" t="str">
        <f>IF($D1556="","",$C1556&amp;"|"&amp;COUNTIFS($C$7:$C1556,$C1556))</f>
        <v/>
      </c>
      <c r="R1556" s="1" t="str">
        <f t="shared" si="123"/>
        <v/>
      </c>
      <c r="S1556" s="1" t="str">
        <f t="shared" si="124"/>
        <v/>
      </c>
      <c r="T1556" s="1">
        <f>IF($E1556="",0,SUMPRODUCT((AY_SONU!$O$7:$O$42="Evet")*(AY_SONU!$B$7:$B$42=DATE(YEAR($E1556),MONTH($E1556),1))))</f>
        <v>0</v>
      </c>
    </row>
    <row r="1557" spans="1:20" ht="18" customHeight="1" x14ac:dyDescent="0.3">
      <c r="A1557" s="2"/>
      <c r="B1557" s="65" t="str">
        <f t="shared" si="120"/>
        <v/>
      </c>
      <c r="C1557" s="65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66"/>
      <c r="F1557" s="67"/>
      <c r="G1557" s="60"/>
      <c r="H1557" s="60"/>
      <c r="I1557" s="61"/>
      <c r="J1557" s="61"/>
      <c r="K1557" s="61"/>
      <c r="L1557" s="73" t="str">
        <f t="shared" si="121"/>
        <v/>
      </c>
      <c r="M1557" s="65" t="str">
        <f t="shared" ca="1" si="122"/>
        <v/>
      </c>
      <c r="N1557" s="74" t="str">
        <f>IF($C1557="","",IF($C1557="TANIMSIZ MÜŞTERİ","—",INDEX(MUSTERILER!$C$7:$C$156,MATCH($C1557,MUSTERILER!$B$7:$B$156,0))))</f>
        <v/>
      </c>
      <c r="O1557" s="2"/>
      <c r="P1557" s="2"/>
      <c r="Q1557" s="1" t="str">
        <f>IF($D1557="","",$C1557&amp;"|"&amp;COUNTIFS($C$7:$C1557,$C1557))</f>
        <v/>
      </c>
      <c r="R1557" s="1" t="str">
        <f t="shared" si="123"/>
        <v/>
      </c>
      <c r="S1557" s="1" t="str">
        <f t="shared" si="124"/>
        <v/>
      </c>
      <c r="T1557" s="1">
        <f>IF($E1557="",0,SUMPRODUCT((AY_SONU!$O$7:$O$42="Evet")*(AY_SONU!$B$7:$B$42=DATE(YEAR($E1557),MONTH($E1557),1))))</f>
        <v>0</v>
      </c>
    </row>
    <row r="1558" spans="1:20" ht="18" customHeight="1" x14ac:dyDescent="0.3">
      <c r="A1558" s="2"/>
      <c r="B1558" s="65" t="str">
        <f t="shared" si="120"/>
        <v/>
      </c>
      <c r="C1558" s="65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66"/>
      <c r="F1558" s="67"/>
      <c r="G1558" s="60"/>
      <c r="H1558" s="60"/>
      <c r="I1558" s="61"/>
      <c r="J1558" s="61"/>
      <c r="K1558" s="61"/>
      <c r="L1558" s="73" t="str">
        <f t="shared" si="121"/>
        <v/>
      </c>
      <c r="M1558" s="65" t="str">
        <f t="shared" ca="1" si="122"/>
        <v/>
      </c>
      <c r="N1558" s="74" t="str">
        <f>IF($C1558="","",IF($C1558="TANIMSIZ MÜŞTERİ","—",INDEX(MUSTERILER!$C$7:$C$156,MATCH($C1558,MUSTERILER!$B$7:$B$156,0))))</f>
        <v/>
      </c>
      <c r="O1558" s="2"/>
      <c r="P1558" s="2"/>
      <c r="Q1558" s="1" t="str">
        <f>IF($D1558="","",$C1558&amp;"|"&amp;COUNTIFS($C$7:$C1558,$C1558))</f>
        <v/>
      </c>
      <c r="R1558" s="1" t="str">
        <f t="shared" si="123"/>
        <v/>
      </c>
      <c r="S1558" s="1" t="str">
        <f t="shared" si="124"/>
        <v/>
      </c>
      <c r="T1558" s="1">
        <f>IF($E1558="",0,SUMPRODUCT((AY_SONU!$O$7:$O$42="Evet")*(AY_SONU!$B$7:$B$42=DATE(YEAR($E1558),MONTH($E1558),1))))</f>
        <v>0</v>
      </c>
    </row>
    <row r="1559" spans="1:20" ht="18" customHeight="1" x14ac:dyDescent="0.3">
      <c r="A1559" s="2"/>
      <c r="B1559" s="65" t="str">
        <f t="shared" si="120"/>
        <v/>
      </c>
      <c r="C1559" s="65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66"/>
      <c r="F1559" s="67"/>
      <c r="G1559" s="60"/>
      <c r="H1559" s="60"/>
      <c r="I1559" s="61"/>
      <c r="J1559" s="61"/>
      <c r="K1559" s="61"/>
      <c r="L1559" s="73" t="str">
        <f t="shared" si="121"/>
        <v/>
      </c>
      <c r="M1559" s="65" t="str">
        <f t="shared" ca="1" si="122"/>
        <v/>
      </c>
      <c r="N1559" s="74" t="str">
        <f>IF($C1559="","",IF($C1559="TANIMSIZ MÜŞTERİ","—",INDEX(MUSTERILER!$C$7:$C$156,MATCH($C1559,MUSTERILER!$B$7:$B$156,0))))</f>
        <v/>
      </c>
      <c r="O1559" s="2"/>
      <c r="P1559" s="2"/>
      <c r="Q1559" s="1" t="str">
        <f>IF($D1559="","",$C1559&amp;"|"&amp;COUNTIFS($C$7:$C1559,$C1559))</f>
        <v/>
      </c>
      <c r="R1559" s="1" t="str">
        <f t="shared" si="123"/>
        <v/>
      </c>
      <c r="S1559" s="1" t="str">
        <f t="shared" si="124"/>
        <v/>
      </c>
      <c r="T1559" s="1">
        <f>IF($E1559="",0,SUMPRODUCT((AY_SONU!$O$7:$O$42="Evet")*(AY_SONU!$B$7:$B$42=DATE(YEAR($E1559),MONTH($E1559),1))))</f>
        <v>0</v>
      </c>
    </row>
    <row r="1560" spans="1:20" ht="18" customHeight="1" x14ac:dyDescent="0.3">
      <c r="A1560" s="2"/>
      <c r="B1560" s="65" t="str">
        <f t="shared" si="120"/>
        <v/>
      </c>
      <c r="C1560" s="65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66"/>
      <c r="F1560" s="67"/>
      <c r="G1560" s="60"/>
      <c r="H1560" s="60"/>
      <c r="I1560" s="61"/>
      <c r="J1560" s="61"/>
      <c r="K1560" s="61"/>
      <c r="L1560" s="73" t="str">
        <f t="shared" si="121"/>
        <v/>
      </c>
      <c r="M1560" s="65" t="str">
        <f t="shared" ca="1" si="122"/>
        <v/>
      </c>
      <c r="N1560" s="74" t="str">
        <f>IF($C1560="","",IF($C1560="TANIMSIZ MÜŞTERİ","—",INDEX(MUSTERILER!$C$7:$C$156,MATCH($C1560,MUSTERILER!$B$7:$B$156,0))))</f>
        <v/>
      </c>
      <c r="O1560" s="2"/>
      <c r="P1560" s="2"/>
      <c r="Q1560" s="1" t="str">
        <f>IF($D1560="","",$C1560&amp;"|"&amp;COUNTIFS($C$7:$C1560,$C1560))</f>
        <v/>
      </c>
      <c r="R1560" s="1" t="str">
        <f t="shared" si="123"/>
        <v/>
      </c>
      <c r="S1560" s="1" t="str">
        <f t="shared" si="124"/>
        <v/>
      </c>
      <c r="T1560" s="1">
        <f>IF($E1560="",0,SUMPRODUCT((AY_SONU!$O$7:$O$42="Evet")*(AY_SONU!$B$7:$B$42=DATE(YEAR($E1560),MONTH($E1560),1))))</f>
        <v>0</v>
      </c>
    </row>
    <row r="1561" spans="1:20" ht="18" customHeight="1" x14ac:dyDescent="0.3">
      <c r="A1561" s="2"/>
      <c r="B1561" s="65" t="str">
        <f t="shared" si="120"/>
        <v/>
      </c>
      <c r="C1561" s="65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66"/>
      <c r="F1561" s="67"/>
      <c r="G1561" s="60"/>
      <c r="H1561" s="60"/>
      <c r="I1561" s="61"/>
      <c r="J1561" s="61"/>
      <c r="K1561" s="61"/>
      <c r="L1561" s="73" t="str">
        <f t="shared" si="121"/>
        <v/>
      </c>
      <c r="M1561" s="65" t="str">
        <f t="shared" ca="1" si="122"/>
        <v/>
      </c>
      <c r="N1561" s="74" t="str">
        <f>IF($C1561="","",IF($C1561="TANIMSIZ MÜŞTERİ","—",INDEX(MUSTERILER!$C$7:$C$156,MATCH($C1561,MUSTERILER!$B$7:$B$156,0))))</f>
        <v/>
      </c>
      <c r="O1561" s="2"/>
      <c r="P1561" s="2"/>
      <c r="Q1561" s="1" t="str">
        <f>IF($D1561="","",$C1561&amp;"|"&amp;COUNTIFS($C$7:$C1561,$C1561))</f>
        <v/>
      </c>
      <c r="R1561" s="1" t="str">
        <f t="shared" si="123"/>
        <v/>
      </c>
      <c r="S1561" s="1" t="str">
        <f t="shared" si="124"/>
        <v/>
      </c>
      <c r="T1561" s="1">
        <f>IF($E1561="",0,SUMPRODUCT((AY_SONU!$O$7:$O$42="Evet")*(AY_SONU!$B$7:$B$42=DATE(YEAR($E1561),MONTH($E1561),1))))</f>
        <v>0</v>
      </c>
    </row>
    <row r="1562" spans="1:20" ht="18" customHeight="1" x14ac:dyDescent="0.3">
      <c r="A1562" s="2"/>
      <c r="B1562" s="65" t="str">
        <f t="shared" si="120"/>
        <v/>
      </c>
      <c r="C1562" s="65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66"/>
      <c r="F1562" s="67"/>
      <c r="G1562" s="60"/>
      <c r="H1562" s="60"/>
      <c r="I1562" s="61"/>
      <c r="J1562" s="61"/>
      <c r="K1562" s="61"/>
      <c r="L1562" s="73" t="str">
        <f t="shared" si="121"/>
        <v/>
      </c>
      <c r="M1562" s="65" t="str">
        <f t="shared" ca="1" si="122"/>
        <v/>
      </c>
      <c r="N1562" s="74" t="str">
        <f>IF($C1562="","",IF($C1562="TANIMSIZ MÜŞTERİ","—",INDEX(MUSTERILER!$C$7:$C$156,MATCH($C1562,MUSTERILER!$B$7:$B$156,0))))</f>
        <v/>
      </c>
      <c r="O1562" s="2"/>
      <c r="P1562" s="2"/>
      <c r="Q1562" s="1" t="str">
        <f>IF($D1562="","",$C1562&amp;"|"&amp;COUNTIFS($C$7:$C1562,$C1562))</f>
        <v/>
      </c>
      <c r="R1562" s="1" t="str">
        <f t="shared" si="123"/>
        <v/>
      </c>
      <c r="S1562" s="1" t="str">
        <f t="shared" si="124"/>
        <v/>
      </c>
      <c r="T1562" s="1">
        <f>IF($E1562="",0,SUMPRODUCT((AY_SONU!$O$7:$O$42="Evet")*(AY_SONU!$B$7:$B$42=DATE(YEAR($E1562),MONTH($E1562),1))))</f>
        <v>0</v>
      </c>
    </row>
    <row r="1563" spans="1:20" ht="18" customHeight="1" x14ac:dyDescent="0.3">
      <c r="A1563" s="2"/>
      <c r="B1563" s="65" t="str">
        <f t="shared" si="120"/>
        <v/>
      </c>
      <c r="C1563" s="65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66"/>
      <c r="F1563" s="67"/>
      <c r="G1563" s="60"/>
      <c r="H1563" s="60"/>
      <c r="I1563" s="61"/>
      <c r="J1563" s="61"/>
      <c r="K1563" s="61"/>
      <c r="L1563" s="73" t="str">
        <f t="shared" si="121"/>
        <v/>
      </c>
      <c r="M1563" s="65" t="str">
        <f t="shared" ca="1" si="122"/>
        <v/>
      </c>
      <c r="N1563" s="74" t="str">
        <f>IF($C1563="","",IF($C1563="TANIMSIZ MÜŞTERİ","—",INDEX(MUSTERILER!$C$7:$C$156,MATCH($C1563,MUSTERILER!$B$7:$B$156,0))))</f>
        <v/>
      </c>
      <c r="O1563" s="2"/>
      <c r="P1563" s="2"/>
      <c r="Q1563" s="1" t="str">
        <f>IF($D1563="","",$C1563&amp;"|"&amp;COUNTIFS($C$7:$C1563,$C1563))</f>
        <v/>
      </c>
      <c r="R1563" s="1" t="str">
        <f t="shared" si="123"/>
        <v/>
      </c>
      <c r="S1563" s="1" t="str">
        <f t="shared" si="124"/>
        <v/>
      </c>
      <c r="T1563" s="1">
        <f>IF($E1563="",0,SUMPRODUCT((AY_SONU!$O$7:$O$42="Evet")*(AY_SONU!$B$7:$B$42=DATE(YEAR($E1563),MONTH($E1563),1))))</f>
        <v>0</v>
      </c>
    </row>
    <row r="1564" spans="1:20" ht="18" customHeight="1" x14ac:dyDescent="0.3">
      <c r="A1564" s="2"/>
      <c r="B1564" s="65" t="str">
        <f t="shared" si="120"/>
        <v/>
      </c>
      <c r="C1564" s="65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66"/>
      <c r="F1564" s="67"/>
      <c r="G1564" s="60"/>
      <c r="H1564" s="60"/>
      <c r="I1564" s="61"/>
      <c r="J1564" s="61"/>
      <c r="K1564" s="61"/>
      <c r="L1564" s="73" t="str">
        <f t="shared" si="121"/>
        <v/>
      </c>
      <c r="M1564" s="65" t="str">
        <f t="shared" ca="1" si="122"/>
        <v/>
      </c>
      <c r="N1564" s="74" t="str">
        <f>IF($C1564="","",IF($C1564="TANIMSIZ MÜŞTERİ","—",INDEX(MUSTERILER!$C$7:$C$156,MATCH($C1564,MUSTERILER!$B$7:$B$156,0))))</f>
        <v/>
      </c>
      <c r="O1564" s="2"/>
      <c r="P1564" s="2"/>
      <c r="Q1564" s="1" t="str">
        <f>IF($D1564="","",$C1564&amp;"|"&amp;COUNTIFS($C$7:$C1564,$C1564))</f>
        <v/>
      </c>
      <c r="R1564" s="1" t="str">
        <f t="shared" si="123"/>
        <v/>
      </c>
      <c r="S1564" s="1" t="str">
        <f t="shared" si="124"/>
        <v/>
      </c>
      <c r="T1564" s="1">
        <f>IF($E1564="",0,SUMPRODUCT((AY_SONU!$O$7:$O$42="Evet")*(AY_SONU!$B$7:$B$42=DATE(YEAR($E1564),MONTH($E1564),1))))</f>
        <v>0</v>
      </c>
    </row>
    <row r="1565" spans="1:20" ht="18" customHeight="1" x14ac:dyDescent="0.3">
      <c r="A1565" s="2"/>
      <c r="B1565" s="65" t="str">
        <f t="shared" si="120"/>
        <v/>
      </c>
      <c r="C1565" s="65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66"/>
      <c r="F1565" s="67"/>
      <c r="G1565" s="60"/>
      <c r="H1565" s="60"/>
      <c r="I1565" s="61"/>
      <c r="J1565" s="61"/>
      <c r="K1565" s="61"/>
      <c r="L1565" s="73" t="str">
        <f t="shared" si="121"/>
        <v/>
      </c>
      <c r="M1565" s="65" t="str">
        <f t="shared" ca="1" si="122"/>
        <v/>
      </c>
      <c r="N1565" s="74" t="str">
        <f>IF($C1565="","",IF($C1565="TANIMSIZ MÜŞTERİ","—",INDEX(MUSTERILER!$C$7:$C$156,MATCH($C1565,MUSTERILER!$B$7:$B$156,0))))</f>
        <v/>
      </c>
      <c r="O1565" s="2"/>
      <c r="P1565" s="2"/>
      <c r="Q1565" s="1" t="str">
        <f>IF($D1565="","",$C1565&amp;"|"&amp;COUNTIFS($C$7:$C1565,$C1565))</f>
        <v/>
      </c>
      <c r="R1565" s="1" t="str">
        <f t="shared" si="123"/>
        <v/>
      </c>
      <c r="S1565" s="1" t="str">
        <f t="shared" si="124"/>
        <v/>
      </c>
      <c r="T1565" s="1">
        <f>IF($E1565="",0,SUMPRODUCT((AY_SONU!$O$7:$O$42="Evet")*(AY_SONU!$B$7:$B$42=DATE(YEAR($E1565),MONTH($E1565),1))))</f>
        <v>0</v>
      </c>
    </row>
    <row r="1566" spans="1:20" ht="18" customHeight="1" x14ac:dyDescent="0.3">
      <c r="A1566" s="2"/>
      <c r="B1566" s="65" t="str">
        <f t="shared" si="120"/>
        <v/>
      </c>
      <c r="C1566" s="65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66"/>
      <c r="F1566" s="67"/>
      <c r="G1566" s="60"/>
      <c r="H1566" s="60"/>
      <c r="I1566" s="61"/>
      <c r="J1566" s="61"/>
      <c r="K1566" s="61"/>
      <c r="L1566" s="73" t="str">
        <f t="shared" si="121"/>
        <v/>
      </c>
      <c r="M1566" s="65" t="str">
        <f t="shared" ca="1" si="122"/>
        <v/>
      </c>
      <c r="N1566" s="74" t="str">
        <f>IF($C1566="","",IF($C1566="TANIMSIZ MÜŞTERİ","—",INDEX(MUSTERILER!$C$7:$C$156,MATCH($C1566,MUSTERILER!$B$7:$B$156,0))))</f>
        <v/>
      </c>
      <c r="O1566" s="2"/>
      <c r="P1566" s="2"/>
      <c r="Q1566" s="1" t="str">
        <f>IF($D1566="","",$C1566&amp;"|"&amp;COUNTIFS($C$7:$C1566,$C1566))</f>
        <v/>
      </c>
      <c r="R1566" s="1" t="str">
        <f t="shared" si="123"/>
        <v/>
      </c>
      <c r="S1566" s="1" t="str">
        <f t="shared" si="124"/>
        <v/>
      </c>
      <c r="T1566" s="1">
        <f>IF($E1566="",0,SUMPRODUCT((AY_SONU!$O$7:$O$42="Evet")*(AY_SONU!$B$7:$B$42=DATE(YEAR($E1566),MONTH($E1566),1))))</f>
        <v>0</v>
      </c>
    </row>
    <row r="1567" spans="1:20" ht="18" customHeight="1" x14ac:dyDescent="0.3">
      <c r="A1567" s="2"/>
      <c r="B1567" s="65" t="str">
        <f t="shared" si="120"/>
        <v/>
      </c>
      <c r="C1567" s="65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66"/>
      <c r="F1567" s="67"/>
      <c r="G1567" s="60"/>
      <c r="H1567" s="60"/>
      <c r="I1567" s="61"/>
      <c r="J1567" s="61"/>
      <c r="K1567" s="61"/>
      <c r="L1567" s="73" t="str">
        <f t="shared" si="121"/>
        <v/>
      </c>
      <c r="M1567" s="65" t="str">
        <f t="shared" ca="1" si="122"/>
        <v/>
      </c>
      <c r="N1567" s="74" t="str">
        <f>IF($C1567="","",IF($C1567="TANIMSIZ MÜŞTERİ","—",INDEX(MUSTERILER!$C$7:$C$156,MATCH($C1567,MUSTERILER!$B$7:$B$156,0))))</f>
        <v/>
      </c>
      <c r="O1567" s="2"/>
      <c r="P1567" s="2"/>
      <c r="Q1567" s="1" t="str">
        <f>IF($D1567="","",$C1567&amp;"|"&amp;COUNTIFS($C$7:$C1567,$C1567))</f>
        <v/>
      </c>
      <c r="R1567" s="1" t="str">
        <f t="shared" si="123"/>
        <v/>
      </c>
      <c r="S1567" s="1" t="str">
        <f t="shared" si="124"/>
        <v/>
      </c>
      <c r="T1567" s="1">
        <f>IF($E1567="",0,SUMPRODUCT((AY_SONU!$O$7:$O$42="Evet")*(AY_SONU!$B$7:$B$42=DATE(YEAR($E1567),MONTH($E1567),1))))</f>
        <v>0</v>
      </c>
    </row>
    <row r="1568" spans="1:20" ht="18" customHeight="1" x14ac:dyDescent="0.3">
      <c r="A1568" s="2"/>
      <c r="B1568" s="65" t="str">
        <f t="shared" si="120"/>
        <v/>
      </c>
      <c r="C1568" s="65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66"/>
      <c r="F1568" s="67"/>
      <c r="G1568" s="60"/>
      <c r="H1568" s="60"/>
      <c r="I1568" s="61"/>
      <c r="J1568" s="61"/>
      <c r="K1568" s="61"/>
      <c r="L1568" s="73" t="str">
        <f t="shared" si="121"/>
        <v/>
      </c>
      <c r="M1568" s="65" t="str">
        <f t="shared" ca="1" si="122"/>
        <v/>
      </c>
      <c r="N1568" s="74" t="str">
        <f>IF($C1568="","",IF($C1568="TANIMSIZ MÜŞTERİ","—",INDEX(MUSTERILER!$C$7:$C$156,MATCH($C1568,MUSTERILER!$B$7:$B$156,0))))</f>
        <v/>
      </c>
      <c r="O1568" s="2"/>
      <c r="P1568" s="2"/>
      <c r="Q1568" s="1" t="str">
        <f>IF($D1568="","",$C1568&amp;"|"&amp;COUNTIFS($C$7:$C1568,$C1568))</f>
        <v/>
      </c>
      <c r="R1568" s="1" t="str">
        <f t="shared" si="123"/>
        <v/>
      </c>
      <c r="S1568" s="1" t="str">
        <f t="shared" si="124"/>
        <v/>
      </c>
      <c r="T1568" s="1">
        <f>IF($E1568="",0,SUMPRODUCT((AY_SONU!$O$7:$O$42="Evet")*(AY_SONU!$B$7:$B$42=DATE(YEAR($E1568),MONTH($E1568),1))))</f>
        <v>0</v>
      </c>
    </row>
    <row r="1569" spans="1:20" ht="18" customHeight="1" x14ac:dyDescent="0.3">
      <c r="A1569" s="2"/>
      <c r="B1569" s="65" t="str">
        <f t="shared" si="120"/>
        <v/>
      </c>
      <c r="C1569" s="65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66"/>
      <c r="F1569" s="67"/>
      <c r="G1569" s="60"/>
      <c r="H1569" s="60"/>
      <c r="I1569" s="61"/>
      <c r="J1569" s="61"/>
      <c r="K1569" s="61"/>
      <c r="L1569" s="73" t="str">
        <f t="shared" si="121"/>
        <v/>
      </c>
      <c r="M1569" s="65" t="str">
        <f t="shared" ca="1" si="122"/>
        <v/>
      </c>
      <c r="N1569" s="74" t="str">
        <f>IF($C1569="","",IF($C1569="TANIMSIZ MÜŞTERİ","—",INDEX(MUSTERILER!$C$7:$C$156,MATCH($C1569,MUSTERILER!$B$7:$B$156,0))))</f>
        <v/>
      </c>
      <c r="O1569" s="2"/>
      <c r="P1569" s="2"/>
      <c r="Q1569" s="1" t="str">
        <f>IF($D1569="","",$C1569&amp;"|"&amp;COUNTIFS($C$7:$C1569,$C1569))</f>
        <v/>
      </c>
      <c r="R1569" s="1" t="str">
        <f t="shared" si="123"/>
        <v/>
      </c>
      <c r="S1569" s="1" t="str">
        <f t="shared" si="124"/>
        <v/>
      </c>
      <c r="T1569" s="1">
        <f>IF($E1569="",0,SUMPRODUCT((AY_SONU!$O$7:$O$42="Evet")*(AY_SONU!$B$7:$B$42=DATE(YEAR($E1569),MONTH($E1569),1))))</f>
        <v>0</v>
      </c>
    </row>
    <row r="1570" spans="1:20" ht="18" customHeight="1" x14ac:dyDescent="0.3">
      <c r="A1570" s="2"/>
      <c r="B1570" s="65" t="str">
        <f t="shared" si="120"/>
        <v/>
      </c>
      <c r="C1570" s="65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66"/>
      <c r="F1570" s="67"/>
      <c r="G1570" s="60"/>
      <c r="H1570" s="60"/>
      <c r="I1570" s="61"/>
      <c r="J1570" s="61"/>
      <c r="K1570" s="61"/>
      <c r="L1570" s="73" t="str">
        <f t="shared" si="121"/>
        <v/>
      </c>
      <c r="M1570" s="65" t="str">
        <f t="shared" ca="1" si="122"/>
        <v/>
      </c>
      <c r="N1570" s="74" t="str">
        <f>IF($C1570="","",IF($C1570="TANIMSIZ MÜŞTERİ","—",INDEX(MUSTERILER!$C$7:$C$156,MATCH($C1570,MUSTERILER!$B$7:$B$156,0))))</f>
        <v/>
      </c>
      <c r="O1570" s="2"/>
      <c r="P1570" s="2"/>
      <c r="Q1570" s="1" t="str">
        <f>IF($D1570="","",$C1570&amp;"|"&amp;COUNTIFS($C$7:$C1570,$C1570))</f>
        <v/>
      </c>
      <c r="R1570" s="1" t="str">
        <f t="shared" si="123"/>
        <v/>
      </c>
      <c r="S1570" s="1" t="str">
        <f t="shared" si="124"/>
        <v/>
      </c>
      <c r="T1570" s="1">
        <f>IF($E1570="",0,SUMPRODUCT((AY_SONU!$O$7:$O$42="Evet")*(AY_SONU!$B$7:$B$42=DATE(YEAR($E1570),MONTH($E1570),1))))</f>
        <v>0</v>
      </c>
    </row>
    <row r="1571" spans="1:20" ht="18" customHeight="1" x14ac:dyDescent="0.3">
      <c r="A1571" s="2"/>
      <c r="B1571" s="65" t="str">
        <f t="shared" si="120"/>
        <v/>
      </c>
      <c r="C1571" s="65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66"/>
      <c r="F1571" s="67"/>
      <c r="G1571" s="60"/>
      <c r="H1571" s="60"/>
      <c r="I1571" s="61"/>
      <c r="J1571" s="61"/>
      <c r="K1571" s="61"/>
      <c r="L1571" s="73" t="str">
        <f t="shared" si="121"/>
        <v/>
      </c>
      <c r="M1571" s="65" t="str">
        <f t="shared" ca="1" si="122"/>
        <v/>
      </c>
      <c r="N1571" s="74" t="str">
        <f>IF($C1571="","",IF($C1571="TANIMSIZ MÜŞTERİ","—",INDEX(MUSTERILER!$C$7:$C$156,MATCH($C1571,MUSTERILER!$B$7:$B$156,0))))</f>
        <v/>
      </c>
      <c r="O1571" s="2"/>
      <c r="P1571" s="2"/>
      <c r="Q1571" s="1" t="str">
        <f>IF($D1571="","",$C1571&amp;"|"&amp;COUNTIFS($C$7:$C1571,$C1571))</f>
        <v/>
      </c>
      <c r="R1571" s="1" t="str">
        <f t="shared" si="123"/>
        <v/>
      </c>
      <c r="S1571" s="1" t="str">
        <f t="shared" si="124"/>
        <v/>
      </c>
      <c r="T1571" s="1">
        <f>IF($E1571="",0,SUMPRODUCT((AY_SONU!$O$7:$O$42="Evet")*(AY_SONU!$B$7:$B$42=DATE(YEAR($E1571),MONTH($E1571),1))))</f>
        <v>0</v>
      </c>
    </row>
    <row r="1572" spans="1:20" ht="18" customHeight="1" x14ac:dyDescent="0.3">
      <c r="A1572" s="2"/>
      <c r="B1572" s="65" t="str">
        <f t="shared" si="120"/>
        <v/>
      </c>
      <c r="C1572" s="65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66"/>
      <c r="F1572" s="67"/>
      <c r="G1572" s="60"/>
      <c r="H1572" s="60"/>
      <c r="I1572" s="61"/>
      <c r="J1572" s="61"/>
      <c r="K1572" s="61"/>
      <c r="L1572" s="73" t="str">
        <f t="shared" si="121"/>
        <v/>
      </c>
      <c r="M1572" s="65" t="str">
        <f t="shared" ca="1" si="122"/>
        <v/>
      </c>
      <c r="N1572" s="74" t="str">
        <f>IF($C1572="","",IF($C1572="TANIMSIZ MÜŞTERİ","—",INDEX(MUSTERILER!$C$7:$C$156,MATCH($C1572,MUSTERILER!$B$7:$B$156,0))))</f>
        <v/>
      </c>
      <c r="O1572" s="2"/>
      <c r="P1572" s="2"/>
      <c r="Q1572" s="1" t="str">
        <f>IF($D1572="","",$C1572&amp;"|"&amp;COUNTIFS($C$7:$C1572,$C1572))</f>
        <v/>
      </c>
      <c r="R1572" s="1" t="str">
        <f t="shared" si="123"/>
        <v/>
      </c>
      <c r="S1572" s="1" t="str">
        <f t="shared" si="124"/>
        <v/>
      </c>
      <c r="T1572" s="1">
        <f>IF($E1572="",0,SUMPRODUCT((AY_SONU!$O$7:$O$42="Evet")*(AY_SONU!$B$7:$B$42=DATE(YEAR($E1572),MONTH($E1572),1))))</f>
        <v>0</v>
      </c>
    </row>
    <row r="1573" spans="1:20" ht="18" customHeight="1" x14ac:dyDescent="0.3">
      <c r="A1573" s="2"/>
      <c r="B1573" s="65" t="str">
        <f t="shared" si="120"/>
        <v/>
      </c>
      <c r="C1573" s="65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66"/>
      <c r="F1573" s="67"/>
      <c r="G1573" s="60"/>
      <c r="H1573" s="60"/>
      <c r="I1573" s="61"/>
      <c r="J1573" s="61"/>
      <c r="K1573" s="61"/>
      <c r="L1573" s="73" t="str">
        <f t="shared" si="121"/>
        <v/>
      </c>
      <c r="M1573" s="65" t="str">
        <f t="shared" ca="1" si="122"/>
        <v/>
      </c>
      <c r="N1573" s="74" t="str">
        <f>IF($C1573="","",IF($C1573="TANIMSIZ MÜŞTERİ","—",INDEX(MUSTERILER!$C$7:$C$156,MATCH($C1573,MUSTERILER!$B$7:$B$156,0))))</f>
        <v/>
      </c>
      <c r="O1573" s="2"/>
      <c r="P1573" s="2"/>
      <c r="Q1573" s="1" t="str">
        <f>IF($D1573="","",$C1573&amp;"|"&amp;COUNTIFS($C$7:$C1573,$C1573))</f>
        <v/>
      </c>
      <c r="R1573" s="1" t="str">
        <f t="shared" si="123"/>
        <v/>
      </c>
      <c r="S1573" s="1" t="str">
        <f t="shared" si="124"/>
        <v/>
      </c>
      <c r="T1573" s="1">
        <f>IF($E1573="",0,SUMPRODUCT((AY_SONU!$O$7:$O$42="Evet")*(AY_SONU!$B$7:$B$42=DATE(YEAR($E1573),MONTH($E1573),1))))</f>
        <v>0</v>
      </c>
    </row>
    <row r="1574" spans="1:20" ht="18" customHeight="1" x14ac:dyDescent="0.3">
      <c r="A1574" s="2"/>
      <c r="B1574" s="65" t="str">
        <f t="shared" si="120"/>
        <v/>
      </c>
      <c r="C1574" s="65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66"/>
      <c r="F1574" s="67"/>
      <c r="G1574" s="60"/>
      <c r="H1574" s="60"/>
      <c r="I1574" s="61"/>
      <c r="J1574" s="61"/>
      <c r="K1574" s="61"/>
      <c r="L1574" s="73" t="str">
        <f t="shared" si="121"/>
        <v/>
      </c>
      <c r="M1574" s="65" t="str">
        <f t="shared" ca="1" si="122"/>
        <v/>
      </c>
      <c r="N1574" s="74" t="str">
        <f>IF($C1574="","",IF($C1574="TANIMSIZ MÜŞTERİ","—",INDEX(MUSTERILER!$C$7:$C$156,MATCH($C1574,MUSTERILER!$B$7:$B$156,0))))</f>
        <v/>
      </c>
      <c r="O1574" s="2"/>
      <c r="P1574" s="2"/>
      <c r="Q1574" s="1" t="str">
        <f>IF($D1574="","",$C1574&amp;"|"&amp;COUNTIFS($C$7:$C1574,$C1574))</f>
        <v/>
      </c>
      <c r="R1574" s="1" t="str">
        <f t="shared" si="123"/>
        <v/>
      </c>
      <c r="S1574" s="1" t="str">
        <f t="shared" si="124"/>
        <v/>
      </c>
      <c r="T1574" s="1">
        <f>IF($E1574="",0,SUMPRODUCT((AY_SONU!$O$7:$O$42="Evet")*(AY_SONU!$B$7:$B$42=DATE(YEAR($E1574),MONTH($E1574),1))))</f>
        <v>0</v>
      </c>
    </row>
    <row r="1575" spans="1:20" ht="18" customHeight="1" x14ac:dyDescent="0.3">
      <c r="A1575" s="2"/>
      <c r="B1575" s="65" t="str">
        <f t="shared" si="120"/>
        <v/>
      </c>
      <c r="C1575" s="65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66"/>
      <c r="F1575" s="67"/>
      <c r="G1575" s="60"/>
      <c r="H1575" s="60"/>
      <c r="I1575" s="61"/>
      <c r="J1575" s="61"/>
      <c r="K1575" s="61"/>
      <c r="L1575" s="73" t="str">
        <f t="shared" si="121"/>
        <v/>
      </c>
      <c r="M1575" s="65" t="str">
        <f t="shared" ca="1" si="122"/>
        <v/>
      </c>
      <c r="N1575" s="74" t="str">
        <f>IF($C1575="","",IF($C1575="TANIMSIZ MÜŞTERİ","—",INDEX(MUSTERILER!$C$7:$C$156,MATCH($C1575,MUSTERILER!$B$7:$B$156,0))))</f>
        <v/>
      </c>
      <c r="O1575" s="2"/>
      <c r="P1575" s="2"/>
      <c r="Q1575" s="1" t="str">
        <f>IF($D1575="","",$C1575&amp;"|"&amp;COUNTIFS($C$7:$C1575,$C1575))</f>
        <v/>
      </c>
      <c r="R1575" s="1" t="str">
        <f t="shared" si="123"/>
        <v/>
      </c>
      <c r="S1575" s="1" t="str">
        <f t="shared" si="124"/>
        <v/>
      </c>
      <c r="T1575" s="1">
        <f>IF($E1575="",0,SUMPRODUCT((AY_SONU!$O$7:$O$42="Evet")*(AY_SONU!$B$7:$B$42=DATE(YEAR($E1575),MONTH($E1575),1))))</f>
        <v>0</v>
      </c>
    </row>
    <row r="1576" spans="1:20" ht="18" customHeight="1" x14ac:dyDescent="0.3">
      <c r="A1576" s="2"/>
      <c r="B1576" s="65" t="str">
        <f t="shared" si="120"/>
        <v/>
      </c>
      <c r="C1576" s="65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66"/>
      <c r="F1576" s="67"/>
      <c r="G1576" s="60"/>
      <c r="H1576" s="60"/>
      <c r="I1576" s="61"/>
      <c r="J1576" s="61"/>
      <c r="K1576" s="61"/>
      <c r="L1576" s="73" t="str">
        <f t="shared" si="121"/>
        <v/>
      </c>
      <c r="M1576" s="65" t="str">
        <f t="shared" ca="1" si="122"/>
        <v/>
      </c>
      <c r="N1576" s="74" t="str">
        <f>IF($C1576="","",IF($C1576="TANIMSIZ MÜŞTERİ","—",INDEX(MUSTERILER!$C$7:$C$156,MATCH($C1576,MUSTERILER!$B$7:$B$156,0))))</f>
        <v/>
      </c>
      <c r="O1576" s="2"/>
      <c r="P1576" s="2"/>
      <c r="Q1576" s="1" t="str">
        <f>IF($D1576="","",$C1576&amp;"|"&amp;COUNTIFS($C$7:$C1576,$C1576))</f>
        <v/>
      </c>
      <c r="R1576" s="1" t="str">
        <f t="shared" si="123"/>
        <v/>
      </c>
      <c r="S1576" s="1" t="str">
        <f t="shared" si="124"/>
        <v/>
      </c>
      <c r="T1576" s="1">
        <f>IF($E1576="",0,SUMPRODUCT((AY_SONU!$O$7:$O$42="Evet")*(AY_SONU!$B$7:$B$42=DATE(YEAR($E1576),MONTH($E1576),1))))</f>
        <v>0</v>
      </c>
    </row>
    <row r="1577" spans="1:20" ht="18" customHeight="1" x14ac:dyDescent="0.3">
      <c r="A1577" s="2"/>
      <c r="B1577" s="65" t="str">
        <f t="shared" si="120"/>
        <v/>
      </c>
      <c r="C1577" s="65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66"/>
      <c r="F1577" s="67"/>
      <c r="G1577" s="60"/>
      <c r="H1577" s="60"/>
      <c r="I1577" s="61"/>
      <c r="J1577" s="61"/>
      <c r="K1577" s="61"/>
      <c r="L1577" s="73" t="str">
        <f t="shared" si="121"/>
        <v/>
      </c>
      <c r="M1577" s="65" t="str">
        <f t="shared" ca="1" si="122"/>
        <v/>
      </c>
      <c r="N1577" s="74" t="str">
        <f>IF($C1577="","",IF($C1577="TANIMSIZ MÜŞTERİ","—",INDEX(MUSTERILER!$C$7:$C$156,MATCH($C1577,MUSTERILER!$B$7:$B$156,0))))</f>
        <v/>
      </c>
      <c r="O1577" s="2"/>
      <c r="P1577" s="2"/>
      <c r="Q1577" s="1" t="str">
        <f>IF($D1577="","",$C1577&amp;"|"&amp;COUNTIFS($C$7:$C1577,$C1577))</f>
        <v/>
      </c>
      <c r="R1577" s="1" t="str">
        <f t="shared" si="123"/>
        <v/>
      </c>
      <c r="S1577" s="1" t="str">
        <f t="shared" si="124"/>
        <v/>
      </c>
      <c r="T1577" s="1">
        <f>IF($E1577="",0,SUMPRODUCT((AY_SONU!$O$7:$O$42="Evet")*(AY_SONU!$B$7:$B$42=DATE(YEAR($E1577),MONTH($E1577),1))))</f>
        <v>0</v>
      </c>
    </row>
    <row r="1578" spans="1:20" ht="18" customHeight="1" x14ac:dyDescent="0.3">
      <c r="A1578" s="2"/>
      <c r="B1578" s="65" t="str">
        <f t="shared" si="120"/>
        <v/>
      </c>
      <c r="C1578" s="65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66"/>
      <c r="F1578" s="67"/>
      <c r="G1578" s="60"/>
      <c r="H1578" s="60"/>
      <c r="I1578" s="61"/>
      <c r="J1578" s="61"/>
      <c r="K1578" s="61"/>
      <c r="L1578" s="73" t="str">
        <f t="shared" si="121"/>
        <v/>
      </c>
      <c r="M1578" s="65" t="str">
        <f t="shared" ca="1" si="122"/>
        <v/>
      </c>
      <c r="N1578" s="74" t="str">
        <f>IF($C1578="","",IF($C1578="TANIMSIZ MÜŞTERİ","—",INDEX(MUSTERILER!$C$7:$C$156,MATCH($C1578,MUSTERILER!$B$7:$B$156,0))))</f>
        <v/>
      </c>
      <c r="O1578" s="2"/>
      <c r="P1578" s="2"/>
      <c r="Q1578" s="1" t="str">
        <f>IF($D1578="","",$C1578&amp;"|"&amp;COUNTIFS($C$7:$C1578,$C1578))</f>
        <v/>
      </c>
      <c r="R1578" s="1" t="str">
        <f t="shared" si="123"/>
        <v/>
      </c>
      <c r="S1578" s="1" t="str">
        <f t="shared" si="124"/>
        <v/>
      </c>
      <c r="T1578" s="1">
        <f>IF($E1578="",0,SUMPRODUCT((AY_SONU!$O$7:$O$42="Evet")*(AY_SONU!$B$7:$B$42=DATE(YEAR($E1578),MONTH($E1578),1))))</f>
        <v>0</v>
      </c>
    </row>
    <row r="1579" spans="1:20" ht="18" customHeight="1" x14ac:dyDescent="0.3">
      <c r="A1579" s="2"/>
      <c r="B1579" s="65" t="str">
        <f t="shared" si="120"/>
        <v/>
      </c>
      <c r="C1579" s="65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66"/>
      <c r="F1579" s="67"/>
      <c r="G1579" s="60"/>
      <c r="H1579" s="60"/>
      <c r="I1579" s="61"/>
      <c r="J1579" s="61"/>
      <c r="K1579" s="61"/>
      <c r="L1579" s="73" t="str">
        <f t="shared" si="121"/>
        <v/>
      </c>
      <c r="M1579" s="65" t="str">
        <f t="shared" ca="1" si="122"/>
        <v/>
      </c>
      <c r="N1579" s="74" t="str">
        <f>IF($C1579="","",IF($C1579="TANIMSIZ MÜŞTERİ","—",INDEX(MUSTERILER!$C$7:$C$156,MATCH($C1579,MUSTERILER!$B$7:$B$156,0))))</f>
        <v/>
      </c>
      <c r="O1579" s="2"/>
      <c r="P1579" s="2"/>
      <c r="Q1579" s="1" t="str">
        <f>IF($D1579="","",$C1579&amp;"|"&amp;COUNTIFS($C$7:$C1579,$C1579))</f>
        <v/>
      </c>
      <c r="R1579" s="1" t="str">
        <f t="shared" si="123"/>
        <v/>
      </c>
      <c r="S1579" s="1" t="str">
        <f t="shared" si="124"/>
        <v/>
      </c>
      <c r="T1579" s="1">
        <f>IF($E1579="",0,SUMPRODUCT((AY_SONU!$O$7:$O$42="Evet")*(AY_SONU!$B$7:$B$42=DATE(YEAR($E1579),MONTH($E1579),1))))</f>
        <v>0</v>
      </c>
    </row>
    <row r="1580" spans="1:20" ht="18" customHeight="1" x14ac:dyDescent="0.3">
      <c r="A1580" s="2"/>
      <c r="B1580" s="65" t="str">
        <f t="shared" si="120"/>
        <v/>
      </c>
      <c r="C1580" s="65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66"/>
      <c r="F1580" s="67"/>
      <c r="G1580" s="60"/>
      <c r="H1580" s="60"/>
      <c r="I1580" s="61"/>
      <c r="J1580" s="61"/>
      <c r="K1580" s="61"/>
      <c r="L1580" s="73" t="str">
        <f t="shared" si="121"/>
        <v/>
      </c>
      <c r="M1580" s="65" t="str">
        <f t="shared" ca="1" si="122"/>
        <v/>
      </c>
      <c r="N1580" s="74" t="str">
        <f>IF($C1580="","",IF($C1580="TANIMSIZ MÜŞTERİ","—",INDEX(MUSTERILER!$C$7:$C$156,MATCH($C1580,MUSTERILER!$B$7:$B$156,0))))</f>
        <v/>
      </c>
      <c r="O1580" s="2"/>
      <c r="P1580" s="2"/>
      <c r="Q1580" s="1" t="str">
        <f>IF($D1580="","",$C1580&amp;"|"&amp;COUNTIFS($C$7:$C1580,$C1580))</f>
        <v/>
      </c>
      <c r="R1580" s="1" t="str">
        <f t="shared" si="123"/>
        <v/>
      </c>
      <c r="S1580" s="1" t="str">
        <f t="shared" si="124"/>
        <v/>
      </c>
      <c r="T1580" s="1">
        <f>IF($E1580="",0,SUMPRODUCT((AY_SONU!$O$7:$O$42="Evet")*(AY_SONU!$B$7:$B$42=DATE(YEAR($E1580),MONTH($E1580),1))))</f>
        <v>0</v>
      </c>
    </row>
    <row r="1581" spans="1:20" ht="18" customHeight="1" x14ac:dyDescent="0.3">
      <c r="A1581" s="2"/>
      <c r="B1581" s="65" t="str">
        <f t="shared" si="120"/>
        <v/>
      </c>
      <c r="C1581" s="65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66"/>
      <c r="F1581" s="67"/>
      <c r="G1581" s="60"/>
      <c r="H1581" s="60"/>
      <c r="I1581" s="61"/>
      <c r="J1581" s="61"/>
      <c r="K1581" s="61"/>
      <c r="L1581" s="73" t="str">
        <f t="shared" si="121"/>
        <v/>
      </c>
      <c r="M1581" s="65" t="str">
        <f t="shared" ca="1" si="122"/>
        <v/>
      </c>
      <c r="N1581" s="74" t="str">
        <f>IF($C1581="","",IF($C1581="TANIMSIZ MÜŞTERİ","—",INDEX(MUSTERILER!$C$7:$C$156,MATCH($C1581,MUSTERILER!$B$7:$B$156,0))))</f>
        <v/>
      </c>
      <c r="O1581" s="2"/>
      <c r="P1581" s="2"/>
      <c r="Q1581" s="1" t="str">
        <f>IF($D1581="","",$C1581&amp;"|"&amp;COUNTIFS($C$7:$C1581,$C1581))</f>
        <v/>
      </c>
      <c r="R1581" s="1" t="str">
        <f t="shared" si="123"/>
        <v/>
      </c>
      <c r="S1581" s="1" t="str">
        <f t="shared" si="124"/>
        <v/>
      </c>
      <c r="T1581" s="1">
        <f>IF($E1581="",0,SUMPRODUCT((AY_SONU!$O$7:$O$42="Evet")*(AY_SONU!$B$7:$B$42=DATE(YEAR($E1581),MONTH($E1581),1))))</f>
        <v>0</v>
      </c>
    </row>
    <row r="1582" spans="1:20" ht="18" customHeight="1" x14ac:dyDescent="0.3">
      <c r="A1582" s="2"/>
      <c r="B1582" s="65" t="str">
        <f t="shared" si="120"/>
        <v/>
      </c>
      <c r="C1582" s="65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66"/>
      <c r="F1582" s="67"/>
      <c r="G1582" s="60"/>
      <c r="H1582" s="60"/>
      <c r="I1582" s="61"/>
      <c r="J1582" s="61"/>
      <c r="K1582" s="61"/>
      <c r="L1582" s="73" t="str">
        <f t="shared" si="121"/>
        <v/>
      </c>
      <c r="M1582" s="65" t="str">
        <f t="shared" ca="1" si="122"/>
        <v/>
      </c>
      <c r="N1582" s="74" t="str">
        <f>IF($C1582="","",IF($C1582="TANIMSIZ MÜŞTERİ","—",INDEX(MUSTERILER!$C$7:$C$156,MATCH($C1582,MUSTERILER!$B$7:$B$156,0))))</f>
        <v/>
      </c>
      <c r="O1582" s="2"/>
      <c r="P1582" s="2"/>
      <c r="Q1582" s="1" t="str">
        <f>IF($D1582="","",$C1582&amp;"|"&amp;COUNTIFS($C$7:$C1582,$C1582))</f>
        <v/>
      </c>
      <c r="R1582" s="1" t="str">
        <f t="shared" si="123"/>
        <v/>
      </c>
      <c r="S1582" s="1" t="str">
        <f t="shared" si="124"/>
        <v/>
      </c>
      <c r="T1582" s="1">
        <f>IF($E1582="",0,SUMPRODUCT((AY_SONU!$O$7:$O$42="Evet")*(AY_SONU!$B$7:$B$42=DATE(YEAR($E1582),MONTH($E1582),1))))</f>
        <v>0</v>
      </c>
    </row>
    <row r="1583" spans="1:20" ht="18" customHeight="1" x14ac:dyDescent="0.3">
      <c r="A1583" s="2"/>
      <c r="B1583" s="65" t="str">
        <f t="shared" si="120"/>
        <v/>
      </c>
      <c r="C1583" s="65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66"/>
      <c r="F1583" s="67"/>
      <c r="G1583" s="60"/>
      <c r="H1583" s="60"/>
      <c r="I1583" s="61"/>
      <c r="J1583" s="61"/>
      <c r="K1583" s="61"/>
      <c r="L1583" s="73" t="str">
        <f t="shared" si="121"/>
        <v/>
      </c>
      <c r="M1583" s="65" t="str">
        <f t="shared" ca="1" si="122"/>
        <v/>
      </c>
      <c r="N1583" s="74" t="str">
        <f>IF($C1583="","",IF($C1583="TANIMSIZ MÜŞTERİ","—",INDEX(MUSTERILER!$C$7:$C$156,MATCH($C1583,MUSTERILER!$B$7:$B$156,0))))</f>
        <v/>
      </c>
      <c r="O1583" s="2"/>
      <c r="P1583" s="2"/>
      <c r="Q1583" s="1" t="str">
        <f>IF($D1583="","",$C1583&amp;"|"&amp;COUNTIFS($C$7:$C1583,$C1583))</f>
        <v/>
      </c>
      <c r="R1583" s="1" t="str">
        <f t="shared" si="123"/>
        <v/>
      </c>
      <c r="S1583" s="1" t="str">
        <f t="shared" si="124"/>
        <v/>
      </c>
      <c r="T1583" s="1">
        <f>IF($E1583="",0,SUMPRODUCT((AY_SONU!$O$7:$O$42="Evet")*(AY_SONU!$B$7:$B$42=DATE(YEAR($E1583),MONTH($E1583),1))))</f>
        <v>0</v>
      </c>
    </row>
    <row r="1584" spans="1:20" ht="18" customHeight="1" x14ac:dyDescent="0.3">
      <c r="A1584" s="2"/>
      <c r="B1584" s="65" t="str">
        <f t="shared" si="120"/>
        <v/>
      </c>
      <c r="C1584" s="65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66"/>
      <c r="F1584" s="67"/>
      <c r="G1584" s="60"/>
      <c r="H1584" s="60"/>
      <c r="I1584" s="61"/>
      <c r="J1584" s="61"/>
      <c r="K1584" s="61"/>
      <c r="L1584" s="73" t="str">
        <f t="shared" si="121"/>
        <v/>
      </c>
      <c r="M1584" s="65" t="str">
        <f t="shared" ca="1" si="122"/>
        <v/>
      </c>
      <c r="N1584" s="74" t="str">
        <f>IF($C1584="","",IF($C1584="TANIMSIZ MÜŞTERİ","—",INDEX(MUSTERILER!$C$7:$C$156,MATCH($C1584,MUSTERILER!$B$7:$B$156,0))))</f>
        <v/>
      </c>
      <c r="O1584" s="2"/>
      <c r="P1584" s="2"/>
      <c r="Q1584" s="1" t="str">
        <f>IF($D1584="","",$C1584&amp;"|"&amp;COUNTIFS($C$7:$C1584,$C1584))</f>
        <v/>
      </c>
      <c r="R1584" s="1" t="str">
        <f t="shared" si="123"/>
        <v/>
      </c>
      <c r="S1584" s="1" t="str">
        <f t="shared" si="124"/>
        <v/>
      </c>
      <c r="T1584" s="1">
        <f>IF($E1584="",0,SUMPRODUCT((AY_SONU!$O$7:$O$42="Evet")*(AY_SONU!$B$7:$B$42=DATE(YEAR($E1584),MONTH($E1584),1))))</f>
        <v>0</v>
      </c>
    </row>
    <row r="1585" spans="1:20" ht="18" customHeight="1" x14ac:dyDescent="0.3">
      <c r="A1585" s="2"/>
      <c r="B1585" s="65" t="str">
        <f t="shared" si="120"/>
        <v/>
      </c>
      <c r="C1585" s="65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66"/>
      <c r="F1585" s="67"/>
      <c r="G1585" s="60"/>
      <c r="H1585" s="60"/>
      <c r="I1585" s="61"/>
      <c r="J1585" s="61"/>
      <c r="K1585" s="61"/>
      <c r="L1585" s="73" t="str">
        <f t="shared" si="121"/>
        <v/>
      </c>
      <c r="M1585" s="65" t="str">
        <f t="shared" ca="1" si="122"/>
        <v/>
      </c>
      <c r="N1585" s="74" t="str">
        <f>IF($C1585="","",IF($C1585="TANIMSIZ MÜŞTERİ","—",INDEX(MUSTERILER!$C$7:$C$156,MATCH($C1585,MUSTERILER!$B$7:$B$156,0))))</f>
        <v/>
      </c>
      <c r="O1585" s="2"/>
      <c r="P1585" s="2"/>
      <c r="Q1585" s="1" t="str">
        <f>IF($D1585="","",$C1585&amp;"|"&amp;COUNTIFS($C$7:$C1585,$C1585))</f>
        <v/>
      </c>
      <c r="R1585" s="1" t="str">
        <f t="shared" si="123"/>
        <v/>
      </c>
      <c r="S1585" s="1" t="str">
        <f t="shared" si="124"/>
        <v/>
      </c>
      <c r="T1585" s="1">
        <f>IF($E1585="",0,SUMPRODUCT((AY_SONU!$O$7:$O$42="Evet")*(AY_SONU!$B$7:$B$42=DATE(YEAR($E1585),MONTH($E1585),1))))</f>
        <v>0</v>
      </c>
    </row>
    <row r="1586" spans="1:20" ht="18" customHeight="1" x14ac:dyDescent="0.3">
      <c r="A1586" s="2"/>
      <c r="B1586" s="65" t="str">
        <f t="shared" si="120"/>
        <v/>
      </c>
      <c r="C1586" s="65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66"/>
      <c r="F1586" s="67"/>
      <c r="G1586" s="60"/>
      <c r="H1586" s="60"/>
      <c r="I1586" s="61"/>
      <c r="J1586" s="61"/>
      <c r="K1586" s="61"/>
      <c r="L1586" s="73" t="str">
        <f t="shared" si="121"/>
        <v/>
      </c>
      <c r="M1586" s="65" t="str">
        <f t="shared" ca="1" si="122"/>
        <v/>
      </c>
      <c r="N1586" s="74" t="str">
        <f>IF($C1586="","",IF($C1586="TANIMSIZ MÜŞTERİ","—",INDEX(MUSTERILER!$C$7:$C$156,MATCH($C1586,MUSTERILER!$B$7:$B$156,0))))</f>
        <v/>
      </c>
      <c r="O1586" s="2"/>
      <c r="P1586" s="2"/>
      <c r="Q1586" s="1" t="str">
        <f>IF($D1586="","",$C1586&amp;"|"&amp;COUNTIFS($C$7:$C1586,$C1586))</f>
        <v/>
      </c>
      <c r="R1586" s="1" t="str">
        <f t="shared" si="123"/>
        <v/>
      </c>
      <c r="S1586" s="1" t="str">
        <f t="shared" si="124"/>
        <v/>
      </c>
      <c r="T1586" s="1">
        <f>IF($E1586="",0,SUMPRODUCT((AY_SONU!$O$7:$O$42="Evet")*(AY_SONU!$B$7:$B$42=DATE(YEAR($E1586),MONTH($E1586),1))))</f>
        <v>0</v>
      </c>
    </row>
    <row r="1587" spans="1:20" ht="18" customHeight="1" x14ac:dyDescent="0.3">
      <c r="A1587" s="2"/>
      <c r="B1587" s="65" t="str">
        <f t="shared" si="120"/>
        <v/>
      </c>
      <c r="C1587" s="65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66"/>
      <c r="F1587" s="67"/>
      <c r="G1587" s="60"/>
      <c r="H1587" s="60"/>
      <c r="I1587" s="61"/>
      <c r="J1587" s="61"/>
      <c r="K1587" s="61"/>
      <c r="L1587" s="73" t="str">
        <f t="shared" si="121"/>
        <v/>
      </c>
      <c r="M1587" s="65" t="str">
        <f t="shared" ca="1" si="122"/>
        <v/>
      </c>
      <c r="N1587" s="74" t="str">
        <f>IF($C1587="","",IF($C1587="TANIMSIZ MÜŞTERİ","—",INDEX(MUSTERILER!$C$7:$C$156,MATCH($C1587,MUSTERILER!$B$7:$B$156,0))))</f>
        <v/>
      </c>
      <c r="O1587" s="2"/>
      <c r="P1587" s="2"/>
      <c r="Q1587" s="1" t="str">
        <f>IF($D1587="","",$C1587&amp;"|"&amp;COUNTIFS($C$7:$C1587,$C1587))</f>
        <v/>
      </c>
      <c r="R1587" s="1" t="str">
        <f t="shared" si="123"/>
        <v/>
      </c>
      <c r="S1587" s="1" t="str">
        <f t="shared" si="124"/>
        <v/>
      </c>
      <c r="T1587" s="1">
        <f>IF($E1587="",0,SUMPRODUCT((AY_SONU!$O$7:$O$42="Evet")*(AY_SONU!$B$7:$B$42=DATE(YEAR($E1587),MONTH($E1587),1))))</f>
        <v>0</v>
      </c>
    </row>
    <row r="1588" spans="1:20" ht="18" customHeight="1" x14ac:dyDescent="0.3">
      <c r="A1588" s="2"/>
      <c r="B1588" s="65" t="str">
        <f t="shared" si="120"/>
        <v/>
      </c>
      <c r="C1588" s="65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66"/>
      <c r="F1588" s="67"/>
      <c r="G1588" s="60"/>
      <c r="H1588" s="60"/>
      <c r="I1588" s="61"/>
      <c r="J1588" s="61"/>
      <c r="K1588" s="61"/>
      <c r="L1588" s="73" t="str">
        <f t="shared" si="121"/>
        <v/>
      </c>
      <c r="M1588" s="65" t="str">
        <f t="shared" ca="1" si="122"/>
        <v/>
      </c>
      <c r="N1588" s="74" t="str">
        <f>IF($C1588="","",IF($C1588="TANIMSIZ MÜŞTERİ","—",INDEX(MUSTERILER!$C$7:$C$156,MATCH($C1588,MUSTERILER!$B$7:$B$156,0))))</f>
        <v/>
      </c>
      <c r="O1588" s="2"/>
      <c r="P1588" s="2"/>
      <c r="Q1588" s="1" t="str">
        <f>IF($D1588="","",$C1588&amp;"|"&amp;COUNTIFS($C$7:$C1588,$C1588))</f>
        <v/>
      </c>
      <c r="R1588" s="1" t="str">
        <f t="shared" si="123"/>
        <v/>
      </c>
      <c r="S1588" s="1" t="str">
        <f t="shared" si="124"/>
        <v/>
      </c>
      <c r="T1588" s="1">
        <f>IF($E1588="",0,SUMPRODUCT((AY_SONU!$O$7:$O$42="Evet")*(AY_SONU!$B$7:$B$42=DATE(YEAR($E1588),MONTH($E1588),1))))</f>
        <v>0</v>
      </c>
    </row>
    <row r="1589" spans="1:20" ht="18" customHeight="1" x14ac:dyDescent="0.3">
      <c r="A1589" s="2"/>
      <c r="B1589" s="65" t="str">
        <f t="shared" si="120"/>
        <v/>
      </c>
      <c r="C1589" s="65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66"/>
      <c r="F1589" s="67"/>
      <c r="G1589" s="60"/>
      <c r="H1589" s="60"/>
      <c r="I1589" s="61"/>
      <c r="J1589" s="61"/>
      <c r="K1589" s="61"/>
      <c r="L1589" s="73" t="str">
        <f t="shared" si="121"/>
        <v/>
      </c>
      <c r="M1589" s="65" t="str">
        <f t="shared" ca="1" si="122"/>
        <v/>
      </c>
      <c r="N1589" s="74" t="str">
        <f>IF($C1589="","",IF($C1589="TANIMSIZ MÜŞTERİ","—",INDEX(MUSTERILER!$C$7:$C$156,MATCH($C1589,MUSTERILER!$B$7:$B$156,0))))</f>
        <v/>
      </c>
      <c r="O1589" s="2"/>
      <c r="P1589" s="2"/>
      <c r="Q1589" s="1" t="str">
        <f>IF($D1589="","",$C1589&amp;"|"&amp;COUNTIFS($C$7:$C1589,$C1589))</f>
        <v/>
      </c>
      <c r="R1589" s="1" t="str">
        <f t="shared" si="123"/>
        <v/>
      </c>
      <c r="S1589" s="1" t="str">
        <f t="shared" si="124"/>
        <v/>
      </c>
      <c r="T1589" s="1">
        <f>IF($E1589="",0,SUMPRODUCT((AY_SONU!$O$7:$O$42="Evet")*(AY_SONU!$B$7:$B$42=DATE(YEAR($E1589),MONTH($E1589),1))))</f>
        <v>0</v>
      </c>
    </row>
    <row r="1590" spans="1:20" ht="18" customHeight="1" x14ac:dyDescent="0.3">
      <c r="A1590" s="2"/>
      <c r="B1590" s="65" t="str">
        <f t="shared" si="120"/>
        <v/>
      </c>
      <c r="C1590" s="65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66"/>
      <c r="F1590" s="67"/>
      <c r="G1590" s="60"/>
      <c r="H1590" s="60"/>
      <c r="I1590" s="61"/>
      <c r="J1590" s="61"/>
      <c r="K1590" s="61"/>
      <c r="L1590" s="73" t="str">
        <f t="shared" si="121"/>
        <v/>
      </c>
      <c r="M1590" s="65" t="str">
        <f t="shared" ca="1" si="122"/>
        <v/>
      </c>
      <c r="N1590" s="74" t="str">
        <f>IF($C1590="","",IF($C1590="TANIMSIZ MÜŞTERİ","—",INDEX(MUSTERILER!$C$7:$C$156,MATCH($C1590,MUSTERILER!$B$7:$B$156,0))))</f>
        <v/>
      </c>
      <c r="O1590" s="2"/>
      <c r="P1590" s="2"/>
      <c r="Q1590" s="1" t="str">
        <f>IF($D1590="","",$C1590&amp;"|"&amp;COUNTIFS($C$7:$C1590,$C1590))</f>
        <v/>
      </c>
      <c r="R1590" s="1" t="str">
        <f t="shared" si="123"/>
        <v/>
      </c>
      <c r="S1590" s="1" t="str">
        <f t="shared" si="124"/>
        <v/>
      </c>
      <c r="T1590" s="1">
        <f>IF($E1590="",0,SUMPRODUCT((AY_SONU!$O$7:$O$42="Evet")*(AY_SONU!$B$7:$B$42=DATE(YEAR($E1590),MONTH($E1590),1))))</f>
        <v>0</v>
      </c>
    </row>
    <row r="1591" spans="1:20" ht="18" customHeight="1" x14ac:dyDescent="0.3">
      <c r="A1591" s="2"/>
      <c r="B1591" s="65" t="str">
        <f t="shared" si="120"/>
        <v/>
      </c>
      <c r="C1591" s="65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66"/>
      <c r="F1591" s="67"/>
      <c r="G1591" s="60"/>
      <c r="H1591" s="60"/>
      <c r="I1591" s="61"/>
      <c r="J1591" s="61"/>
      <c r="K1591" s="61"/>
      <c r="L1591" s="73" t="str">
        <f t="shared" si="121"/>
        <v/>
      </c>
      <c r="M1591" s="65" t="str">
        <f t="shared" ca="1" si="122"/>
        <v/>
      </c>
      <c r="N1591" s="74" t="str">
        <f>IF($C1591="","",IF($C1591="TANIMSIZ MÜŞTERİ","—",INDEX(MUSTERILER!$C$7:$C$156,MATCH($C1591,MUSTERILER!$B$7:$B$156,0))))</f>
        <v/>
      </c>
      <c r="O1591" s="2"/>
      <c r="P1591" s="2"/>
      <c r="Q1591" s="1" t="str">
        <f>IF($D1591="","",$C1591&amp;"|"&amp;COUNTIFS($C$7:$C1591,$C1591))</f>
        <v/>
      </c>
      <c r="R1591" s="1" t="str">
        <f t="shared" si="123"/>
        <v/>
      </c>
      <c r="S1591" s="1" t="str">
        <f t="shared" si="124"/>
        <v/>
      </c>
      <c r="T1591" s="1">
        <f>IF($E1591="",0,SUMPRODUCT((AY_SONU!$O$7:$O$42="Evet")*(AY_SONU!$B$7:$B$42=DATE(YEAR($E1591),MONTH($E1591),1))))</f>
        <v>0</v>
      </c>
    </row>
    <row r="1592" spans="1:20" ht="18" customHeight="1" x14ac:dyDescent="0.3">
      <c r="A1592" s="2"/>
      <c r="B1592" s="65" t="str">
        <f t="shared" si="120"/>
        <v/>
      </c>
      <c r="C1592" s="65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66"/>
      <c r="F1592" s="67"/>
      <c r="G1592" s="60"/>
      <c r="H1592" s="60"/>
      <c r="I1592" s="61"/>
      <c r="J1592" s="61"/>
      <c r="K1592" s="61"/>
      <c r="L1592" s="73" t="str">
        <f t="shared" si="121"/>
        <v/>
      </c>
      <c r="M1592" s="65" t="str">
        <f t="shared" ca="1" si="122"/>
        <v/>
      </c>
      <c r="N1592" s="74" t="str">
        <f>IF($C1592="","",IF($C1592="TANIMSIZ MÜŞTERİ","—",INDEX(MUSTERILER!$C$7:$C$156,MATCH($C1592,MUSTERILER!$B$7:$B$156,0))))</f>
        <v/>
      </c>
      <c r="O1592" s="2"/>
      <c r="P1592" s="2"/>
      <c r="Q1592" s="1" t="str">
        <f>IF($D1592="","",$C1592&amp;"|"&amp;COUNTIFS($C$7:$C1592,$C1592))</f>
        <v/>
      </c>
      <c r="R1592" s="1" t="str">
        <f t="shared" si="123"/>
        <v/>
      </c>
      <c r="S1592" s="1" t="str">
        <f t="shared" si="124"/>
        <v/>
      </c>
      <c r="T1592" s="1">
        <f>IF($E1592="",0,SUMPRODUCT((AY_SONU!$O$7:$O$42="Evet")*(AY_SONU!$B$7:$B$42=DATE(YEAR($E1592),MONTH($E1592),1))))</f>
        <v>0</v>
      </c>
    </row>
    <row r="1593" spans="1:20" ht="18" customHeight="1" x14ac:dyDescent="0.3">
      <c r="A1593" s="2"/>
      <c r="B1593" s="65" t="str">
        <f t="shared" si="120"/>
        <v/>
      </c>
      <c r="C1593" s="65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66"/>
      <c r="F1593" s="67"/>
      <c r="G1593" s="60"/>
      <c r="H1593" s="60"/>
      <c r="I1593" s="61"/>
      <c r="J1593" s="61"/>
      <c r="K1593" s="61"/>
      <c r="L1593" s="73" t="str">
        <f t="shared" si="121"/>
        <v/>
      </c>
      <c r="M1593" s="65" t="str">
        <f t="shared" ca="1" si="122"/>
        <v/>
      </c>
      <c r="N1593" s="74" t="str">
        <f>IF($C1593="","",IF($C1593="TANIMSIZ MÜŞTERİ","—",INDEX(MUSTERILER!$C$7:$C$156,MATCH($C1593,MUSTERILER!$B$7:$B$156,0))))</f>
        <v/>
      </c>
      <c r="O1593" s="2"/>
      <c r="P1593" s="2"/>
      <c r="Q1593" s="1" t="str">
        <f>IF($D1593="","",$C1593&amp;"|"&amp;COUNTIFS($C$7:$C1593,$C1593))</f>
        <v/>
      </c>
      <c r="R1593" s="1" t="str">
        <f t="shared" si="123"/>
        <v/>
      </c>
      <c r="S1593" s="1" t="str">
        <f t="shared" si="124"/>
        <v/>
      </c>
      <c r="T1593" s="1">
        <f>IF($E1593="",0,SUMPRODUCT((AY_SONU!$O$7:$O$42="Evet")*(AY_SONU!$B$7:$B$42=DATE(YEAR($E1593),MONTH($E1593),1))))</f>
        <v>0</v>
      </c>
    </row>
    <row r="1594" spans="1:20" ht="18" customHeight="1" x14ac:dyDescent="0.3">
      <c r="A1594" s="2"/>
      <c r="B1594" s="65" t="str">
        <f t="shared" si="120"/>
        <v/>
      </c>
      <c r="C1594" s="65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66"/>
      <c r="F1594" s="67"/>
      <c r="G1594" s="60"/>
      <c r="H1594" s="60"/>
      <c r="I1594" s="61"/>
      <c r="J1594" s="61"/>
      <c r="K1594" s="61"/>
      <c r="L1594" s="73" t="str">
        <f t="shared" si="121"/>
        <v/>
      </c>
      <c r="M1594" s="65" t="str">
        <f t="shared" ca="1" si="122"/>
        <v/>
      </c>
      <c r="N1594" s="74" t="str">
        <f>IF($C1594="","",IF($C1594="TANIMSIZ MÜŞTERİ","—",INDEX(MUSTERILER!$C$7:$C$156,MATCH($C1594,MUSTERILER!$B$7:$B$156,0))))</f>
        <v/>
      </c>
      <c r="O1594" s="2"/>
      <c r="P1594" s="2"/>
      <c r="Q1594" s="1" t="str">
        <f>IF($D1594="","",$C1594&amp;"|"&amp;COUNTIFS($C$7:$C1594,$C1594))</f>
        <v/>
      </c>
      <c r="R1594" s="1" t="str">
        <f t="shared" si="123"/>
        <v/>
      </c>
      <c r="S1594" s="1" t="str">
        <f t="shared" si="124"/>
        <v/>
      </c>
      <c r="T1594" s="1">
        <f>IF($E1594="",0,SUMPRODUCT((AY_SONU!$O$7:$O$42="Evet")*(AY_SONU!$B$7:$B$42=DATE(YEAR($E1594),MONTH($E1594),1))))</f>
        <v>0</v>
      </c>
    </row>
    <row r="1595" spans="1:20" ht="18" customHeight="1" x14ac:dyDescent="0.3">
      <c r="A1595" s="2"/>
      <c r="B1595" s="65" t="str">
        <f t="shared" si="120"/>
        <v/>
      </c>
      <c r="C1595" s="65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66"/>
      <c r="F1595" s="67"/>
      <c r="G1595" s="60"/>
      <c r="H1595" s="60"/>
      <c r="I1595" s="61"/>
      <c r="J1595" s="61"/>
      <c r="K1595" s="61"/>
      <c r="L1595" s="73" t="str">
        <f t="shared" si="121"/>
        <v/>
      </c>
      <c r="M1595" s="65" t="str">
        <f t="shared" ca="1" si="122"/>
        <v/>
      </c>
      <c r="N1595" s="74" t="str">
        <f>IF($C1595="","",IF($C1595="TANIMSIZ MÜŞTERİ","—",INDEX(MUSTERILER!$C$7:$C$156,MATCH($C1595,MUSTERILER!$B$7:$B$156,0))))</f>
        <v/>
      </c>
      <c r="O1595" s="2"/>
      <c r="P1595" s="2"/>
      <c r="Q1595" s="1" t="str">
        <f>IF($D1595="","",$C1595&amp;"|"&amp;COUNTIFS($C$7:$C1595,$C1595))</f>
        <v/>
      </c>
      <c r="R1595" s="1" t="str">
        <f t="shared" si="123"/>
        <v/>
      </c>
      <c r="S1595" s="1" t="str">
        <f t="shared" si="124"/>
        <v/>
      </c>
      <c r="T1595" s="1">
        <f>IF($E1595="",0,SUMPRODUCT((AY_SONU!$O$7:$O$42="Evet")*(AY_SONU!$B$7:$B$42=DATE(YEAR($E1595),MONTH($E1595),1))))</f>
        <v>0</v>
      </c>
    </row>
    <row r="1596" spans="1:20" ht="18" customHeight="1" x14ac:dyDescent="0.3">
      <c r="A1596" s="2"/>
      <c r="B1596" s="65" t="str">
        <f t="shared" si="120"/>
        <v/>
      </c>
      <c r="C1596" s="65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66"/>
      <c r="F1596" s="67"/>
      <c r="G1596" s="60"/>
      <c r="H1596" s="60"/>
      <c r="I1596" s="61"/>
      <c r="J1596" s="61"/>
      <c r="K1596" s="61"/>
      <c r="L1596" s="73" t="str">
        <f t="shared" si="121"/>
        <v/>
      </c>
      <c r="M1596" s="65" t="str">
        <f t="shared" ca="1" si="122"/>
        <v/>
      </c>
      <c r="N1596" s="74" t="str">
        <f>IF($C1596="","",IF($C1596="TANIMSIZ MÜŞTERİ","—",INDEX(MUSTERILER!$C$7:$C$156,MATCH($C1596,MUSTERILER!$B$7:$B$156,0))))</f>
        <v/>
      </c>
      <c r="O1596" s="2"/>
      <c r="P1596" s="2"/>
      <c r="Q1596" s="1" t="str">
        <f>IF($D1596="","",$C1596&amp;"|"&amp;COUNTIFS($C$7:$C1596,$C1596))</f>
        <v/>
      </c>
      <c r="R1596" s="1" t="str">
        <f t="shared" si="123"/>
        <v/>
      </c>
      <c r="S1596" s="1" t="str">
        <f t="shared" si="124"/>
        <v/>
      </c>
      <c r="T1596" s="1">
        <f>IF($E1596="",0,SUMPRODUCT((AY_SONU!$O$7:$O$42="Evet")*(AY_SONU!$B$7:$B$42=DATE(YEAR($E1596),MONTH($E1596),1))))</f>
        <v>0</v>
      </c>
    </row>
    <row r="1597" spans="1:20" ht="18" customHeight="1" x14ac:dyDescent="0.3">
      <c r="A1597" s="2"/>
      <c r="B1597" s="65" t="str">
        <f t="shared" si="120"/>
        <v/>
      </c>
      <c r="C1597" s="65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66"/>
      <c r="F1597" s="67"/>
      <c r="G1597" s="60"/>
      <c r="H1597" s="60"/>
      <c r="I1597" s="61"/>
      <c r="J1597" s="61"/>
      <c r="K1597" s="61"/>
      <c r="L1597" s="73" t="str">
        <f t="shared" si="121"/>
        <v/>
      </c>
      <c r="M1597" s="65" t="str">
        <f t="shared" ca="1" si="122"/>
        <v/>
      </c>
      <c r="N1597" s="74" t="str">
        <f>IF($C1597="","",IF($C1597="TANIMSIZ MÜŞTERİ","—",INDEX(MUSTERILER!$C$7:$C$156,MATCH($C1597,MUSTERILER!$B$7:$B$156,0))))</f>
        <v/>
      </c>
      <c r="O1597" s="2"/>
      <c r="P1597" s="2"/>
      <c r="Q1597" s="1" t="str">
        <f>IF($D1597="","",$C1597&amp;"|"&amp;COUNTIFS($C$7:$C1597,$C1597))</f>
        <v/>
      </c>
      <c r="R1597" s="1" t="str">
        <f t="shared" si="123"/>
        <v/>
      </c>
      <c r="S1597" s="1" t="str">
        <f t="shared" si="124"/>
        <v/>
      </c>
      <c r="T1597" s="1">
        <f>IF($E1597="",0,SUMPRODUCT((AY_SONU!$O$7:$O$42="Evet")*(AY_SONU!$B$7:$B$42=DATE(YEAR($E1597),MONTH($E1597),1))))</f>
        <v>0</v>
      </c>
    </row>
    <row r="1598" spans="1:20" ht="18" customHeight="1" x14ac:dyDescent="0.3">
      <c r="A1598" s="2"/>
      <c r="B1598" s="65" t="str">
        <f t="shared" si="120"/>
        <v/>
      </c>
      <c r="C1598" s="65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66"/>
      <c r="F1598" s="67"/>
      <c r="G1598" s="60"/>
      <c r="H1598" s="60"/>
      <c r="I1598" s="61"/>
      <c r="J1598" s="61"/>
      <c r="K1598" s="61"/>
      <c r="L1598" s="73" t="str">
        <f t="shared" si="121"/>
        <v/>
      </c>
      <c r="M1598" s="65" t="str">
        <f t="shared" ca="1" si="122"/>
        <v/>
      </c>
      <c r="N1598" s="74" t="str">
        <f>IF($C1598="","",IF($C1598="TANIMSIZ MÜŞTERİ","—",INDEX(MUSTERILER!$C$7:$C$156,MATCH($C1598,MUSTERILER!$B$7:$B$156,0))))</f>
        <v/>
      </c>
      <c r="O1598" s="2"/>
      <c r="P1598" s="2"/>
      <c r="Q1598" s="1" t="str">
        <f>IF($D1598="","",$C1598&amp;"|"&amp;COUNTIFS($C$7:$C1598,$C1598))</f>
        <v/>
      </c>
      <c r="R1598" s="1" t="str">
        <f t="shared" si="123"/>
        <v/>
      </c>
      <c r="S1598" s="1" t="str">
        <f t="shared" si="124"/>
        <v/>
      </c>
      <c r="T1598" s="1">
        <f>IF($E1598="",0,SUMPRODUCT((AY_SONU!$O$7:$O$42="Evet")*(AY_SONU!$B$7:$B$42=DATE(YEAR($E1598),MONTH($E1598),1))))</f>
        <v>0</v>
      </c>
    </row>
    <row r="1599" spans="1:20" ht="18" customHeight="1" x14ac:dyDescent="0.3">
      <c r="A1599" s="2"/>
      <c r="B1599" s="65" t="str">
        <f t="shared" si="120"/>
        <v/>
      </c>
      <c r="C1599" s="65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66"/>
      <c r="F1599" s="67"/>
      <c r="G1599" s="60"/>
      <c r="H1599" s="60"/>
      <c r="I1599" s="61"/>
      <c r="J1599" s="61"/>
      <c r="K1599" s="61"/>
      <c r="L1599" s="73" t="str">
        <f t="shared" si="121"/>
        <v/>
      </c>
      <c r="M1599" s="65" t="str">
        <f t="shared" ca="1" si="122"/>
        <v/>
      </c>
      <c r="N1599" s="74" t="str">
        <f>IF($C1599="","",IF($C1599="TANIMSIZ MÜŞTERİ","—",INDEX(MUSTERILER!$C$7:$C$156,MATCH($C1599,MUSTERILER!$B$7:$B$156,0))))</f>
        <v/>
      </c>
      <c r="O1599" s="2"/>
      <c r="P1599" s="2"/>
      <c r="Q1599" s="1" t="str">
        <f>IF($D1599="","",$C1599&amp;"|"&amp;COUNTIFS($C$7:$C1599,$C1599))</f>
        <v/>
      </c>
      <c r="R1599" s="1" t="str">
        <f t="shared" si="123"/>
        <v/>
      </c>
      <c r="S1599" s="1" t="str">
        <f t="shared" si="124"/>
        <v/>
      </c>
      <c r="T1599" s="1">
        <f>IF($E1599="",0,SUMPRODUCT((AY_SONU!$O$7:$O$42="Evet")*(AY_SONU!$B$7:$B$42=DATE(YEAR($E1599),MONTH($E1599),1))))</f>
        <v>0</v>
      </c>
    </row>
    <row r="1600" spans="1:20" ht="18" customHeight="1" x14ac:dyDescent="0.3">
      <c r="A1600" s="2"/>
      <c r="B1600" s="65" t="str">
        <f t="shared" si="120"/>
        <v/>
      </c>
      <c r="C1600" s="65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66"/>
      <c r="F1600" s="67"/>
      <c r="G1600" s="60"/>
      <c r="H1600" s="60"/>
      <c r="I1600" s="61"/>
      <c r="J1600" s="61"/>
      <c r="K1600" s="61"/>
      <c r="L1600" s="73" t="str">
        <f t="shared" si="121"/>
        <v/>
      </c>
      <c r="M1600" s="65" t="str">
        <f t="shared" ca="1" si="122"/>
        <v/>
      </c>
      <c r="N1600" s="74" t="str">
        <f>IF($C1600="","",IF($C1600="TANIMSIZ MÜŞTERİ","—",INDEX(MUSTERILER!$C$7:$C$156,MATCH($C1600,MUSTERILER!$B$7:$B$156,0))))</f>
        <v/>
      </c>
      <c r="O1600" s="2"/>
      <c r="P1600" s="2"/>
      <c r="Q1600" s="1" t="str">
        <f>IF($D1600="","",$C1600&amp;"|"&amp;COUNTIFS($C$7:$C1600,$C1600))</f>
        <v/>
      </c>
      <c r="R1600" s="1" t="str">
        <f t="shared" si="123"/>
        <v/>
      </c>
      <c r="S1600" s="1" t="str">
        <f t="shared" si="124"/>
        <v/>
      </c>
      <c r="T1600" s="1">
        <f>IF($E1600="",0,SUMPRODUCT((AY_SONU!$O$7:$O$42="Evet")*(AY_SONU!$B$7:$B$42=DATE(YEAR($E1600),MONTH($E1600),1))))</f>
        <v>0</v>
      </c>
    </row>
    <row r="1601" spans="1:20" ht="18" customHeight="1" x14ac:dyDescent="0.3">
      <c r="A1601" s="2"/>
      <c r="B1601" s="65" t="str">
        <f t="shared" si="120"/>
        <v/>
      </c>
      <c r="C1601" s="65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66"/>
      <c r="F1601" s="67"/>
      <c r="G1601" s="60"/>
      <c r="H1601" s="60"/>
      <c r="I1601" s="61"/>
      <c r="J1601" s="61"/>
      <c r="K1601" s="61"/>
      <c r="L1601" s="73" t="str">
        <f t="shared" si="121"/>
        <v/>
      </c>
      <c r="M1601" s="65" t="str">
        <f t="shared" ca="1" si="122"/>
        <v/>
      </c>
      <c r="N1601" s="74" t="str">
        <f>IF($C1601="","",IF($C1601="TANIMSIZ MÜŞTERİ","—",INDEX(MUSTERILER!$C$7:$C$156,MATCH($C1601,MUSTERILER!$B$7:$B$156,0))))</f>
        <v/>
      </c>
      <c r="O1601" s="2"/>
      <c r="P1601" s="2"/>
      <c r="Q1601" s="1" t="str">
        <f>IF($D1601="","",$C1601&amp;"|"&amp;COUNTIFS($C$7:$C1601,$C1601))</f>
        <v/>
      </c>
      <c r="R1601" s="1" t="str">
        <f t="shared" si="123"/>
        <v/>
      </c>
      <c r="S1601" s="1" t="str">
        <f t="shared" si="124"/>
        <v/>
      </c>
      <c r="T1601" s="1">
        <f>IF($E1601="",0,SUMPRODUCT((AY_SONU!$O$7:$O$42="Evet")*(AY_SONU!$B$7:$B$42=DATE(YEAR($E1601),MONTH($E1601),1))))</f>
        <v>0</v>
      </c>
    </row>
    <row r="1602" spans="1:20" ht="18" customHeight="1" x14ac:dyDescent="0.3">
      <c r="A1602" s="2"/>
      <c r="B1602" s="65" t="str">
        <f t="shared" si="120"/>
        <v/>
      </c>
      <c r="C1602" s="65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66"/>
      <c r="F1602" s="67"/>
      <c r="G1602" s="60"/>
      <c r="H1602" s="60"/>
      <c r="I1602" s="61"/>
      <c r="J1602" s="61"/>
      <c r="K1602" s="61"/>
      <c r="L1602" s="73" t="str">
        <f t="shared" si="121"/>
        <v/>
      </c>
      <c r="M1602" s="65" t="str">
        <f t="shared" ca="1" si="122"/>
        <v/>
      </c>
      <c r="N1602" s="74" t="str">
        <f>IF($C1602="","",IF($C1602="TANIMSIZ MÜŞTERİ","—",INDEX(MUSTERILER!$C$7:$C$156,MATCH($C1602,MUSTERILER!$B$7:$B$156,0))))</f>
        <v/>
      </c>
      <c r="O1602" s="2"/>
      <c r="P1602" s="2"/>
      <c r="Q1602" s="1" t="str">
        <f>IF($D1602="","",$C1602&amp;"|"&amp;COUNTIFS($C$7:$C1602,$C1602))</f>
        <v/>
      </c>
      <c r="R1602" s="1" t="str">
        <f t="shared" si="123"/>
        <v/>
      </c>
      <c r="S1602" s="1" t="str">
        <f t="shared" si="124"/>
        <v/>
      </c>
      <c r="T1602" s="1">
        <f>IF($E1602="",0,SUMPRODUCT((AY_SONU!$O$7:$O$42="Evet")*(AY_SONU!$B$7:$B$42=DATE(YEAR($E1602),MONTH($E1602),1))))</f>
        <v>0</v>
      </c>
    </row>
    <row r="1603" spans="1:20" ht="18" customHeight="1" x14ac:dyDescent="0.3">
      <c r="A1603" s="2"/>
      <c r="B1603" s="65" t="str">
        <f t="shared" si="120"/>
        <v/>
      </c>
      <c r="C1603" s="65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66"/>
      <c r="F1603" s="67"/>
      <c r="G1603" s="60"/>
      <c r="H1603" s="60"/>
      <c r="I1603" s="61"/>
      <c r="J1603" s="61"/>
      <c r="K1603" s="61"/>
      <c r="L1603" s="73" t="str">
        <f t="shared" si="121"/>
        <v/>
      </c>
      <c r="M1603" s="65" t="str">
        <f t="shared" ca="1" si="122"/>
        <v/>
      </c>
      <c r="N1603" s="74" t="str">
        <f>IF($C1603="","",IF($C1603="TANIMSIZ MÜŞTERİ","—",INDEX(MUSTERILER!$C$7:$C$156,MATCH($C1603,MUSTERILER!$B$7:$B$156,0))))</f>
        <v/>
      </c>
      <c r="O1603" s="2"/>
      <c r="P1603" s="2"/>
      <c r="Q1603" s="1" t="str">
        <f>IF($D1603="","",$C1603&amp;"|"&amp;COUNTIFS($C$7:$C1603,$C1603))</f>
        <v/>
      </c>
      <c r="R1603" s="1" t="str">
        <f t="shared" si="123"/>
        <v/>
      </c>
      <c r="S1603" s="1" t="str">
        <f t="shared" si="124"/>
        <v/>
      </c>
      <c r="T1603" s="1">
        <f>IF($E1603="",0,SUMPRODUCT((AY_SONU!$O$7:$O$42="Evet")*(AY_SONU!$B$7:$B$42=DATE(YEAR($E1603),MONTH($E1603),1))))</f>
        <v>0</v>
      </c>
    </row>
    <row r="1604" spans="1:20" ht="18" customHeight="1" x14ac:dyDescent="0.3">
      <c r="A1604" s="2"/>
      <c r="B1604" s="65" t="str">
        <f t="shared" si="120"/>
        <v/>
      </c>
      <c r="C1604" s="65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66"/>
      <c r="F1604" s="67"/>
      <c r="G1604" s="60"/>
      <c r="H1604" s="60"/>
      <c r="I1604" s="61"/>
      <c r="J1604" s="61"/>
      <c r="K1604" s="61"/>
      <c r="L1604" s="73" t="str">
        <f t="shared" si="121"/>
        <v/>
      </c>
      <c r="M1604" s="65" t="str">
        <f t="shared" ca="1" si="122"/>
        <v/>
      </c>
      <c r="N1604" s="74" t="str">
        <f>IF($C1604="","",IF($C1604="TANIMSIZ MÜŞTERİ","—",INDEX(MUSTERILER!$C$7:$C$156,MATCH($C1604,MUSTERILER!$B$7:$B$156,0))))</f>
        <v/>
      </c>
      <c r="O1604" s="2"/>
      <c r="P1604" s="2"/>
      <c r="Q1604" s="1" t="str">
        <f>IF($D1604="","",$C1604&amp;"|"&amp;COUNTIFS($C$7:$C1604,$C1604))</f>
        <v/>
      </c>
      <c r="R1604" s="1" t="str">
        <f t="shared" si="123"/>
        <v/>
      </c>
      <c r="S1604" s="1" t="str">
        <f t="shared" si="124"/>
        <v/>
      </c>
      <c r="T1604" s="1">
        <f>IF($E1604="",0,SUMPRODUCT((AY_SONU!$O$7:$O$42="Evet")*(AY_SONU!$B$7:$B$42=DATE(YEAR($E1604),MONTH($E1604),1))))</f>
        <v>0</v>
      </c>
    </row>
    <row r="1605" spans="1:20" ht="18" customHeight="1" x14ac:dyDescent="0.3">
      <c r="A1605" s="2"/>
      <c r="B1605" s="65" t="str">
        <f t="shared" si="120"/>
        <v/>
      </c>
      <c r="C1605" s="65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66"/>
      <c r="F1605" s="67"/>
      <c r="G1605" s="60"/>
      <c r="H1605" s="60"/>
      <c r="I1605" s="61"/>
      <c r="J1605" s="61"/>
      <c r="K1605" s="61"/>
      <c r="L1605" s="73" t="str">
        <f t="shared" si="121"/>
        <v/>
      </c>
      <c r="M1605" s="65" t="str">
        <f t="shared" ca="1" si="122"/>
        <v/>
      </c>
      <c r="N1605" s="74" t="str">
        <f>IF($C1605="","",IF($C1605="TANIMSIZ MÜŞTERİ","—",INDEX(MUSTERILER!$C$7:$C$156,MATCH($C1605,MUSTERILER!$B$7:$B$156,0))))</f>
        <v/>
      </c>
      <c r="O1605" s="2"/>
      <c r="P1605" s="2"/>
      <c r="Q1605" s="1" t="str">
        <f>IF($D1605="","",$C1605&amp;"|"&amp;COUNTIFS($C$7:$C1605,$C1605))</f>
        <v/>
      </c>
      <c r="R1605" s="1" t="str">
        <f t="shared" si="123"/>
        <v/>
      </c>
      <c r="S1605" s="1" t="str">
        <f t="shared" si="124"/>
        <v/>
      </c>
      <c r="T1605" s="1">
        <f>IF($E1605="",0,SUMPRODUCT((AY_SONU!$O$7:$O$42="Evet")*(AY_SONU!$B$7:$B$42=DATE(YEAR($E1605),MONTH($E1605),1))))</f>
        <v>0</v>
      </c>
    </row>
    <row r="1606" spans="1:20" ht="18" customHeight="1" x14ac:dyDescent="0.3">
      <c r="A1606" s="2"/>
      <c r="B1606" s="65" t="str">
        <f t="shared" si="120"/>
        <v/>
      </c>
      <c r="C1606" s="65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66"/>
      <c r="F1606" s="67"/>
      <c r="G1606" s="60"/>
      <c r="H1606" s="60"/>
      <c r="I1606" s="61"/>
      <c r="J1606" s="61"/>
      <c r="K1606" s="61"/>
      <c r="L1606" s="73" t="str">
        <f t="shared" si="121"/>
        <v/>
      </c>
      <c r="M1606" s="65" t="str">
        <f t="shared" ca="1" si="122"/>
        <v/>
      </c>
      <c r="N1606" s="74" t="str">
        <f>IF($C1606="","",IF($C1606="TANIMSIZ MÜŞTERİ","—",INDEX(MUSTERILER!$C$7:$C$156,MATCH($C1606,MUSTERILER!$B$7:$B$156,0))))</f>
        <v/>
      </c>
      <c r="O1606" s="2"/>
      <c r="P1606" s="2"/>
      <c r="Q1606" s="1" t="str">
        <f>IF($D1606="","",$C1606&amp;"|"&amp;COUNTIFS($C$7:$C1606,$C1606))</f>
        <v/>
      </c>
      <c r="R1606" s="1" t="str">
        <f t="shared" si="123"/>
        <v/>
      </c>
      <c r="S1606" s="1" t="str">
        <f t="shared" si="124"/>
        <v/>
      </c>
      <c r="T1606" s="1">
        <f>IF($E1606="",0,SUMPRODUCT((AY_SONU!$O$7:$O$42="Evet")*(AY_SONU!$B$7:$B$42=DATE(YEAR($E1606),MONTH($E1606),1))))</f>
        <v>0</v>
      </c>
    </row>
    <row r="1607" spans="1:20" ht="18" customHeight="1" x14ac:dyDescent="0.3">
      <c r="A1607" s="2"/>
      <c r="B1607" s="65" t="str">
        <f t="shared" ref="B1607:B1670" si="125">IF($D1607="","","T"&amp;TEXT(ROW()-6,"00000"))</f>
        <v/>
      </c>
      <c r="C1607" s="65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66"/>
      <c r="F1607" s="67"/>
      <c r="G1607" s="60"/>
      <c r="H1607" s="60"/>
      <c r="I1607" s="61"/>
      <c r="J1607" s="61"/>
      <c r="K1607" s="61"/>
      <c r="L1607" s="73" t="str">
        <f t="shared" ref="L1607:L1670" si="126">IF($E1607="","",DATE(YEAR($E1607),MONTH($E1607),1))</f>
        <v/>
      </c>
      <c r="M1607" s="65" t="str">
        <f t="shared" ref="M1607:M1670" ca="1" si="127">IF($D1607="","",IF($C1607="TANIMSIZ MÜŞTERİ","HATA",IF(OR($E1607="",$F1607&lt;=0,$G1607=""),"EKSİK",IF($E1607&gt;TODAY(),"İLERİ TARİH",IF(COUNTIF($S$7:$S$2506,$S1607)&gt;1,"MÜKERRER?",IF($T1607&gt;0,"KAPALI DÖNEM","UYGUN"))))))</f>
        <v/>
      </c>
      <c r="N1607" s="74" t="str">
        <f>IF($C1607="","",IF($C1607="TANIMSIZ MÜŞTERİ","—",INDEX(MUSTERILER!$C$7:$C$156,MATCH($C1607,MUSTERILER!$B$7:$B$156,0))))</f>
        <v/>
      </c>
      <c r="O1607" s="2"/>
      <c r="P1607" s="2"/>
      <c r="Q1607" s="1" t="str">
        <f>IF($D1607="","",$C1607&amp;"|"&amp;COUNTIFS($C$7:$C1607,$C1607))</f>
        <v/>
      </c>
      <c r="R1607" s="1" t="str">
        <f t="shared" ref="R1607:R1670" si="128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 t="str">
        <f t="shared" ref="S1607:S1670" si="129"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>0</v>
      </c>
    </row>
    <row r="1608" spans="1:20" ht="18" customHeight="1" x14ac:dyDescent="0.3">
      <c r="A1608" s="2"/>
      <c r="B1608" s="65" t="str">
        <f t="shared" si="125"/>
        <v/>
      </c>
      <c r="C1608" s="65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66"/>
      <c r="F1608" s="67"/>
      <c r="G1608" s="60"/>
      <c r="H1608" s="60"/>
      <c r="I1608" s="61"/>
      <c r="J1608" s="61"/>
      <c r="K1608" s="61"/>
      <c r="L1608" s="73" t="str">
        <f t="shared" si="126"/>
        <v/>
      </c>
      <c r="M1608" s="65" t="str">
        <f t="shared" ca="1" si="127"/>
        <v/>
      </c>
      <c r="N1608" s="74" t="str">
        <f>IF($C1608="","",IF($C1608="TANIMSIZ MÜŞTERİ","—",INDEX(MUSTERILER!$C$7:$C$156,MATCH($C1608,MUSTERILER!$B$7:$B$156,0))))</f>
        <v/>
      </c>
      <c r="O1608" s="2"/>
      <c r="P1608" s="2"/>
      <c r="Q1608" s="1" t="str">
        <f>IF($D1608="","",$C1608&amp;"|"&amp;COUNTIFS($C$7:$C1608,$C1608))</f>
        <v/>
      </c>
      <c r="R1608" s="1" t="str">
        <f t="shared" si="128"/>
        <v/>
      </c>
      <c r="S1608" s="1" t="str">
        <f t="shared" si="129"/>
        <v/>
      </c>
      <c r="T1608" s="1">
        <f>IF($E1608="",0,SUMPRODUCT((AY_SONU!$O$7:$O$42="Evet")*(AY_SONU!$B$7:$B$42=DATE(YEAR($E1608),MONTH($E1608),1))))</f>
        <v>0</v>
      </c>
    </row>
    <row r="1609" spans="1:20" ht="18" customHeight="1" x14ac:dyDescent="0.3">
      <c r="A1609" s="2"/>
      <c r="B1609" s="65" t="str">
        <f t="shared" si="125"/>
        <v/>
      </c>
      <c r="C1609" s="65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66"/>
      <c r="F1609" s="67"/>
      <c r="G1609" s="60"/>
      <c r="H1609" s="60"/>
      <c r="I1609" s="61"/>
      <c r="J1609" s="61"/>
      <c r="K1609" s="61"/>
      <c r="L1609" s="73" t="str">
        <f t="shared" si="126"/>
        <v/>
      </c>
      <c r="M1609" s="65" t="str">
        <f t="shared" ca="1" si="127"/>
        <v/>
      </c>
      <c r="N1609" s="74" t="str">
        <f>IF($C1609="","",IF($C1609="TANIMSIZ MÜŞTERİ","—",INDEX(MUSTERILER!$C$7:$C$156,MATCH($C1609,MUSTERILER!$B$7:$B$156,0))))</f>
        <v/>
      </c>
      <c r="O1609" s="2"/>
      <c r="P1609" s="2"/>
      <c r="Q1609" s="1" t="str">
        <f>IF($D1609="","",$C1609&amp;"|"&amp;COUNTIFS($C$7:$C1609,$C1609))</f>
        <v/>
      </c>
      <c r="R1609" s="1" t="str">
        <f t="shared" si="128"/>
        <v/>
      </c>
      <c r="S1609" s="1" t="str">
        <f t="shared" si="129"/>
        <v/>
      </c>
      <c r="T1609" s="1">
        <f>IF($E1609="",0,SUMPRODUCT((AY_SONU!$O$7:$O$42="Evet")*(AY_SONU!$B$7:$B$42=DATE(YEAR($E1609),MONTH($E1609),1))))</f>
        <v>0</v>
      </c>
    </row>
    <row r="1610" spans="1:20" ht="18" customHeight="1" x14ac:dyDescent="0.3">
      <c r="A1610" s="2"/>
      <c r="B1610" s="65" t="str">
        <f t="shared" si="125"/>
        <v/>
      </c>
      <c r="C1610" s="65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66"/>
      <c r="F1610" s="67"/>
      <c r="G1610" s="60"/>
      <c r="H1610" s="60"/>
      <c r="I1610" s="61"/>
      <c r="J1610" s="61"/>
      <c r="K1610" s="61"/>
      <c r="L1610" s="73" t="str">
        <f t="shared" si="126"/>
        <v/>
      </c>
      <c r="M1610" s="65" t="str">
        <f t="shared" ca="1" si="127"/>
        <v/>
      </c>
      <c r="N1610" s="74" t="str">
        <f>IF($C1610="","",IF($C1610="TANIMSIZ MÜŞTERİ","—",INDEX(MUSTERILER!$C$7:$C$156,MATCH($C1610,MUSTERILER!$B$7:$B$156,0))))</f>
        <v/>
      </c>
      <c r="O1610" s="2"/>
      <c r="P1610" s="2"/>
      <c r="Q1610" s="1" t="str">
        <f>IF($D1610="","",$C1610&amp;"|"&amp;COUNTIFS($C$7:$C1610,$C1610))</f>
        <v/>
      </c>
      <c r="R1610" s="1" t="str">
        <f t="shared" si="128"/>
        <v/>
      </c>
      <c r="S1610" s="1" t="str">
        <f t="shared" si="129"/>
        <v/>
      </c>
      <c r="T1610" s="1">
        <f>IF($E1610="",0,SUMPRODUCT((AY_SONU!$O$7:$O$42="Evet")*(AY_SONU!$B$7:$B$42=DATE(YEAR($E1610),MONTH($E1610),1))))</f>
        <v>0</v>
      </c>
    </row>
    <row r="1611" spans="1:20" ht="18" customHeight="1" x14ac:dyDescent="0.3">
      <c r="A1611" s="2"/>
      <c r="B1611" s="65" t="str">
        <f t="shared" si="125"/>
        <v/>
      </c>
      <c r="C1611" s="65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66"/>
      <c r="F1611" s="67"/>
      <c r="G1611" s="60"/>
      <c r="H1611" s="60"/>
      <c r="I1611" s="61"/>
      <c r="J1611" s="61"/>
      <c r="K1611" s="61"/>
      <c r="L1611" s="73" t="str">
        <f t="shared" si="126"/>
        <v/>
      </c>
      <c r="M1611" s="65" t="str">
        <f t="shared" ca="1" si="127"/>
        <v/>
      </c>
      <c r="N1611" s="74" t="str">
        <f>IF($C1611="","",IF($C1611="TANIMSIZ MÜŞTERİ","—",INDEX(MUSTERILER!$C$7:$C$156,MATCH($C1611,MUSTERILER!$B$7:$B$156,0))))</f>
        <v/>
      </c>
      <c r="O1611" s="2"/>
      <c r="P1611" s="2"/>
      <c r="Q1611" s="1" t="str">
        <f>IF($D1611="","",$C1611&amp;"|"&amp;COUNTIFS($C$7:$C1611,$C1611))</f>
        <v/>
      </c>
      <c r="R1611" s="1" t="str">
        <f t="shared" si="128"/>
        <v/>
      </c>
      <c r="S1611" s="1" t="str">
        <f t="shared" si="129"/>
        <v/>
      </c>
      <c r="T1611" s="1">
        <f>IF($E1611="",0,SUMPRODUCT((AY_SONU!$O$7:$O$42="Evet")*(AY_SONU!$B$7:$B$42=DATE(YEAR($E1611),MONTH($E1611),1))))</f>
        <v>0</v>
      </c>
    </row>
    <row r="1612" spans="1:20" ht="18" customHeight="1" x14ac:dyDescent="0.3">
      <c r="A1612" s="2"/>
      <c r="B1612" s="65" t="str">
        <f t="shared" si="125"/>
        <v/>
      </c>
      <c r="C1612" s="65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66"/>
      <c r="F1612" s="67"/>
      <c r="G1612" s="60"/>
      <c r="H1612" s="60"/>
      <c r="I1612" s="61"/>
      <c r="J1612" s="61"/>
      <c r="K1612" s="61"/>
      <c r="L1612" s="73" t="str">
        <f t="shared" si="126"/>
        <v/>
      </c>
      <c r="M1612" s="65" t="str">
        <f t="shared" ca="1" si="127"/>
        <v/>
      </c>
      <c r="N1612" s="74" t="str">
        <f>IF($C1612="","",IF($C1612="TANIMSIZ MÜŞTERİ","—",INDEX(MUSTERILER!$C$7:$C$156,MATCH($C1612,MUSTERILER!$B$7:$B$156,0))))</f>
        <v/>
      </c>
      <c r="O1612" s="2"/>
      <c r="P1612" s="2"/>
      <c r="Q1612" s="1" t="str">
        <f>IF($D1612="","",$C1612&amp;"|"&amp;COUNTIFS($C$7:$C1612,$C1612))</f>
        <v/>
      </c>
      <c r="R1612" s="1" t="str">
        <f t="shared" si="128"/>
        <v/>
      </c>
      <c r="S1612" s="1" t="str">
        <f t="shared" si="129"/>
        <v/>
      </c>
      <c r="T1612" s="1">
        <f>IF($E1612="",0,SUMPRODUCT((AY_SONU!$O$7:$O$42="Evet")*(AY_SONU!$B$7:$B$42=DATE(YEAR($E1612),MONTH($E1612),1))))</f>
        <v>0</v>
      </c>
    </row>
    <row r="1613" spans="1:20" ht="18" customHeight="1" x14ac:dyDescent="0.3">
      <c r="A1613" s="2"/>
      <c r="B1613" s="65" t="str">
        <f t="shared" si="125"/>
        <v/>
      </c>
      <c r="C1613" s="65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66"/>
      <c r="F1613" s="67"/>
      <c r="G1613" s="60"/>
      <c r="H1613" s="60"/>
      <c r="I1613" s="61"/>
      <c r="J1613" s="61"/>
      <c r="K1613" s="61"/>
      <c r="L1613" s="73" t="str">
        <f t="shared" si="126"/>
        <v/>
      </c>
      <c r="M1613" s="65" t="str">
        <f t="shared" ca="1" si="127"/>
        <v/>
      </c>
      <c r="N1613" s="74" t="str">
        <f>IF($C1613="","",IF($C1613="TANIMSIZ MÜŞTERİ","—",INDEX(MUSTERILER!$C$7:$C$156,MATCH($C1613,MUSTERILER!$B$7:$B$156,0))))</f>
        <v/>
      </c>
      <c r="O1613" s="2"/>
      <c r="P1613" s="2"/>
      <c r="Q1613" s="1" t="str">
        <f>IF($D1613="","",$C1613&amp;"|"&amp;COUNTIFS($C$7:$C1613,$C1613))</f>
        <v/>
      </c>
      <c r="R1613" s="1" t="str">
        <f t="shared" si="128"/>
        <v/>
      </c>
      <c r="S1613" s="1" t="str">
        <f t="shared" si="129"/>
        <v/>
      </c>
      <c r="T1613" s="1">
        <f>IF($E1613="",0,SUMPRODUCT((AY_SONU!$O$7:$O$42="Evet")*(AY_SONU!$B$7:$B$42=DATE(YEAR($E1613),MONTH($E1613),1))))</f>
        <v>0</v>
      </c>
    </row>
    <row r="1614" spans="1:20" ht="18" customHeight="1" x14ac:dyDescent="0.3">
      <c r="A1614" s="2"/>
      <c r="B1614" s="65" t="str">
        <f t="shared" si="125"/>
        <v/>
      </c>
      <c r="C1614" s="65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66"/>
      <c r="F1614" s="67"/>
      <c r="G1614" s="60"/>
      <c r="H1614" s="60"/>
      <c r="I1614" s="61"/>
      <c r="J1614" s="61"/>
      <c r="K1614" s="61"/>
      <c r="L1614" s="73" t="str">
        <f t="shared" si="126"/>
        <v/>
      </c>
      <c r="M1614" s="65" t="str">
        <f t="shared" ca="1" si="127"/>
        <v/>
      </c>
      <c r="N1614" s="74" t="str">
        <f>IF($C1614="","",IF($C1614="TANIMSIZ MÜŞTERİ","—",INDEX(MUSTERILER!$C$7:$C$156,MATCH($C1614,MUSTERILER!$B$7:$B$156,0))))</f>
        <v/>
      </c>
      <c r="O1614" s="2"/>
      <c r="P1614" s="2"/>
      <c r="Q1614" s="1" t="str">
        <f>IF($D1614="","",$C1614&amp;"|"&amp;COUNTIFS($C$7:$C1614,$C1614))</f>
        <v/>
      </c>
      <c r="R1614" s="1" t="str">
        <f t="shared" si="128"/>
        <v/>
      </c>
      <c r="S1614" s="1" t="str">
        <f t="shared" si="129"/>
        <v/>
      </c>
      <c r="T1614" s="1">
        <f>IF($E1614="",0,SUMPRODUCT((AY_SONU!$O$7:$O$42="Evet")*(AY_SONU!$B$7:$B$42=DATE(YEAR($E1614),MONTH($E1614),1))))</f>
        <v>0</v>
      </c>
    </row>
    <row r="1615" spans="1:20" ht="18" customHeight="1" x14ac:dyDescent="0.3">
      <c r="A1615" s="2"/>
      <c r="B1615" s="65" t="str">
        <f t="shared" si="125"/>
        <v/>
      </c>
      <c r="C1615" s="65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66"/>
      <c r="F1615" s="67"/>
      <c r="G1615" s="60"/>
      <c r="H1615" s="60"/>
      <c r="I1615" s="61"/>
      <c r="J1615" s="61"/>
      <c r="K1615" s="61"/>
      <c r="L1615" s="73" t="str">
        <f t="shared" si="126"/>
        <v/>
      </c>
      <c r="M1615" s="65" t="str">
        <f t="shared" ca="1" si="127"/>
        <v/>
      </c>
      <c r="N1615" s="74" t="str">
        <f>IF($C1615="","",IF($C1615="TANIMSIZ MÜŞTERİ","—",INDEX(MUSTERILER!$C$7:$C$156,MATCH($C1615,MUSTERILER!$B$7:$B$156,0))))</f>
        <v/>
      </c>
      <c r="O1615" s="2"/>
      <c r="P1615" s="2"/>
      <c r="Q1615" s="1" t="str">
        <f>IF($D1615="","",$C1615&amp;"|"&amp;COUNTIFS($C$7:$C1615,$C1615))</f>
        <v/>
      </c>
      <c r="R1615" s="1" t="str">
        <f t="shared" si="128"/>
        <v/>
      </c>
      <c r="S1615" s="1" t="str">
        <f t="shared" si="129"/>
        <v/>
      </c>
      <c r="T1615" s="1">
        <f>IF($E1615="",0,SUMPRODUCT((AY_SONU!$O$7:$O$42="Evet")*(AY_SONU!$B$7:$B$42=DATE(YEAR($E1615),MONTH($E1615),1))))</f>
        <v>0</v>
      </c>
    </row>
    <row r="1616" spans="1:20" ht="18" customHeight="1" x14ac:dyDescent="0.3">
      <c r="A1616" s="2"/>
      <c r="B1616" s="65" t="str">
        <f t="shared" si="125"/>
        <v/>
      </c>
      <c r="C1616" s="65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66"/>
      <c r="F1616" s="67"/>
      <c r="G1616" s="60"/>
      <c r="H1616" s="60"/>
      <c r="I1616" s="61"/>
      <c r="J1616" s="61"/>
      <c r="K1616" s="61"/>
      <c r="L1616" s="73" t="str">
        <f t="shared" si="126"/>
        <v/>
      </c>
      <c r="M1616" s="65" t="str">
        <f t="shared" ca="1" si="127"/>
        <v/>
      </c>
      <c r="N1616" s="74" t="str">
        <f>IF($C1616="","",IF($C1616="TANIMSIZ MÜŞTERİ","—",INDEX(MUSTERILER!$C$7:$C$156,MATCH($C1616,MUSTERILER!$B$7:$B$156,0))))</f>
        <v/>
      </c>
      <c r="O1616" s="2"/>
      <c r="P1616" s="2"/>
      <c r="Q1616" s="1" t="str">
        <f>IF($D1616="","",$C1616&amp;"|"&amp;COUNTIFS($C$7:$C1616,$C1616))</f>
        <v/>
      </c>
      <c r="R1616" s="1" t="str">
        <f t="shared" si="128"/>
        <v/>
      </c>
      <c r="S1616" s="1" t="str">
        <f t="shared" si="129"/>
        <v/>
      </c>
      <c r="T1616" s="1">
        <f>IF($E1616="",0,SUMPRODUCT((AY_SONU!$O$7:$O$42="Evet")*(AY_SONU!$B$7:$B$42=DATE(YEAR($E1616),MONTH($E1616),1))))</f>
        <v>0</v>
      </c>
    </row>
    <row r="1617" spans="1:20" ht="18" customHeight="1" x14ac:dyDescent="0.3">
      <c r="A1617" s="2"/>
      <c r="B1617" s="65" t="str">
        <f t="shared" si="125"/>
        <v/>
      </c>
      <c r="C1617" s="65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66"/>
      <c r="F1617" s="67"/>
      <c r="G1617" s="60"/>
      <c r="H1617" s="60"/>
      <c r="I1617" s="61"/>
      <c r="J1617" s="61"/>
      <c r="K1617" s="61"/>
      <c r="L1617" s="73" t="str">
        <f t="shared" si="126"/>
        <v/>
      </c>
      <c r="M1617" s="65" t="str">
        <f t="shared" ca="1" si="127"/>
        <v/>
      </c>
      <c r="N1617" s="74" t="str">
        <f>IF($C1617="","",IF($C1617="TANIMSIZ MÜŞTERİ","—",INDEX(MUSTERILER!$C$7:$C$156,MATCH($C1617,MUSTERILER!$B$7:$B$156,0))))</f>
        <v/>
      </c>
      <c r="O1617" s="2"/>
      <c r="P1617" s="2"/>
      <c r="Q1617" s="1" t="str">
        <f>IF($D1617="","",$C1617&amp;"|"&amp;COUNTIFS($C$7:$C1617,$C1617))</f>
        <v/>
      </c>
      <c r="R1617" s="1" t="str">
        <f t="shared" si="128"/>
        <v/>
      </c>
      <c r="S1617" s="1" t="str">
        <f t="shared" si="129"/>
        <v/>
      </c>
      <c r="T1617" s="1">
        <f>IF($E1617="",0,SUMPRODUCT((AY_SONU!$O$7:$O$42="Evet")*(AY_SONU!$B$7:$B$42=DATE(YEAR($E1617),MONTH($E1617),1))))</f>
        <v>0</v>
      </c>
    </row>
    <row r="1618" spans="1:20" ht="18" customHeight="1" x14ac:dyDescent="0.3">
      <c r="A1618" s="2"/>
      <c r="B1618" s="65" t="str">
        <f t="shared" si="125"/>
        <v/>
      </c>
      <c r="C1618" s="65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66"/>
      <c r="F1618" s="67"/>
      <c r="G1618" s="60"/>
      <c r="H1618" s="60"/>
      <c r="I1618" s="61"/>
      <c r="J1618" s="61"/>
      <c r="K1618" s="61"/>
      <c r="L1618" s="73" t="str">
        <f t="shared" si="126"/>
        <v/>
      </c>
      <c r="M1618" s="65" t="str">
        <f t="shared" ca="1" si="127"/>
        <v/>
      </c>
      <c r="N1618" s="74" t="str">
        <f>IF($C1618="","",IF($C1618="TANIMSIZ MÜŞTERİ","—",INDEX(MUSTERILER!$C$7:$C$156,MATCH($C1618,MUSTERILER!$B$7:$B$156,0))))</f>
        <v/>
      </c>
      <c r="O1618" s="2"/>
      <c r="P1618" s="2"/>
      <c r="Q1618" s="1" t="str">
        <f>IF($D1618="","",$C1618&amp;"|"&amp;COUNTIFS($C$7:$C1618,$C1618))</f>
        <v/>
      </c>
      <c r="R1618" s="1" t="str">
        <f t="shared" si="128"/>
        <v/>
      </c>
      <c r="S1618" s="1" t="str">
        <f t="shared" si="129"/>
        <v/>
      </c>
      <c r="T1618" s="1">
        <f>IF($E1618="",0,SUMPRODUCT((AY_SONU!$O$7:$O$42="Evet")*(AY_SONU!$B$7:$B$42=DATE(YEAR($E1618),MONTH($E1618),1))))</f>
        <v>0</v>
      </c>
    </row>
    <row r="1619" spans="1:20" ht="18" customHeight="1" x14ac:dyDescent="0.3">
      <c r="A1619" s="2"/>
      <c r="B1619" s="65" t="str">
        <f t="shared" si="125"/>
        <v/>
      </c>
      <c r="C1619" s="65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66"/>
      <c r="F1619" s="67"/>
      <c r="G1619" s="60"/>
      <c r="H1619" s="60"/>
      <c r="I1619" s="61"/>
      <c r="J1619" s="61"/>
      <c r="K1619" s="61"/>
      <c r="L1619" s="73" t="str">
        <f t="shared" si="126"/>
        <v/>
      </c>
      <c r="M1619" s="65" t="str">
        <f t="shared" ca="1" si="127"/>
        <v/>
      </c>
      <c r="N1619" s="74" t="str">
        <f>IF($C1619="","",IF($C1619="TANIMSIZ MÜŞTERİ","—",INDEX(MUSTERILER!$C$7:$C$156,MATCH($C1619,MUSTERILER!$B$7:$B$156,0))))</f>
        <v/>
      </c>
      <c r="O1619" s="2"/>
      <c r="P1619" s="2"/>
      <c r="Q1619" s="1" t="str">
        <f>IF($D1619="","",$C1619&amp;"|"&amp;COUNTIFS($C$7:$C1619,$C1619))</f>
        <v/>
      </c>
      <c r="R1619" s="1" t="str">
        <f t="shared" si="128"/>
        <v/>
      </c>
      <c r="S1619" s="1" t="str">
        <f t="shared" si="129"/>
        <v/>
      </c>
      <c r="T1619" s="1">
        <f>IF($E1619="",0,SUMPRODUCT((AY_SONU!$O$7:$O$42="Evet")*(AY_SONU!$B$7:$B$42=DATE(YEAR($E1619),MONTH($E1619),1))))</f>
        <v>0</v>
      </c>
    </row>
    <row r="1620" spans="1:20" ht="18" customHeight="1" x14ac:dyDescent="0.3">
      <c r="A1620" s="2"/>
      <c r="B1620" s="65" t="str">
        <f t="shared" si="125"/>
        <v/>
      </c>
      <c r="C1620" s="65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66"/>
      <c r="F1620" s="67"/>
      <c r="G1620" s="60"/>
      <c r="H1620" s="60"/>
      <c r="I1620" s="61"/>
      <c r="J1620" s="61"/>
      <c r="K1620" s="61"/>
      <c r="L1620" s="73" t="str">
        <f t="shared" si="126"/>
        <v/>
      </c>
      <c r="M1620" s="65" t="str">
        <f t="shared" ca="1" si="127"/>
        <v/>
      </c>
      <c r="N1620" s="74" t="str">
        <f>IF($C1620="","",IF($C1620="TANIMSIZ MÜŞTERİ","—",INDEX(MUSTERILER!$C$7:$C$156,MATCH($C1620,MUSTERILER!$B$7:$B$156,0))))</f>
        <v/>
      </c>
      <c r="O1620" s="2"/>
      <c r="P1620" s="2"/>
      <c r="Q1620" s="1" t="str">
        <f>IF($D1620="","",$C1620&amp;"|"&amp;COUNTIFS($C$7:$C1620,$C1620))</f>
        <v/>
      </c>
      <c r="R1620" s="1" t="str">
        <f t="shared" si="128"/>
        <v/>
      </c>
      <c r="S1620" s="1" t="str">
        <f t="shared" si="129"/>
        <v/>
      </c>
      <c r="T1620" s="1">
        <f>IF($E1620="",0,SUMPRODUCT((AY_SONU!$O$7:$O$42="Evet")*(AY_SONU!$B$7:$B$42=DATE(YEAR($E1620),MONTH($E1620),1))))</f>
        <v>0</v>
      </c>
    </row>
    <row r="1621" spans="1:20" ht="18" customHeight="1" x14ac:dyDescent="0.3">
      <c r="A1621" s="2"/>
      <c r="B1621" s="65" t="str">
        <f t="shared" si="125"/>
        <v/>
      </c>
      <c r="C1621" s="65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66"/>
      <c r="F1621" s="67"/>
      <c r="G1621" s="60"/>
      <c r="H1621" s="60"/>
      <c r="I1621" s="61"/>
      <c r="J1621" s="61"/>
      <c r="K1621" s="61"/>
      <c r="L1621" s="73" t="str">
        <f t="shared" si="126"/>
        <v/>
      </c>
      <c r="M1621" s="65" t="str">
        <f t="shared" ca="1" si="127"/>
        <v/>
      </c>
      <c r="N1621" s="74" t="str">
        <f>IF($C1621="","",IF($C1621="TANIMSIZ MÜŞTERİ","—",INDEX(MUSTERILER!$C$7:$C$156,MATCH($C1621,MUSTERILER!$B$7:$B$156,0))))</f>
        <v/>
      </c>
      <c r="O1621" s="2"/>
      <c r="P1621" s="2"/>
      <c r="Q1621" s="1" t="str">
        <f>IF($D1621="","",$C1621&amp;"|"&amp;COUNTIFS($C$7:$C1621,$C1621))</f>
        <v/>
      </c>
      <c r="R1621" s="1" t="str">
        <f t="shared" si="128"/>
        <v/>
      </c>
      <c r="S1621" s="1" t="str">
        <f t="shared" si="129"/>
        <v/>
      </c>
      <c r="T1621" s="1">
        <f>IF($E1621="",0,SUMPRODUCT((AY_SONU!$O$7:$O$42="Evet")*(AY_SONU!$B$7:$B$42=DATE(YEAR($E1621),MONTH($E1621),1))))</f>
        <v>0</v>
      </c>
    </row>
    <row r="1622" spans="1:20" ht="18" customHeight="1" x14ac:dyDescent="0.3">
      <c r="A1622" s="2"/>
      <c r="B1622" s="65" t="str">
        <f t="shared" si="125"/>
        <v/>
      </c>
      <c r="C1622" s="65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66"/>
      <c r="F1622" s="67"/>
      <c r="G1622" s="60"/>
      <c r="H1622" s="60"/>
      <c r="I1622" s="61"/>
      <c r="J1622" s="61"/>
      <c r="K1622" s="61"/>
      <c r="L1622" s="73" t="str">
        <f t="shared" si="126"/>
        <v/>
      </c>
      <c r="M1622" s="65" t="str">
        <f t="shared" ca="1" si="127"/>
        <v/>
      </c>
      <c r="N1622" s="74" t="str">
        <f>IF($C1622="","",IF($C1622="TANIMSIZ MÜŞTERİ","—",INDEX(MUSTERILER!$C$7:$C$156,MATCH($C1622,MUSTERILER!$B$7:$B$156,0))))</f>
        <v/>
      </c>
      <c r="O1622" s="2"/>
      <c r="P1622" s="2"/>
      <c r="Q1622" s="1" t="str">
        <f>IF($D1622="","",$C1622&amp;"|"&amp;COUNTIFS($C$7:$C1622,$C1622))</f>
        <v/>
      </c>
      <c r="R1622" s="1" t="str">
        <f t="shared" si="128"/>
        <v/>
      </c>
      <c r="S1622" s="1" t="str">
        <f t="shared" si="129"/>
        <v/>
      </c>
      <c r="T1622" s="1">
        <f>IF($E1622="",0,SUMPRODUCT((AY_SONU!$O$7:$O$42="Evet")*(AY_SONU!$B$7:$B$42=DATE(YEAR($E1622),MONTH($E1622),1))))</f>
        <v>0</v>
      </c>
    </row>
    <row r="1623" spans="1:20" ht="18" customHeight="1" x14ac:dyDescent="0.3">
      <c r="A1623" s="2"/>
      <c r="B1623" s="65" t="str">
        <f t="shared" si="125"/>
        <v/>
      </c>
      <c r="C1623" s="65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66"/>
      <c r="F1623" s="67"/>
      <c r="G1623" s="60"/>
      <c r="H1623" s="60"/>
      <c r="I1623" s="61"/>
      <c r="J1623" s="61"/>
      <c r="K1623" s="61"/>
      <c r="L1623" s="73" t="str">
        <f t="shared" si="126"/>
        <v/>
      </c>
      <c r="M1623" s="65" t="str">
        <f t="shared" ca="1" si="127"/>
        <v/>
      </c>
      <c r="N1623" s="74" t="str">
        <f>IF($C1623="","",IF($C1623="TANIMSIZ MÜŞTERİ","—",INDEX(MUSTERILER!$C$7:$C$156,MATCH($C1623,MUSTERILER!$B$7:$B$156,0))))</f>
        <v/>
      </c>
      <c r="O1623" s="2"/>
      <c r="P1623" s="2"/>
      <c r="Q1623" s="1" t="str">
        <f>IF($D1623="","",$C1623&amp;"|"&amp;COUNTIFS($C$7:$C1623,$C1623))</f>
        <v/>
      </c>
      <c r="R1623" s="1" t="str">
        <f t="shared" si="128"/>
        <v/>
      </c>
      <c r="S1623" s="1" t="str">
        <f t="shared" si="129"/>
        <v/>
      </c>
      <c r="T1623" s="1">
        <f>IF($E1623="",0,SUMPRODUCT((AY_SONU!$O$7:$O$42="Evet")*(AY_SONU!$B$7:$B$42=DATE(YEAR($E1623),MONTH($E1623),1))))</f>
        <v>0</v>
      </c>
    </row>
    <row r="1624" spans="1:20" ht="18" customHeight="1" x14ac:dyDescent="0.3">
      <c r="A1624" s="2"/>
      <c r="B1624" s="65" t="str">
        <f t="shared" si="125"/>
        <v/>
      </c>
      <c r="C1624" s="65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66"/>
      <c r="F1624" s="67"/>
      <c r="G1624" s="60"/>
      <c r="H1624" s="60"/>
      <c r="I1624" s="61"/>
      <c r="J1624" s="61"/>
      <c r="K1624" s="61"/>
      <c r="L1624" s="73" t="str">
        <f t="shared" si="126"/>
        <v/>
      </c>
      <c r="M1624" s="65" t="str">
        <f t="shared" ca="1" si="127"/>
        <v/>
      </c>
      <c r="N1624" s="74" t="str">
        <f>IF($C1624="","",IF($C1624="TANIMSIZ MÜŞTERİ","—",INDEX(MUSTERILER!$C$7:$C$156,MATCH($C1624,MUSTERILER!$B$7:$B$156,0))))</f>
        <v/>
      </c>
      <c r="O1624" s="2"/>
      <c r="P1624" s="2"/>
      <c r="Q1624" s="1" t="str">
        <f>IF($D1624="","",$C1624&amp;"|"&amp;COUNTIFS($C$7:$C1624,$C1624))</f>
        <v/>
      </c>
      <c r="R1624" s="1" t="str">
        <f t="shared" si="128"/>
        <v/>
      </c>
      <c r="S1624" s="1" t="str">
        <f t="shared" si="129"/>
        <v/>
      </c>
      <c r="T1624" s="1">
        <f>IF($E1624="",0,SUMPRODUCT((AY_SONU!$O$7:$O$42="Evet")*(AY_SONU!$B$7:$B$42=DATE(YEAR($E1624),MONTH($E1624),1))))</f>
        <v>0</v>
      </c>
    </row>
    <row r="1625" spans="1:20" ht="18" customHeight="1" x14ac:dyDescent="0.3">
      <c r="A1625" s="2"/>
      <c r="B1625" s="65" t="str">
        <f t="shared" si="125"/>
        <v/>
      </c>
      <c r="C1625" s="65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66"/>
      <c r="F1625" s="67"/>
      <c r="G1625" s="60"/>
      <c r="H1625" s="60"/>
      <c r="I1625" s="61"/>
      <c r="J1625" s="61"/>
      <c r="K1625" s="61"/>
      <c r="L1625" s="73" t="str">
        <f t="shared" si="126"/>
        <v/>
      </c>
      <c r="M1625" s="65" t="str">
        <f t="shared" ca="1" si="127"/>
        <v/>
      </c>
      <c r="N1625" s="74" t="str">
        <f>IF($C1625="","",IF($C1625="TANIMSIZ MÜŞTERİ","—",INDEX(MUSTERILER!$C$7:$C$156,MATCH($C1625,MUSTERILER!$B$7:$B$156,0))))</f>
        <v/>
      </c>
      <c r="O1625" s="2"/>
      <c r="P1625" s="2"/>
      <c r="Q1625" s="1" t="str">
        <f>IF($D1625="","",$C1625&amp;"|"&amp;COUNTIFS($C$7:$C1625,$C1625))</f>
        <v/>
      </c>
      <c r="R1625" s="1" t="str">
        <f t="shared" si="128"/>
        <v/>
      </c>
      <c r="S1625" s="1" t="str">
        <f t="shared" si="129"/>
        <v/>
      </c>
      <c r="T1625" s="1">
        <f>IF($E1625="",0,SUMPRODUCT((AY_SONU!$O$7:$O$42="Evet")*(AY_SONU!$B$7:$B$42=DATE(YEAR($E1625),MONTH($E1625),1))))</f>
        <v>0</v>
      </c>
    </row>
    <row r="1626" spans="1:20" ht="18" customHeight="1" x14ac:dyDescent="0.3">
      <c r="A1626" s="2"/>
      <c r="B1626" s="65" t="str">
        <f t="shared" si="125"/>
        <v/>
      </c>
      <c r="C1626" s="65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66"/>
      <c r="F1626" s="67"/>
      <c r="G1626" s="60"/>
      <c r="H1626" s="60"/>
      <c r="I1626" s="61"/>
      <c r="J1626" s="61"/>
      <c r="K1626" s="61"/>
      <c r="L1626" s="73" t="str">
        <f t="shared" si="126"/>
        <v/>
      </c>
      <c r="M1626" s="65" t="str">
        <f t="shared" ca="1" si="127"/>
        <v/>
      </c>
      <c r="N1626" s="74" t="str">
        <f>IF($C1626="","",IF($C1626="TANIMSIZ MÜŞTERİ","—",INDEX(MUSTERILER!$C$7:$C$156,MATCH($C1626,MUSTERILER!$B$7:$B$156,0))))</f>
        <v/>
      </c>
      <c r="O1626" s="2"/>
      <c r="P1626" s="2"/>
      <c r="Q1626" s="1" t="str">
        <f>IF($D1626="","",$C1626&amp;"|"&amp;COUNTIFS($C$7:$C1626,$C1626))</f>
        <v/>
      </c>
      <c r="R1626" s="1" t="str">
        <f t="shared" si="128"/>
        <v/>
      </c>
      <c r="S1626" s="1" t="str">
        <f t="shared" si="129"/>
        <v/>
      </c>
      <c r="T1626" s="1">
        <f>IF($E1626="",0,SUMPRODUCT((AY_SONU!$O$7:$O$42="Evet")*(AY_SONU!$B$7:$B$42=DATE(YEAR($E1626),MONTH($E1626),1))))</f>
        <v>0</v>
      </c>
    </row>
    <row r="1627" spans="1:20" ht="18" customHeight="1" x14ac:dyDescent="0.3">
      <c r="A1627" s="2"/>
      <c r="B1627" s="65" t="str">
        <f t="shared" si="125"/>
        <v/>
      </c>
      <c r="C1627" s="65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66"/>
      <c r="F1627" s="67"/>
      <c r="G1627" s="60"/>
      <c r="H1627" s="60"/>
      <c r="I1627" s="61"/>
      <c r="J1627" s="61"/>
      <c r="K1627" s="61"/>
      <c r="L1627" s="73" t="str">
        <f t="shared" si="126"/>
        <v/>
      </c>
      <c r="M1627" s="65" t="str">
        <f t="shared" ca="1" si="127"/>
        <v/>
      </c>
      <c r="N1627" s="74" t="str">
        <f>IF($C1627="","",IF($C1627="TANIMSIZ MÜŞTERİ","—",INDEX(MUSTERILER!$C$7:$C$156,MATCH($C1627,MUSTERILER!$B$7:$B$156,0))))</f>
        <v/>
      </c>
      <c r="O1627" s="2"/>
      <c r="P1627" s="2"/>
      <c r="Q1627" s="1" t="str">
        <f>IF($D1627="","",$C1627&amp;"|"&amp;COUNTIFS($C$7:$C1627,$C1627))</f>
        <v/>
      </c>
      <c r="R1627" s="1" t="str">
        <f t="shared" si="128"/>
        <v/>
      </c>
      <c r="S1627" s="1" t="str">
        <f t="shared" si="129"/>
        <v/>
      </c>
      <c r="T1627" s="1">
        <f>IF($E1627="",0,SUMPRODUCT((AY_SONU!$O$7:$O$42="Evet")*(AY_SONU!$B$7:$B$42=DATE(YEAR($E1627),MONTH($E1627),1))))</f>
        <v>0</v>
      </c>
    </row>
    <row r="1628" spans="1:20" ht="18" customHeight="1" x14ac:dyDescent="0.3">
      <c r="A1628" s="2"/>
      <c r="B1628" s="65" t="str">
        <f t="shared" si="125"/>
        <v/>
      </c>
      <c r="C1628" s="65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66"/>
      <c r="F1628" s="67"/>
      <c r="G1628" s="60"/>
      <c r="H1628" s="60"/>
      <c r="I1628" s="61"/>
      <c r="J1628" s="61"/>
      <c r="K1628" s="61"/>
      <c r="L1628" s="73" t="str">
        <f t="shared" si="126"/>
        <v/>
      </c>
      <c r="M1628" s="65" t="str">
        <f t="shared" ca="1" si="127"/>
        <v/>
      </c>
      <c r="N1628" s="74" t="str">
        <f>IF($C1628="","",IF($C1628="TANIMSIZ MÜŞTERİ","—",INDEX(MUSTERILER!$C$7:$C$156,MATCH($C1628,MUSTERILER!$B$7:$B$156,0))))</f>
        <v/>
      </c>
      <c r="O1628" s="2"/>
      <c r="P1628" s="2"/>
      <c r="Q1628" s="1" t="str">
        <f>IF($D1628="","",$C1628&amp;"|"&amp;COUNTIFS($C$7:$C1628,$C1628))</f>
        <v/>
      </c>
      <c r="R1628" s="1" t="str">
        <f t="shared" si="128"/>
        <v/>
      </c>
      <c r="S1628" s="1" t="str">
        <f t="shared" si="129"/>
        <v/>
      </c>
      <c r="T1628" s="1">
        <f>IF($E1628="",0,SUMPRODUCT((AY_SONU!$O$7:$O$42="Evet")*(AY_SONU!$B$7:$B$42=DATE(YEAR($E1628),MONTH($E1628),1))))</f>
        <v>0</v>
      </c>
    </row>
    <row r="1629" spans="1:20" ht="18" customHeight="1" x14ac:dyDescent="0.3">
      <c r="A1629" s="2"/>
      <c r="B1629" s="65" t="str">
        <f t="shared" si="125"/>
        <v/>
      </c>
      <c r="C1629" s="65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66"/>
      <c r="F1629" s="67"/>
      <c r="G1629" s="60"/>
      <c r="H1629" s="60"/>
      <c r="I1629" s="61"/>
      <c r="J1629" s="61"/>
      <c r="K1629" s="61"/>
      <c r="L1629" s="73" t="str">
        <f t="shared" si="126"/>
        <v/>
      </c>
      <c r="M1629" s="65" t="str">
        <f t="shared" ca="1" si="127"/>
        <v/>
      </c>
      <c r="N1629" s="74" t="str">
        <f>IF($C1629="","",IF($C1629="TANIMSIZ MÜŞTERİ","—",INDEX(MUSTERILER!$C$7:$C$156,MATCH($C1629,MUSTERILER!$B$7:$B$156,0))))</f>
        <v/>
      </c>
      <c r="O1629" s="2"/>
      <c r="P1629" s="2"/>
      <c r="Q1629" s="1" t="str">
        <f>IF($D1629="","",$C1629&amp;"|"&amp;COUNTIFS($C$7:$C1629,$C1629))</f>
        <v/>
      </c>
      <c r="R1629" s="1" t="str">
        <f t="shared" si="128"/>
        <v/>
      </c>
      <c r="S1629" s="1" t="str">
        <f t="shared" si="129"/>
        <v/>
      </c>
      <c r="T1629" s="1">
        <f>IF($E1629="",0,SUMPRODUCT((AY_SONU!$O$7:$O$42="Evet")*(AY_SONU!$B$7:$B$42=DATE(YEAR($E1629),MONTH($E1629),1))))</f>
        <v>0</v>
      </c>
    </row>
    <row r="1630" spans="1:20" ht="18" customHeight="1" x14ac:dyDescent="0.3">
      <c r="A1630" s="2"/>
      <c r="B1630" s="65" t="str">
        <f t="shared" si="125"/>
        <v/>
      </c>
      <c r="C1630" s="65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66"/>
      <c r="F1630" s="67"/>
      <c r="G1630" s="60"/>
      <c r="H1630" s="60"/>
      <c r="I1630" s="61"/>
      <c r="J1630" s="61"/>
      <c r="K1630" s="61"/>
      <c r="L1630" s="73" t="str">
        <f t="shared" si="126"/>
        <v/>
      </c>
      <c r="M1630" s="65" t="str">
        <f t="shared" ca="1" si="127"/>
        <v/>
      </c>
      <c r="N1630" s="74" t="str">
        <f>IF($C1630="","",IF($C1630="TANIMSIZ MÜŞTERİ","—",INDEX(MUSTERILER!$C$7:$C$156,MATCH($C1630,MUSTERILER!$B$7:$B$156,0))))</f>
        <v/>
      </c>
      <c r="O1630" s="2"/>
      <c r="P1630" s="2"/>
      <c r="Q1630" s="1" t="str">
        <f>IF($D1630="","",$C1630&amp;"|"&amp;COUNTIFS($C$7:$C1630,$C1630))</f>
        <v/>
      </c>
      <c r="R1630" s="1" t="str">
        <f t="shared" si="128"/>
        <v/>
      </c>
      <c r="S1630" s="1" t="str">
        <f t="shared" si="129"/>
        <v/>
      </c>
      <c r="T1630" s="1">
        <f>IF($E1630="",0,SUMPRODUCT((AY_SONU!$O$7:$O$42="Evet")*(AY_SONU!$B$7:$B$42=DATE(YEAR($E1630),MONTH($E1630),1))))</f>
        <v>0</v>
      </c>
    </row>
    <row r="1631" spans="1:20" ht="18" customHeight="1" x14ac:dyDescent="0.3">
      <c r="A1631" s="2"/>
      <c r="B1631" s="65" t="str">
        <f t="shared" si="125"/>
        <v/>
      </c>
      <c r="C1631" s="65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66"/>
      <c r="F1631" s="67"/>
      <c r="G1631" s="60"/>
      <c r="H1631" s="60"/>
      <c r="I1631" s="61"/>
      <c r="J1631" s="61"/>
      <c r="K1631" s="61"/>
      <c r="L1631" s="73" t="str">
        <f t="shared" si="126"/>
        <v/>
      </c>
      <c r="M1631" s="65" t="str">
        <f t="shared" ca="1" si="127"/>
        <v/>
      </c>
      <c r="N1631" s="74" t="str">
        <f>IF($C1631="","",IF($C1631="TANIMSIZ MÜŞTERİ","—",INDEX(MUSTERILER!$C$7:$C$156,MATCH($C1631,MUSTERILER!$B$7:$B$156,0))))</f>
        <v/>
      </c>
      <c r="O1631" s="2"/>
      <c r="P1631" s="2"/>
      <c r="Q1631" s="1" t="str">
        <f>IF($D1631="","",$C1631&amp;"|"&amp;COUNTIFS($C$7:$C1631,$C1631))</f>
        <v/>
      </c>
      <c r="R1631" s="1" t="str">
        <f t="shared" si="128"/>
        <v/>
      </c>
      <c r="S1631" s="1" t="str">
        <f t="shared" si="129"/>
        <v/>
      </c>
      <c r="T1631" s="1">
        <f>IF($E1631="",0,SUMPRODUCT((AY_SONU!$O$7:$O$42="Evet")*(AY_SONU!$B$7:$B$42=DATE(YEAR($E1631),MONTH($E1631),1))))</f>
        <v>0</v>
      </c>
    </row>
    <row r="1632" spans="1:20" ht="18" customHeight="1" x14ac:dyDescent="0.3">
      <c r="A1632" s="2"/>
      <c r="B1632" s="65" t="str">
        <f t="shared" si="125"/>
        <v/>
      </c>
      <c r="C1632" s="65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66"/>
      <c r="F1632" s="67"/>
      <c r="G1632" s="60"/>
      <c r="H1632" s="60"/>
      <c r="I1632" s="61"/>
      <c r="J1632" s="61"/>
      <c r="K1632" s="61"/>
      <c r="L1632" s="73" t="str">
        <f t="shared" si="126"/>
        <v/>
      </c>
      <c r="M1632" s="65" t="str">
        <f t="shared" ca="1" si="127"/>
        <v/>
      </c>
      <c r="N1632" s="74" t="str">
        <f>IF($C1632="","",IF($C1632="TANIMSIZ MÜŞTERİ","—",INDEX(MUSTERILER!$C$7:$C$156,MATCH($C1632,MUSTERILER!$B$7:$B$156,0))))</f>
        <v/>
      </c>
      <c r="O1632" s="2"/>
      <c r="P1632" s="2"/>
      <c r="Q1632" s="1" t="str">
        <f>IF($D1632="","",$C1632&amp;"|"&amp;COUNTIFS($C$7:$C1632,$C1632))</f>
        <v/>
      </c>
      <c r="R1632" s="1" t="str">
        <f t="shared" si="128"/>
        <v/>
      </c>
      <c r="S1632" s="1" t="str">
        <f t="shared" si="129"/>
        <v/>
      </c>
      <c r="T1632" s="1">
        <f>IF($E1632="",0,SUMPRODUCT((AY_SONU!$O$7:$O$42="Evet")*(AY_SONU!$B$7:$B$42=DATE(YEAR($E1632),MONTH($E1632),1))))</f>
        <v>0</v>
      </c>
    </row>
    <row r="1633" spans="1:20" ht="18" customHeight="1" x14ac:dyDescent="0.3">
      <c r="A1633" s="2"/>
      <c r="B1633" s="65" t="str">
        <f t="shared" si="125"/>
        <v/>
      </c>
      <c r="C1633" s="65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66"/>
      <c r="F1633" s="67"/>
      <c r="G1633" s="60"/>
      <c r="H1633" s="60"/>
      <c r="I1633" s="61"/>
      <c r="J1633" s="61"/>
      <c r="K1633" s="61"/>
      <c r="L1633" s="73" t="str">
        <f t="shared" si="126"/>
        <v/>
      </c>
      <c r="M1633" s="65" t="str">
        <f t="shared" ca="1" si="127"/>
        <v/>
      </c>
      <c r="N1633" s="74" t="str">
        <f>IF($C1633="","",IF($C1633="TANIMSIZ MÜŞTERİ","—",INDEX(MUSTERILER!$C$7:$C$156,MATCH($C1633,MUSTERILER!$B$7:$B$156,0))))</f>
        <v/>
      </c>
      <c r="O1633" s="2"/>
      <c r="P1633" s="2"/>
      <c r="Q1633" s="1" t="str">
        <f>IF($D1633="","",$C1633&amp;"|"&amp;COUNTIFS($C$7:$C1633,$C1633))</f>
        <v/>
      </c>
      <c r="R1633" s="1" t="str">
        <f t="shared" si="128"/>
        <v/>
      </c>
      <c r="S1633" s="1" t="str">
        <f t="shared" si="129"/>
        <v/>
      </c>
      <c r="T1633" s="1">
        <f>IF($E1633="",0,SUMPRODUCT((AY_SONU!$O$7:$O$42="Evet")*(AY_SONU!$B$7:$B$42=DATE(YEAR($E1633),MONTH($E1633),1))))</f>
        <v>0</v>
      </c>
    </row>
    <row r="1634" spans="1:20" ht="18" customHeight="1" x14ac:dyDescent="0.3">
      <c r="A1634" s="2"/>
      <c r="B1634" s="65" t="str">
        <f t="shared" si="125"/>
        <v/>
      </c>
      <c r="C1634" s="65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66"/>
      <c r="F1634" s="67"/>
      <c r="G1634" s="60"/>
      <c r="H1634" s="60"/>
      <c r="I1634" s="61"/>
      <c r="J1634" s="61"/>
      <c r="K1634" s="61"/>
      <c r="L1634" s="73" t="str">
        <f t="shared" si="126"/>
        <v/>
      </c>
      <c r="M1634" s="65" t="str">
        <f t="shared" ca="1" si="127"/>
        <v/>
      </c>
      <c r="N1634" s="74" t="str">
        <f>IF($C1634="","",IF($C1634="TANIMSIZ MÜŞTERİ","—",INDEX(MUSTERILER!$C$7:$C$156,MATCH($C1634,MUSTERILER!$B$7:$B$156,0))))</f>
        <v/>
      </c>
      <c r="O1634" s="2"/>
      <c r="P1634" s="2"/>
      <c r="Q1634" s="1" t="str">
        <f>IF($D1634="","",$C1634&amp;"|"&amp;COUNTIFS($C$7:$C1634,$C1634))</f>
        <v/>
      </c>
      <c r="R1634" s="1" t="str">
        <f t="shared" si="128"/>
        <v/>
      </c>
      <c r="S1634" s="1" t="str">
        <f t="shared" si="129"/>
        <v/>
      </c>
      <c r="T1634" s="1">
        <f>IF($E1634="",0,SUMPRODUCT((AY_SONU!$O$7:$O$42="Evet")*(AY_SONU!$B$7:$B$42=DATE(YEAR($E1634),MONTH($E1634),1))))</f>
        <v>0</v>
      </c>
    </row>
    <row r="1635" spans="1:20" ht="18" customHeight="1" x14ac:dyDescent="0.3">
      <c r="A1635" s="2"/>
      <c r="B1635" s="65" t="str">
        <f t="shared" si="125"/>
        <v/>
      </c>
      <c r="C1635" s="65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66"/>
      <c r="F1635" s="67"/>
      <c r="G1635" s="60"/>
      <c r="H1635" s="60"/>
      <c r="I1635" s="61"/>
      <c r="J1635" s="61"/>
      <c r="K1635" s="61"/>
      <c r="L1635" s="73" t="str">
        <f t="shared" si="126"/>
        <v/>
      </c>
      <c r="M1635" s="65" t="str">
        <f t="shared" ca="1" si="127"/>
        <v/>
      </c>
      <c r="N1635" s="74" t="str">
        <f>IF($C1635="","",IF($C1635="TANIMSIZ MÜŞTERİ","—",INDEX(MUSTERILER!$C$7:$C$156,MATCH($C1635,MUSTERILER!$B$7:$B$156,0))))</f>
        <v/>
      </c>
      <c r="O1635" s="2"/>
      <c r="P1635" s="2"/>
      <c r="Q1635" s="1" t="str">
        <f>IF($D1635="","",$C1635&amp;"|"&amp;COUNTIFS($C$7:$C1635,$C1635))</f>
        <v/>
      </c>
      <c r="R1635" s="1" t="str">
        <f t="shared" si="128"/>
        <v/>
      </c>
      <c r="S1635" s="1" t="str">
        <f t="shared" si="129"/>
        <v/>
      </c>
      <c r="T1635" s="1">
        <f>IF($E1635="",0,SUMPRODUCT((AY_SONU!$O$7:$O$42="Evet")*(AY_SONU!$B$7:$B$42=DATE(YEAR($E1635),MONTH($E1635),1))))</f>
        <v>0</v>
      </c>
    </row>
    <row r="1636" spans="1:20" ht="18" customHeight="1" x14ac:dyDescent="0.3">
      <c r="A1636" s="2"/>
      <c r="B1636" s="65" t="str">
        <f t="shared" si="125"/>
        <v/>
      </c>
      <c r="C1636" s="65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66"/>
      <c r="F1636" s="67"/>
      <c r="G1636" s="60"/>
      <c r="H1636" s="60"/>
      <c r="I1636" s="61"/>
      <c r="J1636" s="61"/>
      <c r="K1636" s="61"/>
      <c r="L1636" s="73" t="str">
        <f t="shared" si="126"/>
        <v/>
      </c>
      <c r="M1636" s="65" t="str">
        <f t="shared" ca="1" si="127"/>
        <v/>
      </c>
      <c r="N1636" s="74" t="str">
        <f>IF($C1636="","",IF($C1636="TANIMSIZ MÜŞTERİ","—",INDEX(MUSTERILER!$C$7:$C$156,MATCH($C1636,MUSTERILER!$B$7:$B$156,0))))</f>
        <v/>
      </c>
      <c r="O1636" s="2"/>
      <c r="P1636" s="2"/>
      <c r="Q1636" s="1" t="str">
        <f>IF($D1636="","",$C1636&amp;"|"&amp;COUNTIFS($C$7:$C1636,$C1636))</f>
        <v/>
      </c>
      <c r="R1636" s="1" t="str">
        <f t="shared" si="128"/>
        <v/>
      </c>
      <c r="S1636" s="1" t="str">
        <f t="shared" si="129"/>
        <v/>
      </c>
      <c r="T1636" s="1">
        <f>IF($E1636="",0,SUMPRODUCT((AY_SONU!$O$7:$O$42="Evet")*(AY_SONU!$B$7:$B$42=DATE(YEAR($E1636),MONTH($E1636),1))))</f>
        <v>0</v>
      </c>
    </row>
    <row r="1637" spans="1:20" ht="18" customHeight="1" x14ac:dyDescent="0.3">
      <c r="A1637" s="2"/>
      <c r="B1637" s="65" t="str">
        <f t="shared" si="125"/>
        <v/>
      </c>
      <c r="C1637" s="65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66"/>
      <c r="F1637" s="67"/>
      <c r="G1637" s="60"/>
      <c r="H1637" s="60"/>
      <c r="I1637" s="61"/>
      <c r="J1637" s="61"/>
      <c r="K1637" s="61"/>
      <c r="L1637" s="73" t="str">
        <f t="shared" si="126"/>
        <v/>
      </c>
      <c r="M1637" s="65" t="str">
        <f t="shared" ca="1" si="127"/>
        <v/>
      </c>
      <c r="N1637" s="74" t="str">
        <f>IF($C1637="","",IF($C1637="TANIMSIZ MÜŞTERİ","—",INDEX(MUSTERILER!$C$7:$C$156,MATCH($C1637,MUSTERILER!$B$7:$B$156,0))))</f>
        <v/>
      </c>
      <c r="O1637" s="2"/>
      <c r="P1637" s="2"/>
      <c r="Q1637" s="1" t="str">
        <f>IF($D1637="","",$C1637&amp;"|"&amp;COUNTIFS($C$7:$C1637,$C1637))</f>
        <v/>
      </c>
      <c r="R1637" s="1" t="str">
        <f t="shared" si="128"/>
        <v/>
      </c>
      <c r="S1637" s="1" t="str">
        <f t="shared" si="129"/>
        <v/>
      </c>
      <c r="T1637" s="1">
        <f>IF($E1637="",0,SUMPRODUCT((AY_SONU!$O$7:$O$42="Evet")*(AY_SONU!$B$7:$B$42=DATE(YEAR($E1637),MONTH($E1637),1))))</f>
        <v>0</v>
      </c>
    </row>
    <row r="1638" spans="1:20" ht="18" customHeight="1" x14ac:dyDescent="0.3">
      <c r="A1638" s="2"/>
      <c r="B1638" s="65" t="str">
        <f t="shared" si="125"/>
        <v/>
      </c>
      <c r="C1638" s="65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66"/>
      <c r="F1638" s="67"/>
      <c r="G1638" s="60"/>
      <c r="H1638" s="60"/>
      <c r="I1638" s="61"/>
      <c r="J1638" s="61"/>
      <c r="K1638" s="61"/>
      <c r="L1638" s="73" t="str">
        <f t="shared" si="126"/>
        <v/>
      </c>
      <c r="M1638" s="65" t="str">
        <f t="shared" ca="1" si="127"/>
        <v/>
      </c>
      <c r="N1638" s="74" t="str">
        <f>IF($C1638="","",IF($C1638="TANIMSIZ MÜŞTERİ","—",INDEX(MUSTERILER!$C$7:$C$156,MATCH($C1638,MUSTERILER!$B$7:$B$156,0))))</f>
        <v/>
      </c>
      <c r="O1638" s="2"/>
      <c r="P1638" s="2"/>
      <c r="Q1638" s="1" t="str">
        <f>IF($D1638="","",$C1638&amp;"|"&amp;COUNTIFS($C$7:$C1638,$C1638))</f>
        <v/>
      </c>
      <c r="R1638" s="1" t="str">
        <f t="shared" si="128"/>
        <v/>
      </c>
      <c r="S1638" s="1" t="str">
        <f t="shared" si="129"/>
        <v/>
      </c>
      <c r="T1638" s="1">
        <f>IF($E1638="",0,SUMPRODUCT((AY_SONU!$O$7:$O$42="Evet")*(AY_SONU!$B$7:$B$42=DATE(YEAR($E1638),MONTH($E1638),1))))</f>
        <v>0</v>
      </c>
    </row>
    <row r="1639" spans="1:20" ht="18" customHeight="1" x14ac:dyDescent="0.3">
      <c r="A1639" s="2"/>
      <c r="B1639" s="65" t="str">
        <f t="shared" si="125"/>
        <v/>
      </c>
      <c r="C1639" s="65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66"/>
      <c r="F1639" s="67"/>
      <c r="G1639" s="60"/>
      <c r="H1639" s="60"/>
      <c r="I1639" s="61"/>
      <c r="J1639" s="61"/>
      <c r="K1639" s="61"/>
      <c r="L1639" s="73" t="str">
        <f t="shared" si="126"/>
        <v/>
      </c>
      <c r="M1639" s="65" t="str">
        <f t="shared" ca="1" si="127"/>
        <v/>
      </c>
      <c r="N1639" s="74" t="str">
        <f>IF($C1639="","",IF($C1639="TANIMSIZ MÜŞTERİ","—",INDEX(MUSTERILER!$C$7:$C$156,MATCH($C1639,MUSTERILER!$B$7:$B$156,0))))</f>
        <v/>
      </c>
      <c r="O1639" s="2"/>
      <c r="P1639" s="2"/>
      <c r="Q1639" s="1" t="str">
        <f>IF($D1639="","",$C1639&amp;"|"&amp;COUNTIFS($C$7:$C1639,$C1639))</f>
        <v/>
      </c>
      <c r="R1639" s="1" t="str">
        <f t="shared" si="128"/>
        <v/>
      </c>
      <c r="S1639" s="1" t="str">
        <f t="shared" si="129"/>
        <v/>
      </c>
      <c r="T1639" s="1">
        <f>IF($E1639="",0,SUMPRODUCT((AY_SONU!$O$7:$O$42="Evet")*(AY_SONU!$B$7:$B$42=DATE(YEAR($E1639),MONTH($E1639),1))))</f>
        <v>0</v>
      </c>
    </row>
    <row r="1640" spans="1:20" ht="18" customHeight="1" x14ac:dyDescent="0.3">
      <c r="A1640" s="2"/>
      <c r="B1640" s="65" t="str">
        <f t="shared" si="125"/>
        <v/>
      </c>
      <c r="C1640" s="65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66"/>
      <c r="F1640" s="67"/>
      <c r="G1640" s="60"/>
      <c r="H1640" s="60"/>
      <c r="I1640" s="61"/>
      <c r="J1640" s="61"/>
      <c r="K1640" s="61"/>
      <c r="L1640" s="73" t="str">
        <f t="shared" si="126"/>
        <v/>
      </c>
      <c r="M1640" s="65" t="str">
        <f t="shared" ca="1" si="127"/>
        <v/>
      </c>
      <c r="N1640" s="74" t="str">
        <f>IF($C1640="","",IF($C1640="TANIMSIZ MÜŞTERİ","—",INDEX(MUSTERILER!$C$7:$C$156,MATCH($C1640,MUSTERILER!$B$7:$B$156,0))))</f>
        <v/>
      </c>
      <c r="O1640" s="2"/>
      <c r="P1640" s="2"/>
      <c r="Q1640" s="1" t="str">
        <f>IF($D1640="","",$C1640&amp;"|"&amp;COUNTIFS($C$7:$C1640,$C1640))</f>
        <v/>
      </c>
      <c r="R1640" s="1" t="str">
        <f t="shared" si="128"/>
        <v/>
      </c>
      <c r="S1640" s="1" t="str">
        <f t="shared" si="129"/>
        <v/>
      </c>
      <c r="T1640" s="1">
        <f>IF($E1640="",0,SUMPRODUCT((AY_SONU!$O$7:$O$42="Evet")*(AY_SONU!$B$7:$B$42=DATE(YEAR($E1640),MONTH($E1640),1))))</f>
        <v>0</v>
      </c>
    </row>
    <row r="1641" spans="1:20" ht="18" customHeight="1" x14ac:dyDescent="0.3">
      <c r="A1641" s="2"/>
      <c r="B1641" s="65" t="str">
        <f t="shared" si="125"/>
        <v/>
      </c>
      <c r="C1641" s="65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66"/>
      <c r="F1641" s="67"/>
      <c r="G1641" s="60"/>
      <c r="H1641" s="60"/>
      <c r="I1641" s="61"/>
      <c r="J1641" s="61"/>
      <c r="K1641" s="61"/>
      <c r="L1641" s="73" t="str">
        <f t="shared" si="126"/>
        <v/>
      </c>
      <c r="M1641" s="65" t="str">
        <f t="shared" ca="1" si="127"/>
        <v/>
      </c>
      <c r="N1641" s="74" t="str">
        <f>IF($C1641="","",IF($C1641="TANIMSIZ MÜŞTERİ","—",INDEX(MUSTERILER!$C$7:$C$156,MATCH($C1641,MUSTERILER!$B$7:$B$156,0))))</f>
        <v/>
      </c>
      <c r="O1641" s="2"/>
      <c r="P1641" s="2"/>
      <c r="Q1641" s="1" t="str">
        <f>IF($D1641="","",$C1641&amp;"|"&amp;COUNTIFS($C$7:$C1641,$C1641))</f>
        <v/>
      </c>
      <c r="R1641" s="1" t="str">
        <f t="shared" si="128"/>
        <v/>
      </c>
      <c r="S1641" s="1" t="str">
        <f t="shared" si="129"/>
        <v/>
      </c>
      <c r="T1641" s="1">
        <f>IF($E1641="",0,SUMPRODUCT((AY_SONU!$O$7:$O$42="Evet")*(AY_SONU!$B$7:$B$42=DATE(YEAR($E1641),MONTH($E1641),1))))</f>
        <v>0</v>
      </c>
    </row>
    <row r="1642" spans="1:20" ht="18" customHeight="1" x14ac:dyDescent="0.3">
      <c r="A1642" s="2"/>
      <c r="B1642" s="65" t="str">
        <f t="shared" si="125"/>
        <v/>
      </c>
      <c r="C1642" s="65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66"/>
      <c r="F1642" s="67"/>
      <c r="G1642" s="60"/>
      <c r="H1642" s="60"/>
      <c r="I1642" s="61"/>
      <c r="J1642" s="61"/>
      <c r="K1642" s="61"/>
      <c r="L1642" s="73" t="str">
        <f t="shared" si="126"/>
        <v/>
      </c>
      <c r="M1642" s="65" t="str">
        <f t="shared" ca="1" si="127"/>
        <v/>
      </c>
      <c r="N1642" s="74" t="str">
        <f>IF($C1642="","",IF($C1642="TANIMSIZ MÜŞTERİ","—",INDEX(MUSTERILER!$C$7:$C$156,MATCH($C1642,MUSTERILER!$B$7:$B$156,0))))</f>
        <v/>
      </c>
      <c r="O1642" s="2"/>
      <c r="P1642" s="2"/>
      <c r="Q1642" s="1" t="str">
        <f>IF($D1642="","",$C1642&amp;"|"&amp;COUNTIFS($C$7:$C1642,$C1642))</f>
        <v/>
      </c>
      <c r="R1642" s="1" t="str">
        <f t="shared" si="128"/>
        <v/>
      </c>
      <c r="S1642" s="1" t="str">
        <f t="shared" si="129"/>
        <v/>
      </c>
      <c r="T1642" s="1">
        <f>IF($E1642="",0,SUMPRODUCT((AY_SONU!$O$7:$O$42="Evet")*(AY_SONU!$B$7:$B$42=DATE(YEAR($E1642),MONTH($E1642),1))))</f>
        <v>0</v>
      </c>
    </row>
    <row r="1643" spans="1:20" ht="18" customHeight="1" x14ac:dyDescent="0.3">
      <c r="A1643" s="2"/>
      <c r="B1643" s="65" t="str">
        <f t="shared" si="125"/>
        <v/>
      </c>
      <c r="C1643" s="65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66"/>
      <c r="F1643" s="67"/>
      <c r="G1643" s="60"/>
      <c r="H1643" s="60"/>
      <c r="I1643" s="61"/>
      <c r="J1643" s="61"/>
      <c r="K1643" s="61"/>
      <c r="L1643" s="73" t="str">
        <f t="shared" si="126"/>
        <v/>
      </c>
      <c r="M1643" s="65" t="str">
        <f t="shared" ca="1" si="127"/>
        <v/>
      </c>
      <c r="N1643" s="74" t="str">
        <f>IF($C1643="","",IF($C1643="TANIMSIZ MÜŞTERİ","—",INDEX(MUSTERILER!$C$7:$C$156,MATCH($C1643,MUSTERILER!$B$7:$B$156,0))))</f>
        <v/>
      </c>
      <c r="O1643" s="2"/>
      <c r="P1643" s="2"/>
      <c r="Q1643" s="1" t="str">
        <f>IF($D1643="","",$C1643&amp;"|"&amp;COUNTIFS($C$7:$C1643,$C1643))</f>
        <v/>
      </c>
      <c r="R1643" s="1" t="str">
        <f t="shared" si="128"/>
        <v/>
      </c>
      <c r="S1643" s="1" t="str">
        <f t="shared" si="129"/>
        <v/>
      </c>
      <c r="T1643" s="1">
        <f>IF($E1643="",0,SUMPRODUCT((AY_SONU!$O$7:$O$42="Evet")*(AY_SONU!$B$7:$B$42=DATE(YEAR($E1643),MONTH($E1643),1))))</f>
        <v>0</v>
      </c>
    </row>
    <row r="1644" spans="1:20" ht="18" customHeight="1" x14ac:dyDescent="0.3">
      <c r="A1644" s="2"/>
      <c r="B1644" s="65" t="str">
        <f t="shared" si="125"/>
        <v/>
      </c>
      <c r="C1644" s="65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66"/>
      <c r="F1644" s="67"/>
      <c r="G1644" s="60"/>
      <c r="H1644" s="60"/>
      <c r="I1644" s="61"/>
      <c r="J1644" s="61"/>
      <c r="K1644" s="61"/>
      <c r="L1644" s="73" t="str">
        <f t="shared" si="126"/>
        <v/>
      </c>
      <c r="M1644" s="65" t="str">
        <f t="shared" ca="1" si="127"/>
        <v/>
      </c>
      <c r="N1644" s="74" t="str">
        <f>IF($C1644="","",IF($C1644="TANIMSIZ MÜŞTERİ","—",INDEX(MUSTERILER!$C$7:$C$156,MATCH($C1644,MUSTERILER!$B$7:$B$156,0))))</f>
        <v/>
      </c>
      <c r="O1644" s="2"/>
      <c r="P1644" s="2"/>
      <c r="Q1644" s="1" t="str">
        <f>IF($D1644="","",$C1644&amp;"|"&amp;COUNTIFS($C$7:$C1644,$C1644))</f>
        <v/>
      </c>
      <c r="R1644" s="1" t="str">
        <f t="shared" si="128"/>
        <v/>
      </c>
      <c r="S1644" s="1" t="str">
        <f t="shared" si="129"/>
        <v/>
      </c>
      <c r="T1644" s="1">
        <f>IF($E1644="",0,SUMPRODUCT((AY_SONU!$O$7:$O$42="Evet")*(AY_SONU!$B$7:$B$42=DATE(YEAR($E1644),MONTH($E1644),1))))</f>
        <v>0</v>
      </c>
    </row>
    <row r="1645" spans="1:20" ht="18" customHeight="1" x14ac:dyDescent="0.3">
      <c r="A1645" s="2"/>
      <c r="B1645" s="65" t="str">
        <f t="shared" si="125"/>
        <v/>
      </c>
      <c r="C1645" s="65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66"/>
      <c r="F1645" s="67"/>
      <c r="G1645" s="60"/>
      <c r="H1645" s="60"/>
      <c r="I1645" s="61"/>
      <c r="J1645" s="61"/>
      <c r="K1645" s="61"/>
      <c r="L1645" s="73" t="str">
        <f t="shared" si="126"/>
        <v/>
      </c>
      <c r="M1645" s="65" t="str">
        <f t="shared" ca="1" si="127"/>
        <v/>
      </c>
      <c r="N1645" s="74" t="str">
        <f>IF($C1645="","",IF($C1645="TANIMSIZ MÜŞTERİ","—",INDEX(MUSTERILER!$C$7:$C$156,MATCH($C1645,MUSTERILER!$B$7:$B$156,0))))</f>
        <v/>
      </c>
      <c r="O1645" s="2"/>
      <c r="P1645" s="2"/>
      <c r="Q1645" s="1" t="str">
        <f>IF($D1645="","",$C1645&amp;"|"&amp;COUNTIFS($C$7:$C1645,$C1645))</f>
        <v/>
      </c>
      <c r="R1645" s="1" t="str">
        <f t="shared" si="128"/>
        <v/>
      </c>
      <c r="S1645" s="1" t="str">
        <f t="shared" si="129"/>
        <v/>
      </c>
      <c r="T1645" s="1">
        <f>IF($E1645="",0,SUMPRODUCT((AY_SONU!$O$7:$O$42="Evet")*(AY_SONU!$B$7:$B$42=DATE(YEAR($E1645),MONTH($E1645),1))))</f>
        <v>0</v>
      </c>
    </row>
    <row r="1646" spans="1:20" ht="18" customHeight="1" x14ac:dyDescent="0.3">
      <c r="A1646" s="2"/>
      <c r="B1646" s="65" t="str">
        <f t="shared" si="125"/>
        <v/>
      </c>
      <c r="C1646" s="65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66"/>
      <c r="F1646" s="67"/>
      <c r="G1646" s="60"/>
      <c r="H1646" s="60"/>
      <c r="I1646" s="61"/>
      <c r="J1646" s="61"/>
      <c r="K1646" s="61"/>
      <c r="L1646" s="73" t="str">
        <f t="shared" si="126"/>
        <v/>
      </c>
      <c r="M1646" s="65" t="str">
        <f t="shared" ca="1" si="127"/>
        <v/>
      </c>
      <c r="N1646" s="74" t="str">
        <f>IF($C1646="","",IF($C1646="TANIMSIZ MÜŞTERİ","—",INDEX(MUSTERILER!$C$7:$C$156,MATCH($C1646,MUSTERILER!$B$7:$B$156,0))))</f>
        <v/>
      </c>
      <c r="O1646" s="2"/>
      <c r="P1646" s="2"/>
      <c r="Q1646" s="1" t="str">
        <f>IF($D1646="","",$C1646&amp;"|"&amp;COUNTIFS($C$7:$C1646,$C1646))</f>
        <v/>
      </c>
      <c r="R1646" s="1" t="str">
        <f t="shared" si="128"/>
        <v/>
      </c>
      <c r="S1646" s="1" t="str">
        <f t="shared" si="129"/>
        <v/>
      </c>
      <c r="T1646" s="1">
        <f>IF($E1646="",0,SUMPRODUCT((AY_SONU!$O$7:$O$42="Evet")*(AY_SONU!$B$7:$B$42=DATE(YEAR($E1646),MONTH($E1646),1))))</f>
        <v>0</v>
      </c>
    </row>
    <row r="1647" spans="1:20" ht="18" customHeight="1" x14ac:dyDescent="0.3">
      <c r="A1647" s="2"/>
      <c r="B1647" s="65" t="str">
        <f t="shared" si="125"/>
        <v/>
      </c>
      <c r="C1647" s="65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66"/>
      <c r="F1647" s="67"/>
      <c r="G1647" s="60"/>
      <c r="H1647" s="60"/>
      <c r="I1647" s="61"/>
      <c r="J1647" s="61"/>
      <c r="K1647" s="61"/>
      <c r="L1647" s="73" t="str">
        <f t="shared" si="126"/>
        <v/>
      </c>
      <c r="M1647" s="65" t="str">
        <f t="shared" ca="1" si="127"/>
        <v/>
      </c>
      <c r="N1647" s="74" t="str">
        <f>IF($C1647="","",IF($C1647="TANIMSIZ MÜŞTERİ","—",INDEX(MUSTERILER!$C$7:$C$156,MATCH($C1647,MUSTERILER!$B$7:$B$156,0))))</f>
        <v/>
      </c>
      <c r="O1647" s="2"/>
      <c r="P1647" s="2"/>
      <c r="Q1647" s="1" t="str">
        <f>IF($D1647="","",$C1647&amp;"|"&amp;COUNTIFS($C$7:$C1647,$C1647))</f>
        <v/>
      </c>
      <c r="R1647" s="1" t="str">
        <f t="shared" si="128"/>
        <v/>
      </c>
      <c r="S1647" s="1" t="str">
        <f t="shared" si="129"/>
        <v/>
      </c>
      <c r="T1647" s="1">
        <f>IF($E1647="",0,SUMPRODUCT((AY_SONU!$O$7:$O$42="Evet")*(AY_SONU!$B$7:$B$42=DATE(YEAR($E1647),MONTH($E1647),1))))</f>
        <v>0</v>
      </c>
    </row>
    <row r="1648" spans="1:20" ht="18" customHeight="1" x14ac:dyDescent="0.3">
      <c r="A1648" s="2"/>
      <c r="B1648" s="65" t="str">
        <f t="shared" si="125"/>
        <v/>
      </c>
      <c r="C1648" s="65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66"/>
      <c r="F1648" s="67"/>
      <c r="G1648" s="60"/>
      <c r="H1648" s="60"/>
      <c r="I1648" s="61"/>
      <c r="J1648" s="61"/>
      <c r="K1648" s="61"/>
      <c r="L1648" s="73" t="str">
        <f t="shared" si="126"/>
        <v/>
      </c>
      <c r="M1648" s="65" t="str">
        <f t="shared" ca="1" si="127"/>
        <v/>
      </c>
      <c r="N1648" s="74" t="str">
        <f>IF($C1648="","",IF($C1648="TANIMSIZ MÜŞTERİ","—",INDEX(MUSTERILER!$C$7:$C$156,MATCH($C1648,MUSTERILER!$B$7:$B$156,0))))</f>
        <v/>
      </c>
      <c r="O1648" s="2"/>
      <c r="P1648" s="2"/>
      <c r="Q1648" s="1" t="str">
        <f>IF($D1648="","",$C1648&amp;"|"&amp;COUNTIFS($C$7:$C1648,$C1648))</f>
        <v/>
      </c>
      <c r="R1648" s="1" t="str">
        <f t="shared" si="128"/>
        <v/>
      </c>
      <c r="S1648" s="1" t="str">
        <f t="shared" si="129"/>
        <v/>
      </c>
      <c r="T1648" s="1">
        <f>IF($E1648="",0,SUMPRODUCT((AY_SONU!$O$7:$O$42="Evet")*(AY_SONU!$B$7:$B$42=DATE(YEAR($E1648),MONTH($E1648),1))))</f>
        <v>0</v>
      </c>
    </row>
    <row r="1649" spans="1:20" ht="18" customHeight="1" x14ac:dyDescent="0.3">
      <c r="A1649" s="2"/>
      <c r="B1649" s="65" t="str">
        <f t="shared" si="125"/>
        <v/>
      </c>
      <c r="C1649" s="65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66"/>
      <c r="F1649" s="67"/>
      <c r="G1649" s="60"/>
      <c r="H1649" s="60"/>
      <c r="I1649" s="61"/>
      <c r="J1649" s="61"/>
      <c r="K1649" s="61"/>
      <c r="L1649" s="73" t="str">
        <f t="shared" si="126"/>
        <v/>
      </c>
      <c r="M1649" s="65" t="str">
        <f t="shared" ca="1" si="127"/>
        <v/>
      </c>
      <c r="N1649" s="74" t="str">
        <f>IF($C1649="","",IF($C1649="TANIMSIZ MÜŞTERİ","—",INDEX(MUSTERILER!$C$7:$C$156,MATCH($C1649,MUSTERILER!$B$7:$B$156,0))))</f>
        <v/>
      </c>
      <c r="O1649" s="2"/>
      <c r="P1649" s="2"/>
      <c r="Q1649" s="1" t="str">
        <f>IF($D1649="","",$C1649&amp;"|"&amp;COUNTIFS($C$7:$C1649,$C1649))</f>
        <v/>
      </c>
      <c r="R1649" s="1" t="str">
        <f t="shared" si="128"/>
        <v/>
      </c>
      <c r="S1649" s="1" t="str">
        <f t="shared" si="129"/>
        <v/>
      </c>
      <c r="T1649" s="1">
        <f>IF($E1649="",0,SUMPRODUCT((AY_SONU!$O$7:$O$42="Evet")*(AY_SONU!$B$7:$B$42=DATE(YEAR($E1649),MONTH($E1649),1))))</f>
        <v>0</v>
      </c>
    </row>
    <row r="1650" spans="1:20" ht="18" customHeight="1" x14ac:dyDescent="0.3">
      <c r="A1650" s="2"/>
      <c r="B1650" s="65" t="str">
        <f t="shared" si="125"/>
        <v/>
      </c>
      <c r="C1650" s="65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66"/>
      <c r="F1650" s="67"/>
      <c r="G1650" s="60"/>
      <c r="H1650" s="60"/>
      <c r="I1650" s="61"/>
      <c r="J1650" s="61"/>
      <c r="K1650" s="61"/>
      <c r="L1650" s="73" t="str">
        <f t="shared" si="126"/>
        <v/>
      </c>
      <c r="M1650" s="65" t="str">
        <f t="shared" ca="1" si="127"/>
        <v/>
      </c>
      <c r="N1650" s="74" t="str">
        <f>IF($C1650="","",IF($C1650="TANIMSIZ MÜŞTERİ","—",INDEX(MUSTERILER!$C$7:$C$156,MATCH($C1650,MUSTERILER!$B$7:$B$156,0))))</f>
        <v/>
      </c>
      <c r="O1650" s="2"/>
      <c r="P1650" s="2"/>
      <c r="Q1650" s="1" t="str">
        <f>IF($D1650="","",$C1650&amp;"|"&amp;COUNTIFS($C$7:$C1650,$C1650))</f>
        <v/>
      </c>
      <c r="R1650" s="1" t="str">
        <f t="shared" si="128"/>
        <v/>
      </c>
      <c r="S1650" s="1" t="str">
        <f t="shared" si="129"/>
        <v/>
      </c>
      <c r="T1650" s="1">
        <f>IF($E1650="",0,SUMPRODUCT((AY_SONU!$O$7:$O$42="Evet")*(AY_SONU!$B$7:$B$42=DATE(YEAR($E1650),MONTH($E1650),1))))</f>
        <v>0</v>
      </c>
    </row>
    <row r="1651" spans="1:20" ht="18" customHeight="1" x14ac:dyDescent="0.3">
      <c r="A1651" s="2"/>
      <c r="B1651" s="65" t="str">
        <f t="shared" si="125"/>
        <v/>
      </c>
      <c r="C1651" s="65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66"/>
      <c r="F1651" s="67"/>
      <c r="G1651" s="60"/>
      <c r="H1651" s="60"/>
      <c r="I1651" s="61"/>
      <c r="J1651" s="61"/>
      <c r="K1651" s="61"/>
      <c r="L1651" s="73" t="str">
        <f t="shared" si="126"/>
        <v/>
      </c>
      <c r="M1651" s="65" t="str">
        <f t="shared" ca="1" si="127"/>
        <v/>
      </c>
      <c r="N1651" s="74" t="str">
        <f>IF($C1651="","",IF($C1651="TANIMSIZ MÜŞTERİ","—",INDEX(MUSTERILER!$C$7:$C$156,MATCH($C1651,MUSTERILER!$B$7:$B$156,0))))</f>
        <v/>
      </c>
      <c r="O1651" s="2"/>
      <c r="P1651" s="2"/>
      <c r="Q1651" s="1" t="str">
        <f>IF($D1651="","",$C1651&amp;"|"&amp;COUNTIFS($C$7:$C1651,$C1651))</f>
        <v/>
      </c>
      <c r="R1651" s="1" t="str">
        <f t="shared" si="128"/>
        <v/>
      </c>
      <c r="S1651" s="1" t="str">
        <f t="shared" si="129"/>
        <v/>
      </c>
      <c r="T1651" s="1">
        <f>IF($E1651="",0,SUMPRODUCT((AY_SONU!$O$7:$O$42="Evet")*(AY_SONU!$B$7:$B$42=DATE(YEAR($E1651),MONTH($E1651),1))))</f>
        <v>0</v>
      </c>
    </row>
    <row r="1652" spans="1:20" ht="18" customHeight="1" x14ac:dyDescent="0.3">
      <c r="A1652" s="2"/>
      <c r="B1652" s="65" t="str">
        <f t="shared" si="125"/>
        <v/>
      </c>
      <c r="C1652" s="65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66"/>
      <c r="F1652" s="67"/>
      <c r="G1652" s="60"/>
      <c r="H1652" s="60"/>
      <c r="I1652" s="61"/>
      <c r="J1652" s="61"/>
      <c r="K1652" s="61"/>
      <c r="L1652" s="73" t="str">
        <f t="shared" si="126"/>
        <v/>
      </c>
      <c r="M1652" s="65" t="str">
        <f t="shared" ca="1" si="127"/>
        <v/>
      </c>
      <c r="N1652" s="74" t="str">
        <f>IF($C1652="","",IF($C1652="TANIMSIZ MÜŞTERİ","—",INDEX(MUSTERILER!$C$7:$C$156,MATCH($C1652,MUSTERILER!$B$7:$B$156,0))))</f>
        <v/>
      </c>
      <c r="O1652" s="2"/>
      <c r="P1652" s="2"/>
      <c r="Q1652" s="1" t="str">
        <f>IF($D1652="","",$C1652&amp;"|"&amp;COUNTIFS($C$7:$C1652,$C1652))</f>
        <v/>
      </c>
      <c r="R1652" s="1" t="str">
        <f t="shared" si="128"/>
        <v/>
      </c>
      <c r="S1652" s="1" t="str">
        <f t="shared" si="129"/>
        <v/>
      </c>
      <c r="T1652" s="1">
        <f>IF($E1652="",0,SUMPRODUCT((AY_SONU!$O$7:$O$42="Evet")*(AY_SONU!$B$7:$B$42=DATE(YEAR($E1652),MONTH($E1652),1))))</f>
        <v>0</v>
      </c>
    </row>
    <row r="1653" spans="1:20" ht="18" customHeight="1" x14ac:dyDescent="0.3">
      <c r="A1653" s="2"/>
      <c r="B1653" s="65" t="str">
        <f t="shared" si="125"/>
        <v/>
      </c>
      <c r="C1653" s="65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66"/>
      <c r="F1653" s="67"/>
      <c r="G1653" s="60"/>
      <c r="H1653" s="60"/>
      <c r="I1653" s="61"/>
      <c r="J1653" s="61"/>
      <c r="K1653" s="61"/>
      <c r="L1653" s="73" t="str">
        <f t="shared" si="126"/>
        <v/>
      </c>
      <c r="M1653" s="65" t="str">
        <f t="shared" ca="1" si="127"/>
        <v/>
      </c>
      <c r="N1653" s="74" t="str">
        <f>IF($C1653="","",IF($C1653="TANIMSIZ MÜŞTERİ","—",INDEX(MUSTERILER!$C$7:$C$156,MATCH($C1653,MUSTERILER!$B$7:$B$156,0))))</f>
        <v/>
      </c>
      <c r="O1653" s="2"/>
      <c r="P1653" s="2"/>
      <c r="Q1653" s="1" t="str">
        <f>IF($D1653="","",$C1653&amp;"|"&amp;COUNTIFS($C$7:$C1653,$C1653))</f>
        <v/>
      </c>
      <c r="R1653" s="1" t="str">
        <f t="shared" si="128"/>
        <v/>
      </c>
      <c r="S1653" s="1" t="str">
        <f t="shared" si="129"/>
        <v/>
      </c>
      <c r="T1653" s="1">
        <f>IF($E1653="",0,SUMPRODUCT((AY_SONU!$O$7:$O$42="Evet")*(AY_SONU!$B$7:$B$42=DATE(YEAR($E1653),MONTH($E1653),1))))</f>
        <v>0</v>
      </c>
    </row>
    <row r="1654" spans="1:20" ht="18" customHeight="1" x14ac:dyDescent="0.3">
      <c r="A1654" s="2"/>
      <c r="B1654" s="65" t="str">
        <f t="shared" si="125"/>
        <v/>
      </c>
      <c r="C1654" s="65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66"/>
      <c r="F1654" s="67"/>
      <c r="G1654" s="60"/>
      <c r="H1654" s="60"/>
      <c r="I1654" s="61"/>
      <c r="J1654" s="61"/>
      <c r="K1654" s="61"/>
      <c r="L1654" s="73" t="str">
        <f t="shared" si="126"/>
        <v/>
      </c>
      <c r="M1654" s="65" t="str">
        <f t="shared" ca="1" si="127"/>
        <v/>
      </c>
      <c r="N1654" s="74" t="str">
        <f>IF($C1654="","",IF($C1654="TANIMSIZ MÜŞTERİ","—",INDEX(MUSTERILER!$C$7:$C$156,MATCH($C1654,MUSTERILER!$B$7:$B$156,0))))</f>
        <v/>
      </c>
      <c r="O1654" s="2"/>
      <c r="P1654" s="2"/>
      <c r="Q1654" s="1" t="str">
        <f>IF($D1654="","",$C1654&amp;"|"&amp;COUNTIFS($C$7:$C1654,$C1654))</f>
        <v/>
      </c>
      <c r="R1654" s="1" t="str">
        <f t="shared" si="128"/>
        <v/>
      </c>
      <c r="S1654" s="1" t="str">
        <f t="shared" si="129"/>
        <v/>
      </c>
      <c r="T1654" s="1">
        <f>IF($E1654="",0,SUMPRODUCT((AY_SONU!$O$7:$O$42="Evet")*(AY_SONU!$B$7:$B$42=DATE(YEAR($E1654),MONTH($E1654),1))))</f>
        <v>0</v>
      </c>
    </row>
    <row r="1655" spans="1:20" ht="18" customHeight="1" x14ac:dyDescent="0.3">
      <c r="A1655" s="2"/>
      <c r="B1655" s="65" t="str">
        <f t="shared" si="125"/>
        <v/>
      </c>
      <c r="C1655" s="65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66"/>
      <c r="F1655" s="67"/>
      <c r="G1655" s="60"/>
      <c r="H1655" s="60"/>
      <c r="I1655" s="61"/>
      <c r="J1655" s="61"/>
      <c r="K1655" s="61"/>
      <c r="L1655" s="73" t="str">
        <f t="shared" si="126"/>
        <v/>
      </c>
      <c r="M1655" s="65" t="str">
        <f t="shared" ca="1" si="127"/>
        <v/>
      </c>
      <c r="N1655" s="74" t="str">
        <f>IF($C1655="","",IF($C1655="TANIMSIZ MÜŞTERİ","—",INDEX(MUSTERILER!$C$7:$C$156,MATCH($C1655,MUSTERILER!$B$7:$B$156,0))))</f>
        <v/>
      </c>
      <c r="O1655" s="2"/>
      <c r="P1655" s="2"/>
      <c r="Q1655" s="1" t="str">
        <f>IF($D1655="","",$C1655&amp;"|"&amp;COUNTIFS($C$7:$C1655,$C1655))</f>
        <v/>
      </c>
      <c r="R1655" s="1" t="str">
        <f t="shared" si="128"/>
        <v/>
      </c>
      <c r="S1655" s="1" t="str">
        <f t="shared" si="129"/>
        <v/>
      </c>
      <c r="T1655" s="1">
        <f>IF($E1655="",0,SUMPRODUCT((AY_SONU!$O$7:$O$42="Evet")*(AY_SONU!$B$7:$B$42=DATE(YEAR($E1655),MONTH($E1655),1))))</f>
        <v>0</v>
      </c>
    </row>
    <row r="1656" spans="1:20" ht="18" customHeight="1" x14ac:dyDescent="0.3">
      <c r="A1656" s="2"/>
      <c r="B1656" s="65" t="str">
        <f t="shared" si="125"/>
        <v/>
      </c>
      <c r="C1656" s="65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66"/>
      <c r="F1656" s="67"/>
      <c r="G1656" s="60"/>
      <c r="H1656" s="60"/>
      <c r="I1656" s="61"/>
      <c r="J1656" s="61"/>
      <c r="K1656" s="61"/>
      <c r="L1656" s="73" t="str">
        <f t="shared" si="126"/>
        <v/>
      </c>
      <c r="M1656" s="65" t="str">
        <f t="shared" ca="1" si="127"/>
        <v/>
      </c>
      <c r="N1656" s="74" t="str">
        <f>IF($C1656="","",IF($C1656="TANIMSIZ MÜŞTERİ","—",INDEX(MUSTERILER!$C$7:$C$156,MATCH($C1656,MUSTERILER!$B$7:$B$156,0))))</f>
        <v/>
      </c>
      <c r="O1656" s="2"/>
      <c r="P1656" s="2"/>
      <c r="Q1656" s="1" t="str">
        <f>IF($D1656="","",$C1656&amp;"|"&amp;COUNTIFS($C$7:$C1656,$C1656))</f>
        <v/>
      </c>
      <c r="R1656" s="1" t="str">
        <f t="shared" si="128"/>
        <v/>
      </c>
      <c r="S1656" s="1" t="str">
        <f t="shared" si="129"/>
        <v/>
      </c>
      <c r="T1656" s="1">
        <f>IF($E1656="",0,SUMPRODUCT((AY_SONU!$O$7:$O$42="Evet")*(AY_SONU!$B$7:$B$42=DATE(YEAR($E1656),MONTH($E1656),1))))</f>
        <v>0</v>
      </c>
    </row>
    <row r="1657" spans="1:20" ht="18" customHeight="1" x14ac:dyDescent="0.3">
      <c r="A1657" s="2"/>
      <c r="B1657" s="65" t="str">
        <f t="shared" si="125"/>
        <v/>
      </c>
      <c r="C1657" s="65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66"/>
      <c r="F1657" s="67"/>
      <c r="G1657" s="60"/>
      <c r="H1657" s="60"/>
      <c r="I1657" s="61"/>
      <c r="J1657" s="61"/>
      <c r="K1657" s="61"/>
      <c r="L1657" s="73" t="str">
        <f t="shared" si="126"/>
        <v/>
      </c>
      <c r="M1657" s="65" t="str">
        <f t="shared" ca="1" si="127"/>
        <v/>
      </c>
      <c r="N1657" s="74" t="str">
        <f>IF($C1657="","",IF($C1657="TANIMSIZ MÜŞTERİ","—",INDEX(MUSTERILER!$C$7:$C$156,MATCH($C1657,MUSTERILER!$B$7:$B$156,0))))</f>
        <v/>
      </c>
      <c r="O1657" s="2"/>
      <c r="P1657" s="2"/>
      <c r="Q1657" s="1" t="str">
        <f>IF($D1657="","",$C1657&amp;"|"&amp;COUNTIFS($C$7:$C1657,$C1657))</f>
        <v/>
      </c>
      <c r="R1657" s="1" t="str">
        <f t="shared" si="128"/>
        <v/>
      </c>
      <c r="S1657" s="1" t="str">
        <f t="shared" si="129"/>
        <v/>
      </c>
      <c r="T1657" s="1">
        <f>IF($E1657="",0,SUMPRODUCT((AY_SONU!$O$7:$O$42="Evet")*(AY_SONU!$B$7:$B$42=DATE(YEAR($E1657),MONTH($E1657),1))))</f>
        <v>0</v>
      </c>
    </row>
    <row r="1658" spans="1:20" ht="18" customHeight="1" x14ac:dyDescent="0.3">
      <c r="A1658" s="2"/>
      <c r="B1658" s="65" t="str">
        <f t="shared" si="125"/>
        <v/>
      </c>
      <c r="C1658" s="65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66"/>
      <c r="F1658" s="67"/>
      <c r="G1658" s="60"/>
      <c r="H1658" s="60"/>
      <c r="I1658" s="61"/>
      <c r="J1658" s="61"/>
      <c r="K1658" s="61"/>
      <c r="L1658" s="73" t="str">
        <f t="shared" si="126"/>
        <v/>
      </c>
      <c r="M1658" s="65" t="str">
        <f t="shared" ca="1" si="127"/>
        <v/>
      </c>
      <c r="N1658" s="74" t="str">
        <f>IF($C1658="","",IF($C1658="TANIMSIZ MÜŞTERİ","—",INDEX(MUSTERILER!$C$7:$C$156,MATCH($C1658,MUSTERILER!$B$7:$B$156,0))))</f>
        <v/>
      </c>
      <c r="O1658" s="2"/>
      <c r="P1658" s="2"/>
      <c r="Q1658" s="1" t="str">
        <f>IF($D1658="","",$C1658&amp;"|"&amp;COUNTIFS($C$7:$C1658,$C1658))</f>
        <v/>
      </c>
      <c r="R1658" s="1" t="str">
        <f t="shared" si="128"/>
        <v/>
      </c>
      <c r="S1658" s="1" t="str">
        <f t="shared" si="129"/>
        <v/>
      </c>
      <c r="T1658" s="1">
        <f>IF($E1658="",0,SUMPRODUCT((AY_SONU!$O$7:$O$42="Evet")*(AY_SONU!$B$7:$B$42=DATE(YEAR($E1658),MONTH($E1658),1))))</f>
        <v>0</v>
      </c>
    </row>
    <row r="1659" spans="1:20" ht="18" customHeight="1" x14ac:dyDescent="0.3">
      <c r="A1659" s="2"/>
      <c r="B1659" s="65" t="str">
        <f t="shared" si="125"/>
        <v/>
      </c>
      <c r="C1659" s="65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66"/>
      <c r="F1659" s="67"/>
      <c r="G1659" s="60"/>
      <c r="H1659" s="60"/>
      <c r="I1659" s="61"/>
      <c r="J1659" s="61"/>
      <c r="K1659" s="61"/>
      <c r="L1659" s="73" t="str">
        <f t="shared" si="126"/>
        <v/>
      </c>
      <c r="M1659" s="65" t="str">
        <f t="shared" ca="1" si="127"/>
        <v/>
      </c>
      <c r="N1659" s="74" t="str">
        <f>IF($C1659="","",IF($C1659="TANIMSIZ MÜŞTERİ","—",INDEX(MUSTERILER!$C$7:$C$156,MATCH($C1659,MUSTERILER!$B$7:$B$156,0))))</f>
        <v/>
      </c>
      <c r="O1659" s="2"/>
      <c r="P1659" s="2"/>
      <c r="Q1659" s="1" t="str">
        <f>IF($D1659="","",$C1659&amp;"|"&amp;COUNTIFS($C$7:$C1659,$C1659))</f>
        <v/>
      </c>
      <c r="R1659" s="1" t="str">
        <f t="shared" si="128"/>
        <v/>
      </c>
      <c r="S1659" s="1" t="str">
        <f t="shared" si="129"/>
        <v/>
      </c>
      <c r="T1659" s="1">
        <f>IF($E1659="",0,SUMPRODUCT((AY_SONU!$O$7:$O$42="Evet")*(AY_SONU!$B$7:$B$42=DATE(YEAR($E1659),MONTH($E1659),1))))</f>
        <v>0</v>
      </c>
    </row>
    <row r="1660" spans="1:20" ht="18" customHeight="1" x14ac:dyDescent="0.3">
      <c r="A1660" s="2"/>
      <c r="B1660" s="65" t="str">
        <f t="shared" si="125"/>
        <v/>
      </c>
      <c r="C1660" s="65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66"/>
      <c r="F1660" s="67"/>
      <c r="G1660" s="60"/>
      <c r="H1660" s="60"/>
      <c r="I1660" s="61"/>
      <c r="J1660" s="61"/>
      <c r="K1660" s="61"/>
      <c r="L1660" s="73" t="str">
        <f t="shared" si="126"/>
        <v/>
      </c>
      <c r="M1660" s="65" t="str">
        <f t="shared" ca="1" si="127"/>
        <v/>
      </c>
      <c r="N1660" s="74" t="str">
        <f>IF($C1660="","",IF($C1660="TANIMSIZ MÜŞTERİ","—",INDEX(MUSTERILER!$C$7:$C$156,MATCH($C1660,MUSTERILER!$B$7:$B$156,0))))</f>
        <v/>
      </c>
      <c r="O1660" s="2"/>
      <c r="P1660" s="2"/>
      <c r="Q1660" s="1" t="str">
        <f>IF($D1660="","",$C1660&amp;"|"&amp;COUNTIFS($C$7:$C1660,$C1660))</f>
        <v/>
      </c>
      <c r="R1660" s="1" t="str">
        <f t="shared" si="128"/>
        <v/>
      </c>
      <c r="S1660" s="1" t="str">
        <f t="shared" si="129"/>
        <v/>
      </c>
      <c r="T1660" s="1">
        <f>IF($E1660="",0,SUMPRODUCT((AY_SONU!$O$7:$O$42="Evet")*(AY_SONU!$B$7:$B$42=DATE(YEAR($E1660),MONTH($E1660),1))))</f>
        <v>0</v>
      </c>
    </row>
    <row r="1661" spans="1:20" ht="18" customHeight="1" x14ac:dyDescent="0.3">
      <c r="A1661" s="2"/>
      <c r="B1661" s="65" t="str">
        <f t="shared" si="125"/>
        <v/>
      </c>
      <c r="C1661" s="65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66"/>
      <c r="F1661" s="67"/>
      <c r="G1661" s="60"/>
      <c r="H1661" s="60"/>
      <c r="I1661" s="61"/>
      <c r="J1661" s="61"/>
      <c r="K1661" s="61"/>
      <c r="L1661" s="73" t="str">
        <f t="shared" si="126"/>
        <v/>
      </c>
      <c r="M1661" s="65" t="str">
        <f t="shared" ca="1" si="127"/>
        <v/>
      </c>
      <c r="N1661" s="74" t="str">
        <f>IF($C1661="","",IF($C1661="TANIMSIZ MÜŞTERİ","—",INDEX(MUSTERILER!$C$7:$C$156,MATCH($C1661,MUSTERILER!$B$7:$B$156,0))))</f>
        <v/>
      </c>
      <c r="O1661" s="2"/>
      <c r="P1661" s="2"/>
      <c r="Q1661" s="1" t="str">
        <f>IF($D1661="","",$C1661&amp;"|"&amp;COUNTIFS($C$7:$C1661,$C1661))</f>
        <v/>
      </c>
      <c r="R1661" s="1" t="str">
        <f t="shared" si="128"/>
        <v/>
      </c>
      <c r="S1661" s="1" t="str">
        <f t="shared" si="129"/>
        <v/>
      </c>
      <c r="T1661" s="1">
        <f>IF($E1661="",0,SUMPRODUCT((AY_SONU!$O$7:$O$42="Evet")*(AY_SONU!$B$7:$B$42=DATE(YEAR($E1661),MONTH($E1661),1))))</f>
        <v>0</v>
      </c>
    </row>
    <row r="1662" spans="1:20" ht="18" customHeight="1" x14ac:dyDescent="0.3">
      <c r="A1662" s="2"/>
      <c r="B1662" s="65" t="str">
        <f t="shared" si="125"/>
        <v/>
      </c>
      <c r="C1662" s="65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66"/>
      <c r="F1662" s="67"/>
      <c r="G1662" s="60"/>
      <c r="H1662" s="60"/>
      <c r="I1662" s="61"/>
      <c r="J1662" s="61"/>
      <c r="K1662" s="61"/>
      <c r="L1662" s="73" t="str">
        <f t="shared" si="126"/>
        <v/>
      </c>
      <c r="M1662" s="65" t="str">
        <f t="shared" ca="1" si="127"/>
        <v/>
      </c>
      <c r="N1662" s="74" t="str">
        <f>IF($C1662="","",IF($C1662="TANIMSIZ MÜŞTERİ","—",INDEX(MUSTERILER!$C$7:$C$156,MATCH($C1662,MUSTERILER!$B$7:$B$156,0))))</f>
        <v/>
      </c>
      <c r="O1662" s="2"/>
      <c r="P1662" s="2"/>
      <c r="Q1662" s="1" t="str">
        <f>IF($D1662="","",$C1662&amp;"|"&amp;COUNTIFS($C$7:$C1662,$C1662))</f>
        <v/>
      </c>
      <c r="R1662" s="1" t="str">
        <f t="shared" si="128"/>
        <v/>
      </c>
      <c r="S1662" s="1" t="str">
        <f t="shared" si="129"/>
        <v/>
      </c>
      <c r="T1662" s="1">
        <f>IF($E1662="",0,SUMPRODUCT((AY_SONU!$O$7:$O$42="Evet")*(AY_SONU!$B$7:$B$42=DATE(YEAR($E1662),MONTH($E1662),1))))</f>
        <v>0</v>
      </c>
    </row>
    <row r="1663" spans="1:20" ht="18" customHeight="1" x14ac:dyDescent="0.3">
      <c r="A1663" s="2"/>
      <c r="B1663" s="65" t="str">
        <f t="shared" si="125"/>
        <v/>
      </c>
      <c r="C1663" s="65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66"/>
      <c r="F1663" s="67"/>
      <c r="G1663" s="60"/>
      <c r="H1663" s="60"/>
      <c r="I1663" s="61"/>
      <c r="J1663" s="61"/>
      <c r="K1663" s="61"/>
      <c r="L1663" s="73" t="str">
        <f t="shared" si="126"/>
        <v/>
      </c>
      <c r="M1663" s="65" t="str">
        <f t="shared" ca="1" si="127"/>
        <v/>
      </c>
      <c r="N1663" s="74" t="str">
        <f>IF($C1663="","",IF($C1663="TANIMSIZ MÜŞTERİ","—",INDEX(MUSTERILER!$C$7:$C$156,MATCH($C1663,MUSTERILER!$B$7:$B$156,0))))</f>
        <v/>
      </c>
      <c r="O1663" s="2"/>
      <c r="P1663" s="2"/>
      <c r="Q1663" s="1" t="str">
        <f>IF($D1663="","",$C1663&amp;"|"&amp;COUNTIFS($C$7:$C1663,$C1663))</f>
        <v/>
      </c>
      <c r="R1663" s="1" t="str">
        <f t="shared" si="128"/>
        <v/>
      </c>
      <c r="S1663" s="1" t="str">
        <f t="shared" si="129"/>
        <v/>
      </c>
      <c r="T1663" s="1">
        <f>IF($E1663="",0,SUMPRODUCT((AY_SONU!$O$7:$O$42="Evet")*(AY_SONU!$B$7:$B$42=DATE(YEAR($E1663),MONTH($E1663),1))))</f>
        <v>0</v>
      </c>
    </row>
    <row r="1664" spans="1:20" ht="18" customHeight="1" x14ac:dyDescent="0.3">
      <c r="A1664" s="2"/>
      <c r="B1664" s="65" t="str">
        <f t="shared" si="125"/>
        <v/>
      </c>
      <c r="C1664" s="65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66"/>
      <c r="F1664" s="67"/>
      <c r="G1664" s="60"/>
      <c r="H1664" s="60"/>
      <c r="I1664" s="61"/>
      <c r="J1664" s="61"/>
      <c r="K1664" s="61"/>
      <c r="L1664" s="73" t="str">
        <f t="shared" si="126"/>
        <v/>
      </c>
      <c r="M1664" s="65" t="str">
        <f t="shared" ca="1" si="127"/>
        <v/>
      </c>
      <c r="N1664" s="74" t="str">
        <f>IF($C1664="","",IF($C1664="TANIMSIZ MÜŞTERİ","—",INDEX(MUSTERILER!$C$7:$C$156,MATCH($C1664,MUSTERILER!$B$7:$B$156,0))))</f>
        <v/>
      </c>
      <c r="O1664" s="2"/>
      <c r="P1664" s="2"/>
      <c r="Q1664" s="1" t="str">
        <f>IF($D1664="","",$C1664&amp;"|"&amp;COUNTIFS($C$7:$C1664,$C1664))</f>
        <v/>
      </c>
      <c r="R1664" s="1" t="str">
        <f t="shared" si="128"/>
        <v/>
      </c>
      <c r="S1664" s="1" t="str">
        <f t="shared" si="129"/>
        <v/>
      </c>
      <c r="T1664" s="1">
        <f>IF($E1664="",0,SUMPRODUCT((AY_SONU!$O$7:$O$42="Evet")*(AY_SONU!$B$7:$B$42=DATE(YEAR($E1664),MONTH($E1664),1))))</f>
        <v>0</v>
      </c>
    </row>
    <row r="1665" spans="1:20" ht="18" customHeight="1" x14ac:dyDescent="0.3">
      <c r="A1665" s="2"/>
      <c r="B1665" s="65" t="str">
        <f t="shared" si="125"/>
        <v/>
      </c>
      <c r="C1665" s="65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66"/>
      <c r="F1665" s="67"/>
      <c r="G1665" s="60"/>
      <c r="H1665" s="60"/>
      <c r="I1665" s="61"/>
      <c r="J1665" s="61"/>
      <c r="K1665" s="61"/>
      <c r="L1665" s="73" t="str">
        <f t="shared" si="126"/>
        <v/>
      </c>
      <c r="M1665" s="65" t="str">
        <f t="shared" ca="1" si="127"/>
        <v/>
      </c>
      <c r="N1665" s="74" t="str">
        <f>IF($C1665="","",IF($C1665="TANIMSIZ MÜŞTERİ","—",INDEX(MUSTERILER!$C$7:$C$156,MATCH($C1665,MUSTERILER!$B$7:$B$156,0))))</f>
        <v/>
      </c>
      <c r="O1665" s="2"/>
      <c r="P1665" s="2"/>
      <c r="Q1665" s="1" t="str">
        <f>IF($D1665="","",$C1665&amp;"|"&amp;COUNTIFS($C$7:$C1665,$C1665))</f>
        <v/>
      </c>
      <c r="R1665" s="1" t="str">
        <f t="shared" si="128"/>
        <v/>
      </c>
      <c r="S1665" s="1" t="str">
        <f t="shared" si="129"/>
        <v/>
      </c>
      <c r="T1665" s="1">
        <f>IF($E1665="",0,SUMPRODUCT((AY_SONU!$O$7:$O$42="Evet")*(AY_SONU!$B$7:$B$42=DATE(YEAR($E1665),MONTH($E1665),1))))</f>
        <v>0</v>
      </c>
    </row>
    <row r="1666" spans="1:20" ht="18" customHeight="1" x14ac:dyDescent="0.3">
      <c r="A1666" s="2"/>
      <c r="B1666" s="65" t="str">
        <f t="shared" si="125"/>
        <v/>
      </c>
      <c r="C1666" s="65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66"/>
      <c r="F1666" s="67"/>
      <c r="G1666" s="60"/>
      <c r="H1666" s="60"/>
      <c r="I1666" s="61"/>
      <c r="J1666" s="61"/>
      <c r="K1666" s="61"/>
      <c r="L1666" s="73" t="str">
        <f t="shared" si="126"/>
        <v/>
      </c>
      <c r="M1666" s="65" t="str">
        <f t="shared" ca="1" si="127"/>
        <v/>
      </c>
      <c r="N1666" s="74" t="str">
        <f>IF($C1666="","",IF($C1666="TANIMSIZ MÜŞTERİ","—",INDEX(MUSTERILER!$C$7:$C$156,MATCH($C1666,MUSTERILER!$B$7:$B$156,0))))</f>
        <v/>
      </c>
      <c r="O1666" s="2"/>
      <c r="P1666" s="2"/>
      <c r="Q1666" s="1" t="str">
        <f>IF($D1666="","",$C1666&amp;"|"&amp;COUNTIFS($C$7:$C1666,$C1666))</f>
        <v/>
      </c>
      <c r="R1666" s="1" t="str">
        <f t="shared" si="128"/>
        <v/>
      </c>
      <c r="S1666" s="1" t="str">
        <f t="shared" si="129"/>
        <v/>
      </c>
      <c r="T1666" s="1">
        <f>IF($E1666="",0,SUMPRODUCT((AY_SONU!$O$7:$O$42="Evet")*(AY_SONU!$B$7:$B$42=DATE(YEAR($E1666),MONTH($E1666),1))))</f>
        <v>0</v>
      </c>
    </row>
    <row r="1667" spans="1:20" ht="18" customHeight="1" x14ac:dyDescent="0.3">
      <c r="A1667" s="2"/>
      <c r="B1667" s="65" t="str">
        <f t="shared" si="125"/>
        <v/>
      </c>
      <c r="C1667" s="65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66"/>
      <c r="F1667" s="67"/>
      <c r="G1667" s="60"/>
      <c r="H1667" s="60"/>
      <c r="I1667" s="61"/>
      <c r="J1667" s="61"/>
      <c r="K1667" s="61"/>
      <c r="L1667" s="73" t="str">
        <f t="shared" si="126"/>
        <v/>
      </c>
      <c r="M1667" s="65" t="str">
        <f t="shared" ca="1" si="127"/>
        <v/>
      </c>
      <c r="N1667" s="74" t="str">
        <f>IF($C1667="","",IF($C1667="TANIMSIZ MÜŞTERİ","—",INDEX(MUSTERILER!$C$7:$C$156,MATCH($C1667,MUSTERILER!$B$7:$B$156,0))))</f>
        <v/>
      </c>
      <c r="O1667" s="2"/>
      <c r="P1667" s="2"/>
      <c r="Q1667" s="1" t="str">
        <f>IF($D1667="","",$C1667&amp;"|"&amp;COUNTIFS($C$7:$C1667,$C1667))</f>
        <v/>
      </c>
      <c r="R1667" s="1" t="str">
        <f t="shared" si="128"/>
        <v/>
      </c>
      <c r="S1667" s="1" t="str">
        <f t="shared" si="129"/>
        <v/>
      </c>
      <c r="T1667" s="1">
        <f>IF($E1667="",0,SUMPRODUCT((AY_SONU!$O$7:$O$42="Evet")*(AY_SONU!$B$7:$B$42=DATE(YEAR($E1667),MONTH($E1667),1))))</f>
        <v>0</v>
      </c>
    </row>
    <row r="1668" spans="1:20" ht="18" customHeight="1" x14ac:dyDescent="0.3">
      <c r="A1668" s="2"/>
      <c r="B1668" s="65" t="str">
        <f t="shared" si="125"/>
        <v/>
      </c>
      <c r="C1668" s="65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66"/>
      <c r="F1668" s="67"/>
      <c r="G1668" s="60"/>
      <c r="H1668" s="60"/>
      <c r="I1668" s="61"/>
      <c r="J1668" s="61"/>
      <c r="K1668" s="61"/>
      <c r="L1668" s="73" t="str">
        <f t="shared" si="126"/>
        <v/>
      </c>
      <c r="M1668" s="65" t="str">
        <f t="shared" ca="1" si="127"/>
        <v/>
      </c>
      <c r="N1668" s="74" t="str">
        <f>IF($C1668="","",IF($C1668="TANIMSIZ MÜŞTERİ","—",INDEX(MUSTERILER!$C$7:$C$156,MATCH($C1668,MUSTERILER!$B$7:$B$156,0))))</f>
        <v/>
      </c>
      <c r="O1668" s="2"/>
      <c r="P1668" s="2"/>
      <c r="Q1668" s="1" t="str">
        <f>IF($D1668="","",$C1668&amp;"|"&amp;COUNTIFS($C$7:$C1668,$C1668))</f>
        <v/>
      </c>
      <c r="R1668" s="1" t="str">
        <f t="shared" si="128"/>
        <v/>
      </c>
      <c r="S1668" s="1" t="str">
        <f t="shared" si="129"/>
        <v/>
      </c>
      <c r="T1668" s="1">
        <f>IF($E1668="",0,SUMPRODUCT((AY_SONU!$O$7:$O$42="Evet")*(AY_SONU!$B$7:$B$42=DATE(YEAR($E1668),MONTH($E1668),1))))</f>
        <v>0</v>
      </c>
    </row>
    <row r="1669" spans="1:20" ht="18" customHeight="1" x14ac:dyDescent="0.3">
      <c r="A1669" s="2"/>
      <c r="B1669" s="65" t="str">
        <f t="shared" si="125"/>
        <v/>
      </c>
      <c r="C1669" s="65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66"/>
      <c r="F1669" s="67"/>
      <c r="G1669" s="60"/>
      <c r="H1669" s="60"/>
      <c r="I1669" s="61"/>
      <c r="J1669" s="61"/>
      <c r="K1669" s="61"/>
      <c r="L1669" s="73" t="str">
        <f t="shared" si="126"/>
        <v/>
      </c>
      <c r="M1669" s="65" t="str">
        <f t="shared" ca="1" si="127"/>
        <v/>
      </c>
      <c r="N1669" s="74" t="str">
        <f>IF($C1669="","",IF($C1669="TANIMSIZ MÜŞTERİ","—",INDEX(MUSTERILER!$C$7:$C$156,MATCH($C1669,MUSTERILER!$B$7:$B$156,0))))</f>
        <v/>
      </c>
      <c r="O1669" s="2"/>
      <c r="P1669" s="2"/>
      <c r="Q1669" s="1" t="str">
        <f>IF($D1669="","",$C1669&amp;"|"&amp;COUNTIFS($C$7:$C1669,$C1669))</f>
        <v/>
      </c>
      <c r="R1669" s="1" t="str">
        <f t="shared" si="128"/>
        <v/>
      </c>
      <c r="S1669" s="1" t="str">
        <f t="shared" si="129"/>
        <v/>
      </c>
      <c r="T1669" s="1">
        <f>IF($E1669="",0,SUMPRODUCT((AY_SONU!$O$7:$O$42="Evet")*(AY_SONU!$B$7:$B$42=DATE(YEAR($E1669),MONTH($E1669),1))))</f>
        <v>0</v>
      </c>
    </row>
    <row r="1670" spans="1:20" ht="18" customHeight="1" x14ac:dyDescent="0.3">
      <c r="A1670" s="2"/>
      <c r="B1670" s="65" t="str">
        <f t="shared" si="125"/>
        <v/>
      </c>
      <c r="C1670" s="65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66"/>
      <c r="F1670" s="67"/>
      <c r="G1670" s="60"/>
      <c r="H1670" s="60"/>
      <c r="I1670" s="61"/>
      <c r="J1670" s="61"/>
      <c r="K1670" s="61"/>
      <c r="L1670" s="73" t="str">
        <f t="shared" si="126"/>
        <v/>
      </c>
      <c r="M1670" s="65" t="str">
        <f t="shared" ca="1" si="127"/>
        <v/>
      </c>
      <c r="N1670" s="74" t="str">
        <f>IF($C1670="","",IF($C1670="TANIMSIZ MÜŞTERİ","—",INDEX(MUSTERILER!$C$7:$C$156,MATCH($C1670,MUSTERILER!$B$7:$B$156,0))))</f>
        <v/>
      </c>
      <c r="O1670" s="2"/>
      <c r="P1670" s="2"/>
      <c r="Q1670" s="1" t="str">
        <f>IF($D1670="","",$C1670&amp;"|"&amp;COUNTIFS($C$7:$C1670,$C1670))</f>
        <v/>
      </c>
      <c r="R1670" s="1" t="str">
        <f t="shared" si="128"/>
        <v/>
      </c>
      <c r="S1670" s="1" t="str">
        <f t="shared" si="129"/>
        <v/>
      </c>
      <c r="T1670" s="1">
        <f>IF($E1670="",0,SUMPRODUCT((AY_SONU!$O$7:$O$42="Evet")*(AY_SONU!$B$7:$B$42=DATE(YEAR($E1670),MONTH($E1670),1))))</f>
        <v>0</v>
      </c>
    </row>
    <row r="1671" spans="1:20" ht="18" customHeight="1" x14ac:dyDescent="0.3">
      <c r="A1671" s="2"/>
      <c r="B1671" s="65" t="str">
        <f t="shared" ref="B1671:B1734" si="130">IF($D1671="","","T"&amp;TEXT(ROW()-6,"00000"))</f>
        <v/>
      </c>
      <c r="C1671" s="65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66"/>
      <c r="F1671" s="67"/>
      <c r="G1671" s="60"/>
      <c r="H1671" s="60"/>
      <c r="I1671" s="61"/>
      <c r="J1671" s="61"/>
      <c r="K1671" s="61"/>
      <c r="L1671" s="73" t="str">
        <f t="shared" ref="L1671:L1734" si="131">IF($E1671="","",DATE(YEAR($E1671),MONTH($E1671),1))</f>
        <v/>
      </c>
      <c r="M1671" s="65" t="str">
        <f t="shared" ref="M1671:M1734" ca="1" si="132">IF($D1671="","",IF($C1671="TANIMSIZ MÜŞTERİ","HATA",IF(OR($E1671="",$F1671&lt;=0,$G1671=""),"EKSİK",IF($E1671&gt;TODAY(),"İLERİ TARİH",IF(COUNTIF($S$7:$S$2506,$S1671)&gt;1,"MÜKERRER?",IF($T1671&gt;0,"KAPALI DÖNEM","UYGUN"))))))</f>
        <v/>
      </c>
      <c r="N1671" s="74" t="str">
        <f>IF($C1671="","",IF($C1671="TANIMSIZ MÜŞTERİ","—",INDEX(MUSTERILER!$C$7:$C$156,MATCH($C1671,MUSTERILER!$B$7:$B$156,0))))</f>
        <v/>
      </c>
      <c r="O1671" s="2"/>
      <c r="P1671" s="2"/>
      <c r="Q1671" s="1" t="str">
        <f>IF($D1671="","",$C1671&amp;"|"&amp;COUNTIFS($C$7:$C1671,$C1671))</f>
        <v/>
      </c>
      <c r="R1671" s="1" t="str">
        <f t="shared" ref="R1671:R1734" si="133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 t="str">
        <f t="shared" ref="S1671:S1734" si="134"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>0</v>
      </c>
    </row>
    <row r="1672" spans="1:20" ht="18" customHeight="1" x14ac:dyDescent="0.3">
      <c r="A1672" s="2"/>
      <c r="B1672" s="65" t="str">
        <f t="shared" si="130"/>
        <v/>
      </c>
      <c r="C1672" s="65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66"/>
      <c r="F1672" s="67"/>
      <c r="G1672" s="60"/>
      <c r="H1672" s="60"/>
      <c r="I1672" s="61"/>
      <c r="J1672" s="61"/>
      <c r="K1672" s="61"/>
      <c r="L1672" s="73" t="str">
        <f t="shared" si="131"/>
        <v/>
      </c>
      <c r="M1672" s="65" t="str">
        <f t="shared" ca="1" si="132"/>
        <v/>
      </c>
      <c r="N1672" s="74" t="str">
        <f>IF($C1672="","",IF($C1672="TANIMSIZ MÜŞTERİ","—",INDEX(MUSTERILER!$C$7:$C$156,MATCH($C1672,MUSTERILER!$B$7:$B$156,0))))</f>
        <v/>
      </c>
      <c r="O1672" s="2"/>
      <c r="P1672" s="2"/>
      <c r="Q1672" s="1" t="str">
        <f>IF($D1672="","",$C1672&amp;"|"&amp;COUNTIFS($C$7:$C1672,$C1672))</f>
        <v/>
      </c>
      <c r="R1672" s="1" t="str">
        <f t="shared" si="133"/>
        <v/>
      </c>
      <c r="S1672" s="1" t="str">
        <f t="shared" si="134"/>
        <v/>
      </c>
      <c r="T1672" s="1">
        <f>IF($E1672="",0,SUMPRODUCT((AY_SONU!$O$7:$O$42="Evet")*(AY_SONU!$B$7:$B$42=DATE(YEAR($E1672),MONTH($E1672),1))))</f>
        <v>0</v>
      </c>
    </row>
    <row r="1673" spans="1:20" ht="18" customHeight="1" x14ac:dyDescent="0.3">
      <c r="A1673" s="2"/>
      <c r="B1673" s="65" t="str">
        <f t="shared" si="130"/>
        <v/>
      </c>
      <c r="C1673" s="65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66"/>
      <c r="F1673" s="67"/>
      <c r="G1673" s="60"/>
      <c r="H1673" s="60"/>
      <c r="I1673" s="61"/>
      <c r="J1673" s="61"/>
      <c r="K1673" s="61"/>
      <c r="L1673" s="73" t="str">
        <f t="shared" si="131"/>
        <v/>
      </c>
      <c r="M1673" s="65" t="str">
        <f t="shared" ca="1" si="132"/>
        <v/>
      </c>
      <c r="N1673" s="74" t="str">
        <f>IF($C1673="","",IF($C1673="TANIMSIZ MÜŞTERİ","—",INDEX(MUSTERILER!$C$7:$C$156,MATCH($C1673,MUSTERILER!$B$7:$B$156,0))))</f>
        <v/>
      </c>
      <c r="O1673" s="2"/>
      <c r="P1673" s="2"/>
      <c r="Q1673" s="1" t="str">
        <f>IF($D1673="","",$C1673&amp;"|"&amp;COUNTIFS($C$7:$C1673,$C1673))</f>
        <v/>
      </c>
      <c r="R1673" s="1" t="str">
        <f t="shared" si="133"/>
        <v/>
      </c>
      <c r="S1673" s="1" t="str">
        <f t="shared" si="134"/>
        <v/>
      </c>
      <c r="T1673" s="1">
        <f>IF($E1673="",0,SUMPRODUCT((AY_SONU!$O$7:$O$42="Evet")*(AY_SONU!$B$7:$B$42=DATE(YEAR($E1673),MONTH($E1673),1))))</f>
        <v>0</v>
      </c>
    </row>
    <row r="1674" spans="1:20" ht="18" customHeight="1" x14ac:dyDescent="0.3">
      <c r="A1674" s="2"/>
      <c r="B1674" s="65" t="str">
        <f t="shared" si="130"/>
        <v/>
      </c>
      <c r="C1674" s="65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66"/>
      <c r="F1674" s="67"/>
      <c r="G1674" s="60"/>
      <c r="H1674" s="60"/>
      <c r="I1674" s="61"/>
      <c r="J1674" s="61"/>
      <c r="K1674" s="61"/>
      <c r="L1674" s="73" t="str">
        <f t="shared" si="131"/>
        <v/>
      </c>
      <c r="M1674" s="65" t="str">
        <f t="shared" ca="1" si="132"/>
        <v/>
      </c>
      <c r="N1674" s="74" t="str">
        <f>IF($C1674="","",IF($C1674="TANIMSIZ MÜŞTERİ","—",INDEX(MUSTERILER!$C$7:$C$156,MATCH($C1674,MUSTERILER!$B$7:$B$156,0))))</f>
        <v/>
      </c>
      <c r="O1674" s="2"/>
      <c r="P1674" s="2"/>
      <c r="Q1674" s="1" t="str">
        <f>IF($D1674="","",$C1674&amp;"|"&amp;COUNTIFS($C$7:$C1674,$C1674))</f>
        <v/>
      </c>
      <c r="R1674" s="1" t="str">
        <f t="shared" si="133"/>
        <v/>
      </c>
      <c r="S1674" s="1" t="str">
        <f t="shared" si="134"/>
        <v/>
      </c>
      <c r="T1674" s="1">
        <f>IF($E1674="",0,SUMPRODUCT((AY_SONU!$O$7:$O$42="Evet")*(AY_SONU!$B$7:$B$42=DATE(YEAR($E1674),MONTH($E1674),1))))</f>
        <v>0</v>
      </c>
    </row>
    <row r="1675" spans="1:20" ht="18" customHeight="1" x14ac:dyDescent="0.3">
      <c r="A1675" s="2"/>
      <c r="B1675" s="65" t="str">
        <f t="shared" si="130"/>
        <v/>
      </c>
      <c r="C1675" s="65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66"/>
      <c r="F1675" s="67"/>
      <c r="G1675" s="60"/>
      <c r="H1675" s="60"/>
      <c r="I1675" s="61"/>
      <c r="J1675" s="61"/>
      <c r="K1675" s="61"/>
      <c r="L1675" s="73" t="str">
        <f t="shared" si="131"/>
        <v/>
      </c>
      <c r="M1675" s="65" t="str">
        <f t="shared" ca="1" si="132"/>
        <v/>
      </c>
      <c r="N1675" s="74" t="str">
        <f>IF($C1675="","",IF($C1675="TANIMSIZ MÜŞTERİ","—",INDEX(MUSTERILER!$C$7:$C$156,MATCH($C1675,MUSTERILER!$B$7:$B$156,0))))</f>
        <v/>
      </c>
      <c r="O1675" s="2"/>
      <c r="P1675" s="2"/>
      <c r="Q1675" s="1" t="str">
        <f>IF($D1675="","",$C1675&amp;"|"&amp;COUNTIFS($C$7:$C1675,$C1675))</f>
        <v/>
      </c>
      <c r="R1675" s="1" t="str">
        <f t="shared" si="133"/>
        <v/>
      </c>
      <c r="S1675" s="1" t="str">
        <f t="shared" si="134"/>
        <v/>
      </c>
      <c r="T1675" s="1">
        <f>IF($E1675="",0,SUMPRODUCT((AY_SONU!$O$7:$O$42="Evet")*(AY_SONU!$B$7:$B$42=DATE(YEAR($E1675),MONTH($E1675),1))))</f>
        <v>0</v>
      </c>
    </row>
    <row r="1676" spans="1:20" ht="18" customHeight="1" x14ac:dyDescent="0.3">
      <c r="A1676" s="2"/>
      <c r="B1676" s="65" t="str">
        <f t="shared" si="130"/>
        <v/>
      </c>
      <c r="C1676" s="65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66"/>
      <c r="F1676" s="67"/>
      <c r="G1676" s="60"/>
      <c r="H1676" s="60"/>
      <c r="I1676" s="61"/>
      <c r="J1676" s="61"/>
      <c r="K1676" s="61"/>
      <c r="L1676" s="73" t="str">
        <f t="shared" si="131"/>
        <v/>
      </c>
      <c r="M1676" s="65" t="str">
        <f t="shared" ca="1" si="132"/>
        <v/>
      </c>
      <c r="N1676" s="74" t="str">
        <f>IF($C1676="","",IF($C1676="TANIMSIZ MÜŞTERİ","—",INDEX(MUSTERILER!$C$7:$C$156,MATCH($C1676,MUSTERILER!$B$7:$B$156,0))))</f>
        <v/>
      </c>
      <c r="O1676" s="2"/>
      <c r="P1676" s="2"/>
      <c r="Q1676" s="1" t="str">
        <f>IF($D1676="","",$C1676&amp;"|"&amp;COUNTIFS($C$7:$C1676,$C1676))</f>
        <v/>
      </c>
      <c r="R1676" s="1" t="str">
        <f t="shared" si="133"/>
        <v/>
      </c>
      <c r="S1676" s="1" t="str">
        <f t="shared" si="134"/>
        <v/>
      </c>
      <c r="T1676" s="1">
        <f>IF($E1676="",0,SUMPRODUCT((AY_SONU!$O$7:$O$42="Evet")*(AY_SONU!$B$7:$B$42=DATE(YEAR($E1676),MONTH($E1676),1))))</f>
        <v>0</v>
      </c>
    </row>
    <row r="1677" spans="1:20" ht="18" customHeight="1" x14ac:dyDescent="0.3">
      <c r="A1677" s="2"/>
      <c r="B1677" s="65" t="str">
        <f t="shared" si="130"/>
        <v/>
      </c>
      <c r="C1677" s="65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66"/>
      <c r="F1677" s="67"/>
      <c r="G1677" s="60"/>
      <c r="H1677" s="60"/>
      <c r="I1677" s="61"/>
      <c r="J1677" s="61"/>
      <c r="K1677" s="61"/>
      <c r="L1677" s="73" t="str">
        <f t="shared" si="131"/>
        <v/>
      </c>
      <c r="M1677" s="65" t="str">
        <f t="shared" ca="1" si="132"/>
        <v/>
      </c>
      <c r="N1677" s="74" t="str">
        <f>IF($C1677="","",IF($C1677="TANIMSIZ MÜŞTERİ","—",INDEX(MUSTERILER!$C$7:$C$156,MATCH($C1677,MUSTERILER!$B$7:$B$156,0))))</f>
        <v/>
      </c>
      <c r="O1677" s="2"/>
      <c r="P1677" s="2"/>
      <c r="Q1677" s="1" t="str">
        <f>IF($D1677="","",$C1677&amp;"|"&amp;COUNTIFS($C$7:$C1677,$C1677))</f>
        <v/>
      </c>
      <c r="R1677" s="1" t="str">
        <f t="shared" si="133"/>
        <v/>
      </c>
      <c r="S1677" s="1" t="str">
        <f t="shared" si="134"/>
        <v/>
      </c>
      <c r="T1677" s="1">
        <f>IF($E1677="",0,SUMPRODUCT((AY_SONU!$O$7:$O$42="Evet")*(AY_SONU!$B$7:$B$42=DATE(YEAR($E1677),MONTH($E1677),1))))</f>
        <v>0</v>
      </c>
    </row>
    <row r="1678" spans="1:20" ht="18" customHeight="1" x14ac:dyDescent="0.3">
      <c r="A1678" s="2"/>
      <c r="B1678" s="65" t="str">
        <f t="shared" si="130"/>
        <v/>
      </c>
      <c r="C1678" s="65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66"/>
      <c r="F1678" s="67"/>
      <c r="G1678" s="60"/>
      <c r="H1678" s="60"/>
      <c r="I1678" s="61"/>
      <c r="J1678" s="61"/>
      <c r="K1678" s="61"/>
      <c r="L1678" s="73" t="str">
        <f t="shared" si="131"/>
        <v/>
      </c>
      <c r="M1678" s="65" t="str">
        <f t="shared" ca="1" si="132"/>
        <v/>
      </c>
      <c r="N1678" s="74" t="str">
        <f>IF($C1678="","",IF($C1678="TANIMSIZ MÜŞTERİ","—",INDEX(MUSTERILER!$C$7:$C$156,MATCH($C1678,MUSTERILER!$B$7:$B$156,0))))</f>
        <v/>
      </c>
      <c r="O1678" s="2"/>
      <c r="P1678" s="2"/>
      <c r="Q1678" s="1" t="str">
        <f>IF($D1678="","",$C1678&amp;"|"&amp;COUNTIFS($C$7:$C1678,$C1678))</f>
        <v/>
      </c>
      <c r="R1678" s="1" t="str">
        <f t="shared" si="133"/>
        <v/>
      </c>
      <c r="S1678" s="1" t="str">
        <f t="shared" si="134"/>
        <v/>
      </c>
      <c r="T1678" s="1">
        <f>IF($E1678="",0,SUMPRODUCT((AY_SONU!$O$7:$O$42="Evet")*(AY_SONU!$B$7:$B$42=DATE(YEAR($E1678),MONTH($E1678),1))))</f>
        <v>0</v>
      </c>
    </row>
    <row r="1679" spans="1:20" ht="18" customHeight="1" x14ac:dyDescent="0.3">
      <c r="A1679" s="2"/>
      <c r="B1679" s="65" t="str">
        <f t="shared" si="130"/>
        <v/>
      </c>
      <c r="C1679" s="65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66"/>
      <c r="F1679" s="67"/>
      <c r="G1679" s="60"/>
      <c r="H1679" s="60"/>
      <c r="I1679" s="61"/>
      <c r="J1679" s="61"/>
      <c r="K1679" s="61"/>
      <c r="L1679" s="73" t="str">
        <f t="shared" si="131"/>
        <v/>
      </c>
      <c r="M1679" s="65" t="str">
        <f t="shared" ca="1" si="132"/>
        <v/>
      </c>
      <c r="N1679" s="74" t="str">
        <f>IF($C1679="","",IF($C1679="TANIMSIZ MÜŞTERİ","—",INDEX(MUSTERILER!$C$7:$C$156,MATCH($C1679,MUSTERILER!$B$7:$B$156,0))))</f>
        <v/>
      </c>
      <c r="O1679" s="2"/>
      <c r="P1679" s="2"/>
      <c r="Q1679" s="1" t="str">
        <f>IF($D1679="","",$C1679&amp;"|"&amp;COUNTIFS($C$7:$C1679,$C1679))</f>
        <v/>
      </c>
      <c r="R1679" s="1" t="str">
        <f t="shared" si="133"/>
        <v/>
      </c>
      <c r="S1679" s="1" t="str">
        <f t="shared" si="134"/>
        <v/>
      </c>
      <c r="T1679" s="1">
        <f>IF($E1679="",0,SUMPRODUCT((AY_SONU!$O$7:$O$42="Evet")*(AY_SONU!$B$7:$B$42=DATE(YEAR($E1679),MONTH($E1679),1))))</f>
        <v>0</v>
      </c>
    </row>
    <row r="1680" spans="1:20" ht="18" customHeight="1" x14ac:dyDescent="0.3">
      <c r="A1680" s="2"/>
      <c r="B1680" s="65" t="str">
        <f t="shared" si="130"/>
        <v/>
      </c>
      <c r="C1680" s="65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66"/>
      <c r="F1680" s="67"/>
      <c r="G1680" s="60"/>
      <c r="H1680" s="60"/>
      <c r="I1680" s="61"/>
      <c r="J1680" s="61"/>
      <c r="K1680" s="61"/>
      <c r="L1680" s="73" t="str">
        <f t="shared" si="131"/>
        <v/>
      </c>
      <c r="M1680" s="65" t="str">
        <f t="shared" ca="1" si="132"/>
        <v/>
      </c>
      <c r="N1680" s="74" t="str">
        <f>IF($C1680="","",IF($C1680="TANIMSIZ MÜŞTERİ","—",INDEX(MUSTERILER!$C$7:$C$156,MATCH($C1680,MUSTERILER!$B$7:$B$156,0))))</f>
        <v/>
      </c>
      <c r="O1680" s="2"/>
      <c r="P1680" s="2"/>
      <c r="Q1680" s="1" t="str">
        <f>IF($D1680="","",$C1680&amp;"|"&amp;COUNTIFS($C$7:$C1680,$C1680))</f>
        <v/>
      </c>
      <c r="R1680" s="1" t="str">
        <f t="shared" si="133"/>
        <v/>
      </c>
      <c r="S1680" s="1" t="str">
        <f t="shared" si="134"/>
        <v/>
      </c>
      <c r="T1680" s="1">
        <f>IF($E1680="",0,SUMPRODUCT((AY_SONU!$O$7:$O$42="Evet")*(AY_SONU!$B$7:$B$42=DATE(YEAR($E1680),MONTH($E1680),1))))</f>
        <v>0</v>
      </c>
    </row>
    <row r="1681" spans="1:20" ht="18" customHeight="1" x14ac:dyDescent="0.3">
      <c r="A1681" s="2"/>
      <c r="B1681" s="65" t="str">
        <f t="shared" si="130"/>
        <v/>
      </c>
      <c r="C1681" s="65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66"/>
      <c r="F1681" s="67"/>
      <c r="G1681" s="60"/>
      <c r="H1681" s="60"/>
      <c r="I1681" s="61"/>
      <c r="J1681" s="61"/>
      <c r="K1681" s="61"/>
      <c r="L1681" s="73" t="str">
        <f t="shared" si="131"/>
        <v/>
      </c>
      <c r="M1681" s="65" t="str">
        <f t="shared" ca="1" si="132"/>
        <v/>
      </c>
      <c r="N1681" s="74" t="str">
        <f>IF($C1681="","",IF($C1681="TANIMSIZ MÜŞTERİ","—",INDEX(MUSTERILER!$C$7:$C$156,MATCH($C1681,MUSTERILER!$B$7:$B$156,0))))</f>
        <v/>
      </c>
      <c r="O1681" s="2"/>
      <c r="P1681" s="2"/>
      <c r="Q1681" s="1" t="str">
        <f>IF($D1681="","",$C1681&amp;"|"&amp;COUNTIFS($C$7:$C1681,$C1681))</f>
        <v/>
      </c>
      <c r="R1681" s="1" t="str">
        <f t="shared" si="133"/>
        <v/>
      </c>
      <c r="S1681" s="1" t="str">
        <f t="shared" si="134"/>
        <v/>
      </c>
      <c r="T1681" s="1">
        <f>IF($E1681="",0,SUMPRODUCT((AY_SONU!$O$7:$O$42="Evet")*(AY_SONU!$B$7:$B$42=DATE(YEAR($E1681),MONTH($E1681),1))))</f>
        <v>0</v>
      </c>
    </row>
    <row r="1682" spans="1:20" ht="18" customHeight="1" x14ac:dyDescent="0.3">
      <c r="A1682" s="2"/>
      <c r="B1682" s="65" t="str">
        <f t="shared" si="130"/>
        <v/>
      </c>
      <c r="C1682" s="65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66"/>
      <c r="F1682" s="67"/>
      <c r="G1682" s="60"/>
      <c r="H1682" s="60"/>
      <c r="I1682" s="61"/>
      <c r="J1682" s="61"/>
      <c r="K1682" s="61"/>
      <c r="L1682" s="73" t="str">
        <f t="shared" si="131"/>
        <v/>
      </c>
      <c r="M1682" s="65" t="str">
        <f t="shared" ca="1" si="132"/>
        <v/>
      </c>
      <c r="N1682" s="74" t="str">
        <f>IF($C1682="","",IF($C1682="TANIMSIZ MÜŞTERİ","—",INDEX(MUSTERILER!$C$7:$C$156,MATCH($C1682,MUSTERILER!$B$7:$B$156,0))))</f>
        <v/>
      </c>
      <c r="O1682" s="2"/>
      <c r="P1682" s="2"/>
      <c r="Q1682" s="1" t="str">
        <f>IF($D1682="","",$C1682&amp;"|"&amp;COUNTIFS($C$7:$C1682,$C1682))</f>
        <v/>
      </c>
      <c r="R1682" s="1" t="str">
        <f t="shared" si="133"/>
        <v/>
      </c>
      <c r="S1682" s="1" t="str">
        <f t="shared" si="134"/>
        <v/>
      </c>
      <c r="T1682" s="1">
        <f>IF($E1682="",0,SUMPRODUCT((AY_SONU!$O$7:$O$42="Evet")*(AY_SONU!$B$7:$B$42=DATE(YEAR($E1682),MONTH($E1682),1))))</f>
        <v>0</v>
      </c>
    </row>
    <row r="1683" spans="1:20" ht="18" customHeight="1" x14ac:dyDescent="0.3">
      <c r="A1683" s="2"/>
      <c r="B1683" s="65" t="str">
        <f t="shared" si="130"/>
        <v/>
      </c>
      <c r="C1683" s="65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66"/>
      <c r="F1683" s="67"/>
      <c r="G1683" s="60"/>
      <c r="H1683" s="60"/>
      <c r="I1683" s="61"/>
      <c r="J1683" s="61"/>
      <c r="K1683" s="61"/>
      <c r="L1683" s="73" t="str">
        <f t="shared" si="131"/>
        <v/>
      </c>
      <c r="M1683" s="65" t="str">
        <f t="shared" ca="1" si="132"/>
        <v/>
      </c>
      <c r="N1683" s="74" t="str">
        <f>IF($C1683="","",IF($C1683="TANIMSIZ MÜŞTERİ","—",INDEX(MUSTERILER!$C$7:$C$156,MATCH($C1683,MUSTERILER!$B$7:$B$156,0))))</f>
        <v/>
      </c>
      <c r="O1683" s="2"/>
      <c r="P1683" s="2"/>
      <c r="Q1683" s="1" t="str">
        <f>IF($D1683="","",$C1683&amp;"|"&amp;COUNTIFS($C$7:$C1683,$C1683))</f>
        <v/>
      </c>
      <c r="R1683" s="1" t="str">
        <f t="shared" si="133"/>
        <v/>
      </c>
      <c r="S1683" s="1" t="str">
        <f t="shared" si="134"/>
        <v/>
      </c>
      <c r="T1683" s="1">
        <f>IF($E1683="",0,SUMPRODUCT((AY_SONU!$O$7:$O$42="Evet")*(AY_SONU!$B$7:$B$42=DATE(YEAR($E1683),MONTH($E1683),1))))</f>
        <v>0</v>
      </c>
    </row>
    <row r="1684" spans="1:20" ht="18" customHeight="1" x14ac:dyDescent="0.3">
      <c r="A1684" s="2"/>
      <c r="B1684" s="65" t="str">
        <f t="shared" si="130"/>
        <v/>
      </c>
      <c r="C1684" s="65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66"/>
      <c r="F1684" s="67"/>
      <c r="G1684" s="60"/>
      <c r="H1684" s="60"/>
      <c r="I1684" s="61"/>
      <c r="J1684" s="61"/>
      <c r="K1684" s="61"/>
      <c r="L1684" s="73" t="str">
        <f t="shared" si="131"/>
        <v/>
      </c>
      <c r="M1684" s="65" t="str">
        <f t="shared" ca="1" si="132"/>
        <v/>
      </c>
      <c r="N1684" s="74" t="str">
        <f>IF($C1684="","",IF($C1684="TANIMSIZ MÜŞTERİ","—",INDEX(MUSTERILER!$C$7:$C$156,MATCH($C1684,MUSTERILER!$B$7:$B$156,0))))</f>
        <v/>
      </c>
      <c r="O1684" s="2"/>
      <c r="P1684" s="2"/>
      <c r="Q1684" s="1" t="str">
        <f>IF($D1684="","",$C1684&amp;"|"&amp;COUNTIFS($C$7:$C1684,$C1684))</f>
        <v/>
      </c>
      <c r="R1684" s="1" t="str">
        <f t="shared" si="133"/>
        <v/>
      </c>
      <c r="S1684" s="1" t="str">
        <f t="shared" si="134"/>
        <v/>
      </c>
      <c r="T1684" s="1">
        <f>IF($E1684="",0,SUMPRODUCT((AY_SONU!$O$7:$O$42="Evet")*(AY_SONU!$B$7:$B$42=DATE(YEAR($E1684),MONTH($E1684),1))))</f>
        <v>0</v>
      </c>
    </row>
    <row r="1685" spans="1:20" ht="18" customHeight="1" x14ac:dyDescent="0.3">
      <c r="A1685" s="2"/>
      <c r="B1685" s="65" t="str">
        <f t="shared" si="130"/>
        <v/>
      </c>
      <c r="C1685" s="65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66"/>
      <c r="F1685" s="67"/>
      <c r="G1685" s="60"/>
      <c r="H1685" s="60"/>
      <c r="I1685" s="61"/>
      <c r="J1685" s="61"/>
      <c r="K1685" s="61"/>
      <c r="L1685" s="73" t="str">
        <f t="shared" si="131"/>
        <v/>
      </c>
      <c r="M1685" s="65" t="str">
        <f t="shared" ca="1" si="132"/>
        <v/>
      </c>
      <c r="N1685" s="74" t="str">
        <f>IF($C1685="","",IF($C1685="TANIMSIZ MÜŞTERİ","—",INDEX(MUSTERILER!$C$7:$C$156,MATCH($C1685,MUSTERILER!$B$7:$B$156,0))))</f>
        <v/>
      </c>
      <c r="O1685" s="2"/>
      <c r="P1685" s="2"/>
      <c r="Q1685" s="1" t="str">
        <f>IF($D1685="","",$C1685&amp;"|"&amp;COUNTIFS($C$7:$C1685,$C1685))</f>
        <v/>
      </c>
      <c r="R1685" s="1" t="str">
        <f t="shared" si="133"/>
        <v/>
      </c>
      <c r="S1685" s="1" t="str">
        <f t="shared" si="134"/>
        <v/>
      </c>
      <c r="T1685" s="1">
        <f>IF($E1685="",0,SUMPRODUCT((AY_SONU!$O$7:$O$42="Evet")*(AY_SONU!$B$7:$B$42=DATE(YEAR($E1685),MONTH($E1685),1))))</f>
        <v>0</v>
      </c>
    </row>
    <row r="1686" spans="1:20" ht="18" customHeight="1" x14ac:dyDescent="0.3">
      <c r="A1686" s="2"/>
      <c r="B1686" s="65" t="str">
        <f t="shared" si="130"/>
        <v/>
      </c>
      <c r="C1686" s="65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66"/>
      <c r="F1686" s="67"/>
      <c r="G1686" s="60"/>
      <c r="H1686" s="60"/>
      <c r="I1686" s="61"/>
      <c r="J1686" s="61"/>
      <c r="K1686" s="61"/>
      <c r="L1686" s="73" t="str">
        <f t="shared" si="131"/>
        <v/>
      </c>
      <c r="M1686" s="65" t="str">
        <f t="shared" ca="1" si="132"/>
        <v/>
      </c>
      <c r="N1686" s="74" t="str">
        <f>IF($C1686="","",IF($C1686="TANIMSIZ MÜŞTERİ","—",INDEX(MUSTERILER!$C$7:$C$156,MATCH($C1686,MUSTERILER!$B$7:$B$156,0))))</f>
        <v/>
      </c>
      <c r="O1686" s="2"/>
      <c r="P1686" s="2"/>
      <c r="Q1686" s="1" t="str">
        <f>IF($D1686="","",$C1686&amp;"|"&amp;COUNTIFS($C$7:$C1686,$C1686))</f>
        <v/>
      </c>
      <c r="R1686" s="1" t="str">
        <f t="shared" si="133"/>
        <v/>
      </c>
      <c r="S1686" s="1" t="str">
        <f t="shared" si="134"/>
        <v/>
      </c>
      <c r="T1686" s="1">
        <f>IF($E1686="",0,SUMPRODUCT((AY_SONU!$O$7:$O$42="Evet")*(AY_SONU!$B$7:$B$42=DATE(YEAR($E1686),MONTH($E1686),1))))</f>
        <v>0</v>
      </c>
    </row>
    <row r="1687" spans="1:20" ht="18" customHeight="1" x14ac:dyDescent="0.3">
      <c r="A1687" s="2"/>
      <c r="B1687" s="65" t="str">
        <f t="shared" si="130"/>
        <v/>
      </c>
      <c r="C1687" s="65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66"/>
      <c r="F1687" s="67"/>
      <c r="G1687" s="60"/>
      <c r="H1687" s="60"/>
      <c r="I1687" s="61"/>
      <c r="J1687" s="61"/>
      <c r="K1687" s="61"/>
      <c r="L1687" s="73" t="str">
        <f t="shared" si="131"/>
        <v/>
      </c>
      <c r="M1687" s="65" t="str">
        <f t="shared" ca="1" si="132"/>
        <v/>
      </c>
      <c r="N1687" s="74" t="str">
        <f>IF($C1687="","",IF($C1687="TANIMSIZ MÜŞTERİ","—",INDEX(MUSTERILER!$C$7:$C$156,MATCH($C1687,MUSTERILER!$B$7:$B$156,0))))</f>
        <v/>
      </c>
      <c r="O1687" s="2"/>
      <c r="P1687" s="2"/>
      <c r="Q1687" s="1" t="str">
        <f>IF($D1687="","",$C1687&amp;"|"&amp;COUNTIFS($C$7:$C1687,$C1687))</f>
        <v/>
      </c>
      <c r="R1687" s="1" t="str">
        <f t="shared" si="133"/>
        <v/>
      </c>
      <c r="S1687" s="1" t="str">
        <f t="shared" si="134"/>
        <v/>
      </c>
      <c r="T1687" s="1">
        <f>IF($E1687="",0,SUMPRODUCT((AY_SONU!$O$7:$O$42="Evet")*(AY_SONU!$B$7:$B$42=DATE(YEAR($E1687),MONTH($E1687),1))))</f>
        <v>0</v>
      </c>
    </row>
    <row r="1688" spans="1:20" ht="18" customHeight="1" x14ac:dyDescent="0.3">
      <c r="A1688" s="2"/>
      <c r="B1688" s="65" t="str">
        <f t="shared" si="130"/>
        <v/>
      </c>
      <c r="C1688" s="65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66"/>
      <c r="F1688" s="67"/>
      <c r="G1688" s="60"/>
      <c r="H1688" s="60"/>
      <c r="I1688" s="61"/>
      <c r="J1688" s="61"/>
      <c r="K1688" s="61"/>
      <c r="L1688" s="73" t="str">
        <f t="shared" si="131"/>
        <v/>
      </c>
      <c r="M1688" s="65" t="str">
        <f t="shared" ca="1" si="132"/>
        <v/>
      </c>
      <c r="N1688" s="74" t="str">
        <f>IF($C1688="","",IF($C1688="TANIMSIZ MÜŞTERİ","—",INDEX(MUSTERILER!$C$7:$C$156,MATCH($C1688,MUSTERILER!$B$7:$B$156,0))))</f>
        <v/>
      </c>
      <c r="O1688" s="2"/>
      <c r="P1688" s="2"/>
      <c r="Q1688" s="1" t="str">
        <f>IF($D1688="","",$C1688&amp;"|"&amp;COUNTIFS($C$7:$C1688,$C1688))</f>
        <v/>
      </c>
      <c r="R1688" s="1" t="str">
        <f t="shared" si="133"/>
        <v/>
      </c>
      <c r="S1688" s="1" t="str">
        <f t="shared" si="134"/>
        <v/>
      </c>
      <c r="T1688" s="1">
        <f>IF($E1688="",0,SUMPRODUCT((AY_SONU!$O$7:$O$42="Evet")*(AY_SONU!$B$7:$B$42=DATE(YEAR($E1688),MONTH($E1688),1))))</f>
        <v>0</v>
      </c>
    </row>
    <row r="1689" spans="1:20" ht="18" customHeight="1" x14ac:dyDescent="0.3">
      <c r="A1689" s="2"/>
      <c r="B1689" s="65" t="str">
        <f t="shared" si="130"/>
        <v/>
      </c>
      <c r="C1689" s="65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66"/>
      <c r="F1689" s="67"/>
      <c r="G1689" s="60"/>
      <c r="H1689" s="60"/>
      <c r="I1689" s="61"/>
      <c r="J1689" s="61"/>
      <c r="K1689" s="61"/>
      <c r="L1689" s="73" t="str">
        <f t="shared" si="131"/>
        <v/>
      </c>
      <c r="M1689" s="65" t="str">
        <f t="shared" ca="1" si="132"/>
        <v/>
      </c>
      <c r="N1689" s="74" t="str">
        <f>IF($C1689="","",IF($C1689="TANIMSIZ MÜŞTERİ","—",INDEX(MUSTERILER!$C$7:$C$156,MATCH($C1689,MUSTERILER!$B$7:$B$156,0))))</f>
        <v/>
      </c>
      <c r="O1689" s="2"/>
      <c r="P1689" s="2"/>
      <c r="Q1689" s="1" t="str">
        <f>IF($D1689="","",$C1689&amp;"|"&amp;COUNTIFS($C$7:$C1689,$C1689))</f>
        <v/>
      </c>
      <c r="R1689" s="1" t="str">
        <f t="shared" si="133"/>
        <v/>
      </c>
      <c r="S1689" s="1" t="str">
        <f t="shared" si="134"/>
        <v/>
      </c>
      <c r="T1689" s="1">
        <f>IF($E1689="",0,SUMPRODUCT((AY_SONU!$O$7:$O$42="Evet")*(AY_SONU!$B$7:$B$42=DATE(YEAR($E1689),MONTH($E1689),1))))</f>
        <v>0</v>
      </c>
    </row>
    <row r="1690" spans="1:20" ht="18" customHeight="1" x14ac:dyDescent="0.3">
      <c r="A1690" s="2"/>
      <c r="B1690" s="65" t="str">
        <f t="shared" si="130"/>
        <v/>
      </c>
      <c r="C1690" s="65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66"/>
      <c r="F1690" s="67"/>
      <c r="G1690" s="60"/>
      <c r="H1690" s="60"/>
      <c r="I1690" s="61"/>
      <c r="J1690" s="61"/>
      <c r="K1690" s="61"/>
      <c r="L1690" s="73" t="str">
        <f t="shared" si="131"/>
        <v/>
      </c>
      <c r="M1690" s="65" t="str">
        <f t="shared" ca="1" si="132"/>
        <v/>
      </c>
      <c r="N1690" s="74" t="str">
        <f>IF($C1690="","",IF($C1690="TANIMSIZ MÜŞTERİ","—",INDEX(MUSTERILER!$C$7:$C$156,MATCH($C1690,MUSTERILER!$B$7:$B$156,0))))</f>
        <v/>
      </c>
      <c r="O1690" s="2"/>
      <c r="P1690" s="2"/>
      <c r="Q1690" s="1" t="str">
        <f>IF($D1690="","",$C1690&amp;"|"&amp;COUNTIFS($C$7:$C1690,$C1690))</f>
        <v/>
      </c>
      <c r="R1690" s="1" t="str">
        <f t="shared" si="133"/>
        <v/>
      </c>
      <c r="S1690" s="1" t="str">
        <f t="shared" si="134"/>
        <v/>
      </c>
      <c r="T1690" s="1">
        <f>IF($E1690="",0,SUMPRODUCT((AY_SONU!$O$7:$O$42="Evet")*(AY_SONU!$B$7:$B$42=DATE(YEAR($E1690),MONTH($E1690),1))))</f>
        <v>0</v>
      </c>
    </row>
    <row r="1691" spans="1:20" ht="18" customHeight="1" x14ac:dyDescent="0.3">
      <c r="A1691" s="2"/>
      <c r="B1691" s="65" t="str">
        <f t="shared" si="130"/>
        <v/>
      </c>
      <c r="C1691" s="65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66"/>
      <c r="F1691" s="67"/>
      <c r="G1691" s="60"/>
      <c r="H1691" s="60"/>
      <c r="I1691" s="61"/>
      <c r="J1691" s="61"/>
      <c r="K1691" s="61"/>
      <c r="L1691" s="73" t="str">
        <f t="shared" si="131"/>
        <v/>
      </c>
      <c r="M1691" s="65" t="str">
        <f t="shared" ca="1" si="132"/>
        <v/>
      </c>
      <c r="N1691" s="74" t="str">
        <f>IF($C1691="","",IF($C1691="TANIMSIZ MÜŞTERİ","—",INDEX(MUSTERILER!$C$7:$C$156,MATCH($C1691,MUSTERILER!$B$7:$B$156,0))))</f>
        <v/>
      </c>
      <c r="O1691" s="2"/>
      <c r="P1691" s="2"/>
      <c r="Q1691" s="1" t="str">
        <f>IF($D1691="","",$C1691&amp;"|"&amp;COUNTIFS($C$7:$C1691,$C1691))</f>
        <v/>
      </c>
      <c r="R1691" s="1" t="str">
        <f t="shared" si="133"/>
        <v/>
      </c>
      <c r="S1691" s="1" t="str">
        <f t="shared" si="134"/>
        <v/>
      </c>
      <c r="T1691" s="1">
        <f>IF($E1691="",0,SUMPRODUCT((AY_SONU!$O$7:$O$42="Evet")*(AY_SONU!$B$7:$B$42=DATE(YEAR($E1691),MONTH($E1691),1))))</f>
        <v>0</v>
      </c>
    </row>
    <row r="1692" spans="1:20" ht="18" customHeight="1" x14ac:dyDescent="0.3">
      <c r="A1692" s="2"/>
      <c r="B1692" s="65" t="str">
        <f t="shared" si="130"/>
        <v/>
      </c>
      <c r="C1692" s="65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66"/>
      <c r="F1692" s="67"/>
      <c r="G1692" s="60"/>
      <c r="H1692" s="60"/>
      <c r="I1692" s="61"/>
      <c r="J1692" s="61"/>
      <c r="K1692" s="61"/>
      <c r="L1692" s="73" t="str">
        <f t="shared" si="131"/>
        <v/>
      </c>
      <c r="M1692" s="65" t="str">
        <f t="shared" ca="1" si="132"/>
        <v/>
      </c>
      <c r="N1692" s="74" t="str">
        <f>IF($C1692="","",IF($C1692="TANIMSIZ MÜŞTERİ","—",INDEX(MUSTERILER!$C$7:$C$156,MATCH($C1692,MUSTERILER!$B$7:$B$156,0))))</f>
        <v/>
      </c>
      <c r="O1692" s="2"/>
      <c r="P1692" s="2"/>
      <c r="Q1692" s="1" t="str">
        <f>IF($D1692="","",$C1692&amp;"|"&amp;COUNTIFS($C$7:$C1692,$C1692))</f>
        <v/>
      </c>
      <c r="R1692" s="1" t="str">
        <f t="shared" si="133"/>
        <v/>
      </c>
      <c r="S1692" s="1" t="str">
        <f t="shared" si="134"/>
        <v/>
      </c>
      <c r="T1692" s="1">
        <f>IF($E1692="",0,SUMPRODUCT((AY_SONU!$O$7:$O$42="Evet")*(AY_SONU!$B$7:$B$42=DATE(YEAR($E1692),MONTH($E1692),1))))</f>
        <v>0</v>
      </c>
    </row>
    <row r="1693" spans="1:20" ht="18" customHeight="1" x14ac:dyDescent="0.3">
      <c r="A1693" s="2"/>
      <c r="B1693" s="65" t="str">
        <f t="shared" si="130"/>
        <v/>
      </c>
      <c r="C1693" s="65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66"/>
      <c r="F1693" s="67"/>
      <c r="G1693" s="60"/>
      <c r="H1693" s="60"/>
      <c r="I1693" s="61"/>
      <c r="J1693" s="61"/>
      <c r="K1693" s="61"/>
      <c r="L1693" s="73" t="str">
        <f t="shared" si="131"/>
        <v/>
      </c>
      <c r="M1693" s="65" t="str">
        <f t="shared" ca="1" si="132"/>
        <v/>
      </c>
      <c r="N1693" s="74" t="str">
        <f>IF($C1693="","",IF($C1693="TANIMSIZ MÜŞTERİ","—",INDEX(MUSTERILER!$C$7:$C$156,MATCH($C1693,MUSTERILER!$B$7:$B$156,0))))</f>
        <v/>
      </c>
      <c r="O1693" s="2"/>
      <c r="P1693" s="2"/>
      <c r="Q1693" s="1" t="str">
        <f>IF($D1693="","",$C1693&amp;"|"&amp;COUNTIFS($C$7:$C1693,$C1693))</f>
        <v/>
      </c>
      <c r="R1693" s="1" t="str">
        <f t="shared" si="133"/>
        <v/>
      </c>
      <c r="S1693" s="1" t="str">
        <f t="shared" si="134"/>
        <v/>
      </c>
      <c r="T1693" s="1">
        <f>IF($E1693="",0,SUMPRODUCT((AY_SONU!$O$7:$O$42="Evet")*(AY_SONU!$B$7:$B$42=DATE(YEAR($E1693),MONTH($E1693),1))))</f>
        <v>0</v>
      </c>
    </row>
    <row r="1694" spans="1:20" ht="18" customHeight="1" x14ac:dyDescent="0.3">
      <c r="A1694" s="2"/>
      <c r="B1694" s="65" t="str">
        <f t="shared" si="130"/>
        <v/>
      </c>
      <c r="C1694" s="65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66"/>
      <c r="F1694" s="67"/>
      <c r="G1694" s="60"/>
      <c r="H1694" s="60"/>
      <c r="I1694" s="61"/>
      <c r="J1694" s="61"/>
      <c r="K1694" s="61"/>
      <c r="L1694" s="73" t="str">
        <f t="shared" si="131"/>
        <v/>
      </c>
      <c r="M1694" s="65" t="str">
        <f t="shared" ca="1" si="132"/>
        <v/>
      </c>
      <c r="N1694" s="74" t="str">
        <f>IF($C1694="","",IF($C1694="TANIMSIZ MÜŞTERİ","—",INDEX(MUSTERILER!$C$7:$C$156,MATCH($C1694,MUSTERILER!$B$7:$B$156,0))))</f>
        <v/>
      </c>
      <c r="O1694" s="2"/>
      <c r="P1694" s="2"/>
      <c r="Q1694" s="1" t="str">
        <f>IF($D1694="","",$C1694&amp;"|"&amp;COUNTIFS($C$7:$C1694,$C1694))</f>
        <v/>
      </c>
      <c r="R1694" s="1" t="str">
        <f t="shared" si="133"/>
        <v/>
      </c>
      <c r="S1694" s="1" t="str">
        <f t="shared" si="134"/>
        <v/>
      </c>
      <c r="T1694" s="1">
        <f>IF($E1694="",0,SUMPRODUCT((AY_SONU!$O$7:$O$42="Evet")*(AY_SONU!$B$7:$B$42=DATE(YEAR($E1694),MONTH($E1694),1))))</f>
        <v>0</v>
      </c>
    </row>
    <row r="1695" spans="1:20" ht="18" customHeight="1" x14ac:dyDescent="0.3">
      <c r="A1695" s="2"/>
      <c r="B1695" s="65" t="str">
        <f t="shared" si="130"/>
        <v/>
      </c>
      <c r="C1695" s="65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66"/>
      <c r="F1695" s="67"/>
      <c r="G1695" s="60"/>
      <c r="H1695" s="60"/>
      <c r="I1695" s="61"/>
      <c r="J1695" s="61"/>
      <c r="K1695" s="61"/>
      <c r="L1695" s="73" t="str">
        <f t="shared" si="131"/>
        <v/>
      </c>
      <c r="M1695" s="65" t="str">
        <f t="shared" ca="1" si="132"/>
        <v/>
      </c>
      <c r="N1695" s="74" t="str">
        <f>IF($C1695="","",IF($C1695="TANIMSIZ MÜŞTERİ","—",INDEX(MUSTERILER!$C$7:$C$156,MATCH($C1695,MUSTERILER!$B$7:$B$156,0))))</f>
        <v/>
      </c>
      <c r="O1695" s="2"/>
      <c r="P1695" s="2"/>
      <c r="Q1695" s="1" t="str">
        <f>IF($D1695="","",$C1695&amp;"|"&amp;COUNTIFS($C$7:$C1695,$C1695))</f>
        <v/>
      </c>
      <c r="R1695" s="1" t="str">
        <f t="shared" si="133"/>
        <v/>
      </c>
      <c r="S1695" s="1" t="str">
        <f t="shared" si="134"/>
        <v/>
      </c>
      <c r="T1695" s="1">
        <f>IF($E1695="",0,SUMPRODUCT((AY_SONU!$O$7:$O$42="Evet")*(AY_SONU!$B$7:$B$42=DATE(YEAR($E1695),MONTH($E1695),1))))</f>
        <v>0</v>
      </c>
    </row>
    <row r="1696" spans="1:20" ht="18" customHeight="1" x14ac:dyDescent="0.3">
      <c r="A1696" s="2"/>
      <c r="B1696" s="65" t="str">
        <f t="shared" si="130"/>
        <v/>
      </c>
      <c r="C1696" s="65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66"/>
      <c r="F1696" s="67"/>
      <c r="G1696" s="60"/>
      <c r="H1696" s="60"/>
      <c r="I1696" s="61"/>
      <c r="J1696" s="61"/>
      <c r="K1696" s="61"/>
      <c r="L1696" s="73" t="str">
        <f t="shared" si="131"/>
        <v/>
      </c>
      <c r="M1696" s="65" t="str">
        <f t="shared" ca="1" si="132"/>
        <v/>
      </c>
      <c r="N1696" s="74" t="str">
        <f>IF($C1696="","",IF($C1696="TANIMSIZ MÜŞTERİ","—",INDEX(MUSTERILER!$C$7:$C$156,MATCH($C1696,MUSTERILER!$B$7:$B$156,0))))</f>
        <v/>
      </c>
      <c r="O1696" s="2"/>
      <c r="P1696" s="2"/>
      <c r="Q1696" s="1" t="str">
        <f>IF($D1696="","",$C1696&amp;"|"&amp;COUNTIFS($C$7:$C1696,$C1696))</f>
        <v/>
      </c>
      <c r="R1696" s="1" t="str">
        <f t="shared" si="133"/>
        <v/>
      </c>
      <c r="S1696" s="1" t="str">
        <f t="shared" si="134"/>
        <v/>
      </c>
      <c r="T1696" s="1">
        <f>IF($E1696="",0,SUMPRODUCT((AY_SONU!$O$7:$O$42="Evet")*(AY_SONU!$B$7:$B$42=DATE(YEAR($E1696),MONTH($E1696),1))))</f>
        <v>0</v>
      </c>
    </row>
    <row r="1697" spans="1:20" ht="18" customHeight="1" x14ac:dyDescent="0.3">
      <c r="A1697" s="2"/>
      <c r="B1697" s="65" t="str">
        <f t="shared" si="130"/>
        <v/>
      </c>
      <c r="C1697" s="65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66"/>
      <c r="F1697" s="67"/>
      <c r="G1697" s="60"/>
      <c r="H1697" s="60"/>
      <c r="I1697" s="61"/>
      <c r="J1697" s="61"/>
      <c r="K1697" s="61"/>
      <c r="L1697" s="73" t="str">
        <f t="shared" si="131"/>
        <v/>
      </c>
      <c r="M1697" s="65" t="str">
        <f t="shared" ca="1" si="132"/>
        <v/>
      </c>
      <c r="N1697" s="74" t="str">
        <f>IF($C1697="","",IF($C1697="TANIMSIZ MÜŞTERİ","—",INDEX(MUSTERILER!$C$7:$C$156,MATCH($C1697,MUSTERILER!$B$7:$B$156,0))))</f>
        <v/>
      </c>
      <c r="O1697" s="2"/>
      <c r="P1697" s="2"/>
      <c r="Q1697" s="1" t="str">
        <f>IF($D1697="","",$C1697&amp;"|"&amp;COUNTIFS($C$7:$C1697,$C1697))</f>
        <v/>
      </c>
      <c r="R1697" s="1" t="str">
        <f t="shared" si="133"/>
        <v/>
      </c>
      <c r="S1697" s="1" t="str">
        <f t="shared" si="134"/>
        <v/>
      </c>
      <c r="T1697" s="1">
        <f>IF($E1697="",0,SUMPRODUCT((AY_SONU!$O$7:$O$42="Evet")*(AY_SONU!$B$7:$B$42=DATE(YEAR($E1697),MONTH($E1697),1))))</f>
        <v>0</v>
      </c>
    </row>
    <row r="1698" spans="1:20" ht="18" customHeight="1" x14ac:dyDescent="0.3">
      <c r="A1698" s="2"/>
      <c r="B1698" s="65" t="str">
        <f t="shared" si="130"/>
        <v/>
      </c>
      <c r="C1698" s="65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66"/>
      <c r="F1698" s="67"/>
      <c r="G1698" s="60"/>
      <c r="H1698" s="60"/>
      <c r="I1698" s="61"/>
      <c r="J1698" s="61"/>
      <c r="K1698" s="61"/>
      <c r="L1698" s="73" t="str">
        <f t="shared" si="131"/>
        <v/>
      </c>
      <c r="M1698" s="65" t="str">
        <f t="shared" ca="1" si="132"/>
        <v/>
      </c>
      <c r="N1698" s="74" t="str">
        <f>IF($C1698="","",IF($C1698="TANIMSIZ MÜŞTERİ","—",INDEX(MUSTERILER!$C$7:$C$156,MATCH($C1698,MUSTERILER!$B$7:$B$156,0))))</f>
        <v/>
      </c>
      <c r="O1698" s="2"/>
      <c r="P1698" s="2"/>
      <c r="Q1698" s="1" t="str">
        <f>IF($D1698="","",$C1698&amp;"|"&amp;COUNTIFS($C$7:$C1698,$C1698))</f>
        <v/>
      </c>
      <c r="R1698" s="1" t="str">
        <f t="shared" si="133"/>
        <v/>
      </c>
      <c r="S1698" s="1" t="str">
        <f t="shared" si="134"/>
        <v/>
      </c>
      <c r="T1698" s="1">
        <f>IF($E1698="",0,SUMPRODUCT((AY_SONU!$O$7:$O$42="Evet")*(AY_SONU!$B$7:$B$42=DATE(YEAR($E1698),MONTH($E1698),1))))</f>
        <v>0</v>
      </c>
    </row>
    <row r="1699" spans="1:20" ht="18" customHeight="1" x14ac:dyDescent="0.3">
      <c r="A1699" s="2"/>
      <c r="B1699" s="65" t="str">
        <f t="shared" si="130"/>
        <v/>
      </c>
      <c r="C1699" s="65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66"/>
      <c r="F1699" s="67"/>
      <c r="G1699" s="60"/>
      <c r="H1699" s="60"/>
      <c r="I1699" s="61"/>
      <c r="J1699" s="61"/>
      <c r="K1699" s="61"/>
      <c r="L1699" s="73" t="str">
        <f t="shared" si="131"/>
        <v/>
      </c>
      <c r="M1699" s="65" t="str">
        <f t="shared" ca="1" si="132"/>
        <v/>
      </c>
      <c r="N1699" s="74" t="str">
        <f>IF($C1699="","",IF($C1699="TANIMSIZ MÜŞTERİ","—",INDEX(MUSTERILER!$C$7:$C$156,MATCH($C1699,MUSTERILER!$B$7:$B$156,0))))</f>
        <v/>
      </c>
      <c r="O1699" s="2"/>
      <c r="P1699" s="2"/>
      <c r="Q1699" s="1" t="str">
        <f>IF($D1699="","",$C1699&amp;"|"&amp;COUNTIFS($C$7:$C1699,$C1699))</f>
        <v/>
      </c>
      <c r="R1699" s="1" t="str">
        <f t="shared" si="133"/>
        <v/>
      </c>
      <c r="S1699" s="1" t="str">
        <f t="shared" si="134"/>
        <v/>
      </c>
      <c r="T1699" s="1">
        <f>IF($E1699="",0,SUMPRODUCT((AY_SONU!$O$7:$O$42="Evet")*(AY_SONU!$B$7:$B$42=DATE(YEAR($E1699),MONTH($E1699),1))))</f>
        <v>0</v>
      </c>
    </row>
    <row r="1700" spans="1:20" ht="18" customHeight="1" x14ac:dyDescent="0.3">
      <c r="A1700" s="2"/>
      <c r="B1700" s="65" t="str">
        <f t="shared" si="130"/>
        <v/>
      </c>
      <c r="C1700" s="65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66"/>
      <c r="F1700" s="67"/>
      <c r="G1700" s="60"/>
      <c r="H1700" s="60"/>
      <c r="I1700" s="61"/>
      <c r="J1700" s="61"/>
      <c r="K1700" s="61"/>
      <c r="L1700" s="73" t="str">
        <f t="shared" si="131"/>
        <v/>
      </c>
      <c r="M1700" s="65" t="str">
        <f t="shared" ca="1" si="132"/>
        <v/>
      </c>
      <c r="N1700" s="74" t="str">
        <f>IF($C1700="","",IF($C1700="TANIMSIZ MÜŞTERİ","—",INDEX(MUSTERILER!$C$7:$C$156,MATCH($C1700,MUSTERILER!$B$7:$B$156,0))))</f>
        <v/>
      </c>
      <c r="O1700" s="2"/>
      <c r="P1700" s="2"/>
      <c r="Q1700" s="1" t="str">
        <f>IF($D1700="","",$C1700&amp;"|"&amp;COUNTIFS($C$7:$C1700,$C1700))</f>
        <v/>
      </c>
      <c r="R1700" s="1" t="str">
        <f t="shared" si="133"/>
        <v/>
      </c>
      <c r="S1700" s="1" t="str">
        <f t="shared" si="134"/>
        <v/>
      </c>
      <c r="T1700" s="1">
        <f>IF($E1700="",0,SUMPRODUCT((AY_SONU!$O$7:$O$42="Evet")*(AY_SONU!$B$7:$B$42=DATE(YEAR($E1700),MONTH($E1700),1))))</f>
        <v>0</v>
      </c>
    </row>
    <row r="1701" spans="1:20" ht="18" customHeight="1" x14ac:dyDescent="0.3">
      <c r="A1701" s="2"/>
      <c r="B1701" s="65" t="str">
        <f t="shared" si="130"/>
        <v/>
      </c>
      <c r="C1701" s="65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66"/>
      <c r="F1701" s="67"/>
      <c r="G1701" s="60"/>
      <c r="H1701" s="60"/>
      <c r="I1701" s="61"/>
      <c r="J1701" s="61"/>
      <c r="K1701" s="61"/>
      <c r="L1701" s="73" t="str">
        <f t="shared" si="131"/>
        <v/>
      </c>
      <c r="M1701" s="65" t="str">
        <f t="shared" ca="1" si="132"/>
        <v/>
      </c>
      <c r="N1701" s="74" t="str">
        <f>IF($C1701="","",IF($C1701="TANIMSIZ MÜŞTERİ","—",INDEX(MUSTERILER!$C$7:$C$156,MATCH($C1701,MUSTERILER!$B$7:$B$156,0))))</f>
        <v/>
      </c>
      <c r="O1701" s="2"/>
      <c r="P1701" s="2"/>
      <c r="Q1701" s="1" t="str">
        <f>IF($D1701="","",$C1701&amp;"|"&amp;COUNTIFS($C$7:$C1701,$C1701))</f>
        <v/>
      </c>
      <c r="R1701" s="1" t="str">
        <f t="shared" si="133"/>
        <v/>
      </c>
      <c r="S1701" s="1" t="str">
        <f t="shared" si="134"/>
        <v/>
      </c>
      <c r="T1701" s="1">
        <f>IF($E1701="",0,SUMPRODUCT((AY_SONU!$O$7:$O$42="Evet")*(AY_SONU!$B$7:$B$42=DATE(YEAR($E1701),MONTH($E1701),1))))</f>
        <v>0</v>
      </c>
    </row>
    <row r="1702" spans="1:20" ht="18" customHeight="1" x14ac:dyDescent="0.3">
      <c r="A1702" s="2"/>
      <c r="B1702" s="65" t="str">
        <f t="shared" si="130"/>
        <v/>
      </c>
      <c r="C1702" s="65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66"/>
      <c r="F1702" s="67"/>
      <c r="G1702" s="60"/>
      <c r="H1702" s="60"/>
      <c r="I1702" s="61"/>
      <c r="J1702" s="61"/>
      <c r="K1702" s="61"/>
      <c r="L1702" s="73" t="str">
        <f t="shared" si="131"/>
        <v/>
      </c>
      <c r="M1702" s="65" t="str">
        <f t="shared" ca="1" si="132"/>
        <v/>
      </c>
      <c r="N1702" s="74" t="str">
        <f>IF($C1702="","",IF($C1702="TANIMSIZ MÜŞTERİ","—",INDEX(MUSTERILER!$C$7:$C$156,MATCH($C1702,MUSTERILER!$B$7:$B$156,0))))</f>
        <v/>
      </c>
      <c r="O1702" s="2"/>
      <c r="P1702" s="2"/>
      <c r="Q1702" s="1" t="str">
        <f>IF($D1702="","",$C1702&amp;"|"&amp;COUNTIFS($C$7:$C1702,$C1702))</f>
        <v/>
      </c>
      <c r="R1702" s="1" t="str">
        <f t="shared" si="133"/>
        <v/>
      </c>
      <c r="S1702" s="1" t="str">
        <f t="shared" si="134"/>
        <v/>
      </c>
      <c r="T1702" s="1">
        <f>IF($E1702="",0,SUMPRODUCT((AY_SONU!$O$7:$O$42="Evet")*(AY_SONU!$B$7:$B$42=DATE(YEAR($E1702),MONTH($E1702),1))))</f>
        <v>0</v>
      </c>
    </row>
    <row r="1703" spans="1:20" ht="18" customHeight="1" x14ac:dyDescent="0.3">
      <c r="A1703" s="2"/>
      <c r="B1703" s="65" t="str">
        <f t="shared" si="130"/>
        <v/>
      </c>
      <c r="C1703" s="65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66"/>
      <c r="F1703" s="67"/>
      <c r="G1703" s="60"/>
      <c r="H1703" s="60"/>
      <c r="I1703" s="61"/>
      <c r="J1703" s="61"/>
      <c r="K1703" s="61"/>
      <c r="L1703" s="73" t="str">
        <f t="shared" si="131"/>
        <v/>
      </c>
      <c r="M1703" s="65" t="str">
        <f t="shared" ca="1" si="132"/>
        <v/>
      </c>
      <c r="N1703" s="74" t="str">
        <f>IF($C1703="","",IF($C1703="TANIMSIZ MÜŞTERİ","—",INDEX(MUSTERILER!$C$7:$C$156,MATCH($C1703,MUSTERILER!$B$7:$B$156,0))))</f>
        <v/>
      </c>
      <c r="O1703" s="2"/>
      <c r="P1703" s="2"/>
      <c r="Q1703" s="1" t="str">
        <f>IF($D1703="","",$C1703&amp;"|"&amp;COUNTIFS($C$7:$C1703,$C1703))</f>
        <v/>
      </c>
      <c r="R1703" s="1" t="str">
        <f t="shared" si="133"/>
        <v/>
      </c>
      <c r="S1703" s="1" t="str">
        <f t="shared" si="134"/>
        <v/>
      </c>
      <c r="T1703" s="1">
        <f>IF($E1703="",0,SUMPRODUCT((AY_SONU!$O$7:$O$42="Evet")*(AY_SONU!$B$7:$B$42=DATE(YEAR($E1703),MONTH($E1703),1))))</f>
        <v>0</v>
      </c>
    </row>
    <row r="1704" spans="1:20" ht="18" customHeight="1" x14ac:dyDescent="0.3">
      <c r="A1704" s="2"/>
      <c r="B1704" s="65" t="str">
        <f t="shared" si="130"/>
        <v/>
      </c>
      <c r="C1704" s="65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66"/>
      <c r="F1704" s="67"/>
      <c r="G1704" s="60"/>
      <c r="H1704" s="60"/>
      <c r="I1704" s="61"/>
      <c r="J1704" s="61"/>
      <c r="K1704" s="61"/>
      <c r="L1704" s="73" t="str">
        <f t="shared" si="131"/>
        <v/>
      </c>
      <c r="M1704" s="65" t="str">
        <f t="shared" ca="1" si="132"/>
        <v/>
      </c>
      <c r="N1704" s="74" t="str">
        <f>IF($C1704="","",IF($C1704="TANIMSIZ MÜŞTERİ","—",INDEX(MUSTERILER!$C$7:$C$156,MATCH($C1704,MUSTERILER!$B$7:$B$156,0))))</f>
        <v/>
      </c>
      <c r="O1704" s="2"/>
      <c r="P1704" s="2"/>
      <c r="Q1704" s="1" t="str">
        <f>IF($D1704="","",$C1704&amp;"|"&amp;COUNTIFS($C$7:$C1704,$C1704))</f>
        <v/>
      </c>
      <c r="R1704" s="1" t="str">
        <f t="shared" si="133"/>
        <v/>
      </c>
      <c r="S1704" s="1" t="str">
        <f t="shared" si="134"/>
        <v/>
      </c>
      <c r="T1704" s="1">
        <f>IF($E1704="",0,SUMPRODUCT((AY_SONU!$O$7:$O$42="Evet")*(AY_SONU!$B$7:$B$42=DATE(YEAR($E1704),MONTH($E1704),1))))</f>
        <v>0</v>
      </c>
    </row>
    <row r="1705" spans="1:20" ht="18" customHeight="1" x14ac:dyDescent="0.3">
      <c r="A1705" s="2"/>
      <c r="B1705" s="65" t="str">
        <f t="shared" si="130"/>
        <v/>
      </c>
      <c r="C1705" s="65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66"/>
      <c r="F1705" s="67"/>
      <c r="G1705" s="60"/>
      <c r="H1705" s="60"/>
      <c r="I1705" s="61"/>
      <c r="J1705" s="61"/>
      <c r="K1705" s="61"/>
      <c r="L1705" s="73" t="str">
        <f t="shared" si="131"/>
        <v/>
      </c>
      <c r="M1705" s="65" t="str">
        <f t="shared" ca="1" si="132"/>
        <v/>
      </c>
      <c r="N1705" s="74" t="str">
        <f>IF($C1705="","",IF($C1705="TANIMSIZ MÜŞTERİ","—",INDEX(MUSTERILER!$C$7:$C$156,MATCH($C1705,MUSTERILER!$B$7:$B$156,0))))</f>
        <v/>
      </c>
      <c r="O1705" s="2"/>
      <c r="P1705" s="2"/>
      <c r="Q1705" s="1" t="str">
        <f>IF($D1705="","",$C1705&amp;"|"&amp;COUNTIFS($C$7:$C1705,$C1705))</f>
        <v/>
      </c>
      <c r="R1705" s="1" t="str">
        <f t="shared" si="133"/>
        <v/>
      </c>
      <c r="S1705" s="1" t="str">
        <f t="shared" si="134"/>
        <v/>
      </c>
      <c r="T1705" s="1">
        <f>IF($E1705="",0,SUMPRODUCT((AY_SONU!$O$7:$O$42="Evet")*(AY_SONU!$B$7:$B$42=DATE(YEAR($E1705),MONTH($E1705),1))))</f>
        <v>0</v>
      </c>
    </row>
    <row r="1706" spans="1:20" ht="18" customHeight="1" x14ac:dyDescent="0.3">
      <c r="A1706" s="2"/>
      <c r="B1706" s="65" t="str">
        <f t="shared" si="130"/>
        <v/>
      </c>
      <c r="C1706" s="65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66"/>
      <c r="F1706" s="67"/>
      <c r="G1706" s="60"/>
      <c r="H1706" s="60"/>
      <c r="I1706" s="61"/>
      <c r="J1706" s="61"/>
      <c r="K1706" s="61"/>
      <c r="L1706" s="73" t="str">
        <f t="shared" si="131"/>
        <v/>
      </c>
      <c r="M1706" s="65" t="str">
        <f t="shared" ca="1" si="132"/>
        <v/>
      </c>
      <c r="N1706" s="74" t="str">
        <f>IF($C1706="","",IF($C1706="TANIMSIZ MÜŞTERİ","—",INDEX(MUSTERILER!$C$7:$C$156,MATCH($C1706,MUSTERILER!$B$7:$B$156,0))))</f>
        <v/>
      </c>
      <c r="O1706" s="2"/>
      <c r="P1706" s="2"/>
      <c r="Q1706" s="1" t="str">
        <f>IF($D1706="","",$C1706&amp;"|"&amp;COUNTIFS($C$7:$C1706,$C1706))</f>
        <v/>
      </c>
      <c r="R1706" s="1" t="str">
        <f t="shared" si="133"/>
        <v/>
      </c>
      <c r="S1706" s="1" t="str">
        <f t="shared" si="134"/>
        <v/>
      </c>
      <c r="T1706" s="1">
        <f>IF($E1706="",0,SUMPRODUCT((AY_SONU!$O$7:$O$42="Evet")*(AY_SONU!$B$7:$B$42=DATE(YEAR($E1706),MONTH($E1706),1))))</f>
        <v>0</v>
      </c>
    </row>
    <row r="1707" spans="1:20" ht="18" customHeight="1" x14ac:dyDescent="0.3">
      <c r="A1707" s="2"/>
      <c r="B1707" s="65" t="str">
        <f t="shared" si="130"/>
        <v/>
      </c>
      <c r="C1707" s="65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66"/>
      <c r="F1707" s="67"/>
      <c r="G1707" s="60"/>
      <c r="H1707" s="60"/>
      <c r="I1707" s="61"/>
      <c r="J1707" s="61"/>
      <c r="K1707" s="61"/>
      <c r="L1707" s="73" t="str">
        <f t="shared" si="131"/>
        <v/>
      </c>
      <c r="M1707" s="65" t="str">
        <f t="shared" ca="1" si="132"/>
        <v/>
      </c>
      <c r="N1707" s="74" t="str">
        <f>IF($C1707="","",IF($C1707="TANIMSIZ MÜŞTERİ","—",INDEX(MUSTERILER!$C$7:$C$156,MATCH($C1707,MUSTERILER!$B$7:$B$156,0))))</f>
        <v/>
      </c>
      <c r="O1707" s="2"/>
      <c r="P1707" s="2"/>
      <c r="Q1707" s="1" t="str">
        <f>IF($D1707="","",$C1707&amp;"|"&amp;COUNTIFS($C$7:$C1707,$C1707))</f>
        <v/>
      </c>
      <c r="R1707" s="1" t="str">
        <f t="shared" si="133"/>
        <v/>
      </c>
      <c r="S1707" s="1" t="str">
        <f t="shared" si="134"/>
        <v/>
      </c>
      <c r="T1707" s="1">
        <f>IF($E1707="",0,SUMPRODUCT((AY_SONU!$O$7:$O$42="Evet")*(AY_SONU!$B$7:$B$42=DATE(YEAR($E1707),MONTH($E1707),1))))</f>
        <v>0</v>
      </c>
    </row>
    <row r="1708" spans="1:20" ht="18" customHeight="1" x14ac:dyDescent="0.3">
      <c r="A1708" s="2"/>
      <c r="B1708" s="65" t="str">
        <f t="shared" si="130"/>
        <v/>
      </c>
      <c r="C1708" s="65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66"/>
      <c r="F1708" s="67"/>
      <c r="G1708" s="60"/>
      <c r="H1708" s="60"/>
      <c r="I1708" s="61"/>
      <c r="J1708" s="61"/>
      <c r="K1708" s="61"/>
      <c r="L1708" s="73" t="str">
        <f t="shared" si="131"/>
        <v/>
      </c>
      <c r="M1708" s="65" t="str">
        <f t="shared" ca="1" si="132"/>
        <v/>
      </c>
      <c r="N1708" s="74" t="str">
        <f>IF($C1708="","",IF($C1708="TANIMSIZ MÜŞTERİ","—",INDEX(MUSTERILER!$C$7:$C$156,MATCH($C1708,MUSTERILER!$B$7:$B$156,0))))</f>
        <v/>
      </c>
      <c r="O1708" s="2"/>
      <c r="P1708" s="2"/>
      <c r="Q1708" s="1" t="str">
        <f>IF($D1708="","",$C1708&amp;"|"&amp;COUNTIFS($C$7:$C1708,$C1708))</f>
        <v/>
      </c>
      <c r="R1708" s="1" t="str">
        <f t="shared" si="133"/>
        <v/>
      </c>
      <c r="S1708" s="1" t="str">
        <f t="shared" si="134"/>
        <v/>
      </c>
      <c r="T1708" s="1">
        <f>IF($E1708="",0,SUMPRODUCT((AY_SONU!$O$7:$O$42="Evet")*(AY_SONU!$B$7:$B$42=DATE(YEAR($E1708),MONTH($E1708),1))))</f>
        <v>0</v>
      </c>
    </row>
    <row r="1709" spans="1:20" ht="18" customHeight="1" x14ac:dyDescent="0.3">
      <c r="A1709" s="2"/>
      <c r="B1709" s="65" t="str">
        <f t="shared" si="130"/>
        <v/>
      </c>
      <c r="C1709" s="65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66"/>
      <c r="F1709" s="67"/>
      <c r="G1709" s="60"/>
      <c r="H1709" s="60"/>
      <c r="I1709" s="61"/>
      <c r="J1709" s="61"/>
      <c r="K1709" s="61"/>
      <c r="L1709" s="73" t="str">
        <f t="shared" si="131"/>
        <v/>
      </c>
      <c r="M1709" s="65" t="str">
        <f t="shared" ca="1" si="132"/>
        <v/>
      </c>
      <c r="N1709" s="74" t="str">
        <f>IF($C1709="","",IF($C1709="TANIMSIZ MÜŞTERİ","—",INDEX(MUSTERILER!$C$7:$C$156,MATCH($C1709,MUSTERILER!$B$7:$B$156,0))))</f>
        <v/>
      </c>
      <c r="O1709" s="2"/>
      <c r="P1709" s="2"/>
      <c r="Q1709" s="1" t="str">
        <f>IF($D1709="","",$C1709&amp;"|"&amp;COUNTIFS($C$7:$C1709,$C1709))</f>
        <v/>
      </c>
      <c r="R1709" s="1" t="str">
        <f t="shared" si="133"/>
        <v/>
      </c>
      <c r="S1709" s="1" t="str">
        <f t="shared" si="134"/>
        <v/>
      </c>
      <c r="T1709" s="1">
        <f>IF($E1709="",0,SUMPRODUCT((AY_SONU!$O$7:$O$42="Evet")*(AY_SONU!$B$7:$B$42=DATE(YEAR($E1709),MONTH($E1709),1))))</f>
        <v>0</v>
      </c>
    </row>
    <row r="1710" spans="1:20" ht="18" customHeight="1" x14ac:dyDescent="0.3">
      <c r="A1710" s="2"/>
      <c r="B1710" s="65" t="str">
        <f t="shared" si="130"/>
        <v/>
      </c>
      <c r="C1710" s="65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66"/>
      <c r="F1710" s="67"/>
      <c r="G1710" s="60"/>
      <c r="H1710" s="60"/>
      <c r="I1710" s="61"/>
      <c r="J1710" s="61"/>
      <c r="K1710" s="61"/>
      <c r="L1710" s="73" t="str">
        <f t="shared" si="131"/>
        <v/>
      </c>
      <c r="M1710" s="65" t="str">
        <f t="shared" ca="1" si="132"/>
        <v/>
      </c>
      <c r="N1710" s="74" t="str">
        <f>IF($C1710="","",IF($C1710="TANIMSIZ MÜŞTERİ","—",INDEX(MUSTERILER!$C$7:$C$156,MATCH($C1710,MUSTERILER!$B$7:$B$156,0))))</f>
        <v/>
      </c>
      <c r="O1710" s="2"/>
      <c r="P1710" s="2"/>
      <c r="Q1710" s="1" t="str">
        <f>IF($D1710="","",$C1710&amp;"|"&amp;COUNTIFS($C$7:$C1710,$C1710))</f>
        <v/>
      </c>
      <c r="R1710" s="1" t="str">
        <f t="shared" si="133"/>
        <v/>
      </c>
      <c r="S1710" s="1" t="str">
        <f t="shared" si="134"/>
        <v/>
      </c>
      <c r="T1710" s="1">
        <f>IF($E1710="",0,SUMPRODUCT((AY_SONU!$O$7:$O$42="Evet")*(AY_SONU!$B$7:$B$42=DATE(YEAR($E1710),MONTH($E1710),1))))</f>
        <v>0</v>
      </c>
    </row>
    <row r="1711" spans="1:20" ht="18" customHeight="1" x14ac:dyDescent="0.3">
      <c r="A1711" s="2"/>
      <c r="B1711" s="65" t="str">
        <f t="shared" si="130"/>
        <v/>
      </c>
      <c r="C1711" s="65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66"/>
      <c r="F1711" s="67"/>
      <c r="G1711" s="60"/>
      <c r="H1711" s="60"/>
      <c r="I1711" s="61"/>
      <c r="J1711" s="61"/>
      <c r="K1711" s="61"/>
      <c r="L1711" s="73" t="str">
        <f t="shared" si="131"/>
        <v/>
      </c>
      <c r="M1711" s="65" t="str">
        <f t="shared" ca="1" si="132"/>
        <v/>
      </c>
      <c r="N1711" s="74" t="str">
        <f>IF($C1711="","",IF($C1711="TANIMSIZ MÜŞTERİ","—",INDEX(MUSTERILER!$C$7:$C$156,MATCH($C1711,MUSTERILER!$B$7:$B$156,0))))</f>
        <v/>
      </c>
      <c r="O1711" s="2"/>
      <c r="P1711" s="2"/>
      <c r="Q1711" s="1" t="str">
        <f>IF($D1711="","",$C1711&amp;"|"&amp;COUNTIFS($C$7:$C1711,$C1711))</f>
        <v/>
      </c>
      <c r="R1711" s="1" t="str">
        <f t="shared" si="133"/>
        <v/>
      </c>
      <c r="S1711" s="1" t="str">
        <f t="shared" si="134"/>
        <v/>
      </c>
      <c r="T1711" s="1">
        <f>IF($E1711="",0,SUMPRODUCT((AY_SONU!$O$7:$O$42="Evet")*(AY_SONU!$B$7:$B$42=DATE(YEAR($E1711),MONTH($E1711),1))))</f>
        <v>0</v>
      </c>
    </row>
    <row r="1712" spans="1:20" ht="18" customHeight="1" x14ac:dyDescent="0.3">
      <c r="A1712" s="2"/>
      <c r="B1712" s="65" t="str">
        <f t="shared" si="130"/>
        <v/>
      </c>
      <c r="C1712" s="65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66"/>
      <c r="F1712" s="67"/>
      <c r="G1712" s="60"/>
      <c r="H1712" s="60"/>
      <c r="I1712" s="61"/>
      <c r="J1712" s="61"/>
      <c r="K1712" s="61"/>
      <c r="L1712" s="73" t="str">
        <f t="shared" si="131"/>
        <v/>
      </c>
      <c r="M1712" s="65" t="str">
        <f t="shared" ca="1" si="132"/>
        <v/>
      </c>
      <c r="N1712" s="74" t="str">
        <f>IF($C1712="","",IF($C1712="TANIMSIZ MÜŞTERİ","—",INDEX(MUSTERILER!$C$7:$C$156,MATCH($C1712,MUSTERILER!$B$7:$B$156,0))))</f>
        <v/>
      </c>
      <c r="O1712" s="2"/>
      <c r="P1712" s="2"/>
      <c r="Q1712" s="1" t="str">
        <f>IF($D1712="","",$C1712&amp;"|"&amp;COUNTIFS($C$7:$C1712,$C1712))</f>
        <v/>
      </c>
      <c r="R1712" s="1" t="str">
        <f t="shared" si="133"/>
        <v/>
      </c>
      <c r="S1712" s="1" t="str">
        <f t="shared" si="134"/>
        <v/>
      </c>
      <c r="T1712" s="1">
        <f>IF($E1712="",0,SUMPRODUCT((AY_SONU!$O$7:$O$42="Evet")*(AY_SONU!$B$7:$B$42=DATE(YEAR($E1712),MONTH($E1712),1))))</f>
        <v>0</v>
      </c>
    </row>
    <row r="1713" spans="1:20" ht="18" customHeight="1" x14ac:dyDescent="0.3">
      <c r="A1713" s="2"/>
      <c r="B1713" s="65" t="str">
        <f t="shared" si="130"/>
        <v/>
      </c>
      <c r="C1713" s="65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66"/>
      <c r="F1713" s="67"/>
      <c r="G1713" s="60"/>
      <c r="H1713" s="60"/>
      <c r="I1713" s="61"/>
      <c r="J1713" s="61"/>
      <c r="K1713" s="61"/>
      <c r="L1713" s="73" t="str">
        <f t="shared" si="131"/>
        <v/>
      </c>
      <c r="M1713" s="65" t="str">
        <f t="shared" ca="1" si="132"/>
        <v/>
      </c>
      <c r="N1713" s="74" t="str">
        <f>IF($C1713="","",IF($C1713="TANIMSIZ MÜŞTERİ","—",INDEX(MUSTERILER!$C$7:$C$156,MATCH($C1713,MUSTERILER!$B$7:$B$156,0))))</f>
        <v/>
      </c>
      <c r="O1713" s="2"/>
      <c r="P1713" s="2"/>
      <c r="Q1713" s="1" t="str">
        <f>IF($D1713="","",$C1713&amp;"|"&amp;COUNTIFS($C$7:$C1713,$C1713))</f>
        <v/>
      </c>
      <c r="R1713" s="1" t="str">
        <f t="shared" si="133"/>
        <v/>
      </c>
      <c r="S1713" s="1" t="str">
        <f t="shared" si="134"/>
        <v/>
      </c>
      <c r="T1713" s="1">
        <f>IF($E1713="",0,SUMPRODUCT((AY_SONU!$O$7:$O$42="Evet")*(AY_SONU!$B$7:$B$42=DATE(YEAR($E1713),MONTH($E1713),1))))</f>
        <v>0</v>
      </c>
    </row>
    <row r="1714" spans="1:20" ht="18" customHeight="1" x14ac:dyDescent="0.3">
      <c r="A1714" s="2"/>
      <c r="B1714" s="65" t="str">
        <f t="shared" si="130"/>
        <v/>
      </c>
      <c r="C1714" s="65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66"/>
      <c r="F1714" s="67"/>
      <c r="G1714" s="60"/>
      <c r="H1714" s="60"/>
      <c r="I1714" s="61"/>
      <c r="J1714" s="61"/>
      <c r="K1714" s="61"/>
      <c r="L1714" s="73" t="str">
        <f t="shared" si="131"/>
        <v/>
      </c>
      <c r="M1714" s="65" t="str">
        <f t="shared" ca="1" si="132"/>
        <v/>
      </c>
      <c r="N1714" s="74" t="str">
        <f>IF($C1714="","",IF($C1714="TANIMSIZ MÜŞTERİ","—",INDEX(MUSTERILER!$C$7:$C$156,MATCH($C1714,MUSTERILER!$B$7:$B$156,0))))</f>
        <v/>
      </c>
      <c r="O1714" s="2"/>
      <c r="P1714" s="2"/>
      <c r="Q1714" s="1" t="str">
        <f>IF($D1714="","",$C1714&amp;"|"&amp;COUNTIFS($C$7:$C1714,$C1714))</f>
        <v/>
      </c>
      <c r="R1714" s="1" t="str">
        <f t="shared" si="133"/>
        <v/>
      </c>
      <c r="S1714" s="1" t="str">
        <f t="shared" si="134"/>
        <v/>
      </c>
      <c r="T1714" s="1">
        <f>IF($E1714="",0,SUMPRODUCT((AY_SONU!$O$7:$O$42="Evet")*(AY_SONU!$B$7:$B$42=DATE(YEAR($E1714),MONTH($E1714),1))))</f>
        <v>0</v>
      </c>
    </row>
    <row r="1715" spans="1:20" ht="18" customHeight="1" x14ac:dyDescent="0.3">
      <c r="A1715" s="2"/>
      <c r="B1715" s="65" t="str">
        <f t="shared" si="130"/>
        <v/>
      </c>
      <c r="C1715" s="65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66"/>
      <c r="F1715" s="67"/>
      <c r="G1715" s="60"/>
      <c r="H1715" s="60"/>
      <c r="I1715" s="61"/>
      <c r="J1715" s="61"/>
      <c r="K1715" s="61"/>
      <c r="L1715" s="73" t="str">
        <f t="shared" si="131"/>
        <v/>
      </c>
      <c r="M1715" s="65" t="str">
        <f t="shared" ca="1" si="132"/>
        <v/>
      </c>
      <c r="N1715" s="74" t="str">
        <f>IF($C1715="","",IF($C1715="TANIMSIZ MÜŞTERİ","—",INDEX(MUSTERILER!$C$7:$C$156,MATCH($C1715,MUSTERILER!$B$7:$B$156,0))))</f>
        <v/>
      </c>
      <c r="O1715" s="2"/>
      <c r="P1715" s="2"/>
      <c r="Q1715" s="1" t="str">
        <f>IF($D1715="","",$C1715&amp;"|"&amp;COUNTIFS($C$7:$C1715,$C1715))</f>
        <v/>
      </c>
      <c r="R1715" s="1" t="str">
        <f t="shared" si="133"/>
        <v/>
      </c>
      <c r="S1715" s="1" t="str">
        <f t="shared" si="134"/>
        <v/>
      </c>
      <c r="T1715" s="1">
        <f>IF($E1715="",0,SUMPRODUCT((AY_SONU!$O$7:$O$42="Evet")*(AY_SONU!$B$7:$B$42=DATE(YEAR($E1715),MONTH($E1715),1))))</f>
        <v>0</v>
      </c>
    </row>
    <row r="1716" spans="1:20" ht="18" customHeight="1" x14ac:dyDescent="0.3">
      <c r="A1716" s="2"/>
      <c r="B1716" s="65" t="str">
        <f t="shared" si="130"/>
        <v/>
      </c>
      <c r="C1716" s="65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66"/>
      <c r="F1716" s="67"/>
      <c r="G1716" s="60"/>
      <c r="H1716" s="60"/>
      <c r="I1716" s="61"/>
      <c r="J1716" s="61"/>
      <c r="K1716" s="61"/>
      <c r="L1716" s="73" t="str">
        <f t="shared" si="131"/>
        <v/>
      </c>
      <c r="M1716" s="65" t="str">
        <f t="shared" ca="1" si="132"/>
        <v/>
      </c>
      <c r="N1716" s="74" t="str">
        <f>IF($C1716="","",IF($C1716="TANIMSIZ MÜŞTERİ","—",INDEX(MUSTERILER!$C$7:$C$156,MATCH($C1716,MUSTERILER!$B$7:$B$156,0))))</f>
        <v/>
      </c>
      <c r="O1716" s="2"/>
      <c r="P1716" s="2"/>
      <c r="Q1716" s="1" t="str">
        <f>IF($D1716="","",$C1716&amp;"|"&amp;COUNTIFS($C$7:$C1716,$C1716))</f>
        <v/>
      </c>
      <c r="R1716" s="1" t="str">
        <f t="shared" si="133"/>
        <v/>
      </c>
      <c r="S1716" s="1" t="str">
        <f t="shared" si="134"/>
        <v/>
      </c>
      <c r="T1716" s="1">
        <f>IF($E1716="",0,SUMPRODUCT((AY_SONU!$O$7:$O$42="Evet")*(AY_SONU!$B$7:$B$42=DATE(YEAR($E1716),MONTH($E1716),1))))</f>
        <v>0</v>
      </c>
    </row>
    <row r="1717" spans="1:20" ht="18" customHeight="1" x14ac:dyDescent="0.3">
      <c r="A1717" s="2"/>
      <c r="B1717" s="65" t="str">
        <f t="shared" si="130"/>
        <v/>
      </c>
      <c r="C1717" s="65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66"/>
      <c r="F1717" s="67"/>
      <c r="G1717" s="60"/>
      <c r="H1717" s="60"/>
      <c r="I1717" s="61"/>
      <c r="J1717" s="61"/>
      <c r="K1717" s="61"/>
      <c r="L1717" s="73" t="str">
        <f t="shared" si="131"/>
        <v/>
      </c>
      <c r="M1717" s="65" t="str">
        <f t="shared" ca="1" si="132"/>
        <v/>
      </c>
      <c r="N1717" s="74" t="str">
        <f>IF($C1717="","",IF($C1717="TANIMSIZ MÜŞTERİ","—",INDEX(MUSTERILER!$C$7:$C$156,MATCH($C1717,MUSTERILER!$B$7:$B$156,0))))</f>
        <v/>
      </c>
      <c r="O1717" s="2"/>
      <c r="P1717" s="2"/>
      <c r="Q1717" s="1" t="str">
        <f>IF($D1717="","",$C1717&amp;"|"&amp;COUNTIFS($C$7:$C1717,$C1717))</f>
        <v/>
      </c>
      <c r="R1717" s="1" t="str">
        <f t="shared" si="133"/>
        <v/>
      </c>
      <c r="S1717" s="1" t="str">
        <f t="shared" si="134"/>
        <v/>
      </c>
      <c r="T1717" s="1">
        <f>IF($E1717="",0,SUMPRODUCT((AY_SONU!$O$7:$O$42="Evet")*(AY_SONU!$B$7:$B$42=DATE(YEAR($E1717),MONTH($E1717),1))))</f>
        <v>0</v>
      </c>
    </row>
    <row r="1718" spans="1:20" ht="18" customHeight="1" x14ac:dyDescent="0.3">
      <c r="A1718" s="2"/>
      <c r="B1718" s="65" t="str">
        <f t="shared" si="130"/>
        <v/>
      </c>
      <c r="C1718" s="65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66"/>
      <c r="F1718" s="67"/>
      <c r="G1718" s="60"/>
      <c r="H1718" s="60"/>
      <c r="I1718" s="61"/>
      <c r="J1718" s="61"/>
      <c r="K1718" s="61"/>
      <c r="L1718" s="73" t="str">
        <f t="shared" si="131"/>
        <v/>
      </c>
      <c r="M1718" s="65" t="str">
        <f t="shared" ca="1" si="132"/>
        <v/>
      </c>
      <c r="N1718" s="74" t="str">
        <f>IF($C1718="","",IF($C1718="TANIMSIZ MÜŞTERİ","—",INDEX(MUSTERILER!$C$7:$C$156,MATCH($C1718,MUSTERILER!$B$7:$B$156,0))))</f>
        <v/>
      </c>
      <c r="O1718" s="2"/>
      <c r="P1718" s="2"/>
      <c r="Q1718" s="1" t="str">
        <f>IF($D1718="","",$C1718&amp;"|"&amp;COUNTIFS($C$7:$C1718,$C1718))</f>
        <v/>
      </c>
      <c r="R1718" s="1" t="str">
        <f t="shared" si="133"/>
        <v/>
      </c>
      <c r="S1718" s="1" t="str">
        <f t="shared" si="134"/>
        <v/>
      </c>
      <c r="T1718" s="1">
        <f>IF($E1718="",0,SUMPRODUCT((AY_SONU!$O$7:$O$42="Evet")*(AY_SONU!$B$7:$B$42=DATE(YEAR($E1718),MONTH($E1718),1))))</f>
        <v>0</v>
      </c>
    </row>
    <row r="1719" spans="1:20" ht="18" customHeight="1" x14ac:dyDescent="0.3">
      <c r="A1719" s="2"/>
      <c r="B1719" s="65" t="str">
        <f t="shared" si="130"/>
        <v/>
      </c>
      <c r="C1719" s="65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66"/>
      <c r="F1719" s="67"/>
      <c r="G1719" s="60"/>
      <c r="H1719" s="60"/>
      <c r="I1719" s="61"/>
      <c r="J1719" s="61"/>
      <c r="K1719" s="61"/>
      <c r="L1719" s="73" t="str">
        <f t="shared" si="131"/>
        <v/>
      </c>
      <c r="M1719" s="65" t="str">
        <f t="shared" ca="1" si="132"/>
        <v/>
      </c>
      <c r="N1719" s="74" t="str">
        <f>IF($C1719="","",IF($C1719="TANIMSIZ MÜŞTERİ","—",INDEX(MUSTERILER!$C$7:$C$156,MATCH($C1719,MUSTERILER!$B$7:$B$156,0))))</f>
        <v/>
      </c>
      <c r="O1719" s="2"/>
      <c r="P1719" s="2"/>
      <c r="Q1719" s="1" t="str">
        <f>IF($D1719="","",$C1719&amp;"|"&amp;COUNTIFS($C$7:$C1719,$C1719))</f>
        <v/>
      </c>
      <c r="R1719" s="1" t="str">
        <f t="shared" si="133"/>
        <v/>
      </c>
      <c r="S1719" s="1" t="str">
        <f t="shared" si="134"/>
        <v/>
      </c>
      <c r="T1719" s="1">
        <f>IF($E1719="",0,SUMPRODUCT((AY_SONU!$O$7:$O$42="Evet")*(AY_SONU!$B$7:$B$42=DATE(YEAR($E1719),MONTH($E1719),1))))</f>
        <v>0</v>
      </c>
    </row>
    <row r="1720" spans="1:20" ht="18" customHeight="1" x14ac:dyDescent="0.3">
      <c r="A1720" s="2"/>
      <c r="B1720" s="65" t="str">
        <f t="shared" si="130"/>
        <v/>
      </c>
      <c r="C1720" s="65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66"/>
      <c r="F1720" s="67"/>
      <c r="G1720" s="60"/>
      <c r="H1720" s="60"/>
      <c r="I1720" s="61"/>
      <c r="J1720" s="61"/>
      <c r="K1720" s="61"/>
      <c r="L1720" s="73" t="str">
        <f t="shared" si="131"/>
        <v/>
      </c>
      <c r="M1720" s="65" t="str">
        <f t="shared" ca="1" si="132"/>
        <v/>
      </c>
      <c r="N1720" s="74" t="str">
        <f>IF($C1720="","",IF($C1720="TANIMSIZ MÜŞTERİ","—",INDEX(MUSTERILER!$C$7:$C$156,MATCH($C1720,MUSTERILER!$B$7:$B$156,0))))</f>
        <v/>
      </c>
      <c r="O1720" s="2"/>
      <c r="P1720" s="2"/>
      <c r="Q1720" s="1" t="str">
        <f>IF($D1720="","",$C1720&amp;"|"&amp;COUNTIFS($C$7:$C1720,$C1720))</f>
        <v/>
      </c>
      <c r="R1720" s="1" t="str">
        <f t="shared" si="133"/>
        <v/>
      </c>
      <c r="S1720" s="1" t="str">
        <f t="shared" si="134"/>
        <v/>
      </c>
      <c r="T1720" s="1">
        <f>IF($E1720="",0,SUMPRODUCT((AY_SONU!$O$7:$O$42="Evet")*(AY_SONU!$B$7:$B$42=DATE(YEAR($E1720),MONTH($E1720),1))))</f>
        <v>0</v>
      </c>
    </row>
    <row r="1721" spans="1:20" ht="18" customHeight="1" x14ac:dyDescent="0.3">
      <c r="A1721" s="2"/>
      <c r="B1721" s="65" t="str">
        <f t="shared" si="130"/>
        <v/>
      </c>
      <c r="C1721" s="65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66"/>
      <c r="F1721" s="67"/>
      <c r="G1721" s="60"/>
      <c r="H1721" s="60"/>
      <c r="I1721" s="61"/>
      <c r="J1721" s="61"/>
      <c r="K1721" s="61"/>
      <c r="L1721" s="73" t="str">
        <f t="shared" si="131"/>
        <v/>
      </c>
      <c r="M1721" s="65" t="str">
        <f t="shared" ca="1" si="132"/>
        <v/>
      </c>
      <c r="N1721" s="74" t="str">
        <f>IF($C1721="","",IF($C1721="TANIMSIZ MÜŞTERİ","—",INDEX(MUSTERILER!$C$7:$C$156,MATCH($C1721,MUSTERILER!$B$7:$B$156,0))))</f>
        <v/>
      </c>
      <c r="O1721" s="2"/>
      <c r="P1721" s="2"/>
      <c r="Q1721" s="1" t="str">
        <f>IF($D1721="","",$C1721&amp;"|"&amp;COUNTIFS($C$7:$C1721,$C1721))</f>
        <v/>
      </c>
      <c r="R1721" s="1" t="str">
        <f t="shared" si="133"/>
        <v/>
      </c>
      <c r="S1721" s="1" t="str">
        <f t="shared" si="134"/>
        <v/>
      </c>
      <c r="T1721" s="1">
        <f>IF($E1721="",0,SUMPRODUCT((AY_SONU!$O$7:$O$42="Evet")*(AY_SONU!$B$7:$B$42=DATE(YEAR($E1721),MONTH($E1721),1))))</f>
        <v>0</v>
      </c>
    </row>
    <row r="1722" spans="1:20" ht="18" customHeight="1" x14ac:dyDescent="0.3">
      <c r="A1722" s="2"/>
      <c r="B1722" s="65" t="str">
        <f t="shared" si="130"/>
        <v/>
      </c>
      <c r="C1722" s="65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66"/>
      <c r="F1722" s="67"/>
      <c r="G1722" s="60"/>
      <c r="H1722" s="60"/>
      <c r="I1722" s="61"/>
      <c r="J1722" s="61"/>
      <c r="K1722" s="61"/>
      <c r="L1722" s="73" t="str">
        <f t="shared" si="131"/>
        <v/>
      </c>
      <c r="M1722" s="65" t="str">
        <f t="shared" ca="1" si="132"/>
        <v/>
      </c>
      <c r="N1722" s="74" t="str">
        <f>IF($C1722="","",IF($C1722="TANIMSIZ MÜŞTERİ","—",INDEX(MUSTERILER!$C$7:$C$156,MATCH($C1722,MUSTERILER!$B$7:$B$156,0))))</f>
        <v/>
      </c>
      <c r="O1722" s="2"/>
      <c r="P1722" s="2"/>
      <c r="Q1722" s="1" t="str">
        <f>IF($D1722="","",$C1722&amp;"|"&amp;COUNTIFS($C$7:$C1722,$C1722))</f>
        <v/>
      </c>
      <c r="R1722" s="1" t="str">
        <f t="shared" si="133"/>
        <v/>
      </c>
      <c r="S1722" s="1" t="str">
        <f t="shared" si="134"/>
        <v/>
      </c>
      <c r="T1722" s="1">
        <f>IF($E1722="",0,SUMPRODUCT((AY_SONU!$O$7:$O$42="Evet")*(AY_SONU!$B$7:$B$42=DATE(YEAR($E1722),MONTH($E1722),1))))</f>
        <v>0</v>
      </c>
    </row>
    <row r="1723" spans="1:20" ht="18" customHeight="1" x14ac:dyDescent="0.3">
      <c r="A1723" s="2"/>
      <c r="B1723" s="65" t="str">
        <f t="shared" si="130"/>
        <v/>
      </c>
      <c r="C1723" s="65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66"/>
      <c r="F1723" s="67"/>
      <c r="G1723" s="60"/>
      <c r="H1723" s="60"/>
      <c r="I1723" s="61"/>
      <c r="J1723" s="61"/>
      <c r="K1723" s="61"/>
      <c r="L1723" s="73" t="str">
        <f t="shared" si="131"/>
        <v/>
      </c>
      <c r="M1723" s="65" t="str">
        <f t="shared" ca="1" si="132"/>
        <v/>
      </c>
      <c r="N1723" s="74" t="str">
        <f>IF($C1723="","",IF($C1723="TANIMSIZ MÜŞTERİ","—",INDEX(MUSTERILER!$C$7:$C$156,MATCH($C1723,MUSTERILER!$B$7:$B$156,0))))</f>
        <v/>
      </c>
      <c r="O1723" s="2"/>
      <c r="P1723" s="2"/>
      <c r="Q1723" s="1" t="str">
        <f>IF($D1723="","",$C1723&amp;"|"&amp;COUNTIFS($C$7:$C1723,$C1723))</f>
        <v/>
      </c>
      <c r="R1723" s="1" t="str">
        <f t="shared" si="133"/>
        <v/>
      </c>
      <c r="S1723" s="1" t="str">
        <f t="shared" si="134"/>
        <v/>
      </c>
      <c r="T1723" s="1">
        <f>IF($E1723="",0,SUMPRODUCT((AY_SONU!$O$7:$O$42="Evet")*(AY_SONU!$B$7:$B$42=DATE(YEAR($E1723),MONTH($E1723),1))))</f>
        <v>0</v>
      </c>
    </row>
    <row r="1724" spans="1:20" ht="18" customHeight="1" x14ac:dyDescent="0.3">
      <c r="A1724" s="2"/>
      <c r="B1724" s="65" t="str">
        <f t="shared" si="130"/>
        <v/>
      </c>
      <c r="C1724" s="65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66"/>
      <c r="F1724" s="67"/>
      <c r="G1724" s="60"/>
      <c r="H1724" s="60"/>
      <c r="I1724" s="61"/>
      <c r="J1724" s="61"/>
      <c r="K1724" s="61"/>
      <c r="L1724" s="73" t="str">
        <f t="shared" si="131"/>
        <v/>
      </c>
      <c r="M1724" s="65" t="str">
        <f t="shared" ca="1" si="132"/>
        <v/>
      </c>
      <c r="N1724" s="74" t="str">
        <f>IF($C1724="","",IF($C1724="TANIMSIZ MÜŞTERİ","—",INDEX(MUSTERILER!$C$7:$C$156,MATCH($C1724,MUSTERILER!$B$7:$B$156,0))))</f>
        <v/>
      </c>
      <c r="O1724" s="2"/>
      <c r="P1724" s="2"/>
      <c r="Q1724" s="1" t="str">
        <f>IF($D1724="","",$C1724&amp;"|"&amp;COUNTIFS($C$7:$C1724,$C1724))</f>
        <v/>
      </c>
      <c r="R1724" s="1" t="str">
        <f t="shared" si="133"/>
        <v/>
      </c>
      <c r="S1724" s="1" t="str">
        <f t="shared" si="134"/>
        <v/>
      </c>
      <c r="T1724" s="1">
        <f>IF($E1724="",0,SUMPRODUCT((AY_SONU!$O$7:$O$42="Evet")*(AY_SONU!$B$7:$B$42=DATE(YEAR($E1724),MONTH($E1724),1))))</f>
        <v>0</v>
      </c>
    </row>
    <row r="1725" spans="1:20" ht="18" customHeight="1" x14ac:dyDescent="0.3">
      <c r="A1725" s="2"/>
      <c r="B1725" s="65" t="str">
        <f t="shared" si="130"/>
        <v/>
      </c>
      <c r="C1725" s="65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66"/>
      <c r="F1725" s="67"/>
      <c r="G1725" s="60"/>
      <c r="H1725" s="60"/>
      <c r="I1725" s="61"/>
      <c r="J1725" s="61"/>
      <c r="K1725" s="61"/>
      <c r="L1725" s="73" t="str">
        <f t="shared" si="131"/>
        <v/>
      </c>
      <c r="M1725" s="65" t="str">
        <f t="shared" ca="1" si="132"/>
        <v/>
      </c>
      <c r="N1725" s="74" t="str">
        <f>IF($C1725="","",IF($C1725="TANIMSIZ MÜŞTERİ","—",INDEX(MUSTERILER!$C$7:$C$156,MATCH($C1725,MUSTERILER!$B$7:$B$156,0))))</f>
        <v/>
      </c>
      <c r="O1725" s="2"/>
      <c r="P1725" s="2"/>
      <c r="Q1725" s="1" t="str">
        <f>IF($D1725="","",$C1725&amp;"|"&amp;COUNTIFS($C$7:$C1725,$C1725))</f>
        <v/>
      </c>
      <c r="R1725" s="1" t="str">
        <f t="shared" si="133"/>
        <v/>
      </c>
      <c r="S1725" s="1" t="str">
        <f t="shared" si="134"/>
        <v/>
      </c>
      <c r="T1725" s="1">
        <f>IF($E1725="",0,SUMPRODUCT((AY_SONU!$O$7:$O$42="Evet")*(AY_SONU!$B$7:$B$42=DATE(YEAR($E1725),MONTH($E1725),1))))</f>
        <v>0</v>
      </c>
    </row>
    <row r="1726" spans="1:20" ht="18" customHeight="1" x14ac:dyDescent="0.3">
      <c r="A1726" s="2"/>
      <c r="B1726" s="65" t="str">
        <f t="shared" si="130"/>
        <v/>
      </c>
      <c r="C1726" s="65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66"/>
      <c r="F1726" s="67"/>
      <c r="G1726" s="60"/>
      <c r="H1726" s="60"/>
      <c r="I1726" s="61"/>
      <c r="J1726" s="61"/>
      <c r="K1726" s="61"/>
      <c r="L1726" s="73" t="str">
        <f t="shared" si="131"/>
        <v/>
      </c>
      <c r="M1726" s="65" t="str">
        <f t="shared" ca="1" si="132"/>
        <v/>
      </c>
      <c r="N1726" s="74" t="str">
        <f>IF($C1726="","",IF($C1726="TANIMSIZ MÜŞTERİ","—",INDEX(MUSTERILER!$C$7:$C$156,MATCH($C1726,MUSTERILER!$B$7:$B$156,0))))</f>
        <v/>
      </c>
      <c r="O1726" s="2"/>
      <c r="P1726" s="2"/>
      <c r="Q1726" s="1" t="str">
        <f>IF($D1726="","",$C1726&amp;"|"&amp;COUNTIFS($C$7:$C1726,$C1726))</f>
        <v/>
      </c>
      <c r="R1726" s="1" t="str">
        <f t="shared" si="133"/>
        <v/>
      </c>
      <c r="S1726" s="1" t="str">
        <f t="shared" si="134"/>
        <v/>
      </c>
      <c r="T1726" s="1">
        <f>IF($E1726="",0,SUMPRODUCT((AY_SONU!$O$7:$O$42="Evet")*(AY_SONU!$B$7:$B$42=DATE(YEAR($E1726),MONTH($E1726),1))))</f>
        <v>0</v>
      </c>
    </row>
    <row r="1727" spans="1:20" ht="18" customHeight="1" x14ac:dyDescent="0.3">
      <c r="A1727" s="2"/>
      <c r="B1727" s="65" t="str">
        <f t="shared" si="130"/>
        <v/>
      </c>
      <c r="C1727" s="65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66"/>
      <c r="F1727" s="67"/>
      <c r="G1727" s="60"/>
      <c r="H1727" s="60"/>
      <c r="I1727" s="61"/>
      <c r="J1727" s="61"/>
      <c r="K1727" s="61"/>
      <c r="L1727" s="73" t="str">
        <f t="shared" si="131"/>
        <v/>
      </c>
      <c r="M1727" s="65" t="str">
        <f t="shared" ca="1" si="132"/>
        <v/>
      </c>
      <c r="N1727" s="74" t="str">
        <f>IF($C1727="","",IF($C1727="TANIMSIZ MÜŞTERİ","—",INDEX(MUSTERILER!$C$7:$C$156,MATCH($C1727,MUSTERILER!$B$7:$B$156,0))))</f>
        <v/>
      </c>
      <c r="O1727" s="2"/>
      <c r="P1727" s="2"/>
      <c r="Q1727" s="1" t="str">
        <f>IF($D1727="","",$C1727&amp;"|"&amp;COUNTIFS($C$7:$C1727,$C1727))</f>
        <v/>
      </c>
      <c r="R1727" s="1" t="str">
        <f t="shared" si="133"/>
        <v/>
      </c>
      <c r="S1727" s="1" t="str">
        <f t="shared" si="134"/>
        <v/>
      </c>
      <c r="T1727" s="1">
        <f>IF($E1727="",0,SUMPRODUCT((AY_SONU!$O$7:$O$42="Evet")*(AY_SONU!$B$7:$B$42=DATE(YEAR($E1727),MONTH($E1727),1))))</f>
        <v>0</v>
      </c>
    </row>
    <row r="1728" spans="1:20" ht="18" customHeight="1" x14ac:dyDescent="0.3">
      <c r="A1728" s="2"/>
      <c r="B1728" s="65" t="str">
        <f t="shared" si="130"/>
        <v/>
      </c>
      <c r="C1728" s="65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66"/>
      <c r="F1728" s="67"/>
      <c r="G1728" s="60"/>
      <c r="H1728" s="60"/>
      <c r="I1728" s="61"/>
      <c r="J1728" s="61"/>
      <c r="K1728" s="61"/>
      <c r="L1728" s="73" t="str">
        <f t="shared" si="131"/>
        <v/>
      </c>
      <c r="M1728" s="65" t="str">
        <f t="shared" ca="1" si="132"/>
        <v/>
      </c>
      <c r="N1728" s="74" t="str">
        <f>IF($C1728="","",IF($C1728="TANIMSIZ MÜŞTERİ","—",INDEX(MUSTERILER!$C$7:$C$156,MATCH($C1728,MUSTERILER!$B$7:$B$156,0))))</f>
        <v/>
      </c>
      <c r="O1728" s="2"/>
      <c r="P1728" s="2"/>
      <c r="Q1728" s="1" t="str">
        <f>IF($D1728="","",$C1728&amp;"|"&amp;COUNTIFS($C$7:$C1728,$C1728))</f>
        <v/>
      </c>
      <c r="R1728" s="1" t="str">
        <f t="shared" si="133"/>
        <v/>
      </c>
      <c r="S1728" s="1" t="str">
        <f t="shared" si="134"/>
        <v/>
      </c>
      <c r="T1728" s="1">
        <f>IF($E1728="",0,SUMPRODUCT((AY_SONU!$O$7:$O$42="Evet")*(AY_SONU!$B$7:$B$42=DATE(YEAR($E1728),MONTH($E1728),1))))</f>
        <v>0</v>
      </c>
    </row>
    <row r="1729" spans="1:20" ht="18" customHeight="1" x14ac:dyDescent="0.3">
      <c r="A1729" s="2"/>
      <c r="B1729" s="65" t="str">
        <f t="shared" si="130"/>
        <v/>
      </c>
      <c r="C1729" s="65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66"/>
      <c r="F1729" s="67"/>
      <c r="G1729" s="60"/>
      <c r="H1729" s="60"/>
      <c r="I1729" s="61"/>
      <c r="J1729" s="61"/>
      <c r="K1729" s="61"/>
      <c r="L1729" s="73" t="str">
        <f t="shared" si="131"/>
        <v/>
      </c>
      <c r="M1729" s="65" t="str">
        <f t="shared" ca="1" si="132"/>
        <v/>
      </c>
      <c r="N1729" s="74" t="str">
        <f>IF($C1729="","",IF($C1729="TANIMSIZ MÜŞTERİ","—",INDEX(MUSTERILER!$C$7:$C$156,MATCH($C1729,MUSTERILER!$B$7:$B$156,0))))</f>
        <v/>
      </c>
      <c r="O1729" s="2"/>
      <c r="P1729" s="2"/>
      <c r="Q1729" s="1" t="str">
        <f>IF($D1729="","",$C1729&amp;"|"&amp;COUNTIFS($C$7:$C1729,$C1729))</f>
        <v/>
      </c>
      <c r="R1729" s="1" t="str">
        <f t="shared" si="133"/>
        <v/>
      </c>
      <c r="S1729" s="1" t="str">
        <f t="shared" si="134"/>
        <v/>
      </c>
      <c r="T1729" s="1">
        <f>IF($E1729="",0,SUMPRODUCT((AY_SONU!$O$7:$O$42="Evet")*(AY_SONU!$B$7:$B$42=DATE(YEAR($E1729),MONTH($E1729),1))))</f>
        <v>0</v>
      </c>
    </row>
    <row r="1730" spans="1:20" ht="18" customHeight="1" x14ac:dyDescent="0.3">
      <c r="A1730" s="2"/>
      <c r="B1730" s="65" t="str">
        <f t="shared" si="130"/>
        <v/>
      </c>
      <c r="C1730" s="65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66"/>
      <c r="F1730" s="67"/>
      <c r="G1730" s="60"/>
      <c r="H1730" s="60"/>
      <c r="I1730" s="61"/>
      <c r="J1730" s="61"/>
      <c r="K1730" s="61"/>
      <c r="L1730" s="73" t="str">
        <f t="shared" si="131"/>
        <v/>
      </c>
      <c r="M1730" s="65" t="str">
        <f t="shared" ca="1" si="132"/>
        <v/>
      </c>
      <c r="N1730" s="74" t="str">
        <f>IF($C1730="","",IF($C1730="TANIMSIZ MÜŞTERİ","—",INDEX(MUSTERILER!$C$7:$C$156,MATCH($C1730,MUSTERILER!$B$7:$B$156,0))))</f>
        <v/>
      </c>
      <c r="O1730" s="2"/>
      <c r="P1730" s="2"/>
      <c r="Q1730" s="1" t="str">
        <f>IF($D1730="","",$C1730&amp;"|"&amp;COUNTIFS($C$7:$C1730,$C1730))</f>
        <v/>
      </c>
      <c r="R1730" s="1" t="str">
        <f t="shared" si="133"/>
        <v/>
      </c>
      <c r="S1730" s="1" t="str">
        <f t="shared" si="134"/>
        <v/>
      </c>
      <c r="T1730" s="1">
        <f>IF($E1730="",0,SUMPRODUCT((AY_SONU!$O$7:$O$42="Evet")*(AY_SONU!$B$7:$B$42=DATE(YEAR($E1730),MONTH($E1730),1))))</f>
        <v>0</v>
      </c>
    </row>
    <row r="1731" spans="1:20" ht="18" customHeight="1" x14ac:dyDescent="0.3">
      <c r="A1731" s="2"/>
      <c r="B1731" s="65" t="str">
        <f t="shared" si="130"/>
        <v/>
      </c>
      <c r="C1731" s="65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66"/>
      <c r="F1731" s="67"/>
      <c r="G1731" s="60"/>
      <c r="H1731" s="60"/>
      <c r="I1731" s="61"/>
      <c r="J1731" s="61"/>
      <c r="K1731" s="61"/>
      <c r="L1731" s="73" t="str">
        <f t="shared" si="131"/>
        <v/>
      </c>
      <c r="M1731" s="65" t="str">
        <f t="shared" ca="1" si="132"/>
        <v/>
      </c>
      <c r="N1731" s="74" t="str">
        <f>IF($C1731="","",IF($C1731="TANIMSIZ MÜŞTERİ","—",INDEX(MUSTERILER!$C$7:$C$156,MATCH($C1731,MUSTERILER!$B$7:$B$156,0))))</f>
        <v/>
      </c>
      <c r="O1731" s="2"/>
      <c r="P1731" s="2"/>
      <c r="Q1731" s="1" t="str">
        <f>IF($D1731="","",$C1731&amp;"|"&amp;COUNTIFS($C$7:$C1731,$C1731))</f>
        <v/>
      </c>
      <c r="R1731" s="1" t="str">
        <f t="shared" si="133"/>
        <v/>
      </c>
      <c r="S1731" s="1" t="str">
        <f t="shared" si="134"/>
        <v/>
      </c>
      <c r="T1731" s="1">
        <f>IF($E1731="",0,SUMPRODUCT((AY_SONU!$O$7:$O$42="Evet")*(AY_SONU!$B$7:$B$42=DATE(YEAR($E1731),MONTH($E1731),1))))</f>
        <v>0</v>
      </c>
    </row>
    <row r="1732" spans="1:20" ht="18" customHeight="1" x14ac:dyDescent="0.3">
      <c r="A1732" s="2"/>
      <c r="B1732" s="65" t="str">
        <f t="shared" si="130"/>
        <v/>
      </c>
      <c r="C1732" s="65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66"/>
      <c r="F1732" s="67"/>
      <c r="G1732" s="60"/>
      <c r="H1732" s="60"/>
      <c r="I1732" s="61"/>
      <c r="J1732" s="61"/>
      <c r="K1732" s="61"/>
      <c r="L1732" s="73" t="str">
        <f t="shared" si="131"/>
        <v/>
      </c>
      <c r="M1732" s="65" t="str">
        <f t="shared" ca="1" si="132"/>
        <v/>
      </c>
      <c r="N1732" s="74" t="str">
        <f>IF($C1732="","",IF($C1732="TANIMSIZ MÜŞTERİ","—",INDEX(MUSTERILER!$C$7:$C$156,MATCH($C1732,MUSTERILER!$B$7:$B$156,0))))</f>
        <v/>
      </c>
      <c r="O1732" s="2"/>
      <c r="P1732" s="2"/>
      <c r="Q1732" s="1" t="str">
        <f>IF($D1732="","",$C1732&amp;"|"&amp;COUNTIFS($C$7:$C1732,$C1732))</f>
        <v/>
      </c>
      <c r="R1732" s="1" t="str">
        <f t="shared" si="133"/>
        <v/>
      </c>
      <c r="S1732" s="1" t="str">
        <f t="shared" si="134"/>
        <v/>
      </c>
      <c r="T1732" s="1">
        <f>IF($E1732="",0,SUMPRODUCT((AY_SONU!$O$7:$O$42="Evet")*(AY_SONU!$B$7:$B$42=DATE(YEAR($E1732),MONTH($E1732),1))))</f>
        <v>0</v>
      </c>
    </row>
    <row r="1733" spans="1:20" ht="18" customHeight="1" x14ac:dyDescent="0.3">
      <c r="A1733" s="2"/>
      <c r="B1733" s="65" t="str">
        <f t="shared" si="130"/>
        <v/>
      </c>
      <c r="C1733" s="65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66"/>
      <c r="F1733" s="67"/>
      <c r="G1733" s="60"/>
      <c r="H1733" s="60"/>
      <c r="I1733" s="61"/>
      <c r="J1733" s="61"/>
      <c r="K1733" s="61"/>
      <c r="L1733" s="73" t="str">
        <f t="shared" si="131"/>
        <v/>
      </c>
      <c r="M1733" s="65" t="str">
        <f t="shared" ca="1" si="132"/>
        <v/>
      </c>
      <c r="N1733" s="74" t="str">
        <f>IF($C1733="","",IF($C1733="TANIMSIZ MÜŞTERİ","—",INDEX(MUSTERILER!$C$7:$C$156,MATCH($C1733,MUSTERILER!$B$7:$B$156,0))))</f>
        <v/>
      </c>
      <c r="O1733" s="2"/>
      <c r="P1733" s="2"/>
      <c r="Q1733" s="1" t="str">
        <f>IF($D1733="","",$C1733&amp;"|"&amp;COUNTIFS($C$7:$C1733,$C1733))</f>
        <v/>
      </c>
      <c r="R1733" s="1" t="str">
        <f t="shared" si="133"/>
        <v/>
      </c>
      <c r="S1733" s="1" t="str">
        <f t="shared" si="134"/>
        <v/>
      </c>
      <c r="T1733" s="1">
        <f>IF($E1733="",0,SUMPRODUCT((AY_SONU!$O$7:$O$42="Evet")*(AY_SONU!$B$7:$B$42=DATE(YEAR($E1733),MONTH($E1733),1))))</f>
        <v>0</v>
      </c>
    </row>
    <row r="1734" spans="1:20" ht="18" customHeight="1" x14ac:dyDescent="0.3">
      <c r="A1734" s="2"/>
      <c r="B1734" s="65" t="str">
        <f t="shared" si="130"/>
        <v/>
      </c>
      <c r="C1734" s="65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66"/>
      <c r="F1734" s="67"/>
      <c r="G1734" s="60"/>
      <c r="H1734" s="60"/>
      <c r="I1734" s="61"/>
      <c r="J1734" s="61"/>
      <c r="K1734" s="61"/>
      <c r="L1734" s="73" t="str">
        <f t="shared" si="131"/>
        <v/>
      </c>
      <c r="M1734" s="65" t="str">
        <f t="shared" ca="1" si="132"/>
        <v/>
      </c>
      <c r="N1734" s="74" t="str">
        <f>IF($C1734="","",IF($C1734="TANIMSIZ MÜŞTERİ","—",INDEX(MUSTERILER!$C$7:$C$156,MATCH($C1734,MUSTERILER!$B$7:$B$156,0))))</f>
        <v/>
      </c>
      <c r="O1734" s="2"/>
      <c r="P1734" s="2"/>
      <c r="Q1734" s="1" t="str">
        <f>IF($D1734="","",$C1734&amp;"|"&amp;COUNTIFS($C$7:$C1734,$C1734))</f>
        <v/>
      </c>
      <c r="R1734" s="1" t="str">
        <f t="shared" si="133"/>
        <v/>
      </c>
      <c r="S1734" s="1" t="str">
        <f t="shared" si="134"/>
        <v/>
      </c>
      <c r="T1734" s="1">
        <f>IF($E1734="",0,SUMPRODUCT((AY_SONU!$O$7:$O$42="Evet")*(AY_SONU!$B$7:$B$42=DATE(YEAR($E1734),MONTH($E1734),1))))</f>
        <v>0</v>
      </c>
    </row>
    <row r="1735" spans="1:20" ht="18" customHeight="1" x14ac:dyDescent="0.3">
      <c r="A1735" s="2"/>
      <c r="B1735" s="65" t="str">
        <f t="shared" ref="B1735:B1798" si="135">IF($D1735="","","T"&amp;TEXT(ROW()-6,"00000"))</f>
        <v/>
      </c>
      <c r="C1735" s="65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66"/>
      <c r="F1735" s="67"/>
      <c r="G1735" s="60"/>
      <c r="H1735" s="60"/>
      <c r="I1735" s="61"/>
      <c r="J1735" s="61"/>
      <c r="K1735" s="61"/>
      <c r="L1735" s="73" t="str">
        <f t="shared" ref="L1735:L1798" si="136">IF($E1735="","",DATE(YEAR($E1735),MONTH($E1735),1))</f>
        <v/>
      </c>
      <c r="M1735" s="65" t="str">
        <f t="shared" ref="M1735:M1798" ca="1" si="137">IF($D1735="","",IF($C1735="TANIMSIZ MÜŞTERİ","HATA",IF(OR($E1735="",$F1735&lt;=0,$G1735=""),"EKSİK",IF($E1735&gt;TODAY(),"İLERİ TARİH",IF(COUNTIF($S$7:$S$2506,$S1735)&gt;1,"MÜKERRER?",IF($T1735&gt;0,"KAPALI DÖNEM","UYGUN"))))))</f>
        <v/>
      </c>
      <c r="N1735" s="74" t="str">
        <f>IF($C1735="","",IF($C1735="TANIMSIZ MÜŞTERİ","—",INDEX(MUSTERILER!$C$7:$C$156,MATCH($C1735,MUSTERILER!$B$7:$B$156,0))))</f>
        <v/>
      </c>
      <c r="O1735" s="2"/>
      <c r="P1735" s="2"/>
      <c r="Q1735" s="1" t="str">
        <f>IF($D1735="","",$C1735&amp;"|"&amp;COUNTIFS($C$7:$C1735,$C1735))</f>
        <v/>
      </c>
      <c r="R1735" s="1" t="str">
        <f t="shared" ref="R1735:R1798" si="138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 t="str">
        <f t="shared" ref="S1735:S1798" si="139"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>0</v>
      </c>
    </row>
    <row r="1736" spans="1:20" ht="18" customHeight="1" x14ac:dyDescent="0.3">
      <c r="A1736" s="2"/>
      <c r="B1736" s="65" t="str">
        <f t="shared" si="135"/>
        <v/>
      </c>
      <c r="C1736" s="65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66"/>
      <c r="F1736" s="67"/>
      <c r="G1736" s="60"/>
      <c r="H1736" s="60"/>
      <c r="I1736" s="61"/>
      <c r="J1736" s="61"/>
      <c r="K1736" s="61"/>
      <c r="L1736" s="73" t="str">
        <f t="shared" si="136"/>
        <v/>
      </c>
      <c r="M1736" s="65" t="str">
        <f t="shared" ca="1" si="137"/>
        <v/>
      </c>
      <c r="N1736" s="74" t="str">
        <f>IF($C1736="","",IF($C1736="TANIMSIZ MÜŞTERİ","—",INDEX(MUSTERILER!$C$7:$C$156,MATCH($C1736,MUSTERILER!$B$7:$B$156,0))))</f>
        <v/>
      </c>
      <c r="O1736" s="2"/>
      <c r="P1736" s="2"/>
      <c r="Q1736" s="1" t="str">
        <f>IF($D1736="","",$C1736&amp;"|"&amp;COUNTIFS($C$7:$C1736,$C1736))</f>
        <v/>
      </c>
      <c r="R1736" s="1" t="str">
        <f t="shared" si="138"/>
        <v/>
      </c>
      <c r="S1736" s="1" t="str">
        <f t="shared" si="139"/>
        <v/>
      </c>
      <c r="T1736" s="1">
        <f>IF($E1736="",0,SUMPRODUCT((AY_SONU!$O$7:$O$42="Evet")*(AY_SONU!$B$7:$B$42=DATE(YEAR($E1736),MONTH($E1736),1))))</f>
        <v>0</v>
      </c>
    </row>
    <row r="1737" spans="1:20" ht="18" customHeight="1" x14ac:dyDescent="0.3">
      <c r="A1737" s="2"/>
      <c r="B1737" s="65" t="str">
        <f t="shared" si="135"/>
        <v/>
      </c>
      <c r="C1737" s="65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66"/>
      <c r="F1737" s="67"/>
      <c r="G1737" s="60"/>
      <c r="H1737" s="60"/>
      <c r="I1737" s="61"/>
      <c r="J1737" s="61"/>
      <c r="K1737" s="61"/>
      <c r="L1737" s="73" t="str">
        <f t="shared" si="136"/>
        <v/>
      </c>
      <c r="M1737" s="65" t="str">
        <f t="shared" ca="1" si="137"/>
        <v/>
      </c>
      <c r="N1737" s="74" t="str">
        <f>IF($C1737="","",IF($C1737="TANIMSIZ MÜŞTERİ","—",INDEX(MUSTERILER!$C$7:$C$156,MATCH($C1737,MUSTERILER!$B$7:$B$156,0))))</f>
        <v/>
      </c>
      <c r="O1737" s="2"/>
      <c r="P1737" s="2"/>
      <c r="Q1737" s="1" t="str">
        <f>IF($D1737="","",$C1737&amp;"|"&amp;COUNTIFS($C$7:$C1737,$C1737))</f>
        <v/>
      </c>
      <c r="R1737" s="1" t="str">
        <f t="shared" si="138"/>
        <v/>
      </c>
      <c r="S1737" s="1" t="str">
        <f t="shared" si="139"/>
        <v/>
      </c>
      <c r="T1737" s="1">
        <f>IF($E1737="",0,SUMPRODUCT((AY_SONU!$O$7:$O$42="Evet")*(AY_SONU!$B$7:$B$42=DATE(YEAR($E1737),MONTH($E1737),1))))</f>
        <v>0</v>
      </c>
    </row>
    <row r="1738" spans="1:20" ht="18" customHeight="1" x14ac:dyDescent="0.3">
      <c r="A1738" s="2"/>
      <c r="B1738" s="65" t="str">
        <f t="shared" si="135"/>
        <v/>
      </c>
      <c r="C1738" s="65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66"/>
      <c r="F1738" s="67"/>
      <c r="G1738" s="60"/>
      <c r="H1738" s="60"/>
      <c r="I1738" s="61"/>
      <c r="J1738" s="61"/>
      <c r="K1738" s="61"/>
      <c r="L1738" s="73" t="str">
        <f t="shared" si="136"/>
        <v/>
      </c>
      <c r="M1738" s="65" t="str">
        <f t="shared" ca="1" si="137"/>
        <v/>
      </c>
      <c r="N1738" s="74" t="str">
        <f>IF($C1738="","",IF($C1738="TANIMSIZ MÜŞTERİ","—",INDEX(MUSTERILER!$C$7:$C$156,MATCH($C1738,MUSTERILER!$B$7:$B$156,0))))</f>
        <v/>
      </c>
      <c r="O1738" s="2"/>
      <c r="P1738" s="2"/>
      <c r="Q1738" s="1" t="str">
        <f>IF($D1738="","",$C1738&amp;"|"&amp;COUNTIFS($C$7:$C1738,$C1738))</f>
        <v/>
      </c>
      <c r="R1738" s="1" t="str">
        <f t="shared" si="138"/>
        <v/>
      </c>
      <c r="S1738" s="1" t="str">
        <f t="shared" si="139"/>
        <v/>
      </c>
      <c r="T1738" s="1">
        <f>IF($E1738="",0,SUMPRODUCT((AY_SONU!$O$7:$O$42="Evet")*(AY_SONU!$B$7:$B$42=DATE(YEAR($E1738),MONTH($E1738),1))))</f>
        <v>0</v>
      </c>
    </row>
    <row r="1739" spans="1:20" ht="18" customHeight="1" x14ac:dyDescent="0.3">
      <c r="A1739" s="2"/>
      <c r="B1739" s="65" t="str">
        <f t="shared" si="135"/>
        <v/>
      </c>
      <c r="C1739" s="65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66"/>
      <c r="F1739" s="67"/>
      <c r="G1739" s="60"/>
      <c r="H1739" s="60"/>
      <c r="I1739" s="61"/>
      <c r="J1739" s="61"/>
      <c r="K1739" s="61"/>
      <c r="L1739" s="73" t="str">
        <f t="shared" si="136"/>
        <v/>
      </c>
      <c r="M1739" s="65" t="str">
        <f t="shared" ca="1" si="137"/>
        <v/>
      </c>
      <c r="N1739" s="74" t="str">
        <f>IF($C1739="","",IF($C1739="TANIMSIZ MÜŞTERİ","—",INDEX(MUSTERILER!$C$7:$C$156,MATCH($C1739,MUSTERILER!$B$7:$B$156,0))))</f>
        <v/>
      </c>
      <c r="O1739" s="2"/>
      <c r="P1739" s="2"/>
      <c r="Q1739" s="1" t="str">
        <f>IF($D1739="","",$C1739&amp;"|"&amp;COUNTIFS($C$7:$C1739,$C1739))</f>
        <v/>
      </c>
      <c r="R1739" s="1" t="str">
        <f t="shared" si="138"/>
        <v/>
      </c>
      <c r="S1739" s="1" t="str">
        <f t="shared" si="139"/>
        <v/>
      </c>
      <c r="T1739" s="1">
        <f>IF($E1739="",0,SUMPRODUCT((AY_SONU!$O$7:$O$42="Evet")*(AY_SONU!$B$7:$B$42=DATE(YEAR($E1739),MONTH($E1739),1))))</f>
        <v>0</v>
      </c>
    </row>
    <row r="1740" spans="1:20" ht="18" customHeight="1" x14ac:dyDescent="0.3">
      <c r="A1740" s="2"/>
      <c r="B1740" s="65" t="str">
        <f t="shared" si="135"/>
        <v/>
      </c>
      <c r="C1740" s="65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66"/>
      <c r="F1740" s="67"/>
      <c r="G1740" s="60"/>
      <c r="H1740" s="60"/>
      <c r="I1740" s="61"/>
      <c r="J1740" s="61"/>
      <c r="K1740" s="61"/>
      <c r="L1740" s="73" t="str">
        <f t="shared" si="136"/>
        <v/>
      </c>
      <c r="M1740" s="65" t="str">
        <f t="shared" ca="1" si="137"/>
        <v/>
      </c>
      <c r="N1740" s="74" t="str">
        <f>IF($C1740="","",IF($C1740="TANIMSIZ MÜŞTERİ","—",INDEX(MUSTERILER!$C$7:$C$156,MATCH($C1740,MUSTERILER!$B$7:$B$156,0))))</f>
        <v/>
      </c>
      <c r="O1740" s="2"/>
      <c r="P1740" s="2"/>
      <c r="Q1740" s="1" t="str">
        <f>IF($D1740="","",$C1740&amp;"|"&amp;COUNTIFS($C$7:$C1740,$C1740))</f>
        <v/>
      </c>
      <c r="R1740" s="1" t="str">
        <f t="shared" si="138"/>
        <v/>
      </c>
      <c r="S1740" s="1" t="str">
        <f t="shared" si="139"/>
        <v/>
      </c>
      <c r="T1740" s="1">
        <f>IF($E1740="",0,SUMPRODUCT((AY_SONU!$O$7:$O$42="Evet")*(AY_SONU!$B$7:$B$42=DATE(YEAR($E1740),MONTH($E1740),1))))</f>
        <v>0</v>
      </c>
    </row>
    <row r="1741" spans="1:20" ht="18" customHeight="1" x14ac:dyDescent="0.3">
      <c r="A1741" s="2"/>
      <c r="B1741" s="65" t="str">
        <f t="shared" si="135"/>
        <v/>
      </c>
      <c r="C1741" s="65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66"/>
      <c r="F1741" s="67"/>
      <c r="G1741" s="60"/>
      <c r="H1741" s="60"/>
      <c r="I1741" s="61"/>
      <c r="J1741" s="61"/>
      <c r="K1741" s="61"/>
      <c r="L1741" s="73" t="str">
        <f t="shared" si="136"/>
        <v/>
      </c>
      <c r="M1741" s="65" t="str">
        <f t="shared" ca="1" si="137"/>
        <v/>
      </c>
      <c r="N1741" s="74" t="str">
        <f>IF($C1741="","",IF($C1741="TANIMSIZ MÜŞTERİ","—",INDEX(MUSTERILER!$C$7:$C$156,MATCH($C1741,MUSTERILER!$B$7:$B$156,0))))</f>
        <v/>
      </c>
      <c r="O1741" s="2"/>
      <c r="P1741" s="2"/>
      <c r="Q1741" s="1" t="str">
        <f>IF($D1741="","",$C1741&amp;"|"&amp;COUNTIFS($C$7:$C1741,$C1741))</f>
        <v/>
      </c>
      <c r="R1741" s="1" t="str">
        <f t="shared" si="138"/>
        <v/>
      </c>
      <c r="S1741" s="1" t="str">
        <f t="shared" si="139"/>
        <v/>
      </c>
      <c r="T1741" s="1">
        <f>IF($E1741="",0,SUMPRODUCT((AY_SONU!$O$7:$O$42="Evet")*(AY_SONU!$B$7:$B$42=DATE(YEAR($E1741),MONTH($E1741),1))))</f>
        <v>0</v>
      </c>
    </row>
    <row r="1742" spans="1:20" ht="18" customHeight="1" x14ac:dyDescent="0.3">
      <c r="A1742" s="2"/>
      <c r="B1742" s="65" t="str">
        <f t="shared" si="135"/>
        <v/>
      </c>
      <c r="C1742" s="65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66"/>
      <c r="F1742" s="67"/>
      <c r="G1742" s="60"/>
      <c r="H1742" s="60"/>
      <c r="I1742" s="61"/>
      <c r="J1742" s="61"/>
      <c r="K1742" s="61"/>
      <c r="L1742" s="73" t="str">
        <f t="shared" si="136"/>
        <v/>
      </c>
      <c r="M1742" s="65" t="str">
        <f t="shared" ca="1" si="137"/>
        <v/>
      </c>
      <c r="N1742" s="74" t="str">
        <f>IF($C1742="","",IF($C1742="TANIMSIZ MÜŞTERİ","—",INDEX(MUSTERILER!$C$7:$C$156,MATCH($C1742,MUSTERILER!$B$7:$B$156,0))))</f>
        <v/>
      </c>
      <c r="O1742" s="2"/>
      <c r="P1742" s="2"/>
      <c r="Q1742" s="1" t="str">
        <f>IF($D1742="","",$C1742&amp;"|"&amp;COUNTIFS($C$7:$C1742,$C1742))</f>
        <v/>
      </c>
      <c r="R1742" s="1" t="str">
        <f t="shared" si="138"/>
        <v/>
      </c>
      <c r="S1742" s="1" t="str">
        <f t="shared" si="139"/>
        <v/>
      </c>
      <c r="T1742" s="1">
        <f>IF($E1742="",0,SUMPRODUCT((AY_SONU!$O$7:$O$42="Evet")*(AY_SONU!$B$7:$B$42=DATE(YEAR($E1742),MONTH($E1742),1))))</f>
        <v>0</v>
      </c>
    </row>
    <row r="1743" spans="1:20" ht="18" customHeight="1" x14ac:dyDescent="0.3">
      <c r="A1743" s="2"/>
      <c r="B1743" s="65" t="str">
        <f t="shared" si="135"/>
        <v/>
      </c>
      <c r="C1743" s="65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66"/>
      <c r="F1743" s="67"/>
      <c r="G1743" s="60"/>
      <c r="H1743" s="60"/>
      <c r="I1743" s="61"/>
      <c r="J1743" s="61"/>
      <c r="K1743" s="61"/>
      <c r="L1743" s="73" t="str">
        <f t="shared" si="136"/>
        <v/>
      </c>
      <c r="M1743" s="65" t="str">
        <f t="shared" ca="1" si="137"/>
        <v/>
      </c>
      <c r="N1743" s="74" t="str">
        <f>IF($C1743="","",IF($C1743="TANIMSIZ MÜŞTERİ","—",INDEX(MUSTERILER!$C$7:$C$156,MATCH($C1743,MUSTERILER!$B$7:$B$156,0))))</f>
        <v/>
      </c>
      <c r="O1743" s="2"/>
      <c r="P1743" s="2"/>
      <c r="Q1743" s="1" t="str">
        <f>IF($D1743="","",$C1743&amp;"|"&amp;COUNTIFS($C$7:$C1743,$C1743))</f>
        <v/>
      </c>
      <c r="R1743" s="1" t="str">
        <f t="shared" si="138"/>
        <v/>
      </c>
      <c r="S1743" s="1" t="str">
        <f t="shared" si="139"/>
        <v/>
      </c>
      <c r="T1743" s="1">
        <f>IF($E1743="",0,SUMPRODUCT((AY_SONU!$O$7:$O$42="Evet")*(AY_SONU!$B$7:$B$42=DATE(YEAR($E1743),MONTH($E1743),1))))</f>
        <v>0</v>
      </c>
    </row>
    <row r="1744" spans="1:20" ht="18" customHeight="1" x14ac:dyDescent="0.3">
      <c r="A1744" s="2"/>
      <c r="B1744" s="65" t="str">
        <f t="shared" si="135"/>
        <v/>
      </c>
      <c r="C1744" s="65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66"/>
      <c r="F1744" s="67"/>
      <c r="G1744" s="60"/>
      <c r="H1744" s="60"/>
      <c r="I1744" s="61"/>
      <c r="J1744" s="61"/>
      <c r="K1744" s="61"/>
      <c r="L1744" s="73" t="str">
        <f t="shared" si="136"/>
        <v/>
      </c>
      <c r="M1744" s="65" t="str">
        <f t="shared" ca="1" si="137"/>
        <v/>
      </c>
      <c r="N1744" s="74" t="str">
        <f>IF($C1744="","",IF($C1744="TANIMSIZ MÜŞTERİ","—",INDEX(MUSTERILER!$C$7:$C$156,MATCH($C1744,MUSTERILER!$B$7:$B$156,0))))</f>
        <v/>
      </c>
      <c r="O1744" s="2"/>
      <c r="P1744" s="2"/>
      <c r="Q1744" s="1" t="str">
        <f>IF($D1744="","",$C1744&amp;"|"&amp;COUNTIFS($C$7:$C1744,$C1744))</f>
        <v/>
      </c>
      <c r="R1744" s="1" t="str">
        <f t="shared" si="138"/>
        <v/>
      </c>
      <c r="S1744" s="1" t="str">
        <f t="shared" si="139"/>
        <v/>
      </c>
      <c r="T1744" s="1">
        <f>IF($E1744="",0,SUMPRODUCT((AY_SONU!$O$7:$O$42="Evet")*(AY_SONU!$B$7:$B$42=DATE(YEAR($E1744),MONTH($E1744),1))))</f>
        <v>0</v>
      </c>
    </row>
    <row r="1745" spans="1:20" ht="18" customHeight="1" x14ac:dyDescent="0.3">
      <c r="A1745" s="2"/>
      <c r="B1745" s="65" t="str">
        <f t="shared" si="135"/>
        <v/>
      </c>
      <c r="C1745" s="65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66"/>
      <c r="F1745" s="67"/>
      <c r="G1745" s="60"/>
      <c r="H1745" s="60"/>
      <c r="I1745" s="61"/>
      <c r="J1745" s="61"/>
      <c r="K1745" s="61"/>
      <c r="L1745" s="73" t="str">
        <f t="shared" si="136"/>
        <v/>
      </c>
      <c r="M1745" s="65" t="str">
        <f t="shared" ca="1" si="137"/>
        <v/>
      </c>
      <c r="N1745" s="74" t="str">
        <f>IF($C1745="","",IF($C1745="TANIMSIZ MÜŞTERİ","—",INDEX(MUSTERILER!$C$7:$C$156,MATCH($C1745,MUSTERILER!$B$7:$B$156,0))))</f>
        <v/>
      </c>
      <c r="O1745" s="2"/>
      <c r="P1745" s="2"/>
      <c r="Q1745" s="1" t="str">
        <f>IF($D1745="","",$C1745&amp;"|"&amp;COUNTIFS($C$7:$C1745,$C1745))</f>
        <v/>
      </c>
      <c r="R1745" s="1" t="str">
        <f t="shared" si="138"/>
        <v/>
      </c>
      <c r="S1745" s="1" t="str">
        <f t="shared" si="139"/>
        <v/>
      </c>
      <c r="T1745" s="1">
        <f>IF($E1745="",0,SUMPRODUCT((AY_SONU!$O$7:$O$42="Evet")*(AY_SONU!$B$7:$B$42=DATE(YEAR($E1745),MONTH($E1745),1))))</f>
        <v>0</v>
      </c>
    </row>
    <row r="1746" spans="1:20" ht="18" customHeight="1" x14ac:dyDescent="0.3">
      <c r="A1746" s="2"/>
      <c r="B1746" s="65" t="str">
        <f t="shared" si="135"/>
        <v/>
      </c>
      <c r="C1746" s="65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66"/>
      <c r="F1746" s="67"/>
      <c r="G1746" s="60"/>
      <c r="H1746" s="60"/>
      <c r="I1746" s="61"/>
      <c r="J1746" s="61"/>
      <c r="K1746" s="61"/>
      <c r="L1746" s="73" t="str">
        <f t="shared" si="136"/>
        <v/>
      </c>
      <c r="M1746" s="65" t="str">
        <f t="shared" ca="1" si="137"/>
        <v/>
      </c>
      <c r="N1746" s="74" t="str">
        <f>IF($C1746="","",IF($C1746="TANIMSIZ MÜŞTERİ","—",INDEX(MUSTERILER!$C$7:$C$156,MATCH($C1746,MUSTERILER!$B$7:$B$156,0))))</f>
        <v/>
      </c>
      <c r="O1746" s="2"/>
      <c r="P1746" s="2"/>
      <c r="Q1746" s="1" t="str">
        <f>IF($D1746="","",$C1746&amp;"|"&amp;COUNTIFS($C$7:$C1746,$C1746))</f>
        <v/>
      </c>
      <c r="R1746" s="1" t="str">
        <f t="shared" si="138"/>
        <v/>
      </c>
      <c r="S1746" s="1" t="str">
        <f t="shared" si="139"/>
        <v/>
      </c>
      <c r="T1746" s="1">
        <f>IF($E1746="",0,SUMPRODUCT((AY_SONU!$O$7:$O$42="Evet")*(AY_SONU!$B$7:$B$42=DATE(YEAR($E1746),MONTH($E1746),1))))</f>
        <v>0</v>
      </c>
    </row>
    <row r="1747" spans="1:20" ht="18" customHeight="1" x14ac:dyDescent="0.3">
      <c r="A1747" s="2"/>
      <c r="B1747" s="65" t="str">
        <f t="shared" si="135"/>
        <v/>
      </c>
      <c r="C1747" s="65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66"/>
      <c r="F1747" s="67"/>
      <c r="G1747" s="60"/>
      <c r="H1747" s="60"/>
      <c r="I1747" s="61"/>
      <c r="J1747" s="61"/>
      <c r="K1747" s="61"/>
      <c r="L1747" s="73" t="str">
        <f t="shared" si="136"/>
        <v/>
      </c>
      <c r="M1747" s="65" t="str">
        <f t="shared" ca="1" si="137"/>
        <v/>
      </c>
      <c r="N1747" s="74" t="str">
        <f>IF($C1747="","",IF($C1747="TANIMSIZ MÜŞTERİ","—",INDEX(MUSTERILER!$C$7:$C$156,MATCH($C1747,MUSTERILER!$B$7:$B$156,0))))</f>
        <v/>
      </c>
      <c r="O1747" s="2"/>
      <c r="P1747" s="2"/>
      <c r="Q1747" s="1" t="str">
        <f>IF($D1747="","",$C1747&amp;"|"&amp;COUNTIFS($C$7:$C1747,$C1747))</f>
        <v/>
      </c>
      <c r="R1747" s="1" t="str">
        <f t="shared" si="138"/>
        <v/>
      </c>
      <c r="S1747" s="1" t="str">
        <f t="shared" si="139"/>
        <v/>
      </c>
      <c r="T1747" s="1">
        <f>IF($E1747="",0,SUMPRODUCT((AY_SONU!$O$7:$O$42="Evet")*(AY_SONU!$B$7:$B$42=DATE(YEAR($E1747),MONTH($E1747),1))))</f>
        <v>0</v>
      </c>
    </row>
    <row r="1748" spans="1:20" ht="18" customHeight="1" x14ac:dyDescent="0.3">
      <c r="A1748" s="2"/>
      <c r="B1748" s="65" t="str">
        <f t="shared" si="135"/>
        <v/>
      </c>
      <c r="C1748" s="65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66"/>
      <c r="F1748" s="67"/>
      <c r="G1748" s="60"/>
      <c r="H1748" s="60"/>
      <c r="I1748" s="61"/>
      <c r="J1748" s="61"/>
      <c r="K1748" s="61"/>
      <c r="L1748" s="73" t="str">
        <f t="shared" si="136"/>
        <v/>
      </c>
      <c r="M1748" s="65" t="str">
        <f t="shared" ca="1" si="137"/>
        <v/>
      </c>
      <c r="N1748" s="74" t="str">
        <f>IF($C1748="","",IF($C1748="TANIMSIZ MÜŞTERİ","—",INDEX(MUSTERILER!$C$7:$C$156,MATCH($C1748,MUSTERILER!$B$7:$B$156,0))))</f>
        <v/>
      </c>
      <c r="O1748" s="2"/>
      <c r="P1748" s="2"/>
      <c r="Q1748" s="1" t="str">
        <f>IF($D1748="","",$C1748&amp;"|"&amp;COUNTIFS($C$7:$C1748,$C1748))</f>
        <v/>
      </c>
      <c r="R1748" s="1" t="str">
        <f t="shared" si="138"/>
        <v/>
      </c>
      <c r="S1748" s="1" t="str">
        <f t="shared" si="139"/>
        <v/>
      </c>
      <c r="T1748" s="1">
        <f>IF($E1748="",0,SUMPRODUCT((AY_SONU!$O$7:$O$42="Evet")*(AY_SONU!$B$7:$B$42=DATE(YEAR($E1748),MONTH($E1748),1))))</f>
        <v>0</v>
      </c>
    </row>
    <row r="1749" spans="1:20" ht="18" customHeight="1" x14ac:dyDescent="0.3">
      <c r="A1749" s="2"/>
      <c r="B1749" s="65" t="str">
        <f t="shared" si="135"/>
        <v/>
      </c>
      <c r="C1749" s="65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66"/>
      <c r="F1749" s="67"/>
      <c r="G1749" s="60"/>
      <c r="H1749" s="60"/>
      <c r="I1749" s="61"/>
      <c r="J1749" s="61"/>
      <c r="K1749" s="61"/>
      <c r="L1749" s="73" t="str">
        <f t="shared" si="136"/>
        <v/>
      </c>
      <c r="M1749" s="65" t="str">
        <f t="shared" ca="1" si="137"/>
        <v/>
      </c>
      <c r="N1749" s="74" t="str">
        <f>IF($C1749="","",IF($C1749="TANIMSIZ MÜŞTERİ","—",INDEX(MUSTERILER!$C$7:$C$156,MATCH($C1749,MUSTERILER!$B$7:$B$156,0))))</f>
        <v/>
      </c>
      <c r="O1749" s="2"/>
      <c r="P1749" s="2"/>
      <c r="Q1749" s="1" t="str">
        <f>IF($D1749="","",$C1749&amp;"|"&amp;COUNTIFS($C$7:$C1749,$C1749))</f>
        <v/>
      </c>
      <c r="R1749" s="1" t="str">
        <f t="shared" si="138"/>
        <v/>
      </c>
      <c r="S1749" s="1" t="str">
        <f t="shared" si="139"/>
        <v/>
      </c>
      <c r="T1749" s="1">
        <f>IF($E1749="",0,SUMPRODUCT((AY_SONU!$O$7:$O$42="Evet")*(AY_SONU!$B$7:$B$42=DATE(YEAR($E1749),MONTH($E1749),1))))</f>
        <v>0</v>
      </c>
    </row>
    <row r="1750" spans="1:20" ht="18" customHeight="1" x14ac:dyDescent="0.3">
      <c r="A1750" s="2"/>
      <c r="B1750" s="65" t="str">
        <f t="shared" si="135"/>
        <v/>
      </c>
      <c r="C1750" s="65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66"/>
      <c r="F1750" s="67"/>
      <c r="G1750" s="60"/>
      <c r="H1750" s="60"/>
      <c r="I1750" s="61"/>
      <c r="J1750" s="61"/>
      <c r="K1750" s="61"/>
      <c r="L1750" s="73" t="str">
        <f t="shared" si="136"/>
        <v/>
      </c>
      <c r="M1750" s="65" t="str">
        <f t="shared" ca="1" si="137"/>
        <v/>
      </c>
      <c r="N1750" s="74" t="str">
        <f>IF($C1750="","",IF($C1750="TANIMSIZ MÜŞTERİ","—",INDEX(MUSTERILER!$C$7:$C$156,MATCH($C1750,MUSTERILER!$B$7:$B$156,0))))</f>
        <v/>
      </c>
      <c r="O1750" s="2"/>
      <c r="P1750" s="2"/>
      <c r="Q1750" s="1" t="str">
        <f>IF($D1750="","",$C1750&amp;"|"&amp;COUNTIFS($C$7:$C1750,$C1750))</f>
        <v/>
      </c>
      <c r="R1750" s="1" t="str">
        <f t="shared" si="138"/>
        <v/>
      </c>
      <c r="S1750" s="1" t="str">
        <f t="shared" si="139"/>
        <v/>
      </c>
      <c r="T1750" s="1">
        <f>IF($E1750="",0,SUMPRODUCT((AY_SONU!$O$7:$O$42="Evet")*(AY_SONU!$B$7:$B$42=DATE(YEAR($E1750),MONTH($E1750),1))))</f>
        <v>0</v>
      </c>
    </row>
    <row r="1751" spans="1:20" ht="18" customHeight="1" x14ac:dyDescent="0.3">
      <c r="A1751" s="2"/>
      <c r="B1751" s="65" t="str">
        <f t="shared" si="135"/>
        <v/>
      </c>
      <c r="C1751" s="65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66"/>
      <c r="F1751" s="67"/>
      <c r="G1751" s="60"/>
      <c r="H1751" s="60"/>
      <c r="I1751" s="61"/>
      <c r="J1751" s="61"/>
      <c r="K1751" s="61"/>
      <c r="L1751" s="73" t="str">
        <f t="shared" si="136"/>
        <v/>
      </c>
      <c r="M1751" s="65" t="str">
        <f t="shared" ca="1" si="137"/>
        <v/>
      </c>
      <c r="N1751" s="74" t="str">
        <f>IF($C1751="","",IF($C1751="TANIMSIZ MÜŞTERİ","—",INDEX(MUSTERILER!$C$7:$C$156,MATCH($C1751,MUSTERILER!$B$7:$B$156,0))))</f>
        <v/>
      </c>
      <c r="O1751" s="2"/>
      <c r="P1751" s="2"/>
      <c r="Q1751" s="1" t="str">
        <f>IF($D1751="","",$C1751&amp;"|"&amp;COUNTIFS($C$7:$C1751,$C1751))</f>
        <v/>
      </c>
      <c r="R1751" s="1" t="str">
        <f t="shared" si="138"/>
        <v/>
      </c>
      <c r="S1751" s="1" t="str">
        <f t="shared" si="139"/>
        <v/>
      </c>
      <c r="T1751" s="1">
        <f>IF($E1751="",0,SUMPRODUCT((AY_SONU!$O$7:$O$42="Evet")*(AY_SONU!$B$7:$B$42=DATE(YEAR($E1751),MONTH($E1751),1))))</f>
        <v>0</v>
      </c>
    </row>
    <row r="1752" spans="1:20" ht="18" customHeight="1" x14ac:dyDescent="0.3">
      <c r="A1752" s="2"/>
      <c r="B1752" s="65" t="str">
        <f t="shared" si="135"/>
        <v/>
      </c>
      <c r="C1752" s="65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66"/>
      <c r="F1752" s="67"/>
      <c r="G1752" s="60"/>
      <c r="H1752" s="60"/>
      <c r="I1752" s="61"/>
      <c r="J1752" s="61"/>
      <c r="K1752" s="61"/>
      <c r="L1752" s="73" t="str">
        <f t="shared" si="136"/>
        <v/>
      </c>
      <c r="M1752" s="65" t="str">
        <f t="shared" ca="1" si="137"/>
        <v/>
      </c>
      <c r="N1752" s="74" t="str">
        <f>IF($C1752="","",IF($C1752="TANIMSIZ MÜŞTERİ","—",INDEX(MUSTERILER!$C$7:$C$156,MATCH($C1752,MUSTERILER!$B$7:$B$156,0))))</f>
        <v/>
      </c>
      <c r="O1752" s="2"/>
      <c r="P1752" s="2"/>
      <c r="Q1752" s="1" t="str">
        <f>IF($D1752="","",$C1752&amp;"|"&amp;COUNTIFS($C$7:$C1752,$C1752))</f>
        <v/>
      </c>
      <c r="R1752" s="1" t="str">
        <f t="shared" si="138"/>
        <v/>
      </c>
      <c r="S1752" s="1" t="str">
        <f t="shared" si="139"/>
        <v/>
      </c>
      <c r="T1752" s="1">
        <f>IF($E1752="",0,SUMPRODUCT((AY_SONU!$O$7:$O$42="Evet")*(AY_SONU!$B$7:$B$42=DATE(YEAR($E1752),MONTH($E1752),1))))</f>
        <v>0</v>
      </c>
    </row>
    <row r="1753" spans="1:20" ht="18" customHeight="1" x14ac:dyDescent="0.3">
      <c r="A1753" s="2"/>
      <c r="B1753" s="65" t="str">
        <f t="shared" si="135"/>
        <v/>
      </c>
      <c r="C1753" s="65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66"/>
      <c r="F1753" s="67"/>
      <c r="G1753" s="60"/>
      <c r="H1753" s="60"/>
      <c r="I1753" s="61"/>
      <c r="J1753" s="61"/>
      <c r="K1753" s="61"/>
      <c r="L1753" s="73" t="str">
        <f t="shared" si="136"/>
        <v/>
      </c>
      <c r="M1753" s="65" t="str">
        <f t="shared" ca="1" si="137"/>
        <v/>
      </c>
      <c r="N1753" s="74" t="str">
        <f>IF($C1753="","",IF($C1753="TANIMSIZ MÜŞTERİ","—",INDEX(MUSTERILER!$C$7:$C$156,MATCH($C1753,MUSTERILER!$B$7:$B$156,0))))</f>
        <v/>
      </c>
      <c r="O1753" s="2"/>
      <c r="P1753" s="2"/>
      <c r="Q1753" s="1" t="str">
        <f>IF($D1753="","",$C1753&amp;"|"&amp;COUNTIFS($C$7:$C1753,$C1753))</f>
        <v/>
      </c>
      <c r="R1753" s="1" t="str">
        <f t="shared" si="138"/>
        <v/>
      </c>
      <c r="S1753" s="1" t="str">
        <f t="shared" si="139"/>
        <v/>
      </c>
      <c r="T1753" s="1">
        <f>IF($E1753="",0,SUMPRODUCT((AY_SONU!$O$7:$O$42="Evet")*(AY_SONU!$B$7:$B$42=DATE(YEAR($E1753),MONTH($E1753),1))))</f>
        <v>0</v>
      </c>
    </row>
    <row r="1754" spans="1:20" ht="18" customHeight="1" x14ac:dyDescent="0.3">
      <c r="A1754" s="2"/>
      <c r="B1754" s="65" t="str">
        <f t="shared" si="135"/>
        <v/>
      </c>
      <c r="C1754" s="65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66"/>
      <c r="F1754" s="67"/>
      <c r="G1754" s="60"/>
      <c r="H1754" s="60"/>
      <c r="I1754" s="61"/>
      <c r="J1754" s="61"/>
      <c r="K1754" s="61"/>
      <c r="L1754" s="73" t="str">
        <f t="shared" si="136"/>
        <v/>
      </c>
      <c r="M1754" s="65" t="str">
        <f t="shared" ca="1" si="137"/>
        <v/>
      </c>
      <c r="N1754" s="74" t="str">
        <f>IF($C1754="","",IF($C1754="TANIMSIZ MÜŞTERİ","—",INDEX(MUSTERILER!$C$7:$C$156,MATCH($C1754,MUSTERILER!$B$7:$B$156,0))))</f>
        <v/>
      </c>
      <c r="O1754" s="2"/>
      <c r="P1754" s="2"/>
      <c r="Q1754" s="1" t="str">
        <f>IF($D1754="","",$C1754&amp;"|"&amp;COUNTIFS($C$7:$C1754,$C1754))</f>
        <v/>
      </c>
      <c r="R1754" s="1" t="str">
        <f t="shared" si="138"/>
        <v/>
      </c>
      <c r="S1754" s="1" t="str">
        <f t="shared" si="139"/>
        <v/>
      </c>
      <c r="T1754" s="1">
        <f>IF($E1754="",0,SUMPRODUCT((AY_SONU!$O$7:$O$42="Evet")*(AY_SONU!$B$7:$B$42=DATE(YEAR($E1754),MONTH($E1754),1))))</f>
        <v>0</v>
      </c>
    </row>
    <row r="1755" spans="1:20" ht="18" customHeight="1" x14ac:dyDescent="0.3">
      <c r="A1755" s="2"/>
      <c r="B1755" s="65" t="str">
        <f t="shared" si="135"/>
        <v/>
      </c>
      <c r="C1755" s="65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66"/>
      <c r="F1755" s="67"/>
      <c r="G1755" s="60"/>
      <c r="H1755" s="60"/>
      <c r="I1755" s="61"/>
      <c r="J1755" s="61"/>
      <c r="K1755" s="61"/>
      <c r="L1755" s="73" t="str">
        <f t="shared" si="136"/>
        <v/>
      </c>
      <c r="M1755" s="65" t="str">
        <f t="shared" ca="1" si="137"/>
        <v/>
      </c>
      <c r="N1755" s="74" t="str">
        <f>IF($C1755="","",IF($C1755="TANIMSIZ MÜŞTERİ","—",INDEX(MUSTERILER!$C$7:$C$156,MATCH($C1755,MUSTERILER!$B$7:$B$156,0))))</f>
        <v/>
      </c>
      <c r="O1755" s="2"/>
      <c r="P1755" s="2"/>
      <c r="Q1755" s="1" t="str">
        <f>IF($D1755="","",$C1755&amp;"|"&amp;COUNTIFS($C$7:$C1755,$C1755))</f>
        <v/>
      </c>
      <c r="R1755" s="1" t="str">
        <f t="shared" si="138"/>
        <v/>
      </c>
      <c r="S1755" s="1" t="str">
        <f t="shared" si="139"/>
        <v/>
      </c>
      <c r="T1755" s="1">
        <f>IF($E1755="",0,SUMPRODUCT((AY_SONU!$O$7:$O$42="Evet")*(AY_SONU!$B$7:$B$42=DATE(YEAR($E1755),MONTH($E1755),1))))</f>
        <v>0</v>
      </c>
    </row>
    <row r="1756" spans="1:20" ht="18" customHeight="1" x14ac:dyDescent="0.3">
      <c r="A1756" s="2"/>
      <c r="B1756" s="65" t="str">
        <f t="shared" si="135"/>
        <v/>
      </c>
      <c r="C1756" s="65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66"/>
      <c r="F1756" s="67"/>
      <c r="G1756" s="60"/>
      <c r="H1756" s="60"/>
      <c r="I1756" s="61"/>
      <c r="J1756" s="61"/>
      <c r="K1756" s="61"/>
      <c r="L1756" s="73" t="str">
        <f t="shared" si="136"/>
        <v/>
      </c>
      <c r="M1756" s="65" t="str">
        <f t="shared" ca="1" si="137"/>
        <v/>
      </c>
      <c r="N1756" s="74" t="str">
        <f>IF($C1756="","",IF($C1756="TANIMSIZ MÜŞTERİ","—",INDEX(MUSTERILER!$C$7:$C$156,MATCH($C1756,MUSTERILER!$B$7:$B$156,0))))</f>
        <v/>
      </c>
      <c r="O1756" s="2"/>
      <c r="P1756" s="2"/>
      <c r="Q1756" s="1" t="str">
        <f>IF($D1756="","",$C1756&amp;"|"&amp;COUNTIFS($C$7:$C1756,$C1756))</f>
        <v/>
      </c>
      <c r="R1756" s="1" t="str">
        <f t="shared" si="138"/>
        <v/>
      </c>
      <c r="S1756" s="1" t="str">
        <f t="shared" si="139"/>
        <v/>
      </c>
      <c r="T1756" s="1">
        <f>IF($E1756="",0,SUMPRODUCT((AY_SONU!$O$7:$O$42="Evet")*(AY_SONU!$B$7:$B$42=DATE(YEAR($E1756),MONTH($E1756),1))))</f>
        <v>0</v>
      </c>
    </row>
    <row r="1757" spans="1:20" ht="18" customHeight="1" x14ac:dyDescent="0.3">
      <c r="A1757" s="2"/>
      <c r="B1757" s="65" t="str">
        <f t="shared" si="135"/>
        <v/>
      </c>
      <c r="C1757" s="65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66"/>
      <c r="F1757" s="67"/>
      <c r="G1757" s="60"/>
      <c r="H1757" s="60"/>
      <c r="I1757" s="61"/>
      <c r="J1757" s="61"/>
      <c r="K1757" s="61"/>
      <c r="L1757" s="73" t="str">
        <f t="shared" si="136"/>
        <v/>
      </c>
      <c r="M1757" s="65" t="str">
        <f t="shared" ca="1" si="137"/>
        <v/>
      </c>
      <c r="N1757" s="74" t="str">
        <f>IF($C1757="","",IF($C1757="TANIMSIZ MÜŞTERİ","—",INDEX(MUSTERILER!$C$7:$C$156,MATCH($C1757,MUSTERILER!$B$7:$B$156,0))))</f>
        <v/>
      </c>
      <c r="O1757" s="2"/>
      <c r="P1757" s="2"/>
      <c r="Q1757" s="1" t="str">
        <f>IF($D1757="","",$C1757&amp;"|"&amp;COUNTIFS($C$7:$C1757,$C1757))</f>
        <v/>
      </c>
      <c r="R1757" s="1" t="str">
        <f t="shared" si="138"/>
        <v/>
      </c>
      <c r="S1757" s="1" t="str">
        <f t="shared" si="139"/>
        <v/>
      </c>
      <c r="T1757" s="1">
        <f>IF($E1757="",0,SUMPRODUCT((AY_SONU!$O$7:$O$42="Evet")*(AY_SONU!$B$7:$B$42=DATE(YEAR($E1757),MONTH($E1757),1))))</f>
        <v>0</v>
      </c>
    </row>
    <row r="1758" spans="1:20" ht="18" customHeight="1" x14ac:dyDescent="0.3">
      <c r="A1758" s="2"/>
      <c r="B1758" s="65" t="str">
        <f t="shared" si="135"/>
        <v/>
      </c>
      <c r="C1758" s="65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66"/>
      <c r="F1758" s="67"/>
      <c r="G1758" s="60"/>
      <c r="H1758" s="60"/>
      <c r="I1758" s="61"/>
      <c r="J1758" s="61"/>
      <c r="K1758" s="61"/>
      <c r="L1758" s="73" t="str">
        <f t="shared" si="136"/>
        <v/>
      </c>
      <c r="M1758" s="65" t="str">
        <f t="shared" ca="1" si="137"/>
        <v/>
      </c>
      <c r="N1758" s="74" t="str">
        <f>IF($C1758="","",IF($C1758="TANIMSIZ MÜŞTERİ","—",INDEX(MUSTERILER!$C$7:$C$156,MATCH($C1758,MUSTERILER!$B$7:$B$156,0))))</f>
        <v/>
      </c>
      <c r="O1758" s="2"/>
      <c r="P1758" s="2"/>
      <c r="Q1758" s="1" t="str">
        <f>IF($D1758="","",$C1758&amp;"|"&amp;COUNTIFS($C$7:$C1758,$C1758))</f>
        <v/>
      </c>
      <c r="R1758" s="1" t="str">
        <f t="shared" si="138"/>
        <v/>
      </c>
      <c r="S1758" s="1" t="str">
        <f t="shared" si="139"/>
        <v/>
      </c>
      <c r="T1758" s="1">
        <f>IF($E1758="",0,SUMPRODUCT((AY_SONU!$O$7:$O$42="Evet")*(AY_SONU!$B$7:$B$42=DATE(YEAR($E1758),MONTH($E1758),1))))</f>
        <v>0</v>
      </c>
    </row>
    <row r="1759" spans="1:20" ht="18" customHeight="1" x14ac:dyDescent="0.3">
      <c r="A1759" s="2"/>
      <c r="B1759" s="65" t="str">
        <f t="shared" si="135"/>
        <v/>
      </c>
      <c r="C1759" s="65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66"/>
      <c r="F1759" s="67"/>
      <c r="G1759" s="60"/>
      <c r="H1759" s="60"/>
      <c r="I1759" s="61"/>
      <c r="J1759" s="61"/>
      <c r="K1759" s="61"/>
      <c r="L1759" s="73" t="str">
        <f t="shared" si="136"/>
        <v/>
      </c>
      <c r="M1759" s="65" t="str">
        <f t="shared" ca="1" si="137"/>
        <v/>
      </c>
      <c r="N1759" s="74" t="str">
        <f>IF($C1759="","",IF($C1759="TANIMSIZ MÜŞTERİ","—",INDEX(MUSTERILER!$C$7:$C$156,MATCH($C1759,MUSTERILER!$B$7:$B$156,0))))</f>
        <v/>
      </c>
      <c r="O1759" s="2"/>
      <c r="P1759" s="2"/>
      <c r="Q1759" s="1" t="str">
        <f>IF($D1759="","",$C1759&amp;"|"&amp;COUNTIFS($C$7:$C1759,$C1759))</f>
        <v/>
      </c>
      <c r="R1759" s="1" t="str">
        <f t="shared" si="138"/>
        <v/>
      </c>
      <c r="S1759" s="1" t="str">
        <f t="shared" si="139"/>
        <v/>
      </c>
      <c r="T1759" s="1">
        <f>IF($E1759="",0,SUMPRODUCT((AY_SONU!$O$7:$O$42="Evet")*(AY_SONU!$B$7:$B$42=DATE(YEAR($E1759),MONTH($E1759),1))))</f>
        <v>0</v>
      </c>
    </row>
    <row r="1760" spans="1:20" ht="18" customHeight="1" x14ac:dyDescent="0.3">
      <c r="A1760" s="2"/>
      <c r="B1760" s="65" t="str">
        <f t="shared" si="135"/>
        <v/>
      </c>
      <c r="C1760" s="65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66"/>
      <c r="F1760" s="67"/>
      <c r="G1760" s="60"/>
      <c r="H1760" s="60"/>
      <c r="I1760" s="61"/>
      <c r="J1760" s="61"/>
      <c r="K1760" s="61"/>
      <c r="L1760" s="73" t="str">
        <f t="shared" si="136"/>
        <v/>
      </c>
      <c r="M1760" s="65" t="str">
        <f t="shared" ca="1" si="137"/>
        <v/>
      </c>
      <c r="N1760" s="74" t="str">
        <f>IF($C1760="","",IF($C1760="TANIMSIZ MÜŞTERİ","—",INDEX(MUSTERILER!$C$7:$C$156,MATCH($C1760,MUSTERILER!$B$7:$B$156,0))))</f>
        <v/>
      </c>
      <c r="O1760" s="2"/>
      <c r="P1760" s="2"/>
      <c r="Q1760" s="1" t="str">
        <f>IF($D1760="","",$C1760&amp;"|"&amp;COUNTIFS($C$7:$C1760,$C1760))</f>
        <v/>
      </c>
      <c r="R1760" s="1" t="str">
        <f t="shared" si="138"/>
        <v/>
      </c>
      <c r="S1760" s="1" t="str">
        <f t="shared" si="139"/>
        <v/>
      </c>
      <c r="T1760" s="1">
        <f>IF($E1760="",0,SUMPRODUCT((AY_SONU!$O$7:$O$42="Evet")*(AY_SONU!$B$7:$B$42=DATE(YEAR($E1760),MONTH($E1760),1))))</f>
        <v>0</v>
      </c>
    </row>
    <row r="1761" spans="1:20" ht="18" customHeight="1" x14ac:dyDescent="0.3">
      <c r="A1761" s="2"/>
      <c r="B1761" s="65" t="str">
        <f t="shared" si="135"/>
        <v/>
      </c>
      <c r="C1761" s="65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66"/>
      <c r="F1761" s="67"/>
      <c r="G1761" s="60"/>
      <c r="H1761" s="60"/>
      <c r="I1761" s="61"/>
      <c r="J1761" s="61"/>
      <c r="K1761" s="61"/>
      <c r="L1761" s="73" t="str">
        <f t="shared" si="136"/>
        <v/>
      </c>
      <c r="M1761" s="65" t="str">
        <f t="shared" ca="1" si="137"/>
        <v/>
      </c>
      <c r="N1761" s="74" t="str">
        <f>IF($C1761="","",IF($C1761="TANIMSIZ MÜŞTERİ","—",INDEX(MUSTERILER!$C$7:$C$156,MATCH($C1761,MUSTERILER!$B$7:$B$156,0))))</f>
        <v/>
      </c>
      <c r="O1761" s="2"/>
      <c r="P1761" s="2"/>
      <c r="Q1761" s="1" t="str">
        <f>IF($D1761="","",$C1761&amp;"|"&amp;COUNTIFS($C$7:$C1761,$C1761))</f>
        <v/>
      </c>
      <c r="R1761" s="1" t="str">
        <f t="shared" si="138"/>
        <v/>
      </c>
      <c r="S1761" s="1" t="str">
        <f t="shared" si="139"/>
        <v/>
      </c>
      <c r="T1761" s="1">
        <f>IF($E1761="",0,SUMPRODUCT((AY_SONU!$O$7:$O$42="Evet")*(AY_SONU!$B$7:$B$42=DATE(YEAR($E1761),MONTH($E1761),1))))</f>
        <v>0</v>
      </c>
    </row>
    <row r="1762" spans="1:20" ht="18" customHeight="1" x14ac:dyDescent="0.3">
      <c r="A1762" s="2"/>
      <c r="B1762" s="65" t="str">
        <f t="shared" si="135"/>
        <v/>
      </c>
      <c r="C1762" s="65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66"/>
      <c r="F1762" s="67"/>
      <c r="G1762" s="60"/>
      <c r="H1762" s="60"/>
      <c r="I1762" s="61"/>
      <c r="J1762" s="61"/>
      <c r="K1762" s="61"/>
      <c r="L1762" s="73" t="str">
        <f t="shared" si="136"/>
        <v/>
      </c>
      <c r="M1762" s="65" t="str">
        <f t="shared" ca="1" si="137"/>
        <v/>
      </c>
      <c r="N1762" s="74" t="str">
        <f>IF($C1762="","",IF($C1762="TANIMSIZ MÜŞTERİ","—",INDEX(MUSTERILER!$C$7:$C$156,MATCH($C1762,MUSTERILER!$B$7:$B$156,0))))</f>
        <v/>
      </c>
      <c r="O1762" s="2"/>
      <c r="P1762" s="2"/>
      <c r="Q1762" s="1" t="str">
        <f>IF($D1762="","",$C1762&amp;"|"&amp;COUNTIFS($C$7:$C1762,$C1762))</f>
        <v/>
      </c>
      <c r="R1762" s="1" t="str">
        <f t="shared" si="138"/>
        <v/>
      </c>
      <c r="S1762" s="1" t="str">
        <f t="shared" si="139"/>
        <v/>
      </c>
      <c r="T1762" s="1">
        <f>IF($E1762="",0,SUMPRODUCT((AY_SONU!$O$7:$O$42="Evet")*(AY_SONU!$B$7:$B$42=DATE(YEAR($E1762),MONTH($E1762),1))))</f>
        <v>0</v>
      </c>
    </row>
    <row r="1763" spans="1:20" ht="18" customHeight="1" x14ac:dyDescent="0.3">
      <c r="A1763" s="2"/>
      <c r="B1763" s="65" t="str">
        <f t="shared" si="135"/>
        <v/>
      </c>
      <c r="C1763" s="65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66"/>
      <c r="F1763" s="67"/>
      <c r="G1763" s="60"/>
      <c r="H1763" s="60"/>
      <c r="I1763" s="61"/>
      <c r="J1763" s="61"/>
      <c r="K1763" s="61"/>
      <c r="L1763" s="73" t="str">
        <f t="shared" si="136"/>
        <v/>
      </c>
      <c r="M1763" s="65" t="str">
        <f t="shared" ca="1" si="137"/>
        <v/>
      </c>
      <c r="N1763" s="74" t="str">
        <f>IF($C1763="","",IF($C1763="TANIMSIZ MÜŞTERİ","—",INDEX(MUSTERILER!$C$7:$C$156,MATCH($C1763,MUSTERILER!$B$7:$B$156,0))))</f>
        <v/>
      </c>
      <c r="O1763" s="2"/>
      <c r="P1763" s="2"/>
      <c r="Q1763" s="1" t="str">
        <f>IF($D1763="","",$C1763&amp;"|"&amp;COUNTIFS($C$7:$C1763,$C1763))</f>
        <v/>
      </c>
      <c r="R1763" s="1" t="str">
        <f t="shared" si="138"/>
        <v/>
      </c>
      <c r="S1763" s="1" t="str">
        <f t="shared" si="139"/>
        <v/>
      </c>
      <c r="T1763" s="1">
        <f>IF($E1763="",0,SUMPRODUCT((AY_SONU!$O$7:$O$42="Evet")*(AY_SONU!$B$7:$B$42=DATE(YEAR($E1763),MONTH($E1763),1))))</f>
        <v>0</v>
      </c>
    </row>
    <row r="1764" spans="1:20" ht="18" customHeight="1" x14ac:dyDescent="0.3">
      <c r="A1764" s="2"/>
      <c r="B1764" s="65" t="str">
        <f t="shared" si="135"/>
        <v/>
      </c>
      <c r="C1764" s="65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66"/>
      <c r="F1764" s="67"/>
      <c r="G1764" s="60"/>
      <c r="H1764" s="60"/>
      <c r="I1764" s="61"/>
      <c r="J1764" s="61"/>
      <c r="K1764" s="61"/>
      <c r="L1764" s="73" t="str">
        <f t="shared" si="136"/>
        <v/>
      </c>
      <c r="M1764" s="65" t="str">
        <f t="shared" ca="1" si="137"/>
        <v/>
      </c>
      <c r="N1764" s="74" t="str">
        <f>IF($C1764="","",IF($C1764="TANIMSIZ MÜŞTERİ","—",INDEX(MUSTERILER!$C$7:$C$156,MATCH($C1764,MUSTERILER!$B$7:$B$156,0))))</f>
        <v/>
      </c>
      <c r="O1764" s="2"/>
      <c r="P1764" s="2"/>
      <c r="Q1764" s="1" t="str">
        <f>IF($D1764="","",$C1764&amp;"|"&amp;COUNTIFS($C$7:$C1764,$C1764))</f>
        <v/>
      </c>
      <c r="R1764" s="1" t="str">
        <f t="shared" si="138"/>
        <v/>
      </c>
      <c r="S1764" s="1" t="str">
        <f t="shared" si="139"/>
        <v/>
      </c>
      <c r="T1764" s="1">
        <f>IF($E1764="",0,SUMPRODUCT((AY_SONU!$O$7:$O$42="Evet")*(AY_SONU!$B$7:$B$42=DATE(YEAR($E1764),MONTH($E1764),1))))</f>
        <v>0</v>
      </c>
    </row>
    <row r="1765" spans="1:20" ht="18" customHeight="1" x14ac:dyDescent="0.3">
      <c r="A1765" s="2"/>
      <c r="B1765" s="65" t="str">
        <f t="shared" si="135"/>
        <v/>
      </c>
      <c r="C1765" s="65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66"/>
      <c r="F1765" s="67"/>
      <c r="G1765" s="60"/>
      <c r="H1765" s="60"/>
      <c r="I1765" s="61"/>
      <c r="J1765" s="61"/>
      <c r="K1765" s="61"/>
      <c r="L1765" s="73" t="str">
        <f t="shared" si="136"/>
        <v/>
      </c>
      <c r="M1765" s="65" t="str">
        <f t="shared" ca="1" si="137"/>
        <v/>
      </c>
      <c r="N1765" s="74" t="str">
        <f>IF($C1765="","",IF($C1765="TANIMSIZ MÜŞTERİ","—",INDEX(MUSTERILER!$C$7:$C$156,MATCH($C1765,MUSTERILER!$B$7:$B$156,0))))</f>
        <v/>
      </c>
      <c r="O1765" s="2"/>
      <c r="P1765" s="2"/>
      <c r="Q1765" s="1" t="str">
        <f>IF($D1765="","",$C1765&amp;"|"&amp;COUNTIFS($C$7:$C1765,$C1765))</f>
        <v/>
      </c>
      <c r="R1765" s="1" t="str">
        <f t="shared" si="138"/>
        <v/>
      </c>
      <c r="S1765" s="1" t="str">
        <f t="shared" si="139"/>
        <v/>
      </c>
      <c r="T1765" s="1">
        <f>IF($E1765="",0,SUMPRODUCT((AY_SONU!$O$7:$O$42="Evet")*(AY_SONU!$B$7:$B$42=DATE(YEAR($E1765),MONTH($E1765),1))))</f>
        <v>0</v>
      </c>
    </row>
    <row r="1766" spans="1:20" ht="18" customHeight="1" x14ac:dyDescent="0.3">
      <c r="A1766" s="2"/>
      <c r="B1766" s="65" t="str">
        <f t="shared" si="135"/>
        <v/>
      </c>
      <c r="C1766" s="65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66"/>
      <c r="F1766" s="67"/>
      <c r="G1766" s="60"/>
      <c r="H1766" s="60"/>
      <c r="I1766" s="61"/>
      <c r="J1766" s="61"/>
      <c r="K1766" s="61"/>
      <c r="L1766" s="73" t="str">
        <f t="shared" si="136"/>
        <v/>
      </c>
      <c r="M1766" s="65" t="str">
        <f t="shared" ca="1" si="137"/>
        <v/>
      </c>
      <c r="N1766" s="74" t="str">
        <f>IF($C1766="","",IF($C1766="TANIMSIZ MÜŞTERİ","—",INDEX(MUSTERILER!$C$7:$C$156,MATCH($C1766,MUSTERILER!$B$7:$B$156,0))))</f>
        <v/>
      </c>
      <c r="O1766" s="2"/>
      <c r="P1766" s="2"/>
      <c r="Q1766" s="1" t="str">
        <f>IF($D1766="","",$C1766&amp;"|"&amp;COUNTIFS($C$7:$C1766,$C1766))</f>
        <v/>
      </c>
      <c r="R1766" s="1" t="str">
        <f t="shared" si="138"/>
        <v/>
      </c>
      <c r="S1766" s="1" t="str">
        <f t="shared" si="139"/>
        <v/>
      </c>
      <c r="T1766" s="1">
        <f>IF($E1766="",0,SUMPRODUCT((AY_SONU!$O$7:$O$42="Evet")*(AY_SONU!$B$7:$B$42=DATE(YEAR($E1766),MONTH($E1766),1))))</f>
        <v>0</v>
      </c>
    </row>
    <row r="1767" spans="1:20" ht="18" customHeight="1" x14ac:dyDescent="0.3">
      <c r="A1767" s="2"/>
      <c r="B1767" s="65" t="str">
        <f t="shared" si="135"/>
        <v/>
      </c>
      <c r="C1767" s="65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66"/>
      <c r="F1767" s="67"/>
      <c r="G1767" s="60"/>
      <c r="H1767" s="60"/>
      <c r="I1767" s="61"/>
      <c r="J1767" s="61"/>
      <c r="K1767" s="61"/>
      <c r="L1767" s="73" t="str">
        <f t="shared" si="136"/>
        <v/>
      </c>
      <c r="M1767" s="65" t="str">
        <f t="shared" ca="1" si="137"/>
        <v/>
      </c>
      <c r="N1767" s="74" t="str">
        <f>IF($C1767="","",IF($C1767="TANIMSIZ MÜŞTERİ","—",INDEX(MUSTERILER!$C$7:$C$156,MATCH($C1767,MUSTERILER!$B$7:$B$156,0))))</f>
        <v/>
      </c>
      <c r="O1767" s="2"/>
      <c r="P1767" s="2"/>
      <c r="Q1767" s="1" t="str">
        <f>IF($D1767="","",$C1767&amp;"|"&amp;COUNTIFS($C$7:$C1767,$C1767))</f>
        <v/>
      </c>
      <c r="R1767" s="1" t="str">
        <f t="shared" si="138"/>
        <v/>
      </c>
      <c r="S1767" s="1" t="str">
        <f t="shared" si="139"/>
        <v/>
      </c>
      <c r="T1767" s="1">
        <f>IF($E1767="",0,SUMPRODUCT((AY_SONU!$O$7:$O$42="Evet")*(AY_SONU!$B$7:$B$42=DATE(YEAR($E1767),MONTH($E1767),1))))</f>
        <v>0</v>
      </c>
    </row>
    <row r="1768" spans="1:20" ht="18" customHeight="1" x14ac:dyDescent="0.3">
      <c r="A1768" s="2"/>
      <c r="B1768" s="65" t="str">
        <f t="shared" si="135"/>
        <v/>
      </c>
      <c r="C1768" s="65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66"/>
      <c r="F1768" s="67"/>
      <c r="G1768" s="60"/>
      <c r="H1768" s="60"/>
      <c r="I1768" s="61"/>
      <c r="J1768" s="61"/>
      <c r="K1768" s="61"/>
      <c r="L1768" s="73" t="str">
        <f t="shared" si="136"/>
        <v/>
      </c>
      <c r="M1768" s="65" t="str">
        <f t="shared" ca="1" si="137"/>
        <v/>
      </c>
      <c r="N1768" s="74" t="str">
        <f>IF($C1768="","",IF($C1768="TANIMSIZ MÜŞTERİ","—",INDEX(MUSTERILER!$C$7:$C$156,MATCH($C1768,MUSTERILER!$B$7:$B$156,0))))</f>
        <v/>
      </c>
      <c r="O1768" s="2"/>
      <c r="P1768" s="2"/>
      <c r="Q1768" s="1" t="str">
        <f>IF($D1768="","",$C1768&amp;"|"&amp;COUNTIFS($C$7:$C1768,$C1768))</f>
        <v/>
      </c>
      <c r="R1768" s="1" t="str">
        <f t="shared" si="138"/>
        <v/>
      </c>
      <c r="S1768" s="1" t="str">
        <f t="shared" si="139"/>
        <v/>
      </c>
      <c r="T1768" s="1">
        <f>IF($E1768="",0,SUMPRODUCT((AY_SONU!$O$7:$O$42="Evet")*(AY_SONU!$B$7:$B$42=DATE(YEAR($E1768),MONTH($E1768),1))))</f>
        <v>0</v>
      </c>
    </row>
    <row r="1769" spans="1:20" ht="18" customHeight="1" x14ac:dyDescent="0.3">
      <c r="A1769" s="2"/>
      <c r="B1769" s="65" t="str">
        <f t="shared" si="135"/>
        <v/>
      </c>
      <c r="C1769" s="65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66"/>
      <c r="F1769" s="67"/>
      <c r="G1769" s="60"/>
      <c r="H1769" s="60"/>
      <c r="I1769" s="61"/>
      <c r="J1769" s="61"/>
      <c r="K1769" s="61"/>
      <c r="L1769" s="73" t="str">
        <f t="shared" si="136"/>
        <v/>
      </c>
      <c r="M1769" s="65" t="str">
        <f t="shared" ca="1" si="137"/>
        <v/>
      </c>
      <c r="N1769" s="74" t="str">
        <f>IF($C1769="","",IF($C1769="TANIMSIZ MÜŞTERİ","—",INDEX(MUSTERILER!$C$7:$C$156,MATCH($C1769,MUSTERILER!$B$7:$B$156,0))))</f>
        <v/>
      </c>
      <c r="O1769" s="2"/>
      <c r="P1769" s="2"/>
      <c r="Q1769" s="1" t="str">
        <f>IF($D1769="","",$C1769&amp;"|"&amp;COUNTIFS($C$7:$C1769,$C1769))</f>
        <v/>
      </c>
      <c r="R1769" s="1" t="str">
        <f t="shared" si="138"/>
        <v/>
      </c>
      <c r="S1769" s="1" t="str">
        <f t="shared" si="139"/>
        <v/>
      </c>
      <c r="T1769" s="1">
        <f>IF($E1769="",0,SUMPRODUCT((AY_SONU!$O$7:$O$42="Evet")*(AY_SONU!$B$7:$B$42=DATE(YEAR($E1769),MONTH($E1769),1))))</f>
        <v>0</v>
      </c>
    </row>
    <row r="1770" spans="1:20" ht="18" customHeight="1" x14ac:dyDescent="0.3">
      <c r="A1770" s="2"/>
      <c r="B1770" s="65" t="str">
        <f t="shared" si="135"/>
        <v/>
      </c>
      <c r="C1770" s="65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66"/>
      <c r="F1770" s="67"/>
      <c r="G1770" s="60"/>
      <c r="H1770" s="60"/>
      <c r="I1770" s="61"/>
      <c r="J1770" s="61"/>
      <c r="K1770" s="61"/>
      <c r="L1770" s="73" t="str">
        <f t="shared" si="136"/>
        <v/>
      </c>
      <c r="M1770" s="65" t="str">
        <f t="shared" ca="1" si="137"/>
        <v/>
      </c>
      <c r="N1770" s="74" t="str">
        <f>IF($C1770="","",IF($C1770="TANIMSIZ MÜŞTERİ","—",INDEX(MUSTERILER!$C$7:$C$156,MATCH($C1770,MUSTERILER!$B$7:$B$156,0))))</f>
        <v/>
      </c>
      <c r="O1770" s="2"/>
      <c r="P1770" s="2"/>
      <c r="Q1770" s="1" t="str">
        <f>IF($D1770="","",$C1770&amp;"|"&amp;COUNTIFS($C$7:$C1770,$C1770))</f>
        <v/>
      </c>
      <c r="R1770" s="1" t="str">
        <f t="shared" si="138"/>
        <v/>
      </c>
      <c r="S1770" s="1" t="str">
        <f t="shared" si="139"/>
        <v/>
      </c>
      <c r="T1770" s="1">
        <f>IF($E1770="",0,SUMPRODUCT((AY_SONU!$O$7:$O$42="Evet")*(AY_SONU!$B$7:$B$42=DATE(YEAR($E1770),MONTH($E1770),1))))</f>
        <v>0</v>
      </c>
    </row>
    <row r="1771" spans="1:20" ht="18" customHeight="1" x14ac:dyDescent="0.3">
      <c r="A1771" s="2"/>
      <c r="B1771" s="65" t="str">
        <f t="shared" si="135"/>
        <v/>
      </c>
      <c r="C1771" s="65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66"/>
      <c r="F1771" s="67"/>
      <c r="G1771" s="60"/>
      <c r="H1771" s="60"/>
      <c r="I1771" s="61"/>
      <c r="J1771" s="61"/>
      <c r="K1771" s="61"/>
      <c r="L1771" s="73" t="str">
        <f t="shared" si="136"/>
        <v/>
      </c>
      <c r="M1771" s="65" t="str">
        <f t="shared" ca="1" si="137"/>
        <v/>
      </c>
      <c r="N1771" s="74" t="str">
        <f>IF($C1771="","",IF($C1771="TANIMSIZ MÜŞTERİ","—",INDEX(MUSTERILER!$C$7:$C$156,MATCH($C1771,MUSTERILER!$B$7:$B$156,0))))</f>
        <v/>
      </c>
      <c r="O1771" s="2"/>
      <c r="P1771" s="2"/>
      <c r="Q1771" s="1" t="str">
        <f>IF($D1771="","",$C1771&amp;"|"&amp;COUNTIFS($C$7:$C1771,$C1771))</f>
        <v/>
      </c>
      <c r="R1771" s="1" t="str">
        <f t="shared" si="138"/>
        <v/>
      </c>
      <c r="S1771" s="1" t="str">
        <f t="shared" si="139"/>
        <v/>
      </c>
      <c r="T1771" s="1">
        <f>IF($E1771="",0,SUMPRODUCT((AY_SONU!$O$7:$O$42="Evet")*(AY_SONU!$B$7:$B$42=DATE(YEAR($E1771),MONTH($E1771),1))))</f>
        <v>0</v>
      </c>
    </row>
    <row r="1772" spans="1:20" ht="18" customHeight="1" x14ac:dyDescent="0.3">
      <c r="A1772" s="2"/>
      <c r="B1772" s="65" t="str">
        <f t="shared" si="135"/>
        <v/>
      </c>
      <c r="C1772" s="65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66"/>
      <c r="F1772" s="67"/>
      <c r="G1772" s="60"/>
      <c r="H1772" s="60"/>
      <c r="I1772" s="61"/>
      <c r="J1772" s="61"/>
      <c r="K1772" s="61"/>
      <c r="L1772" s="73" t="str">
        <f t="shared" si="136"/>
        <v/>
      </c>
      <c r="M1772" s="65" t="str">
        <f t="shared" ca="1" si="137"/>
        <v/>
      </c>
      <c r="N1772" s="74" t="str">
        <f>IF($C1772="","",IF($C1772="TANIMSIZ MÜŞTERİ","—",INDEX(MUSTERILER!$C$7:$C$156,MATCH($C1772,MUSTERILER!$B$7:$B$156,0))))</f>
        <v/>
      </c>
      <c r="O1772" s="2"/>
      <c r="P1772" s="2"/>
      <c r="Q1772" s="1" t="str">
        <f>IF($D1772="","",$C1772&amp;"|"&amp;COUNTIFS($C$7:$C1772,$C1772))</f>
        <v/>
      </c>
      <c r="R1772" s="1" t="str">
        <f t="shared" si="138"/>
        <v/>
      </c>
      <c r="S1772" s="1" t="str">
        <f t="shared" si="139"/>
        <v/>
      </c>
      <c r="T1772" s="1">
        <f>IF($E1772="",0,SUMPRODUCT((AY_SONU!$O$7:$O$42="Evet")*(AY_SONU!$B$7:$B$42=DATE(YEAR($E1772),MONTH($E1772),1))))</f>
        <v>0</v>
      </c>
    </row>
    <row r="1773" spans="1:20" ht="18" customHeight="1" x14ac:dyDescent="0.3">
      <c r="A1773" s="2"/>
      <c r="B1773" s="65" t="str">
        <f t="shared" si="135"/>
        <v/>
      </c>
      <c r="C1773" s="65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66"/>
      <c r="F1773" s="67"/>
      <c r="G1773" s="60"/>
      <c r="H1773" s="60"/>
      <c r="I1773" s="61"/>
      <c r="J1773" s="61"/>
      <c r="K1773" s="61"/>
      <c r="L1773" s="73" t="str">
        <f t="shared" si="136"/>
        <v/>
      </c>
      <c r="M1773" s="65" t="str">
        <f t="shared" ca="1" si="137"/>
        <v/>
      </c>
      <c r="N1773" s="74" t="str">
        <f>IF($C1773="","",IF($C1773="TANIMSIZ MÜŞTERİ","—",INDEX(MUSTERILER!$C$7:$C$156,MATCH($C1773,MUSTERILER!$B$7:$B$156,0))))</f>
        <v/>
      </c>
      <c r="O1773" s="2"/>
      <c r="P1773" s="2"/>
      <c r="Q1773" s="1" t="str">
        <f>IF($D1773="","",$C1773&amp;"|"&amp;COUNTIFS($C$7:$C1773,$C1773))</f>
        <v/>
      </c>
      <c r="R1773" s="1" t="str">
        <f t="shared" si="138"/>
        <v/>
      </c>
      <c r="S1773" s="1" t="str">
        <f t="shared" si="139"/>
        <v/>
      </c>
      <c r="T1773" s="1">
        <f>IF($E1773="",0,SUMPRODUCT((AY_SONU!$O$7:$O$42="Evet")*(AY_SONU!$B$7:$B$42=DATE(YEAR($E1773),MONTH($E1773),1))))</f>
        <v>0</v>
      </c>
    </row>
    <row r="1774" spans="1:20" ht="18" customHeight="1" x14ac:dyDescent="0.3">
      <c r="A1774" s="2"/>
      <c r="B1774" s="65" t="str">
        <f t="shared" si="135"/>
        <v/>
      </c>
      <c r="C1774" s="65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66"/>
      <c r="F1774" s="67"/>
      <c r="G1774" s="60"/>
      <c r="H1774" s="60"/>
      <c r="I1774" s="61"/>
      <c r="J1774" s="61"/>
      <c r="K1774" s="61"/>
      <c r="L1774" s="73" t="str">
        <f t="shared" si="136"/>
        <v/>
      </c>
      <c r="M1774" s="65" t="str">
        <f t="shared" ca="1" si="137"/>
        <v/>
      </c>
      <c r="N1774" s="74" t="str">
        <f>IF($C1774="","",IF($C1774="TANIMSIZ MÜŞTERİ","—",INDEX(MUSTERILER!$C$7:$C$156,MATCH($C1774,MUSTERILER!$B$7:$B$156,0))))</f>
        <v/>
      </c>
      <c r="O1774" s="2"/>
      <c r="P1774" s="2"/>
      <c r="Q1774" s="1" t="str">
        <f>IF($D1774="","",$C1774&amp;"|"&amp;COUNTIFS($C$7:$C1774,$C1774))</f>
        <v/>
      </c>
      <c r="R1774" s="1" t="str">
        <f t="shared" si="138"/>
        <v/>
      </c>
      <c r="S1774" s="1" t="str">
        <f t="shared" si="139"/>
        <v/>
      </c>
      <c r="T1774" s="1">
        <f>IF($E1774="",0,SUMPRODUCT((AY_SONU!$O$7:$O$42="Evet")*(AY_SONU!$B$7:$B$42=DATE(YEAR($E1774),MONTH($E1774),1))))</f>
        <v>0</v>
      </c>
    </row>
    <row r="1775" spans="1:20" ht="18" customHeight="1" x14ac:dyDescent="0.3">
      <c r="A1775" s="2"/>
      <c r="B1775" s="65" t="str">
        <f t="shared" si="135"/>
        <v/>
      </c>
      <c r="C1775" s="65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66"/>
      <c r="F1775" s="67"/>
      <c r="G1775" s="60"/>
      <c r="H1775" s="60"/>
      <c r="I1775" s="61"/>
      <c r="J1775" s="61"/>
      <c r="K1775" s="61"/>
      <c r="L1775" s="73" t="str">
        <f t="shared" si="136"/>
        <v/>
      </c>
      <c r="M1775" s="65" t="str">
        <f t="shared" ca="1" si="137"/>
        <v/>
      </c>
      <c r="N1775" s="74" t="str">
        <f>IF($C1775="","",IF($C1775="TANIMSIZ MÜŞTERİ","—",INDEX(MUSTERILER!$C$7:$C$156,MATCH($C1775,MUSTERILER!$B$7:$B$156,0))))</f>
        <v/>
      </c>
      <c r="O1775" s="2"/>
      <c r="P1775" s="2"/>
      <c r="Q1775" s="1" t="str">
        <f>IF($D1775="","",$C1775&amp;"|"&amp;COUNTIFS($C$7:$C1775,$C1775))</f>
        <v/>
      </c>
      <c r="R1775" s="1" t="str">
        <f t="shared" si="138"/>
        <v/>
      </c>
      <c r="S1775" s="1" t="str">
        <f t="shared" si="139"/>
        <v/>
      </c>
      <c r="T1775" s="1">
        <f>IF($E1775="",0,SUMPRODUCT((AY_SONU!$O$7:$O$42="Evet")*(AY_SONU!$B$7:$B$42=DATE(YEAR($E1775),MONTH($E1775),1))))</f>
        <v>0</v>
      </c>
    </row>
    <row r="1776" spans="1:20" ht="18" customHeight="1" x14ac:dyDescent="0.3">
      <c r="A1776" s="2"/>
      <c r="B1776" s="65" t="str">
        <f t="shared" si="135"/>
        <v/>
      </c>
      <c r="C1776" s="65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66"/>
      <c r="F1776" s="67"/>
      <c r="G1776" s="60"/>
      <c r="H1776" s="60"/>
      <c r="I1776" s="61"/>
      <c r="J1776" s="61"/>
      <c r="K1776" s="61"/>
      <c r="L1776" s="73" t="str">
        <f t="shared" si="136"/>
        <v/>
      </c>
      <c r="M1776" s="65" t="str">
        <f t="shared" ca="1" si="137"/>
        <v/>
      </c>
      <c r="N1776" s="74" t="str">
        <f>IF($C1776="","",IF($C1776="TANIMSIZ MÜŞTERİ","—",INDEX(MUSTERILER!$C$7:$C$156,MATCH($C1776,MUSTERILER!$B$7:$B$156,0))))</f>
        <v/>
      </c>
      <c r="O1776" s="2"/>
      <c r="P1776" s="2"/>
      <c r="Q1776" s="1" t="str">
        <f>IF($D1776="","",$C1776&amp;"|"&amp;COUNTIFS($C$7:$C1776,$C1776))</f>
        <v/>
      </c>
      <c r="R1776" s="1" t="str">
        <f t="shared" si="138"/>
        <v/>
      </c>
      <c r="S1776" s="1" t="str">
        <f t="shared" si="139"/>
        <v/>
      </c>
      <c r="T1776" s="1">
        <f>IF($E1776="",0,SUMPRODUCT((AY_SONU!$O$7:$O$42="Evet")*(AY_SONU!$B$7:$B$42=DATE(YEAR($E1776),MONTH($E1776),1))))</f>
        <v>0</v>
      </c>
    </row>
    <row r="1777" spans="1:20" ht="18" customHeight="1" x14ac:dyDescent="0.3">
      <c r="A1777" s="2"/>
      <c r="B1777" s="65" t="str">
        <f t="shared" si="135"/>
        <v/>
      </c>
      <c r="C1777" s="65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66"/>
      <c r="F1777" s="67"/>
      <c r="G1777" s="60"/>
      <c r="H1777" s="60"/>
      <c r="I1777" s="61"/>
      <c r="J1777" s="61"/>
      <c r="K1777" s="61"/>
      <c r="L1777" s="73" t="str">
        <f t="shared" si="136"/>
        <v/>
      </c>
      <c r="M1777" s="65" t="str">
        <f t="shared" ca="1" si="137"/>
        <v/>
      </c>
      <c r="N1777" s="74" t="str">
        <f>IF($C1777="","",IF($C1777="TANIMSIZ MÜŞTERİ","—",INDEX(MUSTERILER!$C$7:$C$156,MATCH($C1777,MUSTERILER!$B$7:$B$156,0))))</f>
        <v/>
      </c>
      <c r="O1777" s="2"/>
      <c r="P1777" s="2"/>
      <c r="Q1777" s="1" t="str">
        <f>IF($D1777="","",$C1777&amp;"|"&amp;COUNTIFS($C$7:$C1777,$C1777))</f>
        <v/>
      </c>
      <c r="R1777" s="1" t="str">
        <f t="shared" si="138"/>
        <v/>
      </c>
      <c r="S1777" s="1" t="str">
        <f t="shared" si="139"/>
        <v/>
      </c>
      <c r="T1777" s="1">
        <f>IF($E1777="",0,SUMPRODUCT((AY_SONU!$O$7:$O$42="Evet")*(AY_SONU!$B$7:$B$42=DATE(YEAR($E1777),MONTH($E1777),1))))</f>
        <v>0</v>
      </c>
    </row>
    <row r="1778" spans="1:20" ht="18" customHeight="1" x14ac:dyDescent="0.3">
      <c r="A1778" s="2"/>
      <c r="B1778" s="65" t="str">
        <f t="shared" si="135"/>
        <v/>
      </c>
      <c r="C1778" s="65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66"/>
      <c r="F1778" s="67"/>
      <c r="G1778" s="60"/>
      <c r="H1778" s="60"/>
      <c r="I1778" s="61"/>
      <c r="J1778" s="61"/>
      <c r="K1778" s="61"/>
      <c r="L1778" s="73" t="str">
        <f t="shared" si="136"/>
        <v/>
      </c>
      <c r="M1778" s="65" t="str">
        <f t="shared" ca="1" si="137"/>
        <v/>
      </c>
      <c r="N1778" s="74" t="str">
        <f>IF($C1778="","",IF($C1778="TANIMSIZ MÜŞTERİ","—",INDEX(MUSTERILER!$C$7:$C$156,MATCH($C1778,MUSTERILER!$B$7:$B$156,0))))</f>
        <v/>
      </c>
      <c r="O1778" s="2"/>
      <c r="P1778" s="2"/>
      <c r="Q1778" s="1" t="str">
        <f>IF($D1778="","",$C1778&amp;"|"&amp;COUNTIFS($C$7:$C1778,$C1778))</f>
        <v/>
      </c>
      <c r="R1778" s="1" t="str">
        <f t="shared" si="138"/>
        <v/>
      </c>
      <c r="S1778" s="1" t="str">
        <f t="shared" si="139"/>
        <v/>
      </c>
      <c r="T1778" s="1">
        <f>IF($E1778="",0,SUMPRODUCT((AY_SONU!$O$7:$O$42="Evet")*(AY_SONU!$B$7:$B$42=DATE(YEAR($E1778),MONTH($E1778),1))))</f>
        <v>0</v>
      </c>
    </row>
    <row r="1779" spans="1:20" ht="18" customHeight="1" x14ac:dyDescent="0.3">
      <c r="A1779" s="2"/>
      <c r="B1779" s="65" t="str">
        <f t="shared" si="135"/>
        <v/>
      </c>
      <c r="C1779" s="65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66"/>
      <c r="F1779" s="67"/>
      <c r="G1779" s="60"/>
      <c r="H1779" s="60"/>
      <c r="I1779" s="61"/>
      <c r="J1779" s="61"/>
      <c r="K1779" s="61"/>
      <c r="L1779" s="73" t="str">
        <f t="shared" si="136"/>
        <v/>
      </c>
      <c r="M1779" s="65" t="str">
        <f t="shared" ca="1" si="137"/>
        <v/>
      </c>
      <c r="N1779" s="74" t="str">
        <f>IF($C1779="","",IF($C1779="TANIMSIZ MÜŞTERİ","—",INDEX(MUSTERILER!$C$7:$C$156,MATCH($C1779,MUSTERILER!$B$7:$B$156,0))))</f>
        <v/>
      </c>
      <c r="O1779" s="2"/>
      <c r="P1779" s="2"/>
      <c r="Q1779" s="1" t="str">
        <f>IF($D1779="","",$C1779&amp;"|"&amp;COUNTIFS($C$7:$C1779,$C1779))</f>
        <v/>
      </c>
      <c r="R1779" s="1" t="str">
        <f t="shared" si="138"/>
        <v/>
      </c>
      <c r="S1779" s="1" t="str">
        <f t="shared" si="139"/>
        <v/>
      </c>
      <c r="T1779" s="1">
        <f>IF($E1779="",0,SUMPRODUCT((AY_SONU!$O$7:$O$42="Evet")*(AY_SONU!$B$7:$B$42=DATE(YEAR($E1779),MONTH($E1779),1))))</f>
        <v>0</v>
      </c>
    </row>
    <row r="1780" spans="1:20" ht="18" customHeight="1" x14ac:dyDescent="0.3">
      <c r="A1780" s="2"/>
      <c r="B1780" s="65" t="str">
        <f t="shared" si="135"/>
        <v/>
      </c>
      <c r="C1780" s="65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66"/>
      <c r="F1780" s="67"/>
      <c r="G1780" s="60"/>
      <c r="H1780" s="60"/>
      <c r="I1780" s="61"/>
      <c r="J1780" s="61"/>
      <c r="K1780" s="61"/>
      <c r="L1780" s="73" t="str">
        <f t="shared" si="136"/>
        <v/>
      </c>
      <c r="M1780" s="65" t="str">
        <f t="shared" ca="1" si="137"/>
        <v/>
      </c>
      <c r="N1780" s="74" t="str">
        <f>IF($C1780="","",IF($C1780="TANIMSIZ MÜŞTERİ","—",INDEX(MUSTERILER!$C$7:$C$156,MATCH($C1780,MUSTERILER!$B$7:$B$156,0))))</f>
        <v/>
      </c>
      <c r="O1780" s="2"/>
      <c r="P1780" s="2"/>
      <c r="Q1780" s="1" t="str">
        <f>IF($D1780="","",$C1780&amp;"|"&amp;COUNTIFS($C$7:$C1780,$C1780))</f>
        <v/>
      </c>
      <c r="R1780" s="1" t="str">
        <f t="shared" si="138"/>
        <v/>
      </c>
      <c r="S1780" s="1" t="str">
        <f t="shared" si="139"/>
        <v/>
      </c>
      <c r="T1780" s="1">
        <f>IF($E1780="",0,SUMPRODUCT((AY_SONU!$O$7:$O$42="Evet")*(AY_SONU!$B$7:$B$42=DATE(YEAR($E1780),MONTH($E1780),1))))</f>
        <v>0</v>
      </c>
    </row>
    <row r="1781" spans="1:20" ht="18" customHeight="1" x14ac:dyDescent="0.3">
      <c r="A1781" s="2"/>
      <c r="B1781" s="65" t="str">
        <f t="shared" si="135"/>
        <v/>
      </c>
      <c r="C1781" s="65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66"/>
      <c r="F1781" s="67"/>
      <c r="G1781" s="60"/>
      <c r="H1781" s="60"/>
      <c r="I1781" s="61"/>
      <c r="J1781" s="61"/>
      <c r="K1781" s="61"/>
      <c r="L1781" s="73" t="str">
        <f t="shared" si="136"/>
        <v/>
      </c>
      <c r="M1781" s="65" t="str">
        <f t="shared" ca="1" si="137"/>
        <v/>
      </c>
      <c r="N1781" s="74" t="str">
        <f>IF($C1781="","",IF($C1781="TANIMSIZ MÜŞTERİ","—",INDEX(MUSTERILER!$C$7:$C$156,MATCH($C1781,MUSTERILER!$B$7:$B$156,0))))</f>
        <v/>
      </c>
      <c r="O1781" s="2"/>
      <c r="P1781" s="2"/>
      <c r="Q1781" s="1" t="str">
        <f>IF($D1781="","",$C1781&amp;"|"&amp;COUNTIFS($C$7:$C1781,$C1781))</f>
        <v/>
      </c>
      <c r="R1781" s="1" t="str">
        <f t="shared" si="138"/>
        <v/>
      </c>
      <c r="S1781" s="1" t="str">
        <f t="shared" si="139"/>
        <v/>
      </c>
      <c r="T1781" s="1">
        <f>IF($E1781="",0,SUMPRODUCT((AY_SONU!$O$7:$O$42="Evet")*(AY_SONU!$B$7:$B$42=DATE(YEAR($E1781),MONTH($E1781),1))))</f>
        <v>0</v>
      </c>
    </row>
    <row r="1782" spans="1:20" ht="18" customHeight="1" x14ac:dyDescent="0.3">
      <c r="A1782" s="2"/>
      <c r="B1782" s="65" t="str">
        <f t="shared" si="135"/>
        <v/>
      </c>
      <c r="C1782" s="65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66"/>
      <c r="F1782" s="67"/>
      <c r="G1782" s="60"/>
      <c r="H1782" s="60"/>
      <c r="I1782" s="61"/>
      <c r="J1782" s="61"/>
      <c r="K1782" s="61"/>
      <c r="L1782" s="73" t="str">
        <f t="shared" si="136"/>
        <v/>
      </c>
      <c r="M1782" s="65" t="str">
        <f t="shared" ca="1" si="137"/>
        <v/>
      </c>
      <c r="N1782" s="74" t="str">
        <f>IF($C1782="","",IF($C1782="TANIMSIZ MÜŞTERİ","—",INDEX(MUSTERILER!$C$7:$C$156,MATCH($C1782,MUSTERILER!$B$7:$B$156,0))))</f>
        <v/>
      </c>
      <c r="O1782" s="2"/>
      <c r="P1782" s="2"/>
      <c r="Q1782" s="1" t="str">
        <f>IF($D1782="","",$C1782&amp;"|"&amp;COUNTIFS($C$7:$C1782,$C1782))</f>
        <v/>
      </c>
      <c r="R1782" s="1" t="str">
        <f t="shared" si="138"/>
        <v/>
      </c>
      <c r="S1782" s="1" t="str">
        <f t="shared" si="139"/>
        <v/>
      </c>
      <c r="T1782" s="1">
        <f>IF($E1782="",0,SUMPRODUCT((AY_SONU!$O$7:$O$42="Evet")*(AY_SONU!$B$7:$B$42=DATE(YEAR($E1782),MONTH($E1782),1))))</f>
        <v>0</v>
      </c>
    </row>
    <row r="1783" spans="1:20" ht="18" customHeight="1" x14ac:dyDescent="0.3">
      <c r="A1783" s="2"/>
      <c r="B1783" s="65" t="str">
        <f t="shared" si="135"/>
        <v/>
      </c>
      <c r="C1783" s="65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66"/>
      <c r="F1783" s="67"/>
      <c r="G1783" s="60"/>
      <c r="H1783" s="60"/>
      <c r="I1783" s="61"/>
      <c r="J1783" s="61"/>
      <c r="K1783" s="61"/>
      <c r="L1783" s="73" t="str">
        <f t="shared" si="136"/>
        <v/>
      </c>
      <c r="M1783" s="65" t="str">
        <f t="shared" ca="1" si="137"/>
        <v/>
      </c>
      <c r="N1783" s="74" t="str">
        <f>IF($C1783="","",IF($C1783="TANIMSIZ MÜŞTERİ","—",INDEX(MUSTERILER!$C$7:$C$156,MATCH($C1783,MUSTERILER!$B$7:$B$156,0))))</f>
        <v/>
      </c>
      <c r="O1783" s="2"/>
      <c r="P1783" s="2"/>
      <c r="Q1783" s="1" t="str">
        <f>IF($D1783="","",$C1783&amp;"|"&amp;COUNTIFS($C$7:$C1783,$C1783))</f>
        <v/>
      </c>
      <c r="R1783" s="1" t="str">
        <f t="shared" si="138"/>
        <v/>
      </c>
      <c r="S1783" s="1" t="str">
        <f t="shared" si="139"/>
        <v/>
      </c>
      <c r="T1783" s="1">
        <f>IF($E1783="",0,SUMPRODUCT((AY_SONU!$O$7:$O$42="Evet")*(AY_SONU!$B$7:$B$42=DATE(YEAR($E1783),MONTH($E1783),1))))</f>
        <v>0</v>
      </c>
    </row>
    <row r="1784" spans="1:20" ht="18" customHeight="1" x14ac:dyDescent="0.3">
      <c r="A1784" s="2"/>
      <c r="B1784" s="65" t="str">
        <f t="shared" si="135"/>
        <v/>
      </c>
      <c r="C1784" s="65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66"/>
      <c r="F1784" s="67"/>
      <c r="G1784" s="60"/>
      <c r="H1784" s="60"/>
      <c r="I1784" s="61"/>
      <c r="J1784" s="61"/>
      <c r="K1784" s="61"/>
      <c r="L1784" s="73" t="str">
        <f t="shared" si="136"/>
        <v/>
      </c>
      <c r="M1784" s="65" t="str">
        <f t="shared" ca="1" si="137"/>
        <v/>
      </c>
      <c r="N1784" s="74" t="str">
        <f>IF($C1784="","",IF($C1784="TANIMSIZ MÜŞTERİ","—",INDEX(MUSTERILER!$C$7:$C$156,MATCH($C1784,MUSTERILER!$B$7:$B$156,0))))</f>
        <v/>
      </c>
      <c r="O1784" s="2"/>
      <c r="P1784" s="2"/>
      <c r="Q1784" s="1" t="str">
        <f>IF($D1784="","",$C1784&amp;"|"&amp;COUNTIFS($C$7:$C1784,$C1784))</f>
        <v/>
      </c>
      <c r="R1784" s="1" t="str">
        <f t="shared" si="138"/>
        <v/>
      </c>
      <c r="S1784" s="1" t="str">
        <f t="shared" si="139"/>
        <v/>
      </c>
      <c r="T1784" s="1">
        <f>IF($E1784="",0,SUMPRODUCT((AY_SONU!$O$7:$O$42="Evet")*(AY_SONU!$B$7:$B$42=DATE(YEAR($E1784),MONTH($E1784),1))))</f>
        <v>0</v>
      </c>
    </row>
    <row r="1785" spans="1:20" ht="18" customHeight="1" x14ac:dyDescent="0.3">
      <c r="A1785" s="2"/>
      <c r="B1785" s="65" t="str">
        <f t="shared" si="135"/>
        <v/>
      </c>
      <c r="C1785" s="65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66"/>
      <c r="F1785" s="67"/>
      <c r="G1785" s="60"/>
      <c r="H1785" s="60"/>
      <c r="I1785" s="61"/>
      <c r="J1785" s="61"/>
      <c r="K1785" s="61"/>
      <c r="L1785" s="73" t="str">
        <f t="shared" si="136"/>
        <v/>
      </c>
      <c r="M1785" s="65" t="str">
        <f t="shared" ca="1" si="137"/>
        <v/>
      </c>
      <c r="N1785" s="74" t="str">
        <f>IF($C1785="","",IF($C1785="TANIMSIZ MÜŞTERİ","—",INDEX(MUSTERILER!$C$7:$C$156,MATCH($C1785,MUSTERILER!$B$7:$B$156,0))))</f>
        <v/>
      </c>
      <c r="O1785" s="2"/>
      <c r="P1785" s="2"/>
      <c r="Q1785" s="1" t="str">
        <f>IF($D1785="","",$C1785&amp;"|"&amp;COUNTIFS($C$7:$C1785,$C1785))</f>
        <v/>
      </c>
      <c r="R1785" s="1" t="str">
        <f t="shared" si="138"/>
        <v/>
      </c>
      <c r="S1785" s="1" t="str">
        <f t="shared" si="139"/>
        <v/>
      </c>
      <c r="T1785" s="1">
        <f>IF($E1785="",0,SUMPRODUCT((AY_SONU!$O$7:$O$42="Evet")*(AY_SONU!$B$7:$B$42=DATE(YEAR($E1785),MONTH($E1785),1))))</f>
        <v>0</v>
      </c>
    </row>
    <row r="1786" spans="1:20" ht="18" customHeight="1" x14ac:dyDescent="0.3">
      <c r="A1786" s="2"/>
      <c r="B1786" s="65" t="str">
        <f t="shared" si="135"/>
        <v/>
      </c>
      <c r="C1786" s="65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66"/>
      <c r="F1786" s="67"/>
      <c r="G1786" s="60"/>
      <c r="H1786" s="60"/>
      <c r="I1786" s="61"/>
      <c r="J1786" s="61"/>
      <c r="K1786" s="61"/>
      <c r="L1786" s="73" t="str">
        <f t="shared" si="136"/>
        <v/>
      </c>
      <c r="M1786" s="65" t="str">
        <f t="shared" ca="1" si="137"/>
        <v/>
      </c>
      <c r="N1786" s="74" t="str">
        <f>IF($C1786="","",IF($C1786="TANIMSIZ MÜŞTERİ","—",INDEX(MUSTERILER!$C$7:$C$156,MATCH($C1786,MUSTERILER!$B$7:$B$156,0))))</f>
        <v/>
      </c>
      <c r="O1786" s="2"/>
      <c r="P1786" s="2"/>
      <c r="Q1786" s="1" t="str">
        <f>IF($D1786="","",$C1786&amp;"|"&amp;COUNTIFS($C$7:$C1786,$C1786))</f>
        <v/>
      </c>
      <c r="R1786" s="1" t="str">
        <f t="shared" si="138"/>
        <v/>
      </c>
      <c r="S1786" s="1" t="str">
        <f t="shared" si="139"/>
        <v/>
      </c>
      <c r="T1786" s="1">
        <f>IF($E1786="",0,SUMPRODUCT((AY_SONU!$O$7:$O$42="Evet")*(AY_SONU!$B$7:$B$42=DATE(YEAR($E1786),MONTH($E1786),1))))</f>
        <v>0</v>
      </c>
    </row>
    <row r="1787" spans="1:20" ht="18" customHeight="1" x14ac:dyDescent="0.3">
      <c r="A1787" s="2"/>
      <c r="B1787" s="65" t="str">
        <f t="shared" si="135"/>
        <v/>
      </c>
      <c r="C1787" s="65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66"/>
      <c r="F1787" s="67"/>
      <c r="G1787" s="60"/>
      <c r="H1787" s="60"/>
      <c r="I1787" s="61"/>
      <c r="J1787" s="61"/>
      <c r="K1787" s="61"/>
      <c r="L1787" s="73" t="str">
        <f t="shared" si="136"/>
        <v/>
      </c>
      <c r="M1787" s="65" t="str">
        <f t="shared" ca="1" si="137"/>
        <v/>
      </c>
      <c r="N1787" s="74" t="str">
        <f>IF($C1787="","",IF($C1787="TANIMSIZ MÜŞTERİ","—",INDEX(MUSTERILER!$C$7:$C$156,MATCH($C1787,MUSTERILER!$B$7:$B$156,0))))</f>
        <v/>
      </c>
      <c r="O1787" s="2"/>
      <c r="P1787" s="2"/>
      <c r="Q1787" s="1" t="str">
        <f>IF($D1787="","",$C1787&amp;"|"&amp;COUNTIFS($C$7:$C1787,$C1787))</f>
        <v/>
      </c>
      <c r="R1787" s="1" t="str">
        <f t="shared" si="138"/>
        <v/>
      </c>
      <c r="S1787" s="1" t="str">
        <f t="shared" si="139"/>
        <v/>
      </c>
      <c r="T1787" s="1">
        <f>IF($E1787="",0,SUMPRODUCT((AY_SONU!$O$7:$O$42="Evet")*(AY_SONU!$B$7:$B$42=DATE(YEAR($E1787),MONTH($E1787),1))))</f>
        <v>0</v>
      </c>
    </row>
    <row r="1788" spans="1:20" ht="18" customHeight="1" x14ac:dyDescent="0.3">
      <c r="A1788" s="2"/>
      <c r="B1788" s="65" t="str">
        <f t="shared" si="135"/>
        <v/>
      </c>
      <c r="C1788" s="65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66"/>
      <c r="F1788" s="67"/>
      <c r="G1788" s="60"/>
      <c r="H1788" s="60"/>
      <c r="I1788" s="61"/>
      <c r="J1788" s="61"/>
      <c r="K1788" s="61"/>
      <c r="L1788" s="73" t="str">
        <f t="shared" si="136"/>
        <v/>
      </c>
      <c r="M1788" s="65" t="str">
        <f t="shared" ca="1" si="137"/>
        <v/>
      </c>
      <c r="N1788" s="74" t="str">
        <f>IF($C1788="","",IF($C1788="TANIMSIZ MÜŞTERİ","—",INDEX(MUSTERILER!$C$7:$C$156,MATCH($C1788,MUSTERILER!$B$7:$B$156,0))))</f>
        <v/>
      </c>
      <c r="O1788" s="2"/>
      <c r="P1788" s="2"/>
      <c r="Q1788" s="1" t="str">
        <f>IF($D1788="","",$C1788&amp;"|"&amp;COUNTIFS($C$7:$C1788,$C1788))</f>
        <v/>
      </c>
      <c r="R1788" s="1" t="str">
        <f t="shared" si="138"/>
        <v/>
      </c>
      <c r="S1788" s="1" t="str">
        <f t="shared" si="139"/>
        <v/>
      </c>
      <c r="T1788" s="1">
        <f>IF($E1788="",0,SUMPRODUCT((AY_SONU!$O$7:$O$42="Evet")*(AY_SONU!$B$7:$B$42=DATE(YEAR($E1788),MONTH($E1788),1))))</f>
        <v>0</v>
      </c>
    </row>
    <row r="1789" spans="1:20" ht="18" customHeight="1" x14ac:dyDescent="0.3">
      <c r="A1789" s="2"/>
      <c r="B1789" s="65" t="str">
        <f t="shared" si="135"/>
        <v/>
      </c>
      <c r="C1789" s="65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66"/>
      <c r="F1789" s="67"/>
      <c r="G1789" s="60"/>
      <c r="H1789" s="60"/>
      <c r="I1789" s="61"/>
      <c r="J1789" s="61"/>
      <c r="K1789" s="61"/>
      <c r="L1789" s="73" t="str">
        <f t="shared" si="136"/>
        <v/>
      </c>
      <c r="M1789" s="65" t="str">
        <f t="shared" ca="1" si="137"/>
        <v/>
      </c>
      <c r="N1789" s="74" t="str">
        <f>IF($C1789="","",IF($C1789="TANIMSIZ MÜŞTERİ","—",INDEX(MUSTERILER!$C$7:$C$156,MATCH($C1789,MUSTERILER!$B$7:$B$156,0))))</f>
        <v/>
      </c>
      <c r="O1789" s="2"/>
      <c r="P1789" s="2"/>
      <c r="Q1789" s="1" t="str">
        <f>IF($D1789="","",$C1789&amp;"|"&amp;COUNTIFS($C$7:$C1789,$C1789))</f>
        <v/>
      </c>
      <c r="R1789" s="1" t="str">
        <f t="shared" si="138"/>
        <v/>
      </c>
      <c r="S1789" s="1" t="str">
        <f t="shared" si="139"/>
        <v/>
      </c>
      <c r="T1789" s="1">
        <f>IF($E1789="",0,SUMPRODUCT((AY_SONU!$O$7:$O$42="Evet")*(AY_SONU!$B$7:$B$42=DATE(YEAR($E1789),MONTH($E1789),1))))</f>
        <v>0</v>
      </c>
    </row>
    <row r="1790" spans="1:20" ht="18" customHeight="1" x14ac:dyDescent="0.3">
      <c r="A1790" s="2"/>
      <c r="B1790" s="65" t="str">
        <f t="shared" si="135"/>
        <v/>
      </c>
      <c r="C1790" s="65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66"/>
      <c r="F1790" s="67"/>
      <c r="G1790" s="60"/>
      <c r="H1790" s="60"/>
      <c r="I1790" s="61"/>
      <c r="J1790" s="61"/>
      <c r="K1790" s="61"/>
      <c r="L1790" s="73" t="str">
        <f t="shared" si="136"/>
        <v/>
      </c>
      <c r="M1790" s="65" t="str">
        <f t="shared" ca="1" si="137"/>
        <v/>
      </c>
      <c r="N1790" s="74" t="str">
        <f>IF($C1790="","",IF($C1790="TANIMSIZ MÜŞTERİ","—",INDEX(MUSTERILER!$C$7:$C$156,MATCH($C1790,MUSTERILER!$B$7:$B$156,0))))</f>
        <v/>
      </c>
      <c r="O1790" s="2"/>
      <c r="P1790" s="2"/>
      <c r="Q1790" s="1" t="str">
        <f>IF($D1790="","",$C1790&amp;"|"&amp;COUNTIFS($C$7:$C1790,$C1790))</f>
        <v/>
      </c>
      <c r="R1790" s="1" t="str">
        <f t="shared" si="138"/>
        <v/>
      </c>
      <c r="S1790" s="1" t="str">
        <f t="shared" si="139"/>
        <v/>
      </c>
      <c r="T1790" s="1">
        <f>IF($E1790="",0,SUMPRODUCT((AY_SONU!$O$7:$O$42="Evet")*(AY_SONU!$B$7:$B$42=DATE(YEAR($E1790),MONTH($E1790),1))))</f>
        <v>0</v>
      </c>
    </row>
    <row r="1791" spans="1:20" ht="18" customHeight="1" x14ac:dyDescent="0.3">
      <c r="A1791" s="2"/>
      <c r="B1791" s="65" t="str">
        <f t="shared" si="135"/>
        <v/>
      </c>
      <c r="C1791" s="65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66"/>
      <c r="F1791" s="67"/>
      <c r="G1791" s="60"/>
      <c r="H1791" s="60"/>
      <c r="I1791" s="61"/>
      <c r="J1791" s="61"/>
      <c r="K1791" s="61"/>
      <c r="L1791" s="73" t="str">
        <f t="shared" si="136"/>
        <v/>
      </c>
      <c r="M1791" s="65" t="str">
        <f t="shared" ca="1" si="137"/>
        <v/>
      </c>
      <c r="N1791" s="74" t="str">
        <f>IF($C1791="","",IF($C1791="TANIMSIZ MÜŞTERİ","—",INDEX(MUSTERILER!$C$7:$C$156,MATCH($C1791,MUSTERILER!$B$7:$B$156,0))))</f>
        <v/>
      </c>
      <c r="O1791" s="2"/>
      <c r="P1791" s="2"/>
      <c r="Q1791" s="1" t="str">
        <f>IF($D1791="","",$C1791&amp;"|"&amp;COUNTIFS($C$7:$C1791,$C1791))</f>
        <v/>
      </c>
      <c r="R1791" s="1" t="str">
        <f t="shared" si="138"/>
        <v/>
      </c>
      <c r="S1791" s="1" t="str">
        <f t="shared" si="139"/>
        <v/>
      </c>
      <c r="T1791" s="1">
        <f>IF($E1791="",0,SUMPRODUCT((AY_SONU!$O$7:$O$42="Evet")*(AY_SONU!$B$7:$B$42=DATE(YEAR($E1791),MONTH($E1791),1))))</f>
        <v>0</v>
      </c>
    </row>
    <row r="1792" spans="1:20" ht="18" customHeight="1" x14ac:dyDescent="0.3">
      <c r="A1792" s="2"/>
      <c r="B1792" s="65" t="str">
        <f t="shared" si="135"/>
        <v/>
      </c>
      <c r="C1792" s="65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66"/>
      <c r="F1792" s="67"/>
      <c r="G1792" s="60"/>
      <c r="H1792" s="60"/>
      <c r="I1792" s="61"/>
      <c r="J1792" s="61"/>
      <c r="K1792" s="61"/>
      <c r="L1792" s="73" t="str">
        <f t="shared" si="136"/>
        <v/>
      </c>
      <c r="M1792" s="65" t="str">
        <f t="shared" ca="1" si="137"/>
        <v/>
      </c>
      <c r="N1792" s="74" t="str">
        <f>IF($C1792="","",IF($C1792="TANIMSIZ MÜŞTERİ","—",INDEX(MUSTERILER!$C$7:$C$156,MATCH($C1792,MUSTERILER!$B$7:$B$156,0))))</f>
        <v/>
      </c>
      <c r="O1792" s="2"/>
      <c r="P1792" s="2"/>
      <c r="Q1792" s="1" t="str">
        <f>IF($D1792="","",$C1792&amp;"|"&amp;COUNTIFS($C$7:$C1792,$C1792))</f>
        <v/>
      </c>
      <c r="R1792" s="1" t="str">
        <f t="shared" si="138"/>
        <v/>
      </c>
      <c r="S1792" s="1" t="str">
        <f t="shared" si="139"/>
        <v/>
      </c>
      <c r="T1792" s="1">
        <f>IF($E1792="",0,SUMPRODUCT((AY_SONU!$O$7:$O$42="Evet")*(AY_SONU!$B$7:$B$42=DATE(YEAR($E1792),MONTH($E1792),1))))</f>
        <v>0</v>
      </c>
    </row>
    <row r="1793" spans="1:20" ht="18" customHeight="1" x14ac:dyDescent="0.3">
      <c r="A1793" s="2"/>
      <c r="B1793" s="65" t="str">
        <f t="shared" si="135"/>
        <v/>
      </c>
      <c r="C1793" s="65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66"/>
      <c r="F1793" s="67"/>
      <c r="G1793" s="60"/>
      <c r="H1793" s="60"/>
      <c r="I1793" s="61"/>
      <c r="J1793" s="61"/>
      <c r="K1793" s="61"/>
      <c r="L1793" s="73" t="str">
        <f t="shared" si="136"/>
        <v/>
      </c>
      <c r="M1793" s="65" t="str">
        <f t="shared" ca="1" si="137"/>
        <v/>
      </c>
      <c r="N1793" s="74" t="str">
        <f>IF($C1793="","",IF($C1793="TANIMSIZ MÜŞTERİ","—",INDEX(MUSTERILER!$C$7:$C$156,MATCH($C1793,MUSTERILER!$B$7:$B$156,0))))</f>
        <v/>
      </c>
      <c r="O1793" s="2"/>
      <c r="P1793" s="2"/>
      <c r="Q1793" s="1" t="str">
        <f>IF($D1793="","",$C1793&amp;"|"&amp;COUNTIFS($C$7:$C1793,$C1793))</f>
        <v/>
      </c>
      <c r="R1793" s="1" t="str">
        <f t="shared" si="138"/>
        <v/>
      </c>
      <c r="S1793" s="1" t="str">
        <f t="shared" si="139"/>
        <v/>
      </c>
      <c r="T1793" s="1">
        <f>IF($E1793="",0,SUMPRODUCT((AY_SONU!$O$7:$O$42="Evet")*(AY_SONU!$B$7:$B$42=DATE(YEAR($E1793),MONTH($E1793),1))))</f>
        <v>0</v>
      </c>
    </row>
    <row r="1794" spans="1:20" ht="18" customHeight="1" x14ac:dyDescent="0.3">
      <c r="A1794" s="2"/>
      <c r="B1794" s="65" t="str">
        <f t="shared" si="135"/>
        <v/>
      </c>
      <c r="C1794" s="65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66"/>
      <c r="F1794" s="67"/>
      <c r="G1794" s="60"/>
      <c r="H1794" s="60"/>
      <c r="I1794" s="61"/>
      <c r="J1794" s="61"/>
      <c r="K1794" s="61"/>
      <c r="L1794" s="73" t="str">
        <f t="shared" si="136"/>
        <v/>
      </c>
      <c r="M1794" s="65" t="str">
        <f t="shared" ca="1" si="137"/>
        <v/>
      </c>
      <c r="N1794" s="74" t="str">
        <f>IF($C1794="","",IF($C1794="TANIMSIZ MÜŞTERİ","—",INDEX(MUSTERILER!$C$7:$C$156,MATCH($C1794,MUSTERILER!$B$7:$B$156,0))))</f>
        <v/>
      </c>
      <c r="O1794" s="2"/>
      <c r="P1794" s="2"/>
      <c r="Q1794" s="1" t="str">
        <f>IF($D1794="","",$C1794&amp;"|"&amp;COUNTIFS($C$7:$C1794,$C1794))</f>
        <v/>
      </c>
      <c r="R1794" s="1" t="str">
        <f t="shared" si="138"/>
        <v/>
      </c>
      <c r="S1794" s="1" t="str">
        <f t="shared" si="139"/>
        <v/>
      </c>
      <c r="T1794" s="1">
        <f>IF($E1794="",0,SUMPRODUCT((AY_SONU!$O$7:$O$42="Evet")*(AY_SONU!$B$7:$B$42=DATE(YEAR($E1794),MONTH($E1794),1))))</f>
        <v>0</v>
      </c>
    </row>
    <row r="1795" spans="1:20" ht="18" customHeight="1" x14ac:dyDescent="0.3">
      <c r="A1795" s="2"/>
      <c r="B1795" s="65" t="str">
        <f t="shared" si="135"/>
        <v/>
      </c>
      <c r="C1795" s="65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66"/>
      <c r="F1795" s="67"/>
      <c r="G1795" s="60"/>
      <c r="H1795" s="60"/>
      <c r="I1795" s="61"/>
      <c r="J1795" s="61"/>
      <c r="K1795" s="61"/>
      <c r="L1795" s="73" t="str">
        <f t="shared" si="136"/>
        <v/>
      </c>
      <c r="M1795" s="65" t="str">
        <f t="shared" ca="1" si="137"/>
        <v/>
      </c>
      <c r="N1795" s="74" t="str">
        <f>IF($C1795="","",IF($C1795="TANIMSIZ MÜŞTERİ","—",INDEX(MUSTERILER!$C$7:$C$156,MATCH($C1795,MUSTERILER!$B$7:$B$156,0))))</f>
        <v/>
      </c>
      <c r="O1795" s="2"/>
      <c r="P1795" s="2"/>
      <c r="Q1795" s="1" t="str">
        <f>IF($D1795="","",$C1795&amp;"|"&amp;COUNTIFS($C$7:$C1795,$C1795))</f>
        <v/>
      </c>
      <c r="R1795" s="1" t="str">
        <f t="shared" si="138"/>
        <v/>
      </c>
      <c r="S1795" s="1" t="str">
        <f t="shared" si="139"/>
        <v/>
      </c>
      <c r="T1795" s="1">
        <f>IF($E1795="",0,SUMPRODUCT((AY_SONU!$O$7:$O$42="Evet")*(AY_SONU!$B$7:$B$42=DATE(YEAR($E1795),MONTH($E1795),1))))</f>
        <v>0</v>
      </c>
    </row>
    <row r="1796" spans="1:20" ht="18" customHeight="1" x14ac:dyDescent="0.3">
      <c r="A1796" s="2"/>
      <c r="B1796" s="65" t="str">
        <f t="shared" si="135"/>
        <v/>
      </c>
      <c r="C1796" s="65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66"/>
      <c r="F1796" s="67"/>
      <c r="G1796" s="60"/>
      <c r="H1796" s="60"/>
      <c r="I1796" s="61"/>
      <c r="J1796" s="61"/>
      <c r="K1796" s="61"/>
      <c r="L1796" s="73" t="str">
        <f t="shared" si="136"/>
        <v/>
      </c>
      <c r="M1796" s="65" t="str">
        <f t="shared" ca="1" si="137"/>
        <v/>
      </c>
      <c r="N1796" s="74" t="str">
        <f>IF($C1796="","",IF($C1796="TANIMSIZ MÜŞTERİ","—",INDEX(MUSTERILER!$C$7:$C$156,MATCH($C1796,MUSTERILER!$B$7:$B$156,0))))</f>
        <v/>
      </c>
      <c r="O1796" s="2"/>
      <c r="P1796" s="2"/>
      <c r="Q1796" s="1" t="str">
        <f>IF($D1796="","",$C1796&amp;"|"&amp;COUNTIFS($C$7:$C1796,$C1796))</f>
        <v/>
      </c>
      <c r="R1796" s="1" t="str">
        <f t="shared" si="138"/>
        <v/>
      </c>
      <c r="S1796" s="1" t="str">
        <f t="shared" si="139"/>
        <v/>
      </c>
      <c r="T1796" s="1">
        <f>IF($E1796="",0,SUMPRODUCT((AY_SONU!$O$7:$O$42="Evet")*(AY_SONU!$B$7:$B$42=DATE(YEAR($E1796),MONTH($E1796),1))))</f>
        <v>0</v>
      </c>
    </row>
    <row r="1797" spans="1:20" ht="18" customHeight="1" x14ac:dyDescent="0.3">
      <c r="A1797" s="2"/>
      <c r="B1797" s="65" t="str">
        <f t="shared" si="135"/>
        <v/>
      </c>
      <c r="C1797" s="65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66"/>
      <c r="F1797" s="67"/>
      <c r="G1797" s="60"/>
      <c r="H1797" s="60"/>
      <c r="I1797" s="61"/>
      <c r="J1797" s="61"/>
      <c r="K1797" s="61"/>
      <c r="L1797" s="73" t="str">
        <f t="shared" si="136"/>
        <v/>
      </c>
      <c r="M1797" s="65" t="str">
        <f t="shared" ca="1" si="137"/>
        <v/>
      </c>
      <c r="N1797" s="74" t="str">
        <f>IF($C1797="","",IF($C1797="TANIMSIZ MÜŞTERİ","—",INDEX(MUSTERILER!$C$7:$C$156,MATCH($C1797,MUSTERILER!$B$7:$B$156,0))))</f>
        <v/>
      </c>
      <c r="O1797" s="2"/>
      <c r="P1797" s="2"/>
      <c r="Q1797" s="1" t="str">
        <f>IF($D1797="","",$C1797&amp;"|"&amp;COUNTIFS($C$7:$C1797,$C1797))</f>
        <v/>
      </c>
      <c r="R1797" s="1" t="str">
        <f t="shared" si="138"/>
        <v/>
      </c>
      <c r="S1797" s="1" t="str">
        <f t="shared" si="139"/>
        <v/>
      </c>
      <c r="T1797" s="1">
        <f>IF($E1797="",0,SUMPRODUCT((AY_SONU!$O$7:$O$42="Evet")*(AY_SONU!$B$7:$B$42=DATE(YEAR($E1797),MONTH($E1797),1))))</f>
        <v>0</v>
      </c>
    </row>
    <row r="1798" spans="1:20" ht="18" customHeight="1" x14ac:dyDescent="0.3">
      <c r="A1798" s="2"/>
      <c r="B1798" s="65" t="str">
        <f t="shared" si="135"/>
        <v/>
      </c>
      <c r="C1798" s="65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66"/>
      <c r="F1798" s="67"/>
      <c r="G1798" s="60"/>
      <c r="H1798" s="60"/>
      <c r="I1798" s="61"/>
      <c r="J1798" s="61"/>
      <c r="K1798" s="61"/>
      <c r="L1798" s="73" t="str">
        <f t="shared" si="136"/>
        <v/>
      </c>
      <c r="M1798" s="65" t="str">
        <f t="shared" ca="1" si="137"/>
        <v/>
      </c>
      <c r="N1798" s="74" t="str">
        <f>IF($C1798="","",IF($C1798="TANIMSIZ MÜŞTERİ","—",INDEX(MUSTERILER!$C$7:$C$156,MATCH($C1798,MUSTERILER!$B$7:$B$156,0))))</f>
        <v/>
      </c>
      <c r="O1798" s="2"/>
      <c r="P1798" s="2"/>
      <c r="Q1798" s="1" t="str">
        <f>IF($D1798="","",$C1798&amp;"|"&amp;COUNTIFS($C$7:$C1798,$C1798))</f>
        <v/>
      </c>
      <c r="R1798" s="1" t="str">
        <f t="shared" si="138"/>
        <v/>
      </c>
      <c r="S1798" s="1" t="str">
        <f t="shared" si="139"/>
        <v/>
      </c>
      <c r="T1798" s="1">
        <f>IF($E1798="",0,SUMPRODUCT((AY_SONU!$O$7:$O$42="Evet")*(AY_SONU!$B$7:$B$42=DATE(YEAR($E1798),MONTH($E1798),1))))</f>
        <v>0</v>
      </c>
    </row>
    <row r="1799" spans="1:20" ht="18" customHeight="1" x14ac:dyDescent="0.3">
      <c r="A1799" s="2"/>
      <c r="B1799" s="65" t="str">
        <f t="shared" ref="B1799:B1862" si="140">IF($D1799="","","T"&amp;TEXT(ROW()-6,"00000"))</f>
        <v/>
      </c>
      <c r="C1799" s="65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66"/>
      <c r="F1799" s="67"/>
      <c r="G1799" s="60"/>
      <c r="H1799" s="60"/>
      <c r="I1799" s="61"/>
      <c r="J1799" s="61"/>
      <c r="K1799" s="61"/>
      <c r="L1799" s="73" t="str">
        <f t="shared" ref="L1799:L1862" si="141">IF($E1799="","",DATE(YEAR($E1799),MONTH($E1799),1))</f>
        <v/>
      </c>
      <c r="M1799" s="65" t="str">
        <f t="shared" ref="M1799:M1862" ca="1" si="142">IF($D1799="","",IF($C1799="TANIMSIZ MÜŞTERİ","HATA",IF(OR($E1799="",$F1799&lt;=0,$G1799=""),"EKSİK",IF($E1799&gt;TODAY(),"İLERİ TARİH",IF(COUNTIF($S$7:$S$2506,$S1799)&gt;1,"MÜKERRER?",IF($T1799&gt;0,"KAPALI DÖNEM","UYGUN"))))))</f>
        <v/>
      </c>
      <c r="N1799" s="74" t="str">
        <f>IF($C1799="","",IF($C1799="TANIMSIZ MÜŞTERİ","—",INDEX(MUSTERILER!$C$7:$C$156,MATCH($C1799,MUSTERILER!$B$7:$B$156,0))))</f>
        <v/>
      </c>
      <c r="O1799" s="2"/>
      <c r="P1799" s="2"/>
      <c r="Q1799" s="1" t="str">
        <f>IF($D1799="","",$C1799&amp;"|"&amp;COUNTIFS($C$7:$C1799,$C1799))</f>
        <v/>
      </c>
      <c r="R1799" s="1" t="str">
        <f t="shared" ref="R1799:R1862" si="143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 t="str">
        <f t="shared" ref="S1799:S1862" si="144"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>0</v>
      </c>
    </row>
    <row r="1800" spans="1:20" ht="18" customHeight="1" x14ac:dyDescent="0.3">
      <c r="A1800" s="2"/>
      <c r="B1800" s="65" t="str">
        <f t="shared" si="140"/>
        <v/>
      </c>
      <c r="C1800" s="65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66"/>
      <c r="F1800" s="67"/>
      <c r="G1800" s="60"/>
      <c r="H1800" s="60"/>
      <c r="I1800" s="61"/>
      <c r="J1800" s="61"/>
      <c r="K1800" s="61"/>
      <c r="L1800" s="73" t="str">
        <f t="shared" si="141"/>
        <v/>
      </c>
      <c r="M1800" s="65" t="str">
        <f t="shared" ca="1" si="142"/>
        <v/>
      </c>
      <c r="N1800" s="74" t="str">
        <f>IF($C1800="","",IF($C1800="TANIMSIZ MÜŞTERİ","—",INDEX(MUSTERILER!$C$7:$C$156,MATCH($C1800,MUSTERILER!$B$7:$B$156,0))))</f>
        <v/>
      </c>
      <c r="O1800" s="2"/>
      <c r="P1800" s="2"/>
      <c r="Q1800" s="1" t="str">
        <f>IF($D1800="","",$C1800&amp;"|"&amp;COUNTIFS($C$7:$C1800,$C1800))</f>
        <v/>
      </c>
      <c r="R1800" s="1" t="str">
        <f t="shared" si="143"/>
        <v/>
      </c>
      <c r="S1800" s="1" t="str">
        <f t="shared" si="144"/>
        <v/>
      </c>
      <c r="T1800" s="1">
        <f>IF($E1800="",0,SUMPRODUCT((AY_SONU!$O$7:$O$42="Evet")*(AY_SONU!$B$7:$B$42=DATE(YEAR($E1800),MONTH($E1800),1))))</f>
        <v>0</v>
      </c>
    </row>
    <row r="1801" spans="1:20" ht="18" customHeight="1" x14ac:dyDescent="0.3">
      <c r="A1801" s="2"/>
      <c r="B1801" s="65" t="str">
        <f t="shared" si="140"/>
        <v/>
      </c>
      <c r="C1801" s="65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66"/>
      <c r="F1801" s="67"/>
      <c r="G1801" s="60"/>
      <c r="H1801" s="60"/>
      <c r="I1801" s="61"/>
      <c r="J1801" s="61"/>
      <c r="K1801" s="61"/>
      <c r="L1801" s="73" t="str">
        <f t="shared" si="141"/>
        <v/>
      </c>
      <c r="M1801" s="65" t="str">
        <f t="shared" ca="1" si="142"/>
        <v/>
      </c>
      <c r="N1801" s="74" t="str">
        <f>IF($C1801="","",IF($C1801="TANIMSIZ MÜŞTERİ","—",INDEX(MUSTERILER!$C$7:$C$156,MATCH($C1801,MUSTERILER!$B$7:$B$156,0))))</f>
        <v/>
      </c>
      <c r="O1801" s="2"/>
      <c r="P1801" s="2"/>
      <c r="Q1801" s="1" t="str">
        <f>IF($D1801="","",$C1801&amp;"|"&amp;COUNTIFS($C$7:$C1801,$C1801))</f>
        <v/>
      </c>
      <c r="R1801" s="1" t="str">
        <f t="shared" si="143"/>
        <v/>
      </c>
      <c r="S1801" s="1" t="str">
        <f t="shared" si="144"/>
        <v/>
      </c>
      <c r="T1801" s="1">
        <f>IF($E1801="",0,SUMPRODUCT((AY_SONU!$O$7:$O$42="Evet")*(AY_SONU!$B$7:$B$42=DATE(YEAR($E1801),MONTH($E1801),1))))</f>
        <v>0</v>
      </c>
    </row>
    <row r="1802" spans="1:20" ht="18" customHeight="1" x14ac:dyDescent="0.3">
      <c r="A1802" s="2"/>
      <c r="B1802" s="65" t="str">
        <f t="shared" si="140"/>
        <v/>
      </c>
      <c r="C1802" s="65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66"/>
      <c r="F1802" s="67"/>
      <c r="G1802" s="60"/>
      <c r="H1802" s="60"/>
      <c r="I1802" s="61"/>
      <c r="J1802" s="61"/>
      <c r="K1802" s="61"/>
      <c r="L1802" s="73" t="str">
        <f t="shared" si="141"/>
        <v/>
      </c>
      <c r="M1802" s="65" t="str">
        <f t="shared" ca="1" si="142"/>
        <v/>
      </c>
      <c r="N1802" s="74" t="str">
        <f>IF($C1802="","",IF($C1802="TANIMSIZ MÜŞTERİ","—",INDEX(MUSTERILER!$C$7:$C$156,MATCH($C1802,MUSTERILER!$B$7:$B$156,0))))</f>
        <v/>
      </c>
      <c r="O1802" s="2"/>
      <c r="P1802" s="2"/>
      <c r="Q1802" s="1" t="str">
        <f>IF($D1802="","",$C1802&amp;"|"&amp;COUNTIFS($C$7:$C1802,$C1802))</f>
        <v/>
      </c>
      <c r="R1802" s="1" t="str">
        <f t="shared" si="143"/>
        <v/>
      </c>
      <c r="S1802" s="1" t="str">
        <f t="shared" si="144"/>
        <v/>
      </c>
      <c r="T1802" s="1">
        <f>IF($E1802="",0,SUMPRODUCT((AY_SONU!$O$7:$O$42="Evet")*(AY_SONU!$B$7:$B$42=DATE(YEAR($E1802),MONTH($E1802),1))))</f>
        <v>0</v>
      </c>
    </row>
    <row r="1803" spans="1:20" ht="18" customHeight="1" x14ac:dyDescent="0.3">
      <c r="A1803" s="2"/>
      <c r="B1803" s="65" t="str">
        <f t="shared" si="140"/>
        <v/>
      </c>
      <c r="C1803" s="65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66"/>
      <c r="F1803" s="67"/>
      <c r="G1803" s="60"/>
      <c r="H1803" s="60"/>
      <c r="I1803" s="61"/>
      <c r="J1803" s="61"/>
      <c r="K1803" s="61"/>
      <c r="L1803" s="73" t="str">
        <f t="shared" si="141"/>
        <v/>
      </c>
      <c r="M1803" s="65" t="str">
        <f t="shared" ca="1" si="142"/>
        <v/>
      </c>
      <c r="N1803" s="74" t="str">
        <f>IF($C1803="","",IF($C1803="TANIMSIZ MÜŞTERİ","—",INDEX(MUSTERILER!$C$7:$C$156,MATCH($C1803,MUSTERILER!$B$7:$B$156,0))))</f>
        <v/>
      </c>
      <c r="O1803" s="2"/>
      <c r="P1803" s="2"/>
      <c r="Q1803" s="1" t="str">
        <f>IF($D1803="","",$C1803&amp;"|"&amp;COUNTIFS($C$7:$C1803,$C1803))</f>
        <v/>
      </c>
      <c r="R1803" s="1" t="str">
        <f t="shared" si="143"/>
        <v/>
      </c>
      <c r="S1803" s="1" t="str">
        <f t="shared" si="144"/>
        <v/>
      </c>
      <c r="T1803" s="1">
        <f>IF($E1803="",0,SUMPRODUCT((AY_SONU!$O$7:$O$42="Evet")*(AY_SONU!$B$7:$B$42=DATE(YEAR($E1803),MONTH($E1803),1))))</f>
        <v>0</v>
      </c>
    </row>
    <row r="1804" spans="1:20" ht="18" customHeight="1" x14ac:dyDescent="0.3">
      <c r="A1804" s="2"/>
      <c r="B1804" s="65" t="str">
        <f t="shared" si="140"/>
        <v/>
      </c>
      <c r="C1804" s="65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66"/>
      <c r="F1804" s="67"/>
      <c r="G1804" s="60"/>
      <c r="H1804" s="60"/>
      <c r="I1804" s="61"/>
      <c r="J1804" s="61"/>
      <c r="K1804" s="61"/>
      <c r="L1804" s="73" t="str">
        <f t="shared" si="141"/>
        <v/>
      </c>
      <c r="M1804" s="65" t="str">
        <f t="shared" ca="1" si="142"/>
        <v/>
      </c>
      <c r="N1804" s="74" t="str">
        <f>IF($C1804="","",IF($C1804="TANIMSIZ MÜŞTERİ","—",INDEX(MUSTERILER!$C$7:$C$156,MATCH($C1804,MUSTERILER!$B$7:$B$156,0))))</f>
        <v/>
      </c>
      <c r="O1804" s="2"/>
      <c r="P1804" s="2"/>
      <c r="Q1804" s="1" t="str">
        <f>IF($D1804="","",$C1804&amp;"|"&amp;COUNTIFS($C$7:$C1804,$C1804))</f>
        <v/>
      </c>
      <c r="R1804" s="1" t="str">
        <f t="shared" si="143"/>
        <v/>
      </c>
      <c r="S1804" s="1" t="str">
        <f t="shared" si="144"/>
        <v/>
      </c>
      <c r="T1804" s="1">
        <f>IF($E1804="",0,SUMPRODUCT((AY_SONU!$O$7:$O$42="Evet")*(AY_SONU!$B$7:$B$42=DATE(YEAR($E1804),MONTH($E1804),1))))</f>
        <v>0</v>
      </c>
    </row>
    <row r="1805" spans="1:20" ht="18" customHeight="1" x14ac:dyDescent="0.3">
      <c r="A1805" s="2"/>
      <c r="B1805" s="65" t="str">
        <f t="shared" si="140"/>
        <v/>
      </c>
      <c r="C1805" s="65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66"/>
      <c r="F1805" s="67"/>
      <c r="G1805" s="60"/>
      <c r="H1805" s="60"/>
      <c r="I1805" s="61"/>
      <c r="J1805" s="61"/>
      <c r="K1805" s="61"/>
      <c r="L1805" s="73" t="str">
        <f t="shared" si="141"/>
        <v/>
      </c>
      <c r="M1805" s="65" t="str">
        <f t="shared" ca="1" si="142"/>
        <v/>
      </c>
      <c r="N1805" s="74" t="str">
        <f>IF($C1805="","",IF($C1805="TANIMSIZ MÜŞTERİ","—",INDEX(MUSTERILER!$C$7:$C$156,MATCH($C1805,MUSTERILER!$B$7:$B$156,0))))</f>
        <v/>
      </c>
      <c r="O1805" s="2"/>
      <c r="P1805" s="2"/>
      <c r="Q1805" s="1" t="str">
        <f>IF($D1805="","",$C1805&amp;"|"&amp;COUNTIFS($C$7:$C1805,$C1805))</f>
        <v/>
      </c>
      <c r="R1805" s="1" t="str">
        <f t="shared" si="143"/>
        <v/>
      </c>
      <c r="S1805" s="1" t="str">
        <f t="shared" si="144"/>
        <v/>
      </c>
      <c r="T1805" s="1">
        <f>IF($E1805="",0,SUMPRODUCT((AY_SONU!$O$7:$O$42="Evet")*(AY_SONU!$B$7:$B$42=DATE(YEAR($E1805),MONTH($E1805),1))))</f>
        <v>0</v>
      </c>
    </row>
    <row r="1806" spans="1:20" ht="18" customHeight="1" x14ac:dyDescent="0.3">
      <c r="A1806" s="2"/>
      <c r="B1806" s="65" t="str">
        <f t="shared" si="140"/>
        <v/>
      </c>
      <c r="C1806" s="65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66"/>
      <c r="F1806" s="67"/>
      <c r="G1806" s="60"/>
      <c r="H1806" s="60"/>
      <c r="I1806" s="61"/>
      <c r="J1806" s="61"/>
      <c r="K1806" s="61"/>
      <c r="L1806" s="73" t="str">
        <f t="shared" si="141"/>
        <v/>
      </c>
      <c r="M1806" s="65" t="str">
        <f t="shared" ca="1" si="142"/>
        <v/>
      </c>
      <c r="N1806" s="74" t="str">
        <f>IF($C1806="","",IF($C1806="TANIMSIZ MÜŞTERİ","—",INDEX(MUSTERILER!$C$7:$C$156,MATCH($C1806,MUSTERILER!$B$7:$B$156,0))))</f>
        <v/>
      </c>
      <c r="O1806" s="2"/>
      <c r="P1806" s="2"/>
      <c r="Q1806" s="1" t="str">
        <f>IF($D1806="","",$C1806&amp;"|"&amp;COUNTIFS($C$7:$C1806,$C1806))</f>
        <v/>
      </c>
      <c r="R1806" s="1" t="str">
        <f t="shared" si="143"/>
        <v/>
      </c>
      <c r="S1806" s="1" t="str">
        <f t="shared" si="144"/>
        <v/>
      </c>
      <c r="T1806" s="1">
        <f>IF($E1806="",0,SUMPRODUCT((AY_SONU!$O$7:$O$42="Evet")*(AY_SONU!$B$7:$B$42=DATE(YEAR($E1806),MONTH($E1806),1))))</f>
        <v>0</v>
      </c>
    </row>
    <row r="1807" spans="1:20" ht="18" customHeight="1" x14ac:dyDescent="0.3">
      <c r="A1807" s="2"/>
      <c r="B1807" s="65" t="str">
        <f t="shared" si="140"/>
        <v/>
      </c>
      <c r="C1807" s="65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66"/>
      <c r="F1807" s="67"/>
      <c r="G1807" s="60"/>
      <c r="H1807" s="60"/>
      <c r="I1807" s="61"/>
      <c r="J1807" s="61"/>
      <c r="K1807" s="61"/>
      <c r="L1807" s="73" t="str">
        <f t="shared" si="141"/>
        <v/>
      </c>
      <c r="M1807" s="65" t="str">
        <f t="shared" ca="1" si="142"/>
        <v/>
      </c>
      <c r="N1807" s="74" t="str">
        <f>IF($C1807="","",IF($C1807="TANIMSIZ MÜŞTERİ","—",INDEX(MUSTERILER!$C$7:$C$156,MATCH($C1807,MUSTERILER!$B$7:$B$156,0))))</f>
        <v/>
      </c>
      <c r="O1807" s="2"/>
      <c r="P1807" s="2"/>
      <c r="Q1807" s="1" t="str">
        <f>IF($D1807="","",$C1807&amp;"|"&amp;COUNTIFS($C$7:$C1807,$C1807))</f>
        <v/>
      </c>
      <c r="R1807" s="1" t="str">
        <f t="shared" si="143"/>
        <v/>
      </c>
      <c r="S1807" s="1" t="str">
        <f t="shared" si="144"/>
        <v/>
      </c>
      <c r="T1807" s="1">
        <f>IF($E1807="",0,SUMPRODUCT((AY_SONU!$O$7:$O$42="Evet")*(AY_SONU!$B$7:$B$42=DATE(YEAR($E1807),MONTH($E1807),1))))</f>
        <v>0</v>
      </c>
    </row>
    <row r="1808" spans="1:20" ht="18" customHeight="1" x14ac:dyDescent="0.3">
      <c r="A1808" s="2"/>
      <c r="B1808" s="65" t="str">
        <f t="shared" si="140"/>
        <v/>
      </c>
      <c r="C1808" s="65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66"/>
      <c r="F1808" s="67"/>
      <c r="G1808" s="60"/>
      <c r="H1808" s="60"/>
      <c r="I1808" s="61"/>
      <c r="J1808" s="61"/>
      <c r="K1808" s="61"/>
      <c r="L1808" s="73" t="str">
        <f t="shared" si="141"/>
        <v/>
      </c>
      <c r="M1808" s="65" t="str">
        <f t="shared" ca="1" si="142"/>
        <v/>
      </c>
      <c r="N1808" s="74" t="str">
        <f>IF($C1808="","",IF($C1808="TANIMSIZ MÜŞTERİ","—",INDEX(MUSTERILER!$C$7:$C$156,MATCH($C1808,MUSTERILER!$B$7:$B$156,0))))</f>
        <v/>
      </c>
      <c r="O1808" s="2"/>
      <c r="P1808" s="2"/>
      <c r="Q1808" s="1" t="str">
        <f>IF($D1808="","",$C1808&amp;"|"&amp;COUNTIFS($C$7:$C1808,$C1808))</f>
        <v/>
      </c>
      <c r="R1808" s="1" t="str">
        <f t="shared" si="143"/>
        <v/>
      </c>
      <c r="S1808" s="1" t="str">
        <f t="shared" si="144"/>
        <v/>
      </c>
      <c r="T1808" s="1">
        <f>IF($E1808="",0,SUMPRODUCT((AY_SONU!$O$7:$O$42="Evet")*(AY_SONU!$B$7:$B$42=DATE(YEAR($E1808),MONTH($E1808),1))))</f>
        <v>0</v>
      </c>
    </row>
    <row r="1809" spans="1:20" ht="18" customHeight="1" x14ac:dyDescent="0.3">
      <c r="A1809" s="2"/>
      <c r="B1809" s="65" t="str">
        <f t="shared" si="140"/>
        <v/>
      </c>
      <c r="C1809" s="65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66"/>
      <c r="F1809" s="67"/>
      <c r="G1809" s="60"/>
      <c r="H1809" s="60"/>
      <c r="I1809" s="61"/>
      <c r="J1809" s="61"/>
      <c r="K1809" s="61"/>
      <c r="L1809" s="73" t="str">
        <f t="shared" si="141"/>
        <v/>
      </c>
      <c r="M1809" s="65" t="str">
        <f t="shared" ca="1" si="142"/>
        <v/>
      </c>
      <c r="N1809" s="74" t="str">
        <f>IF($C1809="","",IF($C1809="TANIMSIZ MÜŞTERİ","—",INDEX(MUSTERILER!$C$7:$C$156,MATCH($C1809,MUSTERILER!$B$7:$B$156,0))))</f>
        <v/>
      </c>
      <c r="O1809" s="2"/>
      <c r="P1809" s="2"/>
      <c r="Q1809" s="1" t="str">
        <f>IF($D1809="","",$C1809&amp;"|"&amp;COUNTIFS($C$7:$C1809,$C1809))</f>
        <v/>
      </c>
      <c r="R1809" s="1" t="str">
        <f t="shared" si="143"/>
        <v/>
      </c>
      <c r="S1809" s="1" t="str">
        <f t="shared" si="144"/>
        <v/>
      </c>
      <c r="T1809" s="1">
        <f>IF($E1809="",0,SUMPRODUCT((AY_SONU!$O$7:$O$42="Evet")*(AY_SONU!$B$7:$B$42=DATE(YEAR($E1809),MONTH($E1809),1))))</f>
        <v>0</v>
      </c>
    </row>
    <row r="1810" spans="1:20" ht="18" customHeight="1" x14ac:dyDescent="0.3">
      <c r="A1810" s="2"/>
      <c r="B1810" s="65" t="str">
        <f t="shared" si="140"/>
        <v/>
      </c>
      <c r="C1810" s="65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66"/>
      <c r="F1810" s="67"/>
      <c r="G1810" s="60"/>
      <c r="H1810" s="60"/>
      <c r="I1810" s="61"/>
      <c r="J1810" s="61"/>
      <c r="K1810" s="61"/>
      <c r="L1810" s="73" t="str">
        <f t="shared" si="141"/>
        <v/>
      </c>
      <c r="M1810" s="65" t="str">
        <f t="shared" ca="1" si="142"/>
        <v/>
      </c>
      <c r="N1810" s="74" t="str">
        <f>IF($C1810="","",IF($C1810="TANIMSIZ MÜŞTERİ","—",INDEX(MUSTERILER!$C$7:$C$156,MATCH($C1810,MUSTERILER!$B$7:$B$156,0))))</f>
        <v/>
      </c>
      <c r="O1810" s="2"/>
      <c r="P1810" s="2"/>
      <c r="Q1810" s="1" t="str">
        <f>IF($D1810="","",$C1810&amp;"|"&amp;COUNTIFS($C$7:$C1810,$C1810))</f>
        <v/>
      </c>
      <c r="R1810" s="1" t="str">
        <f t="shared" si="143"/>
        <v/>
      </c>
      <c r="S1810" s="1" t="str">
        <f t="shared" si="144"/>
        <v/>
      </c>
      <c r="T1810" s="1">
        <f>IF($E1810="",0,SUMPRODUCT((AY_SONU!$O$7:$O$42="Evet")*(AY_SONU!$B$7:$B$42=DATE(YEAR($E1810),MONTH($E1810),1))))</f>
        <v>0</v>
      </c>
    </row>
    <row r="1811" spans="1:20" ht="18" customHeight="1" x14ac:dyDescent="0.3">
      <c r="A1811" s="2"/>
      <c r="B1811" s="65" t="str">
        <f t="shared" si="140"/>
        <v/>
      </c>
      <c r="C1811" s="65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66"/>
      <c r="F1811" s="67"/>
      <c r="G1811" s="60"/>
      <c r="H1811" s="60"/>
      <c r="I1811" s="61"/>
      <c r="J1811" s="61"/>
      <c r="K1811" s="61"/>
      <c r="L1811" s="73" t="str">
        <f t="shared" si="141"/>
        <v/>
      </c>
      <c r="M1811" s="65" t="str">
        <f t="shared" ca="1" si="142"/>
        <v/>
      </c>
      <c r="N1811" s="74" t="str">
        <f>IF($C1811="","",IF($C1811="TANIMSIZ MÜŞTERİ","—",INDEX(MUSTERILER!$C$7:$C$156,MATCH($C1811,MUSTERILER!$B$7:$B$156,0))))</f>
        <v/>
      </c>
      <c r="O1811" s="2"/>
      <c r="P1811" s="2"/>
      <c r="Q1811" s="1" t="str">
        <f>IF($D1811="","",$C1811&amp;"|"&amp;COUNTIFS($C$7:$C1811,$C1811))</f>
        <v/>
      </c>
      <c r="R1811" s="1" t="str">
        <f t="shared" si="143"/>
        <v/>
      </c>
      <c r="S1811" s="1" t="str">
        <f t="shared" si="144"/>
        <v/>
      </c>
      <c r="T1811" s="1">
        <f>IF($E1811="",0,SUMPRODUCT((AY_SONU!$O$7:$O$42="Evet")*(AY_SONU!$B$7:$B$42=DATE(YEAR($E1811),MONTH($E1811),1))))</f>
        <v>0</v>
      </c>
    </row>
    <row r="1812" spans="1:20" ht="18" customHeight="1" x14ac:dyDescent="0.3">
      <c r="A1812" s="2"/>
      <c r="B1812" s="65" t="str">
        <f t="shared" si="140"/>
        <v/>
      </c>
      <c r="C1812" s="65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66"/>
      <c r="F1812" s="67"/>
      <c r="G1812" s="60"/>
      <c r="H1812" s="60"/>
      <c r="I1812" s="61"/>
      <c r="J1812" s="61"/>
      <c r="K1812" s="61"/>
      <c r="L1812" s="73" t="str">
        <f t="shared" si="141"/>
        <v/>
      </c>
      <c r="M1812" s="65" t="str">
        <f t="shared" ca="1" si="142"/>
        <v/>
      </c>
      <c r="N1812" s="74" t="str">
        <f>IF($C1812="","",IF($C1812="TANIMSIZ MÜŞTERİ","—",INDEX(MUSTERILER!$C$7:$C$156,MATCH($C1812,MUSTERILER!$B$7:$B$156,0))))</f>
        <v/>
      </c>
      <c r="O1812" s="2"/>
      <c r="P1812" s="2"/>
      <c r="Q1812" s="1" t="str">
        <f>IF($D1812="","",$C1812&amp;"|"&amp;COUNTIFS($C$7:$C1812,$C1812))</f>
        <v/>
      </c>
      <c r="R1812" s="1" t="str">
        <f t="shared" si="143"/>
        <v/>
      </c>
      <c r="S1812" s="1" t="str">
        <f t="shared" si="144"/>
        <v/>
      </c>
      <c r="T1812" s="1">
        <f>IF($E1812="",0,SUMPRODUCT((AY_SONU!$O$7:$O$42="Evet")*(AY_SONU!$B$7:$B$42=DATE(YEAR($E1812),MONTH($E1812),1))))</f>
        <v>0</v>
      </c>
    </row>
    <row r="1813" spans="1:20" ht="18" customHeight="1" x14ac:dyDescent="0.3">
      <c r="A1813" s="2"/>
      <c r="B1813" s="65" t="str">
        <f t="shared" si="140"/>
        <v/>
      </c>
      <c r="C1813" s="65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66"/>
      <c r="F1813" s="67"/>
      <c r="G1813" s="60"/>
      <c r="H1813" s="60"/>
      <c r="I1813" s="61"/>
      <c r="J1813" s="61"/>
      <c r="K1813" s="61"/>
      <c r="L1813" s="73" t="str">
        <f t="shared" si="141"/>
        <v/>
      </c>
      <c r="M1813" s="65" t="str">
        <f t="shared" ca="1" si="142"/>
        <v/>
      </c>
      <c r="N1813" s="74" t="str">
        <f>IF($C1813="","",IF($C1813="TANIMSIZ MÜŞTERİ","—",INDEX(MUSTERILER!$C$7:$C$156,MATCH($C1813,MUSTERILER!$B$7:$B$156,0))))</f>
        <v/>
      </c>
      <c r="O1813" s="2"/>
      <c r="P1813" s="2"/>
      <c r="Q1813" s="1" t="str">
        <f>IF($D1813="","",$C1813&amp;"|"&amp;COUNTIFS($C$7:$C1813,$C1813))</f>
        <v/>
      </c>
      <c r="R1813" s="1" t="str">
        <f t="shared" si="143"/>
        <v/>
      </c>
      <c r="S1813" s="1" t="str">
        <f t="shared" si="144"/>
        <v/>
      </c>
      <c r="T1813" s="1">
        <f>IF($E1813="",0,SUMPRODUCT((AY_SONU!$O$7:$O$42="Evet")*(AY_SONU!$B$7:$B$42=DATE(YEAR($E1813),MONTH($E1813),1))))</f>
        <v>0</v>
      </c>
    </row>
    <row r="1814" spans="1:20" ht="18" customHeight="1" x14ac:dyDescent="0.3">
      <c r="A1814" s="2"/>
      <c r="B1814" s="65" t="str">
        <f t="shared" si="140"/>
        <v/>
      </c>
      <c r="C1814" s="65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66"/>
      <c r="F1814" s="67"/>
      <c r="G1814" s="60"/>
      <c r="H1814" s="60"/>
      <c r="I1814" s="61"/>
      <c r="J1814" s="61"/>
      <c r="K1814" s="61"/>
      <c r="L1814" s="73" t="str">
        <f t="shared" si="141"/>
        <v/>
      </c>
      <c r="M1814" s="65" t="str">
        <f t="shared" ca="1" si="142"/>
        <v/>
      </c>
      <c r="N1814" s="74" t="str">
        <f>IF($C1814="","",IF($C1814="TANIMSIZ MÜŞTERİ","—",INDEX(MUSTERILER!$C$7:$C$156,MATCH($C1814,MUSTERILER!$B$7:$B$156,0))))</f>
        <v/>
      </c>
      <c r="O1814" s="2"/>
      <c r="P1814" s="2"/>
      <c r="Q1814" s="1" t="str">
        <f>IF($D1814="","",$C1814&amp;"|"&amp;COUNTIFS($C$7:$C1814,$C1814))</f>
        <v/>
      </c>
      <c r="R1814" s="1" t="str">
        <f t="shared" si="143"/>
        <v/>
      </c>
      <c r="S1814" s="1" t="str">
        <f t="shared" si="144"/>
        <v/>
      </c>
      <c r="T1814" s="1">
        <f>IF($E1814="",0,SUMPRODUCT((AY_SONU!$O$7:$O$42="Evet")*(AY_SONU!$B$7:$B$42=DATE(YEAR($E1814),MONTH($E1814),1))))</f>
        <v>0</v>
      </c>
    </row>
    <row r="1815" spans="1:20" ht="18" customHeight="1" x14ac:dyDescent="0.3">
      <c r="A1815" s="2"/>
      <c r="B1815" s="65" t="str">
        <f t="shared" si="140"/>
        <v/>
      </c>
      <c r="C1815" s="65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66"/>
      <c r="F1815" s="67"/>
      <c r="G1815" s="60"/>
      <c r="H1815" s="60"/>
      <c r="I1815" s="61"/>
      <c r="J1815" s="61"/>
      <c r="K1815" s="61"/>
      <c r="L1815" s="73" t="str">
        <f t="shared" si="141"/>
        <v/>
      </c>
      <c r="M1815" s="65" t="str">
        <f t="shared" ca="1" si="142"/>
        <v/>
      </c>
      <c r="N1815" s="74" t="str">
        <f>IF($C1815="","",IF($C1815="TANIMSIZ MÜŞTERİ","—",INDEX(MUSTERILER!$C$7:$C$156,MATCH($C1815,MUSTERILER!$B$7:$B$156,0))))</f>
        <v/>
      </c>
      <c r="O1815" s="2"/>
      <c r="P1815" s="2"/>
      <c r="Q1815" s="1" t="str">
        <f>IF($D1815="","",$C1815&amp;"|"&amp;COUNTIFS($C$7:$C1815,$C1815))</f>
        <v/>
      </c>
      <c r="R1815" s="1" t="str">
        <f t="shared" si="143"/>
        <v/>
      </c>
      <c r="S1815" s="1" t="str">
        <f t="shared" si="144"/>
        <v/>
      </c>
      <c r="T1815" s="1">
        <f>IF($E1815="",0,SUMPRODUCT((AY_SONU!$O$7:$O$42="Evet")*(AY_SONU!$B$7:$B$42=DATE(YEAR($E1815),MONTH($E1815),1))))</f>
        <v>0</v>
      </c>
    </row>
    <row r="1816" spans="1:20" ht="18" customHeight="1" x14ac:dyDescent="0.3">
      <c r="A1816" s="2"/>
      <c r="B1816" s="65" t="str">
        <f t="shared" si="140"/>
        <v/>
      </c>
      <c r="C1816" s="65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66"/>
      <c r="F1816" s="67"/>
      <c r="G1816" s="60"/>
      <c r="H1816" s="60"/>
      <c r="I1816" s="61"/>
      <c r="J1816" s="61"/>
      <c r="K1816" s="61"/>
      <c r="L1816" s="73" t="str">
        <f t="shared" si="141"/>
        <v/>
      </c>
      <c r="M1816" s="65" t="str">
        <f t="shared" ca="1" si="142"/>
        <v/>
      </c>
      <c r="N1816" s="74" t="str">
        <f>IF($C1816="","",IF($C1816="TANIMSIZ MÜŞTERİ","—",INDEX(MUSTERILER!$C$7:$C$156,MATCH($C1816,MUSTERILER!$B$7:$B$156,0))))</f>
        <v/>
      </c>
      <c r="O1816" s="2"/>
      <c r="P1816" s="2"/>
      <c r="Q1816" s="1" t="str">
        <f>IF($D1816="","",$C1816&amp;"|"&amp;COUNTIFS($C$7:$C1816,$C1816))</f>
        <v/>
      </c>
      <c r="R1816" s="1" t="str">
        <f t="shared" si="143"/>
        <v/>
      </c>
      <c r="S1816" s="1" t="str">
        <f t="shared" si="144"/>
        <v/>
      </c>
      <c r="T1816" s="1">
        <f>IF($E1816="",0,SUMPRODUCT((AY_SONU!$O$7:$O$42="Evet")*(AY_SONU!$B$7:$B$42=DATE(YEAR($E1816),MONTH($E1816),1))))</f>
        <v>0</v>
      </c>
    </row>
    <row r="1817" spans="1:20" ht="18" customHeight="1" x14ac:dyDescent="0.3">
      <c r="A1817" s="2"/>
      <c r="B1817" s="65" t="str">
        <f t="shared" si="140"/>
        <v/>
      </c>
      <c r="C1817" s="65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66"/>
      <c r="F1817" s="67"/>
      <c r="G1817" s="60"/>
      <c r="H1817" s="60"/>
      <c r="I1817" s="61"/>
      <c r="J1817" s="61"/>
      <c r="K1817" s="61"/>
      <c r="L1817" s="73" t="str">
        <f t="shared" si="141"/>
        <v/>
      </c>
      <c r="M1817" s="65" t="str">
        <f t="shared" ca="1" si="142"/>
        <v/>
      </c>
      <c r="N1817" s="74" t="str">
        <f>IF($C1817="","",IF($C1817="TANIMSIZ MÜŞTERİ","—",INDEX(MUSTERILER!$C$7:$C$156,MATCH($C1817,MUSTERILER!$B$7:$B$156,0))))</f>
        <v/>
      </c>
      <c r="O1817" s="2"/>
      <c r="P1817" s="2"/>
      <c r="Q1817" s="1" t="str">
        <f>IF($D1817="","",$C1817&amp;"|"&amp;COUNTIFS($C$7:$C1817,$C1817))</f>
        <v/>
      </c>
      <c r="R1817" s="1" t="str">
        <f t="shared" si="143"/>
        <v/>
      </c>
      <c r="S1817" s="1" t="str">
        <f t="shared" si="144"/>
        <v/>
      </c>
      <c r="T1817" s="1">
        <f>IF($E1817="",0,SUMPRODUCT((AY_SONU!$O$7:$O$42="Evet")*(AY_SONU!$B$7:$B$42=DATE(YEAR($E1817),MONTH($E1817),1))))</f>
        <v>0</v>
      </c>
    </row>
    <row r="1818" spans="1:20" ht="18" customHeight="1" x14ac:dyDescent="0.3">
      <c r="A1818" s="2"/>
      <c r="B1818" s="65" t="str">
        <f t="shared" si="140"/>
        <v/>
      </c>
      <c r="C1818" s="65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66"/>
      <c r="F1818" s="67"/>
      <c r="G1818" s="60"/>
      <c r="H1818" s="60"/>
      <c r="I1818" s="61"/>
      <c r="J1818" s="61"/>
      <c r="K1818" s="61"/>
      <c r="L1818" s="73" t="str">
        <f t="shared" si="141"/>
        <v/>
      </c>
      <c r="M1818" s="65" t="str">
        <f t="shared" ca="1" si="142"/>
        <v/>
      </c>
      <c r="N1818" s="74" t="str">
        <f>IF($C1818="","",IF($C1818="TANIMSIZ MÜŞTERİ","—",INDEX(MUSTERILER!$C$7:$C$156,MATCH($C1818,MUSTERILER!$B$7:$B$156,0))))</f>
        <v/>
      </c>
      <c r="O1818" s="2"/>
      <c r="P1818" s="2"/>
      <c r="Q1818" s="1" t="str">
        <f>IF($D1818="","",$C1818&amp;"|"&amp;COUNTIFS($C$7:$C1818,$C1818))</f>
        <v/>
      </c>
      <c r="R1818" s="1" t="str">
        <f t="shared" si="143"/>
        <v/>
      </c>
      <c r="S1818" s="1" t="str">
        <f t="shared" si="144"/>
        <v/>
      </c>
      <c r="T1818" s="1">
        <f>IF($E1818="",0,SUMPRODUCT((AY_SONU!$O$7:$O$42="Evet")*(AY_SONU!$B$7:$B$42=DATE(YEAR($E1818),MONTH($E1818),1))))</f>
        <v>0</v>
      </c>
    </row>
    <row r="1819" spans="1:20" ht="18" customHeight="1" x14ac:dyDescent="0.3">
      <c r="A1819" s="2"/>
      <c r="B1819" s="65" t="str">
        <f t="shared" si="140"/>
        <v/>
      </c>
      <c r="C1819" s="65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66"/>
      <c r="F1819" s="67"/>
      <c r="G1819" s="60"/>
      <c r="H1819" s="60"/>
      <c r="I1819" s="61"/>
      <c r="J1819" s="61"/>
      <c r="K1819" s="61"/>
      <c r="L1819" s="73" t="str">
        <f t="shared" si="141"/>
        <v/>
      </c>
      <c r="M1819" s="65" t="str">
        <f t="shared" ca="1" si="142"/>
        <v/>
      </c>
      <c r="N1819" s="74" t="str">
        <f>IF($C1819="","",IF($C1819="TANIMSIZ MÜŞTERİ","—",INDEX(MUSTERILER!$C$7:$C$156,MATCH($C1819,MUSTERILER!$B$7:$B$156,0))))</f>
        <v/>
      </c>
      <c r="O1819" s="2"/>
      <c r="P1819" s="2"/>
      <c r="Q1819" s="1" t="str">
        <f>IF($D1819="","",$C1819&amp;"|"&amp;COUNTIFS($C$7:$C1819,$C1819))</f>
        <v/>
      </c>
      <c r="R1819" s="1" t="str">
        <f t="shared" si="143"/>
        <v/>
      </c>
      <c r="S1819" s="1" t="str">
        <f t="shared" si="144"/>
        <v/>
      </c>
      <c r="T1819" s="1">
        <f>IF($E1819="",0,SUMPRODUCT((AY_SONU!$O$7:$O$42="Evet")*(AY_SONU!$B$7:$B$42=DATE(YEAR($E1819),MONTH($E1819),1))))</f>
        <v>0</v>
      </c>
    </row>
    <row r="1820" spans="1:20" ht="18" customHeight="1" x14ac:dyDescent="0.3">
      <c r="A1820" s="2"/>
      <c r="B1820" s="65" t="str">
        <f t="shared" si="140"/>
        <v/>
      </c>
      <c r="C1820" s="65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66"/>
      <c r="F1820" s="67"/>
      <c r="G1820" s="60"/>
      <c r="H1820" s="60"/>
      <c r="I1820" s="61"/>
      <c r="J1820" s="61"/>
      <c r="K1820" s="61"/>
      <c r="L1820" s="73" t="str">
        <f t="shared" si="141"/>
        <v/>
      </c>
      <c r="M1820" s="65" t="str">
        <f t="shared" ca="1" si="142"/>
        <v/>
      </c>
      <c r="N1820" s="74" t="str">
        <f>IF($C1820="","",IF($C1820="TANIMSIZ MÜŞTERİ","—",INDEX(MUSTERILER!$C$7:$C$156,MATCH($C1820,MUSTERILER!$B$7:$B$156,0))))</f>
        <v/>
      </c>
      <c r="O1820" s="2"/>
      <c r="P1820" s="2"/>
      <c r="Q1820" s="1" t="str">
        <f>IF($D1820="","",$C1820&amp;"|"&amp;COUNTIFS($C$7:$C1820,$C1820))</f>
        <v/>
      </c>
      <c r="R1820" s="1" t="str">
        <f t="shared" si="143"/>
        <v/>
      </c>
      <c r="S1820" s="1" t="str">
        <f t="shared" si="144"/>
        <v/>
      </c>
      <c r="T1820" s="1">
        <f>IF($E1820="",0,SUMPRODUCT((AY_SONU!$O$7:$O$42="Evet")*(AY_SONU!$B$7:$B$42=DATE(YEAR($E1820),MONTH($E1820),1))))</f>
        <v>0</v>
      </c>
    </row>
    <row r="1821" spans="1:20" ht="18" customHeight="1" x14ac:dyDescent="0.3">
      <c r="A1821" s="2"/>
      <c r="B1821" s="65" t="str">
        <f t="shared" si="140"/>
        <v/>
      </c>
      <c r="C1821" s="65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66"/>
      <c r="F1821" s="67"/>
      <c r="G1821" s="60"/>
      <c r="H1821" s="60"/>
      <c r="I1821" s="61"/>
      <c r="J1821" s="61"/>
      <c r="K1821" s="61"/>
      <c r="L1821" s="73" t="str">
        <f t="shared" si="141"/>
        <v/>
      </c>
      <c r="M1821" s="65" t="str">
        <f t="shared" ca="1" si="142"/>
        <v/>
      </c>
      <c r="N1821" s="74" t="str">
        <f>IF($C1821="","",IF($C1821="TANIMSIZ MÜŞTERİ","—",INDEX(MUSTERILER!$C$7:$C$156,MATCH($C1821,MUSTERILER!$B$7:$B$156,0))))</f>
        <v/>
      </c>
      <c r="O1821" s="2"/>
      <c r="P1821" s="2"/>
      <c r="Q1821" s="1" t="str">
        <f>IF($D1821="","",$C1821&amp;"|"&amp;COUNTIFS($C$7:$C1821,$C1821))</f>
        <v/>
      </c>
      <c r="R1821" s="1" t="str">
        <f t="shared" si="143"/>
        <v/>
      </c>
      <c r="S1821" s="1" t="str">
        <f t="shared" si="144"/>
        <v/>
      </c>
      <c r="T1821" s="1">
        <f>IF($E1821="",0,SUMPRODUCT((AY_SONU!$O$7:$O$42="Evet")*(AY_SONU!$B$7:$B$42=DATE(YEAR($E1821),MONTH($E1821),1))))</f>
        <v>0</v>
      </c>
    </row>
    <row r="1822" spans="1:20" ht="18" customHeight="1" x14ac:dyDescent="0.3">
      <c r="A1822" s="2"/>
      <c r="B1822" s="65" t="str">
        <f t="shared" si="140"/>
        <v/>
      </c>
      <c r="C1822" s="65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66"/>
      <c r="F1822" s="67"/>
      <c r="G1822" s="60"/>
      <c r="H1822" s="60"/>
      <c r="I1822" s="61"/>
      <c r="J1822" s="61"/>
      <c r="K1822" s="61"/>
      <c r="L1822" s="73" t="str">
        <f t="shared" si="141"/>
        <v/>
      </c>
      <c r="M1822" s="65" t="str">
        <f t="shared" ca="1" si="142"/>
        <v/>
      </c>
      <c r="N1822" s="74" t="str">
        <f>IF($C1822="","",IF($C1822="TANIMSIZ MÜŞTERİ","—",INDEX(MUSTERILER!$C$7:$C$156,MATCH($C1822,MUSTERILER!$B$7:$B$156,0))))</f>
        <v/>
      </c>
      <c r="O1822" s="2"/>
      <c r="P1822" s="2"/>
      <c r="Q1822" s="1" t="str">
        <f>IF($D1822="","",$C1822&amp;"|"&amp;COUNTIFS($C$7:$C1822,$C1822))</f>
        <v/>
      </c>
      <c r="R1822" s="1" t="str">
        <f t="shared" si="143"/>
        <v/>
      </c>
      <c r="S1822" s="1" t="str">
        <f t="shared" si="144"/>
        <v/>
      </c>
      <c r="T1822" s="1">
        <f>IF($E1822="",0,SUMPRODUCT((AY_SONU!$O$7:$O$42="Evet")*(AY_SONU!$B$7:$B$42=DATE(YEAR($E1822),MONTH($E1822),1))))</f>
        <v>0</v>
      </c>
    </row>
    <row r="1823" spans="1:20" ht="18" customHeight="1" x14ac:dyDescent="0.3">
      <c r="A1823" s="2"/>
      <c r="B1823" s="65" t="str">
        <f t="shared" si="140"/>
        <v/>
      </c>
      <c r="C1823" s="65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66"/>
      <c r="F1823" s="67"/>
      <c r="G1823" s="60"/>
      <c r="H1823" s="60"/>
      <c r="I1823" s="61"/>
      <c r="J1823" s="61"/>
      <c r="K1823" s="61"/>
      <c r="L1823" s="73" t="str">
        <f t="shared" si="141"/>
        <v/>
      </c>
      <c r="M1823" s="65" t="str">
        <f t="shared" ca="1" si="142"/>
        <v/>
      </c>
      <c r="N1823" s="74" t="str">
        <f>IF($C1823="","",IF($C1823="TANIMSIZ MÜŞTERİ","—",INDEX(MUSTERILER!$C$7:$C$156,MATCH($C1823,MUSTERILER!$B$7:$B$156,0))))</f>
        <v/>
      </c>
      <c r="O1823" s="2"/>
      <c r="P1823" s="2"/>
      <c r="Q1823" s="1" t="str">
        <f>IF($D1823="","",$C1823&amp;"|"&amp;COUNTIFS($C$7:$C1823,$C1823))</f>
        <v/>
      </c>
      <c r="R1823" s="1" t="str">
        <f t="shared" si="143"/>
        <v/>
      </c>
      <c r="S1823" s="1" t="str">
        <f t="shared" si="144"/>
        <v/>
      </c>
      <c r="T1823" s="1">
        <f>IF($E1823="",0,SUMPRODUCT((AY_SONU!$O$7:$O$42="Evet")*(AY_SONU!$B$7:$B$42=DATE(YEAR($E1823),MONTH($E1823),1))))</f>
        <v>0</v>
      </c>
    </row>
    <row r="1824" spans="1:20" ht="18" customHeight="1" x14ac:dyDescent="0.3">
      <c r="A1824" s="2"/>
      <c r="B1824" s="65" t="str">
        <f t="shared" si="140"/>
        <v/>
      </c>
      <c r="C1824" s="65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66"/>
      <c r="F1824" s="67"/>
      <c r="G1824" s="60"/>
      <c r="H1824" s="60"/>
      <c r="I1824" s="61"/>
      <c r="J1824" s="61"/>
      <c r="K1824" s="61"/>
      <c r="L1824" s="73" t="str">
        <f t="shared" si="141"/>
        <v/>
      </c>
      <c r="M1824" s="65" t="str">
        <f t="shared" ca="1" si="142"/>
        <v/>
      </c>
      <c r="N1824" s="74" t="str">
        <f>IF($C1824="","",IF($C1824="TANIMSIZ MÜŞTERİ","—",INDEX(MUSTERILER!$C$7:$C$156,MATCH($C1824,MUSTERILER!$B$7:$B$156,0))))</f>
        <v/>
      </c>
      <c r="O1824" s="2"/>
      <c r="P1824" s="2"/>
      <c r="Q1824" s="1" t="str">
        <f>IF($D1824="","",$C1824&amp;"|"&amp;COUNTIFS($C$7:$C1824,$C1824))</f>
        <v/>
      </c>
      <c r="R1824" s="1" t="str">
        <f t="shared" si="143"/>
        <v/>
      </c>
      <c r="S1824" s="1" t="str">
        <f t="shared" si="144"/>
        <v/>
      </c>
      <c r="T1824" s="1">
        <f>IF($E1824="",0,SUMPRODUCT((AY_SONU!$O$7:$O$42="Evet")*(AY_SONU!$B$7:$B$42=DATE(YEAR($E1824),MONTH($E1824),1))))</f>
        <v>0</v>
      </c>
    </row>
    <row r="1825" spans="1:20" ht="18" customHeight="1" x14ac:dyDescent="0.3">
      <c r="A1825" s="2"/>
      <c r="B1825" s="65" t="str">
        <f t="shared" si="140"/>
        <v/>
      </c>
      <c r="C1825" s="65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66"/>
      <c r="F1825" s="67"/>
      <c r="G1825" s="60"/>
      <c r="H1825" s="60"/>
      <c r="I1825" s="61"/>
      <c r="J1825" s="61"/>
      <c r="K1825" s="61"/>
      <c r="L1825" s="73" t="str">
        <f t="shared" si="141"/>
        <v/>
      </c>
      <c r="M1825" s="65" t="str">
        <f t="shared" ca="1" si="142"/>
        <v/>
      </c>
      <c r="N1825" s="74" t="str">
        <f>IF($C1825="","",IF($C1825="TANIMSIZ MÜŞTERİ","—",INDEX(MUSTERILER!$C$7:$C$156,MATCH($C1825,MUSTERILER!$B$7:$B$156,0))))</f>
        <v/>
      </c>
      <c r="O1825" s="2"/>
      <c r="P1825" s="2"/>
      <c r="Q1825" s="1" t="str">
        <f>IF($D1825="","",$C1825&amp;"|"&amp;COUNTIFS($C$7:$C1825,$C1825))</f>
        <v/>
      </c>
      <c r="R1825" s="1" t="str">
        <f t="shared" si="143"/>
        <v/>
      </c>
      <c r="S1825" s="1" t="str">
        <f t="shared" si="144"/>
        <v/>
      </c>
      <c r="T1825" s="1">
        <f>IF($E1825="",0,SUMPRODUCT((AY_SONU!$O$7:$O$42="Evet")*(AY_SONU!$B$7:$B$42=DATE(YEAR($E1825),MONTH($E1825),1))))</f>
        <v>0</v>
      </c>
    </row>
    <row r="1826" spans="1:20" ht="18" customHeight="1" x14ac:dyDescent="0.3">
      <c r="A1826" s="2"/>
      <c r="B1826" s="65" t="str">
        <f t="shared" si="140"/>
        <v/>
      </c>
      <c r="C1826" s="65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66"/>
      <c r="F1826" s="67"/>
      <c r="G1826" s="60"/>
      <c r="H1826" s="60"/>
      <c r="I1826" s="61"/>
      <c r="J1826" s="61"/>
      <c r="K1826" s="61"/>
      <c r="L1826" s="73" t="str">
        <f t="shared" si="141"/>
        <v/>
      </c>
      <c r="M1826" s="65" t="str">
        <f t="shared" ca="1" si="142"/>
        <v/>
      </c>
      <c r="N1826" s="74" t="str">
        <f>IF($C1826="","",IF($C1826="TANIMSIZ MÜŞTERİ","—",INDEX(MUSTERILER!$C$7:$C$156,MATCH($C1826,MUSTERILER!$B$7:$B$156,0))))</f>
        <v/>
      </c>
      <c r="O1826" s="2"/>
      <c r="P1826" s="2"/>
      <c r="Q1826" s="1" t="str">
        <f>IF($D1826="","",$C1826&amp;"|"&amp;COUNTIFS($C$7:$C1826,$C1826))</f>
        <v/>
      </c>
      <c r="R1826" s="1" t="str">
        <f t="shared" si="143"/>
        <v/>
      </c>
      <c r="S1826" s="1" t="str">
        <f t="shared" si="144"/>
        <v/>
      </c>
      <c r="T1826" s="1">
        <f>IF($E1826="",0,SUMPRODUCT((AY_SONU!$O$7:$O$42="Evet")*(AY_SONU!$B$7:$B$42=DATE(YEAR($E1826),MONTH($E1826),1))))</f>
        <v>0</v>
      </c>
    </row>
    <row r="1827" spans="1:20" ht="18" customHeight="1" x14ac:dyDescent="0.3">
      <c r="A1827" s="2"/>
      <c r="B1827" s="65" t="str">
        <f t="shared" si="140"/>
        <v/>
      </c>
      <c r="C1827" s="65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66"/>
      <c r="F1827" s="67"/>
      <c r="G1827" s="60"/>
      <c r="H1827" s="60"/>
      <c r="I1827" s="61"/>
      <c r="J1827" s="61"/>
      <c r="K1827" s="61"/>
      <c r="L1827" s="73" t="str">
        <f t="shared" si="141"/>
        <v/>
      </c>
      <c r="M1827" s="65" t="str">
        <f t="shared" ca="1" si="142"/>
        <v/>
      </c>
      <c r="N1827" s="74" t="str">
        <f>IF($C1827="","",IF($C1827="TANIMSIZ MÜŞTERİ","—",INDEX(MUSTERILER!$C$7:$C$156,MATCH($C1827,MUSTERILER!$B$7:$B$156,0))))</f>
        <v/>
      </c>
      <c r="O1827" s="2"/>
      <c r="P1827" s="2"/>
      <c r="Q1827" s="1" t="str">
        <f>IF($D1827="","",$C1827&amp;"|"&amp;COUNTIFS($C$7:$C1827,$C1827))</f>
        <v/>
      </c>
      <c r="R1827" s="1" t="str">
        <f t="shared" si="143"/>
        <v/>
      </c>
      <c r="S1827" s="1" t="str">
        <f t="shared" si="144"/>
        <v/>
      </c>
      <c r="T1827" s="1">
        <f>IF($E1827="",0,SUMPRODUCT((AY_SONU!$O$7:$O$42="Evet")*(AY_SONU!$B$7:$B$42=DATE(YEAR($E1827),MONTH($E1827),1))))</f>
        <v>0</v>
      </c>
    </row>
    <row r="1828" spans="1:20" ht="18" customHeight="1" x14ac:dyDescent="0.3">
      <c r="A1828" s="2"/>
      <c r="B1828" s="65" t="str">
        <f t="shared" si="140"/>
        <v/>
      </c>
      <c r="C1828" s="65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66"/>
      <c r="F1828" s="67"/>
      <c r="G1828" s="60"/>
      <c r="H1828" s="60"/>
      <c r="I1828" s="61"/>
      <c r="J1828" s="61"/>
      <c r="K1828" s="61"/>
      <c r="L1828" s="73" t="str">
        <f t="shared" si="141"/>
        <v/>
      </c>
      <c r="M1828" s="65" t="str">
        <f t="shared" ca="1" si="142"/>
        <v/>
      </c>
      <c r="N1828" s="74" t="str">
        <f>IF($C1828="","",IF($C1828="TANIMSIZ MÜŞTERİ","—",INDEX(MUSTERILER!$C$7:$C$156,MATCH($C1828,MUSTERILER!$B$7:$B$156,0))))</f>
        <v/>
      </c>
      <c r="O1828" s="2"/>
      <c r="P1828" s="2"/>
      <c r="Q1828" s="1" t="str">
        <f>IF($D1828="","",$C1828&amp;"|"&amp;COUNTIFS($C$7:$C1828,$C1828))</f>
        <v/>
      </c>
      <c r="R1828" s="1" t="str">
        <f t="shared" si="143"/>
        <v/>
      </c>
      <c r="S1828" s="1" t="str">
        <f t="shared" si="144"/>
        <v/>
      </c>
      <c r="T1828" s="1">
        <f>IF($E1828="",0,SUMPRODUCT((AY_SONU!$O$7:$O$42="Evet")*(AY_SONU!$B$7:$B$42=DATE(YEAR($E1828),MONTH($E1828),1))))</f>
        <v>0</v>
      </c>
    </row>
    <row r="1829" spans="1:20" ht="18" customHeight="1" x14ac:dyDescent="0.3">
      <c r="A1829" s="2"/>
      <c r="B1829" s="65" t="str">
        <f t="shared" si="140"/>
        <v/>
      </c>
      <c r="C1829" s="65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66"/>
      <c r="F1829" s="67"/>
      <c r="G1829" s="60"/>
      <c r="H1829" s="60"/>
      <c r="I1829" s="61"/>
      <c r="J1829" s="61"/>
      <c r="K1829" s="61"/>
      <c r="L1829" s="73" t="str">
        <f t="shared" si="141"/>
        <v/>
      </c>
      <c r="M1829" s="65" t="str">
        <f t="shared" ca="1" si="142"/>
        <v/>
      </c>
      <c r="N1829" s="74" t="str">
        <f>IF($C1829="","",IF($C1829="TANIMSIZ MÜŞTERİ","—",INDEX(MUSTERILER!$C$7:$C$156,MATCH($C1829,MUSTERILER!$B$7:$B$156,0))))</f>
        <v/>
      </c>
      <c r="O1829" s="2"/>
      <c r="P1829" s="2"/>
      <c r="Q1829" s="1" t="str">
        <f>IF($D1829="","",$C1829&amp;"|"&amp;COUNTIFS($C$7:$C1829,$C1829))</f>
        <v/>
      </c>
      <c r="R1829" s="1" t="str">
        <f t="shared" si="143"/>
        <v/>
      </c>
      <c r="S1829" s="1" t="str">
        <f t="shared" si="144"/>
        <v/>
      </c>
      <c r="T1829" s="1">
        <f>IF($E1829="",0,SUMPRODUCT((AY_SONU!$O$7:$O$42="Evet")*(AY_SONU!$B$7:$B$42=DATE(YEAR($E1829),MONTH($E1829),1))))</f>
        <v>0</v>
      </c>
    </row>
    <row r="1830" spans="1:20" ht="18" customHeight="1" x14ac:dyDescent="0.3">
      <c r="A1830" s="2"/>
      <c r="B1830" s="65" t="str">
        <f t="shared" si="140"/>
        <v/>
      </c>
      <c r="C1830" s="65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66"/>
      <c r="F1830" s="67"/>
      <c r="G1830" s="60"/>
      <c r="H1830" s="60"/>
      <c r="I1830" s="61"/>
      <c r="J1830" s="61"/>
      <c r="K1830" s="61"/>
      <c r="L1830" s="73" t="str">
        <f t="shared" si="141"/>
        <v/>
      </c>
      <c r="M1830" s="65" t="str">
        <f t="shared" ca="1" si="142"/>
        <v/>
      </c>
      <c r="N1830" s="74" t="str">
        <f>IF($C1830="","",IF($C1830="TANIMSIZ MÜŞTERİ","—",INDEX(MUSTERILER!$C$7:$C$156,MATCH($C1830,MUSTERILER!$B$7:$B$156,0))))</f>
        <v/>
      </c>
      <c r="O1830" s="2"/>
      <c r="P1830" s="2"/>
      <c r="Q1830" s="1" t="str">
        <f>IF($D1830="","",$C1830&amp;"|"&amp;COUNTIFS($C$7:$C1830,$C1830))</f>
        <v/>
      </c>
      <c r="R1830" s="1" t="str">
        <f t="shared" si="143"/>
        <v/>
      </c>
      <c r="S1830" s="1" t="str">
        <f t="shared" si="144"/>
        <v/>
      </c>
      <c r="T1830" s="1">
        <f>IF($E1830="",0,SUMPRODUCT((AY_SONU!$O$7:$O$42="Evet")*(AY_SONU!$B$7:$B$42=DATE(YEAR($E1830),MONTH($E1830),1))))</f>
        <v>0</v>
      </c>
    </row>
    <row r="1831" spans="1:20" ht="18" customHeight="1" x14ac:dyDescent="0.3">
      <c r="A1831" s="2"/>
      <c r="B1831" s="65" t="str">
        <f t="shared" si="140"/>
        <v/>
      </c>
      <c r="C1831" s="65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66"/>
      <c r="F1831" s="67"/>
      <c r="G1831" s="60"/>
      <c r="H1831" s="60"/>
      <c r="I1831" s="61"/>
      <c r="J1831" s="61"/>
      <c r="K1831" s="61"/>
      <c r="L1831" s="73" t="str">
        <f t="shared" si="141"/>
        <v/>
      </c>
      <c r="M1831" s="65" t="str">
        <f t="shared" ca="1" si="142"/>
        <v/>
      </c>
      <c r="N1831" s="74" t="str">
        <f>IF($C1831="","",IF($C1831="TANIMSIZ MÜŞTERİ","—",INDEX(MUSTERILER!$C$7:$C$156,MATCH($C1831,MUSTERILER!$B$7:$B$156,0))))</f>
        <v/>
      </c>
      <c r="O1831" s="2"/>
      <c r="P1831" s="2"/>
      <c r="Q1831" s="1" t="str">
        <f>IF($D1831="","",$C1831&amp;"|"&amp;COUNTIFS($C$7:$C1831,$C1831))</f>
        <v/>
      </c>
      <c r="R1831" s="1" t="str">
        <f t="shared" si="143"/>
        <v/>
      </c>
      <c r="S1831" s="1" t="str">
        <f t="shared" si="144"/>
        <v/>
      </c>
      <c r="T1831" s="1">
        <f>IF($E1831="",0,SUMPRODUCT((AY_SONU!$O$7:$O$42="Evet")*(AY_SONU!$B$7:$B$42=DATE(YEAR($E1831),MONTH($E1831),1))))</f>
        <v>0</v>
      </c>
    </row>
    <row r="1832" spans="1:20" ht="18" customHeight="1" x14ac:dyDescent="0.3">
      <c r="A1832" s="2"/>
      <c r="B1832" s="65" t="str">
        <f t="shared" si="140"/>
        <v/>
      </c>
      <c r="C1832" s="65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66"/>
      <c r="F1832" s="67"/>
      <c r="G1832" s="60"/>
      <c r="H1832" s="60"/>
      <c r="I1832" s="61"/>
      <c r="J1832" s="61"/>
      <c r="K1832" s="61"/>
      <c r="L1832" s="73" t="str">
        <f t="shared" si="141"/>
        <v/>
      </c>
      <c r="M1832" s="65" t="str">
        <f t="shared" ca="1" si="142"/>
        <v/>
      </c>
      <c r="N1832" s="74" t="str">
        <f>IF($C1832="","",IF($C1832="TANIMSIZ MÜŞTERİ","—",INDEX(MUSTERILER!$C$7:$C$156,MATCH($C1832,MUSTERILER!$B$7:$B$156,0))))</f>
        <v/>
      </c>
      <c r="O1832" s="2"/>
      <c r="P1832" s="2"/>
      <c r="Q1832" s="1" t="str">
        <f>IF($D1832="","",$C1832&amp;"|"&amp;COUNTIFS($C$7:$C1832,$C1832))</f>
        <v/>
      </c>
      <c r="R1832" s="1" t="str">
        <f t="shared" si="143"/>
        <v/>
      </c>
      <c r="S1832" s="1" t="str">
        <f t="shared" si="144"/>
        <v/>
      </c>
      <c r="T1832" s="1">
        <f>IF($E1832="",0,SUMPRODUCT((AY_SONU!$O$7:$O$42="Evet")*(AY_SONU!$B$7:$B$42=DATE(YEAR($E1832),MONTH($E1832),1))))</f>
        <v>0</v>
      </c>
    </row>
    <row r="1833" spans="1:20" ht="18" customHeight="1" x14ac:dyDescent="0.3">
      <c r="A1833" s="2"/>
      <c r="B1833" s="65" t="str">
        <f t="shared" si="140"/>
        <v/>
      </c>
      <c r="C1833" s="65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66"/>
      <c r="F1833" s="67"/>
      <c r="G1833" s="60"/>
      <c r="H1833" s="60"/>
      <c r="I1833" s="61"/>
      <c r="J1833" s="61"/>
      <c r="K1833" s="61"/>
      <c r="L1833" s="73" t="str">
        <f t="shared" si="141"/>
        <v/>
      </c>
      <c r="M1833" s="65" t="str">
        <f t="shared" ca="1" si="142"/>
        <v/>
      </c>
      <c r="N1833" s="74" t="str">
        <f>IF($C1833="","",IF($C1833="TANIMSIZ MÜŞTERİ","—",INDEX(MUSTERILER!$C$7:$C$156,MATCH($C1833,MUSTERILER!$B$7:$B$156,0))))</f>
        <v/>
      </c>
      <c r="O1833" s="2"/>
      <c r="P1833" s="2"/>
      <c r="Q1833" s="1" t="str">
        <f>IF($D1833="","",$C1833&amp;"|"&amp;COUNTIFS($C$7:$C1833,$C1833))</f>
        <v/>
      </c>
      <c r="R1833" s="1" t="str">
        <f t="shared" si="143"/>
        <v/>
      </c>
      <c r="S1833" s="1" t="str">
        <f t="shared" si="144"/>
        <v/>
      </c>
      <c r="T1833" s="1">
        <f>IF($E1833="",0,SUMPRODUCT((AY_SONU!$O$7:$O$42="Evet")*(AY_SONU!$B$7:$B$42=DATE(YEAR($E1833),MONTH($E1833),1))))</f>
        <v>0</v>
      </c>
    </row>
    <row r="1834" spans="1:20" ht="18" customHeight="1" x14ac:dyDescent="0.3">
      <c r="A1834" s="2"/>
      <c r="B1834" s="65" t="str">
        <f t="shared" si="140"/>
        <v/>
      </c>
      <c r="C1834" s="65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66"/>
      <c r="F1834" s="67"/>
      <c r="G1834" s="60"/>
      <c r="H1834" s="60"/>
      <c r="I1834" s="61"/>
      <c r="J1834" s="61"/>
      <c r="K1834" s="61"/>
      <c r="L1834" s="73" t="str">
        <f t="shared" si="141"/>
        <v/>
      </c>
      <c r="M1834" s="65" t="str">
        <f t="shared" ca="1" si="142"/>
        <v/>
      </c>
      <c r="N1834" s="74" t="str">
        <f>IF($C1834="","",IF($C1834="TANIMSIZ MÜŞTERİ","—",INDEX(MUSTERILER!$C$7:$C$156,MATCH($C1834,MUSTERILER!$B$7:$B$156,0))))</f>
        <v/>
      </c>
      <c r="O1834" s="2"/>
      <c r="P1834" s="2"/>
      <c r="Q1834" s="1" t="str">
        <f>IF($D1834="","",$C1834&amp;"|"&amp;COUNTIFS($C$7:$C1834,$C1834))</f>
        <v/>
      </c>
      <c r="R1834" s="1" t="str">
        <f t="shared" si="143"/>
        <v/>
      </c>
      <c r="S1834" s="1" t="str">
        <f t="shared" si="144"/>
        <v/>
      </c>
      <c r="T1834" s="1">
        <f>IF($E1834="",0,SUMPRODUCT((AY_SONU!$O$7:$O$42="Evet")*(AY_SONU!$B$7:$B$42=DATE(YEAR($E1834),MONTH($E1834),1))))</f>
        <v>0</v>
      </c>
    </row>
    <row r="1835" spans="1:20" ht="18" customHeight="1" x14ac:dyDescent="0.3">
      <c r="A1835" s="2"/>
      <c r="B1835" s="65" t="str">
        <f t="shared" si="140"/>
        <v/>
      </c>
      <c r="C1835" s="65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66"/>
      <c r="F1835" s="67"/>
      <c r="G1835" s="60"/>
      <c r="H1835" s="60"/>
      <c r="I1835" s="61"/>
      <c r="J1835" s="61"/>
      <c r="K1835" s="61"/>
      <c r="L1835" s="73" t="str">
        <f t="shared" si="141"/>
        <v/>
      </c>
      <c r="M1835" s="65" t="str">
        <f t="shared" ca="1" si="142"/>
        <v/>
      </c>
      <c r="N1835" s="74" t="str">
        <f>IF($C1835="","",IF($C1835="TANIMSIZ MÜŞTERİ","—",INDEX(MUSTERILER!$C$7:$C$156,MATCH($C1835,MUSTERILER!$B$7:$B$156,0))))</f>
        <v/>
      </c>
      <c r="O1835" s="2"/>
      <c r="P1835" s="2"/>
      <c r="Q1835" s="1" t="str">
        <f>IF($D1835="","",$C1835&amp;"|"&amp;COUNTIFS($C$7:$C1835,$C1835))</f>
        <v/>
      </c>
      <c r="R1835" s="1" t="str">
        <f t="shared" si="143"/>
        <v/>
      </c>
      <c r="S1835" s="1" t="str">
        <f t="shared" si="144"/>
        <v/>
      </c>
      <c r="T1835" s="1">
        <f>IF($E1835="",0,SUMPRODUCT((AY_SONU!$O$7:$O$42="Evet")*(AY_SONU!$B$7:$B$42=DATE(YEAR($E1835),MONTH($E1835),1))))</f>
        <v>0</v>
      </c>
    </row>
    <row r="1836" spans="1:20" ht="18" customHeight="1" x14ac:dyDescent="0.3">
      <c r="A1836" s="2"/>
      <c r="B1836" s="65" t="str">
        <f t="shared" si="140"/>
        <v/>
      </c>
      <c r="C1836" s="65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66"/>
      <c r="F1836" s="67"/>
      <c r="G1836" s="60"/>
      <c r="H1836" s="60"/>
      <c r="I1836" s="61"/>
      <c r="J1836" s="61"/>
      <c r="K1836" s="61"/>
      <c r="L1836" s="73" t="str">
        <f t="shared" si="141"/>
        <v/>
      </c>
      <c r="M1836" s="65" t="str">
        <f t="shared" ca="1" si="142"/>
        <v/>
      </c>
      <c r="N1836" s="74" t="str">
        <f>IF($C1836="","",IF($C1836="TANIMSIZ MÜŞTERİ","—",INDEX(MUSTERILER!$C$7:$C$156,MATCH($C1836,MUSTERILER!$B$7:$B$156,0))))</f>
        <v/>
      </c>
      <c r="O1836" s="2"/>
      <c r="P1836" s="2"/>
      <c r="Q1836" s="1" t="str">
        <f>IF($D1836="","",$C1836&amp;"|"&amp;COUNTIFS($C$7:$C1836,$C1836))</f>
        <v/>
      </c>
      <c r="R1836" s="1" t="str">
        <f t="shared" si="143"/>
        <v/>
      </c>
      <c r="S1836" s="1" t="str">
        <f t="shared" si="144"/>
        <v/>
      </c>
      <c r="T1836" s="1">
        <f>IF($E1836="",0,SUMPRODUCT((AY_SONU!$O$7:$O$42="Evet")*(AY_SONU!$B$7:$B$42=DATE(YEAR($E1836),MONTH($E1836),1))))</f>
        <v>0</v>
      </c>
    </row>
    <row r="1837" spans="1:20" ht="18" customHeight="1" x14ac:dyDescent="0.3">
      <c r="A1837" s="2"/>
      <c r="B1837" s="65" t="str">
        <f t="shared" si="140"/>
        <v/>
      </c>
      <c r="C1837" s="65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66"/>
      <c r="F1837" s="67"/>
      <c r="G1837" s="60"/>
      <c r="H1837" s="60"/>
      <c r="I1837" s="61"/>
      <c r="J1837" s="61"/>
      <c r="K1837" s="61"/>
      <c r="L1837" s="73" t="str">
        <f t="shared" si="141"/>
        <v/>
      </c>
      <c r="M1837" s="65" t="str">
        <f t="shared" ca="1" si="142"/>
        <v/>
      </c>
      <c r="N1837" s="74" t="str">
        <f>IF($C1837="","",IF($C1837="TANIMSIZ MÜŞTERİ","—",INDEX(MUSTERILER!$C$7:$C$156,MATCH($C1837,MUSTERILER!$B$7:$B$156,0))))</f>
        <v/>
      </c>
      <c r="O1837" s="2"/>
      <c r="P1837" s="2"/>
      <c r="Q1837" s="1" t="str">
        <f>IF($D1837="","",$C1837&amp;"|"&amp;COUNTIFS($C$7:$C1837,$C1837))</f>
        <v/>
      </c>
      <c r="R1837" s="1" t="str">
        <f t="shared" si="143"/>
        <v/>
      </c>
      <c r="S1837" s="1" t="str">
        <f t="shared" si="144"/>
        <v/>
      </c>
      <c r="T1837" s="1">
        <f>IF($E1837="",0,SUMPRODUCT((AY_SONU!$O$7:$O$42="Evet")*(AY_SONU!$B$7:$B$42=DATE(YEAR($E1837),MONTH($E1837),1))))</f>
        <v>0</v>
      </c>
    </row>
    <row r="1838" spans="1:20" ht="18" customHeight="1" x14ac:dyDescent="0.3">
      <c r="A1838" s="2"/>
      <c r="B1838" s="65" t="str">
        <f t="shared" si="140"/>
        <v/>
      </c>
      <c r="C1838" s="65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66"/>
      <c r="F1838" s="67"/>
      <c r="G1838" s="60"/>
      <c r="H1838" s="60"/>
      <c r="I1838" s="61"/>
      <c r="J1838" s="61"/>
      <c r="K1838" s="61"/>
      <c r="L1838" s="73" t="str">
        <f t="shared" si="141"/>
        <v/>
      </c>
      <c r="M1838" s="65" t="str">
        <f t="shared" ca="1" si="142"/>
        <v/>
      </c>
      <c r="N1838" s="74" t="str">
        <f>IF($C1838="","",IF($C1838="TANIMSIZ MÜŞTERİ","—",INDEX(MUSTERILER!$C$7:$C$156,MATCH($C1838,MUSTERILER!$B$7:$B$156,0))))</f>
        <v/>
      </c>
      <c r="O1838" s="2"/>
      <c r="P1838" s="2"/>
      <c r="Q1838" s="1" t="str">
        <f>IF($D1838="","",$C1838&amp;"|"&amp;COUNTIFS($C$7:$C1838,$C1838))</f>
        <v/>
      </c>
      <c r="R1838" s="1" t="str">
        <f t="shared" si="143"/>
        <v/>
      </c>
      <c r="S1838" s="1" t="str">
        <f t="shared" si="144"/>
        <v/>
      </c>
      <c r="T1838" s="1">
        <f>IF($E1838="",0,SUMPRODUCT((AY_SONU!$O$7:$O$42="Evet")*(AY_SONU!$B$7:$B$42=DATE(YEAR($E1838),MONTH($E1838),1))))</f>
        <v>0</v>
      </c>
    </row>
    <row r="1839" spans="1:20" ht="18" customHeight="1" x14ac:dyDescent="0.3">
      <c r="A1839" s="2"/>
      <c r="B1839" s="65" t="str">
        <f t="shared" si="140"/>
        <v/>
      </c>
      <c r="C1839" s="65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66"/>
      <c r="F1839" s="67"/>
      <c r="G1839" s="60"/>
      <c r="H1839" s="60"/>
      <c r="I1839" s="61"/>
      <c r="J1839" s="61"/>
      <c r="K1839" s="61"/>
      <c r="L1839" s="73" t="str">
        <f t="shared" si="141"/>
        <v/>
      </c>
      <c r="M1839" s="65" t="str">
        <f t="shared" ca="1" si="142"/>
        <v/>
      </c>
      <c r="N1839" s="74" t="str">
        <f>IF($C1839="","",IF($C1839="TANIMSIZ MÜŞTERİ","—",INDEX(MUSTERILER!$C$7:$C$156,MATCH($C1839,MUSTERILER!$B$7:$B$156,0))))</f>
        <v/>
      </c>
      <c r="O1839" s="2"/>
      <c r="P1839" s="2"/>
      <c r="Q1839" s="1" t="str">
        <f>IF($D1839="","",$C1839&amp;"|"&amp;COUNTIFS($C$7:$C1839,$C1839))</f>
        <v/>
      </c>
      <c r="R1839" s="1" t="str">
        <f t="shared" si="143"/>
        <v/>
      </c>
      <c r="S1839" s="1" t="str">
        <f t="shared" si="144"/>
        <v/>
      </c>
      <c r="T1839" s="1">
        <f>IF($E1839="",0,SUMPRODUCT((AY_SONU!$O$7:$O$42="Evet")*(AY_SONU!$B$7:$B$42=DATE(YEAR($E1839),MONTH($E1839),1))))</f>
        <v>0</v>
      </c>
    </row>
    <row r="1840" spans="1:20" ht="18" customHeight="1" x14ac:dyDescent="0.3">
      <c r="A1840" s="2"/>
      <c r="B1840" s="65" t="str">
        <f t="shared" si="140"/>
        <v/>
      </c>
      <c r="C1840" s="65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66"/>
      <c r="F1840" s="67"/>
      <c r="G1840" s="60"/>
      <c r="H1840" s="60"/>
      <c r="I1840" s="61"/>
      <c r="J1840" s="61"/>
      <c r="K1840" s="61"/>
      <c r="L1840" s="73" t="str">
        <f t="shared" si="141"/>
        <v/>
      </c>
      <c r="M1840" s="65" t="str">
        <f t="shared" ca="1" si="142"/>
        <v/>
      </c>
      <c r="N1840" s="74" t="str">
        <f>IF($C1840="","",IF($C1840="TANIMSIZ MÜŞTERİ","—",INDEX(MUSTERILER!$C$7:$C$156,MATCH($C1840,MUSTERILER!$B$7:$B$156,0))))</f>
        <v/>
      </c>
      <c r="O1840" s="2"/>
      <c r="P1840" s="2"/>
      <c r="Q1840" s="1" t="str">
        <f>IF($D1840="","",$C1840&amp;"|"&amp;COUNTIFS($C$7:$C1840,$C1840))</f>
        <v/>
      </c>
      <c r="R1840" s="1" t="str">
        <f t="shared" si="143"/>
        <v/>
      </c>
      <c r="S1840" s="1" t="str">
        <f t="shared" si="144"/>
        <v/>
      </c>
      <c r="T1840" s="1">
        <f>IF($E1840="",0,SUMPRODUCT((AY_SONU!$O$7:$O$42="Evet")*(AY_SONU!$B$7:$B$42=DATE(YEAR($E1840),MONTH($E1840),1))))</f>
        <v>0</v>
      </c>
    </row>
    <row r="1841" spans="1:20" ht="18" customHeight="1" x14ac:dyDescent="0.3">
      <c r="A1841" s="2"/>
      <c r="B1841" s="65" t="str">
        <f t="shared" si="140"/>
        <v/>
      </c>
      <c r="C1841" s="65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66"/>
      <c r="F1841" s="67"/>
      <c r="G1841" s="60"/>
      <c r="H1841" s="60"/>
      <c r="I1841" s="61"/>
      <c r="J1841" s="61"/>
      <c r="K1841" s="61"/>
      <c r="L1841" s="73" t="str">
        <f t="shared" si="141"/>
        <v/>
      </c>
      <c r="M1841" s="65" t="str">
        <f t="shared" ca="1" si="142"/>
        <v/>
      </c>
      <c r="N1841" s="74" t="str">
        <f>IF($C1841="","",IF($C1841="TANIMSIZ MÜŞTERİ","—",INDEX(MUSTERILER!$C$7:$C$156,MATCH($C1841,MUSTERILER!$B$7:$B$156,0))))</f>
        <v/>
      </c>
      <c r="O1841" s="2"/>
      <c r="P1841" s="2"/>
      <c r="Q1841" s="1" t="str">
        <f>IF($D1841="","",$C1841&amp;"|"&amp;COUNTIFS($C$7:$C1841,$C1841))</f>
        <v/>
      </c>
      <c r="R1841" s="1" t="str">
        <f t="shared" si="143"/>
        <v/>
      </c>
      <c r="S1841" s="1" t="str">
        <f t="shared" si="144"/>
        <v/>
      </c>
      <c r="T1841" s="1">
        <f>IF($E1841="",0,SUMPRODUCT((AY_SONU!$O$7:$O$42="Evet")*(AY_SONU!$B$7:$B$42=DATE(YEAR($E1841),MONTH($E1841),1))))</f>
        <v>0</v>
      </c>
    </row>
    <row r="1842" spans="1:20" ht="18" customHeight="1" x14ac:dyDescent="0.3">
      <c r="A1842" s="2"/>
      <c r="B1842" s="65" t="str">
        <f t="shared" si="140"/>
        <v/>
      </c>
      <c r="C1842" s="65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66"/>
      <c r="F1842" s="67"/>
      <c r="G1842" s="60"/>
      <c r="H1842" s="60"/>
      <c r="I1842" s="61"/>
      <c r="J1842" s="61"/>
      <c r="K1842" s="61"/>
      <c r="L1842" s="73" t="str">
        <f t="shared" si="141"/>
        <v/>
      </c>
      <c r="M1842" s="65" t="str">
        <f t="shared" ca="1" si="142"/>
        <v/>
      </c>
      <c r="N1842" s="74" t="str">
        <f>IF($C1842="","",IF($C1842="TANIMSIZ MÜŞTERİ","—",INDEX(MUSTERILER!$C$7:$C$156,MATCH($C1842,MUSTERILER!$B$7:$B$156,0))))</f>
        <v/>
      </c>
      <c r="O1842" s="2"/>
      <c r="P1842" s="2"/>
      <c r="Q1842" s="1" t="str">
        <f>IF($D1842="","",$C1842&amp;"|"&amp;COUNTIFS($C$7:$C1842,$C1842))</f>
        <v/>
      </c>
      <c r="R1842" s="1" t="str">
        <f t="shared" si="143"/>
        <v/>
      </c>
      <c r="S1842" s="1" t="str">
        <f t="shared" si="144"/>
        <v/>
      </c>
      <c r="T1842" s="1">
        <f>IF($E1842="",0,SUMPRODUCT((AY_SONU!$O$7:$O$42="Evet")*(AY_SONU!$B$7:$B$42=DATE(YEAR($E1842),MONTH($E1842),1))))</f>
        <v>0</v>
      </c>
    </row>
    <row r="1843" spans="1:20" ht="18" customHeight="1" x14ac:dyDescent="0.3">
      <c r="A1843" s="2"/>
      <c r="B1843" s="65" t="str">
        <f t="shared" si="140"/>
        <v/>
      </c>
      <c r="C1843" s="65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66"/>
      <c r="F1843" s="67"/>
      <c r="G1843" s="60"/>
      <c r="H1843" s="60"/>
      <c r="I1843" s="61"/>
      <c r="J1843" s="61"/>
      <c r="K1843" s="61"/>
      <c r="L1843" s="73" t="str">
        <f t="shared" si="141"/>
        <v/>
      </c>
      <c r="M1843" s="65" t="str">
        <f t="shared" ca="1" si="142"/>
        <v/>
      </c>
      <c r="N1843" s="74" t="str">
        <f>IF($C1843="","",IF($C1843="TANIMSIZ MÜŞTERİ","—",INDEX(MUSTERILER!$C$7:$C$156,MATCH($C1843,MUSTERILER!$B$7:$B$156,0))))</f>
        <v/>
      </c>
      <c r="O1843" s="2"/>
      <c r="P1843" s="2"/>
      <c r="Q1843" s="1" t="str">
        <f>IF($D1843="","",$C1843&amp;"|"&amp;COUNTIFS($C$7:$C1843,$C1843))</f>
        <v/>
      </c>
      <c r="R1843" s="1" t="str">
        <f t="shared" si="143"/>
        <v/>
      </c>
      <c r="S1843" s="1" t="str">
        <f t="shared" si="144"/>
        <v/>
      </c>
      <c r="T1843" s="1">
        <f>IF($E1843="",0,SUMPRODUCT((AY_SONU!$O$7:$O$42="Evet")*(AY_SONU!$B$7:$B$42=DATE(YEAR($E1843),MONTH($E1843),1))))</f>
        <v>0</v>
      </c>
    </row>
    <row r="1844" spans="1:20" ht="18" customHeight="1" x14ac:dyDescent="0.3">
      <c r="A1844" s="2"/>
      <c r="B1844" s="65" t="str">
        <f t="shared" si="140"/>
        <v/>
      </c>
      <c r="C1844" s="65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66"/>
      <c r="F1844" s="67"/>
      <c r="G1844" s="60"/>
      <c r="H1844" s="60"/>
      <c r="I1844" s="61"/>
      <c r="J1844" s="61"/>
      <c r="K1844" s="61"/>
      <c r="L1844" s="73" t="str">
        <f t="shared" si="141"/>
        <v/>
      </c>
      <c r="M1844" s="65" t="str">
        <f t="shared" ca="1" si="142"/>
        <v/>
      </c>
      <c r="N1844" s="74" t="str">
        <f>IF($C1844="","",IF($C1844="TANIMSIZ MÜŞTERİ","—",INDEX(MUSTERILER!$C$7:$C$156,MATCH($C1844,MUSTERILER!$B$7:$B$156,0))))</f>
        <v/>
      </c>
      <c r="O1844" s="2"/>
      <c r="P1844" s="2"/>
      <c r="Q1844" s="1" t="str">
        <f>IF($D1844="","",$C1844&amp;"|"&amp;COUNTIFS($C$7:$C1844,$C1844))</f>
        <v/>
      </c>
      <c r="R1844" s="1" t="str">
        <f t="shared" si="143"/>
        <v/>
      </c>
      <c r="S1844" s="1" t="str">
        <f t="shared" si="144"/>
        <v/>
      </c>
      <c r="T1844" s="1">
        <f>IF($E1844="",0,SUMPRODUCT((AY_SONU!$O$7:$O$42="Evet")*(AY_SONU!$B$7:$B$42=DATE(YEAR($E1844),MONTH($E1844),1))))</f>
        <v>0</v>
      </c>
    </row>
    <row r="1845" spans="1:20" ht="18" customHeight="1" x14ac:dyDescent="0.3">
      <c r="A1845" s="2"/>
      <c r="B1845" s="65" t="str">
        <f t="shared" si="140"/>
        <v/>
      </c>
      <c r="C1845" s="65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66"/>
      <c r="F1845" s="67"/>
      <c r="G1845" s="60"/>
      <c r="H1845" s="60"/>
      <c r="I1845" s="61"/>
      <c r="J1845" s="61"/>
      <c r="K1845" s="61"/>
      <c r="L1845" s="73" t="str">
        <f t="shared" si="141"/>
        <v/>
      </c>
      <c r="M1845" s="65" t="str">
        <f t="shared" ca="1" si="142"/>
        <v/>
      </c>
      <c r="N1845" s="74" t="str">
        <f>IF($C1845="","",IF($C1845="TANIMSIZ MÜŞTERİ","—",INDEX(MUSTERILER!$C$7:$C$156,MATCH($C1845,MUSTERILER!$B$7:$B$156,0))))</f>
        <v/>
      </c>
      <c r="O1845" s="2"/>
      <c r="P1845" s="2"/>
      <c r="Q1845" s="1" t="str">
        <f>IF($D1845="","",$C1845&amp;"|"&amp;COUNTIFS($C$7:$C1845,$C1845))</f>
        <v/>
      </c>
      <c r="R1845" s="1" t="str">
        <f t="shared" si="143"/>
        <v/>
      </c>
      <c r="S1845" s="1" t="str">
        <f t="shared" si="144"/>
        <v/>
      </c>
      <c r="T1845" s="1">
        <f>IF($E1845="",0,SUMPRODUCT((AY_SONU!$O$7:$O$42="Evet")*(AY_SONU!$B$7:$B$42=DATE(YEAR($E1845),MONTH($E1845),1))))</f>
        <v>0</v>
      </c>
    </row>
    <row r="1846" spans="1:20" ht="18" customHeight="1" x14ac:dyDescent="0.3">
      <c r="A1846" s="2"/>
      <c r="B1846" s="65" t="str">
        <f t="shared" si="140"/>
        <v/>
      </c>
      <c r="C1846" s="65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66"/>
      <c r="F1846" s="67"/>
      <c r="G1846" s="60"/>
      <c r="H1846" s="60"/>
      <c r="I1846" s="61"/>
      <c r="J1846" s="61"/>
      <c r="K1846" s="61"/>
      <c r="L1846" s="73" t="str">
        <f t="shared" si="141"/>
        <v/>
      </c>
      <c r="M1846" s="65" t="str">
        <f t="shared" ca="1" si="142"/>
        <v/>
      </c>
      <c r="N1846" s="74" t="str">
        <f>IF($C1846="","",IF($C1846="TANIMSIZ MÜŞTERİ","—",INDEX(MUSTERILER!$C$7:$C$156,MATCH($C1846,MUSTERILER!$B$7:$B$156,0))))</f>
        <v/>
      </c>
      <c r="O1846" s="2"/>
      <c r="P1846" s="2"/>
      <c r="Q1846" s="1" t="str">
        <f>IF($D1846="","",$C1846&amp;"|"&amp;COUNTIFS($C$7:$C1846,$C1846))</f>
        <v/>
      </c>
      <c r="R1846" s="1" t="str">
        <f t="shared" si="143"/>
        <v/>
      </c>
      <c r="S1846" s="1" t="str">
        <f t="shared" si="144"/>
        <v/>
      </c>
      <c r="T1846" s="1">
        <f>IF($E1846="",0,SUMPRODUCT((AY_SONU!$O$7:$O$42="Evet")*(AY_SONU!$B$7:$B$42=DATE(YEAR($E1846),MONTH($E1846),1))))</f>
        <v>0</v>
      </c>
    </row>
    <row r="1847" spans="1:20" ht="18" customHeight="1" x14ac:dyDescent="0.3">
      <c r="A1847" s="2"/>
      <c r="B1847" s="65" t="str">
        <f t="shared" si="140"/>
        <v/>
      </c>
      <c r="C1847" s="65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66"/>
      <c r="F1847" s="67"/>
      <c r="G1847" s="60"/>
      <c r="H1847" s="60"/>
      <c r="I1847" s="61"/>
      <c r="J1847" s="61"/>
      <c r="K1847" s="61"/>
      <c r="L1847" s="73" t="str">
        <f t="shared" si="141"/>
        <v/>
      </c>
      <c r="M1847" s="65" t="str">
        <f t="shared" ca="1" si="142"/>
        <v/>
      </c>
      <c r="N1847" s="74" t="str">
        <f>IF($C1847="","",IF($C1847="TANIMSIZ MÜŞTERİ","—",INDEX(MUSTERILER!$C$7:$C$156,MATCH($C1847,MUSTERILER!$B$7:$B$156,0))))</f>
        <v/>
      </c>
      <c r="O1847" s="2"/>
      <c r="P1847" s="2"/>
      <c r="Q1847" s="1" t="str">
        <f>IF($D1847="","",$C1847&amp;"|"&amp;COUNTIFS($C$7:$C1847,$C1847))</f>
        <v/>
      </c>
      <c r="R1847" s="1" t="str">
        <f t="shared" si="143"/>
        <v/>
      </c>
      <c r="S1847" s="1" t="str">
        <f t="shared" si="144"/>
        <v/>
      </c>
      <c r="T1847" s="1">
        <f>IF($E1847="",0,SUMPRODUCT((AY_SONU!$O$7:$O$42="Evet")*(AY_SONU!$B$7:$B$42=DATE(YEAR($E1847),MONTH($E1847),1))))</f>
        <v>0</v>
      </c>
    </row>
    <row r="1848" spans="1:20" ht="18" customHeight="1" x14ac:dyDescent="0.3">
      <c r="A1848" s="2"/>
      <c r="B1848" s="65" t="str">
        <f t="shared" si="140"/>
        <v/>
      </c>
      <c r="C1848" s="65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66"/>
      <c r="F1848" s="67"/>
      <c r="G1848" s="60"/>
      <c r="H1848" s="60"/>
      <c r="I1848" s="61"/>
      <c r="J1848" s="61"/>
      <c r="K1848" s="61"/>
      <c r="L1848" s="73" t="str">
        <f t="shared" si="141"/>
        <v/>
      </c>
      <c r="M1848" s="65" t="str">
        <f t="shared" ca="1" si="142"/>
        <v/>
      </c>
      <c r="N1848" s="74" t="str">
        <f>IF($C1848="","",IF($C1848="TANIMSIZ MÜŞTERİ","—",INDEX(MUSTERILER!$C$7:$C$156,MATCH($C1848,MUSTERILER!$B$7:$B$156,0))))</f>
        <v/>
      </c>
      <c r="O1848" s="2"/>
      <c r="P1848" s="2"/>
      <c r="Q1848" s="1" t="str">
        <f>IF($D1848="","",$C1848&amp;"|"&amp;COUNTIFS($C$7:$C1848,$C1848))</f>
        <v/>
      </c>
      <c r="R1848" s="1" t="str">
        <f t="shared" si="143"/>
        <v/>
      </c>
      <c r="S1848" s="1" t="str">
        <f t="shared" si="144"/>
        <v/>
      </c>
      <c r="T1848" s="1">
        <f>IF($E1848="",0,SUMPRODUCT((AY_SONU!$O$7:$O$42="Evet")*(AY_SONU!$B$7:$B$42=DATE(YEAR($E1848),MONTH($E1848),1))))</f>
        <v>0</v>
      </c>
    </row>
    <row r="1849" spans="1:20" ht="18" customHeight="1" x14ac:dyDescent="0.3">
      <c r="A1849" s="2"/>
      <c r="B1849" s="65" t="str">
        <f t="shared" si="140"/>
        <v/>
      </c>
      <c r="C1849" s="65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66"/>
      <c r="F1849" s="67"/>
      <c r="G1849" s="60"/>
      <c r="H1849" s="60"/>
      <c r="I1849" s="61"/>
      <c r="J1849" s="61"/>
      <c r="K1849" s="61"/>
      <c r="L1849" s="73" t="str">
        <f t="shared" si="141"/>
        <v/>
      </c>
      <c r="M1849" s="65" t="str">
        <f t="shared" ca="1" si="142"/>
        <v/>
      </c>
      <c r="N1849" s="74" t="str">
        <f>IF($C1849="","",IF($C1849="TANIMSIZ MÜŞTERİ","—",INDEX(MUSTERILER!$C$7:$C$156,MATCH($C1849,MUSTERILER!$B$7:$B$156,0))))</f>
        <v/>
      </c>
      <c r="O1849" s="2"/>
      <c r="P1849" s="2"/>
      <c r="Q1849" s="1" t="str">
        <f>IF($D1849="","",$C1849&amp;"|"&amp;COUNTIFS($C$7:$C1849,$C1849))</f>
        <v/>
      </c>
      <c r="R1849" s="1" t="str">
        <f t="shared" si="143"/>
        <v/>
      </c>
      <c r="S1849" s="1" t="str">
        <f t="shared" si="144"/>
        <v/>
      </c>
      <c r="T1849" s="1">
        <f>IF($E1849="",0,SUMPRODUCT((AY_SONU!$O$7:$O$42="Evet")*(AY_SONU!$B$7:$B$42=DATE(YEAR($E1849),MONTH($E1849),1))))</f>
        <v>0</v>
      </c>
    </row>
    <row r="1850" spans="1:20" ht="18" customHeight="1" x14ac:dyDescent="0.3">
      <c r="A1850" s="2"/>
      <c r="B1850" s="65" t="str">
        <f t="shared" si="140"/>
        <v/>
      </c>
      <c r="C1850" s="65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66"/>
      <c r="F1850" s="67"/>
      <c r="G1850" s="60"/>
      <c r="H1850" s="60"/>
      <c r="I1850" s="61"/>
      <c r="J1850" s="61"/>
      <c r="K1850" s="61"/>
      <c r="L1850" s="73" t="str">
        <f t="shared" si="141"/>
        <v/>
      </c>
      <c r="M1850" s="65" t="str">
        <f t="shared" ca="1" si="142"/>
        <v/>
      </c>
      <c r="N1850" s="74" t="str">
        <f>IF($C1850="","",IF($C1850="TANIMSIZ MÜŞTERİ","—",INDEX(MUSTERILER!$C$7:$C$156,MATCH($C1850,MUSTERILER!$B$7:$B$156,0))))</f>
        <v/>
      </c>
      <c r="O1850" s="2"/>
      <c r="P1850" s="2"/>
      <c r="Q1850" s="1" t="str">
        <f>IF($D1850="","",$C1850&amp;"|"&amp;COUNTIFS($C$7:$C1850,$C1850))</f>
        <v/>
      </c>
      <c r="R1850" s="1" t="str">
        <f t="shared" si="143"/>
        <v/>
      </c>
      <c r="S1850" s="1" t="str">
        <f t="shared" si="144"/>
        <v/>
      </c>
      <c r="T1850" s="1">
        <f>IF($E1850="",0,SUMPRODUCT((AY_SONU!$O$7:$O$42="Evet")*(AY_SONU!$B$7:$B$42=DATE(YEAR($E1850),MONTH($E1850),1))))</f>
        <v>0</v>
      </c>
    </row>
    <row r="1851" spans="1:20" ht="18" customHeight="1" x14ac:dyDescent="0.3">
      <c r="A1851" s="2"/>
      <c r="B1851" s="65" t="str">
        <f t="shared" si="140"/>
        <v/>
      </c>
      <c r="C1851" s="65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66"/>
      <c r="F1851" s="67"/>
      <c r="G1851" s="60"/>
      <c r="H1851" s="60"/>
      <c r="I1851" s="61"/>
      <c r="J1851" s="61"/>
      <c r="K1851" s="61"/>
      <c r="L1851" s="73" t="str">
        <f t="shared" si="141"/>
        <v/>
      </c>
      <c r="M1851" s="65" t="str">
        <f t="shared" ca="1" si="142"/>
        <v/>
      </c>
      <c r="N1851" s="74" t="str">
        <f>IF($C1851="","",IF($C1851="TANIMSIZ MÜŞTERİ","—",INDEX(MUSTERILER!$C$7:$C$156,MATCH($C1851,MUSTERILER!$B$7:$B$156,0))))</f>
        <v/>
      </c>
      <c r="O1851" s="2"/>
      <c r="P1851" s="2"/>
      <c r="Q1851" s="1" t="str">
        <f>IF($D1851="","",$C1851&amp;"|"&amp;COUNTIFS($C$7:$C1851,$C1851))</f>
        <v/>
      </c>
      <c r="R1851" s="1" t="str">
        <f t="shared" si="143"/>
        <v/>
      </c>
      <c r="S1851" s="1" t="str">
        <f t="shared" si="144"/>
        <v/>
      </c>
      <c r="T1851" s="1">
        <f>IF($E1851="",0,SUMPRODUCT((AY_SONU!$O$7:$O$42="Evet")*(AY_SONU!$B$7:$B$42=DATE(YEAR($E1851),MONTH($E1851),1))))</f>
        <v>0</v>
      </c>
    </row>
    <row r="1852" spans="1:20" ht="18" customHeight="1" x14ac:dyDescent="0.3">
      <c r="A1852" s="2"/>
      <c r="B1852" s="65" t="str">
        <f t="shared" si="140"/>
        <v/>
      </c>
      <c r="C1852" s="65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66"/>
      <c r="F1852" s="67"/>
      <c r="G1852" s="60"/>
      <c r="H1852" s="60"/>
      <c r="I1852" s="61"/>
      <c r="J1852" s="61"/>
      <c r="K1852" s="61"/>
      <c r="L1852" s="73" t="str">
        <f t="shared" si="141"/>
        <v/>
      </c>
      <c r="M1852" s="65" t="str">
        <f t="shared" ca="1" si="142"/>
        <v/>
      </c>
      <c r="N1852" s="74" t="str">
        <f>IF($C1852="","",IF($C1852="TANIMSIZ MÜŞTERİ","—",INDEX(MUSTERILER!$C$7:$C$156,MATCH($C1852,MUSTERILER!$B$7:$B$156,0))))</f>
        <v/>
      </c>
      <c r="O1852" s="2"/>
      <c r="P1852" s="2"/>
      <c r="Q1852" s="1" t="str">
        <f>IF($D1852="","",$C1852&amp;"|"&amp;COUNTIFS($C$7:$C1852,$C1852))</f>
        <v/>
      </c>
      <c r="R1852" s="1" t="str">
        <f t="shared" si="143"/>
        <v/>
      </c>
      <c r="S1852" s="1" t="str">
        <f t="shared" si="144"/>
        <v/>
      </c>
      <c r="T1852" s="1">
        <f>IF($E1852="",0,SUMPRODUCT((AY_SONU!$O$7:$O$42="Evet")*(AY_SONU!$B$7:$B$42=DATE(YEAR($E1852),MONTH($E1852),1))))</f>
        <v>0</v>
      </c>
    </row>
    <row r="1853" spans="1:20" ht="18" customHeight="1" x14ac:dyDescent="0.3">
      <c r="A1853" s="2"/>
      <c r="B1853" s="65" t="str">
        <f t="shared" si="140"/>
        <v/>
      </c>
      <c r="C1853" s="65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66"/>
      <c r="F1853" s="67"/>
      <c r="G1853" s="60"/>
      <c r="H1853" s="60"/>
      <c r="I1853" s="61"/>
      <c r="J1853" s="61"/>
      <c r="K1853" s="61"/>
      <c r="L1853" s="73" t="str">
        <f t="shared" si="141"/>
        <v/>
      </c>
      <c r="M1853" s="65" t="str">
        <f t="shared" ca="1" si="142"/>
        <v/>
      </c>
      <c r="N1853" s="74" t="str">
        <f>IF($C1853="","",IF($C1853="TANIMSIZ MÜŞTERİ","—",INDEX(MUSTERILER!$C$7:$C$156,MATCH($C1853,MUSTERILER!$B$7:$B$156,0))))</f>
        <v/>
      </c>
      <c r="O1853" s="2"/>
      <c r="P1853" s="2"/>
      <c r="Q1853" s="1" t="str">
        <f>IF($D1853="","",$C1853&amp;"|"&amp;COUNTIFS($C$7:$C1853,$C1853))</f>
        <v/>
      </c>
      <c r="R1853" s="1" t="str">
        <f t="shared" si="143"/>
        <v/>
      </c>
      <c r="S1853" s="1" t="str">
        <f t="shared" si="144"/>
        <v/>
      </c>
      <c r="T1853" s="1">
        <f>IF($E1853="",0,SUMPRODUCT((AY_SONU!$O$7:$O$42="Evet")*(AY_SONU!$B$7:$B$42=DATE(YEAR($E1853),MONTH($E1853),1))))</f>
        <v>0</v>
      </c>
    </row>
    <row r="1854" spans="1:20" ht="18" customHeight="1" x14ac:dyDescent="0.3">
      <c r="A1854" s="2"/>
      <c r="B1854" s="65" t="str">
        <f t="shared" si="140"/>
        <v/>
      </c>
      <c r="C1854" s="65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66"/>
      <c r="F1854" s="67"/>
      <c r="G1854" s="60"/>
      <c r="H1854" s="60"/>
      <c r="I1854" s="61"/>
      <c r="J1854" s="61"/>
      <c r="K1854" s="61"/>
      <c r="L1854" s="73" t="str">
        <f t="shared" si="141"/>
        <v/>
      </c>
      <c r="M1854" s="65" t="str">
        <f t="shared" ca="1" si="142"/>
        <v/>
      </c>
      <c r="N1854" s="74" t="str">
        <f>IF($C1854="","",IF($C1854="TANIMSIZ MÜŞTERİ","—",INDEX(MUSTERILER!$C$7:$C$156,MATCH($C1854,MUSTERILER!$B$7:$B$156,0))))</f>
        <v/>
      </c>
      <c r="O1854" s="2"/>
      <c r="P1854" s="2"/>
      <c r="Q1854" s="1" t="str">
        <f>IF($D1854="","",$C1854&amp;"|"&amp;COUNTIFS($C$7:$C1854,$C1854))</f>
        <v/>
      </c>
      <c r="R1854" s="1" t="str">
        <f t="shared" si="143"/>
        <v/>
      </c>
      <c r="S1854" s="1" t="str">
        <f t="shared" si="144"/>
        <v/>
      </c>
      <c r="T1854" s="1">
        <f>IF($E1854="",0,SUMPRODUCT((AY_SONU!$O$7:$O$42="Evet")*(AY_SONU!$B$7:$B$42=DATE(YEAR($E1854),MONTH($E1854),1))))</f>
        <v>0</v>
      </c>
    </row>
    <row r="1855" spans="1:20" ht="18" customHeight="1" x14ac:dyDescent="0.3">
      <c r="A1855" s="2"/>
      <c r="B1855" s="65" t="str">
        <f t="shared" si="140"/>
        <v/>
      </c>
      <c r="C1855" s="65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66"/>
      <c r="F1855" s="67"/>
      <c r="G1855" s="60"/>
      <c r="H1855" s="60"/>
      <c r="I1855" s="61"/>
      <c r="J1855" s="61"/>
      <c r="K1855" s="61"/>
      <c r="L1855" s="73" t="str">
        <f t="shared" si="141"/>
        <v/>
      </c>
      <c r="M1855" s="65" t="str">
        <f t="shared" ca="1" si="142"/>
        <v/>
      </c>
      <c r="N1855" s="74" t="str">
        <f>IF($C1855="","",IF($C1855="TANIMSIZ MÜŞTERİ","—",INDEX(MUSTERILER!$C$7:$C$156,MATCH($C1855,MUSTERILER!$B$7:$B$156,0))))</f>
        <v/>
      </c>
      <c r="O1855" s="2"/>
      <c r="P1855" s="2"/>
      <c r="Q1855" s="1" t="str">
        <f>IF($D1855="","",$C1855&amp;"|"&amp;COUNTIFS($C$7:$C1855,$C1855))</f>
        <v/>
      </c>
      <c r="R1855" s="1" t="str">
        <f t="shared" si="143"/>
        <v/>
      </c>
      <c r="S1855" s="1" t="str">
        <f t="shared" si="144"/>
        <v/>
      </c>
      <c r="T1855" s="1">
        <f>IF($E1855="",0,SUMPRODUCT((AY_SONU!$O$7:$O$42="Evet")*(AY_SONU!$B$7:$B$42=DATE(YEAR($E1855),MONTH($E1855),1))))</f>
        <v>0</v>
      </c>
    </row>
    <row r="1856" spans="1:20" ht="18" customHeight="1" x14ac:dyDescent="0.3">
      <c r="A1856" s="2"/>
      <c r="B1856" s="65" t="str">
        <f t="shared" si="140"/>
        <v/>
      </c>
      <c r="C1856" s="65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66"/>
      <c r="F1856" s="67"/>
      <c r="G1856" s="60"/>
      <c r="H1856" s="60"/>
      <c r="I1856" s="61"/>
      <c r="J1856" s="61"/>
      <c r="K1856" s="61"/>
      <c r="L1856" s="73" t="str">
        <f t="shared" si="141"/>
        <v/>
      </c>
      <c r="M1856" s="65" t="str">
        <f t="shared" ca="1" si="142"/>
        <v/>
      </c>
      <c r="N1856" s="74" t="str">
        <f>IF($C1856="","",IF($C1856="TANIMSIZ MÜŞTERİ","—",INDEX(MUSTERILER!$C$7:$C$156,MATCH($C1856,MUSTERILER!$B$7:$B$156,0))))</f>
        <v/>
      </c>
      <c r="O1856" s="2"/>
      <c r="P1856" s="2"/>
      <c r="Q1856" s="1" t="str">
        <f>IF($D1856="","",$C1856&amp;"|"&amp;COUNTIFS($C$7:$C1856,$C1856))</f>
        <v/>
      </c>
      <c r="R1856" s="1" t="str">
        <f t="shared" si="143"/>
        <v/>
      </c>
      <c r="S1856" s="1" t="str">
        <f t="shared" si="144"/>
        <v/>
      </c>
      <c r="T1856" s="1">
        <f>IF($E1856="",0,SUMPRODUCT((AY_SONU!$O$7:$O$42="Evet")*(AY_SONU!$B$7:$B$42=DATE(YEAR($E1856),MONTH($E1856),1))))</f>
        <v>0</v>
      </c>
    </row>
    <row r="1857" spans="1:20" ht="18" customHeight="1" x14ac:dyDescent="0.3">
      <c r="A1857" s="2"/>
      <c r="B1857" s="65" t="str">
        <f t="shared" si="140"/>
        <v/>
      </c>
      <c r="C1857" s="65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66"/>
      <c r="F1857" s="67"/>
      <c r="G1857" s="60"/>
      <c r="H1857" s="60"/>
      <c r="I1857" s="61"/>
      <c r="J1857" s="61"/>
      <c r="K1857" s="61"/>
      <c r="L1857" s="73" t="str">
        <f t="shared" si="141"/>
        <v/>
      </c>
      <c r="M1857" s="65" t="str">
        <f t="shared" ca="1" si="142"/>
        <v/>
      </c>
      <c r="N1857" s="74" t="str">
        <f>IF($C1857="","",IF($C1857="TANIMSIZ MÜŞTERİ","—",INDEX(MUSTERILER!$C$7:$C$156,MATCH($C1857,MUSTERILER!$B$7:$B$156,0))))</f>
        <v/>
      </c>
      <c r="O1857" s="2"/>
      <c r="P1857" s="2"/>
      <c r="Q1857" s="1" t="str">
        <f>IF($D1857="","",$C1857&amp;"|"&amp;COUNTIFS($C$7:$C1857,$C1857))</f>
        <v/>
      </c>
      <c r="R1857" s="1" t="str">
        <f t="shared" si="143"/>
        <v/>
      </c>
      <c r="S1857" s="1" t="str">
        <f t="shared" si="144"/>
        <v/>
      </c>
      <c r="T1857" s="1">
        <f>IF($E1857="",0,SUMPRODUCT((AY_SONU!$O$7:$O$42="Evet")*(AY_SONU!$B$7:$B$42=DATE(YEAR($E1857),MONTH($E1857),1))))</f>
        <v>0</v>
      </c>
    </row>
    <row r="1858" spans="1:20" ht="18" customHeight="1" x14ac:dyDescent="0.3">
      <c r="A1858" s="2"/>
      <c r="B1858" s="65" t="str">
        <f t="shared" si="140"/>
        <v/>
      </c>
      <c r="C1858" s="65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66"/>
      <c r="F1858" s="67"/>
      <c r="G1858" s="60"/>
      <c r="H1858" s="60"/>
      <c r="I1858" s="61"/>
      <c r="J1858" s="61"/>
      <c r="K1858" s="61"/>
      <c r="L1858" s="73" t="str">
        <f t="shared" si="141"/>
        <v/>
      </c>
      <c r="M1858" s="65" t="str">
        <f t="shared" ca="1" si="142"/>
        <v/>
      </c>
      <c r="N1858" s="74" t="str">
        <f>IF($C1858="","",IF($C1858="TANIMSIZ MÜŞTERİ","—",INDEX(MUSTERILER!$C$7:$C$156,MATCH($C1858,MUSTERILER!$B$7:$B$156,0))))</f>
        <v/>
      </c>
      <c r="O1858" s="2"/>
      <c r="P1858" s="2"/>
      <c r="Q1858" s="1" t="str">
        <f>IF($D1858="","",$C1858&amp;"|"&amp;COUNTIFS($C$7:$C1858,$C1858))</f>
        <v/>
      </c>
      <c r="R1858" s="1" t="str">
        <f t="shared" si="143"/>
        <v/>
      </c>
      <c r="S1858" s="1" t="str">
        <f t="shared" si="144"/>
        <v/>
      </c>
      <c r="T1858" s="1">
        <f>IF($E1858="",0,SUMPRODUCT((AY_SONU!$O$7:$O$42="Evet")*(AY_SONU!$B$7:$B$42=DATE(YEAR($E1858),MONTH($E1858),1))))</f>
        <v>0</v>
      </c>
    </row>
    <row r="1859" spans="1:20" ht="18" customHeight="1" x14ac:dyDescent="0.3">
      <c r="A1859" s="2"/>
      <c r="B1859" s="65" t="str">
        <f t="shared" si="140"/>
        <v/>
      </c>
      <c r="C1859" s="65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66"/>
      <c r="F1859" s="67"/>
      <c r="G1859" s="60"/>
      <c r="H1859" s="60"/>
      <c r="I1859" s="61"/>
      <c r="J1859" s="61"/>
      <c r="K1859" s="61"/>
      <c r="L1859" s="73" t="str">
        <f t="shared" si="141"/>
        <v/>
      </c>
      <c r="M1859" s="65" t="str">
        <f t="shared" ca="1" si="142"/>
        <v/>
      </c>
      <c r="N1859" s="74" t="str">
        <f>IF($C1859="","",IF($C1859="TANIMSIZ MÜŞTERİ","—",INDEX(MUSTERILER!$C$7:$C$156,MATCH($C1859,MUSTERILER!$B$7:$B$156,0))))</f>
        <v/>
      </c>
      <c r="O1859" s="2"/>
      <c r="P1859" s="2"/>
      <c r="Q1859" s="1" t="str">
        <f>IF($D1859="","",$C1859&amp;"|"&amp;COUNTIFS($C$7:$C1859,$C1859))</f>
        <v/>
      </c>
      <c r="R1859" s="1" t="str">
        <f t="shared" si="143"/>
        <v/>
      </c>
      <c r="S1859" s="1" t="str">
        <f t="shared" si="144"/>
        <v/>
      </c>
      <c r="T1859" s="1">
        <f>IF($E1859="",0,SUMPRODUCT((AY_SONU!$O$7:$O$42="Evet")*(AY_SONU!$B$7:$B$42=DATE(YEAR($E1859),MONTH($E1859),1))))</f>
        <v>0</v>
      </c>
    </row>
    <row r="1860" spans="1:20" ht="18" customHeight="1" x14ac:dyDescent="0.3">
      <c r="A1860" s="2"/>
      <c r="B1860" s="65" t="str">
        <f t="shared" si="140"/>
        <v/>
      </c>
      <c r="C1860" s="65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66"/>
      <c r="F1860" s="67"/>
      <c r="G1860" s="60"/>
      <c r="H1860" s="60"/>
      <c r="I1860" s="61"/>
      <c r="J1860" s="61"/>
      <c r="K1860" s="61"/>
      <c r="L1860" s="73" t="str">
        <f t="shared" si="141"/>
        <v/>
      </c>
      <c r="M1860" s="65" t="str">
        <f t="shared" ca="1" si="142"/>
        <v/>
      </c>
      <c r="N1860" s="74" t="str">
        <f>IF($C1860="","",IF($C1860="TANIMSIZ MÜŞTERİ","—",INDEX(MUSTERILER!$C$7:$C$156,MATCH($C1860,MUSTERILER!$B$7:$B$156,0))))</f>
        <v/>
      </c>
      <c r="O1860" s="2"/>
      <c r="P1860" s="2"/>
      <c r="Q1860" s="1" t="str">
        <f>IF($D1860="","",$C1860&amp;"|"&amp;COUNTIFS($C$7:$C1860,$C1860))</f>
        <v/>
      </c>
      <c r="R1860" s="1" t="str">
        <f t="shared" si="143"/>
        <v/>
      </c>
      <c r="S1860" s="1" t="str">
        <f t="shared" si="144"/>
        <v/>
      </c>
      <c r="T1860" s="1">
        <f>IF($E1860="",0,SUMPRODUCT((AY_SONU!$O$7:$O$42="Evet")*(AY_SONU!$B$7:$B$42=DATE(YEAR($E1860),MONTH($E1860),1))))</f>
        <v>0</v>
      </c>
    </row>
    <row r="1861" spans="1:20" ht="18" customHeight="1" x14ac:dyDescent="0.3">
      <c r="A1861" s="2"/>
      <c r="B1861" s="65" t="str">
        <f t="shared" si="140"/>
        <v/>
      </c>
      <c r="C1861" s="65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66"/>
      <c r="F1861" s="67"/>
      <c r="G1861" s="60"/>
      <c r="H1861" s="60"/>
      <c r="I1861" s="61"/>
      <c r="J1861" s="61"/>
      <c r="K1861" s="61"/>
      <c r="L1861" s="73" t="str">
        <f t="shared" si="141"/>
        <v/>
      </c>
      <c r="M1861" s="65" t="str">
        <f t="shared" ca="1" si="142"/>
        <v/>
      </c>
      <c r="N1861" s="74" t="str">
        <f>IF($C1861="","",IF($C1861="TANIMSIZ MÜŞTERİ","—",INDEX(MUSTERILER!$C$7:$C$156,MATCH($C1861,MUSTERILER!$B$7:$B$156,0))))</f>
        <v/>
      </c>
      <c r="O1861" s="2"/>
      <c r="P1861" s="2"/>
      <c r="Q1861" s="1" t="str">
        <f>IF($D1861="","",$C1861&amp;"|"&amp;COUNTIFS($C$7:$C1861,$C1861))</f>
        <v/>
      </c>
      <c r="R1861" s="1" t="str">
        <f t="shared" si="143"/>
        <v/>
      </c>
      <c r="S1861" s="1" t="str">
        <f t="shared" si="144"/>
        <v/>
      </c>
      <c r="T1861" s="1">
        <f>IF($E1861="",0,SUMPRODUCT((AY_SONU!$O$7:$O$42="Evet")*(AY_SONU!$B$7:$B$42=DATE(YEAR($E1861),MONTH($E1861),1))))</f>
        <v>0</v>
      </c>
    </row>
    <row r="1862" spans="1:20" ht="18" customHeight="1" x14ac:dyDescent="0.3">
      <c r="A1862" s="2"/>
      <c r="B1862" s="65" t="str">
        <f t="shared" si="140"/>
        <v/>
      </c>
      <c r="C1862" s="65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66"/>
      <c r="F1862" s="67"/>
      <c r="G1862" s="60"/>
      <c r="H1862" s="60"/>
      <c r="I1862" s="61"/>
      <c r="J1862" s="61"/>
      <c r="K1862" s="61"/>
      <c r="L1862" s="73" t="str">
        <f t="shared" si="141"/>
        <v/>
      </c>
      <c r="M1862" s="65" t="str">
        <f t="shared" ca="1" si="142"/>
        <v/>
      </c>
      <c r="N1862" s="74" t="str">
        <f>IF($C1862="","",IF($C1862="TANIMSIZ MÜŞTERİ","—",INDEX(MUSTERILER!$C$7:$C$156,MATCH($C1862,MUSTERILER!$B$7:$B$156,0))))</f>
        <v/>
      </c>
      <c r="O1862" s="2"/>
      <c r="P1862" s="2"/>
      <c r="Q1862" s="1" t="str">
        <f>IF($D1862="","",$C1862&amp;"|"&amp;COUNTIFS($C$7:$C1862,$C1862))</f>
        <v/>
      </c>
      <c r="R1862" s="1" t="str">
        <f t="shared" si="143"/>
        <v/>
      </c>
      <c r="S1862" s="1" t="str">
        <f t="shared" si="144"/>
        <v/>
      </c>
      <c r="T1862" s="1">
        <f>IF($E1862="",0,SUMPRODUCT((AY_SONU!$O$7:$O$42="Evet")*(AY_SONU!$B$7:$B$42=DATE(YEAR($E1862),MONTH($E1862),1))))</f>
        <v>0</v>
      </c>
    </row>
    <row r="1863" spans="1:20" ht="18" customHeight="1" x14ac:dyDescent="0.3">
      <c r="A1863" s="2"/>
      <c r="B1863" s="65" t="str">
        <f t="shared" ref="B1863:B1926" si="145">IF($D1863="","","T"&amp;TEXT(ROW()-6,"00000"))</f>
        <v/>
      </c>
      <c r="C1863" s="65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66"/>
      <c r="F1863" s="67"/>
      <c r="G1863" s="60"/>
      <c r="H1863" s="60"/>
      <c r="I1863" s="61"/>
      <c r="J1863" s="61"/>
      <c r="K1863" s="61"/>
      <c r="L1863" s="73" t="str">
        <f t="shared" ref="L1863:L1926" si="146">IF($E1863="","",DATE(YEAR($E1863),MONTH($E1863),1))</f>
        <v/>
      </c>
      <c r="M1863" s="65" t="str">
        <f t="shared" ref="M1863:M1926" ca="1" si="147">IF($D1863="","",IF($C1863="TANIMSIZ MÜŞTERİ","HATA",IF(OR($E1863="",$F1863&lt;=0,$G1863=""),"EKSİK",IF($E1863&gt;TODAY(),"İLERİ TARİH",IF(COUNTIF($S$7:$S$2506,$S1863)&gt;1,"MÜKERRER?",IF($T1863&gt;0,"KAPALI DÖNEM","UYGUN"))))))</f>
        <v/>
      </c>
      <c r="N1863" s="74" t="str">
        <f>IF($C1863="","",IF($C1863="TANIMSIZ MÜŞTERİ","—",INDEX(MUSTERILER!$C$7:$C$156,MATCH($C1863,MUSTERILER!$B$7:$B$156,0))))</f>
        <v/>
      </c>
      <c r="O1863" s="2"/>
      <c r="P1863" s="2"/>
      <c r="Q1863" s="1" t="str">
        <f>IF($D1863="","",$C1863&amp;"|"&amp;COUNTIFS($C$7:$C1863,$C1863))</f>
        <v/>
      </c>
      <c r="R1863" s="1" t="str">
        <f t="shared" ref="R1863:R1926" si="14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 t="str">
        <f t="shared" ref="S1863:S1926" si="149"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>0</v>
      </c>
    </row>
    <row r="1864" spans="1:20" ht="18" customHeight="1" x14ac:dyDescent="0.3">
      <c r="A1864" s="2"/>
      <c r="B1864" s="65" t="str">
        <f t="shared" si="145"/>
        <v/>
      </c>
      <c r="C1864" s="65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66"/>
      <c r="F1864" s="67"/>
      <c r="G1864" s="60"/>
      <c r="H1864" s="60"/>
      <c r="I1864" s="61"/>
      <c r="J1864" s="61"/>
      <c r="K1864" s="61"/>
      <c r="L1864" s="73" t="str">
        <f t="shared" si="146"/>
        <v/>
      </c>
      <c r="M1864" s="65" t="str">
        <f t="shared" ca="1" si="147"/>
        <v/>
      </c>
      <c r="N1864" s="74" t="str">
        <f>IF($C1864="","",IF($C1864="TANIMSIZ MÜŞTERİ","—",INDEX(MUSTERILER!$C$7:$C$156,MATCH($C1864,MUSTERILER!$B$7:$B$156,0))))</f>
        <v/>
      </c>
      <c r="O1864" s="2"/>
      <c r="P1864" s="2"/>
      <c r="Q1864" s="1" t="str">
        <f>IF($D1864="","",$C1864&amp;"|"&amp;COUNTIFS($C$7:$C1864,$C1864))</f>
        <v/>
      </c>
      <c r="R1864" s="1" t="str">
        <f t="shared" si="148"/>
        <v/>
      </c>
      <c r="S1864" s="1" t="str">
        <f t="shared" si="149"/>
        <v/>
      </c>
      <c r="T1864" s="1">
        <f>IF($E1864="",0,SUMPRODUCT((AY_SONU!$O$7:$O$42="Evet")*(AY_SONU!$B$7:$B$42=DATE(YEAR($E1864),MONTH($E1864),1))))</f>
        <v>0</v>
      </c>
    </row>
    <row r="1865" spans="1:20" ht="18" customHeight="1" x14ac:dyDescent="0.3">
      <c r="A1865" s="2"/>
      <c r="B1865" s="65" t="str">
        <f t="shared" si="145"/>
        <v/>
      </c>
      <c r="C1865" s="65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66"/>
      <c r="F1865" s="67"/>
      <c r="G1865" s="60"/>
      <c r="H1865" s="60"/>
      <c r="I1865" s="61"/>
      <c r="J1865" s="61"/>
      <c r="K1865" s="61"/>
      <c r="L1865" s="73" t="str">
        <f t="shared" si="146"/>
        <v/>
      </c>
      <c r="M1865" s="65" t="str">
        <f t="shared" ca="1" si="147"/>
        <v/>
      </c>
      <c r="N1865" s="74" t="str">
        <f>IF($C1865="","",IF($C1865="TANIMSIZ MÜŞTERİ","—",INDEX(MUSTERILER!$C$7:$C$156,MATCH($C1865,MUSTERILER!$B$7:$B$156,0))))</f>
        <v/>
      </c>
      <c r="O1865" s="2"/>
      <c r="P1865" s="2"/>
      <c r="Q1865" s="1" t="str">
        <f>IF($D1865="","",$C1865&amp;"|"&amp;COUNTIFS($C$7:$C1865,$C1865))</f>
        <v/>
      </c>
      <c r="R1865" s="1" t="str">
        <f t="shared" si="148"/>
        <v/>
      </c>
      <c r="S1865" s="1" t="str">
        <f t="shared" si="149"/>
        <v/>
      </c>
      <c r="T1865" s="1">
        <f>IF($E1865="",0,SUMPRODUCT((AY_SONU!$O$7:$O$42="Evet")*(AY_SONU!$B$7:$B$42=DATE(YEAR($E1865),MONTH($E1865),1))))</f>
        <v>0</v>
      </c>
    </row>
    <row r="1866" spans="1:20" ht="18" customHeight="1" x14ac:dyDescent="0.3">
      <c r="A1866" s="2"/>
      <c r="B1866" s="65" t="str">
        <f t="shared" si="145"/>
        <v/>
      </c>
      <c r="C1866" s="65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66"/>
      <c r="F1866" s="67"/>
      <c r="G1866" s="60"/>
      <c r="H1866" s="60"/>
      <c r="I1866" s="61"/>
      <c r="J1866" s="61"/>
      <c r="K1866" s="61"/>
      <c r="L1866" s="73" t="str">
        <f t="shared" si="146"/>
        <v/>
      </c>
      <c r="M1866" s="65" t="str">
        <f t="shared" ca="1" si="147"/>
        <v/>
      </c>
      <c r="N1866" s="74" t="str">
        <f>IF($C1866="","",IF($C1866="TANIMSIZ MÜŞTERİ","—",INDEX(MUSTERILER!$C$7:$C$156,MATCH($C1866,MUSTERILER!$B$7:$B$156,0))))</f>
        <v/>
      </c>
      <c r="O1866" s="2"/>
      <c r="P1866" s="2"/>
      <c r="Q1866" s="1" t="str">
        <f>IF($D1866="","",$C1866&amp;"|"&amp;COUNTIFS($C$7:$C1866,$C1866))</f>
        <v/>
      </c>
      <c r="R1866" s="1" t="str">
        <f t="shared" si="148"/>
        <v/>
      </c>
      <c r="S1866" s="1" t="str">
        <f t="shared" si="149"/>
        <v/>
      </c>
      <c r="T1866" s="1">
        <f>IF($E1866="",0,SUMPRODUCT((AY_SONU!$O$7:$O$42="Evet")*(AY_SONU!$B$7:$B$42=DATE(YEAR($E1866),MONTH($E1866),1))))</f>
        <v>0</v>
      </c>
    </row>
    <row r="1867" spans="1:20" ht="18" customHeight="1" x14ac:dyDescent="0.3">
      <c r="A1867" s="2"/>
      <c r="B1867" s="65" t="str">
        <f t="shared" si="145"/>
        <v/>
      </c>
      <c r="C1867" s="65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66"/>
      <c r="F1867" s="67"/>
      <c r="G1867" s="60"/>
      <c r="H1867" s="60"/>
      <c r="I1867" s="61"/>
      <c r="J1867" s="61"/>
      <c r="K1867" s="61"/>
      <c r="L1867" s="73" t="str">
        <f t="shared" si="146"/>
        <v/>
      </c>
      <c r="M1867" s="65" t="str">
        <f t="shared" ca="1" si="147"/>
        <v/>
      </c>
      <c r="N1867" s="74" t="str">
        <f>IF($C1867="","",IF($C1867="TANIMSIZ MÜŞTERİ","—",INDEX(MUSTERILER!$C$7:$C$156,MATCH($C1867,MUSTERILER!$B$7:$B$156,0))))</f>
        <v/>
      </c>
      <c r="O1867" s="2"/>
      <c r="P1867" s="2"/>
      <c r="Q1867" s="1" t="str">
        <f>IF($D1867="","",$C1867&amp;"|"&amp;COUNTIFS($C$7:$C1867,$C1867))</f>
        <v/>
      </c>
      <c r="R1867" s="1" t="str">
        <f t="shared" si="148"/>
        <v/>
      </c>
      <c r="S1867" s="1" t="str">
        <f t="shared" si="149"/>
        <v/>
      </c>
      <c r="T1867" s="1">
        <f>IF($E1867="",0,SUMPRODUCT((AY_SONU!$O$7:$O$42="Evet")*(AY_SONU!$B$7:$B$42=DATE(YEAR($E1867),MONTH($E1867),1))))</f>
        <v>0</v>
      </c>
    </row>
    <row r="1868" spans="1:20" ht="18" customHeight="1" x14ac:dyDescent="0.3">
      <c r="A1868" s="2"/>
      <c r="B1868" s="65" t="str">
        <f t="shared" si="145"/>
        <v/>
      </c>
      <c r="C1868" s="65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66"/>
      <c r="F1868" s="67"/>
      <c r="G1868" s="60"/>
      <c r="H1868" s="60"/>
      <c r="I1868" s="61"/>
      <c r="J1868" s="61"/>
      <c r="K1868" s="61"/>
      <c r="L1868" s="73" t="str">
        <f t="shared" si="146"/>
        <v/>
      </c>
      <c r="M1868" s="65" t="str">
        <f t="shared" ca="1" si="147"/>
        <v/>
      </c>
      <c r="N1868" s="74" t="str">
        <f>IF($C1868="","",IF($C1868="TANIMSIZ MÜŞTERİ","—",INDEX(MUSTERILER!$C$7:$C$156,MATCH($C1868,MUSTERILER!$B$7:$B$156,0))))</f>
        <v/>
      </c>
      <c r="O1868" s="2"/>
      <c r="P1868" s="2"/>
      <c r="Q1868" s="1" t="str">
        <f>IF($D1868="","",$C1868&amp;"|"&amp;COUNTIFS($C$7:$C1868,$C1868))</f>
        <v/>
      </c>
      <c r="R1868" s="1" t="str">
        <f t="shared" si="148"/>
        <v/>
      </c>
      <c r="S1868" s="1" t="str">
        <f t="shared" si="149"/>
        <v/>
      </c>
      <c r="T1868" s="1">
        <f>IF($E1868="",0,SUMPRODUCT((AY_SONU!$O$7:$O$42="Evet")*(AY_SONU!$B$7:$B$42=DATE(YEAR($E1868),MONTH($E1868),1))))</f>
        <v>0</v>
      </c>
    </row>
    <row r="1869" spans="1:20" ht="18" customHeight="1" x14ac:dyDescent="0.3">
      <c r="A1869" s="2"/>
      <c r="B1869" s="65" t="str">
        <f t="shared" si="145"/>
        <v/>
      </c>
      <c r="C1869" s="65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66"/>
      <c r="F1869" s="67"/>
      <c r="G1869" s="60"/>
      <c r="H1869" s="60"/>
      <c r="I1869" s="61"/>
      <c r="J1869" s="61"/>
      <c r="K1869" s="61"/>
      <c r="L1869" s="73" t="str">
        <f t="shared" si="146"/>
        <v/>
      </c>
      <c r="M1869" s="65" t="str">
        <f t="shared" ca="1" si="147"/>
        <v/>
      </c>
      <c r="N1869" s="74" t="str">
        <f>IF($C1869="","",IF($C1869="TANIMSIZ MÜŞTERİ","—",INDEX(MUSTERILER!$C$7:$C$156,MATCH($C1869,MUSTERILER!$B$7:$B$156,0))))</f>
        <v/>
      </c>
      <c r="O1869" s="2"/>
      <c r="P1869" s="2"/>
      <c r="Q1869" s="1" t="str">
        <f>IF($D1869="","",$C1869&amp;"|"&amp;COUNTIFS($C$7:$C1869,$C1869))</f>
        <v/>
      </c>
      <c r="R1869" s="1" t="str">
        <f t="shared" si="148"/>
        <v/>
      </c>
      <c r="S1869" s="1" t="str">
        <f t="shared" si="149"/>
        <v/>
      </c>
      <c r="T1869" s="1">
        <f>IF($E1869="",0,SUMPRODUCT((AY_SONU!$O$7:$O$42="Evet")*(AY_SONU!$B$7:$B$42=DATE(YEAR($E1869),MONTH($E1869),1))))</f>
        <v>0</v>
      </c>
    </row>
    <row r="1870" spans="1:20" ht="18" customHeight="1" x14ac:dyDescent="0.3">
      <c r="A1870" s="2"/>
      <c r="B1870" s="65" t="str">
        <f t="shared" si="145"/>
        <v/>
      </c>
      <c r="C1870" s="65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66"/>
      <c r="F1870" s="67"/>
      <c r="G1870" s="60"/>
      <c r="H1870" s="60"/>
      <c r="I1870" s="61"/>
      <c r="J1870" s="61"/>
      <c r="K1870" s="61"/>
      <c r="L1870" s="73" t="str">
        <f t="shared" si="146"/>
        <v/>
      </c>
      <c r="M1870" s="65" t="str">
        <f t="shared" ca="1" si="147"/>
        <v/>
      </c>
      <c r="N1870" s="74" t="str">
        <f>IF($C1870="","",IF($C1870="TANIMSIZ MÜŞTERİ","—",INDEX(MUSTERILER!$C$7:$C$156,MATCH($C1870,MUSTERILER!$B$7:$B$156,0))))</f>
        <v/>
      </c>
      <c r="O1870" s="2"/>
      <c r="P1870" s="2"/>
      <c r="Q1870" s="1" t="str">
        <f>IF($D1870="","",$C1870&amp;"|"&amp;COUNTIFS($C$7:$C1870,$C1870))</f>
        <v/>
      </c>
      <c r="R1870" s="1" t="str">
        <f t="shared" si="148"/>
        <v/>
      </c>
      <c r="S1870" s="1" t="str">
        <f t="shared" si="149"/>
        <v/>
      </c>
      <c r="T1870" s="1">
        <f>IF($E1870="",0,SUMPRODUCT((AY_SONU!$O$7:$O$42="Evet")*(AY_SONU!$B$7:$B$42=DATE(YEAR($E1870),MONTH($E1870),1))))</f>
        <v>0</v>
      </c>
    </row>
    <row r="1871" spans="1:20" ht="18" customHeight="1" x14ac:dyDescent="0.3">
      <c r="A1871" s="2"/>
      <c r="B1871" s="65" t="str">
        <f t="shared" si="145"/>
        <v/>
      </c>
      <c r="C1871" s="65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66"/>
      <c r="F1871" s="67"/>
      <c r="G1871" s="60"/>
      <c r="H1871" s="60"/>
      <c r="I1871" s="61"/>
      <c r="J1871" s="61"/>
      <c r="K1871" s="61"/>
      <c r="L1871" s="73" t="str">
        <f t="shared" si="146"/>
        <v/>
      </c>
      <c r="M1871" s="65" t="str">
        <f t="shared" ca="1" si="147"/>
        <v/>
      </c>
      <c r="N1871" s="74" t="str">
        <f>IF($C1871="","",IF($C1871="TANIMSIZ MÜŞTERİ","—",INDEX(MUSTERILER!$C$7:$C$156,MATCH($C1871,MUSTERILER!$B$7:$B$156,0))))</f>
        <v/>
      </c>
      <c r="O1871" s="2"/>
      <c r="P1871" s="2"/>
      <c r="Q1871" s="1" t="str">
        <f>IF($D1871="","",$C1871&amp;"|"&amp;COUNTIFS($C$7:$C1871,$C1871))</f>
        <v/>
      </c>
      <c r="R1871" s="1" t="str">
        <f t="shared" si="148"/>
        <v/>
      </c>
      <c r="S1871" s="1" t="str">
        <f t="shared" si="149"/>
        <v/>
      </c>
      <c r="T1871" s="1">
        <f>IF($E1871="",0,SUMPRODUCT((AY_SONU!$O$7:$O$42="Evet")*(AY_SONU!$B$7:$B$42=DATE(YEAR($E1871),MONTH($E1871),1))))</f>
        <v>0</v>
      </c>
    </row>
    <row r="1872" spans="1:20" ht="18" customHeight="1" x14ac:dyDescent="0.3">
      <c r="A1872" s="2"/>
      <c r="B1872" s="65" t="str">
        <f t="shared" si="145"/>
        <v/>
      </c>
      <c r="C1872" s="65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66"/>
      <c r="F1872" s="67"/>
      <c r="G1872" s="60"/>
      <c r="H1872" s="60"/>
      <c r="I1872" s="61"/>
      <c r="J1872" s="61"/>
      <c r="K1872" s="61"/>
      <c r="L1872" s="73" t="str">
        <f t="shared" si="146"/>
        <v/>
      </c>
      <c r="M1872" s="65" t="str">
        <f t="shared" ca="1" si="147"/>
        <v/>
      </c>
      <c r="N1872" s="74" t="str">
        <f>IF($C1872="","",IF($C1872="TANIMSIZ MÜŞTERİ","—",INDEX(MUSTERILER!$C$7:$C$156,MATCH($C1872,MUSTERILER!$B$7:$B$156,0))))</f>
        <v/>
      </c>
      <c r="O1872" s="2"/>
      <c r="P1872" s="2"/>
      <c r="Q1872" s="1" t="str">
        <f>IF($D1872="","",$C1872&amp;"|"&amp;COUNTIFS($C$7:$C1872,$C1872))</f>
        <v/>
      </c>
      <c r="R1872" s="1" t="str">
        <f t="shared" si="148"/>
        <v/>
      </c>
      <c r="S1872" s="1" t="str">
        <f t="shared" si="149"/>
        <v/>
      </c>
      <c r="T1872" s="1">
        <f>IF($E1872="",0,SUMPRODUCT((AY_SONU!$O$7:$O$42="Evet")*(AY_SONU!$B$7:$B$42=DATE(YEAR($E1872),MONTH($E1872),1))))</f>
        <v>0</v>
      </c>
    </row>
    <row r="1873" spans="1:20" ht="18" customHeight="1" x14ac:dyDescent="0.3">
      <c r="A1873" s="2"/>
      <c r="B1873" s="65" t="str">
        <f t="shared" si="145"/>
        <v/>
      </c>
      <c r="C1873" s="65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66"/>
      <c r="F1873" s="67"/>
      <c r="G1873" s="60"/>
      <c r="H1873" s="60"/>
      <c r="I1873" s="61"/>
      <c r="J1873" s="61"/>
      <c r="K1873" s="61"/>
      <c r="L1873" s="73" t="str">
        <f t="shared" si="146"/>
        <v/>
      </c>
      <c r="M1873" s="65" t="str">
        <f t="shared" ca="1" si="147"/>
        <v/>
      </c>
      <c r="N1873" s="74" t="str">
        <f>IF($C1873="","",IF($C1873="TANIMSIZ MÜŞTERİ","—",INDEX(MUSTERILER!$C$7:$C$156,MATCH($C1873,MUSTERILER!$B$7:$B$156,0))))</f>
        <v/>
      </c>
      <c r="O1873" s="2"/>
      <c r="P1873" s="2"/>
      <c r="Q1873" s="1" t="str">
        <f>IF($D1873="","",$C1873&amp;"|"&amp;COUNTIFS($C$7:$C1873,$C1873))</f>
        <v/>
      </c>
      <c r="R1873" s="1" t="str">
        <f t="shared" si="148"/>
        <v/>
      </c>
      <c r="S1873" s="1" t="str">
        <f t="shared" si="149"/>
        <v/>
      </c>
      <c r="T1873" s="1">
        <f>IF($E1873="",0,SUMPRODUCT((AY_SONU!$O$7:$O$42="Evet")*(AY_SONU!$B$7:$B$42=DATE(YEAR($E1873),MONTH($E1873),1))))</f>
        <v>0</v>
      </c>
    </row>
    <row r="1874" spans="1:20" ht="18" customHeight="1" x14ac:dyDescent="0.3">
      <c r="A1874" s="2"/>
      <c r="B1874" s="65" t="str">
        <f t="shared" si="145"/>
        <v/>
      </c>
      <c r="C1874" s="65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66"/>
      <c r="F1874" s="67"/>
      <c r="G1874" s="60"/>
      <c r="H1874" s="60"/>
      <c r="I1874" s="61"/>
      <c r="J1874" s="61"/>
      <c r="K1874" s="61"/>
      <c r="L1874" s="73" t="str">
        <f t="shared" si="146"/>
        <v/>
      </c>
      <c r="M1874" s="65" t="str">
        <f t="shared" ca="1" si="147"/>
        <v/>
      </c>
      <c r="N1874" s="74" t="str">
        <f>IF($C1874="","",IF($C1874="TANIMSIZ MÜŞTERİ","—",INDEX(MUSTERILER!$C$7:$C$156,MATCH($C1874,MUSTERILER!$B$7:$B$156,0))))</f>
        <v/>
      </c>
      <c r="O1874" s="2"/>
      <c r="P1874" s="2"/>
      <c r="Q1874" s="1" t="str">
        <f>IF($D1874="","",$C1874&amp;"|"&amp;COUNTIFS($C$7:$C1874,$C1874))</f>
        <v/>
      </c>
      <c r="R1874" s="1" t="str">
        <f t="shared" si="148"/>
        <v/>
      </c>
      <c r="S1874" s="1" t="str">
        <f t="shared" si="149"/>
        <v/>
      </c>
      <c r="T1874" s="1">
        <f>IF($E1874="",0,SUMPRODUCT((AY_SONU!$O$7:$O$42="Evet")*(AY_SONU!$B$7:$B$42=DATE(YEAR($E1874),MONTH($E1874),1))))</f>
        <v>0</v>
      </c>
    </row>
    <row r="1875" spans="1:20" ht="18" customHeight="1" x14ac:dyDescent="0.3">
      <c r="A1875" s="2"/>
      <c r="B1875" s="65" t="str">
        <f t="shared" si="145"/>
        <v/>
      </c>
      <c r="C1875" s="65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66"/>
      <c r="F1875" s="67"/>
      <c r="G1875" s="60"/>
      <c r="H1875" s="60"/>
      <c r="I1875" s="61"/>
      <c r="J1875" s="61"/>
      <c r="K1875" s="61"/>
      <c r="L1875" s="73" t="str">
        <f t="shared" si="146"/>
        <v/>
      </c>
      <c r="M1875" s="65" t="str">
        <f t="shared" ca="1" si="147"/>
        <v/>
      </c>
      <c r="N1875" s="74" t="str">
        <f>IF($C1875="","",IF($C1875="TANIMSIZ MÜŞTERİ","—",INDEX(MUSTERILER!$C$7:$C$156,MATCH($C1875,MUSTERILER!$B$7:$B$156,0))))</f>
        <v/>
      </c>
      <c r="O1875" s="2"/>
      <c r="P1875" s="2"/>
      <c r="Q1875" s="1" t="str">
        <f>IF($D1875="","",$C1875&amp;"|"&amp;COUNTIFS($C$7:$C1875,$C1875))</f>
        <v/>
      </c>
      <c r="R1875" s="1" t="str">
        <f t="shared" si="148"/>
        <v/>
      </c>
      <c r="S1875" s="1" t="str">
        <f t="shared" si="149"/>
        <v/>
      </c>
      <c r="T1875" s="1">
        <f>IF($E1875="",0,SUMPRODUCT((AY_SONU!$O$7:$O$42="Evet")*(AY_SONU!$B$7:$B$42=DATE(YEAR($E1875),MONTH($E1875),1))))</f>
        <v>0</v>
      </c>
    </row>
    <row r="1876" spans="1:20" ht="18" customHeight="1" x14ac:dyDescent="0.3">
      <c r="A1876" s="2"/>
      <c r="B1876" s="65" t="str">
        <f t="shared" si="145"/>
        <v/>
      </c>
      <c r="C1876" s="65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66"/>
      <c r="F1876" s="67"/>
      <c r="G1876" s="60"/>
      <c r="H1876" s="60"/>
      <c r="I1876" s="61"/>
      <c r="J1876" s="61"/>
      <c r="K1876" s="61"/>
      <c r="L1876" s="73" t="str">
        <f t="shared" si="146"/>
        <v/>
      </c>
      <c r="M1876" s="65" t="str">
        <f t="shared" ca="1" si="147"/>
        <v/>
      </c>
      <c r="N1876" s="74" t="str">
        <f>IF($C1876="","",IF($C1876="TANIMSIZ MÜŞTERİ","—",INDEX(MUSTERILER!$C$7:$C$156,MATCH($C1876,MUSTERILER!$B$7:$B$156,0))))</f>
        <v/>
      </c>
      <c r="O1876" s="2"/>
      <c r="P1876" s="2"/>
      <c r="Q1876" s="1" t="str">
        <f>IF($D1876="","",$C1876&amp;"|"&amp;COUNTIFS($C$7:$C1876,$C1876))</f>
        <v/>
      </c>
      <c r="R1876" s="1" t="str">
        <f t="shared" si="148"/>
        <v/>
      </c>
      <c r="S1876" s="1" t="str">
        <f t="shared" si="149"/>
        <v/>
      </c>
      <c r="T1876" s="1">
        <f>IF($E1876="",0,SUMPRODUCT((AY_SONU!$O$7:$O$42="Evet")*(AY_SONU!$B$7:$B$42=DATE(YEAR($E1876),MONTH($E1876),1))))</f>
        <v>0</v>
      </c>
    </row>
    <row r="1877" spans="1:20" ht="18" customHeight="1" x14ac:dyDescent="0.3">
      <c r="A1877" s="2"/>
      <c r="B1877" s="65" t="str">
        <f t="shared" si="145"/>
        <v/>
      </c>
      <c r="C1877" s="65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66"/>
      <c r="F1877" s="67"/>
      <c r="G1877" s="60"/>
      <c r="H1877" s="60"/>
      <c r="I1877" s="61"/>
      <c r="J1877" s="61"/>
      <c r="K1877" s="61"/>
      <c r="L1877" s="73" t="str">
        <f t="shared" si="146"/>
        <v/>
      </c>
      <c r="M1877" s="65" t="str">
        <f t="shared" ca="1" si="147"/>
        <v/>
      </c>
      <c r="N1877" s="74" t="str">
        <f>IF($C1877="","",IF($C1877="TANIMSIZ MÜŞTERİ","—",INDEX(MUSTERILER!$C$7:$C$156,MATCH($C1877,MUSTERILER!$B$7:$B$156,0))))</f>
        <v/>
      </c>
      <c r="O1877" s="2"/>
      <c r="P1877" s="2"/>
      <c r="Q1877" s="1" t="str">
        <f>IF($D1877="","",$C1877&amp;"|"&amp;COUNTIFS($C$7:$C1877,$C1877))</f>
        <v/>
      </c>
      <c r="R1877" s="1" t="str">
        <f t="shared" si="148"/>
        <v/>
      </c>
      <c r="S1877" s="1" t="str">
        <f t="shared" si="149"/>
        <v/>
      </c>
      <c r="T1877" s="1">
        <f>IF($E1877="",0,SUMPRODUCT((AY_SONU!$O$7:$O$42="Evet")*(AY_SONU!$B$7:$B$42=DATE(YEAR($E1877),MONTH($E1877),1))))</f>
        <v>0</v>
      </c>
    </row>
    <row r="1878" spans="1:20" ht="18" customHeight="1" x14ac:dyDescent="0.3">
      <c r="A1878" s="2"/>
      <c r="B1878" s="65" t="str">
        <f t="shared" si="145"/>
        <v/>
      </c>
      <c r="C1878" s="65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66"/>
      <c r="F1878" s="67"/>
      <c r="G1878" s="60"/>
      <c r="H1878" s="60"/>
      <c r="I1878" s="61"/>
      <c r="J1878" s="61"/>
      <c r="K1878" s="61"/>
      <c r="L1878" s="73" t="str">
        <f t="shared" si="146"/>
        <v/>
      </c>
      <c r="M1878" s="65" t="str">
        <f t="shared" ca="1" si="147"/>
        <v/>
      </c>
      <c r="N1878" s="74" t="str">
        <f>IF($C1878="","",IF($C1878="TANIMSIZ MÜŞTERİ","—",INDEX(MUSTERILER!$C$7:$C$156,MATCH($C1878,MUSTERILER!$B$7:$B$156,0))))</f>
        <v/>
      </c>
      <c r="O1878" s="2"/>
      <c r="P1878" s="2"/>
      <c r="Q1878" s="1" t="str">
        <f>IF($D1878="","",$C1878&amp;"|"&amp;COUNTIFS($C$7:$C1878,$C1878))</f>
        <v/>
      </c>
      <c r="R1878" s="1" t="str">
        <f t="shared" si="148"/>
        <v/>
      </c>
      <c r="S1878" s="1" t="str">
        <f t="shared" si="149"/>
        <v/>
      </c>
      <c r="T1878" s="1">
        <f>IF($E1878="",0,SUMPRODUCT((AY_SONU!$O$7:$O$42="Evet")*(AY_SONU!$B$7:$B$42=DATE(YEAR($E1878),MONTH($E1878),1))))</f>
        <v>0</v>
      </c>
    </row>
    <row r="1879" spans="1:20" ht="18" customHeight="1" x14ac:dyDescent="0.3">
      <c r="A1879" s="2"/>
      <c r="B1879" s="65" t="str">
        <f t="shared" si="145"/>
        <v/>
      </c>
      <c r="C1879" s="65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66"/>
      <c r="F1879" s="67"/>
      <c r="G1879" s="60"/>
      <c r="H1879" s="60"/>
      <c r="I1879" s="61"/>
      <c r="J1879" s="61"/>
      <c r="K1879" s="61"/>
      <c r="L1879" s="73" t="str">
        <f t="shared" si="146"/>
        <v/>
      </c>
      <c r="M1879" s="65" t="str">
        <f t="shared" ca="1" si="147"/>
        <v/>
      </c>
      <c r="N1879" s="74" t="str">
        <f>IF($C1879="","",IF($C1879="TANIMSIZ MÜŞTERİ","—",INDEX(MUSTERILER!$C$7:$C$156,MATCH($C1879,MUSTERILER!$B$7:$B$156,0))))</f>
        <v/>
      </c>
      <c r="O1879" s="2"/>
      <c r="P1879" s="2"/>
      <c r="Q1879" s="1" t="str">
        <f>IF($D1879="","",$C1879&amp;"|"&amp;COUNTIFS($C$7:$C1879,$C1879))</f>
        <v/>
      </c>
      <c r="R1879" s="1" t="str">
        <f t="shared" si="148"/>
        <v/>
      </c>
      <c r="S1879" s="1" t="str">
        <f t="shared" si="149"/>
        <v/>
      </c>
      <c r="T1879" s="1">
        <f>IF($E1879="",0,SUMPRODUCT((AY_SONU!$O$7:$O$42="Evet")*(AY_SONU!$B$7:$B$42=DATE(YEAR($E1879),MONTH($E1879),1))))</f>
        <v>0</v>
      </c>
    </row>
    <row r="1880" spans="1:20" ht="18" customHeight="1" x14ac:dyDescent="0.3">
      <c r="A1880" s="2"/>
      <c r="B1880" s="65" t="str">
        <f t="shared" si="145"/>
        <v/>
      </c>
      <c r="C1880" s="65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66"/>
      <c r="F1880" s="67"/>
      <c r="G1880" s="60"/>
      <c r="H1880" s="60"/>
      <c r="I1880" s="61"/>
      <c r="J1880" s="61"/>
      <c r="K1880" s="61"/>
      <c r="L1880" s="73" t="str">
        <f t="shared" si="146"/>
        <v/>
      </c>
      <c r="M1880" s="65" t="str">
        <f t="shared" ca="1" si="147"/>
        <v/>
      </c>
      <c r="N1880" s="74" t="str">
        <f>IF($C1880="","",IF($C1880="TANIMSIZ MÜŞTERİ","—",INDEX(MUSTERILER!$C$7:$C$156,MATCH($C1880,MUSTERILER!$B$7:$B$156,0))))</f>
        <v/>
      </c>
      <c r="O1880" s="2"/>
      <c r="P1880" s="2"/>
      <c r="Q1880" s="1" t="str">
        <f>IF($D1880="","",$C1880&amp;"|"&amp;COUNTIFS($C$7:$C1880,$C1880))</f>
        <v/>
      </c>
      <c r="R1880" s="1" t="str">
        <f t="shared" si="148"/>
        <v/>
      </c>
      <c r="S1880" s="1" t="str">
        <f t="shared" si="149"/>
        <v/>
      </c>
      <c r="T1880" s="1">
        <f>IF($E1880="",0,SUMPRODUCT((AY_SONU!$O$7:$O$42="Evet")*(AY_SONU!$B$7:$B$42=DATE(YEAR($E1880),MONTH($E1880),1))))</f>
        <v>0</v>
      </c>
    </row>
    <row r="1881" spans="1:20" ht="18" customHeight="1" x14ac:dyDescent="0.3">
      <c r="A1881" s="2"/>
      <c r="B1881" s="65" t="str">
        <f t="shared" si="145"/>
        <v/>
      </c>
      <c r="C1881" s="65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66"/>
      <c r="F1881" s="67"/>
      <c r="G1881" s="60"/>
      <c r="H1881" s="60"/>
      <c r="I1881" s="61"/>
      <c r="J1881" s="61"/>
      <c r="K1881" s="61"/>
      <c r="L1881" s="73" t="str">
        <f t="shared" si="146"/>
        <v/>
      </c>
      <c r="M1881" s="65" t="str">
        <f t="shared" ca="1" si="147"/>
        <v/>
      </c>
      <c r="N1881" s="74" t="str">
        <f>IF($C1881="","",IF($C1881="TANIMSIZ MÜŞTERİ","—",INDEX(MUSTERILER!$C$7:$C$156,MATCH($C1881,MUSTERILER!$B$7:$B$156,0))))</f>
        <v/>
      </c>
      <c r="O1881" s="2"/>
      <c r="P1881" s="2"/>
      <c r="Q1881" s="1" t="str">
        <f>IF($D1881="","",$C1881&amp;"|"&amp;COUNTIFS($C$7:$C1881,$C1881))</f>
        <v/>
      </c>
      <c r="R1881" s="1" t="str">
        <f t="shared" si="148"/>
        <v/>
      </c>
      <c r="S1881" s="1" t="str">
        <f t="shared" si="149"/>
        <v/>
      </c>
      <c r="T1881" s="1">
        <f>IF($E1881="",0,SUMPRODUCT((AY_SONU!$O$7:$O$42="Evet")*(AY_SONU!$B$7:$B$42=DATE(YEAR($E1881),MONTH($E1881),1))))</f>
        <v>0</v>
      </c>
    </row>
    <row r="1882" spans="1:20" ht="18" customHeight="1" x14ac:dyDescent="0.3">
      <c r="A1882" s="2"/>
      <c r="B1882" s="65" t="str">
        <f t="shared" si="145"/>
        <v/>
      </c>
      <c r="C1882" s="65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66"/>
      <c r="F1882" s="67"/>
      <c r="G1882" s="60"/>
      <c r="H1882" s="60"/>
      <c r="I1882" s="61"/>
      <c r="J1882" s="61"/>
      <c r="K1882" s="61"/>
      <c r="L1882" s="73" t="str">
        <f t="shared" si="146"/>
        <v/>
      </c>
      <c r="M1882" s="65" t="str">
        <f t="shared" ca="1" si="147"/>
        <v/>
      </c>
      <c r="N1882" s="74" t="str">
        <f>IF($C1882="","",IF($C1882="TANIMSIZ MÜŞTERİ","—",INDEX(MUSTERILER!$C$7:$C$156,MATCH($C1882,MUSTERILER!$B$7:$B$156,0))))</f>
        <v/>
      </c>
      <c r="O1882" s="2"/>
      <c r="P1882" s="2"/>
      <c r="Q1882" s="1" t="str">
        <f>IF($D1882="","",$C1882&amp;"|"&amp;COUNTIFS($C$7:$C1882,$C1882))</f>
        <v/>
      </c>
      <c r="R1882" s="1" t="str">
        <f t="shared" si="148"/>
        <v/>
      </c>
      <c r="S1882" s="1" t="str">
        <f t="shared" si="149"/>
        <v/>
      </c>
      <c r="T1882" s="1">
        <f>IF($E1882="",0,SUMPRODUCT((AY_SONU!$O$7:$O$42="Evet")*(AY_SONU!$B$7:$B$42=DATE(YEAR($E1882),MONTH($E1882),1))))</f>
        <v>0</v>
      </c>
    </row>
    <row r="1883" spans="1:20" ht="18" customHeight="1" x14ac:dyDescent="0.3">
      <c r="A1883" s="2"/>
      <c r="B1883" s="65" t="str">
        <f t="shared" si="145"/>
        <v/>
      </c>
      <c r="C1883" s="65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66"/>
      <c r="F1883" s="67"/>
      <c r="G1883" s="60"/>
      <c r="H1883" s="60"/>
      <c r="I1883" s="61"/>
      <c r="J1883" s="61"/>
      <c r="K1883" s="61"/>
      <c r="L1883" s="73" t="str">
        <f t="shared" si="146"/>
        <v/>
      </c>
      <c r="M1883" s="65" t="str">
        <f t="shared" ca="1" si="147"/>
        <v/>
      </c>
      <c r="N1883" s="74" t="str">
        <f>IF($C1883="","",IF($C1883="TANIMSIZ MÜŞTERİ","—",INDEX(MUSTERILER!$C$7:$C$156,MATCH($C1883,MUSTERILER!$B$7:$B$156,0))))</f>
        <v/>
      </c>
      <c r="O1883" s="2"/>
      <c r="P1883" s="2"/>
      <c r="Q1883" s="1" t="str">
        <f>IF($D1883="","",$C1883&amp;"|"&amp;COUNTIFS($C$7:$C1883,$C1883))</f>
        <v/>
      </c>
      <c r="R1883" s="1" t="str">
        <f t="shared" si="148"/>
        <v/>
      </c>
      <c r="S1883" s="1" t="str">
        <f t="shared" si="149"/>
        <v/>
      </c>
      <c r="T1883" s="1">
        <f>IF($E1883="",0,SUMPRODUCT((AY_SONU!$O$7:$O$42="Evet")*(AY_SONU!$B$7:$B$42=DATE(YEAR($E1883),MONTH($E1883),1))))</f>
        <v>0</v>
      </c>
    </row>
    <row r="1884" spans="1:20" ht="18" customHeight="1" x14ac:dyDescent="0.3">
      <c r="A1884" s="2"/>
      <c r="B1884" s="65" t="str">
        <f t="shared" si="145"/>
        <v/>
      </c>
      <c r="C1884" s="65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66"/>
      <c r="F1884" s="67"/>
      <c r="G1884" s="60"/>
      <c r="H1884" s="60"/>
      <c r="I1884" s="61"/>
      <c r="J1884" s="61"/>
      <c r="K1884" s="61"/>
      <c r="L1884" s="73" t="str">
        <f t="shared" si="146"/>
        <v/>
      </c>
      <c r="M1884" s="65" t="str">
        <f t="shared" ca="1" si="147"/>
        <v/>
      </c>
      <c r="N1884" s="74" t="str">
        <f>IF($C1884="","",IF($C1884="TANIMSIZ MÜŞTERİ","—",INDEX(MUSTERILER!$C$7:$C$156,MATCH($C1884,MUSTERILER!$B$7:$B$156,0))))</f>
        <v/>
      </c>
      <c r="O1884" s="2"/>
      <c r="P1884" s="2"/>
      <c r="Q1884" s="1" t="str">
        <f>IF($D1884="","",$C1884&amp;"|"&amp;COUNTIFS($C$7:$C1884,$C1884))</f>
        <v/>
      </c>
      <c r="R1884" s="1" t="str">
        <f t="shared" si="148"/>
        <v/>
      </c>
      <c r="S1884" s="1" t="str">
        <f t="shared" si="149"/>
        <v/>
      </c>
      <c r="T1884" s="1">
        <f>IF($E1884="",0,SUMPRODUCT((AY_SONU!$O$7:$O$42="Evet")*(AY_SONU!$B$7:$B$42=DATE(YEAR($E1884),MONTH($E1884),1))))</f>
        <v>0</v>
      </c>
    </row>
    <row r="1885" spans="1:20" ht="18" customHeight="1" x14ac:dyDescent="0.3">
      <c r="A1885" s="2"/>
      <c r="B1885" s="65" t="str">
        <f t="shared" si="145"/>
        <v/>
      </c>
      <c r="C1885" s="65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66"/>
      <c r="F1885" s="67"/>
      <c r="G1885" s="60"/>
      <c r="H1885" s="60"/>
      <c r="I1885" s="61"/>
      <c r="J1885" s="61"/>
      <c r="K1885" s="61"/>
      <c r="L1885" s="73" t="str">
        <f t="shared" si="146"/>
        <v/>
      </c>
      <c r="M1885" s="65" t="str">
        <f t="shared" ca="1" si="147"/>
        <v/>
      </c>
      <c r="N1885" s="74" t="str">
        <f>IF($C1885="","",IF($C1885="TANIMSIZ MÜŞTERİ","—",INDEX(MUSTERILER!$C$7:$C$156,MATCH($C1885,MUSTERILER!$B$7:$B$156,0))))</f>
        <v/>
      </c>
      <c r="O1885" s="2"/>
      <c r="P1885" s="2"/>
      <c r="Q1885" s="1" t="str">
        <f>IF($D1885="","",$C1885&amp;"|"&amp;COUNTIFS($C$7:$C1885,$C1885))</f>
        <v/>
      </c>
      <c r="R1885" s="1" t="str">
        <f t="shared" si="148"/>
        <v/>
      </c>
      <c r="S1885" s="1" t="str">
        <f t="shared" si="149"/>
        <v/>
      </c>
      <c r="T1885" s="1">
        <f>IF($E1885="",0,SUMPRODUCT((AY_SONU!$O$7:$O$42="Evet")*(AY_SONU!$B$7:$B$42=DATE(YEAR($E1885),MONTH($E1885),1))))</f>
        <v>0</v>
      </c>
    </row>
    <row r="1886" spans="1:20" ht="18" customHeight="1" x14ac:dyDescent="0.3">
      <c r="A1886" s="2"/>
      <c r="B1886" s="65" t="str">
        <f t="shared" si="145"/>
        <v/>
      </c>
      <c r="C1886" s="65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66"/>
      <c r="F1886" s="67"/>
      <c r="G1886" s="60"/>
      <c r="H1886" s="60"/>
      <c r="I1886" s="61"/>
      <c r="J1886" s="61"/>
      <c r="K1886" s="61"/>
      <c r="L1886" s="73" t="str">
        <f t="shared" si="146"/>
        <v/>
      </c>
      <c r="M1886" s="65" t="str">
        <f t="shared" ca="1" si="147"/>
        <v/>
      </c>
      <c r="N1886" s="74" t="str">
        <f>IF($C1886="","",IF($C1886="TANIMSIZ MÜŞTERİ","—",INDEX(MUSTERILER!$C$7:$C$156,MATCH($C1886,MUSTERILER!$B$7:$B$156,0))))</f>
        <v/>
      </c>
      <c r="O1886" s="2"/>
      <c r="P1886" s="2"/>
      <c r="Q1886" s="1" t="str">
        <f>IF($D1886="","",$C1886&amp;"|"&amp;COUNTIFS($C$7:$C1886,$C1886))</f>
        <v/>
      </c>
      <c r="R1886" s="1" t="str">
        <f t="shared" si="148"/>
        <v/>
      </c>
      <c r="S1886" s="1" t="str">
        <f t="shared" si="149"/>
        <v/>
      </c>
      <c r="T1886" s="1">
        <f>IF($E1886="",0,SUMPRODUCT((AY_SONU!$O$7:$O$42="Evet")*(AY_SONU!$B$7:$B$42=DATE(YEAR($E1886),MONTH($E1886),1))))</f>
        <v>0</v>
      </c>
    </row>
    <row r="1887" spans="1:20" ht="18" customHeight="1" x14ac:dyDescent="0.3">
      <c r="A1887" s="2"/>
      <c r="B1887" s="65" t="str">
        <f t="shared" si="145"/>
        <v/>
      </c>
      <c r="C1887" s="65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66"/>
      <c r="F1887" s="67"/>
      <c r="G1887" s="60"/>
      <c r="H1887" s="60"/>
      <c r="I1887" s="61"/>
      <c r="J1887" s="61"/>
      <c r="K1887" s="61"/>
      <c r="L1887" s="73" t="str">
        <f t="shared" si="146"/>
        <v/>
      </c>
      <c r="M1887" s="65" t="str">
        <f t="shared" ca="1" si="147"/>
        <v/>
      </c>
      <c r="N1887" s="74" t="str">
        <f>IF($C1887="","",IF($C1887="TANIMSIZ MÜŞTERİ","—",INDEX(MUSTERILER!$C$7:$C$156,MATCH($C1887,MUSTERILER!$B$7:$B$156,0))))</f>
        <v/>
      </c>
      <c r="O1887" s="2"/>
      <c r="P1887" s="2"/>
      <c r="Q1887" s="1" t="str">
        <f>IF($D1887="","",$C1887&amp;"|"&amp;COUNTIFS($C$7:$C1887,$C1887))</f>
        <v/>
      </c>
      <c r="R1887" s="1" t="str">
        <f t="shared" si="148"/>
        <v/>
      </c>
      <c r="S1887" s="1" t="str">
        <f t="shared" si="149"/>
        <v/>
      </c>
      <c r="T1887" s="1">
        <f>IF($E1887="",0,SUMPRODUCT((AY_SONU!$O$7:$O$42="Evet")*(AY_SONU!$B$7:$B$42=DATE(YEAR($E1887),MONTH($E1887),1))))</f>
        <v>0</v>
      </c>
    </row>
    <row r="1888" spans="1:20" ht="18" customHeight="1" x14ac:dyDescent="0.3">
      <c r="A1888" s="2"/>
      <c r="B1888" s="65" t="str">
        <f t="shared" si="145"/>
        <v/>
      </c>
      <c r="C1888" s="65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66"/>
      <c r="F1888" s="67"/>
      <c r="G1888" s="60"/>
      <c r="H1888" s="60"/>
      <c r="I1888" s="61"/>
      <c r="J1888" s="61"/>
      <c r="K1888" s="61"/>
      <c r="L1888" s="73" t="str">
        <f t="shared" si="146"/>
        <v/>
      </c>
      <c r="M1888" s="65" t="str">
        <f t="shared" ca="1" si="147"/>
        <v/>
      </c>
      <c r="N1888" s="74" t="str">
        <f>IF($C1888="","",IF($C1888="TANIMSIZ MÜŞTERİ","—",INDEX(MUSTERILER!$C$7:$C$156,MATCH($C1888,MUSTERILER!$B$7:$B$156,0))))</f>
        <v/>
      </c>
      <c r="O1888" s="2"/>
      <c r="P1888" s="2"/>
      <c r="Q1888" s="1" t="str">
        <f>IF($D1888="","",$C1888&amp;"|"&amp;COUNTIFS($C$7:$C1888,$C1888))</f>
        <v/>
      </c>
      <c r="R1888" s="1" t="str">
        <f t="shared" si="148"/>
        <v/>
      </c>
      <c r="S1888" s="1" t="str">
        <f t="shared" si="149"/>
        <v/>
      </c>
      <c r="T1888" s="1">
        <f>IF($E1888="",0,SUMPRODUCT((AY_SONU!$O$7:$O$42="Evet")*(AY_SONU!$B$7:$B$42=DATE(YEAR($E1888),MONTH($E1888),1))))</f>
        <v>0</v>
      </c>
    </row>
    <row r="1889" spans="1:20" ht="18" customHeight="1" x14ac:dyDescent="0.3">
      <c r="A1889" s="2"/>
      <c r="B1889" s="65" t="str">
        <f t="shared" si="145"/>
        <v/>
      </c>
      <c r="C1889" s="65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66"/>
      <c r="F1889" s="67"/>
      <c r="G1889" s="60"/>
      <c r="H1889" s="60"/>
      <c r="I1889" s="61"/>
      <c r="J1889" s="61"/>
      <c r="K1889" s="61"/>
      <c r="L1889" s="73" t="str">
        <f t="shared" si="146"/>
        <v/>
      </c>
      <c r="M1889" s="65" t="str">
        <f t="shared" ca="1" si="147"/>
        <v/>
      </c>
      <c r="N1889" s="74" t="str">
        <f>IF($C1889="","",IF($C1889="TANIMSIZ MÜŞTERİ","—",INDEX(MUSTERILER!$C$7:$C$156,MATCH($C1889,MUSTERILER!$B$7:$B$156,0))))</f>
        <v/>
      </c>
      <c r="O1889" s="2"/>
      <c r="P1889" s="2"/>
      <c r="Q1889" s="1" t="str">
        <f>IF($D1889="","",$C1889&amp;"|"&amp;COUNTIFS($C$7:$C1889,$C1889))</f>
        <v/>
      </c>
      <c r="R1889" s="1" t="str">
        <f t="shared" si="148"/>
        <v/>
      </c>
      <c r="S1889" s="1" t="str">
        <f t="shared" si="149"/>
        <v/>
      </c>
      <c r="T1889" s="1">
        <f>IF($E1889="",0,SUMPRODUCT((AY_SONU!$O$7:$O$42="Evet")*(AY_SONU!$B$7:$B$42=DATE(YEAR($E1889),MONTH($E1889),1))))</f>
        <v>0</v>
      </c>
    </row>
    <row r="1890" spans="1:20" ht="18" customHeight="1" x14ac:dyDescent="0.3">
      <c r="A1890" s="2"/>
      <c r="B1890" s="65" t="str">
        <f t="shared" si="145"/>
        <v/>
      </c>
      <c r="C1890" s="65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66"/>
      <c r="F1890" s="67"/>
      <c r="G1890" s="60"/>
      <c r="H1890" s="60"/>
      <c r="I1890" s="61"/>
      <c r="J1890" s="61"/>
      <c r="K1890" s="61"/>
      <c r="L1890" s="73" t="str">
        <f t="shared" si="146"/>
        <v/>
      </c>
      <c r="M1890" s="65" t="str">
        <f t="shared" ca="1" si="147"/>
        <v/>
      </c>
      <c r="N1890" s="74" t="str">
        <f>IF($C1890="","",IF($C1890="TANIMSIZ MÜŞTERİ","—",INDEX(MUSTERILER!$C$7:$C$156,MATCH($C1890,MUSTERILER!$B$7:$B$156,0))))</f>
        <v/>
      </c>
      <c r="O1890" s="2"/>
      <c r="P1890" s="2"/>
      <c r="Q1890" s="1" t="str">
        <f>IF($D1890="","",$C1890&amp;"|"&amp;COUNTIFS($C$7:$C1890,$C1890))</f>
        <v/>
      </c>
      <c r="R1890" s="1" t="str">
        <f t="shared" si="148"/>
        <v/>
      </c>
      <c r="S1890" s="1" t="str">
        <f t="shared" si="149"/>
        <v/>
      </c>
      <c r="T1890" s="1">
        <f>IF($E1890="",0,SUMPRODUCT((AY_SONU!$O$7:$O$42="Evet")*(AY_SONU!$B$7:$B$42=DATE(YEAR($E1890),MONTH($E1890),1))))</f>
        <v>0</v>
      </c>
    </row>
    <row r="1891" spans="1:20" ht="18" customHeight="1" x14ac:dyDescent="0.3">
      <c r="A1891" s="2"/>
      <c r="B1891" s="65" t="str">
        <f t="shared" si="145"/>
        <v/>
      </c>
      <c r="C1891" s="65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66"/>
      <c r="F1891" s="67"/>
      <c r="G1891" s="60"/>
      <c r="H1891" s="60"/>
      <c r="I1891" s="61"/>
      <c r="J1891" s="61"/>
      <c r="K1891" s="61"/>
      <c r="L1891" s="73" t="str">
        <f t="shared" si="146"/>
        <v/>
      </c>
      <c r="M1891" s="65" t="str">
        <f t="shared" ca="1" si="147"/>
        <v/>
      </c>
      <c r="N1891" s="74" t="str">
        <f>IF($C1891="","",IF($C1891="TANIMSIZ MÜŞTERİ","—",INDEX(MUSTERILER!$C$7:$C$156,MATCH($C1891,MUSTERILER!$B$7:$B$156,0))))</f>
        <v/>
      </c>
      <c r="O1891" s="2"/>
      <c r="P1891" s="2"/>
      <c r="Q1891" s="1" t="str">
        <f>IF($D1891="","",$C1891&amp;"|"&amp;COUNTIFS($C$7:$C1891,$C1891))</f>
        <v/>
      </c>
      <c r="R1891" s="1" t="str">
        <f t="shared" si="148"/>
        <v/>
      </c>
      <c r="S1891" s="1" t="str">
        <f t="shared" si="149"/>
        <v/>
      </c>
      <c r="T1891" s="1">
        <f>IF($E1891="",0,SUMPRODUCT((AY_SONU!$O$7:$O$42="Evet")*(AY_SONU!$B$7:$B$42=DATE(YEAR($E1891),MONTH($E1891),1))))</f>
        <v>0</v>
      </c>
    </row>
    <row r="1892" spans="1:20" ht="18" customHeight="1" x14ac:dyDescent="0.3">
      <c r="A1892" s="2"/>
      <c r="B1892" s="65" t="str">
        <f t="shared" si="145"/>
        <v/>
      </c>
      <c r="C1892" s="65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66"/>
      <c r="F1892" s="67"/>
      <c r="G1892" s="60"/>
      <c r="H1892" s="60"/>
      <c r="I1892" s="61"/>
      <c r="J1892" s="61"/>
      <c r="K1892" s="61"/>
      <c r="L1892" s="73" t="str">
        <f t="shared" si="146"/>
        <v/>
      </c>
      <c r="M1892" s="65" t="str">
        <f t="shared" ca="1" si="147"/>
        <v/>
      </c>
      <c r="N1892" s="74" t="str">
        <f>IF($C1892="","",IF($C1892="TANIMSIZ MÜŞTERİ","—",INDEX(MUSTERILER!$C$7:$C$156,MATCH($C1892,MUSTERILER!$B$7:$B$156,0))))</f>
        <v/>
      </c>
      <c r="O1892" s="2"/>
      <c r="P1892" s="2"/>
      <c r="Q1892" s="1" t="str">
        <f>IF($D1892="","",$C1892&amp;"|"&amp;COUNTIFS($C$7:$C1892,$C1892))</f>
        <v/>
      </c>
      <c r="R1892" s="1" t="str">
        <f t="shared" si="148"/>
        <v/>
      </c>
      <c r="S1892" s="1" t="str">
        <f t="shared" si="149"/>
        <v/>
      </c>
      <c r="T1892" s="1">
        <f>IF($E1892="",0,SUMPRODUCT((AY_SONU!$O$7:$O$42="Evet")*(AY_SONU!$B$7:$B$42=DATE(YEAR($E1892),MONTH($E1892),1))))</f>
        <v>0</v>
      </c>
    </row>
    <row r="1893" spans="1:20" ht="18" customHeight="1" x14ac:dyDescent="0.3">
      <c r="A1893" s="2"/>
      <c r="B1893" s="65" t="str">
        <f t="shared" si="145"/>
        <v/>
      </c>
      <c r="C1893" s="65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66"/>
      <c r="F1893" s="67"/>
      <c r="G1893" s="60"/>
      <c r="H1893" s="60"/>
      <c r="I1893" s="61"/>
      <c r="J1893" s="61"/>
      <c r="K1893" s="61"/>
      <c r="L1893" s="73" t="str">
        <f t="shared" si="146"/>
        <v/>
      </c>
      <c r="M1893" s="65" t="str">
        <f t="shared" ca="1" si="147"/>
        <v/>
      </c>
      <c r="N1893" s="74" t="str">
        <f>IF($C1893="","",IF($C1893="TANIMSIZ MÜŞTERİ","—",INDEX(MUSTERILER!$C$7:$C$156,MATCH($C1893,MUSTERILER!$B$7:$B$156,0))))</f>
        <v/>
      </c>
      <c r="O1893" s="2"/>
      <c r="P1893" s="2"/>
      <c r="Q1893" s="1" t="str">
        <f>IF($D1893="","",$C1893&amp;"|"&amp;COUNTIFS($C$7:$C1893,$C1893))</f>
        <v/>
      </c>
      <c r="R1893" s="1" t="str">
        <f t="shared" si="148"/>
        <v/>
      </c>
      <c r="S1893" s="1" t="str">
        <f t="shared" si="149"/>
        <v/>
      </c>
      <c r="T1893" s="1">
        <f>IF($E1893="",0,SUMPRODUCT((AY_SONU!$O$7:$O$42="Evet")*(AY_SONU!$B$7:$B$42=DATE(YEAR($E1893),MONTH($E1893),1))))</f>
        <v>0</v>
      </c>
    </row>
    <row r="1894" spans="1:20" ht="18" customHeight="1" x14ac:dyDescent="0.3">
      <c r="A1894" s="2"/>
      <c r="B1894" s="65" t="str">
        <f t="shared" si="145"/>
        <v/>
      </c>
      <c r="C1894" s="65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66"/>
      <c r="F1894" s="67"/>
      <c r="G1894" s="60"/>
      <c r="H1894" s="60"/>
      <c r="I1894" s="61"/>
      <c r="J1894" s="61"/>
      <c r="K1894" s="61"/>
      <c r="L1894" s="73" t="str">
        <f t="shared" si="146"/>
        <v/>
      </c>
      <c r="M1894" s="65" t="str">
        <f t="shared" ca="1" si="147"/>
        <v/>
      </c>
      <c r="N1894" s="74" t="str">
        <f>IF($C1894="","",IF($C1894="TANIMSIZ MÜŞTERİ","—",INDEX(MUSTERILER!$C$7:$C$156,MATCH($C1894,MUSTERILER!$B$7:$B$156,0))))</f>
        <v/>
      </c>
      <c r="O1894" s="2"/>
      <c r="P1894" s="2"/>
      <c r="Q1894" s="1" t="str">
        <f>IF($D1894="","",$C1894&amp;"|"&amp;COUNTIFS($C$7:$C1894,$C1894))</f>
        <v/>
      </c>
      <c r="R1894" s="1" t="str">
        <f t="shared" si="148"/>
        <v/>
      </c>
      <c r="S1894" s="1" t="str">
        <f t="shared" si="149"/>
        <v/>
      </c>
      <c r="T1894" s="1">
        <f>IF($E1894="",0,SUMPRODUCT((AY_SONU!$O$7:$O$42="Evet")*(AY_SONU!$B$7:$B$42=DATE(YEAR($E1894),MONTH($E1894),1))))</f>
        <v>0</v>
      </c>
    </row>
    <row r="1895" spans="1:20" ht="18" customHeight="1" x14ac:dyDescent="0.3">
      <c r="A1895" s="2"/>
      <c r="B1895" s="65" t="str">
        <f t="shared" si="145"/>
        <v/>
      </c>
      <c r="C1895" s="65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66"/>
      <c r="F1895" s="67"/>
      <c r="G1895" s="60"/>
      <c r="H1895" s="60"/>
      <c r="I1895" s="61"/>
      <c r="J1895" s="61"/>
      <c r="K1895" s="61"/>
      <c r="L1895" s="73" t="str">
        <f t="shared" si="146"/>
        <v/>
      </c>
      <c r="M1895" s="65" t="str">
        <f t="shared" ca="1" si="147"/>
        <v/>
      </c>
      <c r="N1895" s="74" t="str">
        <f>IF($C1895="","",IF($C1895="TANIMSIZ MÜŞTERİ","—",INDEX(MUSTERILER!$C$7:$C$156,MATCH($C1895,MUSTERILER!$B$7:$B$156,0))))</f>
        <v/>
      </c>
      <c r="O1895" s="2"/>
      <c r="P1895" s="2"/>
      <c r="Q1895" s="1" t="str">
        <f>IF($D1895="","",$C1895&amp;"|"&amp;COUNTIFS($C$7:$C1895,$C1895))</f>
        <v/>
      </c>
      <c r="R1895" s="1" t="str">
        <f t="shared" si="148"/>
        <v/>
      </c>
      <c r="S1895" s="1" t="str">
        <f t="shared" si="149"/>
        <v/>
      </c>
      <c r="T1895" s="1">
        <f>IF($E1895="",0,SUMPRODUCT((AY_SONU!$O$7:$O$42="Evet")*(AY_SONU!$B$7:$B$42=DATE(YEAR($E1895),MONTH($E1895),1))))</f>
        <v>0</v>
      </c>
    </row>
    <row r="1896" spans="1:20" ht="18" customHeight="1" x14ac:dyDescent="0.3">
      <c r="A1896" s="2"/>
      <c r="B1896" s="65" t="str">
        <f t="shared" si="145"/>
        <v/>
      </c>
      <c r="C1896" s="65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66"/>
      <c r="F1896" s="67"/>
      <c r="G1896" s="60"/>
      <c r="H1896" s="60"/>
      <c r="I1896" s="61"/>
      <c r="J1896" s="61"/>
      <c r="K1896" s="61"/>
      <c r="L1896" s="73" t="str">
        <f t="shared" si="146"/>
        <v/>
      </c>
      <c r="M1896" s="65" t="str">
        <f t="shared" ca="1" si="147"/>
        <v/>
      </c>
      <c r="N1896" s="74" t="str">
        <f>IF($C1896="","",IF($C1896="TANIMSIZ MÜŞTERİ","—",INDEX(MUSTERILER!$C$7:$C$156,MATCH($C1896,MUSTERILER!$B$7:$B$156,0))))</f>
        <v/>
      </c>
      <c r="O1896" s="2"/>
      <c r="P1896" s="2"/>
      <c r="Q1896" s="1" t="str">
        <f>IF($D1896="","",$C1896&amp;"|"&amp;COUNTIFS($C$7:$C1896,$C1896))</f>
        <v/>
      </c>
      <c r="R1896" s="1" t="str">
        <f t="shared" si="148"/>
        <v/>
      </c>
      <c r="S1896" s="1" t="str">
        <f t="shared" si="149"/>
        <v/>
      </c>
      <c r="T1896" s="1">
        <f>IF($E1896="",0,SUMPRODUCT((AY_SONU!$O$7:$O$42="Evet")*(AY_SONU!$B$7:$B$42=DATE(YEAR($E1896),MONTH($E1896),1))))</f>
        <v>0</v>
      </c>
    </row>
    <row r="1897" spans="1:20" ht="18" customHeight="1" x14ac:dyDescent="0.3">
      <c r="A1897" s="2"/>
      <c r="B1897" s="65" t="str">
        <f t="shared" si="145"/>
        <v/>
      </c>
      <c r="C1897" s="65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66"/>
      <c r="F1897" s="67"/>
      <c r="G1897" s="60"/>
      <c r="H1897" s="60"/>
      <c r="I1897" s="61"/>
      <c r="J1897" s="61"/>
      <c r="K1897" s="61"/>
      <c r="L1897" s="73" t="str">
        <f t="shared" si="146"/>
        <v/>
      </c>
      <c r="M1897" s="65" t="str">
        <f t="shared" ca="1" si="147"/>
        <v/>
      </c>
      <c r="N1897" s="74" t="str">
        <f>IF($C1897="","",IF($C1897="TANIMSIZ MÜŞTERİ","—",INDEX(MUSTERILER!$C$7:$C$156,MATCH($C1897,MUSTERILER!$B$7:$B$156,0))))</f>
        <v/>
      </c>
      <c r="O1897" s="2"/>
      <c r="P1897" s="2"/>
      <c r="Q1897" s="1" t="str">
        <f>IF($D1897="","",$C1897&amp;"|"&amp;COUNTIFS($C$7:$C1897,$C1897))</f>
        <v/>
      </c>
      <c r="R1897" s="1" t="str">
        <f t="shared" si="148"/>
        <v/>
      </c>
      <c r="S1897" s="1" t="str">
        <f t="shared" si="149"/>
        <v/>
      </c>
      <c r="T1897" s="1">
        <f>IF($E1897="",0,SUMPRODUCT((AY_SONU!$O$7:$O$42="Evet")*(AY_SONU!$B$7:$B$42=DATE(YEAR($E1897),MONTH($E1897),1))))</f>
        <v>0</v>
      </c>
    </row>
    <row r="1898" spans="1:20" ht="18" customHeight="1" x14ac:dyDescent="0.3">
      <c r="A1898" s="2"/>
      <c r="B1898" s="65" t="str">
        <f t="shared" si="145"/>
        <v/>
      </c>
      <c r="C1898" s="65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66"/>
      <c r="F1898" s="67"/>
      <c r="G1898" s="60"/>
      <c r="H1898" s="60"/>
      <c r="I1898" s="61"/>
      <c r="J1898" s="61"/>
      <c r="K1898" s="61"/>
      <c r="L1898" s="73" t="str">
        <f t="shared" si="146"/>
        <v/>
      </c>
      <c r="M1898" s="65" t="str">
        <f t="shared" ca="1" si="147"/>
        <v/>
      </c>
      <c r="N1898" s="74" t="str">
        <f>IF($C1898="","",IF($C1898="TANIMSIZ MÜŞTERİ","—",INDEX(MUSTERILER!$C$7:$C$156,MATCH($C1898,MUSTERILER!$B$7:$B$156,0))))</f>
        <v/>
      </c>
      <c r="O1898" s="2"/>
      <c r="P1898" s="2"/>
      <c r="Q1898" s="1" t="str">
        <f>IF($D1898="","",$C1898&amp;"|"&amp;COUNTIFS($C$7:$C1898,$C1898))</f>
        <v/>
      </c>
      <c r="R1898" s="1" t="str">
        <f t="shared" si="148"/>
        <v/>
      </c>
      <c r="S1898" s="1" t="str">
        <f t="shared" si="149"/>
        <v/>
      </c>
      <c r="T1898" s="1">
        <f>IF($E1898="",0,SUMPRODUCT((AY_SONU!$O$7:$O$42="Evet")*(AY_SONU!$B$7:$B$42=DATE(YEAR($E1898),MONTH($E1898),1))))</f>
        <v>0</v>
      </c>
    </row>
    <row r="1899" spans="1:20" ht="18" customHeight="1" x14ac:dyDescent="0.3">
      <c r="A1899" s="2"/>
      <c r="B1899" s="65" t="str">
        <f t="shared" si="145"/>
        <v/>
      </c>
      <c r="C1899" s="65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66"/>
      <c r="F1899" s="67"/>
      <c r="G1899" s="60"/>
      <c r="H1899" s="60"/>
      <c r="I1899" s="61"/>
      <c r="J1899" s="61"/>
      <c r="K1899" s="61"/>
      <c r="L1899" s="73" t="str">
        <f t="shared" si="146"/>
        <v/>
      </c>
      <c r="M1899" s="65" t="str">
        <f t="shared" ca="1" si="147"/>
        <v/>
      </c>
      <c r="N1899" s="74" t="str">
        <f>IF($C1899="","",IF($C1899="TANIMSIZ MÜŞTERİ","—",INDEX(MUSTERILER!$C$7:$C$156,MATCH($C1899,MUSTERILER!$B$7:$B$156,0))))</f>
        <v/>
      </c>
      <c r="O1899" s="2"/>
      <c r="P1899" s="2"/>
      <c r="Q1899" s="1" t="str">
        <f>IF($D1899="","",$C1899&amp;"|"&amp;COUNTIFS($C$7:$C1899,$C1899))</f>
        <v/>
      </c>
      <c r="R1899" s="1" t="str">
        <f t="shared" si="148"/>
        <v/>
      </c>
      <c r="S1899" s="1" t="str">
        <f t="shared" si="149"/>
        <v/>
      </c>
      <c r="T1899" s="1">
        <f>IF($E1899="",0,SUMPRODUCT((AY_SONU!$O$7:$O$42="Evet")*(AY_SONU!$B$7:$B$42=DATE(YEAR($E1899),MONTH($E1899),1))))</f>
        <v>0</v>
      </c>
    </row>
    <row r="1900" spans="1:20" ht="18" customHeight="1" x14ac:dyDescent="0.3">
      <c r="A1900" s="2"/>
      <c r="B1900" s="65" t="str">
        <f t="shared" si="145"/>
        <v/>
      </c>
      <c r="C1900" s="65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66"/>
      <c r="F1900" s="67"/>
      <c r="G1900" s="60"/>
      <c r="H1900" s="60"/>
      <c r="I1900" s="61"/>
      <c r="J1900" s="61"/>
      <c r="K1900" s="61"/>
      <c r="L1900" s="73" t="str">
        <f t="shared" si="146"/>
        <v/>
      </c>
      <c r="M1900" s="65" t="str">
        <f t="shared" ca="1" si="147"/>
        <v/>
      </c>
      <c r="N1900" s="74" t="str">
        <f>IF($C1900="","",IF($C1900="TANIMSIZ MÜŞTERİ","—",INDEX(MUSTERILER!$C$7:$C$156,MATCH($C1900,MUSTERILER!$B$7:$B$156,0))))</f>
        <v/>
      </c>
      <c r="O1900" s="2"/>
      <c r="P1900" s="2"/>
      <c r="Q1900" s="1" t="str">
        <f>IF($D1900="","",$C1900&amp;"|"&amp;COUNTIFS($C$7:$C1900,$C1900))</f>
        <v/>
      </c>
      <c r="R1900" s="1" t="str">
        <f t="shared" si="148"/>
        <v/>
      </c>
      <c r="S1900" s="1" t="str">
        <f t="shared" si="149"/>
        <v/>
      </c>
      <c r="T1900" s="1">
        <f>IF($E1900="",0,SUMPRODUCT((AY_SONU!$O$7:$O$42="Evet")*(AY_SONU!$B$7:$B$42=DATE(YEAR($E1900),MONTH($E1900),1))))</f>
        <v>0</v>
      </c>
    </row>
    <row r="1901" spans="1:20" ht="18" customHeight="1" x14ac:dyDescent="0.3">
      <c r="A1901" s="2"/>
      <c r="B1901" s="65" t="str">
        <f t="shared" si="145"/>
        <v/>
      </c>
      <c r="C1901" s="65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66"/>
      <c r="F1901" s="67"/>
      <c r="G1901" s="60"/>
      <c r="H1901" s="60"/>
      <c r="I1901" s="61"/>
      <c r="J1901" s="61"/>
      <c r="K1901" s="61"/>
      <c r="L1901" s="73" t="str">
        <f t="shared" si="146"/>
        <v/>
      </c>
      <c r="M1901" s="65" t="str">
        <f t="shared" ca="1" si="147"/>
        <v/>
      </c>
      <c r="N1901" s="74" t="str">
        <f>IF($C1901="","",IF($C1901="TANIMSIZ MÜŞTERİ","—",INDEX(MUSTERILER!$C$7:$C$156,MATCH($C1901,MUSTERILER!$B$7:$B$156,0))))</f>
        <v/>
      </c>
      <c r="O1901" s="2"/>
      <c r="P1901" s="2"/>
      <c r="Q1901" s="1" t="str">
        <f>IF($D1901="","",$C1901&amp;"|"&amp;COUNTIFS($C$7:$C1901,$C1901))</f>
        <v/>
      </c>
      <c r="R1901" s="1" t="str">
        <f t="shared" si="148"/>
        <v/>
      </c>
      <c r="S1901" s="1" t="str">
        <f t="shared" si="149"/>
        <v/>
      </c>
      <c r="T1901" s="1">
        <f>IF($E1901="",0,SUMPRODUCT((AY_SONU!$O$7:$O$42="Evet")*(AY_SONU!$B$7:$B$42=DATE(YEAR($E1901),MONTH($E1901),1))))</f>
        <v>0</v>
      </c>
    </row>
    <row r="1902" spans="1:20" ht="18" customHeight="1" x14ac:dyDescent="0.3">
      <c r="A1902" s="2"/>
      <c r="B1902" s="65" t="str">
        <f t="shared" si="145"/>
        <v/>
      </c>
      <c r="C1902" s="65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66"/>
      <c r="F1902" s="67"/>
      <c r="G1902" s="60"/>
      <c r="H1902" s="60"/>
      <c r="I1902" s="61"/>
      <c r="J1902" s="61"/>
      <c r="K1902" s="61"/>
      <c r="L1902" s="73" t="str">
        <f t="shared" si="146"/>
        <v/>
      </c>
      <c r="M1902" s="65" t="str">
        <f t="shared" ca="1" si="147"/>
        <v/>
      </c>
      <c r="N1902" s="74" t="str">
        <f>IF($C1902="","",IF($C1902="TANIMSIZ MÜŞTERİ","—",INDEX(MUSTERILER!$C$7:$C$156,MATCH($C1902,MUSTERILER!$B$7:$B$156,0))))</f>
        <v/>
      </c>
      <c r="O1902" s="2"/>
      <c r="P1902" s="2"/>
      <c r="Q1902" s="1" t="str">
        <f>IF($D1902="","",$C1902&amp;"|"&amp;COUNTIFS($C$7:$C1902,$C1902))</f>
        <v/>
      </c>
      <c r="R1902" s="1" t="str">
        <f t="shared" si="148"/>
        <v/>
      </c>
      <c r="S1902" s="1" t="str">
        <f t="shared" si="149"/>
        <v/>
      </c>
      <c r="T1902" s="1">
        <f>IF($E1902="",0,SUMPRODUCT((AY_SONU!$O$7:$O$42="Evet")*(AY_SONU!$B$7:$B$42=DATE(YEAR($E1902),MONTH($E1902),1))))</f>
        <v>0</v>
      </c>
    </row>
    <row r="1903" spans="1:20" ht="18" customHeight="1" x14ac:dyDescent="0.3">
      <c r="A1903" s="2"/>
      <c r="B1903" s="65" t="str">
        <f t="shared" si="145"/>
        <v/>
      </c>
      <c r="C1903" s="65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66"/>
      <c r="F1903" s="67"/>
      <c r="G1903" s="60"/>
      <c r="H1903" s="60"/>
      <c r="I1903" s="61"/>
      <c r="J1903" s="61"/>
      <c r="K1903" s="61"/>
      <c r="L1903" s="73" t="str">
        <f t="shared" si="146"/>
        <v/>
      </c>
      <c r="M1903" s="65" t="str">
        <f t="shared" ca="1" si="147"/>
        <v/>
      </c>
      <c r="N1903" s="74" t="str">
        <f>IF($C1903="","",IF($C1903="TANIMSIZ MÜŞTERİ","—",INDEX(MUSTERILER!$C$7:$C$156,MATCH($C1903,MUSTERILER!$B$7:$B$156,0))))</f>
        <v/>
      </c>
      <c r="O1903" s="2"/>
      <c r="P1903" s="2"/>
      <c r="Q1903" s="1" t="str">
        <f>IF($D1903="","",$C1903&amp;"|"&amp;COUNTIFS($C$7:$C1903,$C1903))</f>
        <v/>
      </c>
      <c r="R1903" s="1" t="str">
        <f t="shared" si="148"/>
        <v/>
      </c>
      <c r="S1903" s="1" t="str">
        <f t="shared" si="149"/>
        <v/>
      </c>
      <c r="T1903" s="1">
        <f>IF($E1903="",0,SUMPRODUCT((AY_SONU!$O$7:$O$42="Evet")*(AY_SONU!$B$7:$B$42=DATE(YEAR($E1903),MONTH($E1903),1))))</f>
        <v>0</v>
      </c>
    </row>
    <row r="1904" spans="1:20" ht="18" customHeight="1" x14ac:dyDescent="0.3">
      <c r="A1904" s="2"/>
      <c r="B1904" s="65" t="str">
        <f t="shared" si="145"/>
        <v/>
      </c>
      <c r="C1904" s="65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66"/>
      <c r="F1904" s="67"/>
      <c r="G1904" s="60"/>
      <c r="H1904" s="60"/>
      <c r="I1904" s="61"/>
      <c r="J1904" s="61"/>
      <c r="K1904" s="61"/>
      <c r="L1904" s="73" t="str">
        <f t="shared" si="146"/>
        <v/>
      </c>
      <c r="M1904" s="65" t="str">
        <f t="shared" ca="1" si="147"/>
        <v/>
      </c>
      <c r="N1904" s="74" t="str">
        <f>IF($C1904="","",IF($C1904="TANIMSIZ MÜŞTERİ","—",INDEX(MUSTERILER!$C$7:$C$156,MATCH($C1904,MUSTERILER!$B$7:$B$156,0))))</f>
        <v/>
      </c>
      <c r="O1904" s="2"/>
      <c r="P1904" s="2"/>
      <c r="Q1904" s="1" t="str">
        <f>IF($D1904="","",$C1904&amp;"|"&amp;COUNTIFS($C$7:$C1904,$C1904))</f>
        <v/>
      </c>
      <c r="R1904" s="1" t="str">
        <f t="shared" si="148"/>
        <v/>
      </c>
      <c r="S1904" s="1" t="str">
        <f t="shared" si="149"/>
        <v/>
      </c>
      <c r="T1904" s="1">
        <f>IF($E1904="",0,SUMPRODUCT((AY_SONU!$O$7:$O$42="Evet")*(AY_SONU!$B$7:$B$42=DATE(YEAR($E1904),MONTH($E1904),1))))</f>
        <v>0</v>
      </c>
    </row>
    <row r="1905" spans="1:20" ht="18" customHeight="1" x14ac:dyDescent="0.3">
      <c r="A1905" s="2"/>
      <c r="B1905" s="65" t="str">
        <f t="shared" si="145"/>
        <v/>
      </c>
      <c r="C1905" s="65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66"/>
      <c r="F1905" s="67"/>
      <c r="G1905" s="60"/>
      <c r="H1905" s="60"/>
      <c r="I1905" s="61"/>
      <c r="J1905" s="61"/>
      <c r="K1905" s="61"/>
      <c r="L1905" s="73" t="str">
        <f t="shared" si="146"/>
        <v/>
      </c>
      <c r="M1905" s="65" t="str">
        <f t="shared" ca="1" si="147"/>
        <v/>
      </c>
      <c r="N1905" s="74" t="str">
        <f>IF($C1905="","",IF($C1905="TANIMSIZ MÜŞTERİ","—",INDEX(MUSTERILER!$C$7:$C$156,MATCH($C1905,MUSTERILER!$B$7:$B$156,0))))</f>
        <v/>
      </c>
      <c r="O1905" s="2"/>
      <c r="P1905" s="2"/>
      <c r="Q1905" s="1" t="str">
        <f>IF($D1905="","",$C1905&amp;"|"&amp;COUNTIFS($C$7:$C1905,$C1905))</f>
        <v/>
      </c>
      <c r="R1905" s="1" t="str">
        <f t="shared" si="148"/>
        <v/>
      </c>
      <c r="S1905" s="1" t="str">
        <f t="shared" si="149"/>
        <v/>
      </c>
      <c r="T1905" s="1">
        <f>IF($E1905="",0,SUMPRODUCT((AY_SONU!$O$7:$O$42="Evet")*(AY_SONU!$B$7:$B$42=DATE(YEAR($E1905),MONTH($E1905),1))))</f>
        <v>0</v>
      </c>
    </row>
    <row r="1906" spans="1:20" ht="18" customHeight="1" x14ac:dyDescent="0.3">
      <c r="A1906" s="2"/>
      <c r="B1906" s="65" t="str">
        <f t="shared" si="145"/>
        <v/>
      </c>
      <c r="C1906" s="65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66"/>
      <c r="F1906" s="67"/>
      <c r="G1906" s="60"/>
      <c r="H1906" s="60"/>
      <c r="I1906" s="61"/>
      <c r="J1906" s="61"/>
      <c r="K1906" s="61"/>
      <c r="L1906" s="73" t="str">
        <f t="shared" si="146"/>
        <v/>
      </c>
      <c r="M1906" s="65" t="str">
        <f t="shared" ca="1" si="147"/>
        <v/>
      </c>
      <c r="N1906" s="74" t="str">
        <f>IF($C1906="","",IF($C1906="TANIMSIZ MÜŞTERİ","—",INDEX(MUSTERILER!$C$7:$C$156,MATCH($C1906,MUSTERILER!$B$7:$B$156,0))))</f>
        <v/>
      </c>
      <c r="O1906" s="2"/>
      <c r="P1906" s="2"/>
      <c r="Q1906" s="1" t="str">
        <f>IF($D1906="","",$C1906&amp;"|"&amp;COUNTIFS($C$7:$C1906,$C1906))</f>
        <v/>
      </c>
      <c r="R1906" s="1" t="str">
        <f t="shared" si="148"/>
        <v/>
      </c>
      <c r="S1906" s="1" t="str">
        <f t="shared" si="149"/>
        <v/>
      </c>
      <c r="T1906" s="1">
        <f>IF($E1906="",0,SUMPRODUCT((AY_SONU!$O$7:$O$42="Evet")*(AY_SONU!$B$7:$B$42=DATE(YEAR($E1906),MONTH($E1906),1))))</f>
        <v>0</v>
      </c>
    </row>
    <row r="1907" spans="1:20" ht="18" customHeight="1" x14ac:dyDescent="0.3">
      <c r="A1907" s="2"/>
      <c r="B1907" s="65" t="str">
        <f t="shared" si="145"/>
        <v/>
      </c>
      <c r="C1907" s="65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66"/>
      <c r="F1907" s="67"/>
      <c r="G1907" s="60"/>
      <c r="H1907" s="60"/>
      <c r="I1907" s="61"/>
      <c r="J1907" s="61"/>
      <c r="K1907" s="61"/>
      <c r="L1907" s="73" t="str">
        <f t="shared" si="146"/>
        <v/>
      </c>
      <c r="M1907" s="65" t="str">
        <f t="shared" ca="1" si="147"/>
        <v/>
      </c>
      <c r="N1907" s="74" t="str">
        <f>IF($C1907="","",IF($C1907="TANIMSIZ MÜŞTERİ","—",INDEX(MUSTERILER!$C$7:$C$156,MATCH($C1907,MUSTERILER!$B$7:$B$156,0))))</f>
        <v/>
      </c>
      <c r="O1907" s="2"/>
      <c r="P1907" s="2"/>
      <c r="Q1907" s="1" t="str">
        <f>IF($D1907="","",$C1907&amp;"|"&amp;COUNTIFS($C$7:$C1907,$C1907))</f>
        <v/>
      </c>
      <c r="R1907" s="1" t="str">
        <f t="shared" si="148"/>
        <v/>
      </c>
      <c r="S1907" s="1" t="str">
        <f t="shared" si="149"/>
        <v/>
      </c>
      <c r="T1907" s="1">
        <f>IF($E1907="",0,SUMPRODUCT((AY_SONU!$O$7:$O$42="Evet")*(AY_SONU!$B$7:$B$42=DATE(YEAR($E1907),MONTH($E1907),1))))</f>
        <v>0</v>
      </c>
    </row>
    <row r="1908" spans="1:20" ht="18" customHeight="1" x14ac:dyDescent="0.3">
      <c r="A1908" s="2"/>
      <c r="B1908" s="65" t="str">
        <f t="shared" si="145"/>
        <v/>
      </c>
      <c r="C1908" s="65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66"/>
      <c r="F1908" s="67"/>
      <c r="G1908" s="60"/>
      <c r="H1908" s="60"/>
      <c r="I1908" s="61"/>
      <c r="J1908" s="61"/>
      <c r="K1908" s="61"/>
      <c r="L1908" s="73" t="str">
        <f t="shared" si="146"/>
        <v/>
      </c>
      <c r="M1908" s="65" t="str">
        <f t="shared" ca="1" si="147"/>
        <v/>
      </c>
      <c r="N1908" s="74" t="str">
        <f>IF($C1908="","",IF($C1908="TANIMSIZ MÜŞTERİ","—",INDEX(MUSTERILER!$C$7:$C$156,MATCH($C1908,MUSTERILER!$B$7:$B$156,0))))</f>
        <v/>
      </c>
      <c r="O1908" s="2"/>
      <c r="P1908" s="2"/>
      <c r="Q1908" s="1" t="str">
        <f>IF($D1908="","",$C1908&amp;"|"&amp;COUNTIFS($C$7:$C1908,$C1908))</f>
        <v/>
      </c>
      <c r="R1908" s="1" t="str">
        <f t="shared" si="148"/>
        <v/>
      </c>
      <c r="S1908" s="1" t="str">
        <f t="shared" si="149"/>
        <v/>
      </c>
      <c r="T1908" s="1">
        <f>IF($E1908="",0,SUMPRODUCT((AY_SONU!$O$7:$O$42="Evet")*(AY_SONU!$B$7:$B$42=DATE(YEAR($E1908),MONTH($E1908),1))))</f>
        <v>0</v>
      </c>
    </row>
    <row r="1909" spans="1:20" ht="18" customHeight="1" x14ac:dyDescent="0.3">
      <c r="A1909" s="2"/>
      <c r="B1909" s="65" t="str">
        <f t="shared" si="145"/>
        <v/>
      </c>
      <c r="C1909" s="65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66"/>
      <c r="F1909" s="67"/>
      <c r="G1909" s="60"/>
      <c r="H1909" s="60"/>
      <c r="I1909" s="61"/>
      <c r="J1909" s="61"/>
      <c r="K1909" s="61"/>
      <c r="L1909" s="73" t="str">
        <f t="shared" si="146"/>
        <v/>
      </c>
      <c r="M1909" s="65" t="str">
        <f t="shared" ca="1" si="147"/>
        <v/>
      </c>
      <c r="N1909" s="74" t="str">
        <f>IF($C1909="","",IF($C1909="TANIMSIZ MÜŞTERİ","—",INDEX(MUSTERILER!$C$7:$C$156,MATCH($C1909,MUSTERILER!$B$7:$B$156,0))))</f>
        <v/>
      </c>
      <c r="O1909" s="2"/>
      <c r="P1909" s="2"/>
      <c r="Q1909" s="1" t="str">
        <f>IF($D1909="","",$C1909&amp;"|"&amp;COUNTIFS($C$7:$C1909,$C1909))</f>
        <v/>
      </c>
      <c r="R1909" s="1" t="str">
        <f t="shared" si="148"/>
        <v/>
      </c>
      <c r="S1909" s="1" t="str">
        <f t="shared" si="149"/>
        <v/>
      </c>
      <c r="T1909" s="1">
        <f>IF($E1909="",0,SUMPRODUCT((AY_SONU!$O$7:$O$42="Evet")*(AY_SONU!$B$7:$B$42=DATE(YEAR($E1909),MONTH($E1909),1))))</f>
        <v>0</v>
      </c>
    </row>
    <row r="1910" spans="1:20" ht="18" customHeight="1" x14ac:dyDescent="0.3">
      <c r="A1910" s="2"/>
      <c r="B1910" s="65" t="str">
        <f t="shared" si="145"/>
        <v/>
      </c>
      <c r="C1910" s="65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66"/>
      <c r="F1910" s="67"/>
      <c r="G1910" s="60"/>
      <c r="H1910" s="60"/>
      <c r="I1910" s="61"/>
      <c r="J1910" s="61"/>
      <c r="K1910" s="61"/>
      <c r="L1910" s="73" t="str">
        <f t="shared" si="146"/>
        <v/>
      </c>
      <c r="M1910" s="65" t="str">
        <f t="shared" ca="1" si="147"/>
        <v/>
      </c>
      <c r="N1910" s="74" t="str">
        <f>IF($C1910="","",IF($C1910="TANIMSIZ MÜŞTERİ","—",INDEX(MUSTERILER!$C$7:$C$156,MATCH($C1910,MUSTERILER!$B$7:$B$156,0))))</f>
        <v/>
      </c>
      <c r="O1910" s="2"/>
      <c r="P1910" s="2"/>
      <c r="Q1910" s="1" t="str">
        <f>IF($D1910="","",$C1910&amp;"|"&amp;COUNTIFS($C$7:$C1910,$C1910))</f>
        <v/>
      </c>
      <c r="R1910" s="1" t="str">
        <f t="shared" si="148"/>
        <v/>
      </c>
      <c r="S1910" s="1" t="str">
        <f t="shared" si="149"/>
        <v/>
      </c>
      <c r="T1910" s="1">
        <f>IF($E1910="",0,SUMPRODUCT((AY_SONU!$O$7:$O$42="Evet")*(AY_SONU!$B$7:$B$42=DATE(YEAR($E1910),MONTH($E1910),1))))</f>
        <v>0</v>
      </c>
    </row>
    <row r="1911" spans="1:20" ht="18" customHeight="1" x14ac:dyDescent="0.3">
      <c r="A1911" s="2"/>
      <c r="B1911" s="65" t="str">
        <f t="shared" si="145"/>
        <v/>
      </c>
      <c r="C1911" s="65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66"/>
      <c r="F1911" s="67"/>
      <c r="G1911" s="60"/>
      <c r="H1911" s="60"/>
      <c r="I1911" s="61"/>
      <c r="J1911" s="61"/>
      <c r="K1911" s="61"/>
      <c r="L1911" s="73" t="str">
        <f t="shared" si="146"/>
        <v/>
      </c>
      <c r="M1911" s="65" t="str">
        <f t="shared" ca="1" si="147"/>
        <v/>
      </c>
      <c r="N1911" s="74" t="str">
        <f>IF($C1911="","",IF($C1911="TANIMSIZ MÜŞTERİ","—",INDEX(MUSTERILER!$C$7:$C$156,MATCH($C1911,MUSTERILER!$B$7:$B$156,0))))</f>
        <v/>
      </c>
      <c r="O1911" s="2"/>
      <c r="P1911" s="2"/>
      <c r="Q1911" s="1" t="str">
        <f>IF($D1911="","",$C1911&amp;"|"&amp;COUNTIFS($C$7:$C1911,$C1911))</f>
        <v/>
      </c>
      <c r="R1911" s="1" t="str">
        <f t="shared" si="148"/>
        <v/>
      </c>
      <c r="S1911" s="1" t="str">
        <f t="shared" si="149"/>
        <v/>
      </c>
      <c r="T1911" s="1">
        <f>IF($E1911="",0,SUMPRODUCT((AY_SONU!$O$7:$O$42="Evet")*(AY_SONU!$B$7:$B$42=DATE(YEAR($E1911),MONTH($E1911),1))))</f>
        <v>0</v>
      </c>
    </row>
    <row r="1912" spans="1:20" ht="18" customHeight="1" x14ac:dyDescent="0.3">
      <c r="A1912" s="2"/>
      <c r="B1912" s="65" t="str">
        <f t="shared" si="145"/>
        <v/>
      </c>
      <c r="C1912" s="65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66"/>
      <c r="F1912" s="67"/>
      <c r="G1912" s="60"/>
      <c r="H1912" s="60"/>
      <c r="I1912" s="61"/>
      <c r="J1912" s="61"/>
      <c r="K1912" s="61"/>
      <c r="L1912" s="73" t="str">
        <f t="shared" si="146"/>
        <v/>
      </c>
      <c r="M1912" s="65" t="str">
        <f t="shared" ca="1" si="147"/>
        <v/>
      </c>
      <c r="N1912" s="74" t="str">
        <f>IF($C1912="","",IF($C1912="TANIMSIZ MÜŞTERİ","—",INDEX(MUSTERILER!$C$7:$C$156,MATCH($C1912,MUSTERILER!$B$7:$B$156,0))))</f>
        <v/>
      </c>
      <c r="O1912" s="2"/>
      <c r="P1912" s="2"/>
      <c r="Q1912" s="1" t="str">
        <f>IF($D1912="","",$C1912&amp;"|"&amp;COUNTIFS($C$7:$C1912,$C1912))</f>
        <v/>
      </c>
      <c r="R1912" s="1" t="str">
        <f t="shared" si="148"/>
        <v/>
      </c>
      <c r="S1912" s="1" t="str">
        <f t="shared" si="149"/>
        <v/>
      </c>
      <c r="T1912" s="1">
        <f>IF($E1912="",0,SUMPRODUCT((AY_SONU!$O$7:$O$42="Evet")*(AY_SONU!$B$7:$B$42=DATE(YEAR($E1912),MONTH($E1912),1))))</f>
        <v>0</v>
      </c>
    </row>
    <row r="1913" spans="1:20" ht="18" customHeight="1" x14ac:dyDescent="0.3">
      <c r="A1913" s="2"/>
      <c r="B1913" s="65" t="str">
        <f t="shared" si="145"/>
        <v/>
      </c>
      <c r="C1913" s="65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66"/>
      <c r="F1913" s="67"/>
      <c r="G1913" s="60"/>
      <c r="H1913" s="60"/>
      <c r="I1913" s="61"/>
      <c r="J1913" s="61"/>
      <c r="K1913" s="61"/>
      <c r="L1913" s="73" t="str">
        <f t="shared" si="146"/>
        <v/>
      </c>
      <c r="M1913" s="65" t="str">
        <f t="shared" ca="1" si="147"/>
        <v/>
      </c>
      <c r="N1913" s="74" t="str">
        <f>IF($C1913="","",IF($C1913="TANIMSIZ MÜŞTERİ","—",INDEX(MUSTERILER!$C$7:$C$156,MATCH($C1913,MUSTERILER!$B$7:$B$156,0))))</f>
        <v/>
      </c>
      <c r="O1913" s="2"/>
      <c r="P1913" s="2"/>
      <c r="Q1913" s="1" t="str">
        <f>IF($D1913="","",$C1913&amp;"|"&amp;COUNTIFS($C$7:$C1913,$C1913))</f>
        <v/>
      </c>
      <c r="R1913" s="1" t="str">
        <f t="shared" si="148"/>
        <v/>
      </c>
      <c r="S1913" s="1" t="str">
        <f t="shared" si="149"/>
        <v/>
      </c>
      <c r="T1913" s="1">
        <f>IF($E1913="",0,SUMPRODUCT((AY_SONU!$O$7:$O$42="Evet")*(AY_SONU!$B$7:$B$42=DATE(YEAR($E1913),MONTH($E1913),1))))</f>
        <v>0</v>
      </c>
    </row>
    <row r="1914" spans="1:20" ht="18" customHeight="1" x14ac:dyDescent="0.3">
      <c r="A1914" s="2"/>
      <c r="B1914" s="65" t="str">
        <f t="shared" si="145"/>
        <v/>
      </c>
      <c r="C1914" s="65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66"/>
      <c r="F1914" s="67"/>
      <c r="G1914" s="60"/>
      <c r="H1914" s="60"/>
      <c r="I1914" s="61"/>
      <c r="J1914" s="61"/>
      <c r="K1914" s="61"/>
      <c r="L1914" s="73" t="str">
        <f t="shared" si="146"/>
        <v/>
      </c>
      <c r="M1914" s="65" t="str">
        <f t="shared" ca="1" si="147"/>
        <v/>
      </c>
      <c r="N1914" s="74" t="str">
        <f>IF($C1914="","",IF($C1914="TANIMSIZ MÜŞTERİ","—",INDEX(MUSTERILER!$C$7:$C$156,MATCH($C1914,MUSTERILER!$B$7:$B$156,0))))</f>
        <v/>
      </c>
      <c r="O1914" s="2"/>
      <c r="P1914" s="2"/>
      <c r="Q1914" s="1" t="str">
        <f>IF($D1914="","",$C1914&amp;"|"&amp;COUNTIFS($C$7:$C1914,$C1914))</f>
        <v/>
      </c>
      <c r="R1914" s="1" t="str">
        <f t="shared" si="148"/>
        <v/>
      </c>
      <c r="S1914" s="1" t="str">
        <f t="shared" si="149"/>
        <v/>
      </c>
      <c r="T1914" s="1">
        <f>IF($E1914="",0,SUMPRODUCT((AY_SONU!$O$7:$O$42="Evet")*(AY_SONU!$B$7:$B$42=DATE(YEAR($E1914),MONTH($E1914),1))))</f>
        <v>0</v>
      </c>
    </row>
    <row r="1915" spans="1:20" ht="18" customHeight="1" x14ac:dyDescent="0.3">
      <c r="A1915" s="2"/>
      <c r="B1915" s="65" t="str">
        <f t="shared" si="145"/>
        <v/>
      </c>
      <c r="C1915" s="65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66"/>
      <c r="F1915" s="67"/>
      <c r="G1915" s="60"/>
      <c r="H1915" s="60"/>
      <c r="I1915" s="61"/>
      <c r="J1915" s="61"/>
      <c r="K1915" s="61"/>
      <c r="L1915" s="73" t="str">
        <f t="shared" si="146"/>
        <v/>
      </c>
      <c r="M1915" s="65" t="str">
        <f t="shared" ca="1" si="147"/>
        <v/>
      </c>
      <c r="N1915" s="74" t="str">
        <f>IF($C1915="","",IF($C1915="TANIMSIZ MÜŞTERİ","—",INDEX(MUSTERILER!$C$7:$C$156,MATCH($C1915,MUSTERILER!$B$7:$B$156,0))))</f>
        <v/>
      </c>
      <c r="O1915" s="2"/>
      <c r="P1915" s="2"/>
      <c r="Q1915" s="1" t="str">
        <f>IF($D1915="","",$C1915&amp;"|"&amp;COUNTIFS($C$7:$C1915,$C1915))</f>
        <v/>
      </c>
      <c r="R1915" s="1" t="str">
        <f t="shared" si="148"/>
        <v/>
      </c>
      <c r="S1915" s="1" t="str">
        <f t="shared" si="149"/>
        <v/>
      </c>
      <c r="T1915" s="1">
        <f>IF($E1915="",0,SUMPRODUCT((AY_SONU!$O$7:$O$42="Evet")*(AY_SONU!$B$7:$B$42=DATE(YEAR($E1915),MONTH($E1915),1))))</f>
        <v>0</v>
      </c>
    </row>
    <row r="1916" spans="1:20" ht="18" customHeight="1" x14ac:dyDescent="0.3">
      <c r="A1916" s="2"/>
      <c r="B1916" s="65" t="str">
        <f t="shared" si="145"/>
        <v/>
      </c>
      <c r="C1916" s="65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66"/>
      <c r="F1916" s="67"/>
      <c r="G1916" s="60"/>
      <c r="H1916" s="60"/>
      <c r="I1916" s="61"/>
      <c r="J1916" s="61"/>
      <c r="K1916" s="61"/>
      <c r="L1916" s="73" t="str">
        <f t="shared" si="146"/>
        <v/>
      </c>
      <c r="M1916" s="65" t="str">
        <f t="shared" ca="1" si="147"/>
        <v/>
      </c>
      <c r="N1916" s="74" t="str">
        <f>IF($C1916="","",IF($C1916="TANIMSIZ MÜŞTERİ","—",INDEX(MUSTERILER!$C$7:$C$156,MATCH($C1916,MUSTERILER!$B$7:$B$156,0))))</f>
        <v/>
      </c>
      <c r="O1916" s="2"/>
      <c r="P1916" s="2"/>
      <c r="Q1916" s="1" t="str">
        <f>IF($D1916="","",$C1916&amp;"|"&amp;COUNTIFS($C$7:$C1916,$C1916))</f>
        <v/>
      </c>
      <c r="R1916" s="1" t="str">
        <f t="shared" si="148"/>
        <v/>
      </c>
      <c r="S1916" s="1" t="str">
        <f t="shared" si="149"/>
        <v/>
      </c>
      <c r="T1916" s="1">
        <f>IF($E1916="",0,SUMPRODUCT((AY_SONU!$O$7:$O$42="Evet")*(AY_SONU!$B$7:$B$42=DATE(YEAR($E1916),MONTH($E1916),1))))</f>
        <v>0</v>
      </c>
    </row>
    <row r="1917" spans="1:20" ht="18" customHeight="1" x14ac:dyDescent="0.3">
      <c r="A1917" s="2"/>
      <c r="B1917" s="65" t="str">
        <f t="shared" si="145"/>
        <v/>
      </c>
      <c r="C1917" s="65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66"/>
      <c r="F1917" s="67"/>
      <c r="G1917" s="60"/>
      <c r="H1917" s="60"/>
      <c r="I1917" s="61"/>
      <c r="J1917" s="61"/>
      <c r="K1917" s="61"/>
      <c r="L1917" s="73" t="str">
        <f t="shared" si="146"/>
        <v/>
      </c>
      <c r="M1917" s="65" t="str">
        <f t="shared" ca="1" si="147"/>
        <v/>
      </c>
      <c r="N1917" s="74" t="str">
        <f>IF($C1917="","",IF($C1917="TANIMSIZ MÜŞTERİ","—",INDEX(MUSTERILER!$C$7:$C$156,MATCH($C1917,MUSTERILER!$B$7:$B$156,0))))</f>
        <v/>
      </c>
      <c r="O1917" s="2"/>
      <c r="P1917" s="2"/>
      <c r="Q1917" s="1" t="str">
        <f>IF($D1917="","",$C1917&amp;"|"&amp;COUNTIFS($C$7:$C1917,$C1917))</f>
        <v/>
      </c>
      <c r="R1917" s="1" t="str">
        <f t="shared" si="148"/>
        <v/>
      </c>
      <c r="S1917" s="1" t="str">
        <f t="shared" si="149"/>
        <v/>
      </c>
      <c r="T1917" s="1">
        <f>IF($E1917="",0,SUMPRODUCT((AY_SONU!$O$7:$O$42="Evet")*(AY_SONU!$B$7:$B$42=DATE(YEAR($E1917),MONTH($E1917),1))))</f>
        <v>0</v>
      </c>
    </row>
    <row r="1918" spans="1:20" ht="18" customHeight="1" x14ac:dyDescent="0.3">
      <c r="A1918" s="2"/>
      <c r="B1918" s="65" t="str">
        <f t="shared" si="145"/>
        <v/>
      </c>
      <c r="C1918" s="65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66"/>
      <c r="F1918" s="67"/>
      <c r="G1918" s="60"/>
      <c r="H1918" s="60"/>
      <c r="I1918" s="61"/>
      <c r="J1918" s="61"/>
      <c r="K1918" s="61"/>
      <c r="L1918" s="73" t="str">
        <f t="shared" si="146"/>
        <v/>
      </c>
      <c r="M1918" s="65" t="str">
        <f t="shared" ca="1" si="147"/>
        <v/>
      </c>
      <c r="N1918" s="74" t="str">
        <f>IF($C1918="","",IF($C1918="TANIMSIZ MÜŞTERİ","—",INDEX(MUSTERILER!$C$7:$C$156,MATCH($C1918,MUSTERILER!$B$7:$B$156,0))))</f>
        <v/>
      </c>
      <c r="O1918" s="2"/>
      <c r="P1918" s="2"/>
      <c r="Q1918" s="1" t="str">
        <f>IF($D1918="","",$C1918&amp;"|"&amp;COUNTIFS($C$7:$C1918,$C1918))</f>
        <v/>
      </c>
      <c r="R1918" s="1" t="str">
        <f t="shared" si="148"/>
        <v/>
      </c>
      <c r="S1918" s="1" t="str">
        <f t="shared" si="149"/>
        <v/>
      </c>
      <c r="T1918" s="1">
        <f>IF($E1918="",0,SUMPRODUCT((AY_SONU!$O$7:$O$42="Evet")*(AY_SONU!$B$7:$B$42=DATE(YEAR($E1918),MONTH($E1918),1))))</f>
        <v>0</v>
      </c>
    </row>
    <row r="1919" spans="1:20" ht="18" customHeight="1" x14ac:dyDescent="0.3">
      <c r="A1919" s="2"/>
      <c r="B1919" s="65" t="str">
        <f t="shared" si="145"/>
        <v/>
      </c>
      <c r="C1919" s="65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66"/>
      <c r="F1919" s="67"/>
      <c r="G1919" s="60"/>
      <c r="H1919" s="60"/>
      <c r="I1919" s="61"/>
      <c r="J1919" s="61"/>
      <c r="K1919" s="61"/>
      <c r="L1919" s="73" t="str">
        <f t="shared" si="146"/>
        <v/>
      </c>
      <c r="M1919" s="65" t="str">
        <f t="shared" ca="1" si="147"/>
        <v/>
      </c>
      <c r="N1919" s="74" t="str">
        <f>IF($C1919="","",IF($C1919="TANIMSIZ MÜŞTERİ","—",INDEX(MUSTERILER!$C$7:$C$156,MATCH($C1919,MUSTERILER!$B$7:$B$156,0))))</f>
        <v/>
      </c>
      <c r="O1919" s="2"/>
      <c r="P1919" s="2"/>
      <c r="Q1919" s="1" t="str">
        <f>IF($D1919="","",$C1919&amp;"|"&amp;COUNTIFS($C$7:$C1919,$C1919))</f>
        <v/>
      </c>
      <c r="R1919" s="1" t="str">
        <f t="shared" si="148"/>
        <v/>
      </c>
      <c r="S1919" s="1" t="str">
        <f t="shared" si="149"/>
        <v/>
      </c>
      <c r="T1919" s="1">
        <f>IF($E1919="",0,SUMPRODUCT((AY_SONU!$O$7:$O$42="Evet")*(AY_SONU!$B$7:$B$42=DATE(YEAR($E1919),MONTH($E1919),1))))</f>
        <v>0</v>
      </c>
    </row>
    <row r="1920" spans="1:20" ht="18" customHeight="1" x14ac:dyDescent="0.3">
      <c r="A1920" s="2"/>
      <c r="B1920" s="65" t="str">
        <f t="shared" si="145"/>
        <v/>
      </c>
      <c r="C1920" s="65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66"/>
      <c r="F1920" s="67"/>
      <c r="G1920" s="60"/>
      <c r="H1920" s="60"/>
      <c r="I1920" s="61"/>
      <c r="J1920" s="61"/>
      <c r="K1920" s="61"/>
      <c r="L1920" s="73" t="str">
        <f t="shared" si="146"/>
        <v/>
      </c>
      <c r="M1920" s="65" t="str">
        <f t="shared" ca="1" si="147"/>
        <v/>
      </c>
      <c r="N1920" s="74" t="str">
        <f>IF($C1920="","",IF($C1920="TANIMSIZ MÜŞTERİ","—",INDEX(MUSTERILER!$C$7:$C$156,MATCH($C1920,MUSTERILER!$B$7:$B$156,0))))</f>
        <v/>
      </c>
      <c r="O1920" s="2"/>
      <c r="P1920" s="2"/>
      <c r="Q1920" s="1" t="str">
        <f>IF($D1920="","",$C1920&amp;"|"&amp;COUNTIFS($C$7:$C1920,$C1920))</f>
        <v/>
      </c>
      <c r="R1920" s="1" t="str">
        <f t="shared" si="148"/>
        <v/>
      </c>
      <c r="S1920" s="1" t="str">
        <f t="shared" si="149"/>
        <v/>
      </c>
      <c r="T1920" s="1">
        <f>IF($E1920="",0,SUMPRODUCT((AY_SONU!$O$7:$O$42="Evet")*(AY_SONU!$B$7:$B$42=DATE(YEAR($E1920),MONTH($E1920),1))))</f>
        <v>0</v>
      </c>
    </row>
    <row r="1921" spans="1:20" ht="18" customHeight="1" x14ac:dyDescent="0.3">
      <c r="A1921" s="2"/>
      <c r="B1921" s="65" t="str">
        <f t="shared" si="145"/>
        <v/>
      </c>
      <c r="C1921" s="65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66"/>
      <c r="F1921" s="67"/>
      <c r="G1921" s="60"/>
      <c r="H1921" s="60"/>
      <c r="I1921" s="61"/>
      <c r="J1921" s="61"/>
      <c r="K1921" s="61"/>
      <c r="L1921" s="73" t="str">
        <f t="shared" si="146"/>
        <v/>
      </c>
      <c r="M1921" s="65" t="str">
        <f t="shared" ca="1" si="147"/>
        <v/>
      </c>
      <c r="N1921" s="74" t="str">
        <f>IF($C1921="","",IF($C1921="TANIMSIZ MÜŞTERİ","—",INDEX(MUSTERILER!$C$7:$C$156,MATCH($C1921,MUSTERILER!$B$7:$B$156,0))))</f>
        <v/>
      </c>
      <c r="O1921" s="2"/>
      <c r="P1921" s="2"/>
      <c r="Q1921" s="1" t="str">
        <f>IF($D1921="","",$C1921&amp;"|"&amp;COUNTIFS($C$7:$C1921,$C1921))</f>
        <v/>
      </c>
      <c r="R1921" s="1" t="str">
        <f t="shared" si="148"/>
        <v/>
      </c>
      <c r="S1921" s="1" t="str">
        <f t="shared" si="149"/>
        <v/>
      </c>
      <c r="T1921" s="1">
        <f>IF($E1921="",0,SUMPRODUCT((AY_SONU!$O$7:$O$42="Evet")*(AY_SONU!$B$7:$B$42=DATE(YEAR($E1921),MONTH($E1921),1))))</f>
        <v>0</v>
      </c>
    </row>
    <row r="1922" spans="1:20" ht="18" customHeight="1" x14ac:dyDescent="0.3">
      <c r="A1922" s="2"/>
      <c r="B1922" s="65" t="str">
        <f t="shared" si="145"/>
        <v/>
      </c>
      <c r="C1922" s="65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66"/>
      <c r="F1922" s="67"/>
      <c r="G1922" s="60"/>
      <c r="H1922" s="60"/>
      <c r="I1922" s="61"/>
      <c r="J1922" s="61"/>
      <c r="K1922" s="61"/>
      <c r="L1922" s="73" t="str">
        <f t="shared" si="146"/>
        <v/>
      </c>
      <c r="M1922" s="65" t="str">
        <f t="shared" ca="1" si="147"/>
        <v/>
      </c>
      <c r="N1922" s="74" t="str">
        <f>IF($C1922="","",IF($C1922="TANIMSIZ MÜŞTERİ","—",INDEX(MUSTERILER!$C$7:$C$156,MATCH($C1922,MUSTERILER!$B$7:$B$156,0))))</f>
        <v/>
      </c>
      <c r="O1922" s="2"/>
      <c r="P1922" s="2"/>
      <c r="Q1922" s="1" t="str">
        <f>IF($D1922="","",$C1922&amp;"|"&amp;COUNTIFS($C$7:$C1922,$C1922))</f>
        <v/>
      </c>
      <c r="R1922" s="1" t="str">
        <f t="shared" si="148"/>
        <v/>
      </c>
      <c r="S1922" s="1" t="str">
        <f t="shared" si="149"/>
        <v/>
      </c>
      <c r="T1922" s="1">
        <f>IF($E1922="",0,SUMPRODUCT((AY_SONU!$O$7:$O$42="Evet")*(AY_SONU!$B$7:$B$42=DATE(YEAR($E1922),MONTH($E1922),1))))</f>
        <v>0</v>
      </c>
    </row>
    <row r="1923" spans="1:20" ht="18" customHeight="1" x14ac:dyDescent="0.3">
      <c r="A1923" s="2"/>
      <c r="B1923" s="65" t="str">
        <f t="shared" si="145"/>
        <v/>
      </c>
      <c r="C1923" s="65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66"/>
      <c r="F1923" s="67"/>
      <c r="G1923" s="60"/>
      <c r="H1923" s="60"/>
      <c r="I1923" s="61"/>
      <c r="J1923" s="61"/>
      <c r="K1923" s="61"/>
      <c r="L1923" s="73" t="str">
        <f t="shared" si="146"/>
        <v/>
      </c>
      <c r="M1923" s="65" t="str">
        <f t="shared" ca="1" si="147"/>
        <v/>
      </c>
      <c r="N1923" s="74" t="str">
        <f>IF($C1923="","",IF($C1923="TANIMSIZ MÜŞTERİ","—",INDEX(MUSTERILER!$C$7:$C$156,MATCH($C1923,MUSTERILER!$B$7:$B$156,0))))</f>
        <v/>
      </c>
      <c r="O1923" s="2"/>
      <c r="P1923" s="2"/>
      <c r="Q1923" s="1" t="str">
        <f>IF($D1923="","",$C1923&amp;"|"&amp;COUNTIFS($C$7:$C1923,$C1923))</f>
        <v/>
      </c>
      <c r="R1923" s="1" t="str">
        <f t="shared" si="148"/>
        <v/>
      </c>
      <c r="S1923" s="1" t="str">
        <f t="shared" si="149"/>
        <v/>
      </c>
      <c r="T1923" s="1">
        <f>IF($E1923="",0,SUMPRODUCT((AY_SONU!$O$7:$O$42="Evet")*(AY_SONU!$B$7:$B$42=DATE(YEAR($E1923),MONTH($E1923),1))))</f>
        <v>0</v>
      </c>
    </row>
    <row r="1924" spans="1:20" ht="18" customHeight="1" x14ac:dyDescent="0.3">
      <c r="A1924" s="2"/>
      <c r="B1924" s="65" t="str">
        <f t="shared" si="145"/>
        <v/>
      </c>
      <c r="C1924" s="65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66"/>
      <c r="F1924" s="67"/>
      <c r="G1924" s="60"/>
      <c r="H1924" s="60"/>
      <c r="I1924" s="61"/>
      <c r="J1924" s="61"/>
      <c r="K1924" s="61"/>
      <c r="L1924" s="73" t="str">
        <f t="shared" si="146"/>
        <v/>
      </c>
      <c r="M1924" s="65" t="str">
        <f t="shared" ca="1" si="147"/>
        <v/>
      </c>
      <c r="N1924" s="74" t="str">
        <f>IF($C1924="","",IF($C1924="TANIMSIZ MÜŞTERİ","—",INDEX(MUSTERILER!$C$7:$C$156,MATCH($C1924,MUSTERILER!$B$7:$B$156,0))))</f>
        <v/>
      </c>
      <c r="O1924" s="2"/>
      <c r="P1924" s="2"/>
      <c r="Q1924" s="1" t="str">
        <f>IF($D1924="","",$C1924&amp;"|"&amp;COUNTIFS($C$7:$C1924,$C1924))</f>
        <v/>
      </c>
      <c r="R1924" s="1" t="str">
        <f t="shared" si="148"/>
        <v/>
      </c>
      <c r="S1924" s="1" t="str">
        <f t="shared" si="149"/>
        <v/>
      </c>
      <c r="T1924" s="1">
        <f>IF($E1924="",0,SUMPRODUCT((AY_SONU!$O$7:$O$42="Evet")*(AY_SONU!$B$7:$B$42=DATE(YEAR($E1924),MONTH($E1924),1))))</f>
        <v>0</v>
      </c>
    </row>
    <row r="1925" spans="1:20" ht="18" customHeight="1" x14ac:dyDescent="0.3">
      <c r="A1925" s="2"/>
      <c r="B1925" s="65" t="str">
        <f t="shared" si="145"/>
        <v/>
      </c>
      <c r="C1925" s="65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66"/>
      <c r="F1925" s="67"/>
      <c r="G1925" s="60"/>
      <c r="H1925" s="60"/>
      <c r="I1925" s="61"/>
      <c r="J1925" s="61"/>
      <c r="K1925" s="61"/>
      <c r="L1925" s="73" t="str">
        <f t="shared" si="146"/>
        <v/>
      </c>
      <c r="M1925" s="65" t="str">
        <f t="shared" ca="1" si="147"/>
        <v/>
      </c>
      <c r="N1925" s="74" t="str">
        <f>IF($C1925="","",IF($C1925="TANIMSIZ MÜŞTERİ","—",INDEX(MUSTERILER!$C$7:$C$156,MATCH($C1925,MUSTERILER!$B$7:$B$156,0))))</f>
        <v/>
      </c>
      <c r="O1925" s="2"/>
      <c r="P1925" s="2"/>
      <c r="Q1925" s="1" t="str">
        <f>IF($D1925="","",$C1925&amp;"|"&amp;COUNTIFS($C$7:$C1925,$C1925))</f>
        <v/>
      </c>
      <c r="R1925" s="1" t="str">
        <f t="shared" si="148"/>
        <v/>
      </c>
      <c r="S1925" s="1" t="str">
        <f t="shared" si="149"/>
        <v/>
      </c>
      <c r="T1925" s="1">
        <f>IF($E1925="",0,SUMPRODUCT((AY_SONU!$O$7:$O$42="Evet")*(AY_SONU!$B$7:$B$42=DATE(YEAR($E1925),MONTH($E1925),1))))</f>
        <v>0</v>
      </c>
    </row>
    <row r="1926" spans="1:20" ht="18" customHeight="1" x14ac:dyDescent="0.3">
      <c r="A1926" s="2"/>
      <c r="B1926" s="65" t="str">
        <f t="shared" si="145"/>
        <v/>
      </c>
      <c r="C1926" s="65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66"/>
      <c r="F1926" s="67"/>
      <c r="G1926" s="60"/>
      <c r="H1926" s="60"/>
      <c r="I1926" s="61"/>
      <c r="J1926" s="61"/>
      <c r="K1926" s="61"/>
      <c r="L1926" s="73" t="str">
        <f t="shared" si="146"/>
        <v/>
      </c>
      <c r="M1926" s="65" t="str">
        <f t="shared" ca="1" si="147"/>
        <v/>
      </c>
      <c r="N1926" s="74" t="str">
        <f>IF($C1926="","",IF($C1926="TANIMSIZ MÜŞTERİ","—",INDEX(MUSTERILER!$C$7:$C$156,MATCH($C1926,MUSTERILER!$B$7:$B$156,0))))</f>
        <v/>
      </c>
      <c r="O1926" s="2"/>
      <c r="P1926" s="2"/>
      <c r="Q1926" s="1" t="str">
        <f>IF($D1926="","",$C1926&amp;"|"&amp;COUNTIFS($C$7:$C1926,$C1926))</f>
        <v/>
      </c>
      <c r="R1926" s="1" t="str">
        <f t="shared" si="148"/>
        <v/>
      </c>
      <c r="S1926" s="1" t="str">
        <f t="shared" si="149"/>
        <v/>
      </c>
      <c r="T1926" s="1">
        <f>IF($E1926="",0,SUMPRODUCT((AY_SONU!$O$7:$O$42="Evet")*(AY_SONU!$B$7:$B$42=DATE(YEAR($E1926),MONTH($E1926),1))))</f>
        <v>0</v>
      </c>
    </row>
    <row r="1927" spans="1:20" ht="18" customHeight="1" x14ac:dyDescent="0.3">
      <c r="A1927" s="2"/>
      <c r="B1927" s="65" t="str">
        <f t="shared" ref="B1927:B1990" si="150">IF($D1927="","","T"&amp;TEXT(ROW()-6,"00000"))</f>
        <v/>
      </c>
      <c r="C1927" s="65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66"/>
      <c r="F1927" s="67"/>
      <c r="G1927" s="60"/>
      <c r="H1927" s="60"/>
      <c r="I1927" s="61"/>
      <c r="J1927" s="61"/>
      <c r="K1927" s="61"/>
      <c r="L1927" s="73" t="str">
        <f t="shared" ref="L1927:L1990" si="151">IF($E1927="","",DATE(YEAR($E1927),MONTH($E1927),1))</f>
        <v/>
      </c>
      <c r="M1927" s="65" t="str">
        <f t="shared" ref="M1927:M1990" ca="1" si="152">IF($D1927="","",IF($C1927="TANIMSIZ MÜŞTERİ","HATA",IF(OR($E1927="",$F1927&lt;=0,$G1927=""),"EKSİK",IF($E1927&gt;TODAY(),"İLERİ TARİH",IF(COUNTIF($S$7:$S$2506,$S1927)&gt;1,"MÜKERRER?",IF($T1927&gt;0,"KAPALI DÖNEM","UYGUN"))))))</f>
        <v/>
      </c>
      <c r="N1927" s="74" t="str">
        <f>IF($C1927="","",IF($C1927="TANIMSIZ MÜŞTERİ","—",INDEX(MUSTERILER!$C$7:$C$156,MATCH($C1927,MUSTERILER!$B$7:$B$156,0))))</f>
        <v/>
      </c>
      <c r="O1927" s="2"/>
      <c r="P1927" s="2"/>
      <c r="Q1927" s="1" t="str">
        <f>IF($D1927="","",$C1927&amp;"|"&amp;COUNTIFS($C$7:$C1927,$C1927))</f>
        <v/>
      </c>
      <c r="R1927" s="1" t="str">
        <f t="shared" ref="R1927:R1990" si="153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 t="str">
        <f t="shared" ref="S1927:S1990" si="154"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>0</v>
      </c>
    </row>
    <row r="1928" spans="1:20" ht="18" customHeight="1" x14ac:dyDescent="0.3">
      <c r="A1928" s="2"/>
      <c r="B1928" s="65" t="str">
        <f t="shared" si="150"/>
        <v/>
      </c>
      <c r="C1928" s="65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66"/>
      <c r="F1928" s="67"/>
      <c r="G1928" s="60"/>
      <c r="H1928" s="60"/>
      <c r="I1928" s="61"/>
      <c r="J1928" s="61"/>
      <c r="K1928" s="61"/>
      <c r="L1928" s="73" t="str">
        <f t="shared" si="151"/>
        <v/>
      </c>
      <c r="M1928" s="65" t="str">
        <f t="shared" ca="1" si="152"/>
        <v/>
      </c>
      <c r="N1928" s="74" t="str">
        <f>IF($C1928="","",IF($C1928="TANIMSIZ MÜŞTERİ","—",INDEX(MUSTERILER!$C$7:$C$156,MATCH($C1928,MUSTERILER!$B$7:$B$156,0))))</f>
        <v/>
      </c>
      <c r="O1928" s="2"/>
      <c r="P1928" s="2"/>
      <c r="Q1928" s="1" t="str">
        <f>IF($D1928="","",$C1928&amp;"|"&amp;COUNTIFS($C$7:$C1928,$C1928))</f>
        <v/>
      </c>
      <c r="R1928" s="1" t="str">
        <f t="shared" si="153"/>
        <v/>
      </c>
      <c r="S1928" s="1" t="str">
        <f t="shared" si="154"/>
        <v/>
      </c>
      <c r="T1928" s="1">
        <f>IF($E1928="",0,SUMPRODUCT((AY_SONU!$O$7:$O$42="Evet")*(AY_SONU!$B$7:$B$42=DATE(YEAR($E1928),MONTH($E1928),1))))</f>
        <v>0</v>
      </c>
    </row>
    <row r="1929" spans="1:20" ht="18" customHeight="1" x14ac:dyDescent="0.3">
      <c r="A1929" s="2"/>
      <c r="B1929" s="65" t="str">
        <f t="shared" si="150"/>
        <v/>
      </c>
      <c r="C1929" s="65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66"/>
      <c r="F1929" s="67"/>
      <c r="G1929" s="60"/>
      <c r="H1929" s="60"/>
      <c r="I1929" s="61"/>
      <c r="J1929" s="61"/>
      <c r="K1929" s="61"/>
      <c r="L1929" s="73" t="str">
        <f t="shared" si="151"/>
        <v/>
      </c>
      <c r="M1929" s="65" t="str">
        <f t="shared" ca="1" si="152"/>
        <v/>
      </c>
      <c r="N1929" s="74" t="str">
        <f>IF($C1929="","",IF($C1929="TANIMSIZ MÜŞTERİ","—",INDEX(MUSTERILER!$C$7:$C$156,MATCH($C1929,MUSTERILER!$B$7:$B$156,0))))</f>
        <v/>
      </c>
      <c r="O1929" s="2"/>
      <c r="P1929" s="2"/>
      <c r="Q1929" s="1" t="str">
        <f>IF($D1929="","",$C1929&amp;"|"&amp;COUNTIFS($C$7:$C1929,$C1929))</f>
        <v/>
      </c>
      <c r="R1929" s="1" t="str">
        <f t="shared" si="153"/>
        <v/>
      </c>
      <c r="S1929" s="1" t="str">
        <f t="shared" si="154"/>
        <v/>
      </c>
      <c r="T1929" s="1">
        <f>IF($E1929="",0,SUMPRODUCT((AY_SONU!$O$7:$O$42="Evet")*(AY_SONU!$B$7:$B$42=DATE(YEAR($E1929),MONTH($E1929),1))))</f>
        <v>0</v>
      </c>
    </row>
    <row r="1930" spans="1:20" ht="18" customHeight="1" x14ac:dyDescent="0.3">
      <c r="A1930" s="2"/>
      <c r="B1930" s="65" t="str">
        <f t="shared" si="150"/>
        <v/>
      </c>
      <c r="C1930" s="65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66"/>
      <c r="F1930" s="67"/>
      <c r="G1930" s="60"/>
      <c r="H1930" s="60"/>
      <c r="I1930" s="61"/>
      <c r="J1930" s="61"/>
      <c r="K1930" s="61"/>
      <c r="L1930" s="73" t="str">
        <f t="shared" si="151"/>
        <v/>
      </c>
      <c r="M1930" s="65" t="str">
        <f t="shared" ca="1" si="152"/>
        <v/>
      </c>
      <c r="N1930" s="74" t="str">
        <f>IF($C1930="","",IF($C1930="TANIMSIZ MÜŞTERİ","—",INDEX(MUSTERILER!$C$7:$C$156,MATCH($C1930,MUSTERILER!$B$7:$B$156,0))))</f>
        <v/>
      </c>
      <c r="O1930" s="2"/>
      <c r="P1930" s="2"/>
      <c r="Q1930" s="1" t="str">
        <f>IF($D1930="","",$C1930&amp;"|"&amp;COUNTIFS($C$7:$C1930,$C1930))</f>
        <v/>
      </c>
      <c r="R1930" s="1" t="str">
        <f t="shared" si="153"/>
        <v/>
      </c>
      <c r="S1930" s="1" t="str">
        <f t="shared" si="154"/>
        <v/>
      </c>
      <c r="T1930" s="1">
        <f>IF($E1930="",0,SUMPRODUCT((AY_SONU!$O$7:$O$42="Evet")*(AY_SONU!$B$7:$B$42=DATE(YEAR($E1930),MONTH($E1930),1))))</f>
        <v>0</v>
      </c>
    </row>
    <row r="1931" spans="1:20" ht="18" customHeight="1" x14ac:dyDescent="0.3">
      <c r="A1931" s="2"/>
      <c r="B1931" s="65" t="str">
        <f t="shared" si="150"/>
        <v/>
      </c>
      <c r="C1931" s="65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66"/>
      <c r="F1931" s="67"/>
      <c r="G1931" s="60"/>
      <c r="H1931" s="60"/>
      <c r="I1931" s="61"/>
      <c r="J1931" s="61"/>
      <c r="K1931" s="61"/>
      <c r="L1931" s="73" t="str">
        <f t="shared" si="151"/>
        <v/>
      </c>
      <c r="M1931" s="65" t="str">
        <f t="shared" ca="1" si="152"/>
        <v/>
      </c>
      <c r="N1931" s="74" t="str">
        <f>IF($C1931="","",IF($C1931="TANIMSIZ MÜŞTERİ","—",INDEX(MUSTERILER!$C$7:$C$156,MATCH($C1931,MUSTERILER!$B$7:$B$156,0))))</f>
        <v/>
      </c>
      <c r="O1931" s="2"/>
      <c r="P1931" s="2"/>
      <c r="Q1931" s="1" t="str">
        <f>IF($D1931="","",$C1931&amp;"|"&amp;COUNTIFS($C$7:$C1931,$C1931))</f>
        <v/>
      </c>
      <c r="R1931" s="1" t="str">
        <f t="shared" si="153"/>
        <v/>
      </c>
      <c r="S1931" s="1" t="str">
        <f t="shared" si="154"/>
        <v/>
      </c>
      <c r="T1931" s="1">
        <f>IF($E1931="",0,SUMPRODUCT((AY_SONU!$O$7:$O$42="Evet")*(AY_SONU!$B$7:$B$42=DATE(YEAR($E1931),MONTH($E1931),1))))</f>
        <v>0</v>
      </c>
    </row>
    <row r="1932" spans="1:20" ht="18" customHeight="1" x14ac:dyDescent="0.3">
      <c r="A1932" s="2"/>
      <c r="B1932" s="65" t="str">
        <f t="shared" si="150"/>
        <v/>
      </c>
      <c r="C1932" s="65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66"/>
      <c r="F1932" s="67"/>
      <c r="G1932" s="60"/>
      <c r="H1932" s="60"/>
      <c r="I1932" s="61"/>
      <c r="J1932" s="61"/>
      <c r="K1932" s="61"/>
      <c r="L1932" s="73" t="str">
        <f t="shared" si="151"/>
        <v/>
      </c>
      <c r="M1932" s="65" t="str">
        <f t="shared" ca="1" si="152"/>
        <v/>
      </c>
      <c r="N1932" s="74" t="str">
        <f>IF($C1932="","",IF($C1932="TANIMSIZ MÜŞTERİ","—",INDEX(MUSTERILER!$C$7:$C$156,MATCH($C1932,MUSTERILER!$B$7:$B$156,0))))</f>
        <v/>
      </c>
      <c r="O1932" s="2"/>
      <c r="P1932" s="2"/>
      <c r="Q1932" s="1" t="str">
        <f>IF($D1932="","",$C1932&amp;"|"&amp;COUNTIFS($C$7:$C1932,$C1932))</f>
        <v/>
      </c>
      <c r="R1932" s="1" t="str">
        <f t="shared" si="153"/>
        <v/>
      </c>
      <c r="S1932" s="1" t="str">
        <f t="shared" si="154"/>
        <v/>
      </c>
      <c r="T1932" s="1">
        <f>IF($E1932="",0,SUMPRODUCT((AY_SONU!$O$7:$O$42="Evet")*(AY_SONU!$B$7:$B$42=DATE(YEAR($E1932),MONTH($E1932),1))))</f>
        <v>0</v>
      </c>
    </row>
    <row r="1933" spans="1:20" ht="18" customHeight="1" x14ac:dyDescent="0.3">
      <c r="A1933" s="2"/>
      <c r="B1933" s="65" t="str">
        <f t="shared" si="150"/>
        <v/>
      </c>
      <c r="C1933" s="65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66"/>
      <c r="F1933" s="67"/>
      <c r="G1933" s="60"/>
      <c r="H1933" s="60"/>
      <c r="I1933" s="61"/>
      <c r="J1933" s="61"/>
      <c r="K1933" s="61"/>
      <c r="L1933" s="73" t="str">
        <f t="shared" si="151"/>
        <v/>
      </c>
      <c r="M1933" s="65" t="str">
        <f t="shared" ca="1" si="152"/>
        <v/>
      </c>
      <c r="N1933" s="74" t="str">
        <f>IF($C1933="","",IF($C1933="TANIMSIZ MÜŞTERİ","—",INDEX(MUSTERILER!$C$7:$C$156,MATCH($C1933,MUSTERILER!$B$7:$B$156,0))))</f>
        <v/>
      </c>
      <c r="O1933" s="2"/>
      <c r="P1933" s="2"/>
      <c r="Q1933" s="1" t="str">
        <f>IF($D1933="","",$C1933&amp;"|"&amp;COUNTIFS($C$7:$C1933,$C1933))</f>
        <v/>
      </c>
      <c r="R1933" s="1" t="str">
        <f t="shared" si="153"/>
        <v/>
      </c>
      <c r="S1933" s="1" t="str">
        <f t="shared" si="154"/>
        <v/>
      </c>
      <c r="T1933" s="1">
        <f>IF($E1933="",0,SUMPRODUCT((AY_SONU!$O$7:$O$42="Evet")*(AY_SONU!$B$7:$B$42=DATE(YEAR($E1933),MONTH($E1933),1))))</f>
        <v>0</v>
      </c>
    </row>
    <row r="1934" spans="1:20" ht="18" customHeight="1" x14ac:dyDescent="0.3">
      <c r="A1934" s="2"/>
      <c r="B1934" s="65" t="str">
        <f t="shared" si="150"/>
        <v/>
      </c>
      <c r="C1934" s="65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66"/>
      <c r="F1934" s="67"/>
      <c r="G1934" s="60"/>
      <c r="H1934" s="60"/>
      <c r="I1934" s="61"/>
      <c r="J1934" s="61"/>
      <c r="K1934" s="61"/>
      <c r="L1934" s="73" t="str">
        <f t="shared" si="151"/>
        <v/>
      </c>
      <c r="M1934" s="65" t="str">
        <f t="shared" ca="1" si="152"/>
        <v/>
      </c>
      <c r="N1934" s="74" t="str">
        <f>IF($C1934="","",IF($C1934="TANIMSIZ MÜŞTERİ","—",INDEX(MUSTERILER!$C$7:$C$156,MATCH($C1934,MUSTERILER!$B$7:$B$156,0))))</f>
        <v/>
      </c>
      <c r="O1934" s="2"/>
      <c r="P1934" s="2"/>
      <c r="Q1934" s="1" t="str">
        <f>IF($D1934="","",$C1934&amp;"|"&amp;COUNTIFS($C$7:$C1934,$C1934))</f>
        <v/>
      </c>
      <c r="R1934" s="1" t="str">
        <f t="shared" si="153"/>
        <v/>
      </c>
      <c r="S1934" s="1" t="str">
        <f t="shared" si="154"/>
        <v/>
      </c>
      <c r="T1934" s="1">
        <f>IF($E1934="",0,SUMPRODUCT((AY_SONU!$O$7:$O$42="Evet")*(AY_SONU!$B$7:$B$42=DATE(YEAR($E1934),MONTH($E1934),1))))</f>
        <v>0</v>
      </c>
    </row>
    <row r="1935" spans="1:20" ht="18" customHeight="1" x14ac:dyDescent="0.3">
      <c r="A1935" s="2"/>
      <c r="B1935" s="65" t="str">
        <f t="shared" si="150"/>
        <v/>
      </c>
      <c r="C1935" s="65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66"/>
      <c r="F1935" s="67"/>
      <c r="G1935" s="60"/>
      <c r="H1935" s="60"/>
      <c r="I1935" s="61"/>
      <c r="J1935" s="61"/>
      <c r="K1935" s="61"/>
      <c r="L1935" s="73" t="str">
        <f t="shared" si="151"/>
        <v/>
      </c>
      <c r="M1935" s="65" t="str">
        <f t="shared" ca="1" si="152"/>
        <v/>
      </c>
      <c r="N1935" s="74" t="str">
        <f>IF($C1935="","",IF($C1935="TANIMSIZ MÜŞTERİ","—",INDEX(MUSTERILER!$C$7:$C$156,MATCH($C1935,MUSTERILER!$B$7:$B$156,0))))</f>
        <v/>
      </c>
      <c r="O1935" s="2"/>
      <c r="P1935" s="2"/>
      <c r="Q1935" s="1" t="str">
        <f>IF($D1935="","",$C1935&amp;"|"&amp;COUNTIFS($C$7:$C1935,$C1935))</f>
        <v/>
      </c>
      <c r="R1935" s="1" t="str">
        <f t="shared" si="153"/>
        <v/>
      </c>
      <c r="S1935" s="1" t="str">
        <f t="shared" si="154"/>
        <v/>
      </c>
      <c r="T1935" s="1">
        <f>IF($E1935="",0,SUMPRODUCT((AY_SONU!$O$7:$O$42="Evet")*(AY_SONU!$B$7:$B$42=DATE(YEAR($E1935),MONTH($E1935),1))))</f>
        <v>0</v>
      </c>
    </row>
    <row r="1936" spans="1:20" ht="18" customHeight="1" x14ac:dyDescent="0.3">
      <c r="A1936" s="2"/>
      <c r="B1936" s="65" t="str">
        <f t="shared" si="150"/>
        <v/>
      </c>
      <c r="C1936" s="65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66"/>
      <c r="F1936" s="67"/>
      <c r="G1936" s="60"/>
      <c r="H1936" s="60"/>
      <c r="I1936" s="61"/>
      <c r="J1936" s="61"/>
      <c r="K1936" s="61"/>
      <c r="L1936" s="73" t="str">
        <f t="shared" si="151"/>
        <v/>
      </c>
      <c r="M1936" s="65" t="str">
        <f t="shared" ca="1" si="152"/>
        <v/>
      </c>
      <c r="N1936" s="74" t="str">
        <f>IF($C1936="","",IF($C1936="TANIMSIZ MÜŞTERİ","—",INDEX(MUSTERILER!$C$7:$C$156,MATCH($C1936,MUSTERILER!$B$7:$B$156,0))))</f>
        <v/>
      </c>
      <c r="O1936" s="2"/>
      <c r="P1936" s="2"/>
      <c r="Q1936" s="1" t="str">
        <f>IF($D1936="","",$C1936&amp;"|"&amp;COUNTIFS($C$7:$C1936,$C1936))</f>
        <v/>
      </c>
      <c r="R1936" s="1" t="str">
        <f t="shared" si="153"/>
        <v/>
      </c>
      <c r="S1936" s="1" t="str">
        <f t="shared" si="154"/>
        <v/>
      </c>
      <c r="T1936" s="1">
        <f>IF($E1936="",0,SUMPRODUCT((AY_SONU!$O$7:$O$42="Evet")*(AY_SONU!$B$7:$B$42=DATE(YEAR($E1936),MONTH($E1936),1))))</f>
        <v>0</v>
      </c>
    </row>
    <row r="1937" spans="1:20" ht="18" customHeight="1" x14ac:dyDescent="0.3">
      <c r="A1937" s="2"/>
      <c r="B1937" s="65" t="str">
        <f t="shared" si="150"/>
        <v/>
      </c>
      <c r="C1937" s="65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66"/>
      <c r="F1937" s="67"/>
      <c r="G1937" s="60"/>
      <c r="H1937" s="60"/>
      <c r="I1937" s="61"/>
      <c r="J1937" s="61"/>
      <c r="K1937" s="61"/>
      <c r="L1937" s="73" t="str">
        <f t="shared" si="151"/>
        <v/>
      </c>
      <c r="M1937" s="65" t="str">
        <f t="shared" ca="1" si="152"/>
        <v/>
      </c>
      <c r="N1937" s="74" t="str">
        <f>IF($C1937="","",IF($C1937="TANIMSIZ MÜŞTERİ","—",INDEX(MUSTERILER!$C$7:$C$156,MATCH($C1937,MUSTERILER!$B$7:$B$156,0))))</f>
        <v/>
      </c>
      <c r="O1937" s="2"/>
      <c r="P1937" s="2"/>
      <c r="Q1937" s="1" t="str">
        <f>IF($D1937="","",$C1937&amp;"|"&amp;COUNTIFS($C$7:$C1937,$C1937))</f>
        <v/>
      </c>
      <c r="R1937" s="1" t="str">
        <f t="shared" si="153"/>
        <v/>
      </c>
      <c r="S1937" s="1" t="str">
        <f t="shared" si="154"/>
        <v/>
      </c>
      <c r="T1937" s="1">
        <f>IF($E1937="",0,SUMPRODUCT((AY_SONU!$O$7:$O$42="Evet")*(AY_SONU!$B$7:$B$42=DATE(YEAR($E1937),MONTH($E1937),1))))</f>
        <v>0</v>
      </c>
    </row>
    <row r="1938" spans="1:20" ht="18" customHeight="1" x14ac:dyDescent="0.3">
      <c r="A1938" s="2"/>
      <c r="B1938" s="65" t="str">
        <f t="shared" si="150"/>
        <v/>
      </c>
      <c r="C1938" s="65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66"/>
      <c r="F1938" s="67"/>
      <c r="G1938" s="60"/>
      <c r="H1938" s="60"/>
      <c r="I1938" s="61"/>
      <c r="J1938" s="61"/>
      <c r="K1938" s="61"/>
      <c r="L1938" s="73" t="str">
        <f t="shared" si="151"/>
        <v/>
      </c>
      <c r="M1938" s="65" t="str">
        <f t="shared" ca="1" si="152"/>
        <v/>
      </c>
      <c r="N1938" s="74" t="str">
        <f>IF($C1938="","",IF($C1938="TANIMSIZ MÜŞTERİ","—",INDEX(MUSTERILER!$C$7:$C$156,MATCH($C1938,MUSTERILER!$B$7:$B$156,0))))</f>
        <v/>
      </c>
      <c r="O1938" s="2"/>
      <c r="P1938" s="2"/>
      <c r="Q1938" s="1" t="str">
        <f>IF($D1938="","",$C1938&amp;"|"&amp;COUNTIFS($C$7:$C1938,$C1938))</f>
        <v/>
      </c>
      <c r="R1938" s="1" t="str">
        <f t="shared" si="153"/>
        <v/>
      </c>
      <c r="S1938" s="1" t="str">
        <f t="shared" si="154"/>
        <v/>
      </c>
      <c r="T1938" s="1">
        <f>IF($E1938="",0,SUMPRODUCT((AY_SONU!$O$7:$O$42="Evet")*(AY_SONU!$B$7:$B$42=DATE(YEAR($E1938),MONTH($E1938),1))))</f>
        <v>0</v>
      </c>
    </row>
    <row r="1939" spans="1:20" ht="18" customHeight="1" x14ac:dyDescent="0.3">
      <c r="A1939" s="2"/>
      <c r="B1939" s="65" t="str">
        <f t="shared" si="150"/>
        <v/>
      </c>
      <c r="C1939" s="65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66"/>
      <c r="F1939" s="67"/>
      <c r="G1939" s="60"/>
      <c r="H1939" s="60"/>
      <c r="I1939" s="61"/>
      <c r="J1939" s="61"/>
      <c r="K1939" s="61"/>
      <c r="L1939" s="73" t="str">
        <f t="shared" si="151"/>
        <v/>
      </c>
      <c r="M1939" s="65" t="str">
        <f t="shared" ca="1" si="152"/>
        <v/>
      </c>
      <c r="N1939" s="74" t="str">
        <f>IF($C1939="","",IF($C1939="TANIMSIZ MÜŞTERİ","—",INDEX(MUSTERILER!$C$7:$C$156,MATCH($C1939,MUSTERILER!$B$7:$B$156,0))))</f>
        <v/>
      </c>
      <c r="O1939" s="2"/>
      <c r="P1939" s="2"/>
      <c r="Q1939" s="1" t="str">
        <f>IF($D1939="","",$C1939&amp;"|"&amp;COUNTIFS($C$7:$C1939,$C1939))</f>
        <v/>
      </c>
      <c r="R1939" s="1" t="str">
        <f t="shared" si="153"/>
        <v/>
      </c>
      <c r="S1939" s="1" t="str">
        <f t="shared" si="154"/>
        <v/>
      </c>
      <c r="T1939" s="1">
        <f>IF($E1939="",0,SUMPRODUCT((AY_SONU!$O$7:$O$42="Evet")*(AY_SONU!$B$7:$B$42=DATE(YEAR($E1939),MONTH($E1939),1))))</f>
        <v>0</v>
      </c>
    </row>
    <row r="1940" spans="1:20" ht="18" customHeight="1" x14ac:dyDescent="0.3">
      <c r="A1940" s="2"/>
      <c r="B1940" s="65" t="str">
        <f t="shared" si="150"/>
        <v/>
      </c>
      <c r="C1940" s="65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66"/>
      <c r="F1940" s="67"/>
      <c r="G1940" s="60"/>
      <c r="H1940" s="60"/>
      <c r="I1940" s="61"/>
      <c r="J1940" s="61"/>
      <c r="K1940" s="61"/>
      <c r="L1940" s="73" t="str">
        <f t="shared" si="151"/>
        <v/>
      </c>
      <c r="M1940" s="65" t="str">
        <f t="shared" ca="1" si="152"/>
        <v/>
      </c>
      <c r="N1940" s="74" t="str">
        <f>IF($C1940="","",IF($C1940="TANIMSIZ MÜŞTERİ","—",INDEX(MUSTERILER!$C$7:$C$156,MATCH($C1940,MUSTERILER!$B$7:$B$156,0))))</f>
        <v/>
      </c>
      <c r="O1940" s="2"/>
      <c r="P1940" s="2"/>
      <c r="Q1940" s="1" t="str">
        <f>IF($D1940="","",$C1940&amp;"|"&amp;COUNTIFS($C$7:$C1940,$C1940))</f>
        <v/>
      </c>
      <c r="R1940" s="1" t="str">
        <f t="shared" si="153"/>
        <v/>
      </c>
      <c r="S1940" s="1" t="str">
        <f t="shared" si="154"/>
        <v/>
      </c>
      <c r="T1940" s="1">
        <f>IF($E1940="",0,SUMPRODUCT((AY_SONU!$O$7:$O$42="Evet")*(AY_SONU!$B$7:$B$42=DATE(YEAR($E1940),MONTH($E1940),1))))</f>
        <v>0</v>
      </c>
    </row>
    <row r="1941" spans="1:20" ht="18" customHeight="1" x14ac:dyDescent="0.3">
      <c r="A1941" s="2"/>
      <c r="B1941" s="65" t="str">
        <f t="shared" si="150"/>
        <v/>
      </c>
      <c r="C1941" s="65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66"/>
      <c r="F1941" s="67"/>
      <c r="G1941" s="60"/>
      <c r="H1941" s="60"/>
      <c r="I1941" s="61"/>
      <c r="J1941" s="61"/>
      <c r="K1941" s="61"/>
      <c r="L1941" s="73" t="str">
        <f t="shared" si="151"/>
        <v/>
      </c>
      <c r="M1941" s="65" t="str">
        <f t="shared" ca="1" si="152"/>
        <v/>
      </c>
      <c r="N1941" s="74" t="str">
        <f>IF($C1941="","",IF($C1941="TANIMSIZ MÜŞTERİ","—",INDEX(MUSTERILER!$C$7:$C$156,MATCH($C1941,MUSTERILER!$B$7:$B$156,0))))</f>
        <v/>
      </c>
      <c r="O1941" s="2"/>
      <c r="P1941" s="2"/>
      <c r="Q1941" s="1" t="str">
        <f>IF($D1941="","",$C1941&amp;"|"&amp;COUNTIFS($C$7:$C1941,$C1941))</f>
        <v/>
      </c>
      <c r="R1941" s="1" t="str">
        <f t="shared" si="153"/>
        <v/>
      </c>
      <c r="S1941" s="1" t="str">
        <f t="shared" si="154"/>
        <v/>
      </c>
      <c r="T1941" s="1">
        <f>IF($E1941="",0,SUMPRODUCT((AY_SONU!$O$7:$O$42="Evet")*(AY_SONU!$B$7:$B$42=DATE(YEAR($E1941),MONTH($E1941),1))))</f>
        <v>0</v>
      </c>
    </row>
    <row r="1942" spans="1:20" ht="18" customHeight="1" x14ac:dyDescent="0.3">
      <c r="A1942" s="2"/>
      <c r="B1942" s="65" t="str">
        <f t="shared" si="150"/>
        <v/>
      </c>
      <c r="C1942" s="65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66"/>
      <c r="F1942" s="67"/>
      <c r="G1942" s="60"/>
      <c r="H1942" s="60"/>
      <c r="I1942" s="61"/>
      <c r="J1942" s="61"/>
      <c r="K1942" s="61"/>
      <c r="L1942" s="73" t="str">
        <f t="shared" si="151"/>
        <v/>
      </c>
      <c r="M1942" s="65" t="str">
        <f t="shared" ca="1" si="152"/>
        <v/>
      </c>
      <c r="N1942" s="74" t="str">
        <f>IF($C1942="","",IF($C1942="TANIMSIZ MÜŞTERİ","—",INDEX(MUSTERILER!$C$7:$C$156,MATCH($C1942,MUSTERILER!$B$7:$B$156,0))))</f>
        <v/>
      </c>
      <c r="O1942" s="2"/>
      <c r="P1942" s="2"/>
      <c r="Q1942" s="1" t="str">
        <f>IF($D1942="","",$C1942&amp;"|"&amp;COUNTIFS($C$7:$C1942,$C1942))</f>
        <v/>
      </c>
      <c r="R1942" s="1" t="str">
        <f t="shared" si="153"/>
        <v/>
      </c>
      <c r="S1942" s="1" t="str">
        <f t="shared" si="154"/>
        <v/>
      </c>
      <c r="T1942" s="1">
        <f>IF($E1942="",0,SUMPRODUCT((AY_SONU!$O$7:$O$42="Evet")*(AY_SONU!$B$7:$B$42=DATE(YEAR($E1942),MONTH($E1942),1))))</f>
        <v>0</v>
      </c>
    </row>
    <row r="1943" spans="1:20" ht="18" customHeight="1" x14ac:dyDescent="0.3">
      <c r="A1943" s="2"/>
      <c r="B1943" s="65" t="str">
        <f t="shared" si="150"/>
        <v/>
      </c>
      <c r="C1943" s="65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66"/>
      <c r="F1943" s="67"/>
      <c r="G1943" s="60"/>
      <c r="H1943" s="60"/>
      <c r="I1943" s="61"/>
      <c r="J1943" s="61"/>
      <c r="K1943" s="61"/>
      <c r="L1943" s="73" t="str">
        <f t="shared" si="151"/>
        <v/>
      </c>
      <c r="M1943" s="65" t="str">
        <f t="shared" ca="1" si="152"/>
        <v/>
      </c>
      <c r="N1943" s="74" t="str">
        <f>IF($C1943="","",IF($C1943="TANIMSIZ MÜŞTERİ","—",INDEX(MUSTERILER!$C$7:$C$156,MATCH($C1943,MUSTERILER!$B$7:$B$156,0))))</f>
        <v/>
      </c>
      <c r="O1943" s="2"/>
      <c r="P1943" s="2"/>
      <c r="Q1943" s="1" t="str">
        <f>IF($D1943="","",$C1943&amp;"|"&amp;COUNTIFS($C$7:$C1943,$C1943))</f>
        <v/>
      </c>
      <c r="R1943" s="1" t="str">
        <f t="shared" si="153"/>
        <v/>
      </c>
      <c r="S1943" s="1" t="str">
        <f t="shared" si="154"/>
        <v/>
      </c>
      <c r="T1943" s="1">
        <f>IF($E1943="",0,SUMPRODUCT((AY_SONU!$O$7:$O$42="Evet")*(AY_SONU!$B$7:$B$42=DATE(YEAR($E1943),MONTH($E1943),1))))</f>
        <v>0</v>
      </c>
    </row>
    <row r="1944" spans="1:20" ht="18" customHeight="1" x14ac:dyDescent="0.3">
      <c r="A1944" s="2"/>
      <c r="B1944" s="65" t="str">
        <f t="shared" si="150"/>
        <v/>
      </c>
      <c r="C1944" s="65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66"/>
      <c r="F1944" s="67"/>
      <c r="G1944" s="60"/>
      <c r="H1944" s="60"/>
      <c r="I1944" s="61"/>
      <c r="J1944" s="61"/>
      <c r="K1944" s="61"/>
      <c r="L1944" s="73" t="str">
        <f t="shared" si="151"/>
        <v/>
      </c>
      <c r="M1944" s="65" t="str">
        <f t="shared" ca="1" si="152"/>
        <v/>
      </c>
      <c r="N1944" s="74" t="str">
        <f>IF($C1944="","",IF($C1944="TANIMSIZ MÜŞTERİ","—",INDEX(MUSTERILER!$C$7:$C$156,MATCH($C1944,MUSTERILER!$B$7:$B$156,0))))</f>
        <v/>
      </c>
      <c r="O1944" s="2"/>
      <c r="P1944" s="2"/>
      <c r="Q1944" s="1" t="str">
        <f>IF($D1944="","",$C1944&amp;"|"&amp;COUNTIFS($C$7:$C1944,$C1944))</f>
        <v/>
      </c>
      <c r="R1944" s="1" t="str">
        <f t="shared" si="153"/>
        <v/>
      </c>
      <c r="S1944" s="1" t="str">
        <f t="shared" si="154"/>
        <v/>
      </c>
      <c r="T1944" s="1">
        <f>IF($E1944="",0,SUMPRODUCT((AY_SONU!$O$7:$O$42="Evet")*(AY_SONU!$B$7:$B$42=DATE(YEAR($E1944),MONTH($E1944),1))))</f>
        <v>0</v>
      </c>
    </row>
    <row r="1945" spans="1:20" ht="18" customHeight="1" x14ac:dyDescent="0.3">
      <c r="A1945" s="2"/>
      <c r="B1945" s="65" t="str">
        <f t="shared" si="150"/>
        <v/>
      </c>
      <c r="C1945" s="65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66"/>
      <c r="F1945" s="67"/>
      <c r="G1945" s="60"/>
      <c r="H1945" s="60"/>
      <c r="I1945" s="61"/>
      <c r="J1945" s="61"/>
      <c r="K1945" s="61"/>
      <c r="L1945" s="73" t="str">
        <f t="shared" si="151"/>
        <v/>
      </c>
      <c r="M1945" s="65" t="str">
        <f t="shared" ca="1" si="152"/>
        <v/>
      </c>
      <c r="N1945" s="74" t="str">
        <f>IF($C1945="","",IF($C1945="TANIMSIZ MÜŞTERİ","—",INDEX(MUSTERILER!$C$7:$C$156,MATCH($C1945,MUSTERILER!$B$7:$B$156,0))))</f>
        <v/>
      </c>
      <c r="O1945" s="2"/>
      <c r="P1945" s="2"/>
      <c r="Q1945" s="1" t="str">
        <f>IF($D1945="","",$C1945&amp;"|"&amp;COUNTIFS($C$7:$C1945,$C1945))</f>
        <v/>
      </c>
      <c r="R1945" s="1" t="str">
        <f t="shared" si="153"/>
        <v/>
      </c>
      <c r="S1945" s="1" t="str">
        <f t="shared" si="154"/>
        <v/>
      </c>
      <c r="T1945" s="1">
        <f>IF($E1945="",0,SUMPRODUCT((AY_SONU!$O$7:$O$42="Evet")*(AY_SONU!$B$7:$B$42=DATE(YEAR($E1945),MONTH($E1945),1))))</f>
        <v>0</v>
      </c>
    </row>
    <row r="1946" spans="1:20" ht="18" customHeight="1" x14ac:dyDescent="0.3">
      <c r="A1946" s="2"/>
      <c r="B1946" s="65" t="str">
        <f t="shared" si="150"/>
        <v/>
      </c>
      <c r="C1946" s="65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66"/>
      <c r="F1946" s="67"/>
      <c r="G1946" s="60"/>
      <c r="H1946" s="60"/>
      <c r="I1946" s="61"/>
      <c r="J1946" s="61"/>
      <c r="K1946" s="61"/>
      <c r="L1946" s="73" t="str">
        <f t="shared" si="151"/>
        <v/>
      </c>
      <c r="M1946" s="65" t="str">
        <f t="shared" ca="1" si="152"/>
        <v/>
      </c>
      <c r="N1946" s="74" t="str">
        <f>IF($C1946="","",IF($C1946="TANIMSIZ MÜŞTERİ","—",INDEX(MUSTERILER!$C$7:$C$156,MATCH($C1946,MUSTERILER!$B$7:$B$156,0))))</f>
        <v/>
      </c>
      <c r="O1946" s="2"/>
      <c r="P1946" s="2"/>
      <c r="Q1946" s="1" t="str">
        <f>IF($D1946="","",$C1946&amp;"|"&amp;COUNTIFS($C$7:$C1946,$C1946))</f>
        <v/>
      </c>
      <c r="R1946" s="1" t="str">
        <f t="shared" si="153"/>
        <v/>
      </c>
      <c r="S1946" s="1" t="str">
        <f t="shared" si="154"/>
        <v/>
      </c>
      <c r="T1946" s="1">
        <f>IF($E1946="",0,SUMPRODUCT((AY_SONU!$O$7:$O$42="Evet")*(AY_SONU!$B$7:$B$42=DATE(YEAR($E1946),MONTH($E1946),1))))</f>
        <v>0</v>
      </c>
    </row>
    <row r="1947" spans="1:20" ht="18" customHeight="1" x14ac:dyDescent="0.3">
      <c r="A1947" s="2"/>
      <c r="B1947" s="65" t="str">
        <f t="shared" si="150"/>
        <v/>
      </c>
      <c r="C1947" s="65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66"/>
      <c r="F1947" s="67"/>
      <c r="G1947" s="60"/>
      <c r="H1947" s="60"/>
      <c r="I1947" s="61"/>
      <c r="J1947" s="61"/>
      <c r="K1947" s="61"/>
      <c r="L1947" s="73" t="str">
        <f t="shared" si="151"/>
        <v/>
      </c>
      <c r="M1947" s="65" t="str">
        <f t="shared" ca="1" si="152"/>
        <v/>
      </c>
      <c r="N1947" s="74" t="str">
        <f>IF($C1947="","",IF($C1947="TANIMSIZ MÜŞTERİ","—",INDEX(MUSTERILER!$C$7:$C$156,MATCH($C1947,MUSTERILER!$B$7:$B$156,0))))</f>
        <v/>
      </c>
      <c r="O1947" s="2"/>
      <c r="P1947" s="2"/>
      <c r="Q1947" s="1" t="str">
        <f>IF($D1947="","",$C1947&amp;"|"&amp;COUNTIFS($C$7:$C1947,$C1947))</f>
        <v/>
      </c>
      <c r="R1947" s="1" t="str">
        <f t="shared" si="153"/>
        <v/>
      </c>
      <c r="S1947" s="1" t="str">
        <f t="shared" si="154"/>
        <v/>
      </c>
      <c r="T1947" s="1">
        <f>IF($E1947="",0,SUMPRODUCT((AY_SONU!$O$7:$O$42="Evet")*(AY_SONU!$B$7:$B$42=DATE(YEAR($E1947),MONTH($E1947),1))))</f>
        <v>0</v>
      </c>
    </row>
    <row r="1948" spans="1:20" ht="18" customHeight="1" x14ac:dyDescent="0.3">
      <c r="A1948" s="2"/>
      <c r="B1948" s="65" t="str">
        <f t="shared" si="150"/>
        <v/>
      </c>
      <c r="C1948" s="65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66"/>
      <c r="F1948" s="67"/>
      <c r="G1948" s="60"/>
      <c r="H1948" s="60"/>
      <c r="I1948" s="61"/>
      <c r="J1948" s="61"/>
      <c r="K1948" s="61"/>
      <c r="L1948" s="73" t="str">
        <f t="shared" si="151"/>
        <v/>
      </c>
      <c r="M1948" s="65" t="str">
        <f t="shared" ca="1" si="152"/>
        <v/>
      </c>
      <c r="N1948" s="74" t="str">
        <f>IF($C1948="","",IF($C1948="TANIMSIZ MÜŞTERİ","—",INDEX(MUSTERILER!$C$7:$C$156,MATCH($C1948,MUSTERILER!$B$7:$B$156,0))))</f>
        <v/>
      </c>
      <c r="O1948" s="2"/>
      <c r="P1948" s="2"/>
      <c r="Q1948" s="1" t="str">
        <f>IF($D1948="","",$C1948&amp;"|"&amp;COUNTIFS($C$7:$C1948,$C1948))</f>
        <v/>
      </c>
      <c r="R1948" s="1" t="str">
        <f t="shared" si="153"/>
        <v/>
      </c>
      <c r="S1948" s="1" t="str">
        <f t="shared" si="154"/>
        <v/>
      </c>
      <c r="T1948" s="1">
        <f>IF($E1948="",0,SUMPRODUCT((AY_SONU!$O$7:$O$42="Evet")*(AY_SONU!$B$7:$B$42=DATE(YEAR($E1948),MONTH($E1948),1))))</f>
        <v>0</v>
      </c>
    </row>
    <row r="1949" spans="1:20" ht="18" customHeight="1" x14ac:dyDescent="0.3">
      <c r="A1949" s="2"/>
      <c r="B1949" s="65" t="str">
        <f t="shared" si="150"/>
        <v/>
      </c>
      <c r="C1949" s="65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66"/>
      <c r="F1949" s="67"/>
      <c r="G1949" s="60"/>
      <c r="H1949" s="60"/>
      <c r="I1949" s="61"/>
      <c r="J1949" s="61"/>
      <c r="K1949" s="61"/>
      <c r="L1949" s="73" t="str">
        <f t="shared" si="151"/>
        <v/>
      </c>
      <c r="M1949" s="65" t="str">
        <f t="shared" ca="1" si="152"/>
        <v/>
      </c>
      <c r="N1949" s="74" t="str">
        <f>IF($C1949="","",IF($C1949="TANIMSIZ MÜŞTERİ","—",INDEX(MUSTERILER!$C$7:$C$156,MATCH($C1949,MUSTERILER!$B$7:$B$156,0))))</f>
        <v/>
      </c>
      <c r="O1949" s="2"/>
      <c r="P1949" s="2"/>
      <c r="Q1949" s="1" t="str">
        <f>IF($D1949="","",$C1949&amp;"|"&amp;COUNTIFS($C$7:$C1949,$C1949))</f>
        <v/>
      </c>
      <c r="R1949" s="1" t="str">
        <f t="shared" si="153"/>
        <v/>
      </c>
      <c r="S1949" s="1" t="str">
        <f t="shared" si="154"/>
        <v/>
      </c>
      <c r="T1949" s="1">
        <f>IF($E1949="",0,SUMPRODUCT((AY_SONU!$O$7:$O$42="Evet")*(AY_SONU!$B$7:$B$42=DATE(YEAR($E1949),MONTH($E1949),1))))</f>
        <v>0</v>
      </c>
    </row>
    <row r="1950" spans="1:20" ht="18" customHeight="1" x14ac:dyDescent="0.3">
      <c r="A1950" s="2"/>
      <c r="B1950" s="65" t="str">
        <f t="shared" si="150"/>
        <v/>
      </c>
      <c r="C1950" s="65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66"/>
      <c r="F1950" s="67"/>
      <c r="G1950" s="60"/>
      <c r="H1950" s="60"/>
      <c r="I1950" s="61"/>
      <c r="J1950" s="61"/>
      <c r="K1950" s="61"/>
      <c r="L1950" s="73" t="str">
        <f t="shared" si="151"/>
        <v/>
      </c>
      <c r="M1950" s="65" t="str">
        <f t="shared" ca="1" si="152"/>
        <v/>
      </c>
      <c r="N1950" s="74" t="str">
        <f>IF($C1950="","",IF($C1950="TANIMSIZ MÜŞTERİ","—",INDEX(MUSTERILER!$C$7:$C$156,MATCH($C1950,MUSTERILER!$B$7:$B$156,0))))</f>
        <v/>
      </c>
      <c r="O1950" s="2"/>
      <c r="P1950" s="2"/>
      <c r="Q1950" s="1" t="str">
        <f>IF($D1950="","",$C1950&amp;"|"&amp;COUNTIFS($C$7:$C1950,$C1950))</f>
        <v/>
      </c>
      <c r="R1950" s="1" t="str">
        <f t="shared" si="153"/>
        <v/>
      </c>
      <c r="S1950" s="1" t="str">
        <f t="shared" si="154"/>
        <v/>
      </c>
      <c r="T1950" s="1">
        <f>IF($E1950="",0,SUMPRODUCT((AY_SONU!$O$7:$O$42="Evet")*(AY_SONU!$B$7:$B$42=DATE(YEAR($E1950),MONTH($E1950),1))))</f>
        <v>0</v>
      </c>
    </row>
    <row r="1951" spans="1:20" ht="18" customHeight="1" x14ac:dyDescent="0.3">
      <c r="A1951" s="2"/>
      <c r="B1951" s="65" t="str">
        <f t="shared" si="150"/>
        <v/>
      </c>
      <c r="C1951" s="65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66"/>
      <c r="F1951" s="67"/>
      <c r="G1951" s="60"/>
      <c r="H1951" s="60"/>
      <c r="I1951" s="61"/>
      <c r="J1951" s="61"/>
      <c r="K1951" s="61"/>
      <c r="L1951" s="73" t="str">
        <f t="shared" si="151"/>
        <v/>
      </c>
      <c r="M1951" s="65" t="str">
        <f t="shared" ca="1" si="152"/>
        <v/>
      </c>
      <c r="N1951" s="74" t="str">
        <f>IF($C1951="","",IF($C1951="TANIMSIZ MÜŞTERİ","—",INDEX(MUSTERILER!$C$7:$C$156,MATCH($C1951,MUSTERILER!$B$7:$B$156,0))))</f>
        <v/>
      </c>
      <c r="O1951" s="2"/>
      <c r="P1951" s="2"/>
      <c r="Q1951" s="1" t="str">
        <f>IF($D1951="","",$C1951&amp;"|"&amp;COUNTIFS($C$7:$C1951,$C1951))</f>
        <v/>
      </c>
      <c r="R1951" s="1" t="str">
        <f t="shared" si="153"/>
        <v/>
      </c>
      <c r="S1951" s="1" t="str">
        <f t="shared" si="154"/>
        <v/>
      </c>
      <c r="T1951" s="1">
        <f>IF($E1951="",0,SUMPRODUCT((AY_SONU!$O$7:$O$42="Evet")*(AY_SONU!$B$7:$B$42=DATE(YEAR($E1951),MONTH($E1951),1))))</f>
        <v>0</v>
      </c>
    </row>
    <row r="1952" spans="1:20" ht="18" customHeight="1" x14ac:dyDescent="0.3">
      <c r="A1952" s="2"/>
      <c r="B1952" s="65" t="str">
        <f t="shared" si="150"/>
        <v/>
      </c>
      <c r="C1952" s="65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66"/>
      <c r="F1952" s="67"/>
      <c r="G1952" s="60"/>
      <c r="H1952" s="60"/>
      <c r="I1952" s="61"/>
      <c r="J1952" s="61"/>
      <c r="K1952" s="61"/>
      <c r="L1952" s="73" t="str">
        <f t="shared" si="151"/>
        <v/>
      </c>
      <c r="M1952" s="65" t="str">
        <f t="shared" ca="1" si="152"/>
        <v/>
      </c>
      <c r="N1952" s="74" t="str">
        <f>IF($C1952="","",IF($C1952="TANIMSIZ MÜŞTERİ","—",INDEX(MUSTERILER!$C$7:$C$156,MATCH($C1952,MUSTERILER!$B$7:$B$156,0))))</f>
        <v/>
      </c>
      <c r="O1952" s="2"/>
      <c r="P1952" s="2"/>
      <c r="Q1952" s="1" t="str">
        <f>IF($D1952="","",$C1952&amp;"|"&amp;COUNTIFS($C$7:$C1952,$C1952))</f>
        <v/>
      </c>
      <c r="R1952" s="1" t="str">
        <f t="shared" si="153"/>
        <v/>
      </c>
      <c r="S1952" s="1" t="str">
        <f t="shared" si="154"/>
        <v/>
      </c>
      <c r="T1952" s="1">
        <f>IF($E1952="",0,SUMPRODUCT((AY_SONU!$O$7:$O$42="Evet")*(AY_SONU!$B$7:$B$42=DATE(YEAR($E1952),MONTH($E1952),1))))</f>
        <v>0</v>
      </c>
    </row>
    <row r="1953" spans="1:20" ht="18" customHeight="1" x14ac:dyDescent="0.3">
      <c r="A1953" s="2"/>
      <c r="B1953" s="65" t="str">
        <f t="shared" si="150"/>
        <v/>
      </c>
      <c r="C1953" s="65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66"/>
      <c r="F1953" s="67"/>
      <c r="G1953" s="60"/>
      <c r="H1953" s="60"/>
      <c r="I1953" s="61"/>
      <c r="J1953" s="61"/>
      <c r="K1953" s="61"/>
      <c r="L1953" s="73" t="str">
        <f t="shared" si="151"/>
        <v/>
      </c>
      <c r="M1953" s="65" t="str">
        <f t="shared" ca="1" si="152"/>
        <v/>
      </c>
      <c r="N1953" s="74" t="str">
        <f>IF($C1953="","",IF($C1953="TANIMSIZ MÜŞTERİ","—",INDEX(MUSTERILER!$C$7:$C$156,MATCH($C1953,MUSTERILER!$B$7:$B$156,0))))</f>
        <v/>
      </c>
      <c r="O1953" s="2"/>
      <c r="P1953" s="2"/>
      <c r="Q1953" s="1" t="str">
        <f>IF($D1953="","",$C1953&amp;"|"&amp;COUNTIFS($C$7:$C1953,$C1953))</f>
        <v/>
      </c>
      <c r="R1953" s="1" t="str">
        <f t="shared" si="153"/>
        <v/>
      </c>
      <c r="S1953" s="1" t="str">
        <f t="shared" si="154"/>
        <v/>
      </c>
      <c r="T1953" s="1">
        <f>IF($E1953="",0,SUMPRODUCT((AY_SONU!$O$7:$O$42="Evet")*(AY_SONU!$B$7:$B$42=DATE(YEAR($E1953),MONTH($E1953),1))))</f>
        <v>0</v>
      </c>
    </row>
    <row r="1954" spans="1:20" ht="18" customHeight="1" x14ac:dyDescent="0.3">
      <c r="A1954" s="2"/>
      <c r="B1954" s="65" t="str">
        <f t="shared" si="150"/>
        <v/>
      </c>
      <c r="C1954" s="65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66"/>
      <c r="F1954" s="67"/>
      <c r="G1954" s="60"/>
      <c r="H1954" s="60"/>
      <c r="I1954" s="61"/>
      <c r="J1954" s="61"/>
      <c r="K1954" s="61"/>
      <c r="L1954" s="73" t="str">
        <f t="shared" si="151"/>
        <v/>
      </c>
      <c r="M1954" s="65" t="str">
        <f t="shared" ca="1" si="152"/>
        <v/>
      </c>
      <c r="N1954" s="74" t="str">
        <f>IF($C1954="","",IF($C1954="TANIMSIZ MÜŞTERİ","—",INDEX(MUSTERILER!$C$7:$C$156,MATCH($C1954,MUSTERILER!$B$7:$B$156,0))))</f>
        <v/>
      </c>
      <c r="O1954" s="2"/>
      <c r="P1954" s="2"/>
      <c r="Q1954" s="1" t="str">
        <f>IF($D1954="","",$C1954&amp;"|"&amp;COUNTIFS($C$7:$C1954,$C1954))</f>
        <v/>
      </c>
      <c r="R1954" s="1" t="str">
        <f t="shared" si="153"/>
        <v/>
      </c>
      <c r="S1954" s="1" t="str">
        <f t="shared" si="154"/>
        <v/>
      </c>
      <c r="T1954" s="1">
        <f>IF($E1954="",0,SUMPRODUCT((AY_SONU!$O$7:$O$42="Evet")*(AY_SONU!$B$7:$B$42=DATE(YEAR($E1954),MONTH($E1954),1))))</f>
        <v>0</v>
      </c>
    </row>
    <row r="1955" spans="1:20" ht="18" customHeight="1" x14ac:dyDescent="0.3">
      <c r="A1955" s="2"/>
      <c r="B1955" s="65" t="str">
        <f t="shared" si="150"/>
        <v/>
      </c>
      <c r="C1955" s="65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66"/>
      <c r="F1955" s="67"/>
      <c r="G1955" s="60"/>
      <c r="H1955" s="60"/>
      <c r="I1955" s="61"/>
      <c r="J1955" s="61"/>
      <c r="K1955" s="61"/>
      <c r="L1955" s="73" t="str">
        <f t="shared" si="151"/>
        <v/>
      </c>
      <c r="M1955" s="65" t="str">
        <f t="shared" ca="1" si="152"/>
        <v/>
      </c>
      <c r="N1955" s="74" t="str">
        <f>IF($C1955="","",IF($C1955="TANIMSIZ MÜŞTERİ","—",INDEX(MUSTERILER!$C$7:$C$156,MATCH($C1955,MUSTERILER!$B$7:$B$156,0))))</f>
        <v/>
      </c>
      <c r="O1955" s="2"/>
      <c r="P1955" s="2"/>
      <c r="Q1955" s="1" t="str">
        <f>IF($D1955="","",$C1955&amp;"|"&amp;COUNTIFS($C$7:$C1955,$C1955))</f>
        <v/>
      </c>
      <c r="R1955" s="1" t="str">
        <f t="shared" si="153"/>
        <v/>
      </c>
      <c r="S1955" s="1" t="str">
        <f t="shared" si="154"/>
        <v/>
      </c>
      <c r="T1955" s="1">
        <f>IF($E1955="",0,SUMPRODUCT((AY_SONU!$O$7:$O$42="Evet")*(AY_SONU!$B$7:$B$42=DATE(YEAR($E1955),MONTH($E1955),1))))</f>
        <v>0</v>
      </c>
    </row>
    <row r="1956" spans="1:20" ht="18" customHeight="1" x14ac:dyDescent="0.3">
      <c r="A1956" s="2"/>
      <c r="B1956" s="65" t="str">
        <f t="shared" si="150"/>
        <v/>
      </c>
      <c r="C1956" s="65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66"/>
      <c r="F1956" s="67"/>
      <c r="G1956" s="60"/>
      <c r="H1956" s="60"/>
      <c r="I1956" s="61"/>
      <c r="J1956" s="61"/>
      <c r="K1956" s="61"/>
      <c r="L1956" s="73" t="str">
        <f t="shared" si="151"/>
        <v/>
      </c>
      <c r="M1956" s="65" t="str">
        <f t="shared" ca="1" si="152"/>
        <v/>
      </c>
      <c r="N1956" s="74" t="str">
        <f>IF($C1956="","",IF($C1956="TANIMSIZ MÜŞTERİ","—",INDEX(MUSTERILER!$C$7:$C$156,MATCH($C1956,MUSTERILER!$B$7:$B$156,0))))</f>
        <v/>
      </c>
      <c r="O1956" s="2"/>
      <c r="P1956" s="2"/>
      <c r="Q1956" s="1" t="str">
        <f>IF($D1956="","",$C1956&amp;"|"&amp;COUNTIFS($C$7:$C1956,$C1956))</f>
        <v/>
      </c>
      <c r="R1956" s="1" t="str">
        <f t="shared" si="153"/>
        <v/>
      </c>
      <c r="S1956" s="1" t="str">
        <f t="shared" si="154"/>
        <v/>
      </c>
      <c r="T1956" s="1">
        <f>IF($E1956="",0,SUMPRODUCT((AY_SONU!$O$7:$O$42="Evet")*(AY_SONU!$B$7:$B$42=DATE(YEAR($E1956),MONTH($E1956),1))))</f>
        <v>0</v>
      </c>
    </row>
    <row r="1957" spans="1:20" ht="18" customHeight="1" x14ac:dyDescent="0.3">
      <c r="A1957" s="2"/>
      <c r="B1957" s="65" t="str">
        <f t="shared" si="150"/>
        <v/>
      </c>
      <c r="C1957" s="65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66"/>
      <c r="F1957" s="67"/>
      <c r="G1957" s="60"/>
      <c r="H1957" s="60"/>
      <c r="I1957" s="61"/>
      <c r="J1957" s="61"/>
      <c r="K1957" s="61"/>
      <c r="L1957" s="73" t="str">
        <f t="shared" si="151"/>
        <v/>
      </c>
      <c r="M1957" s="65" t="str">
        <f t="shared" ca="1" si="152"/>
        <v/>
      </c>
      <c r="N1957" s="74" t="str">
        <f>IF($C1957="","",IF($C1957="TANIMSIZ MÜŞTERİ","—",INDEX(MUSTERILER!$C$7:$C$156,MATCH($C1957,MUSTERILER!$B$7:$B$156,0))))</f>
        <v/>
      </c>
      <c r="O1957" s="2"/>
      <c r="P1957" s="2"/>
      <c r="Q1957" s="1" t="str">
        <f>IF($D1957="","",$C1957&amp;"|"&amp;COUNTIFS($C$7:$C1957,$C1957))</f>
        <v/>
      </c>
      <c r="R1957" s="1" t="str">
        <f t="shared" si="153"/>
        <v/>
      </c>
      <c r="S1957" s="1" t="str">
        <f t="shared" si="154"/>
        <v/>
      </c>
      <c r="T1957" s="1">
        <f>IF($E1957="",0,SUMPRODUCT((AY_SONU!$O$7:$O$42="Evet")*(AY_SONU!$B$7:$B$42=DATE(YEAR($E1957),MONTH($E1957),1))))</f>
        <v>0</v>
      </c>
    </row>
    <row r="1958" spans="1:20" ht="18" customHeight="1" x14ac:dyDescent="0.3">
      <c r="A1958" s="2"/>
      <c r="B1958" s="65" t="str">
        <f t="shared" si="150"/>
        <v/>
      </c>
      <c r="C1958" s="65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66"/>
      <c r="F1958" s="67"/>
      <c r="G1958" s="60"/>
      <c r="H1958" s="60"/>
      <c r="I1958" s="61"/>
      <c r="J1958" s="61"/>
      <c r="K1958" s="61"/>
      <c r="L1958" s="73" t="str">
        <f t="shared" si="151"/>
        <v/>
      </c>
      <c r="M1958" s="65" t="str">
        <f t="shared" ca="1" si="152"/>
        <v/>
      </c>
      <c r="N1958" s="74" t="str">
        <f>IF($C1958="","",IF($C1958="TANIMSIZ MÜŞTERİ","—",INDEX(MUSTERILER!$C$7:$C$156,MATCH($C1958,MUSTERILER!$B$7:$B$156,0))))</f>
        <v/>
      </c>
      <c r="O1958" s="2"/>
      <c r="P1958" s="2"/>
      <c r="Q1958" s="1" t="str">
        <f>IF($D1958="","",$C1958&amp;"|"&amp;COUNTIFS($C$7:$C1958,$C1958))</f>
        <v/>
      </c>
      <c r="R1958" s="1" t="str">
        <f t="shared" si="153"/>
        <v/>
      </c>
      <c r="S1958" s="1" t="str">
        <f t="shared" si="154"/>
        <v/>
      </c>
      <c r="T1958" s="1">
        <f>IF($E1958="",0,SUMPRODUCT((AY_SONU!$O$7:$O$42="Evet")*(AY_SONU!$B$7:$B$42=DATE(YEAR($E1958),MONTH($E1958),1))))</f>
        <v>0</v>
      </c>
    </row>
    <row r="1959" spans="1:20" ht="18" customHeight="1" x14ac:dyDescent="0.3">
      <c r="A1959" s="2"/>
      <c r="B1959" s="65" t="str">
        <f t="shared" si="150"/>
        <v/>
      </c>
      <c r="C1959" s="65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66"/>
      <c r="F1959" s="67"/>
      <c r="G1959" s="60"/>
      <c r="H1959" s="60"/>
      <c r="I1959" s="61"/>
      <c r="J1959" s="61"/>
      <c r="K1959" s="61"/>
      <c r="L1959" s="73" t="str">
        <f t="shared" si="151"/>
        <v/>
      </c>
      <c r="M1959" s="65" t="str">
        <f t="shared" ca="1" si="152"/>
        <v/>
      </c>
      <c r="N1959" s="74" t="str">
        <f>IF($C1959="","",IF($C1959="TANIMSIZ MÜŞTERİ","—",INDEX(MUSTERILER!$C$7:$C$156,MATCH($C1959,MUSTERILER!$B$7:$B$156,0))))</f>
        <v/>
      </c>
      <c r="O1959" s="2"/>
      <c r="P1959" s="2"/>
      <c r="Q1959" s="1" t="str">
        <f>IF($D1959="","",$C1959&amp;"|"&amp;COUNTIFS($C$7:$C1959,$C1959))</f>
        <v/>
      </c>
      <c r="R1959" s="1" t="str">
        <f t="shared" si="153"/>
        <v/>
      </c>
      <c r="S1959" s="1" t="str">
        <f t="shared" si="154"/>
        <v/>
      </c>
      <c r="T1959" s="1">
        <f>IF($E1959="",0,SUMPRODUCT((AY_SONU!$O$7:$O$42="Evet")*(AY_SONU!$B$7:$B$42=DATE(YEAR($E1959),MONTH($E1959),1))))</f>
        <v>0</v>
      </c>
    </row>
    <row r="1960" spans="1:20" ht="18" customHeight="1" x14ac:dyDescent="0.3">
      <c r="A1960" s="2"/>
      <c r="B1960" s="65" t="str">
        <f t="shared" si="150"/>
        <v/>
      </c>
      <c r="C1960" s="65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66"/>
      <c r="F1960" s="67"/>
      <c r="G1960" s="60"/>
      <c r="H1960" s="60"/>
      <c r="I1960" s="61"/>
      <c r="J1960" s="61"/>
      <c r="K1960" s="61"/>
      <c r="L1960" s="73" t="str">
        <f t="shared" si="151"/>
        <v/>
      </c>
      <c r="M1960" s="65" t="str">
        <f t="shared" ca="1" si="152"/>
        <v/>
      </c>
      <c r="N1960" s="74" t="str">
        <f>IF($C1960="","",IF($C1960="TANIMSIZ MÜŞTERİ","—",INDEX(MUSTERILER!$C$7:$C$156,MATCH($C1960,MUSTERILER!$B$7:$B$156,0))))</f>
        <v/>
      </c>
      <c r="O1960" s="2"/>
      <c r="P1960" s="2"/>
      <c r="Q1960" s="1" t="str">
        <f>IF($D1960="","",$C1960&amp;"|"&amp;COUNTIFS($C$7:$C1960,$C1960))</f>
        <v/>
      </c>
      <c r="R1960" s="1" t="str">
        <f t="shared" si="153"/>
        <v/>
      </c>
      <c r="S1960" s="1" t="str">
        <f t="shared" si="154"/>
        <v/>
      </c>
      <c r="T1960" s="1">
        <f>IF($E1960="",0,SUMPRODUCT((AY_SONU!$O$7:$O$42="Evet")*(AY_SONU!$B$7:$B$42=DATE(YEAR($E1960),MONTH($E1960),1))))</f>
        <v>0</v>
      </c>
    </row>
    <row r="1961" spans="1:20" ht="18" customHeight="1" x14ac:dyDescent="0.3">
      <c r="A1961" s="2"/>
      <c r="B1961" s="65" t="str">
        <f t="shared" si="150"/>
        <v/>
      </c>
      <c r="C1961" s="65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66"/>
      <c r="F1961" s="67"/>
      <c r="G1961" s="60"/>
      <c r="H1961" s="60"/>
      <c r="I1961" s="61"/>
      <c r="J1961" s="61"/>
      <c r="K1961" s="61"/>
      <c r="L1961" s="73" t="str">
        <f t="shared" si="151"/>
        <v/>
      </c>
      <c r="M1961" s="65" t="str">
        <f t="shared" ca="1" si="152"/>
        <v/>
      </c>
      <c r="N1961" s="74" t="str">
        <f>IF($C1961="","",IF($C1961="TANIMSIZ MÜŞTERİ","—",INDEX(MUSTERILER!$C$7:$C$156,MATCH($C1961,MUSTERILER!$B$7:$B$156,0))))</f>
        <v/>
      </c>
      <c r="O1961" s="2"/>
      <c r="P1961" s="2"/>
      <c r="Q1961" s="1" t="str">
        <f>IF($D1961="","",$C1961&amp;"|"&amp;COUNTIFS($C$7:$C1961,$C1961))</f>
        <v/>
      </c>
      <c r="R1961" s="1" t="str">
        <f t="shared" si="153"/>
        <v/>
      </c>
      <c r="S1961" s="1" t="str">
        <f t="shared" si="154"/>
        <v/>
      </c>
      <c r="T1961" s="1">
        <f>IF($E1961="",0,SUMPRODUCT((AY_SONU!$O$7:$O$42="Evet")*(AY_SONU!$B$7:$B$42=DATE(YEAR($E1961),MONTH($E1961),1))))</f>
        <v>0</v>
      </c>
    </row>
    <row r="1962" spans="1:20" ht="18" customHeight="1" x14ac:dyDescent="0.3">
      <c r="A1962" s="2"/>
      <c r="B1962" s="65" t="str">
        <f t="shared" si="150"/>
        <v/>
      </c>
      <c r="C1962" s="65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66"/>
      <c r="F1962" s="67"/>
      <c r="G1962" s="60"/>
      <c r="H1962" s="60"/>
      <c r="I1962" s="61"/>
      <c r="J1962" s="61"/>
      <c r="K1962" s="61"/>
      <c r="L1962" s="73" t="str">
        <f t="shared" si="151"/>
        <v/>
      </c>
      <c r="M1962" s="65" t="str">
        <f t="shared" ca="1" si="152"/>
        <v/>
      </c>
      <c r="N1962" s="74" t="str">
        <f>IF($C1962="","",IF($C1962="TANIMSIZ MÜŞTERİ","—",INDEX(MUSTERILER!$C$7:$C$156,MATCH($C1962,MUSTERILER!$B$7:$B$156,0))))</f>
        <v/>
      </c>
      <c r="O1962" s="2"/>
      <c r="P1962" s="2"/>
      <c r="Q1962" s="1" t="str">
        <f>IF($D1962="","",$C1962&amp;"|"&amp;COUNTIFS($C$7:$C1962,$C1962))</f>
        <v/>
      </c>
      <c r="R1962" s="1" t="str">
        <f t="shared" si="153"/>
        <v/>
      </c>
      <c r="S1962" s="1" t="str">
        <f t="shared" si="154"/>
        <v/>
      </c>
      <c r="T1962" s="1">
        <f>IF($E1962="",0,SUMPRODUCT((AY_SONU!$O$7:$O$42="Evet")*(AY_SONU!$B$7:$B$42=DATE(YEAR($E1962),MONTH($E1962),1))))</f>
        <v>0</v>
      </c>
    </row>
    <row r="1963" spans="1:20" ht="18" customHeight="1" x14ac:dyDescent="0.3">
      <c r="A1963" s="2"/>
      <c r="B1963" s="65" t="str">
        <f t="shared" si="150"/>
        <v/>
      </c>
      <c r="C1963" s="65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66"/>
      <c r="F1963" s="67"/>
      <c r="G1963" s="60"/>
      <c r="H1963" s="60"/>
      <c r="I1963" s="61"/>
      <c r="J1963" s="61"/>
      <c r="K1963" s="61"/>
      <c r="L1963" s="73" t="str">
        <f t="shared" si="151"/>
        <v/>
      </c>
      <c r="M1963" s="65" t="str">
        <f t="shared" ca="1" si="152"/>
        <v/>
      </c>
      <c r="N1963" s="74" t="str">
        <f>IF($C1963="","",IF($C1963="TANIMSIZ MÜŞTERİ","—",INDEX(MUSTERILER!$C$7:$C$156,MATCH($C1963,MUSTERILER!$B$7:$B$156,0))))</f>
        <v/>
      </c>
      <c r="O1963" s="2"/>
      <c r="P1963" s="2"/>
      <c r="Q1963" s="1" t="str">
        <f>IF($D1963="","",$C1963&amp;"|"&amp;COUNTIFS($C$7:$C1963,$C1963))</f>
        <v/>
      </c>
      <c r="R1963" s="1" t="str">
        <f t="shared" si="153"/>
        <v/>
      </c>
      <c r="S1963" s="1" t="str">
        <f t="shared" si="154"/>
        <v/>
      </c>
      <c r="T1963" s="1">
        <f>IF($E1963="",0,SUMPRODUCT((AY_SONU!$O$7:$O$42="Evet")*(AY_SONU!$B$7:$B$42=DATE(YEAR($E1963),MONTH($E1963),1))))</f>
        <v>0</v>
      </c>
    </row>
    <row r="1964" spans="1:20" ht="18" customHeight="1" x14ac:dyDescent="0.3">
      <c r="A1964" s="2"/>
      <c r="B1964" s="65" t="str">
        <f t="shared" si="150"/>
        <v/>
      </c>
      <c r="C1964" s="65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66"/>
      <c r="F1964" s="67"/>
      <c r="G1964" s="60"/>
      <c r="H1964" s="60"/>
      <c r="I1964" s="61"/>
      <c r="J1964" s="61"/>
      <c r="K1964" s="61"/>
      <c r="L1964" s="73" t="str">
        <f t="shared" si="151"/>
        <v/>
      </c>
      <c r="M1964" s="65" t="str">
        <f t="shared" ca="1" si="152"/>
        <v/>
      </c>
      <c r="N1964" s="74" t="str">
        <f>IF($C1964="","",IF($C1964="TANIMSIZ MÜŞTERİ","—",INDEX(MUSTERILER!$C$7:$C$156,MATCH($C1964,MUSTERILER!$B$7:$B$156,0))))</f>
        <v/>
      </c>
      <c r="O1964" s="2"/>
      <c r="P1964" s="2"/>
      <c r="Q1964" s="1" t="str">
        <f>IF($D1964="","",$C1964&amp;"|"&amp;COUNTIFS($C$7:$C1964,$C1964))</f>
        <v/>
      </c>
      <c r="R1964" s="1" t="str">
        <f t="shared" si="153"/>
        <v/>
      </c>
      <c r="S1964" s="1" t="str">
        <f t="shared" si="154"/>
        <v/>
      </c>
      <c r="T1964" s="1">
        <f>IF($E1964="",0,SUMPRODUCT((AY_SONU!$O$7:$O$42="Evet")*(AY_SONU!$B$7:$B$42=DATE(YEAR($E1964),MONTH($E1964),1))))</f>
        <v>0</v>
      </c>
    </row>
    <row r="1965" spans="1:20" ht="18" customHeight="1" x14ac:dyDescent="0.3">
      <c r="A1965" s="2"/>
      <c r="B1965" s="65" t="str">
        <f t="shared" si="150"/>
        <v/>
      </c>
      <c r="C1965" s="65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66"/>
      <c r="F1965" s="67"/>
      <c r="G1965" s="60"/>
      <c r="H1965" s="60"/>
      <c r="I1965" s="61"/>
      <c r="J1965" s="61"/>
      <c r="K1965" s="61"/>
      <c r="L1965" s="73" t="str">
        <f t="shared" si="151"/>
        <v/>
      </c>
      <c r="M1965" s="65" t="str">
        <f t="shared" ca="1" si="152"/>
        <v/>
      </c>
      <c r="N1965" s="74" t="str">
        <f>IF($C1965="","",IF($C1965="TANIMSIZ MÜŞTERİ","—",INDEX(MUSTERILER!$C$7:$C$156,MATCH($C1965,MUSTERILER!$B$7:$B$156,0))))</f>
        <v/>
      </c>
      <c r="O1965" s="2"/>
      <c r="P1965" s="2"/>
      <c r="Q1965" s="1" t="str">
        <f>IF($D1965="","",$C1965&amp;"|"&amp;COUNTIFS($C$7:$C1965,$C1965))</f>
        <v/>
      </c>
      <c r="R1965" s="1" t="str">
        <f t="shared" si="153"/>
        <v/>
      </c>
      <c r="S1965" s="1" t="str">
        <f t="shared" si="154"/>
        <v/>
      </c>
      <c r="T1965" s="1">
        <f>IF($E1965="",0,SUMPRODUCT((AY_SONU!$O$7:$O$42="Evet")*(AY_SONU!$B$7:$B$42=DATE(YEAR($E1965),MONTH($E1965),1))))</f>
        <v>0</v>
      </c>
    </row>
    <row r="1966" spans="1:20" ht="18" customHeight="1" x14ac:dyDescent="0.3">
      <c r="A1966" s="2"/>
      <c r="B1966" s="65" t="str">
        <f t="shared" si="150"/>
        <v/>
      </c>
      <c r="C1966" s="65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66"/>
      <c r="F1966" s="67"/>
      <c r="G1966" s="60"/>
      <c r="H1966" s="60"/>
      <c r="I1966" s="61"/>
      <c r="J1966" s="61"/>
      <c r="K1966" s="61"/>
      <c r="L1966" s="73" t="str">
        <f t="shared" si="151"/>
        <v/>
      </c>
      <c r="M1966" s="65" t="str">
        <f t="shared" ca="1" si="152"/>
        <v/>
      </c>
      <c r="N1966" s="74" t="str">
        <f>IF($C1966="","",IF($C1966="TANIMSIZ MÜŞTERİ","—",INDEX(MUSTERILER!$C$7:$C$156,MATCH($C1966,MUSTERILER!$B$7:$B$156,0))))</f>
        <v/>
      </c>
      <c r="O1966" s="2"/>
      <c r="P1966" s="2"/>
      <c r="Q1966" s="1" t="str">
        <f>IF($D1966="","",$C1966&amp;"|"&amp;COUNTIFS($C$7:$C1966,$C1966))</f>
        <v/>
      </c>
      <c r="R1966" s="1" t="str">
        <f t="shared" si="153"/>
        <v/>
      </c>
      <c r="S1966" s="1" t="str">
        <f t="shared" si="154"/>
        <v/>
      </c>
      <c r="T1966" s="1">
        <f>IF($E1966="",0,SUMPRODUCT((AY_SONU!$O$7:$O$42="Evet")*(AY_SONU!$B$7:$B$42=DATE(YEAR($E1966),MONTH($E1966),1))))</f>
        <v>0</v>
      </c>
    </row>
    <row r="1967" spans="1:20" ht="18" customHeight="1" x14ac:dyDescent="0.3">
      <c r="A1967" s="2"/>
      <c r="B1967" s="65" t="str">
        <f t="shared" si="150"/>
        <v/>
      </c>
      <c r="C1967" s="65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66"/>
      <c r="F1967" s="67"/>
      <c r="G1967" s="60"/>
      <c r="H1967" s="60"/>
      <c r="I1967" s="61"/>
      <c r="J1967" s="61"/>
      <c r="K1967" s="61"/>
      <c r="L1967" s="73" t="str">
        <f t="shared" si="151"/>
        <v/>
      </c>
      <c r="M1967" s="65" t="str">
        <f t="shared" ca="1" si="152"/>
        <v/>
      </c>
      <c r="N1967" s="74" t="str">
        <f>IF($C1967="","",IF($C1967="TANIMSIZ MÜŞTERİ","—",INDEX(MUSTERILER!$C$7:$C$156,MATCH($C1967,MUSTERILER!$B$7:$B$156,0))))</f>
        <v/>
      </c>
      <c r="O1967" s="2"/>
      <c r="P1967" s="2"/>
      <c r="Q1967" s="1" t="str">
        <f>IF($D1967="","",$C1967&amp;"|"&amp;COUNTIFS($C$7:$C1967,$C1967))</f>
        <v/>
      </c>
      <c r="R1967" s="1" t="str">
        <f t="shared" si="153"/>
        <v/>
      </c>
      <c r="S1967" s="1" t="str">
        <f t="shared" si="154"/>
        <v/>
      </c>
      <c r="T1967" s="1">
        <f>IF($E1967="",0,SUMPRODUCT((AY_SONU!$O$7:$O$42="Evet")*(AY_SONU!$B$7:$B$42=DATE(YEAR($E1967),MONTH($E1967),1))))</f>
        <v>0</v>
      </c>
    </row>
    <row r="1968" spans="1:20" ht="18" customHeight="1" x14ac:dyDescent="0.3">
      <c r="A1968" s="2"/>
      <c r="B1968" s="65" t="str">
        <f t="shared" si="150"/>
        <v/>
      </c>
      <c r="C1968" s="65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66"/>
      <c r="F1968" s="67"/>
      <c r="G1968" s="60"/>
      <c r="H1968" s="60"/>
      <c r="I1968" s="61"/>
      <c r="J1968" s="61"/>
      <c r="K1968" s="61"/>
      <c r="L1968" s="73" t="str">
        <f t="shared" si="151"/>
        <v/>
      </c>
      <c r="M1968" s="65" t="str">
        <f t="shared" ca="1" si="152"/>
        <v/>
      </c>
      <c r="N1968" s="74" t="str">
        <f>IF($C1968="","",IF($C1968="TANIMSIZ MÜŞTERİ","—",INDEX(MUSTERILER!$C$7:$C$156,MATCH($C1968,MUSTERILER!$B$7:$B$156,0))))</f>
        <v/>
      </c>
      <c r="O1968" s="2"/>
      <c r="P1968" s="2"/>
      <c r="Q1968" s="1" t="str">
        <f>IF($D1968="","",$C1968&amp;"|"&amp;COUNTIFS($C$7:$C1968,$C1968))</f>
        <v/>
      </c>
      <c r="R1968" s="1" t="str">
        <f t="shared" si="153"/>
        <v/>
      </c>
      <c r="S1968" s="1" t="str">
        <f t="shared" si="154"/>
        <v/>
      </c>
      <c r="T1968" s="1">
        <f>IF($E1968="",0,SUMPRODUCT((AY_SONU!$O$7:$O$42="Evet")*(AY_SONU!$B$7:$B$42=DATE(YEAR($E1968),MONTH($E1968),1))))</f>
        <v>0</v>
      </c>
    </row>
    <row r="1969" spans="1:20" ht="18" customHeight="1" x14ac:dyDescent="0.3">
      <c r="A1969" s="2"/>
      <c r="B1969" s="65" t="str">
        <f t="shared" si="150"/>
        <v/>
      </c>
      <c r="C1969" s="65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66"/>
      <c r="F1969" s="67"/>
      <c r="G1969" s="60"/>
      <c r="H1969" s="60"/>
      <c r="I1969" s="61"/>
      <c r="J1969" s="61"/>
      <c r="K1969" s="61"/>
      <c r="L1969" s="73" t="str">
        <f t="shared" si="151"/>
        <v/>
      </c>
      <c r="M1969" s="65" t="str">
        <f t="shared" ca="1" si="152"/>
        <v/>
      </c>
      <c r="N1969" s="74" t="str">
        <f>IF($C1969="","",IF($C1969="TANIMSIZ MÜŞTERİ","—",INDEX(MUSTERILER!$C$7:$C$156,MATCH($C1969,MUSTERILER!$B$7:$B$156,0))))</f>
        <v/>
      </c>
      <c r="O1969" s="2"/>
      <c r="P1969" s="2"/>
      <c r="Q1969" s="1" t="str">
        <f>IF($D1969="","",$C1969&amp;"|"&amp;COUNTIFS($C$7:$C1969,$C1969))</f>
        <v/>
      </c>
      <c r="R1969" s="1" t="str">
        <f t="shared" si="153"/>
        <v/>
      </c>
      <c r="S1969" s="1" t="str">
        <f t="shared" si="154"/>
        <v/>
      </c>
      <c r="T1969" s="1">
        <f>IF($E1969="",0,SUMPRODUCT((AY_SONU!$O$7:$O$42="Evet")*(AY_SONU!$B$7:$B$42=DATE(YEAR($E1969),MONTH($E1969),1))))</f>
        <v>0</v>
      </c>
    </row>
    <row r="1970" spans="1:20" ht="18" customHeight="1" x14ac:dyDescent="0.3">
      <c r="A1970" s="2"/>
      <c r="B1970" s="65" t="str">
        <f t="shared" si="150"/>
        <v/>
      </c>
      <c r="C1970" s="65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66"/>
      <c r="F1970" s="67"/>
      <c r="G1970" s="60"/>
      <c r="H1970" s="60"/>
      <c r="I1970" s="61"/>
      <c r="J1970" s="61"/>
      <c r="K1970" s="61"/>
      <c r="L1970" s="73" t="str">
        <f t="shared" si="151"/>
        <v/>
      </c>
      <c r="M1970" s="65" t="str">
        <f t="shared" ca="1" si="152"/>
        <v/>
      </c>
      <c r="N1970" s="74" t="str">
        <f>IF($C1970="","",IF($C1970="TANIMSIZ MÜŞTERİ","—",INDEX(MUSTERILER!$C$7:$C$156,MATCH($C1970,MUSTERILER!$B$7:$B$156,0))))</f>
        <v/>
      </c>
      <c r="O1970" s="2"/>
      <c r="P1970" s="2"/>
      <c r="Q1970" s="1" t="str">
        <f>IF($D1970="","",$C1970&amp;"|"&amp;COUNTIFS($C$7:$C1970,$C1970))</f>
        <v/>
      </c>
      <c r="R1970" s="1" t="str">
        <f t="shared" si="153"/>
        <v/>
      </c>
      <c r="S1970" s="1" t="str">
        <f t="shared" si="154"/>
        <v/>
      </c>
      <c r="T1970" s="1">
        <f>IF($E1970="",0,SUMPRODUCT((AY_SONU!$O$7:$O$42="Evet")*(AY_SONU!$B$7:$B$42=DATE(YEAR($E1970),MONTH($E1970),1))))</f>
        <v>0</v>
      </c>
    </row>
    <row r="1971" spans="1:20" ht="18" customHeight="1" x14ac:dyDescent="0.3">
      <c r="A1971" s="2"/>
      <c r="B1971" s="65" t="str">
        <f t="shared" si="150"/>
        <v/>
      </c>
      <c r="C1971" s="65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66"/>
      <c r="F1971" s="67"/>
      <c r="G1971" s="60"/>
      <c r="H1971" s="60"/>
      <c r="I1971" s="61"/>
      <c r="J1971" s="61"/>
      <c r="K1971" s="61"/>
      <c r="L1971" s="73" t="str">
        <f t="shared" si="151"/>
        <v/>
      </c>
      <c r="M1971" s="65" t="str">
        <f t="shared" ca="1" si="152"/>
        <v/>
      </c>
      <c r="N1971" s="74" t="str">
        <f>IF($C1971="","",IF($C1971="TANIMSIZ MÜŞTERİ","—",INDEX(MUSTERILER!$C$7:$C$156,MATCH($C1971,MUSTERILER!$B$7:$B$156,0))))</f>
        <v/>
      </c>
      <c r="O1971" s="2"/>
      <c r="P1971" s="2"/>
      <c r="Q1971" s="1" t="str">
        <f>IF($D1971="","",$C1971&amp;"|"&amp;COUNTIFS($C$7:$C1971,$C1971))</f>
        <v/>
      </c>
      <c r="R1971" s="1" t="str">
        <f t="shared" si="153"/>
        <v/>
      </c>
      <c r="S1971" s="1" t="str">
        <f t="shared" si="154"/>
        <v/>
      </c>
      <c r="T1971" s="1">
        <f>IF($E1971="",0,SUMPRODUCT((AY_SONU!$O$7:$O$42="Evet")*(AY_SONU!$B$7:$B$42=DATE(YEAR($E1971),MONTH($E1971),1))))</f>
        <v>0</v>
      </c>
    </row>
    <row r="1972" spans="1:20" ht="18" customHeight="1" x14ac:dyDescent="0.3">
      <c r="A1972" s="2"/>
      <c r="B1972" s="65" t="str">
        <f t="shared" si="150"/>
        <v/>
      </c>
      <c r="C1972" s="65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66"/>
      <c r="F1972" s="67"/>
      <c r="G1972" s="60"/>
      <c r="H1972" s="60"/>
      <c r="I1972" s="61"/>
      <c r="J1972" s="61"/>
      <c r="K1972" s="61"/>
      <c r="L1972" s="73" t="str">
        <f t="shared" si="151"/>
        <v/>
      </c>
      <c r="M1972" s="65" t="str">
        <f t="shared" ca="1" si="152"/>
        <v/>
      </c>
      <c r="N1972" s="74" t="str">
        <f>IF($C1972="","",IF($C1972="TANIMSIZ MÜŞTERİ","—",INDEX(MUSTERILER!$C$7:$C$156,MATCH($C1972,MUSTERILER!$B$7:$B$156,0))))</f>
        <v/>
      </c>
      <c r="O1972" s="2"/>
      <c r="P1972" s="2"/>
      <c r="Q1972" s="1" t="str">
        <f>IF($D1972="","",$C1972&amp;"|"&amp;COUNTIFS($C$7:$C1972,$C1972))</f>
        <v/>
      </c>
      <c r="R1972" s="1" t="str">
        <f t="shared" si="153"/>
        <v/>
      </c>
      <c r="S1972" s="1" t="str">
        <f t="shared" si="154"/>
        <v/>
      </c>
      <c r="T1972" s="1">
        <f>IF($E1972="",0,SUMPRODUCT((AY_SONU!$O$7:$O$42="Evet")*(AY_SONU!$B$7:$B$42=DATE(YEAR($E1972),MONTH($E1972),1))))</f>
        <v>0</v>
      </c>
    </row>
    <row r="1973" spans="1:20" ht="18" customHeight="1" x14ac:dyDescent="0.3">
      <c r="A1973" s="2"/>
      <c r="B1973" s="65" t="str">
        <f t="shared" si="150"/>
        <v/>
      </c>
      <c r="C1973" s="65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66"/>
      <c r="F1973" s="67"/>
      <c r="G1973" s="60"/>
      <c r="H1973" s="60"/>
      <c r="I1973" s="61"/>
      <c r="J1973" s="61"/>
      <c r="K1973" s="61"/>
      <c r="L1973" s="73" t="str">
        <f t="shared" si="151"/>
        <v/>
      </c>
      <c r="M1973" s="65" t="str">
        <f t="shared" ca="1" si="152"/>
        <v/>
      </c>
      <c r="N1973" s="74" t="str">
        <f>IF($C1973="","",IF($C1973="TANIMSIZ MÜŞTERİ","—",INDEX(MUSTERILER!$C$7:$C$156,MATCH($C1973,MUSTERILER!$B$7:$B$156,0))))</f>
        <v/>
      </c>
      <c r="O1973" s="2"/>
      <c r="P1973" s="2"/>
      <c r="Q1973" s="1" t="str">
        <f>IF($D1973="","",$C1973&amp;"|"&amp;COUNTIFS($C$7:$C1973,$C1973))</f>
        <v/>
      </c>
      <c r="R1973" s="1" t="str">
        <f t="shared" si="153"/>
        <v/>
      </c>
      <c r="S1973" s="1" t="str">
        <f t="shared" si="154"/>
        <v/>
      </c>
      <c r="T1973" s="1">
        <f>IF($E1973="",0,SUMPRODUCT((AY_SONU!$O$7:$O$42="Evet")*(AY_SONU!$B$7:$B$42=DATE(YEAR($E1973),MONTH($E1973),1))))</f>
        <v>0</v>
      </c>
    </row>
    <row r="1974" spans="1:20" ht="18" customHeight="1" x14ac:dyDescent="0.3">
      <c r="A1974" s="2"/>
      <c r="B1974" s="65" t="str">
        <f t="shared" si="150"/>
        <v/>
      </c>
      <c r="C1974" s="65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66"/>
      <c r="F1974" s="67"/>
      <c r="G1974" s="60"/>
      <c r="H1974" s="60"/>
      <c r="I1974" s="61"/>
      <c r="J1974" s="61"/>
      <c r="K1974" s="61"/>
      <c r="L1974" s="73" t="str">
        <f t="shared" si="151"/>
        <v/>
      </c>
      <c r="M1974" s="65" t="str">
        <f t="shared" ca="1" si="152"/>
        <v/>
      </c>
      <c r="N1974" s="74" t="str">
        <f>IF($C1974="","",IF($C1974="TANIMSIZ MÜŞTERİ","—",INDEX(MUSTERILER!$C$7:$C$156,MATCH($C1974,MUSTERILER!$B$7:$B$156,0))))</f>
        <v/>
      </c>
      <c r="O1974" s="2"/>
      <c r="P1974" s="2"/>
      <c r="Q1974" s="1" t="str">
        <f>IF($D1974="","",$C1974&amp;"|"&amp;COUNTIFS($C$7:$C1974,$C1974))</f>
        <v/>
      </c>
      <c r="R1974" s="1" t="str">
        <f t="shared" si="153"/>
        <v/>
      </c>
      <c r="S1974" s="1" t="str">
        <f t="shared" si="154"/>
        <v/>
      </c>
      <c r="T1974" s="1">
        <f>IF($E1974="",0,SUMPRODUCT((AY_SONU!$O$7:$O$42="Evet")*(AY_SONU!$B$7:$B$42=DATE(YEAR($E1974),MONTH($E1974),1))))</f>
        <v>0</v>
      </c>
    </row>
    <row r="1975" spans="1:20" ht="18" customHeight="1" x14ac:dyDescent="0.3">
      <c r="A1975" s="2"/>
      <c r="B1975" s="65" t="str">
        <f t="shared" si="150"/>
        <v/>
      </c>
      <c r="C1975" s="65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66"/>
      <c r="F1975" s="67"/>
      <c r="G1975" s="60"/>
      <c r="H1975" s="60"/>
      <c r="I1975" s="61"/>
      <c r="J1975" s="61"/>
      <c r="K1975" s="61"/>
      <c r="L1975" s="73" t="str">
        <f t="shared" si="151"/>
        <v/>
      </c>
      <c r="M1975" s="65" t="str">
        <f t="shared" ca="1" si="152"/>
        <v/>
      </c>
      <c r="N1975" s="74" t="str">
        <f>IF($C1975="","",IF($C1975="TANIMSIZ MÜŞTERİ","—",INDEX(MUSTERILER!$C$7:$C$156,MATCH($C1975,MUSTERILER!$B$7:$B$156,0))))</f>
        <v/>
      </c>
      <c r="O1975" s="2"/>
      <c r="P1975" s="2"/>
      <c r="Q1975" s="1" t="str">
        <f>IF($D1975="","",$C1975&amp;"|"&amp;COUNTIFS($C$7:$C1975,$C1975))</f>
        <v/>
      </c>
      <c r="R1975" s="1" t="str">
        <f t="shared" si="153"/>
        <v/>
      </c>
      <c r="S1975" s="1" t="str">
        <f t="shared" si="154"/>
        <v/>
      </c>
      <c r="T1975" s="1">
        <f>IF($E1975="",0,SUMPRODUCT((AY_SONU!$O$7:$O$42="Evet")*(AY_SONU!$B$7:$B$42=DATE(YEAR($E1975),MONTH($E1975),1))))</f>
        <v>0</v>
      </c>
    </row>
    <row r="1976" spans="1:20" ht="18" customHeight="1" x14ac:dyDescent="0.3">
      <c r="A1976" s="2"/>
      <c r="B1976" s="65" t="str">
        <f t="shared" si="150"/>
        <v/>
      </c>
      <c r="C1976" s="65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66"/>
      <c r="F1976" s="67"/>
      <c r="G1976" s="60"/>
      <c r="H1976" s="60"/>
      <c r="I1976" s="61"/>
      <c r="J1976" s="61"/>
      <c r="K1976" s="61"/>
      <c r="L1976" s="73" t="str">
        <f t="shared" si="151"/>
        <v/>
      </c>
      <c r="M1976" s="65" t="str">
        <f t="shared" ca="1" si="152"/>
        <v/>
      </c>
      <c r="N1976" s="74" t="str">
        <f>IF($C1976="","",IF($C1976="TANIMSIZ MÜŞTERİ","—",INDEX(MUSTERILER!$C$7:$C$156,MATCH($C1976,MUSTERILER!$B$7:$B$156,0))))</f>
        <v/>
      </c>
      <c r="O1976" s="2"/>
      <c r="P1976" s="2"/>
      <c r="Q1976" s="1" t="str">
        <f>IF($D1976="","",$C1976&amp;"|"&amp;COUNTIFS($C$7:$C1976,$C1976))</f>
        <v/>
      </c>
      <c r="R1976" s="1" t="str">
        <f t="shared" si="153"/>
        <v/>
      </c>
      <c r="S1976" s="1" t="str">
        <f t="shared" si="154"/>
        <v/>
      </c>
      <c r="T1976" s="1">
        <f>IF($E1976="",0,SUMPRODUCT((AY_SONU!$O$7:$O$42="Evet")*(AY_SONU!$B$7:$B$42=DATE(YEAR($E1976),MONTH($E1976),1))))</f>
        <v>0</v>
      </c>
    </row>
    <row r="1977" spans="1:20" ht="18" customHeight="1" x14ac:dyDescent="0.3">
      <c r="A1977" s="2"/>
      <c r="B1977" s="65" t="str">
        <f t="shared" si="150"/>
        <v/>
      </c>
      <c r="C1977" s="65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66"/>
      <c r="F1977" s="67"/>
      <c r="G1977" s="60"/>
      <c r="H1977" s="60"/>
      <c r="I1977" s="61"/>
      <c r="J1977" s="61"/>
      <c r="K1977" s="61"/>
      <c r="L1977" s="73" t="str">
        <f t="shared" si="151"/>
        <v/>
      </c>
      <c r="M1977" s="65" t="str">
        <f t="shared" ca="1" si="152"/>
        <v/>
      </c>
      <c r="N1977" s="74" t="str">
        <f>IF($C1977="","",IF($C1977="TANIMSIZ MÜŞTERİ","—",INDEX(MUSTERILER!$C$7:$C$156,MATCH($C1977,MUSTERILER!$B$7:$B$156,0))))</f>
        <v/>
      </c>
      <c r="O1977" s="2"/>
      <c r="P1977" s="2"/>
      <c r="Q1977" s="1" t="str">
        <f>IF($D1977="","",$C1977&amp;"|"&amp;COUNTIFS($C$7:$C1977,$C1977))</f>
        <v/>
      </c>
      <c r="R1977" s="1" t="str">
        <f t="shared" si="153"/>
        <v/>
      </c>
      <c r="S1977" s="1" t="str">
        <f t="shared" si="154"/>
        <v/>
      </c>
      <c r="T1977" s="1">
        <f>IF($E1977="",0,SUMPRODUCT((AY_SONU!$O$7:$O$42="Evet")*(AY_SONU!$B$7:$B$42=DATE(YEAR($E1977),MONTH($E1977),1))))</f>
        <v>0</v>
      </c>
    </row>
    <row r="1978" spans="1:20" ht="18" customHeight="1" x14ac:dyDescent="0.3">
      <c r="A1978" s="2"/>
      <c r="B1978" s="65" t="str">
        <f t="shared" si="150"/>
        <v/>
      </c>
      <c r="C1978" s="65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66"/>
      <c r="F1978" s="67"/>
      <c r="G1978" s="60"/>
      <c r="H1978" s="60"/>
      <c r="I1978" s="61"/>
      <c r="J1978" s="61"/>
      <c r="K1978" s="61"/>
      <c r="L1978" s="73" t="str">
        <f t="shared" si="151"/>
        <v/>
      </c>
      <c r="M1978" s="65" t="str">
        <f t="shared" ca="1" si="152"/>
        <v/>
      </c>
      <c r="N1978" s="74" t="str">
        <f>IF($C1978="","",IF($C1978="TANIMSIZ MÜŞTERİ","—",INDEX(MUSTERILER!$C$7:$C$156,MATCH($C1978,MUSTERILER!$B$7:$B$156,0))))</f>
        <v/>
      </c>
      <c r="O1978" s="2"/>
      <c r="P1978" s="2"/>
      <c r="Q1978" s="1" t="str">
        <f>IF($D1978="","",$C1978&amp;"|"&amp;COUNTIFS($C$7:$C1978,$C1978))</f>
        <v/>
      </c>
      <c r="R1978" s="1" t="str">
        <f t="shared" si="153"/>
        <v/>
      </c>
      <c r="S1978" s="1" t="str">
        <f t="shared" si="154"/>
        <v/>
      </c>
      <c r="T1978" s="1">
        <f>IF($E1978="",0,SUMPRODUCT((AY_SONU!$O$7:$O$42="Evet")*(AY_SONU!$B$7:$B$42=DATE(YEAR($E1978),MONTH($E1978),1))))</f>
        <v>0</v>
      </c>
    </row>
    <row r="1979" spans="1:20" ht="18" customHeight="1" x14ac:dyDescent="0.3">
      <c r="A1979" s="2"/>
      <c r="B1979" s="65" t="str">
        <f t="shared" si="150"/>
        <v/>
      </c>
      <c r="C1979" s="65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66"/>
      <c r="F1979" s="67"/>
      <c r="G1979" s="60"/>
      <c r="H1979" s="60"/>
      <c r="I1979" s="61"/>
      <c r="J1979" s="61"/>
      <c r="K1979" s="61"/>
      <c r="L1979" s="73" t="str">
        <f t="shared" si="151"/>
        <v/>
      </c>
      <c r="M1979" s="65" t="str">
        <f t="shared" ca="1" si="152"/>
        <v/>
      </c>
      <c r="N1979" s="74" t="str">
        <f>IF($C1979="","",IF($C1979="TANIMSIZ MÜŞTERİ","—",INDEX(MUSTERILER!$C$7:$C$156,MATCH($C1979,MUSTERILER!$B$7:$B$156,0))))</f>
        <v/>
      </c>
      <c r="O1979" s="2"/>
      <c r="P1979" s="2"/>
      <c r="Q1979" s="1" t="str">
        <f>IF($D1979="","",$C1979&amp;"|"&amp;COUNTIFS($C$7:$C1979,$C1979))</f>
        <v/>
      </c>
      <c r="R1979" s="1" t="str">
        <f t="shared" si="153"/>
        <v/>
      </c>
      <c r="S1979" s="1" t="str">
        <f t="shared" si="154"/>
        <v/>
      </c>
      <c r="T1979" s="1">
        <f>IF($E1979="",0,SUMPRODUCT((AY_SONU!$O$7:$O$42="Evet")*(AY_SONU!$B$7:$B$42=DATE(YEAR($E1979),MONTH($E1979),1))))</f>
        <v>0</v>
      </c>
    </row>
    <row r="1980" spans="1:20" ht="18" customHeight="1" x14ac:dyDescent="0.3">
      <c r="A1980" s="2"/>
      <c r="B1980" s="65" t="str">
        <f t="shared" si="150"/>
        <v/>
      </c>
      <c r="C1980" s="65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66"/>
      <c r="F1980" s="67"/>
      <c r="G1980" s="60"/>
      <c r="H1980" s="60"/>
      <c r="I1980" s="61"/>
      <c r="J1980" s="61"/>
      <c r="K1980" s="61"/>
      <c r="L1980" s="73" t="str">
        <f t="shared" si="151"/>
        <v/>
      </c>
      <c r="M1980" s="65" t="str">
        <f t="shared" ca="1" si="152"/>
        <v/>
      </c>
      <c r="N1980" s="74" t="str">
        <f>IF($C1980="","",IF($C1980="TANIMSIZ MÜŞTERİ","—",INDEX(MUSTERILER!$C$7:$C$156,MATCH($C1980,MUSTERILER!$B$7:$B$156,0))))</f>
        <v/>
      </c>
      <c r="O1980" s="2"/>
      <c r="P1980" s="2"/>
      <c r="Q1980" s="1" t="str">
        <f>IF($D1980="","",$C1980&amp;"|"&amp;COUNTIFS($C$7:$C1980,$C1980))</f>
        <v/>
      </c>
      <c r="R1980" s="1" t="str">
        <f t="shared" si="153"/>
        <v/>
      </c>
      <c r="S1980" s="1" t="str">
        <f t="shared" si="154"/>
        <v/>
      </c>
      <c r="T1980" s="1">
        <f>IF($E1980="",0,SUMPRODUCT((AY_SONU!$O$7:$O$42="Evet")*(AY_SONU!$B$7:$B$42=DATE(YEAR($E1980),MONTH($E1980),1))))</f>
        <v>0</v>
      </c>
    </row>
    <row r="1981" spans="1:20" ht="18" customHeight="1" x14ac:dyDescent="0.3">
      <c r="A1981" s="2"/>
      <c r="B1981" s="65" t="str">
        <f t="shared" si="150"/>
        <v/>
      </c>
      <c r="C1981" s="65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66"/>
      <c r="F1981" s="67"/>
      <c r="G1981" s="60"/>
      <c r="H1981" s="60"/>
      <c r="I1981" s="61"/>
      <c r="J1981" s="61"/>
      <c r="K1981" s="61"/>
      <c r="L1981" s="73" t="str">
        <f t="shared" si="151"/>
        <v/>
      </c>
      <c r="M1981" s="65" t="str">
        <f t="shared" ca="1" si="152"/>
        <v/>
      </c>
      <c r="N1981" s="74" t="str">
        <f>IF($C1981="","",IF($C1981="TANIMSIZ MÜŞTERİ","—",INDEX(MUSTERILER!$C$7:$C$156,MATCH($C1981,MUSTERILER!$B$7:$B$156,0))))</f>
        <v/>
      </c>
      <c r="O1981" s="2"/>
      <c r="P1981" s="2"/>
      <c r="Q1981" s="1" t="str">
        <f>IF($D1981="","",$C1981&amp;"|"&amp;COUNTIFS($C$7:$C1981,$C1981))</f>
        <v/>
      </c>
      <c r="R1981" s="1" t="str">
        <f t="shared" si="153"/>
        <v/>
      </c>
      <c r="S1981" s="1" t="str">
        <f t="shared" si="154"/>
        <v/>
      </c>
      <c r="T1981" s="1">
        <f>IF($E1981="",0,SUMPRODUCT((AY_SONU!$O$7:$O$42="Evet")*(AY_SONU!$B$7:$B$42=DATE(YEAR($E1981),MONTH($E1981),1))))</f>
        <v>0</v>
      </c>
    </row>
    <row r="1982" spans="1:20" ht="18" customHeight="1" x14ac:dyDescent="0.3">
      <c r="A1982" s="2"/>
      <c r="B1982" s="65" t="str">
        <f t="shared" si="150"/>
        <v/>
      </c>
      <c r="C1982" s="65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66"/>
      <c r="F1982" s="67"/>
      <c r="G1982" s="60"/>
      <c r="H1982" s="60"/>
      <c r="I1982" s="61"/>
      <c r="J1982" s="61"/>
      <c r="K1982" s="61"/>
      <c r="L1982" s="73" t="str">
        <f t="shared" si="151"/>
        <v/>
      </c>
      <c r="M1982" s="65" t="str">
        <f t="shared" ca="1" si="152"/>
        <v/>
      </c>
      <c r="N1982" s="74" t="str">
        <f>IF($C1982="","",IF($C1982="TANIMSIZ MÜŞTERİ","—",INDEX(MUSTERILER!$C$7:$C$156,MATCH($C1982,MUSTERILER!$B$7:$B$156,0))))</f>
        <v/>
      </c>
      <c r="O1982" s="2"/>
      <c r="P1982" s="2"/>
      <c r="Q1982" s="1" t="str">
        <f>IF($D1982="","",$C1982&amp;"|"&amp;COUNTIFS($C$7:$C1982,$C1982))</f>
        <v/>
      </c>
      <c r="R1982" s="1" t="str">
        <f t="shared" si="153"/>
        <v/>
      </c>
      <c r="S1982" s="1" t="str">
        <f t="shared" si="154"/>
        <v/>
      </c>
      <c r="T1982" s="1">
        <f>IF($E1982="",0,SUMPRODUCT((AY_SONU!$O$7:$O$42="Evet")*(AY_SONU!$B$7:$B$42=DATE(YEAR($E1982),MONTH($E1982),1))))</f>
        <v>0</v>
      </c>
    </row>
    <row r="1983" spans="1:20" ht="18" customHeight="1" x14ac:dyDescent="0.3">
      <c r="A1983" s="2"/>
      <c r="B1983" s="65" t="str">
        <f t="shared" si="150"/>
        <v/>
      </c>
      <c r="C1983" s="65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66"/>
      <c r="F1983" s="67"/>
      <c r="G1983" s="60"/>
      <c r="H1983" s="60"/>
      <c r="I1983" s="61"/>
      <c r="J1983" s="61"/>
      <c r="K1983" s="61"/>
      <c r="L1983" s="73" t="str">
        <f t="shared" si="151"/>
        <v/>
      </c>
      <c r="M1983" s="65" t="str">
        <f t="shared" ca="1" si="152"/>
        <v/>
      </c>
      <c r="N1983" s="74" t="str">
        <f>IF($C1983="","",IF($C1983="TANIMSIZ MÜŞTERİ","—",INDEX(MUSTERILER!$C$7:$C$156,MATCH($C1983,MUSTERILER!$B$7:$B$156,0))))</f>
        <v/>
      </c>
      <c r="O1983" s="2"/>
      <c r="P1983" s="2"/>
      <c r="Q1983" s="1" t="str">
        <f>IF($D1983="","",$C1983&amp;"|"&amp;COUNTIFS($C$7:$C1983,$C1983))</f>
        <v/>
      </c>
      <c r="R1983" s="1" t="str">
        <f t="shared" si="153"/>
        <v/>
      </c>
      <c r="S1983" s="1" t="str">
        <f t="shared" si="154"/>
        <v/>
      </c>
      <c r="T1983" s="1">
        <f>IF($E1983="",0,SUMPRODUCT((AY_SONU!$O$7:$O$42="Evet")*(AY_SONU!$B$7:$B$42=DATE(YEAR($E1983),MONTH($E1983),1))))</f>
        <v>0</v>
      </c>
    </row>
    <row r="1984" spans="1:20" ht="18" customHeight="1" x14ac:dyDescent="0.3">
      <c r="A1984" s="2"/>
      <c r="B1984" s="65" t="str">
        <f t="shared" si="150"/>
        <v/>
      </c>
      <c r="C1984" s="65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66"/>
      <c r="F1984" s="67"/>
      <c r="G1984" s="60"/>
      <c r="H1984" s="60"/>
      <c r="I1984" s="61"/>
      <c r="J1984" s="61"/>
      <c r="K1984" s="61"/>
      <c r="L1984" s="73" t="str">
        <f t="shared" si="151"/>
        <v/>
      </c>
      <c r="M1984" s="65" t="str">
        <f t="shared" ca="1" si="152"/>
        <v/>
      </c>
      <c r="N1984" s="74" t="str">
        <f>IF($C1984="","",IF($C1984="TANIMSIZ MÜŞTERİ","—",INDEX(MUSTERILER!$C$7:$C$156,MATCH($C1984,MUSTERILER!$B$7:$B$156,0))))</f>
        <v/>
      </c>
      <c r="O1984" s="2"/>
      <c r="P1984" s="2"/>
      <c r="Q1984" s="1" t="str">
        <f>IF($D1984="","",$C1984&amp;"|"&amp;COUNTIFS($C$7:$C1984,$C1984))</f>
        <v/>
      </c>
      <c r="R1984" s="1" t="str">
        <f t="shared" si="153"/>
        <v/>
      </c>
      <c r="S1984" s="1" t="str">
        <f t="shared" si="154"/>
        <v/>
      </c>
      <c r="T1984" s="1">
        <f>IF($E1984="",0,SUMPRODUCT((AY_SONU!$O$7:$O$42="Evet")*(AY_SONU!$B$7:$B$42=DATE(YEAR($E1984),MONTH($E1984),1))))</f>
        <v>0</v>
      </c>
    </row>
    <row r="1985" spans="1:20" ht="18" customHeight="1" x14ac:dyDescent="0.3">
      <c r="A1985" s="2"/>
      <c r="B1985" s="65" t="str">
        <f t="shared" si="150"/>
        <v/>
      </c>
      <c r="C1985" s="65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66"/>
      <c r="F1985" s="67"/>
      <c r="G1985" s="60"/>
      <c r="H1985" s="60"/>
      <c r="I1985" s="61"/>
      <c r="J1985" s="61"/>
      <c r="K1985" s="61"/>
      <c r="L1985" s="73" t="str">
        <f t="shared" si="151"/>
        <v/>
      </c>
      <c r="M1985" s="65" t="str">
        <f t="shared" ca="1" si="152"/>
        <v/>
      </c>
      <c r="N1985" s="74" t="str">
        <f>IF($C1985="","",IF($C1985="TANIMSIZ MÜŞTERİ","—",INDEX(MUSTERILER!$C$7:$C$156,MATCH($C1985,MUSTERILER!$B$7:$B$156,0))))</f>
        <v/>
      </c>
      <c r="O1985" s="2"/>
      <c r="P1985" s="2"/>
      <c r="Q1985" s="1" t="str">
        <f>IF($D1985="","",$C1985&amp;"|"&amp;COUNTIFS($C$7:$C1985,$C1985))</f>
        <v/>
      </c>
      <c r="R1985" s="1" t="str">
        <f t="shared" si="153"/>
        <v/>
      </c>
      <c r="S1985" s="1" t="str">
        <f t="shared" si="154"/>
        <v/>
      </c>
      <c r="T1985" s="1">
        <f>IF($E1985="",0,SUMPRODUCT((AY_SONU!$O$7:$O$42="Evet")*(AY_SONU!$B$7:$B$42=DATE(YEAR($E1985),MONTH($E1985),1))))</f>
        <v>0</v>
      </c>
    </row>
    <row r="1986" spans="1:20" ht="18" customHeight="1" x14ac:dyDescent="0.3">
      <c r="A1986" s="2"/>
      <c r="B1986" s="65" t="str">
        <f t="shared" si="150"/>
        <v/>
      </c>
      <c r="C1986" s="65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66"/>
      <c r="F1986" s="67"/>
      <c r="G1986" s="60"/>
      <c r="H1986" s="60"/>
      <c r="I1986" s="61"/>
      <c r="J1986" s="61"/>
      <c r="K1986" s="61"/>
      <c r="L1986" s="73" t="str">
        <f t="shared" si="151"/>
        <v/>
      </c>
      <c r="M1986" s="65" t="str">
        <f t="shared" ca="1" si="152"/>
        <v/>
      </c>
      <c r="N1986" s="74" t="str">
        <f>IF($C1986="","",IF($C1986="TANIMSIZ MÜŞTERİ","—",INDEX(MUSTERILER!$C$7:$C$156,MATCH($C1986,MUSTERILER!$B$7:$B$156,0))))</f>
        <v/>
      </c>
      <c r="O1986" s="2"/>
      <c r="P1986" s="2"/>
      <c r="Q1986" s="1" t="str">
        <f>IF($D1986="","",$C1986&amp;"|"&amp;COUNTIFS($C$7:$C1986,$C1986))</f>
        <v/>
      </c>
      <c r="R1986" s="1" t="str">
        <f t="shared" si="153"/>
        <v/>
      </c>
      <c r="S1986" s="1" t="str">
        <f t="shared" si="154"/>
        <v/>
      </c>
      <c r="T1986" s="1">
        <f>IF($E1986="",0,SUMPRODUCT((AY_SONU!$O$7:$O$42="Evet")*(AY_SONU!$B$7:$B$42=DATE(YEAR($E1986),MONTH($E1986),1))))</f>
        <v>0</v>
      </c>
    </row>
    <row r="1987" spans="1:20" ht="18" customHeight="1" x14ac:dyDescent="0.3">
      <c r="A1987" s="2"/>
      <c r="B1987" s="65" t="str">
        <f t="shared" si="150"/>
        <v/>
      </c>
      <c r="C1987" s="65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66"/>
      <c r="F1987" s="67"/>
      <c r="G1987" s="60"/>
      <c r="H1987" s="60"/>
      <c r="I1987" s="61"/>
      <c r="J1987" s="61"/>
      <c r="K1987" s="61"/>
      <c r="L1987" s="73" t="str">
        <f t="shared" si="151"/>
        <v/>
      </c>
      <c r="M1987" s="65" t="str">
        <f t="shared" ca="1" si="152"/>
        <v/>
      </c>
      <c r="N1987" s="74" t="str">
        <f>IF($C1987="","",IF($C1987="TANIMSIZ MÜŞTERİ","—",INDEX(MUSTERILER!$C$7:$C$156,MATCH($C1987,MUSTERILER!$B$7:$B$156,0))))</f>
        <v/>
      </c>
      <c r="O1987" s="2"/>
      <c r="P1987" s="2"/>
      <c r="Q1987" s="1" t="str">
        <f>IF($D1987="","",$C1987&amp;"|"&amp;COUNTIFS($C$7:$C1987,$C1987))</f>
        <v/>
      </c>
      <c r="R1987" s="1" t="str">
        <f t="shared" si="153"/>
        <v/>
      </c>
      <c r="S1987" s="1" t="str">
        <f t="shared" si="154"/>
        <v/>
      </c>
      <c r="T1987" s="1">
        <f>IF($E1987="",0,SUMPRODUCT((AY_SONU!$O$7:$O$42="Evet")*(AY_SONU!$B$7:$B$42=DATE(YEAR($E1987),MONTH($E1987),1))))</f>
        <v>0</v>
      </c>
    </row>
    <row r="1988" spans="1:20" ht="18" customHeight="1" x14ac:dyDescent="0.3">
      <c r="A1988" s="2"/>
      <c r="B1988" s="65" t="str">
        <f t="shared" si="150"/>
        <v/>
      </c>
      <c r="C1988" s="65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66"/>
      <c r="F1988" s="67"/>
      <c r="G1988" s="60"/>
      <c r="H1988" s="60"/>
      <c r="I1988" s="61"/>
      <c r="J1988" s="61"/>
      <c r="K1988" s="61"/>
      <c r="L1988" s="73" t="str">
        <f t="shared" si="151"/>
        <v/>
      </c>
      <c r="M1988" s="65" t="str">
        <f t="shared" ca="1" si="152"/>
        <v/>
      </c>
      <c r="N1988" s="74" t="str">
        <f>IF($C1988="","",IF($C1988="TANIMSIZ MÜŞTERİ","—",INDEX(MUSTERILER!$C$7:$C$156,MATCH($C1988,MUSTERILER!$B$7:$B$156,0))))</f>
        <v/>
      </c>
      <c r="O1988" s="2"/>
      <c r="P1988" s="2"/>
      <c r="Q1988" s="1" t="str">
        <f>IF($D1988="","",$C1988&amp;"|"&amp;COUNTIFS($C$7:$C1988,$C1988))</f>
        <v/>
      </c>
      <c r="R1988" s="1" t="str">
        <f t="shared" si="153"/>
        <v/>
      </c>
      <c r="S1988" s="1" t="str">
        <f t="shared" si="154"/>
        <v/>
      </c>
      <c r="T1988" s="1">
        <f>IF($E1988="",0,SUMPRODUCT((AY_SONU!$O$7:$O$42="Evet")*(AY_SONU!$B$7:$B$42=DATE(YEAR($E1988),MONTH($E1988),1))))</f>
        <v>0</v>
      </c>
    </row>
    <row r="1989" spans="1:20" ht="18" customHeight="1" x14ac:dyDescent="0.3">
      <c r="A1989" s="2"/>
      <c r="B1989" s="65" t="str">
        <f t="shared" si="150"/>
        <v/>
      </c>
      <c r="C1989" s="65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66"/>
      <c r="F1989" s="67"/>
      <c r="G1989" s="60"/>
      <c r="H1989" s="60"/>
      <c r="I1989" s="61"/>
      <c r="J1989" s="61"/>
      <c r="K1989" s="61"/>
      <c r="L1989" s="73" t="str">
        <f t="shared" si="151"/>
        <v/>
      </c>
      <c r="M1989" s="65" t="str">
        <f t="shared" ca="1" si="152"/>
        <v/>
      </c>
      <c r="N1989" s="74" t="str">
        <f>IF($C1989="","",IF($C1989="TANIMSIZ MÜŞTERİ","—",INDEX(MUSTERILER!$C$7:$C$156,MATCH($C1989,MUSTERILER!$B$7:$B$156,0))))</f>
        <v/>
      </c>
      <c r="O1989" s="2"/>
      <c r="P1989" s="2"/>
      <c r="Q1989" s="1" t="str">
        <f>IF($D1989="","",$C1989&amp;"|"&amp;COUNTIFS($C$7:$C1989,$C1989))</f>
        <v/>
      </c>
      <c r="R1989" s="1" t="str">
        <f t="shared" si="153"/>
        <v/>
      </c>
      <c r="S1989" s="1" t="str">
        <f t="shared" si="154"/>
        <v/>
      </c>
      <c r="T1989" s="1">
        <f>IF($E1989="",0,SUMPRODUCT((AY_SONU!$O$7:$O$42="Evet")*(AY_SONU!$B$7:$B$42=DATE(YEAR($E1989),MONTH($E1989),1))))</f>
        <v>0</v>
      </c>
    </row>
    <row r="1990" spans="1:20" ht="18" customHeight="1" x14ac:dyDescent="0.3">
      <c r="A1990" s="2"/>
      <c r="B1990" s="65" t="str">
        <f t="shared" si="150"/>
        <v/>
      </c>
      <c r="C1990" s="65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66"/>
      <c r="F1990" s="67"/>
      <c r="G1990" s="60"/>
      <c r="H1990" s="60"/>
      <c r="I1990" s="61"/>
      <c r="J1990" s="61"/>
      <c r="K1990" s="61"/>
      <c r="L1990" s="73" t="str">
        <f t="shared" si="151"/>
        <v/>
      </c>
      <c r="M1990" s="65" t="str">
        <f t="shared" ca="1" si="152"/>
        <v/>
      </c>
      <c r="N1990" s="74" t="str">
        <f>IF($C1990="","",IF($C1990="TANIMSIZ MÜŞTERİ","—",INDEX(MUSTERILER!$C$7:$C$156,MATCH($C1990,MUSTERILER!$B$7:$B$156,0))))</f>
        <v/>
      </c>
      <c r="O1990" s="2"/>
      <c r="P1990" s="2"/>
      <c r="Q1990" s="1" t="str">
        <f>IF($D1990="","",$C1990&amp;"|"&amp;COUNTIFS($C$7:$C1990,$C1990))</f>
        <v/>
      </c>
      <c r="R1990" s="1" t="str">
        <f t="shared" si="153"/>
        <v/>
      </c>
      <c r="S1990" s="1" t="str">
        <f t="shared" si="154"/>
        <v/>
      </c>
      <c r="T1990" s="1">
        <f>IF($E1990="",0,SUMPRODUCT((AY_SONU!$O$7:$O$42="Evet")*(AY_SONU!$B$7:$B$42=DATE(YEAR($E1990),MONTH($E1990),1))))</f>
        <v>0</v>
      </c>
    </row>
    <row r="1991" spans="1:20" ht="18" customHeight="1" x14ac:dyDescent="0.3">
      <c r="A1991" s="2"/>
      <c r="B1991" s="65" t="str">
        <f t="shared" ref="B1991:B2054" si="155">IF($D1991="","","T"&amp;TEXT(ROW()-6,"00000"))</f>
        <v/>
      </c>
      <c r="C1991" s="65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66"/>
      <c r="F1991" s="67"/>
      <c r="G1991" s="60"/>
      <c r="H1991" s="60"/>
      <c r="I1991" s="61"/>
      <c r="J1991" s="61"/>
      <c r="K1991" s="61"/>
      <c r="L1991" s="73" t="str">
        <f t="shared" ref="L1991:L2054" si="156">IF($E1991="","",DATE(YEAR($E1991),MONTH($E1991),1))</f>
        <v/>
      </c>
      <c r="M1991" s="65" t="str">
        <f t="shared" ref="M1991:M2054" ca="1" si="157">IF($D1991="","",IF($C1991="TANIMSIZ MÜŞTERİ","HATA",IF(OR($E1991="",$F1991&lt;=0,$G1991=""),"EKSİK",IF($E1991&gt;TODAY(),"İLERİ TARİH",IF(COUNTIF($S$7:$S$2506,$S1991)&gt;1,"MÜKERRER?",IF($T1991&gt;0,"KAPALI DÖNEM","UYGUN"))))))</f>
        <v/>
      </c>
      <c r="N1991" s="74" t="str">
        <f>IF($C1991="","",IF($C1991="TANIMSIZ MÜŞTERİ","—",INDEX(MUSTERILER!$C$7:$C$156,MATCH($C1991,MUSTERILER!$B$7:$B$156,0))))</f>
        <v/>
      </c>
      <c r="O1991" s="2"/>
      <c r="P1991" s="2"/>
      <c r="Q1991" s="1" t="str">
        <f>IF($D1991="","",$C1991&amp;"|"&amp;COUNTIFS($C$7:$C1991,$C1991))</f>
        <v/>
      </c>
      <c r="R1991" s="1" t="str">
        <f t="shared" ref="R1991:R2054" si="158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 t="str">
        <f t="shared" ref="S1991:S2054" si="159"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>0</v>
      </c>
    </row>
    <row r="1992" spans="1:20" ht="18" customHeight="1" x14ac:dyDescent="0.3">
      <c r="A1992" s="2"/>
      <c r="B1992" s="65" t="str">
        <f t="shared" si="155"/>
        <v/>
      </c>
      <c r="C1992" s="65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66"/>
      <c r="F1992" s="67"/>
      <c r="G1992" s="60"/>
      <c r="H1992" s="60"/>
      <c r="I1992" s="61"/>
      <c r="J1992" s="61"/>
      <c r="K1992" s="61"/>
      <c r="L1992" s="73" t="str">
        <f t="shared" si="156"/>
        <v/>
      </c>
      <c r="M1992" s="65" t="str">
        <f t="shared" ca="1" si="157"/>
        <v/>
      </c>
      <c r="N1992" s="74" t="str">
        <f>IF($C1992="","",IF($C1992="TANIMSIZ MÜŞTERİ","—",INDEX(MUSTERILER!$C$7:$C$156,MATCH($C1992,MUSTERILER!$B$7:$B$156,0))))</f>
        <v/>
      </c>
      <c r="O1992" s="2"/>
      <c r="P1992" s="2"/>
      <c r="Q1992" s="1" t="str">
        <f>IF($D1992="","",$C1992&amp;"|"&amp;COUNTIFS($C$7:$C1992,$C1992))</f>
        <v/>
      </c>
      <c r="R1992" s="1" t="str">
        <f t="shared" si="158"/>
        <v/>
      </c>
      <c r="S1992" s="1" t="str">
        <f t="shared" si="159"/>
        <v/>
      </c>
      <c r="T1992" s="1">
        <f>IF($E1992="",0,SUMPRODUCT((AY_SONU!$O$7:$O$42="Evet")*(AY_SONU!$B$7:$B$42=DATE(YEAR($E1992),MONTH($E1992),1))))</f>
        <v>0</v>
      </c>
    </row>
    <row r="1993" spans="1:20" ht="18" customHeight="1" x14ac:dyDescent="0.3">
      <c r="A1993" s="2"/>
      <c r="B1993" s="65" t="str">
        <f t="shared" si="155"/>
        <v/>
      </c>
      <c r="C1993" s="65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66"/>
      <c r="F1993" s="67"/>
      <c r="G1993" s="60"/>
      <c r="H1993" s="60"/>
      <c r="I1993" s="61"/>
      <c r="J1993" s="61"/>
      <c r="K1993" s="61"/>
      <c r="L1993" s="73" t="str">
        <f t="shared" si="156"/>
        <v/>
      </c>
      <c r="M1993" s="65" t="str">
        <f t="shared" ca="1" si="157"/>
        <v/>
      </c>
      <c r="N1993" s="74" t="str">
        <f>IF($C1993="","",IF($C1993="TANIMSIZ MÜŞTERİ","—",INDEX(MUSTERILER!$C$7:$C$156,MATCH($C1993,MUSTERILER!$B$7:$B$156,0))))</f>
        <v/>
      </c>
      <c r="O1993" s="2"/>
      <c r="P1993" s="2"/>
      <c r="Q1993" s="1" t="str">
        <f>IF($D1993="","",$C1993&amp;"|"&amp;COUNTIFS($C$7:$C1993,$C1993))</f>
        <v/>
      </c>
      <c r="R1993" s="1" t="str">
        <f t="shared" si="158"/>
        <v/>
      </c>
      <c r="S1993" s="1" t="str">
        <f t="shared" si="159"/>
        <v/>
      </c>
      <c r="T1993" s="1">
        <f>IF($E1993="",0,SUMPRODUCT((AY_SONU!$O$7:$O$42="Evet")*(AY_SONU!$B$7:$B$42=DATE(YEAR($E1993),MONTH($E1993),1))))</f>
        <v>0</v>
      </c>
    </row>
    <row r="1994" spans="1:20" ht="18" customHeight="1" x14ac:dyDescent="0.3">
      <c r="A1994" s="2"/>
      <c r="B1994" s="65" t="str">
        <f t="shared" si="155"/>
        <v/>
      </c>
      <c r="C1994" s="65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66"/>
      <c r="F1994" s="67"/>
      <c r="G1994" s="60"/>
      <c r="H1994" s="60"/>
      <c r="I1994" s="61"/>
      <c r="J1994" s="61"/>
      <c r="K1994" s="61"/>
      <c r="L1994" s="73" t="str">
        <f t="shared" si="156"/>
        <v/>
      </c>
      <c r="M1994" s="65" t="str">
        <f t="shared" ca="1" si="157"/>
        <v/>
      </c>
      <c r="N1994" s="74" t="str">
        <f>IF($C1994="","",IF($C1994="TANIMSIZ MÜŞTERİ","—",INDEX(MUSTERILER!$C$7:$C$156,MATCH($C1994,MUSTERILER!$B$7:$B$156,0))))</f>
        <v/>
      </c>
      <c r="O1994" s="2"/>
      <c r="P1994" s="2"/>
      <c r="Q1994" s="1" t="str">
        <f>IF($D1994="","",$C1994&amp;"|"&amp;COUNTIFS($C$7:$C1994,$C1994))</f>
        <v/>
      </c>
      <c r="R1994" s="1" t="str">
        <f t="shared" si="158"/>
        <v/>
      </c>
      <c r="S1994" s="1" t="str">
        <f t="shared" si="159"/>
        <v/>
      </c>
      <c r="T1994" s="1">
        <f>IF($E1994="",0,SUMPRODUCT((AY_SONU!$O$7:$O$42="Evet")*(AY_SONU!$B$7:$B$42=DATE(YEAR($E1994),MONTH($E1994),1))))</f>
        <v>0</v>
      </c>
    </row>
    <row r="1995" spans="1:20" ht="18" customHeight="1" x14ac:dyDescent="0.3">
      <c r="A1995" s="2"/>
      <c r="B1995" s="65" t="str">
        <f t="shared" si="155"/>
        <v/>
      </c>
      <c r="C1995" s="65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66"/>
      <c r="F1995" s="67"/>
      <c r="G1995" s="60"/>
      <c r="H1995" s="60"/>
      <c r="I1995" s="61"/>
      <c r="J1995" s="61"/>
      <c r="K1995" s="61"/>
      <c r="L1995" s="73" t="str">
        <f t="shared" si="156"/>
        <v/>
      </c>
      <c r="M1995" s="65" t="str">
        <f t="shared" ca="1" si="157"/>
        <v/>
      </c>
      <c r="N1995" s="74" t="str">
        <f>IF($C1995="","",IF($C1995="TANIMSIZ MÜŞTERİ","—",INDEX(MUSTERILER!$C$7:$C$156,MATCH($C1995,MUSTERILER!$B$7:$B$156,0))))</f>
        <v/>
      </c>
      <c r="O1995" s="2"/>
      <c r="P1995" s="2"/>
      <c r="Q1995" s="1" t="str">
        <f>IF($D1995="","",$C1995&amp;"|"&amp;COUNTIFS($C$7:$C1995,$C1995))</f>
        <v/>
      </c>
      <c r="R1995" s="1" t="str">
        <f t="shared" si="158"/>
        <v/>
      </c>
      <c r="S1995" s="1" t="str">
        <f t="shared" si="159"/>
        <v/>
      </c>
      <c r="T1995" s="1">
        <f>IF($E1995="",0,SUMPRODUCT((AY_SONU!$O$7:$O$42="Evet")*(AY_SONU!$B$7:$B$42=DATE(YEAR($E1995),MONTH($E1995),1))))</f>
        <v>0</v>
      </c>
    </row>
    <row r="1996" spans="1:20" ht="18" customHeight="1" x14ac:dyDescent="0.3">
      <c r="A1996" s="2"/>
      <c r="B1996" s="65" t="str">
        <f t="shared" si="155"/>
        <v/>
      </c>
      <c r="C1996" s="65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66"/>
      <c r="F1996" s="67"/>
      <c r="G1996" s="60"/>
      <c r="H1996" s="60"/>
      <c r="I1996" s="61"/>
      <c r="J1996" s="61"/>
      <c r="K1996" s="61"/>
      <c r="L1996" s="73" t="str">
        <f t="shared" si="156"/>
        <v/>
      </c>
      <c r="M1996" s="65" t="str">
        <f t="shared" ca="1" si="157"/>
        <v/>
      </c>
      <c r="N1996" s="74" t="str">
        <f>IF($C1996="","",IF($C1996="TANIMSIZ MÜŞTERİ","—",INDEX(MUSTERILER!$C$7:$C$156,MATCH($C1996,MUSTERILER!$B$7:$B$156,0))))</f>
        <v/>
      </c>
      <c r="O1996" s="2"/>
      <c r="P1996" s="2"/>
      <c r="Q1996" s="1" t="str">
        <f>IF($D1996="","",$C1996&amp;"|"&amp;COUNTIFS($C$7:$C1996,$C1996))</f>
        <v/>
      </c>
      <c r="R1996" s="1" t="str">
        <f t="shared" si="158"/>
        <v/>
      </c>
      <c r="S1996" s="1" t="str">
        <f t="shared" si="159"/>
        <v/>
      </c>
      <c r="T1996" s="1">
        <f>IF($E1996="",0,SUMPRODUCT((AY_SONU!$O$7:$O$42="Evet")*(AY_SONU!$B$7:$B$42=DATE(YEAR($E1996),MONTH($E1996),1))))</f>
        <v>0</v>
      </c>
    </row>
    <row r="1997" spans="1:20" ht="18" customHeight="1" x14ac:dyDescent="0.3">
      <c r="A1997" s="2"/>
      <c r="B1997" s="65" t="str">
        <f t="shared" si="155"/>
        <v/>
      </c>
      <c r="C1997" s="65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66"/>
      <c r="F1997" s="67"/>
      <c r="G1997" s="60"/>
      <c r="H1997" s="60"/>
      <c r="I1997" s="61"/>
      <c r="J1997" s="61"/>
      <c r="K1997" s="61"/>
      <c r="L1997" s="73" t="str">
        <f t="shared" si="156"/>
        <v/>
      </c>
      <c r="M1997" s="65" t="str">
        <f t="shared" ca="1" si="157"/>
        <v/>
      </c>
      <c r="N1997" s="74" t="str">
        <f>IF($C1997="","",IF($C1997="TANIMSIZ MÜŞTERİ","—",INDEX(MUSTERILER!$C$7:$C$156,MATCH($C1997,MUSTERILER!$B$7:$B$156,0))))</f>
        <v/>
      </c>
      <c r="O1997" s="2"/>
      <c r="P1997" s="2"/>
      <c r="Q1997" s="1" t="str">
        <f>IF($D1997="","",$C1997&amp;"|"&amp;COUNTIFS($C$7:$C1997,$C1997))</f>
        <v/>
      </c>
      <c r="R1997" s="1" t="str">
        <f t="shared" si="158"/>
        <v/>
      </c>
      <c r="S1997" s="1" t="str">
        <f t="shared" si="159"/>
        <v/>
      </c>
      <c r="T1997" s="1">
        <f>IF($E1997="",0,SUMPRODUCT((AY_SONU!$O$7:$O$42="Evet")*(AY_SONU!$B$7:$B$42=DATE(YEAR($E1997),MONTH($E1997),1))))</f>
        <v>0</v>
      </c>
    </row>
    <row r="1998" spans="1:20" ht="18" customHeight="1" x14ac:dyDescent="0.3">
      <c r="A1998" s="2"/>
      <c r="B1998" s="65" t="str">
        <f t="shared" si="155"/>
        <v/>
      </c>
      <c r="C1998" s="65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66"/>
      <c r="F1998" s="67"/>
      <c r="G1998" s="60"/>
      <c r="H1998" s="60"/>
      <c r="I1998" s="61"/>
      <c r="J1998" s="61"/>
      <c r="K1998" s="61"/>
      <c r="L1998" s="73" t="str">
        <f t="shared" si="156"/>
        <v/>
      </c>
      <c r="M1998" s="65" t="str">
        <f t="shared" ca="1" si="157"/>
        <v/>
      </c>
      <c r="N1998" s="74" t="str">
        <f>IF($C1998="","",IF($C1998="TANIMSIZ MÜŞTERİ","—",INDEX(MUSTERILER!$C$7:$C$156,MATCH($C1998,MUSTERILER!$B$7:$B$156,0))))</f>
        <v/>
      </c>
      <c r="O1998" s="2"/>
      <c r="P1998" s="2"/>
      <c r="Q1998" s="1" t="str">
        <f>IF($D1998="","",$C1998&amp;"|"&amp;COUNTIFS($C$7:$C1998,$C1998))</f>
        <v/>
      </c>
      <c r="R1998" s="1" t="str">
        <f t="shared" si="158"/>
        <v/>
      </c>
      <c r="S1998" s="1" t="str">
        <f t="shared" si="159"/>
        <v/>
      </c>
      <c r="T1998" s="1">
        <f>IF($E1998="",0,SUMPRODUCT((AY_SONU!$O$7:$O$42="Evet")*(AY_SONU!$B$7:$B$42=DATE(YEAR($E1998),MONTH($E1998),1))))</f>
        <v>0</v>
      </c>
    </row>
    <row r="1999" spans="1:20" ht="18" customHeight="1" x14ac:dyDescent="0.3">
      <c r="A1999" s="2"/>
      <c r="B1999" s="65" t="str">
        <f t="shared" si="155"/>
        <v/>
      </c>
      <c r="C1999" s="65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66"/>
      <c r="F1999" s="67"/>
      <c r="G1999" s="60"/>
      <c r="H1999" s="60"/>
      <c r="I1999" s="61"/>
      <c r="J1999" s="61"/>
      <c r="K1999" s="61"/>
      <c r="L1999" s="73" t="str">
        <f t="shared" si="156"/>
        <v/>
      </c>
      <c r="M1999" s="65" t="str">
        <f t="shared" ca="1" si="157"/>
        <v/>
      </c>
      <c r="N1999" s="74" t="str">
        <f>IF($C1999="","",IF($C1999="TANIMSIZ MÜŞTERİ","—",INDEX(MUSTERILER!$C$7:$C$156,MATCH($C1999,MUSTERILER!$B$7:$B$156,0))))</f>
        <v/>
      </c>
      <c r="O1999" s="2"/>
      <c r="P1999" s="2"/>
      <c r="Q1999" s="1" t="str">
        <f>IF($D1999="","",$C1999&amp;"|"&amp;COUNTIFS($C$7:$C1999,$C1999))</f>
        <v/>
      </c>
      <c r="R1999" s="1" t="str">
        <f t="shared" si="158"/>
        <v/>
      </c>
      <c r="S1999" s="1" t="str">
        <f t="shared" si="159"/>
        <v/>
      </c>
      <c r="T1999" s="1">
        <f>IF($E1999="",0,SUMPRODUCT((AY_SONU!$O$7:$O$42="Evet")*(AY_SONU!$B$7:$B$42=DATE(YEAR($E1999),MONTH($E1999),1))))</f>
        <v>0</v>
      </c>
    </row>
    <row r="2000" spans="1:20" ht="18" customHeight="1" x14ac:dyDescent="0.3">
      <c r="A2000" s="2"/>
      <c r="B2000" s="65" t="str">
        <f t="shared" si="155"/>
        <v/>
      </c>
      <c r="C2000" s="65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66"/>
      <c r="F2000" s="67"/>
      <c r="G2000" s="60"/>
      <c r="H2000" s="60"/>
      <c r="I2000" s="61"/>
      <c r="J2000" s="61"/>
      <c r="K2000" s="61"/>
      <c r="L2000" s="73" t="str">
        <f t="shared" si="156"/>
        <v/>
      </c>
      <c r="M2000" s="65" t="str">
        <f t="shared" ca="1" si="157"/>
        <v/>
      </c>
      <c r="N2000" s="74" t="str">
        <f>IF($C2000="","",IF($C2000="TANIMSIZ MÜŞTERİ","—",INDEX(MUSTERILER!$C$7:$C$156,MATCH($C2000,MUSTERILER!$B$7:$B$156,0))))</f>
        <v/>
      </c>
      <c r="O2000" s="2"/>
      <c r="P2000" s="2"/>
      <c r="Q2000" s="1" t="str">
        <f>IF($D2000="","",$C2000&amp;"|"&amp;COUNTIFS($C$7:$C2000,$C2000))</f>
        <v/>
      </c>
      <c r="R2000" s="1" t="str">
        <f t="shared" si="158"/>
        <v/>
      </c>
      <c r="S2000" s="1" t="str">
        <f t="shared" si="159"/>
        <v/>
      </c>
      <c r="T2000" s="1">
        <f>IF($E2000="",0,SUMPRODUCT((AY_SONU!$O$7:$O$42="Evet")*(AY_SONU!$B$7:$B$42=DATE(YEAR($E2000),MONTH($E2000),1))))</f>
        <v>0</v>
      </c>
    </row>
    <row r="2001" spans="1:20" ht="18" customHeight="1" x14ac:dyDescent="0.3">
      <c r="A2001" s="2"/>
      <c r="B2001" s="65" t="str">
        <f t="shared" si="155"/>
        <v/>
      </c>
      <c r="C2001" s="65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66"/>
      <c r="F2001" s="67"/>
      <c r="G2001" s="60"/>
      <c r="H2001" s="60"/>
      <c r="I2001" s="61"/>
      <c r="J2001" s="61"/>
      <c r="K2001" s="61"/>
      <c r="L2001" s="73" t="str">
        <f t="shared" si="156"/>
        <v/>
      </c>
      <c r="M2001" s="65" t="str">
        <f t="shared" ca="1" si="157"/>
        <v/>
      </c>
      <c r="N2001" s="74" t="str">
        <f>IF($C2001="","",IF($C2001="TANIMSIZ MÜŞTERİ","—",INDEX(MUSTERILER!$C$7:$C$156,MATCH($C2001,MUSTERILER!$B$7:$B$156,0))))</f>
        <v/>
      </c>
      <c r="O2001" s="2"/>
      <c r="P2001" s="2"/>
      <c r="Q2001" s="1" t="str">
        <f>IF($D2001="","",$C2001&amp;"|"&amp;COUNTIFS($C$7:$C2001,$C2001))</f>
        <v/>
      </c>
      <c r="R2001" s="1" t="str">
        <f t="shared" si="158"/>
        <v/>
      </c>
      <c r="S2001" s="1" t="str">
        <f t="shared" si="159"/>
        <v/>
      </c>
      <c r="T2001" s="1">
        <f>IF($E2001="",0,SUMPRODUCT((AY_SONU!$O$7:$O$42="Evet")*(AY_SONU!$B$7:$B$42=DATE(YEAR($E2001),MONTH($E2001),1))))</f>
        <v>0</v>
      </c>
    </row>
    <row r="2002" spans="1:20" ht="18" customHeight="1" x14ac:dyDescent="0.3">
      <c r="A2002" s="2"/>
      <c r="B2002" s="65" t="str">
        <f t="shared" si="155"/>
        <v/>
      </c>
      <c r="C2002" s="65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66"/>
      <c r="F2002" s="67"/>
      <c r="G2002" s="60"/>
      <c r="H2002" s="60"/>
      <c r="I2002" s="61"/>
      <c r="J2002" s="61"/>
      <c r="K2002" s="61"/>
      <c r="L2002" s="73" t="str">
        <f t="shared" si="156"/>
        <v/>
      </c>
      <c r="M2002" s="65" t="str">
        <f t="shared" ca="1" si="157"/>
        <v/>
      </c>
      <c r="N2002" s="74" t="str">
        <f>IF($C2002="","",IF($C2002="TANIMSIZ MÜŞTERİ","—",INDEX(MUSTERILER!$C$7:$C$156,MATCH($C2002,MUSTERILER!$B$7:$B$156,0))))</f>
        <v/>
      </c>
      <c r="O2002" s="2"/>
      <c r="P2002" s="2"/>
      <c r="Q2002" s="1" t="str">
        <f>IF($D2002="","",$C2002&amp;"|"&amp;COUNTIFS($C$7:$C2002,$C2002))</f>
        <v/>
      </c>
      <c r="R2002" s="1" t="str">
        <f t="shared" si="158"/>
        <v/>
      </c>
      <c r="S2002" s="1" t="str">
        <f t="shared" si="159"/>
        <v/>
      </c>
      <c r="T2002" s="1">
        <f>IF($E2002="",0,SUMPRODUCT((AY_SONU!$O$7:$O$42="Evet")*(AY_SONU!$B$7:$B$42=DATE(YEAR($E2002),MONTH($E2002),1))))</f>
        <v>0</v>
      </c>
    </row>
    <row r="2003" spans="1:20" ht="18" customHeight="1" x14ac:dyDescent="0.3">
      <c r="A2003" s="2"/>
      <c r="B2003" s="65" t="str">
        <f t="shared" si="155"/>
        <v/>
      </c>
      <c r="C2003" s="65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66"/>
      <c r="F2003" s="67"/>
      <c r="G2003" s="60"/>
      <c r="H2003" s="60"/>
      <c r="I2003" s="61"/>
      <c r="J2003" s="61"/>
      <c r="K2003" s="61"/>
      <c r="L2003" s="73" t="str">
        <f t="shared" si="156"/>
        <v/>
      </c>
      <c r="M2003" s="65" t="str">
        <f t="shared" ca="1" si="157"/>
        <v/>
      </c>
      <c r="N2003" s="74" t="str">
        <f>IF($C2003="","",IF($C2003="TANIMSIZ MÜŞTERİ","—",INDEX(MUSTERILER!$C$7:$C$156,MATCH($C2003,MUSTERILER!$B$7:$B$156,0))))</f>
        <v/>
      </c>
      <c r="O2003" s="2"/>
      <c r="P2003" s="2"/>
      <c r="Q2003" s="1" t="str">
        <f>IF($D2003="","",$C2003&amp;"|"&amp;COUNTIFS($C$7:$C2003,$C2003))</f>
        <v/>
      </c>
      <c r="R2003" s="1" t="str">
        <f t="shared" si="158"/>
        <v/>
      </c>
      <c r="S2003" s="1" t="str">
        <f t="shared" si="159"/>
        <v/>
      </c>
      <c r="T2003" s="1">
        <f>IF($E2003="",0,SUMPRODUCT((AY_SONU!$O$7:$O$42="Evet")*(AY_SONU!$B$7:$B$42=DATE(YEAR($E2003),MONTH($E2003),1))))</f>
        <v>0</v>
      </c>
    </row>
    <row r="2004" spans="1:20" ht="18" customHeight="1" x14ac:dyDescent="0.3">
      <c r="A2004" s="2"/>
      <c r="B2004" s="65" t="str">
        <f t="shared" si="155"/>
        <v/>
      </c>
      <c r="C2004" s="65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66"/>
      <c r="F2004" s="67"/>
      <c r="G2004" s="60"/>
      <c r="H2004" s="60"/>
      <c r="I2004" s="61"/>
      <c r="J2004" s="61"/>
      <c r="K2004" s="61"/>
      <c r="L2004" s="73" t="str">
        <f t="shared" si="156"/>
        <v/>
      </c>
      <c r="M2004" s="65" t="str">
        <f t="shared" ca="1" si="157"/>
        <v/>
      </c>
      <c r="N2004" s="74" t="str">
        <f>IF($C2004="","",IF($C2004="TANIMSIZ MÜŞTERİ","—",INDEX(MUSTERILER!$C$7:$C$156,MATCH($C2004,MUSTERILER!$B$7:$B$156,0))))</f>
        <v/>
      </c>
      <c r="O2004" s="2"/>
      <c r="P2004" s="2"/>
      <c r="Q2004" s="1" t="str">
        <f>IF($D2004="","",$C2004&amp;"|"&amp;COUNTIFS($C$7:$C2004,$C2004))</f>
        <v/>
      </c>
      <c r="R2004" s="1" t="str">
        <f t="shared" si="158"/>
        <v/>
      </c>
      <c r="S2004" s="1" t="str">
        <f t="shared" si="159"/>
        <v/>
      </c>
      <c r="T2004" s="1">
        <f>IF($E2004="",0,SUMPRODUCT((AY_SONU!$O$7:$O$42="Evet")*(AY_SONU!$B$7:$B$42=DATE(YEAR($E2004),MONTH($E2004),1))))</f>
        <v>0</v>
      </c>
    </row>
    <row r="2005" spans="1:20" ht="18" customHeight="1" x14ac:dyDescent="0.3">
      <c r="A2005" s="2"/>
      <c r="B2005" s="65" t="str">
        <f t="shared" si="155"/>
        <v/>
      </c>
      <c r="C2005" s="65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66"/>
      <c r="F2005" s="67"/>
      <c r="G2005" s="60"/>
      <c r="H2005" s="60"/>
      <c r="I2005" s="61"/>
      <c r="J2005" s="61"/>
      <c r="K2005" s="61"/>
      <c r="L2005" s="73" t="str">
        <f t="shared" si="156"/>
        <v/>
      </c>
      <c r="M2005" s="65" t="str">
        <f t="shared" ca="1" si="157"/>
        <v/>
      </c>
      <c r="N2005" s="74" t="str">
        <f>IF($C2005="","",IF($C2005="TANIMSIZ MÜŞTERİ","—",INDEX(MUSTERILER!$C$7:$C$156,MATCH($C2005,MUSTERILER!$B$7:$B$156,0))))</f>
        <v/>
      </c>
      <c r="O2005" s="2"/>
      <c r="P2005" s="2"/>
      <c r="Q2005" s="1" t="str">
        <f>IF($D2005="","",$C2005&amp;"|"&amp;COUNTIFS($C$7:$C2005,$C2005))</f>
        <v/>
      </c>
      <c r="R2005" s="1" t="str">
        <f t="shared" si="158"/>
        <v/>
      </c>
      <c r="S2005" s="1" t="str">
        <f t="shared" si="159"/>
        <v/>
      </c>
      <c r="T2005" s="1">
        <f>IF($E2005="",0,SUMPRODUCT((AY_SONU!$O$7:$O$42="Evet")*(AY_SONU!$B$7:$B$42=DATE(YEAR($E2005),MONTH($E2005),1))))</f>
        <v>0</v>
      </c>
    </row>
    <row r="2006" spans="1:20" ht="18" customHeight="1" x14ac:dyDescent="0.3">
      <c r="A2006" s="2"/>
      <c r="B2006" s="65" t="str">
        <f t="shared" si="155"/>
        <v/>
      </c>
      <c r="C2006" s="65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66"/>
      <c r="F2006" s="67"/>
      <c r="G2006" s="60"/>
      <c r="H2006" s="60"/>
      <c r="I2006" s="61"/>
      <c r="J2006" s="61"/>
      <c r="K2006" s="61"/>
      <c r="L2006" s="73" t="str">
        <f t="shared" si="156"/>
        <v/>
      </c>
      <c r="M2006" s="65" t="str">
        <f t="shared" ca="1" si="157"/>
        <v/>
      </c>
      <c r="N2006" s="74" t="str">
        <f>IF($C2006="","",IF($C2006="TANIMSIZ MÜŞTERİ","—",INDEX(MUSTERILER!$C$7:$C$156,MATCH($C2006,MUSTERILER!$B$7:$B$156,0))))</f>
        <v/>
      </c>
      <c r="O2006" s="2"/>
      <c r="P2006" s="2"/>
      <c r="Q2006" s="1" t="str">
        <f>IF($D2006="","",$C2006&amp;"|"&amp;COUNTIFS($C$7:$C2006,$C2006))</f>
        <v/>
      </c>
      <c r="R2006" s="1" t="str">
        <f t="shared" si="158"/>
        <v/>
      </c>
      <c r="S2006" s="1" t="str">
        <f t="shared" si="159"/>
        <v/>
      </c>
      <c r="T2006" s="1">
        <f>IF($E2006="",0,SUMPRODUCT((AY_SONU!$O$7:$O$42="Evet")*(AY_SONU!$B$7:$B$42=DATE(YEAR($E2006),MONTH($E2006),1))))</f>
        <v>0</v>
      </c>
    </row>
    <row r="2007" spans="1:20" ht="18" customHeight="1" x14ac:dyDescent="0.3">
      <c r="A2007" s="2"/>
      <c r="B2007" s="65" t="str">
        <f t="shared" si="155"/>
        <v/>
      </c>
      <c r="C2007" s="65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66"/>
      <c r="F2007" s="67"/>
      <c r="G2007" s="60"/>
      <c r="H2007" s="60"/>
      <c r="I2007" s="61"/>
      <c r="J2007" s="61"/>
      <c r="K2007" s="61"/>
      <c r="L2007" s="73" t="str">
        <f t="shared" si="156"/>
        <v/>
      </c>
      <c r="M2007" s="65" t="str">
        <f t="shared" ca="1" si="157"/>
        <v/>
      </c>
      <c r="N2007" s="74" t="str">
        <f>IF($C2007="","",IF($C2007="TANIMSIZ MÜŞTERİ","—",INDEX(MUSTERILER!$C$7:$C$156,MATCH($C2007,MUSTERILER!$B$7:$B$156,0))))</f>
        <v/>
      </c>
      <c r="O2007" s="2"/>
      <c r="P2007" s="2"/>
      <c r="Q2007" s="1" t="str">
        <f>IF($D2007="","",$C2007&amp;"|"&amp;COUNTIFS($C$7:$C2007,$C2007))</f>
        <v/>
      </c>
      <c r="R2007" s="1" t="str">
        <f t="shared" si="158"/>
        <v/>
      </c>
      <c r="S2007" s="1" t="str">
        <f t="shared" si="159"/>
        <v/>
      </c>
      <c r="T2007" s="1">
        <f>IF($E2007="",0,SUMPRODUCT((AY_SONU!$O$7:$O$42="Evet")*(AY_SONU!$B$7:$B$42=DATE(YEAR($E2007),MONTH($E2007),1))))</f>
        <v>0</v>
      </c>
    </row>
    <row r="2008" spans="1:20" ht="18" customHeight="1" x14ac:dyDescent="0.3">
      <c r="A2008" s="2"/>
      <c r="B2008" s="65" t="str">
        <f t="shared" si="155"/>
        <v/>
      </c>
      <c r="C2008" s="65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66"/>
      <c r="F2008" s="67"/>
      <c r="G2008" s="60"/>
      <c r="H2008" s="60"/>
      <c r="I2008" s="61"/>
      <c r="J2008" s="61"/>
      <c r="K2008" s="61"/>
      <c r="L2008" s="73" t="str">
        <f t="shared" si="156"/>
        <v/>
      </c>
      <c r="M2008" s="65" t="str">
        <f t="shared" ca="1" si="157"/>
        <v/>
      </c>
      <c r="N2008" s="74" t="str">
        <f>IF($C2008="","",IF($C2008="TANIMSIZ MÜŞTERİ","—",INDEX(MUSTERILER!$C$7:$C$156,MATCH($C2008,MUSTERILER!$B$7:$B$156,0))))</f>
        <v/>
      </c>
      <c r="O2008" s="2"/>
      <c r="P2008" s="2"/>
      <c r="Q2008" s="1" t="str">
        <f>IF($D2008="","",$C2008&amp;"|"&amp;COUNTIFS($C$7:$C2008,$C2008))</f>
        <v/>
      </c>
      <c r="R2008" s="1" t="str">
        <f t="shared" si="158"/>
        <v/>
      </c>
      <c r="S2008" s="1" t="str">
        <f t="shared" si="159"/>
        <v/>
      </c>
      <c r="T2008" s="1">
        <f>IF($E2008="",0,SUMPRODUCT((AY_SONU!$O$7:$O$42="Evet")*(AY_SONU!$B$7:$B$42=DATE(YEAR($E2008),MONTH($E2008),1))))</f>
        <v>0</v>
      </c>
    </row>
    <row r="2009" spans="1:20" ht="18" customHeight="1" x14ac:dyDescent="0.3">
      <c r="A2009" s="2"/>
      <c r="B2009" s="65" t="str">
        <f t="shared" si="155"/>
        <v/>
      </c>
      <c r="C2009" s="65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66"/>
      <c r="F2009" s="67"/>
      <c r="G2009" s="60"/>
      <c r="H2009" s="60"/>
      <c r="I2009" s="61"/>
      <c r="J2009" s="61"/>
      <c r="K2009" s="61"/>
      <c r="L2009" s="73" t="str">
        <f t="shared" si="156"/>
        <v/>
      </c>
      <c r="M2009" s="65" t="str">
        <f t="shared" ca="1" si="157"/>
        <v/>
      </c>
      <c r="N2009" s="74" t="str">
        <f>IF($C2009="","",IF($C2009="TANIMSIZ MÜŞTERİ","—",INDEX(MUSTERILER!$C$7:$C$156,MATCH($C2009,MUSTERILER!$B$7:$B$156,0))))</f>
        <v/>
      </c>
      <c r="O2009" s="2"/>
      <c r="P2009" s="2"/>
      <c r="Q2009" s="1" t="str">
        <f>IF($D2009="","",$C2009&amp;"|"&amp;COUNTIFS($C$7:$C2009,$C2009))</f>
        <v/>
      </c>
      <c r="R2009" s="1" t="str">
        <f t="shared" si="158"/>
        <v/>
      </c>
      <c r="S2009" s="1" t="str">
        <f t="shared" si="159"/>
        <v/>
      </c>
      <c r="T2009" s="1">
        <f>IF($E2009="",0,SUMPRODUCT((AY_SONU!$O$7:$O$42="Evet")*(AY_SONU!$B$7:$B$42=DATE(YEAR($E2009),MONTH($E2009),1))))</f>
        <v>0</v>
      </c>
    </row>
    <row r="2010" spans="1:20" ht="18" customHeight="1" x14ac:dyDescent="0.3">
      <c r="A2010" s="2"/>
      <c r="B2010" s="65" t="str">
        <f t="shared" si="155"/>
        <v/>
      </c>
      <c r="C2010" s="65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66"/>
      <c r="F2010" s="67"/>
      <c r="G2010" s="60"/>
      <c r="H2010" s="60"/>
      <c r="I2010" s="61"/>
      <c r="J2010" s="61"/>
      <c r="K2010" s="61"/>
      <c r="L2010" s="73" t="str">
        <f t="shared" si="156"/>
        <v/>
      </c>
      <c r="M2010" s="65" t="str">
        <f t="shared" ca="1" si="157"/>
        <v/>
      </c>
      <c r="N2010" s="74" t="str">
        <f>IF($C2010="","",IF($C2010="TANIMSIZ MÜŞTERİ","—",INDEX(MUSTERILER!$C$7:$C$156,MATCH($C2010,MUSTERILER!$B$7:$B$156,0))))</f>
        <v/>
      </c>
      <c r="O2010" s="2"/>
      <c r="P2010" s="2"/>
      <c r="Q2010" s="1" t="str">
        <f>IF($D2010="","",$C2010&amp;"|"&amp;COUNTIFS($C$7:$C2010,$C2010))</f>
        <v/>
      </c>
      <c r="R2010" s="1" t="str">
        <f t="shared" si="158"/>
        <v/>
      </c>
      <c r="S2010" s="1" t="str">
        <f t="shared" si="159"/>
        <v/>
      </c>
      <c r="T2010" s="1">
        <f>IF($E2010="",0,SUMPRODUCT((AY_SONU!$O$7:$O$42="Evet")*(AY_SONU!$B$7:$B$42=DATE(YEAR($E2010),MONTH($E2010),1))))</f>
        <v>0</v>
      </c>
    </row>
    <row r="2011" spans="1:20" ht="18" customHeight="1" x14ac:dyDescent="0.3">
      <c r="A2011" s="2"/>
      <c r="B2011" s="65" t="str">
        <f t="shared" si="155"/>
        <v/>
      </c>
      <c r="C2011" s="65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66"/>
      <c r="F2011" s="67"/>
      <c r="G2011" s="60"/>
      <c r="H2011" s="60"/>
      <c r="I2011" s="61"/>
      <c r="J2011" s="61"/>
      <c r="K2011" s="61"/>
      <c r="L2011" s="73" t="str">
        <f t="shared" si="156"/>
        <v/>
      </c>
      <c r="M2011" s="65" t="str">
        <f t="shared" ca="1" si="157"/>
        <v/>
      </c>
      <c r="N2011" s="74" t="str">
        <f>IF($C2011="","",IF($C2011="TANIMSIZ MÜŞTERİ","—",INDEX(MUSTERILER!$C$7:$C$156,MATCH($C2011,MUSTERILER!$B$7:$B$156,0))))</f>
        <v/>
      </c>
      <c r="O2011" s="2"/>
      <c r="P2011" s="2"/>
      <c r="Q2011" s="1" t="str">
        <f>IF($D2011="","",$C2011&amp;"|"&amp;COUNTIFS($C$7:$C2011,$C2011))</f>
        <v/>
      </c>
      <c r="R2011" s="1" t="str">
        <f t="shared" si="158"/>
        <v/>
      </c>
      <c r="S2011" s="1" t="str">
        <f t="shared" si="159"/>
        <v/>
      </c>
      <c r="T2011" s="1">
        <f>IF($E2011="",0,SUMPRODUCT((AY_SONU!$O$7:$O$42="Evet")*(AY_SONU!$B$7:$B$42=DATE(YEAR($E2011),MONTH($E2011),1))))</f>
        <v>0</v>
      </c>
    </row>
    <row r="2012" spans="1:20" ht="18" customHeight="1" x14ac:dyDescent="0.3">
      <c r="A2012" s="2"/>
      <c r="B2012" s="65" t="str">
        <f t="shared" si="155"/>
        <v/>
      </c>
      <c r="C2012" s="65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66"/>
      <c r="F2012" s="67"/>
      <c r="G2012" s="60"/>
      <c r="H2012" s="60"/>
      <c r="I2012" s="61"/>
      <c r="J2012" s="61"/>
      <c r="K2012" s="61"/>
      <c r="L2012" s="73" t="str">
        <f t="shared" si="156"/>
        <v/>
      </c>
      <c r="M2012" s="65" t="str">
        <f t="shared" ca="1" si="157"/>
        <v/>
      </c>
      <c r="N2012" s="74" t="str">
        <f>IF($C2012="","",IF($C2012="TANIMSIZ MÜŞTERİ","—",INDEX(MUSTERILER!$C$7:$C$156,MATCH($C2012,MUSTERILER!$B$7:$B$156,0))))</f>
        <v/>
      </c>
      <c r="O2012" s="2"/>
      <c r="P2012" s="2"/>
      <c r="Q2012" s="1" t="str">
        <f>IF($D2012="","",$C2012&amp;"|"&amp;COUNTIFS($C$7:$C2012,$C2012))</f>
        <v/>
      </c>
      <c r="R2012" s="1" t="str">
        <f t="shared" si="158"/>
        <v/>
      </c>
      <c r="S2012" s="1" t="str">
        <f t="shared" si="159"/>
        <v/>
      </c>
      <c r="T2012" s="1">
        <f>IF($E2012="",0,SUMPRODUCT((AY_SONU!$O$7:$O$42="Evet")*(AY_SONU!$B$7:$B$42=DATE(YEAR($E2012),MONTH($E2012),1))))</f>
        <v>0</v>
      </c>
    </row>
    <row r="2013" spans="1:20" ht="18" customHeight="1" x14ac:dyDescent="0.3">
      <c r="A2013" s="2"/>
      <c r="B2013" s="65" t="str">
        <f t="shared" si="155"/>
        <v/>
      </c>
      <c r="C2013" s="65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66"/>
      <c r="F2013" s="67"/>
      <c r="G2013" s="60"/>
      <c r="H2013" s="60"/>
      <c r="I2013" s="61"/>
      <c r="J2013" s="61"/>
      <c r="K2013" s="61"/>
      <c r="L2013" s="73" t="str">
        <f t="shared" si="156"/>
        <v/>
      </c>
      <c r="M2013" s="65" t="str">
        <f t="shared" ca="1" si="157"/>
        <v/>
      </c>
      <c r="N2013" s="74" t="str">
        <f>IF($C2013="","",IF($C2013="TANIMSIZ MÜŞTERİ","—",INDEX(MUSTERILER!$C$7:$C$156,MATCH($C2013,MUSTERILER!$B$7:$B$156,0))))</f>
        <v/>
      </c>
      <c r="O2013" s="2"/>
      <c r="P2013" s="2"/>
      <c r="Q2013" s="1" t="str">
        <f>IF($D2013="","",$C2013&amp;"|"&amp;COUNTIFS($C$7:$C2013,$C2013))</f>
        <v/>
      </c>
      <c r="R2013" s="1" t="str">
        <f t="shared" si="158"/>
        <v/>
      </c>
      <c r="S2013" s="1" t="str">
        <f t="shared" si="159"/>
        <v/>
      </c>
      <c r="T2013" s="1">
        <f>IF($E2013="",0,SUMPRODUCT((AY_SONU!$O$7:$O$42="Evet")*(AY_SONU!$B$7:$B$42=DATE(YEAR($E2013),MONTH($E2013),1))))</f>
        <v>0</v>
      </c>
    </row>
    <row r="2014" spans="1:20" ht="18" customHeight="1" x14ac:dyDescent="0.3">
      <c r="A2014" s="2"/>
      <c r="B2014" s="65" t="str">
        <f t="shared" si="155"/>
        <v/>
      </c>
      <c r="C2014" s="65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66"/>
      <c r="F2014" s="67"/>
      <c r="G2014" s="60"/>
      <c r="H2014" s="60"/>
      <c r="I2014" s="61"/>
      <c r="J2014" s="61"/>
      <c r="K2014" s="61"/>
      <c r="L2014" s="73" t="str">
        <f t="shared" si="156"/>
        <v/>
      </c>
      <c r="M2014" s="65" t="str">
        <f t="shared" ca="1" si="157"/>
        <v/>
      </c>
      <c r="N2014" s="74" t="str">
        <f>IF($C2014="","",IF($C2014="TANIMSIZ MÜŞTERİ","—",INDEX(MUSTERILER!$C$7:$C$156,MATCH($C2014,MUSTERILER!$B$7:$B$156,0))))</f>
        <v/>
      </c>
      <c r="O2014" s="2"/>
      <c r="P2014" s="2"/>
      <c r="Q2014" s="1" t="str">
        <f>IF($D2014="","",$C2014&amp;"|"&amp;COUNTIFS($C$7:$C2014,$C2014))</f>
        <v/>
      </c>
      <c r="R2014" s="1" t="str">
        <f t="shared" si="158"/>
        <v/>
      </c>
      <c r="S2014" s="1" t="str">
        <f t="shared" si="159"/>
        <v/>
      </c>
      <c r="T2014" s="1">
        <f>IF($E2014="",0,SUMPRODUCT((AY_SONU!$O$7:$O$42="Evet")*(AY_SONU!$B$7:$B$42=DATE(YEAR($E2014),MONTH($E2014),1))))</f>
        <v>0</v>
      </c>
    </row>
    <row r="2015" spans="1:20" ht="18" customHeight="1" x14ac:dyDescent="0.3">
      <c r="A2015" s="2"/>
      <c r="B2015" s="65" t="str">
        <f t="shared" si="155"/>
        <v/>
      </c>
      <c r="C2015" s="65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66"/>
      <c r="F2015" s="67"/>
      <c r="G2015" s="60"/>
      <c r="H2015" s="60"/>
      <c r="I2015" s="61"/>
      <c r="J2015" s="61"/>
      <c r="K2015" s="61"/>
      <c r="L2015" s="73" t="str">
        <f t="shared" si="156"/>
        <v/>
      </c>
      <c r="M2015" s="65" t="str">
        <f t="shared" ca="1" si="157"/>
        <v/>
      </c>
      <c r="N2015" s="74" t="str">
        <f>IF($C2015="","",IF($C2015="TANIMSIZ MÜŞTERİ","—",INDEX(MUSTERILER!$C$7:$C$156,MATCH($C2015,MUSTERILER!$B$7:$B$156,0))))</f>
        <v/>
      </c>
      <c r="O2015" s="2"/>
      <c r="P2015" s="2"/>
      <c r="Q2015" s="1" t="str">
        <f>IF($D2015="","",$C2015&amp;"|"&amp;COUNTIFS($C$7:$C2015,$C2015))</f>
        <v/>
      </c>
      <c r="R2015" s="1" t="str">
        <f t="shared" si="158"/>
        <v/>
      </c>
      <c r="S2015" s="1" t="str">
        <f t="shared" si="159"/>
        <v/>
      </c>
      <c r="T2015" s="1">
        <f>IF($E2015="",0,SUMPRODUCT((AY_SONU!$O$7:$O$42="Evet")*(AY_SONU!$B$7:$B$42=DATE(YEAR($E2015),MONTH($E2015),1))))</f>
        <v>0</v>
      </c>
    </row>
    <row r="2016" spans="1:20" ht="18" customHeight="1" x14ac:dyDescent="0.3">
      <c r="A2016" s="2"/>
      <c r="B2016" s="65" t="str">
        <f t="shared" si="155"/>
        <v/>
      </c>
      <c r="C2016" s="65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66"/>
      <c r="F2016" s="67"/>
      <c r="G2016" s="60"/>
      <c r="H2016" s="60"/>
      <c r="I2016" s="61"/>
      <c r="J2016" s="61"/>
      <c r="K2016" s="61"/>
      <c r="L2016" s="73" t="str">
        <f t="shared" si="156"/>
        <v/>
      </c>
      <c r="M2016" s="65" t="str">
        <f t="shared" ca="1" si="157"/>
        <v/>
      </c>
      <c r="N2016" s="74" t="str">
        <f>IF($C2016="","",IF($C2016="TANIMSIZ MÜŞTERİ","—",INDEX(MUSTERILER!$C$7:$C$156,MATCH($C2016,MUSTERILER!$B$7:$B$156,0))))</f>
        <v/>
      </c>
      <c r="O2016" s="2"/>
      <c r="P2016" s="2"/>
      <c r="Q2016" s="1" t="str">
        <f>IF($D2016="","",$C2016&amp;"|"&amp;COUNTIFS($C$7:$C2016,$C2016))</f>
        <v/>
      </c>
      <c r="R2016" s="1" t="str">
        <f t="shared" si="158"/>
        <v/>
      </c>
      <c r="S2016" s="1" t="str">
        <f t="shared" si="159"/>
        <v/>
      </c>
      <c r="T2016" s="1">
        <f>IF($E2016="",0,SUMPRODUCT((AY_SONU!$O$7:$O$42="Evet")*(AY_SONU!$B$7:$B$42=DATE(YEAR($E2016),MONTH($E2016),1))))</f>
        <v>0</v>
      </c>
    </row>
    <row r="2017" spans="1:20" ht="18" customHeight="1" x14ac:dyDescent="0.3">
      <c r="A2017" s="2"/>
      <c r="B2017" s="65" t="str">
        <f t="shared" si="155"/>
        <v/>
      </c>
      <c r="C2017" s="65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66"/>
      <c r="F2017" s="67"/>
      <c r="G2017" s="60"/>
      <c r="H2017" s="60"/>
      <c r="I2017" s="61"/>
      <c r="J2017" s="61"/>
      <c r="K2017" s="61"/>
      <c r="L2017" s="73" t="str">
        <f t="shared" si="156"/>
        <v/>
      </c>
      <c r="M2017" s="65" t="str">
        <f t="shared" ca="1" si="157"/>
        <v/>
      </c>
      <c r="N2017" s="74" t="str">
        <f>IF($C2017="","",IF($C2017="TANIMSIZ MÜŞTERİ","—",INDEX(MUSTERILER!$C$7:$C$156,MATCH($C2017,MUSTERILER!$B$7:$B$156,0))))</f>
        <v/>
      </c>
      <c r="O2017" s="2"/>
      <c r="P2017" s="2"/>
      <c r="Q2017" s="1" t="str">
        <f>IF($D2017="","",$C2017&amp;"|"&amp;COUNTIFS($C$7:$C2017,$C2017))</f>
        <v/>
      </c>
      <c r="R2017" s="1" t="str">
        <f t="shared" si="158"/>
        <v/>
      </c>
      <c r="S2017" s="1" t="str">
        <f t="shared" si="159"/>
        <v/>
      </c>
      <c r="T2017" s="1">
        <f>IF($E2017="",0,SUMPRODUCT((AY_SONU!$O$7:$O$42="Evet")*(AY_SONU!$B$7:$B$42=DATE(YEAR($E2017),MONTH($E2017),1))))</f>
        <v>0</v>
      </c>
    </row>
    <row r="2018" spans="1:20" ht="18" customHeight="1" x14ac:dyDescent="0.3">
      <c r="A2018" s="2"/>
      <c r="B2018" s="65" t="str">
        <f t="shared" si="155"/>
        <v/>
      </c>
      <c r="C2018" s="65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66"/>
      <c r="F2018" s="67"/>
      <c r="G2018" s="60"/>
      <c r="H2018" s="60"/>
      <c r="I2018" s="61"/>
      <c r="J2018" s="61"/>
      <c r="K2018" s="61"/>
      <c r="L2018" s="73" t="str">
        <f t="shared" si="156"/>
        <v/>
      </c>
      <c r="M2018" s="65" t="str">
        <f t="shared" ca="1" si="157"/>
        <v/>
      </c>
      <c r="N2018" s="74" t="str">
        <f>IF($C2018="","",IF($C2018="TANIMSIZ MÜŞTERİ","—",INDEX(MUSTERILER!$C$7:$C$156,MATCH($C2018,MUSTERILER!$B$7:$B$156,0))))</f>
        <v/>
      </c>
      <c r="O2018" s="2"/>
      <c r="P2018" s="2"/>
      <c r="Q2018" s="1" t="str">
        <f>IF($D2018="","",$C2018&amp;"|"&amp;COUNTIFS($C$7:$C2018,$C2018))</f>
        <v/>
      </c>
      <c r="R2018" s="1" t="str">
        <f t="shared" si="158"/>
        <v/>
      </c>
      <c r="S2018" s="1" t="str">
        <f t="shared" si="159"/>
        <v/>
      </c>
      <c r="T2018" s="1">
        <f>IF($E2018="",0,SUMPRODUCT((AY_SONU!$O$7:$O$42="Evet")*(AY_SONU!$B$7:$B$42=DATE(YEAR($E2018),MONTH($E2018),1))))</f>
        <v>0</v>
      </c>
    </row>
    <row r="2019" spans="1:20" ht="18" customHeight="1" x14ac:dyDescent="0.3">
      <c r="A2019" s="2"/>
      <c r="B2019" s="65" t="str">
        <f t="shared" si="155"/>
        <v/>
      </c>
      <c r="C2019" s="65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66"/>
      <c r="F2019" s="67"/>
      <c r="G2019" s="60"/>
      <c r="H2019" s="60"/>
      <c r="I2019" s="61"/>
      <c r="J2019" s="61"/>
      <c r="K2019" s="61"/>
      <c r="L2019" s="73" t="str">
        <f t="shared" si="156"/>
        <v/>
      </c>
      <c r="M2019" s="65" t="str">
        <f t="shared" ca="1" si="157"/>
        <v/>
      </c>
      <c r="N2019" s="74" t="str">
        <f>IF($C2019="","",IF($C2019="TANIMSIZ MÜŞTERİ","—",INDEX(MUSTERILER!$C$7:$C$156,MATCH($C2019,MUSTERILER!$B$7:$B$156,0))))</f>
        <v/>
      </c>
      <c r="O2019" s="2"/>
      <c r="P2019" s="2"/>
      <c r="Q2019" s="1" t="str">
        <f>IF($D2019="","",$C2019&amp;"|"&amp;COUNTIFS($C$7:$C2019,$C2019))</f>
        <v/>
      </c>
      <c r="R2019" s="1" t="str">
        <f t="shared" si="158"/>
        <v/>
      </c>
      <c r="S2019" s="1" t="str">
        <f t="shared" si="159"/>
        <v/>
      </c>
      <c r="T2019" s="1">
        <f>IF($E2019="",0,SUMPRODUCT((AY_SONU!$O$7:$O$42="Evet")*(AY_SONU!$B$7:$B$42=DATE(YEAR($E2019),MONTH($E2019),1))))</f>
        <v>0</v>
      </c>
    </row>
    <row r="2020" spans="1:20" ht="18" customHeight="1" x14ac:dyDescent="0.3">
      <c r="A2020" s="2"/>
      <c r="B2020" s="65" t="str">
        <f t="shared" si="155"/>
        <v/>
      </c>
      <c r="C2020" s="65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66"/>
      <c r="F2020" s="67"/>
      <c r="G2020" s="60"/>
      <c r="H2020" s="60"/>
      <c r="I2020" s="61"/>
      <c r="J2020" s="61"/>
      <c r="K2020" s="61"/>
      <c r="L2020" s="73" t="str">
        <f t="shared" si="156"/>
        <v/>
      </c>
      <c r="M2020" s="65" t="str">
        <f t="shared" ca="1" si="157"/>
        <v/>
      </c>
      <c r="N2020" s="74" t="str">
        <f>IF($C2020="","",IF($C2020="TANIMSIZ MÜŞTERİ","—",INDEX(MUSTERILER!$C$7:$C$156,MATCH($C2020,MUSTERILER!$B$7:$B$156,0))))</f>
        <v/>
      </c>
      <c r="O2020" s="2"/>
      <c r="P2020" s="2"/>
      <c r="Q2020" s="1" t="str">
        <f>IF($D2020="","",$C2020&amp;"|"&amp;COUNTIFS($C$7:$C2020,$C2020))</f>
        <v/>
      </c>
      <c r="R2020" s="1" t="str">
        <f t="shared" si="158"/>
        <v/>
      </c>
      <c r="S2020" s="1" t="str">
        <f t="shared" si="159"/>
        <v/>
      </c>
      <c r="T2020" s="1">
        <f>IF($E2020="",0,SUMPRODUCT((AY_SONU!$O$7:$O$42="Evet")*(AY_SONU!$B$7:$B$42=DATE(YEAR($E2020),MONTH($E2020),1))))</f>
        <v>0</v>
      </c>
    </row>
    <row r="2021" spans="1:20" ht="18" customHeight="1" x14ac:dyDescent="0.3">
      <c r="A2021" s="2"/>
      <c r="B2021" s="65" t="str">
        <f t="shared" si="155"/>
        <v/>
      </c>
      <c r="C2021" s="65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66"/>
      <c r="F2021" s="67"/>
      <c r="G2021" s="60"/>
      <c r="H2021" s="60"/>
      <c r="I2021" s="61"/>
      <c r="J2021" s="61"/>
      <c r="K2021" s="61"/>
      <c r="L2021" s="73" t="str">
        <f t="shared" si="156"/>
        <v/>
      </c>
      <c r="M2021" s="65" t="str">
        <f t="shared" ca="1" si="157"/>
        <v/>
      </c>
      <c r="N2021" s="74" t="str">
        <f>IF($C2021="","",IF($C2021="TANIMSIZ MÜŞTERİ","—",INDEX(MUSTERILER!$C$7:$C$156,MATCH($C2021,MUSTERILER!$B$7:$B$156,0))))</f>
        <v/>
      </c>
      <c r="O2021" s="2"/>
      <c r="P2021" s="2"/>
      <c r="Q2021" s="1" t="str">
        <f>IF($D2021="","",$C2021&amp;"|"&amp;COUNTIFS($C$7:$C2021,$C2021))</f>
        <v/>
      </c>
      <c r="R2021" s="1" t="str">
        <f t="shared" si="158"/>
        <v/>
      </c>
      <c r="S2021" s="1" t="str">
        <f t="shared" si="159"/>
        <v/>
      </c>
      <c r="T2021" s="1">
        <f>IF($E2021="",0,SUMPRODUCT((AY_SONU!$O$7:$O$42="Evet")*(AY_SONU!$B$7:$B$42=DATE(YEAR($E2021),MONTH($E2021),1))))</f>
        <v>0</v>
      </c>
    </row>
    <row r="2022" spans="1:20" ht="18" customHeight="1" x14ac:dyDescent="0.3">
      <c r="A2022" s="2"/>
      <c r="B2022" s="65" t="str">
        <f t="shared" si="155"/>
        <v/>
      </c>
      <c r="C2022" s="65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66"/>
      <c r="F2022" s="67"/>
      <c r="G2022" s="60"/>
      <c r="H2022" s="60"/>
      <c r="I2022" s="61"/>
      <c r="J2022" s="61"/>
      <c r="K2022" s="61"/>
      <c r="L2022" s="73" t="str">
        <f t="shared" si="156"/>
        <v/>
      </c>
      <c r="M2022" s="65" t="str">
        <f t="shared" ca="1" si="157"/>
        <v/>
      </c>
      <c r="N2022" s="74" t="str">
        <f>IF($C2022="","",IF($C2022="TANIMSIZ MÜŞTERİ","—",INDEX(MUSTERILER!$C$7:$C$156,MATCH($C2022,MUSTERILER!$B$7:$B$156,0))))</f>
        <v/>
      </c>
      <c r="O2022" s="2"/>
      <c r="P2022" s="2"/>
      <c r="Q2022" s="1" t="str">
        <f>IF($D2022="","",$C2022&amp;"|"&amp;COUNTIFS($C$7:$C2022,$C2022))</f>
        <v/>
      </c>
      <c r="R2022" s="1" t="str">
        <f t="shared" si="158"/>
        <v/>
      </c>
      <c r="S2022" s="1" t="str">
        <f t="shared" si="159"/>
        <v/>
      </c>
      <c r="T2022" s="1">
        <f>IF($E2022="",0,SUMPRODUCT((AY_SONU!$O$7:$O$42="Evet")*(AY_SONU!$B$7:$B$42=DATE(YEAR($E2022),MONTH($E2022),1))))</f>
        <v>0</v>
      </c>
    </row>
    <row r="2023" spans="1:20" ht="18" customHeight="1" x14ac:dyDescent="0.3">
      <c r="A2023" s="2"/>
      <c r="B2023" s="65" t="str">
        <f t="shared" si="155"/>
        <v/>
      </c>
      <c r="C2023" s="65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66"/>
      <c r="F2023" s="67"/>
      <c r="G2023" s="60"/>
      <c r="H2023" s="60"/>
      <c r="I2023" s="61"/>
      <c r="J2023" s="61"/>
      <c r="K2023" s="61"/>
      <c r="L2023" s="73" t="str">
        <f t="shared" si="156"/>
        <v/>
      </c>
      <c r="M2023" s="65" t="str">
        <f t="shared" ca="1" si="157"/>
        <v/>
      </c>
      <c r="N2023" s="74" t="str">
        <f>IF($C2023="","",IF($C2023="TANIMSIZ MÜŞTERİ","—",INDEX(MUSTERILER!$C$7:$C$156,MATCH($C2023,MUSTERILER!$B$7:$B$156,0))))</f>
        <v/>
      </c>
      <c r="O2023" s="2"/>
      <c r="P2023" s="2"/>
      <c r="Q2023" s="1" t="str">
        <f>IF($D2023="","",$C2023&amp;"|"&amp;COUNTIFS($C$7:$C2023,$C2023))</f>
        <v/>
      </c>
      <c r="R2023" s="1" t="str">
        <f t="shared" si="158"/>
        <v/>
      </c>
      <c r="S2023" s="1" t="str">
        <f t="shared" si="159"/>
        <v/>
      </c>
      <c r="T2023" s="1">
        <f>IF($E2023="",0,SUMPRODUCT((AY_SONU!$O$7:$O$42="Evet")*(AY_SONU!$B$7:$B$42=DATE(YEAR($E2023),MONTH($E2023),1))))</f>
        <v>0</v>
      </c>
    </row>
    <row r="2024" spans="1:20" ht="18" customHeight="1" x14ac:dyDescent="0.3">
      <c r="A2024" s="2"/>
      <c r="B2024" s="65" t="str">
        <f t="shared" si="155"/>
        <v/>
      </c>
      <c r="C2024" s="65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66"/>
      <c r="F2024" s="67"/>
      <c r="G2024" s="60"/>
      <c r="H2024" s="60"/>
      <c r="I2024" s="61"/>
      <c r="J2024" s="61"/>
      <c r="K2024" s="61"/>
      <c r="L2024" s="73" t="str">
        <f t="shared" si="156"/>
        <v/>
      </c>
      <c r="M2024" s="65" t="str">
        <f t="shared" ca="1" si="157"/>
        <v/>
      </c>
      <c r="N2024" s="74" t="str">
        <f>IF($C2024="","",IF($C2024="TANIMSIZ MÜŞTERİ","—",INDEX(MUSTERILER!$C$7:$C$156,MATCH($C2024,MUSTERILER!$B$7:$B$156,0))))</f>
        <v/>
      </c>
      <c r="O2024" s="2"/>
      <c r="P2024" s="2"/>
      <c r="Q2024" s="1" t="str">
        <f>IF($D2024="","",$C2024&amp;"|"&amp;COUNTIFS($C$7:$C2024,$C2024))</f>
        <v/>
      </c>
      <c r="R2024" s="1" t="str">
        <f t="shared" si="158"/>
        <v/>
      </c>
      <c r="S2024" s="1" t="str">
        <f t="shared" si="159"/>
        <v/>
      </c>
      <c r="T2024" s="1">
        <f>IF($E2024="",0,SUMPRODUCT((AY_SONU!$O$7:$O$42="Evet")*(AY_SONU!$B$7:$B$42=DATE(YEAR($E2024),MONTH($E2024),1))))</f>
        <v>0</v>
      </c>
    </row>
    <row r="2025" spans="1:20" ht="18" customHeight="1" x14ac:dyDescent="0.3">
      <c r="A2025" s="2"/>
      <c r="B2025" s="65" t="str">
        <f t="shared" si="155"/>
        <v/>
      </c>
      <c r="C2025" s="65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66"/>
      <c r="F2025" s="67"/>
      <c r="G2025" s="60"/>
      <c r="H2025" s="60"/>
      <c r="I2025" s="61"/>
      <c r="J2025" s="61"/>
      <c r="K2025" s="61"/>
      <c r="L2025" s="73" t="str">
        <f t="shared" si="156"/>
        <v/>
      </c>
      <c r="M2025" s="65" t="str">
        <f t="shared" ca="1" si="157"/>
        <v/>
      </c>
      <c r="N2025" s="74" t="str">
        <f>IF($C2025="","",IF($C2025="TANIMSIZ MÜŞTERİ","—",INDEX(MUSTERILER!$C$7:$C$156,MATCH($C2025,MUSTERILER!$B$7:$B$156,0))))</f>
        <v/>
      </c>
      <c r="O2025" s="2"/>
      <c r="P2025" s="2"/>
      <c r="Q2025" s="1" t="str">
        <f>IF($D2025="","",$C2025&amp;"|"&amp;COUNTIFS($C$7:$C2025,$C2025))</f>
        <v/>
      </c>
      <c r="R2025" s="1" t="str">
        <f t="shared" si="158"/>
        <v/>
      </c>
      <c r="S2025" s="1" t="str">
        <f t="shared" si="159"/>
        <v/>
      </c>
      <c r="T2025" s="1">
        <f>IF($E2025="",0,SUMPRODUCT((AY_SONU!$O$7:$O$42="Evet")*(AY_SONU!$B$7:$B$42=DATE(YEAR($E2025),MONTH($E2025),1))))</f>
        <v>0</v>
      </c>
    </row>
    <row r="2026" spans="1:20" ht="18" customHeight="1" x14ac:dyDescent="0.3">
      <c r="A2026" s="2"/>
      <c r="B2026" s="65" t="str">
        <f t="shared" si="155"/>
        <v/>
      </c>
      <c r="C2026" s="65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66"/>
      <c r="F2026" s="67"/>
      <c r="G2026" s="60"/>
      <c r="H2026" s="60"/>
      <c r="I2026" s="61"/>
      <c r="J2026" s="61"/>
      <c r="K2026" s="61"/>
      <c r="L2026" s="73" t="str">
        <f t="shared" si="156"/>
        <v/>
      </c>
      <c r="M2026" s="65" t="str">
        <f t="shared" ca="1" si="157"/>
        <v/>
      </c>
      <c r="N2026" s="74" t="str">
        <f>IF($C2026="","",IF($C2026="TANIMSIZ MÜŞTERİ","—",INDEX(MUSTERILER!$C$7:$C$156,MATCH($C2026,MUSTERILER!$B$7:$B$156,0))))</f>
        <v/>
      </c>
      <c r="O2026" s="2"/>
      <c r="P2026" s="2"/>
      <c r="Q2026" s="1" t="str">
        <f>IF($D2026="","",$C2026&amp;"|"&amp;COUNTIFS($C$7:$C2026,$C2026))</f>
        <v/>
      </c>
      <c r="R2026" s="1" t="str">
        <f t="shared" si="158"/>
        <v/>
      </c>
      <c r="S2026" s="1" t="str">
        <f t="shared" si="159"/>
        <v/>
      </c>
      <c r="T2026" s="1">
        <f>IF($E2026="",0,SUMPRODUCT((AY_SONU!$O$7:$O$42="Evet")*(AY_SONU!$B$7:$B$42=DATE(YEAR($E2026),MONTH($E2026),1))))</f>
        <v>0</v>
      </c>
    </row>
    <row r="2027" spans="1:20" ht="18" customHeight="1" x14ac:dyDescent="0.3">
      <c r="A2027" s="2"/>
      <c r="B2027" s="65" t="str">
        <f t="shared" si="155"/>
        <v/>
      </c>
      <c r="C2027" s="65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66"/>
      <c r="F2027" s="67"/>
      <c r="G2027" s="60"/>
      <c r="H2027" s="60"/>
      <c r="I2027" s="61"/>
      <c r="J2027" s="61"/>
      <c r="K2027" s="61"/>
      <c r="L2027" s="73" t="str">
        <f t="shared" si="156"/>
        <v/>
      </c>
      <c r="M2027" s="65" t="str">
        <f t="shared" ca="1" si="157"/>
        <v/>
      </c>
      <c r="N2027" s="74" t="str">
        <f>IF($C2027="","",IF($C2027="TANIMSIZ MÜŞTERİ","—",INDEX(MUSTERILER!$C$7:$C$156,MATCH($C2027,MUSTERILER!$B$7:$B$156,0))))</f>
        <v/>
      </c>
      <c r="O2027" s="2"/>
      <c r="P2027" s="2"/>
      <c r="Q2027" s="1" t="str">
        <f>IF($D2027="","",$C2027&amp;"|"&amp;COUNTIFS($C$7:$C2027,$C2027))</f>
        <v/>
      </c>
      <c r="R2027" s="1" t="str">
        <f t="shared" si="158"/>
        <v/>
      </c>
      <c r="S2027" s="1" t="str">
        <f t="shared" si="159"/>
        <v/>
      </c>
      <c r="T2027" s="1">
        <f>IF($E2027="",0,SUMPRODUCT((AY_SONU!$O$7:$O$42="Evet")*(AY_SONU!$B$7:$B$42=DATE(YEAR($E2027),MONTH($E2027),1))))</f>
        <v>0</v>
      </c>
    </row>
    <row r="2028" spans="1:20" ht="18" customHeight="1" x14ac:dyDescent="0.3">
      <c r="A2028" s="2"/>
      <c r="B2028" s="65" t="str">
        <f t="shared" si="155"/>
        <v/>
      </c>
      <c r="C2028" s="65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66"/>
      <c r="F2028" s="67"/>
      <c r="G2028" s="60"/>
      <c r="H2028" s="60"/>
      <c r="I2028" s="61"/>
      <c r="J2028" s="61"/>
      <c r="K2028" s="61"/>
      <c r="L2028" s="73" t="str">
        <f t="shared" si="156"/>
        <v/>
      </c>
      <c r="M2028" s="65" t="str">
        <f t="shared" ca="1" si="157"/>
        <v/>
      </c>
      <c r="N2028" s="74" t="str">
        <f>IF($C2028="","",IF($C2028="TANIMSIZ MÜŞTERİ","—",INDEX(MUSTERILER!$C$7:$C$156,MATCH($C2028,MUSTERILER!$B$7:$B$156,0))))</f>
        <v/>
      </c>
      <c r="O2028" s="2"/>
      <c r="P2028" s="2"/>
      <c r="Q2028" s="1" t="str">
        <f>IF($D2028="","",$C2028&amp;"|"&amp;COUNTIFS($C$7:$C2028,$C2028))</f>
        <v/>
      </c>
      <c r="R2028" s="1" t="str">
        <f t="shared" si="158"/>
        <v/>
      </c>
      <c r="S2028" s="1" t="str">
        <f t="shared" si="159"/>
        <v/>
      </c>
      <c r="T2028" s="1">
        <f>IF($E2028="",0,SUMPRODUCT((AY_SONU!$O$7:$O$42="Evet")*(AY_SONU!$B$7:$B$42=DATE(YEAR($E2028),MONTH($E2028),1))))</f>
        <v>0</v>
      </c>
    </row>
    <row r="2029" spans="1:20" ht="18" customHeight="1" x14ac:dyDescent="0.3">
      <c r="A2029" s="2"/>
      <c r="B2029" s="65" t="str">
        <f t="shared" si="155"/>
        <v/>
      </c>
      <c r="C2029" s="65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66"/>
      <c r="F2029" s="67"/>
      <c r="G2029" s="60"/>
      <c r="H2029" s="60"/>
      <c r="I2029" s="61"/>
      <c r="J2029" s="61"/>
      <c r="K2029" s="61"/>
      <c r="L2029" s="73" t="str">
        <f t="shared" si="156"/>
        <v/>
      </c>
      <c r="M2029" s="65" t="str">
        <f t="shared" ca="1" si="157"/>
        <v/>
      </c>
      <c r="N2029" s="74" t="str">
        <f>IF($C2029="","",IF($C2029="TANIMSIZ MÜŞTERİ","—",INDEX(MUSTERILER!$C$7:$C$156,MATCH($C2029,MUSTERILER!$B$7:$B$156,0))))</f>
        <v/>
      </c>
      <c r="O2029" s="2"/>
      <c r="P2029" s="2"/>
      <c r="Q2029" s="1" t="str">
        <f>IF($D2029="","",$C2029&amp;"|"&amp;COUNTIFS($C$7:$C2029,$C2029))</f>
        <v/>
      </c>
      <c r="R2029" s="1" t="str">
        <f t="shared" si="158"/>
        <v/>
      </c>
      <c r="S2029" s="1" t="str">
        <f t="shared" si="159"/>
        <v/>
      </c>
      <c r="T2029" s="1">
        <f>IF($E2029="",0,SUMPRODUCT((AY_SONU!$O$7:$O$42="Evet")*(AY_SONU!$B$7:$B$42=DATE(YEAR($E2029),MONTH($E2029),1))))</f>
        <v>0</v>
      </c>
    </row>
    <row r="2030" spans="1:20" ht="18" customHeight="1" x14ac:dyDescent="0.3">
      <c r="A2030" s="2"/>
      <c r="B2030" s="65" t="str">
        <f t="shared" si="155"/>
        <v/>
      </c>
      <c r="C2030" s="65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66"/>
      <c r="F2030" s="67"/>
      <c r="G2030" s="60"/>
      <c r="H2030" s="60"/>
      <c r="I2030" s="61"/>
      <c r="J2030" s="61"/>
      <c r="K2030" s="61"/>
      <c r="L2030" s="73" t="str">
        <f t="shared" si="156"/>
        <v/>
      </c>
      <c r="M2030" s="65" t="str">
        <f t="shared" ca="1" si="157"/>
        <v/>
      </c>
      <c r="N2030" s="74" t="str">
        <f>IF($C2030="","",IF($C2030="TANIMSIZ MÜŞTERİ","—",INDEX(MUSTERILER!$C$7:$C$156,MATCH($C2030,MUSTERILER!$B$7:$B$156,0))))</f>
        <v/>
      </c>
      <c r="O2030" s="2"/>
      <c r="P2030" s="2"/>
      <c r="Q2030" s="1" t="str">
        <f>IF($D2030="","",$C2030&amp;"|"&amp;COUNTIFS($C$7:$C2030,$C2030))</f>
        <v/>
      </c>
      <c r="R2030" s="1" t="str">
        <f t="shared" si="158"/>
        <v/>
      </c>
      <c r="S2030" s="1" t="str">
        <f t="shared" si="159"/>
        <v/>
      </c>
      <c r="T2030" s="1">
        <f>IF($E2030="",0,SUMPRODUCT((AY_SONU!$O$7:$O$42="Evet")*(AY_SONU!$B$7:$B$42=DATE(YEAR($E2030),MONTH($E2030),1))))</f>
        <v>0</v>
      </c>
    </row>
    <row r="2031" spans="1:20" ht="18" customHeight="1" x14ac:dyDescent="0.3">
      <c r="A2031" s="2"/>
      <c r="B2031" s="65" t="str">
        <f t="shared" si="155"/>
        <v/>
      </c>
      <c r="C2031" s="65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66"/>
      <c r="F2031" s="67"/>
      <c r="G2031" s="60"/>
      <c r="H2031" s="60"/>
      <c r="I2031" s="61"/>
      <c r="J2031" s="61"/>
      <c r="K2031" s="61"/>
      <c r="L2031" s="73" t="str">
        <f t="shared" si="156"/>
        <v/>
      </c>
      <c r="M2031" s="65" t="str">
        <f t="shared" ca="1" si="157"/>
        <v/>
      </c>
      <c r="N2031" s="74" t="str">
        <f>IF($C2031="","",IF($C2031="TANIMSIZ MÜŞTERİ","—",INDEX(MUSTERILER!$C$7:$C$156,MATCH($C2031,MUSTERILER!$B$7:$B$156,0))))</f>
        <v/>
      </c>
      <c r="O2031" s="2"/>
      <c r="P2031" s="2"/>
      <c r="Q2031" s="1" t="str">
        <f>IF($D2031="","",$C2031&amp;"|"&amp;COUNTIFS($C$7:$C2031,$C2031))</f>
        <v/>
      </c>
      <c r="R2031" s="1" t="str">
        <f t="shared" si="158"/>
        <v/>
      </c>
      <c r="S2031" s="1" t="str">
        <f t="shared" si="159"/>
        <v/>
      </c>
      <c r="T2031" s="1">
        <f>IF($E2031="",0,SUMPRODUCT((AY_SONU!$O$7:$O$42="Evet")*(AY_SONU!$B$7:$B$42=DATE(YEAR($E2031),MONTH($E2031),1))))</f>
        <v>0</v>
      </c>
    </row>
    <row r="2032" spans="1:20" ht="18" customHeight="1" x14ac:dyDescent="0.3">
      <c r="A2032" s="2"/>
      <c r="B2032" s="65" t="str">
        <f t="shared" si="155"/>
        <v/>
      </c>
      <c r="C2032" s="65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66"/>
      <c r="F2032" s="67"/>
      <c r="G2032" s="60"/>
      <c r="H2032" s="60"/>
      <c r="I2032" s="61"/>
      <c r="J2032" s="61"/>
      <c r="K2032" s="61"/>
      <c r="L2032" s="73" t="str">
        <f t="shared" si="156"/>
        <v/>
      </c>
      <c r="M2032" s="65" t="str">
        <f t="shared" ca="1" si="157"/>
        <v/>
      </c>
      <c r="N2032" s="74" t="str">
        <f>IF($C2032="","",IF($C2032="TANIMSIZ MÜŞTERİ","—",INDEX(MUSTERILER!$C$7:$C$156,MATCH($C2032,MUSTERILER!$B$7:$B$156,0))))</f>
        <v/>
      </c>
      <c r="O2032" s="2"/>
      <c r="P2032" s="2"/>
      <c r="Q2032" s="1" t="str">
        <f>IF($D2032="","",$C2032&amp;"|"&amp;COUNTIFS($C$7:$C2032,$C2032))</f>
        <v/>
      </c>
      <c r="R2032" s="1" t="str">
        <f t="shared" si="158"/>
        <v/>
      </c>
      <c r="S2032" s="1" t="str">
        <f t="shared" si="159"/>
        <v/>
      </c>
      <c r="T2032" s="1">
        <f>IF($E2032="",0,SUMPRODUCT((AY_SONU!$O$7:$O$42="Evet")*(AY_SONU!$B$7:$B$42=DATE(YEAR($E2032),MONTH($E2032),1))))</f>
        <v>0</v>
      </c>
    </row>
    <row r="2033" spans="1:20" ht="18" customHeight="1" x14ac:dyDescent="0.3">
      <c r="A2033" s="2"/>
      <c r="B2033" s="65" t="str">
        <f t="shared" si="155"/>
        <v/>
      </c>
      <c r="C2033" s="65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66"/>
      <c r="F2033" s="67"/>
      <c r="G2033" s="60"/>
      <c r="H2033" s="60"/>
      <c r="I2033" s="61"/>
      <c r="J2033" s="61"/>
      <c r="K2033" s="61"/>
      <c r="L2033" s="73" t="str">
        <f t="shared" si="156"/>
        <v/>
      </c>
      <c r="M2033" s="65" t="str">
        <f t="shared" ca="1" si="157"/>
        <v/>
      </c>
      <c r="N2033" s="74" t="str">
        <f>IF($C2033="","",IF($C2033="TANIMSIZ MÜŞTERİ","—",INDEX(MUSTERILER!$C$7:$C$156,MATCH($C2033,MUSTERILER!$B$7:$B$156,0))))</f>
        <v/>
      </c>
      <c r="O2033" s="2"/>
      <c r="P2033" s="2"/>
      <c r="Q2033" s="1" t="str">
        <f>IF($D2033="","",$C2033&amp;"|"&amp;COUNTIFS($C$7:$C2033,$C2033))</f>
        <v/>
      </c>
      <c r="R2033" s="1" t="str">
        <f t="shared" si="158"/>
        <v/>
      </c>
      <c r="S2033" s="1" t="str">
        <f t="shared" si="159"/>
        <v/>
      </c>
      <c r="T2033" s="1">
        <f>IF($E2033="",0,SUMPRODUCT((AY_SONU!$O$7:$O$42="Evet")*(AY_SONU!$B$7:$B$42=DATE(YEAR($E2033),MONTH($E2033),1))))</f>
        <v>0</v>
      </c>
    </row>
    <row r="2034" spans="1:20" ht="18" customHeight="1" x14ac:dyDescent="0.3">
      <c r="A2034" s="2"/>
      <c r="B2034" s="65" t="str">
        <f t="shared" si="155"/>
        <v/>
      </c>
      <c r="C2034" s="65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66"/>
      <c r="F2034" s="67"/>
      <c r="G2034" s="60"/>
      <c r="H2034" s="60"/>
      <c r="I2034" s="61"/>
      <c r="J2034" s="61"/>
      <c r="K2034" s="61"/>
      <c r="L2034" s="73" t="str">
        <f t="shared" si="156"/>
        <v/>
      </c>
      <c r="M2034" s="65" t="str">
        <f t="shared" ca="1" si="157"/>
        <v/>
      </c>
      <c r="N2034" s="74" t="str">
        <f>IF($C2034="","",IF($C2034="TANIMSIZ MÜŞTERİ","—",INDEX(MUSTERILER!$C$7:$C$156,MATCH($C2034,MUSTERILER!$B$7:$B$156,0))))</f>
        <v/>
      </c>
      <c r="O2034" s="2"/>
      <c r="P2034" s="2"/>
      <c r="Q2034" s="1" t="str">
        <f>IF($D2034="","",$C2034&amp;"|"&amp;COUNTIFS($C$7:$C2034,$C2034))</f>
        <v/>
      </c>
      <c r="R2034" s="1" t="str">
        <f t="shared" si="158"/>
        <v/>
      </c>
      <c r="S2034" s="1" t="str">
        <f t="shared" si="159"/>
        <v/>
      </c>
      <c r="T2034" s="1">
        <f>IF($E2034="",0,SUMPRODUCT((AY_SONU!$O$7:$O$42="Evet")*(AY_SONU!$B$7:$B$42=DATE(YEAR($E2034),MONTH($E2034),1))))</f>
        <v>0</v>
      </c>
    </row>
    <row r="2035" spans="1:20" ht="18" customHeight="1" x14ac:dyDescent="0.3">
      <c r="A2035" s="2"/>
      <c r="B2035" s="65" t="str">
        <f t="shared" si="155"/>
        <v/>
      </c>
      <c r="C2035" s="65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66"/>
      <c r="F2035" s="67"/>
      <c r="G2035" s="60"/>
      <c r="H2035" s="60"/>
      <c r="I2035" s="61"/>
      <c r="J2035" s="61"/>
      <c r="K2035" s="61"/>
      <c r="L2035" s="73" t="str">
        <f t="shared" si="156"/>
        <v/>
      </c>
      <c r="M2035" s="65" t="str">
        <f t="shared" ca="1" si="157"/>
        <v/>
      </c>
      <c r="N2035" s="74" t="str">
        <f>IF($C2035="","",IF($C2035="TANIMSIZ MÜŞTERİ","—",INDEX(MUSTERILER!$C$7:$C$156,MATCH($C2035,MUSTERILER!$B$7:$B$156,0))))</f>
        <v/>
      </c>
      <c r="O2035" s="2"/>
      <c r="P2035" s="2"/>
      <c r="Q2035" s="1" t="str">
        <f>IF($D2035="","",$C2035&amp;"|"&amp;COUNTIFS($C$7:$C2035,$C2035))</f>
        <v/>
      </c>
      <c r="R2035" s="1" t="str">
        <f t="shared" si="158"/>
        <v/>
      </c>
      <c r="S2035" s="1" t="str">
        <f t="shared" si="159"/>
        <v/>
      </c>
      <c r="T2035" s="1">
        <f>IF($E2035="",0,SUMPRODUCT((AY_SONU!$O$7:$O$42="Evet")*(AY_SONU!$B$7:$B$42=DATE(YEAR($E2035),MONTH($E2035),1))))</f>
        <v>0</v>
      </c>
    </row>
    <row r="2036" spans="1:20" ht="18" customHeight="1" x14ac:dyDescent="0.3">
      <c r="A2036" s="2"/>
      <c r="B2036" s="65" t="str">
        <f t="shared" si="155"/>
        <v/>
      </c>
      <c r="C2036" s="65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66"/>
      <c r="F2036" s="67"/>
      <c r="G2036" s="60"/>
      <c r="H2036" s="60"/>
      <c r="I2036" s="61"/>
      <c r="J2036" s="61"/>
      <c r="K2036" s="61"/>
      <c r="L2036" s="73" t="str">
        <f t="shared" si="156"/>
        <v/>
      </c>
      <c r="M2036" s="65" t="str">
        <f t="shared" ca="1" si="157"/>
        <v/>
      </c>
      <c r="N2036" s="74" t="str">
        <f>IF($C2036="","",IF($C2036="TANIMSIZ MÜŞTERİ","—",INDEX(MUSTERILER!$C$7:$C$156,MATCH($C2036,MUSTERILER!$B$7:$B$156,0))))</f>
        <v/>
      </c>
      <c r="O2036" s="2"/>
      <c r="P2036" s="2"/>
      <c r="Q2036" s="1" t="str">
        <f>IF($D2036="","",$C2036&amp;"|"&amp;COUNTIFS($C$7:$C2036,$C2036))</f>
        <v/>
      </c>
      <c r="R2036" s="1" t="str">
        <f t="shared" si="158"/>
        <v/>
      </c>
      <c r="S2036" s="1" t="str">
        <f t="shared" si="159"/>
        <v/>
      </c>
      <c r="T2036" s="1">
        <f>IF($E2036="",0,SUMPRODUCT((AY_SONU!$O$7:$O$42="Evet")*(AY_SONU!$B$7:$B$42=DATE(YEAR($E2036),MONTH($E2036),1))))</f>
        <v>0</v>
      </c>
    </row>
    <row r="2037" spans="1:20" ht="18" customHeight="1" x14ac:dyDescent="0.3">
      <c r="A2037" s="2"/>
      <c r="B2037" s="65" t="str">
        <f t="shared" si="155"/>
        <v/>
      </c>
      <c r="C2037" s="65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66"/>
      <c r="F2037" s="67"/>
      <c r="G2037" s="60"/>
      <c r="H2037" s="60"/>
      <c r="I2037" s="61"/>
      <c r="J2037" s="61"/>
      <c r="K2037" s="61"/>
      <c r="L2037" s="73" t="str">
        <f t="shared" si="156"/>
        <v/>
      </c>
      <c r="M2037" s="65" t="str">
        <f t="shared" ca="1" si="157"/>
        <v/>
      </c>
      <c r="N2037" s="74" t="str">
        <f>IF($C2037="","",IF($C2037="TANIMSIZ MÜŞTERİ","—",INDEX(MUSTERILER!$C$7:$C$156,MATCH($C2037,MUSTERILER!$B$7:$B$156,0))))</f>
        <v/>
      </c>
      <c r="O2037" s="2"/>
      <c r="P2037" s="2"/>
      <c r="Q2037" s="1" t="str">
        <f>IF($D2037="","",$C2037&amp;"|"&amp;COUNTIFS($C$7:$C2037,$C2037))</f>
        <v/>
      </c>
      <c r="R2037" s="1" t="str">
        <f t="shared" si="158"/>
        <v/>
      </c>
      <c r="S2037" s="1" t="str">
        <f t="shared" si="159"/>
        <v/>
      </c>
      <c r="T2037" s="1">
        <f>IF($E2037="",0,SUMPRODUCT((AY_SONU!$O$7:$O$42="Evet")*(AY_SONU!$B$7:$B$42=DATE(YEAR($E2037),MONTH($E2037),1))))</f>
        <v>0</v>
      </c>
    </row>
    <row r="2038" spans="1:20" ht="18" customHeight="1" x14ac:dyDescent="0.3">
      <c r="A2038" s="2"/>
      <c r="B2038" s="65" t="str">
        <f t="shared" si="155"/>
        <v/>
      </c>
      <c r="C2038" s="65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66"/>
      <c r="F2038" s="67"/>
      <c r="G2038" s="60"/>
      <c r="H2038" s="60"/>
      <c r="I2038" s="61"/>
      <c r="J2038" s="61"/>
      <c r="K2038" s="61"/>
      <c r="L2038" s="73" t="str">
        <f t="shared" si="156"/>
        <v/>
      </c>
      <c r="M2038" s="65" t="str">
        <f t="shared" ca="1" si="157"/>
        <v/>
      </c>
      <c r="N2038" s="74" t="str">
        <f>IF($C2038="","",IF($C2038="TANIMSIZ MÜŞTERİ","—",INDEX(MUSTERILER!$C$7:$C$156,MATCH($C2038,MUSTERILER!$B$7:$B$156,0))))</f>
        <v/>
      </c>
      <c r="O2038" s="2"/>
      <c r="P2038" s="2"/>
      <c r="Q2038" s="1" t="str">
        <f>IF($D2038="","",$C2038&amp;"|"&amp;COUNTIFS($C$7:$C2038,$C2038))</f>
        <v/>
      </c>
      <c r="R2038" s="1" t="str">
        <f t="shared" si="158"/>
        <v/>
      </c>
      <c r="S2038" s="1" t="str">
        <f t="shared" si="159"/>
        <v/>
      </c>
      <c r="T2038" s="1">
        <f>IF($E2038="",0,SUMPRODUCT((AY_SONU!$O$7:$O$42="Evet")*(AY_SONU!$B$7:$B$42=DATE(YEAR($E2038),MONTH($E2038),1))))</f>
        <v>0</v>
      </c>
    </row>
    <row r="2039" spans="1:20" ht="18" customHeight="1" x14ac:dyDescent="0.3">
      <c r="A2039" s="2"/>
      <c r="B2039" s="65" t="str">
        <f t="shared" si="155"/>
        <v/>
      </c>
      <c r="C2039" s="65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66"/>
      <c r="F2039" s="67"/>
      <c r="G2039" s="60"/>
      <c r="H2039" s="60"/>
      <c r="I2039" s="61"/>
      <c r="J2039" s="61"/>
      <c r="K2039" s="61"/>
      <c r="L2039" s="73" t="str">
        <f t="shared" si="156"/>
        <v/>
      </c>
      <c r="M2039" s="65" t="str">
        <f t="shared" ca="1" si="157"/>
        <v/>
      </c>
      <c r="N2039" s="74" t="str">
        <f>IF($C2039="","",IF($C2039="TANIMSIZ MÜŞTERİ","—",INDEX(MUSTERILER!$C$7:$C$156,MATCH($C2039,MUSTERILER!$B$7:$B$156,0))))</f>
        <v/>
      </c>
      <c r="O2039" s="2"/>
      <c r="P2039" s="2"/>
      <c r="Q2039" s="1" t="str">
        <f>IF($D2039="","",$C2039&amp;"|"&amp;COUNTIFS($C$7:$C2039,$C2039))</f>
        <v/>
      </c>
      <c r="R2039" s="1" t="str">
        <f t="shared" si="158"/>
        <v/>
      </c>
      <c r="S2039" s="1" t="str">
        <f t="shared" si="159"/>
        <v/>
      </c>
      <c r="T2039" s="1">
        <f>IF($E2039="",0,SUMPRODUCT((AY_SONU!$O$7:$O$42="Evet")*(AY_SONU!$B$7:$B$42=DATE(YEAR($E2039),MONTH($E2039),1))))</f>
        <v>0</v>
      </c>
    </row>
    <row r="2040" spans="1:20" ht="18" customHeight="1" x14ac:dyDescent="0.3">
      <c r="A2040" s="2"/>
      <c r="B2040" s="65" t="str">
        <f t="shared" si="155"/>
        <v/>
      </c>
      <c r="C2040" s="65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66"/>
      <c r="F2040" s="67"/>
      <c r="G2040" s="60"/>
      <c r="H2040" s="60"/>
      <c r="I2040" s="61"/>
      <c r="J2040" s="61"/>
      <c r="K2040" s="61"/>
      <c r="L2040" s="73" t="str">
        <f t="shared" si="156"/>
        <v/>
      </c>
      <c r="M2040" s="65" t="str">
        <f t="shared" ca="1" si="157"/>
        <v/>
      </c>
      <c r="N2040" s="74" t="str">
        <f>IF($C2040="","",IF($C2040="TANIMSIZ MÜŞTERİ","—",INDEX(MUSTERILER!$C$7:$C$156,MATCH($C2040,MUSTERILER!$B$7:$B$156,0))))</f>
        <v/>
      </c>
      <c r="O2040" s="2"/>
      <c r="P2040" s="2"/>
      <c r="Q2040" s="1" t="str">
        <f>IF($D2040="","",$C2040&amp;"|"&amp;COUNTIFS($C$7:$C2040,$C2040))</f>
        <v/>
      </c>
      <c r="R2040" s="1" t="str">
        <f t="shared" si="158"/>
        <v/>
      </c>
      <c r="S2040" s="1" t="str">
        <f t="shared" si="159"/>
        <v/>
      </c>
      <c r="T2040" s="1">
        <f>IF($E2040="",0,SUMPRODUCT((AY_SONU!$O$7:$O$42="Evet")*(AY_SONU!$B$7:$B$42=DATE(YEAR($E2040),MONTH($E2040),1))))</f>
        <v>0</v>
      </c>
    </row>
    <row r="2041" spans="1:20" ht="18" customHeight="1" x14ac:dyDescent="0.3">
      <c r="A2041" s="2"/>
      <c r="B2041" s="65" t="str">
        <f t="shared" si="155"/>
        <v/>
      </c>
      <c r="C2041" s="65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66"/>
      <c r="F2041" s="67"/>
      <c r="G2041" s="60"/>
      <c r="H2041" s="60"/>
      <c r="I2041" s="61"/>
      <c r="J2041" s="61"/>
      <c r="K2041" s="61"/>
      <c r="L2041" s="73" t="str">
        <f t="shared" si="156"/>
        <v/>
      </c>
      <c r="M2041" s="65" t="str">
        <f t="shared" ca="1" si="157"/>
        <v/>
      </c>
      <c r="N2041" s="74" t="str">
        <f>IF($C2041="","",IF($C2041="TANIMSIZ MÜŞTERİ","—",INDEX(MUSTERILER!$C$7:$C$156,MATCH($C2041,MUSTERILER!$B$7:$B$156,0))))</f>
        <v/>
      </c>
      <c r="O2041" s="2"/>
      <c r="P2041" s="2"/>
      <c r="Q2041" s="1" t="str">
        <f>IF($D2041="","",$C2041&amp;"|"&amp;COUNTIFS($C$7:$C2041,$C2041))</f>
        <v/>
      </c>
      <c r="R2041" s="1" t="str">
        <f t="shared" si="158"/>
        <v/>
      </c>
      <c r="S2041" s="1" t="str">
        <f t="shared" si="159"/>
        <v/>
      </c>
      <c r="T2041" s="1">
        <f>IF($E2041="",0,SUMPRODUCT((AY_SONU!$O$7:$O$42="Evet")*(AY_SONU!$B$7:$B$42=DATE(YEAR($E2041),MONTH($E2041),1))))</f>
        <v>0</v>
      </c>
    </row>
    <row r="2042" spans="1:20" ht="18" customHeight="1" x14ac:dyDescent="0.3">
      <c r="A2042" s="2"/>
      <c r="B2042" s="65" t="str">
        <f t="shared" si="155"/>
        <v/>
      </c>
      <c r="C2042" s="65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66"/>
      <c r="F2042" s="67"/>
      <c r="G2042" s="60"/>
      <c r="H2042" s="60"/>
      <c r="I2042" s="61"/>
      <c r="J2042" s="61"/>
      <c r="K2042" s="61"/>
      <c r="L2042" s="73" t="str">
        <f t="shared" si="156"/>
        <v/>
      </c>
      <c r="M2042" s="65" t="str">
        <f t="shared" ca="1" si="157"/>
        <v/>
      </c>
      <c r="N2042" s="74" t="str">
        <f>IF($C2042="","",IF($C2042="TANIMSIZ MÜŞTERİ","—",INDEX(MUSTERILER!$C$7:$C$156,MATCH($C2042,MUSTERILER!$B$7:$B$156,0))))</f>
        <v/>
      </c>
      <c r="O2042" s="2"/>
      <c r="P2042" s="2"/>
      <c r="Q2042" s="1" t="str">
        <f>IF($D2042="","",$C2042&amp;"|"&amp;COUNTIFS($C$7:$C2042,$C2042))</f>
        <v/>
      </c>
      <c r="R2042" s="1" t="str">
        <f t="shared" si="158"/>
        <v/>
      </c>
      <c r="S2042" s="1" t="str">
        <f t="shared" si="159"/>
        <v/>
      </c>
      <c r="T2042" s="1">
        <f>IF($E2042="",0,SUMPRODUCT((AY_SONU!$O$7:$O$42="Evet")*(AY_SONU!$B$7:$B$42=DATE(YEAR($E2042),MONTH($E2042),1))))</f>
        <v>0</v>
      </c>
    </row>
    <row r="2043" spans="1:20" ht="18" customHeight="1" x14ac:dyDescent="0.3">
      <c r="A2043" s="2"/>
      <c r="B2043" s="65" t="str">
        <f t="shared" si="155"/>
        <v/>
      </c>
      <c r="C2043" s="65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66"/>
      <c r="F2043" s="67"/>
      <c r="G2043" s="60"/>
      <c r="H2043" s="60"/>
      <c r="I2043" s="61"/>
      <c r="J2043" s="61"/>
      <c r="K2043" s="61"/>
      <c r="L2043" s="73" t="str">
        <f t="shared" si="156"/>
        <v/>
      </c>
      <c r="M2043" s="65" t="str">
        <f t="shared" ca="1" si="157"/>
        <v/>
      </c>
      <c r="N2043" s="74" t="str">
        <f>IF($C2043="","",IF($C2043="TANIMSIZ MÜŞTERİ","—",INDEX(MUSTERILER!$C$7:$C$156,MATCH($C2043,MUSTERILER!$B$7:$B$156,0))))</f>
        <v/>
      </c>
      <c r="O2043" s="2"/>
      <c r="P2043" s="2"/>
      <c r="Q2043" s="1" t="str">
        <f>IF($D2043="","",$C2043&amp;"|"&amp;COUNTIFS($C$7:$C2043,$C2043))</f>
        <v/>
      </c>
      <c r="R2043" s="1" t="str">
        <f t="shared" si="158"/>
        <v/>
      </c>
      <c r="S2043" s="1" t="str">
        <f t="shared" si="159"/>
        <v/>
      </c>
      <c r="T2043" s="1">
        <f>IF($E2043="",0,SUMPRODUCT((AY_SONU!$O$7:$O$42="Evet")*(AY_SONU!$B$7:$B$42=DATE(YEAR($E2043),MONTH($E2043),1))))</f>
        <v>0</v>
      </c>
    </row>
    <row r="2044" spans="1:20" ht="18" customHeight="1" x14ac:dyDescent="0.3">
      <c r="A2044" s="2"/>
      <c r="B2044" s="65" t="str">
        <f t="shared" si="155"/>
        <v/>
      </c>
      <c r="C2044" s="65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66"/>
      <c r="F2044" s="67"/>
      <c r="G2044" s="60"/>
      <c r="H2044" s="60"/>
      <c r="I2044" s="61"/>
      <c r="J2044" s="61"/>
      <c r="K2044" s="61"/>
      <c r="L2044" s="73" t="str">
        <f t="shared" si="156"/>
        <v/>
      </c>
      <c r="M2044" s="65" t="str">
        <f t="shared" ca="1" si="157"/>
        <v/>
      </c>
      <c r="N2044" s="74" t="str">
        <f>IF($C2044="","",IF($C2044="TANIMSIZ MÜŞTERİ","—",INDEX(MUSTERILER!$C$7:$C$156,MATCH($C2044,MUSTERILER!$B$7:$B$156,0))))</f>
        <v/>
      </c>
      <c r="O2044" s="2"/>
      <c r="P2044" s="2"/>
      <c r="Q2044" s="1" t="str">
        <f>IF($D2044="","",$C2044&amp;"|"&amp;COUNTIFS($C$7:$C2044,$C2044))</f>
        <v/>
      </c>
      <c r="R2044" s="1" t="str">
        <f t="shared" si="158"/>
        <v/>
      </c>
      <c r="S2044" s="1" t="str">
        <f t="shared" si="159"/>
        <v/>
      </c>
      <c r="T2044" s="1">
        <f>IF($E2044="",0,SUMPRODUCT((AY_SONU!$O$7:$O$42="Evet")*(AY_SONU!$B$7:$B$42=DATE(YEAR($E2044),MONTH($E2044),1))))</f>
        <v>0</v>
      </c>
    </row>
    <row r="2045" spans="1:20" ht="18" customHeight="1" x14ac:dyDescent="0.3">
      <c r="A2045" s="2"/>
      <c r="B2045" s="65" t="str">
        <f t="shared" si="155"/>
        <v/>
      </c>
      <c r="C2045" s="65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66"/>
      <c r="F2045" s="67"/>
      <c r="G2045" s="60"/>
      <c r="H2045" s="60"/>
      <c r="I2045" s="61"/>
      <c r="J2045" s="61"/>
      <c r="K2045" s="61"/>
      <c r="L2045" s="73" t="str">
        <f t="shared" si="156"/>
        <v/>
      </c>
      <c r="M2045" s="65" t="str">
        <f t="shared" ca="1" si="157"/>
        <v/>
      </c>
      <c r="N2045" s="74" t="str">
        <f>IF($C2045="","",IF($C2045="TANIMSIZ MÜŞTERİ","—",INDEX(MUSTERILER!$C$7:$C$156,MATCH($C2045,MUSTERILER!$B$7:$B$156,0))))</f>
        <v/>
      </c>
      <c r="O2045" s="2"/>
      <c r="P2045" s="2"/>
      <c r="Q2045" s="1" t="str">
        <f>IF($D2045="","",$C2045&amp;"|"&amp;COUNTIFS($C$7:$C2045,$C2045))</f>
        <v/>
      </c>
      <c r="R2045" s="1" t="str">
        <f t="shared" si="158"/>
        <v/>
      </c>
      <c r="S2045" s="1" t="str">
        <f t="shared" si="159"/>
        <v/>
      </c>
      <c r="T2045" s="1">
        <f>IF($E2045="",0,SUMPRODUCT((AY_SONU!$O$7:$O$42="Evet")*(AY_SONU!$B$7:$B$42=DATE(YEAR($E2045),MONTH($E2045),1))))</f>
        <v>0</v>
      </c>
    </row>
    <row r="2046" spans="1:20" ht="18" customHeight="1" x14ac:dyDescent="0.3">
      <c r="A2046" s="2"/>
      <c r="B2046" s="65" t="str">
        <f t="shared" si="155"/>
        <v/>
      </c>
      <c r="C2046" s="65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66"/>
      <c r="F2046" s="67"/>
      <c r="G2046" s="60"/>
      <c r="H2046" s="60"/>
      <c r="I2046" s="61"/>
      <c r="J2046" s="61"/>
      <c r="K2046" s="61"/>
      <c r="L2046" s="73" t="str">
        <f t="shared" si="156"/>
        <v/>
      </c>
      <c r="M2046" s="65" t="str">
        <f t="shared" ca="1" si="157"/>
        <v/>
      </c>
      <c r="N2046" s="74" t="str">
        <f>IF($C2046="","",IF($C2046="TANIMSIZ MÜŞTERİ","—",INDEX(MUSTERILER!$C$7:$C$156,MATCH($C2046,MUSTERILER!$B$7:$B$156,0))))</f>
        <v/>
      </c>
      <c r="O2046" s="2"/>
      <c r="P2046" s="2"/>
      <c r="Q2046" s="1" t="str">
        <f>IF($D2046="","",$C2046&amp;"|"&amp;COUNTIFS($C$7:$C2046,$C2046))</f>
        <v/>
      </c>
      <c r="R2046" s="1" t="str">
        <f t="shared" si="158"/>
        <v/>
      </c>
      <c r="S2046" s="1" t="str">
        <f t="shared" si="159"/>
        <v/>
      </c>
      <c r="T2046" s="1">
        <f>IF($E2046="",0,SUMPRODUCT((AY_SONU!$O$7:$O$42="Evet")*(AY_SONU!$B$7:$B$42=DATE(YEAR($E2046),MONTH($E2046),1))))</f>
        <v>0</v>
      </c>
    </row>
    <row r="2047" spans="1:20" ht="18" customHeight="1" x14ac:dyDescent="0.3">
      <c r="A2047" s="2"/>
      <c r="B2047" s="65" t="str">
        <f t="shared" si="155"/>
        <v/>
      </c>
      <c r="C2047" s="65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66"/>
      <c r="F2047" s="67"/>
      <c r="G2047" s="60"/>
      <c r="H2047" s="60"/>
      <c r="I2047" s="61"/>
      <c r="J2047" s="61"/>
      <c r="K2047" s="61"/>
      <c r="L2047" s="73" t="str">
        <f t="shared" si="156"/>
        <v/>
      </c>
      <c r="M2047" s="65" t="str">
        <f t="shared" ca="1" si="157"/>
        <v/>
      </c>
      <c r="N2047" s="74" t="str">
        <f>IF($C2047="","",IF($C2047="TANIMSIZ MÜŞTERİ","—",INDEX(MUSTERILER!$C$7:$C$156,MATCH($C2047,MUSTERILER!$B$7:$B$156,0))))</f>
        <v/>
      </c>
      <c r="O2047" s="2"/>
      <c r="P2047" s="2"/>
      <c r="Q2047" s="1" t="str">
        <f>IF($D2047="","",$C2047&amp;"|"&amp;COUNTIFS($C$7:$C2047,$C2047))</f>
        <v/>
      </c>
      <c r="R2047" s="1" t="str">
        <f t="shared" si="158"/>
        <v/>
      </c>
      <c r="S2047" s="1" t="str">
        <f t="shared" si="159"/>
        <v/>
      </c>
      <c r="T2047" s="1">
        <f>IF($E2047="",0,SUMPRODUCT((AY_SONU!$O$7:$O$42="Evet")*(AY_SONU!$B$7:$B$42=DATE(YEAR($E2047),MONTH($E2047),1))))</f>
        <v>0</v>
      </c>
    </row>
    <row r="2048" spans="1:20" ht="18" customHeight="1" x14ac:dyDescent="0.3">
      <c r="A2048" s="2"/>
      <c r="B2048" s="65" t="str">
        <f t="shared" si="155"/>
        <v/>
      </c>
      <c r="C2048" s="65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66"/>
      <c r="F2048" s="67"/>
      <c r="G2048" s="60"/>
      <c r="H2048" s="60"/>
      <c r="I2048" s="61"/>
      <c r="J2048" s="61"/>
      <c r="K2048" s="61"/>
      <c r="L2048" s="73" t="str">
        <f t="shared" si="156"/>
        <v/>
      </c>
      <c r="M2048" s="65" t="str">
        <f t="shared" ca="1" si="157"/>
        <v/>
      </c>
      <c r="N2048" s="74" t="str">
        <f>IF($C2048="","",IF($C2048="TANIMSIZ MÜŞTERİ","—",INDEX(MUSTERILER!$C$7:$C$156,MATCH($C2048,MUSTERILER!$B$7:$B$156,0))))</f>
        <v/>
      </c>
      <c r="O2048" s="2"/>
      <c r="P2048" s="2"/>
      <c r="Q2048" s="1" t="str">
        <f>IF($D2048="","",$C2048&amp;"|"&amp;COUNTIFS($C$7:$C2048,$C2048))</f>
        <v/>
      </c>
      <c r="R2048" s="1" t="str">
        <f t="shared" si="158"/>
        <v/>
      </c>
      <c r="S2048" s="1" t="str">
        <f t="shared" si="159"/>
        <v/>
      </c>
      <c r="T2048" s="1">
        <f>IF($E2048="",0,SUMPRODUCT((AY_SONU!$O$7:$O$42="Evet")*(AY_SONU!$B$7:$B$42=DATE(YEAR($E2048),MONTH($E2048),1))))</f>
        <v>0</v>
      </c>
    </row>
    <row r="2049" spans="1:20" ht="18" customHeight="1" x14ac:dyDescent="0.3">
      <c r="A2049" s="2"/>
      <c r="B2049" s="65" t="str">
        <f t="shared" si="155"/>
        <v/>
      </c>
      <c r="C2049" s="65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66"/>
      <c r="F2049" s="67"/>
      <c r="G2049" s="60"/>
      <c r="H2049" s="60"/>
      <c r="I2049" s="61"/>
      <c r="J2049" s="61"/>
      <c r="K2049" s="61"/>
      <c r="L2049" s="73" t="str">
        <f t="shared" si="156"/>
        <v/>
      </c>
      <c r="M2049" s="65" t="str">
        <f t="shared" ca="1" si="157"/>
        <v/>
      </c>
      <c r="N2049" s="74" t="str">
        <f>IF($C2049="","",IF($C2049="TANIMSIZ MÜŞTERİ","—",INDEX(MUSTERILER!$C$7:$C$156,MATCH($C2049,MUSTERILER!$B$7:$B$156,0))))</f>
        <v/>
      </c>
      <c r="O2049" s="2"/>
      <c r="P2049" s="2"/>
      <c r="Q2049" s="1" t="str">
        <f>IF($D2049="","",$C2049&amp;"|"&amp;COUNTIFS($C$7:$C2049,$C2049))</f>
        <v/>
      </c>
      <c r="R2049" s="1" t="str">
        <f t="shared" si="158"/>
        <v/>
      </c>
      <c r="S2049" s="1" t="str">
        <f t="shared" si="159"/>
        <v/>
      </c>
      <c r="T2049" s="1">
        <f>IF($E2049="",0,SUMPRODUCT((AY_SONU!$O$7:$O$42="Evet")*(AY_SONU!$B$7:$B$42=DATE(YEAR($E2049),MONTH($E2049),1))))</f>
        <v>0</v>
      </c>
    </row>
    <row r="2050" spans="1:20" ht="18" customHeight="1" x14ac:dyDescent="0.3">
      <c r="A2050" s="2"/>
      <c r="B2050" s="65" t="str">
        <f t="shared" si="155"/>
        <v/>
      </c>
      <c r="C2050" s="65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66"/>
      <c r="F2050" s="67"/>
      <c r="G2050" s="60"/>
      <c r="H2050" s="60"/>
      <c r="I2050" s="61"/>
      <c r="J2050" s="61"/>
      <c r="K2050" s="61"/>
      <c r="L2050" s="73" t="str">
        <f t="shared" si="156"/>
        <v/>
      </c>
      <c r="M2050" s="65" t="str">
        <f t="shared" ca="1" si="157"/>
        <v/>
      </c>
      <c r="N2050" s="74" t="str">
        <f>IF($C2050="","",IF($C2050="TANIMSIZ MÜŞTERİ","—",INDEX(MUSTERILER!$C$7:$C$156,MATCH($C2050,MUSTERILER!$B$7:$B$156,0))))</f>
        <v/>
      </c>
      <c r="O2050" s="2"/>
      <c r="P2050" s="2"/>
      <c r="Q2050" s="1" t="str">
        <f>IF($D2050="","",$C2050&amp;"|"&amp;COUNTIFS($C$7:$C2050,$C2050))</f>
        <v/>
      </c>
      <c r="R2050" s="1" t="str">
        <f t="shared" si="158"/>
        <v/>
      </c>
      <c r="S2050" s="1" t="str">
        <f t="shared" si="159"/>
        <v/>
      </c>
      <c r="T2050" s="1">
        <f>IF($E2050="",0,SUMPRODUCT((AY_SONU!$O$7:$O$42="Evet")*(AY_SONU!$B$7:$B$42=DATE(YEAR($E2050),MONTH($E2050),1))))</f>
        <v>0</v>
      </c>
    </row>
    <row r="2051" spans="1:20" ht="18" customHeight="1" x14ac:dyDescent="0.3">
      <c r="A2051" s="2"/>
      <c r="B2051" s="65" t="str">
        <f t="shared" si="155"/>
        <v/>
      </c>
      <c r="C2051" s="65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66"/>
      <c r="F2051" s="67"/>
      <c r="G2051" s="60"/>
      <c r="H2051" s="60"/>
      <c r="I2051" s="61"/>
      <c r="J2051" s="61"/>
      <c r="K2051" s="61"/>
      <c r="L2051" s="73" t="str">
        <f t="shared" si="156"/>
        <v/>
      </c>
      <c r="M2051" s="65" t="str">
        <f t="shared" ca="1" si="157"/>
        <v/>
      </c>
      <c r="N2051" s="74" t="str">
        <f>IF($C2051="","",IF($C2051="TANIMSIZ MÜŞTERİ","—",INDEX(MUSTERILER!$C$7:$C$156,MATCH($C2051,MUSTERILER!$B$7:$B$156,0))))</f>
        <v/>
      </c>
      <c r="O2051" s="2"/>
      <c r="P2051" s="2"/>
      <c r="Q2051" s="1" t="str">
        <f>IF($D2051="","",$C2051&amp;"|"&amp;COUNTIFS($C$7:$C2051,$C2051))</f>
        <v/>
      </c>
      <c r="R2051" s="1" t="str">
        <f t="shared" si="158"/>
        <v/>
      </c>
      <c r="S2051" s="1" t="str">
        <f t="shared" si="159"/>
        <v/>
      </c>
      <c r="T2051" s="1">
        <f>IF($E2051="",0,SUMPRODUCT((AY_SONU!$O$7:$O$42="Evet")*(AY_SONU!$B$7:$B$42=DATE(YEAR($E2051),MONTH($E2051),1))))</f>
        <v>0</v>
      </c>
    </row>
    <row r="2052" spans="1:20" ht="18" customHeight="1" x14ac:dyDescent="0.3">
      <c r="A2052" s="2"/>
      <c r="B2052" s="65" t="str">
        <f t="shared" si="155"/>
        <v/>
      </c>
      <c r="C2052" s="65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66"/>
      <c r="F2052" s="67"/>
      <c r="G2052" s="60"/>
      <c r="H2052" s="60"/>
      <c r="I2052" s="61"/>
      <c r="J2052" s="61"/>
      <c r="K2052" s="61"/>
      <c r="L2052" s="73" t="str">
        <f t="shared" si="156"/>
        <v/>
      </c>
      <c r="M2052" s="65" t="str">
        <f t="shared" ca="1" si="157"/>
        <v/>
      </c>
      <c r="N2052" s="74" t="str">
        <f>IF($C2052="","",IF($C2052="TANIMSIZ MÜŞTERİ","—",INDEX(MUSTERILER!$C$7:$C$156,MATCH($C2052,MUSTERILER!$B$7:$B$156,0))))</f>
        <v/>
      </c>
      <c r="O2052" s="2"/>
      <c r="P2052" s="2"/>
      <c r="Q2052" s="1" t="str">
        <f>IF($D2052="","",$C2052&amp;"|"&amp;COUNTIFS($C$7:$C2052,$C2052))</f>
        <v/>
      </c>
      <c r="R2052" s="1" t="str">
        <f t="shared" si="158"/>
        <v/>
      </c>
      <c r="S2052" s="1" t="str">
        <f t="shared" si="159"/>
        <v/>
      </c>
      <c r="T2052" s="1">
        <f>IF($E2052="",0,SUMPRODUCT((AY_SONU!$O$7:$O$42="Evet")*(AY_SONU!$B$7:$B$42=DATE(YEAR($E2052),MONTH($E2052),1))))</f>
        <v>0</v>
      </c>
    </row>
    <row r="2053" spans="1:20" ht="18" customHeight="1" x14ac:dyDescent="0.3">
      <c r="A2053" s="2"/>
      <c r="B2053" s="65" t="str">
        <f t="shared" si="155"/>
        <v/>
      </c>
      <c r="C2053" s="65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66"/>
      <c r="F2053" s="67"/>
      <c r="G2053" s="60"/>
      <c r="H2053" s="60"/>
      <c r="I2053" s="61"/>
      <c r="J2053" s="61"/>
      <c r="K2053" s="61"/>
      <c r="L2053" s="73" t="str">
        <f t="shared" si="156"/>
        <v/>
      </c>
      <c r="M2053" s="65" t="str">
        <f t="shared" ca="1" si="157"/>
        <v/>
      </c>
      <c r="N2053" s="74" t="str">
        <f>IF($C2053="","",IF($C2053="TANIMSIZ MÜŞTERİ","—",INDEX(MUSTERILER!$C$7:$C$156,MATCH($C2053,MUSTERILER!$B$7:$B$156,0))))</f>
        <v/>
      </c>
      <c r="O2053" s="2"/>
      <c r="P2053" s="2"/>
      <c r="Q2053" s="1" t="str">
        <f>IF($D2053="","",$C2053&amp;"|"&amp;COUNTIFS($C$7:$C2053,$C2053))</f>
        <v/>
      </c>
      <c r="R2053" s="1" t="str">
        <f t="shared" si="158"/>
        <v/>
      </c>
      <c r="S2053" s="1" t="str">
        <f t="shared" si="159"/>
        <v/>
      </c>
      <c r="T2053" s="1">
        <f>IF($E2053="",0,SUMPRODUCT((AY_SONU!$O$7:$O$42="Evet")*(AY_SONU!$B$7:$B$42=DATE(YEAR($E2053),MONTH($E2053),1))))</f>
        <v>0</v>
      </c>
    </row>
    <row r="2054" spans="1:20" ht="18" customHeight="1" x14ac:dyDescent="0.3">
      <c r="A2054" s="2"/>
      <c r="B2054" s="65" t="str">
        <f t="shared" si="155"/>
        <v/>
      </c>
      <c r="C2054" s="65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66"/>
      <c r="F2054" s="67"/>
      <c r="G2054" s="60"/>
      <c r="H2054" s="60"/>
      <c r="I2054" s="61"/>
      <c r="J2054" s="61"/>
      <c r="K2054" s="61"/>
      <c r="L2054" s="73" t="str">
        <f t="shared" si="156"/>
        <v/>
      </c>
      <c r="M2054" s="65" t="str">
        <f t="shared" ca="1" si="157"/>
        <v/>
      </c>
      <c r="N2054" s="74" t="str">
        <f>IF($C2054="","",IF($C2054="TANIMSIZ MÜŞTERİ","—",INDEX(MUSTERILER!$C$7:$C$156,MATCH($C2054,MUSTERILER!$B$7:$B$156,0))))</f>
        <v/>
      </c>
      <c r="O2054" s="2"/>
      <c r="P2054" s="2"/>
      <c r="Q2054" s="1" t="str">
        <f>IF($D2054="","",$C2054&amp;"|"&amp;COUNTIFS($C$7:$C2054,$C2054))</f>
        <v/>
      </c>
      <c r="R2054" s="1" t="str">
        <f t="shared" si="158"/>
        <v/>
      </c>
      <c r="S2054" s="1" t="str">
        <f t="shared" si="159"/>
        <v/>
      </c>
      <c r="T2054" s="1">
        <f>IF($E2054="",0,SUMPRODUCT((AY_SONU!$O$7:$O$42="Evet")*(AY_SONU!$B$7:$B$42=DATE(YEAR($E2054),MONTH($E2054),1))))</f>
        <v>0</v>
      </c>
    </row>
    <row r="2055" spans="1:20" ht="18" customHeight="1" x14ac:dyDescent="0.3">
      <c r="A2055" s="2"/>
      <c r="B2055" s="65" t="str">
        <f t="shared" ref="B2055:B2118" si="160">IF($D2055="","","T"&amp;TEXT(ROW()-6,"00000"))</f>
        <v/>
      </c>
      <c r="C2055" s="65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66"/>
      <c r="F2055" s="67"/>
      <c r="G2055" s="60"/>
      <c r="H2055" s="60"/>
      <c r="I2055" s="61"/>
      <c r="J2055" s="61"/>
      <c r="K2055" s="61"/>
      <c r="L2055" s="73" t="str">
        <f t="shared" ref="L2055:L2118" si="161">IF($E2055="","",DATE(YEAR($E2055),MONTH($E2055),1))</f>
        <v/>
      </c>
      <c r="M2055" s="65" t="str">
        <f t="shared" ref="M2055:M2118" ca="1" si="162">IF($D2055="","",IF($C2055="TANIMSIZ MÜŞTERİ","HATA",IF(OR($E2055="",$F2055&lt;=0,$G2055=""),"EKSİK",IF($E2055&gt;TODAY(),"İLERİ TARİH",IF(COUNTIF($S$7:$S$2506,$S2055)&gt;1,"MÜKERRER?",IF($T2055&gt;0,"KAPALI DÖNEM","UYGUN"))))))</f>
        <v/>
      </c>
      <c r="N2055" s="74" t="str">
        <f>IF($C2055="","",IF($C2055="TANIMSIZ MÜŞTERİ","—",INDEX(MUSTERILER!$C$7:$C$156,MATCH($C2055,MUSTERILER!$B$7:$B$156,0))))</f>
        <v/>
      </c>
      <c r="O2055" s="2"/>
      <c r="P2055" s="2"/>
      <c r="Q2055" s="1" t="str">
        <f>IF($D2055="","",$C2055&amp;"|"&amp;COUNTIFS($C$7:$C2055,$C2055))</f>
        <v/>
      </c>
      <c r="R2055" s="1" t="str">
        <f t="shared" ref="R2055:R2118" si="163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 t="str">
        <f t="shared" ref="S2055:S2118" si="164"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>0</v>
      </c>
    </row>
    <row r="2056" spans="1:20" ht="18" customHeight="1" x14ac:dyDescent="0.3">
      <c r="A2056" s="2"/>
      <c r="B2056" s="65" t="str">
        <f t="shared" si="160"/>
        <v/>
      </c>
      <c r="C2056" s="65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66"/>
      <c r="F2056" s="67"/>
      <c r="G2056" s="60"/>
      <c r="H2056" s="60"/>
      <c r="I2056" s="61"/>
      <c r="J2056" s="61"/>
      <c r="K2056" s="61"/>
      <c r="L2056" s="73" t="str">
        <f t="shared" si="161"/>
        <v/>
      </c>
      <c r="M2056" s="65" t="str">
        <f t="shared" ca="1" si="162"/>
        <v/>
      </c>
      <c r="N2056" s="74" t="str">
        <f>IF($C2056="","",IF($C2056="TANIMSIZ MÜŞTERİ","—",INDEX(MUSTERILER!$C$7:$C$156,MATCH($C2056,MUSTERILER!$B$7:$B$156,0))))</f>
        <v/>
      </c>
      <c r="O2056" s="2"/>
      <c r="P2056" s="2"/>
      <c r="Q2056" s="1" t="str">
        <f>IF($D2056="","",$C2056&amp;"|"&amp;COUNTIFS($C$7:$C2056,$C2056))</f>
        <v/>
      </c>
      <c r="R2056" s="1" t="str">
        <f t="shared" si="163"/>
        <v/>
      </c>
      <c r="S2056" s="1" t="str">
        <f t="shared" si="164"/>
        <v/>
      </c>
      <c r="T2056" s="1">
        <f>IF($E2056="",0,SUMPRODUCT((AY_SONU!$O$7:$O$42="Evet")*(AY_SONU!$B$7:$B$42=DATE(YEAR($E2056),MONTH($E2056),1))))</f>
        <v>0</v>
      </c>
    </row>
    <row r="2057" spans="1:20" ht="18" customHeight="1" x14ac:dyDescent="0.3">
      <c r="A2057" s="2"/>
      <c r="B2057" s="65" t="str">
        <f t="shared" si="160"/>
        <v/>
      </c>
      <c r="C2057" s="65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66"/>
      <c r="F2057" s="67"/>
      <c r="G2057" s="60"/>
      <c r="H2057" s="60"/>
      <c r="I2057" s="61"/>
      <c r="J2057" s="61"/>
      <c r="K2057" s="61"/>
      <c r="L2057" s="73" t="str">
        <f t="shared" si="161"/>
        <v/>
      </c>
      <c r="M2057" s="65" t="str">
        <f t="shared" ca="1" si="162"/>
        <v/>
      </c>
      <c r="N2057" s="74" t="str">
        <f>IF($C2057="","",IF($C2057="TANIMSIZ MÜŞTERİ","—",INDEX(MUSTERILER!$C$7:$C$156,MATCH($C2057,MUSTERILER!$B$7:$B$156,0))))</f>
        <v/>
      </c>
      <c r="O2057" s="2"/>
      <c r="P2057" s="2"/>
      <c r="Q2057" s="1" t="str">
        <f>IF($D2057="","",$C2057&amp;"|"&amp;COUNTIFS($C$7:$C2057,$C2057))</f>
        <v/>
      </c>
      <c r="R2057" s="1" t="str">
        <f t="shared" si="163"/>
        <v/>
      </c>
      <c r="S2057" s="1" t="str">
        <f t="shared" si="164"/>
        <v/>
      </c>
      <c r="T2057" s="1">
        <f>IF($E2057="",0,SUMPRODUCT((AY_SONU!$O$7:$O$42="Evet")*(AY_SONU!$B$7:$B$42=DATE(YEAR($E2057),MONTH($E2057),1))))</f>
        <v>0</v>
      </c>
    </row>
    <row r="2058" spans="1:20" ht="18" customHeight="1" x14ac:dyDescent="0.3">
      <c r="A2058" s="2"/>
      <c r="B2058" s="65" t="str">
        <f t="shared" si="160"/>
        <v/>
      </c>
      <c r="C2058" s="65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66"/>
      <c r="F2058" s="67"/>
      <c r="G2058" s="60"/>
      <c r="H2058" s="60"/>
      <c r="I2058" s="61"/>
      <c r="J2058" s="61"/>
      <c r="K2058" s="61"/>
      <c r="L2058" s="73" t="str">
        <f t="shared" si="161"/>
        <v/>
      </c>
      <c r="M2058" s="65" t="str">
        <f t="shared" ca="1" si="162"/>
        <v/>
      </c>
      <c r="N2058" s="74" t="str">
        <f>IF($C2058="","",IF($C2058="TANIMSIZ MÜŞTERİ","—",INDEX(MUSTERILER!$C$7:$C$156,MATCH($C2058,MUSTERILER!$B$7:$B$156,0))))</f>
        <v/>
      </c>
      <c r="O2058" s="2"/>
      <c r="P2058" s="2"/>
      <c r="Q2058" s="1" t="str">
        <f>IF($D2058="","",$C2058&amp;"|"&amp;COUNTIFS($C$7:$C2058,$C2058))</f>
        <v/>
      </c>
      <c r="R2058" s="1" t="str">
        <f t="shared" si="163"/>
        <v/>
      </c>
      <c r="S2058" s="1" t="str">
        <f t="shared" si="164"/>
        <v/>
      </c>
      <c r="T2058" s="1">
        <f>IF($E2058="",0,SUMPRODUCT((AY_SONU!$O$7:$O$42="Evet")*(AY_SONU!$B$7:$B$42=DATE(YEAR($E2058),MONTH($E2058),1))))</f>
        <v>0</v>
      </c>
    </row>
    <row r="2059" spans="1:20" ht="18" customHeight="1" x14ac:dyDescent="0.3">
      <c r="A2059" s="2"/>
      <c r="B2059" s="65" t="str">
        <f t="shared" si="160"/>
        <v/>
      </c>
      <c r="C2059" s="65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66"/>
      <c r="F2059" s="67"/>
      <c r="G2059" s="60"/>
      <c r="H2059" s="60"/>
      <c r="I2059" s="61"/>
      <c r="J2059" s="61"/>
      <c r="K2059" s="61"/>
      <c r="L2059" s="73" t="str">
        <f t="shared" si="161"/>
        <v/>
      </c>
      <c r="M2059" s="65" t="str">
        <f t="shared" ca="1" si="162"/>
        <v/>
      </c>
      <c r="N2059" s="74" t="str">
        <f>IF($C2059="","",IF($C2059="TANIMSIZ MÜŞTERİ","—",INDEX(MUSTERILER!$C$7:$C$156,MATCH($C2059,MUSTERILER!$B$7:$B$156,0))))</f>
        <v/>
      </c>
      <c r="O2059" s="2"/>
      <c r="P2059" s="2"/>
      <c r="Q2059" s="1" t="str">
        <f>IF($D2059="","",$C2059&amp;"|"&amp;COUNTIFS($C$7:$C2059,$C2059))</f>
        <v/>
      </c>
      <c r="R2059" s="1" t="str">
        <f t="shared" si="163"/>
        <v/>
      </c>
      <c r="S2059" s="1" t="str">
        <f t="shared" si="164"/>
        <v/>
      </c>
      <c r="T2059" s="1">
        <f>IF($E2059="",0,SUMPRODUCT((AY_SONU!$O$7:$O$42="Evet")*(AY_SONU!$B$7:$B$42=DATE(YEAR($E2059),MONTH($E2059),1))))</f>
        <v>0</v>
      </c>
    </row>
    <row r="2060" spans="1:20" ht="18" customHeight="1" x14ac:dyDescent="0.3">
      <c r="A2060" s="2"/>
      <c r="B2060" s="65" t="str">
        <f t="shared" si="160"/>
        <v/>
      </c>
      <c r="C2060" s="65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66"/>
      <c r="F2060" s="67"/>
      <c r="G2060" s="60"/>
      <c r="H2060" s="60"/>
      <c r="I2060" s="61"/>
      <c r="J2060" s="61"/>
      <c r="K2060" s="61"/>
      <c r="L2060" s="73" t="str">
        <f t="shared" si="161"/>
        <v/>
      </c>
      <c r="M2060" s="65" t="str">
        <f t="shared" ca="1" si="162"/>
        <v/>
      </c>
      <c r="N2060" s="74" t="str">
        <f>IF($C2060="","",IF($C2060="TANIMSIZ MÜŞTERİ","—",INDEX(MUSTERILER!$C$7:$C$156,MATCH($C2060,MUSTERILER!$B$7:$B$156,0))))</f>
        <v/>
      </c>
      <c r="O2060" s="2"/>
      <c r="P2060" s="2"/>
      <c r="Q2060" s="1" t="str">
        <f>IF($D2060="","",$C2060&amp;"|"&amp;COUNTIFS($C$7:$C2060,$C2060))</f>
        <v/>
      </c>
      <c r="R2060" s="1" t="str">
        <f t="shared" si="163"/>
        <v/>
      </c>
      <c r="S2060" s="1" t="str">
        <f t="shared" si="164"/>
        <v/>
      </c>
      <c r="T2060" s="1">
        <f>IF($E2060="",0,SUMPRODUCT((AY_SONU!$O$7:$O$42="Evet")*(AY_SONU!$B$7:$B$42=DATE(YEAR($E2060),MONTH($E2060),1))))</f>
        <v>0</v>
      </c>
    </row>
    <row r="2061" spans="1:20" ht="18" customHeight="1" x14ac:dyDescent="0.3">
      <c r="A2061" s="2"/>
      <c r="B2061" s="65" t="str">
        <f t="shared" si="160"/>
        <v/>
      </c>
      <c r="C2061" s="65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66"/>
      <c r="F2061" s="67"/>
      <c r="G2061" s="60"/>
      <c r="H2061" s="60"/>
      <c r="I2061" s="61"/>
      <c r="J2061" s="61"/>
      <c r="K2061" s="61"/>
      <c r="L2061" s="73" t="str">
        <f t="shared" si="161"/>
        <v/>
      </c>
      <c r="M2061" s="65" t="str">
        <f t="shared" ca="1" si="162"/>
        <v/>
      </c>
      <c r="N2061" s="74" t="str">
        <f>IF($C2061="","",IF($C2061="TANIMSIZ MÜŞTERİ","—",INDEX(MUSTERILER!$C$7:$C$156,MATCH($C2061,MUSTERILER!$B$7:$B$156,0))))</f>
        <v/>
      </c>
      <c r="O2061" s="2"/>
      <c r="P2061" s="2"/>
      <c r="Q2061" s="1" t="str">
        <f>IF($D2061="","",$C2061&amp;"|"&amp;COUNTIFS($C$7:$C2061,$C2061))</f>
        <v/>
      </c>
      <c r="R2061" s="1" t="str">
        <f t="shared" si="163"/>
        <v/>
      </c>
      <c r="S2061" s="1" t="str">
        <f t="shared" si="164"/>
        <v/>
      </c>
      <c r="T2061" s="1">
        <f>IF($E2061="",0,SUMPRODUCT((AY_SONU!$O$7:$O$42="Evet")*(AY_SONU!$B$7:$B$42=DATE(YEAR($E2061),MONTH($E2061),1))))</f>
        <v>0</v>
      </c>
    </row>
    <row r="2062" spans="1:20" ht="18" customHeight="1" x14ac:dyDescent="0.3">
      <c r="A2062" s="2"/>
      <c r="B2062" s="65" t="str">
        <f t="shared" si="160"/>
        <v/>
      </c>
      <c r="C2062" s="65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66"/>
      <c r="F2062" s="67"/>
      <c r="G2062" s="60"/>
      <c r="H2062" s="60"/>
      <c r="I2062" s="61"/>
      <c r="J2062" s="61"/>
      <c r="K2062" s="61"/>
      <c r="L2062" s="73" t="str">
        <f t="shared" si="161"/>
        <v/>
      </c>
      <c r="M2062" s="65" t="str">
        <f t="shared" ca="1" si="162"/>
        <v/>
      </c>
      <c r="N2062" s="74" t="str">
        <f>IF($C2062="","",IF($C2062="TANIMSIZ MÜŞTERİ","—",INDEX(MUSTERILER!$C$7:$C$156,MATCH($C2062,MUSTERILER!$B$7:$B$156,0))))</f>
        <v/>
      </c>
      <c r="O2062" s="2"/>
      <c r="P2062" s="2"/>
      <c r="Q2062" s="1" t="str">
        <f>IF($D2062="","",$C2062&amp;"|"&amp;COUNTIFS($C$7:$C2062,$C2062))</f>
        <v/>
      </c>
      <c r="R2062" s="1" t="str">
        <f t="shared" si="163"/>
        <v/>
      </c>
      <c r="S2062" s="1" t="str">
        <f t="shared" si="164"/>
        <v/>
      </c>
      <c r="T2062" s="1">
        <f>IF($E2062="",0,SUMPRODUCT((AY_SONU!$O$7:$O$42="Evet")*(AY_SONU!$B$7:$B$42=DATE(YEAR($E2062),MONTH($E2062),1))))</f>
        <v>0</v>
      </c>
    </row>
    <row r="2063" spans="1:20" ht="18" customHeight="1" x14ac:dyDescent="0.3">
      <c r="A2063" s="2"/>
      <c r="B2063" s="65" t="str">
        <f t="shared" si="160"/>
        <v/>
      </c>
      <c r="C2063" s="65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66"/>
      <c r="F2063" s="67"/>
      <c r="G2063" s="60"/>
      <c r="H2063" s="60"/>
      <c r="I2063" s="61"/>
      <c r="J2063" s="61"/>
      <c r="K2063" s="61"/>
      <c r="L2063" s="73" t="str">
        <f t="shared" si="161"/>
        <v/>
      </c>
      <c r="M2063" s="65" t="str">
        <f t="shared" ca="1" si="162"/>
        <v/>
      </c>
      <c r="N2063" s="74" t="str">
        <f>IF($C2063="","",IF($C2063="TANIMSIZ MÜŞTERİ","—",INDEX(MUSTERILER!$C$7:$C$156,MATCH($C2063,MUSTERILER!$B$7:$B$156,0))))</f>
        <v/>
      </c>
      <c r="O2063" s="2"/>
      <c r="P2063" s="2"/>
      <c r="Q2063" s="1" t="str">
        <f>IF($D2063="","",$C2063&amp;"|"&amp;COUNTIFS($C$7:$C2063,$C2063))</f>
        <v/>
      </c>
      <c r="R2063" s="1" t="str">
        <f t="shared" si="163"/>
        <v/>
      </c>
      <c r="S2063" s="1" t="str">
        <f t="shared" si="164"/>
        <v/>
      </c>
      <c r="T2063" s="1">
        <f>IF($E2063="",0,SUMPRODUCT((AY_SONU!$O$7:$O$42="Evet")*(AY_SONU!$B$7:$B$42=DATE(YEAR($E2063),MONTH($E2063),1))))</f>
        <v>0</v>
      </c>
    </row>
    <row r="2064" spans="1:20" ht="18" customHeight="1" x14ac:dyDescent="0.3">
      <c r="A2064" s="2"/>
      <c r="B2064" s="65" t="str">
        <f t="shared" si="160"/>
        <v/>
      </c>
      <c r="C2064" s="65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66"/>
      <c r="F2064" s="67"/>
      <c r="G2064" s="60"/>
      <c r="H2064" s="60"/>
      <c r="I2064" s="61"/>
      <c r="J2064" s="61"/>
      <c r="K2064" s="61"/>
      <c r="L2064" s="73" t="str">
        <f t="shared" si="161"/>
        <v/>
      </c>
      <c r="M2064" s="65" t="str">
        <f t="shared" ca="1" si="162"/>
        <v/>
      </c>
      <c r="N2064" s="74" t="str">
        <f>IF($C2064="","",IF($C2064="TANIMSIZ MÜŞTERİ","—",INDEX(MUSTERILER!$C$7:$C$156,MATCH($C2064,MUSTERILER!$B$7:$B$156,0))))</f>
        <v/>
      </c>
      <c r="O2064" s="2"/>
      <c r="P2064" s="2"/>
      <c r="Q2064" s="1" t="str">
        <f>IF($D2064="","",$C2064&amp;"|"&amp;COUNTIFS($C$7:$C2064,$C2064))</f>
        <v/>
      </c>
      <c r="R2064" s="1" t="str">
        <f t="shared" si="163"/>
        <v/>
      </c>
      <c r="S2064" s="1" t="str">
        <f t="shared" si="164"/>
        <v/>
      </c>
      <c r="T2064" s="1">
        <f>IF($E2064="",0,SUMPRODUCT((AY_SONU!$O$7:$O$42="Evet")*(AY_SONU!$B$7:$B$42=DATE(YEAR($E2064),MONTH($E2064),1))))</f>
        <v>0</v>
      </c>
    </row>
    <row r="2065" spans="1:20" ht="18" customHeight="1" x14ac:dyDescent="0.3">
      <c r="A2065" s="2"/>
      <c r="B2065" s="65" t="str">
        <f t="shared" si="160"/>
        <v/>
      </c>
      <c r="C2065" s="65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66"/>
      <c r="F2065" s="67"/>
      <c r="G2065" s="60"/>
      <c r="H2065" s="60"/>
      <c r="I2065" s="61"/>
      <c r="J2065" s="61"/>
      <c r="K2065" s="61"/>
      <c r="L2065" s="73" t="str">
        <f t="shared" si="161"/>
        <v/>
      </c>
      <c r="M2065" s="65" t="str">
        <f t="shared" ca="1" si="162"/>
        <v/>
      </c>
      <c r="N2065" s="74" t="str">
        <f>IF($C2065="","",IF($C2065="TANIMSIZ MÜŞTERİ","—",INDEX(MUSTERILER!$C$7:$C$156,MATCH($C2065,MUSTERILER!$B$7:$B$156,0))))</f>
        <v/>
      </c>
      <c r="O2065" s="2"/>
      <c r="P2065" s="2"/>
      <c r="Q2065" s="1" t="str">
        <f>IF($D2065="","",$C2065&amp;"|"&amp;COUNTIFS($C$7:$C2065,$C2065))</f>
        <v/>
      </c>
      <c r="R2065" s="1" t="str">
        <f t="shared" si="163"/>
        <v/>
      </c>
      <c r="S2065" s="1" t="str">
        <f t="shared" si="164"/>
        <v/>
      </c>
      <c r="T2065" s="1">
        <f>IF($E2065="",0,SUMPRODUCT((AY_SONU!$O$7:$O$42="Evet")*(AY_SONU!$B$7:$B$42=DATE(YEAR($E2065),MONTH($E2065),1))))</f>
        <v>0</v>
      </c>
    </row>
    <row r="2066" spans="1:20" ht="18" customHeight="1" x14ac:dyDescent="0.3">
      <c r="A2066" s="2"/>
      <c r="B2066" s="65" t="str">
        <f t="shared" si="160"/>
        <v/>
      </c>
      <c r="C2066" s="65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66"/>
      <c r="F2066" s="67"/>
      <c r="G2066" s="60"/>
      <c r="H2066" s="60"/>
      <c r="I2066" s="61"/>
      <c r="J2066" s="61"/>
      <c r="K2066" s="61"/>
      <c r="L2066" s="73" t="str">
        <f t="shared" si="161"/>
        <v/>
      </c>
      <c r="M2066" s="65" t="str">
        <f t="shared" ca="1" si="162"/>
        <v/>
      </c>
      <c r="N2066" s="74" t="str">
        <f>IF($C2066="","",IF($C2066="TANIMSIZ MÜŞTERİ","—",INDEX(MUSTERILER!$C$7:$C$156,MATCH($C2066,MUSTERILER!$B$7:$B$156,0))))</f>
        <v/>
      </c>
      <c r="O2066" s="2"/>
      <c r="P2066" s="2"/>
      <c r="Q2066" s="1" t="str">
        <f>IF($D2066="","",$C2066&amp;"|"&amp;COUNTIFS($C$7:$C2066,$C2066))</f>
        <v/>
      </c>
      <c r="R2066" s="1" t="str">
        <f t="shared" si="163"/>
        <v/>
      </c>
      <c r="S2066" s="1" t="str">
        <f t="shared" si="164"/>
        <v/>
      </c>
      <c r="T2066" s="1">
        <f>IF($E2066="",0,SUMPRODUCT((AY_SONU!$O$7:$O$42="Evet")*(AY_SONU!$B$7:$B$42=DATE(YEAR($E2066),MONTH($E2066),1))))</f>
        <v>0</v>
      </c>
    </row>
    <row r="2067" spans="1:20" ht="18" customHeight="1" x14ac:dyDescent="0.3">
      <c r="A2067" s="2"/>
      <c r="B2067" s="65" t="str">
        <f t="shared" si="160"/>
        <v/>
      </c>
      <c r="C2067" s="65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66"/>
      <c r="F2067" s="67"/>
      <c r="G2067" s="60"/>
      <c r="H2067" s="60"/>
      <c r="I2067" s="61"/>
      <c r="J2067" s="61"/>
      <c r="K2067" s="61"/>
      <c r="L2067" s="73" t="str">
        <f t="shared" si="161"/>
        <v/>
      </c>
      <c r="M2067" s="65" t="str">
        <f t="shared" ca="1" si="162"/>
        <v/>
      </c>
      <c r="N2067" s="74" t="str">
        <f>IF($C2067="","",IF($C2067="TANIMSIZ MÜŞTERİ","—",INDEX(MUSTERILER!$C$7:$C$156,MATCH($C2067,MUSTERILER!$B$7:$B$156,0))))</f>
        <v/>
      </c>
      <c r="O2067" s="2"/>
      <c r="P2067" s="2"/>
      <c r="Q2067" s="1" t="str">
        <f>IF($D2067="","",$C2067&amp;"|"&amp;COUNTIFS($C$7:$C2067,$C2067))</f>
        <v/>
      </c>
      <c r="R2067" s="1" t="str">
        <f t="shared" si="163"/>
        <v/>
      </c>
      <c r="S2067" s="1" t="str">
        <f t="shared" si="164"/>
        <v/>
      </c>
      <c r="T2067" s="1">
        <f>IF($E2067="",0,SUMPRODUCT((AY_SONU!$O$7:$O$42="Evet")*(AY_SONU!$B$7:$B$42=DATE(YEAR($E2067),MONTH($E2067),1))))</f>
        <v>0</v>
      </c>
    </row>
    <row r="2068" spans="1:20" ht="18" customHeight="1" x14ac:dyDescent="0.3">
      <c r="A2068" s="2"/>
      <c r="B2068" s="65" t="str">
        <f t="shared" si="160"/>
        <v/>
      </c>
      <c r="C2068" s="65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66"/>
      <c r="F2068" s="67"/>
      <c r="G2068" s="60"/>
      <c r="H2068" s="60"/>
      <c r="I2068" s="61"/>
      <c r="J2068" s="61"/>
      <c r="K2068" s="61"/>
      <c r="L2068" s="73" t="str">
        <f t="shared" si="161"/>
        <v/>
      </c>
      <c r="M2068" s="65" t="str">
        <f t="shared" ca="1" si="162"/>
        <v/>
      </c>
      <c r="N2068" s="74" t="str">
        <f>IF($C2068="","",IF($C2068="TANIMSIZ MÜŞTERİ","—",INDEX(MUSTERILER!$C$7:$C$156,MATCH($C2068,MUSTERILER!$B$7:$B$156,0))))</f>
        <v/>
      </c>
      <c r="O2068" s="2"/>
      <c r="P2068" s="2"/>
      <c r="Q2068" s="1" t="str">
        <f>IF($D2068="","",$C2068&amp;"|"&amp;COUNTIFS($C$7:$C2068,$C2068))</f>
        <v/>
      </c>
      <c r="R2068" s="1" t="str">
        <f t="shared" si="163"/>
        <v/>
      </c>
      <c r="S2068" s="1" t="str">
        <f t="shared" si="164"/>
        <v/>
      </c>
      <c r="T2068" s="1">
        <f>IF($E2068="",0,SUMPRODUCT((AY_SONU!$O$7:$O$42="Evet")*(AY_SONU!$B$7:$B$42=DATE(YEAR($E2068),MONTH($E2068),1))))</f>
        <v>0</v>
      </c>
    </row>
    <row r="2069" spans="1:20" ht="18" customHeight="1" x14ac:dyDescent="0.3">
      <c r="A2069" s="2"/>
      <c r="B2069" s="65" t="str">
        <f t="shared" si="160"/>
        <v/>
      </c>
      <c r="C2069" s="65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66"/>
      <c r="F2069" s="67"/>
      <c r="G2069" s="60"/>
      <c r="H2069" s="60"/>
      <c r="I2069" s="61"/>
      <c r="J2069" s="61"/>
      <c r="K2069" s="61"/>
      <c r="L2069" s="73" t="str">
        <f t="shared" si="161"/>
        <v/>
      </c>
      <c r="M2069" s="65" t="str">
        <f t="shared" ca="1" si="162"/>
        <v/>
      </c>
      <c r="N2069" s="74" t="str">
        <f>IF($C2069="","",IF($C2069="TANIMSIZ MÜŞTERİ","—",INDEX(MUSTERILER!$C$7:$C$156,MATCH($C2069,MUSTERILER!$B$7:$B$156,0))))</f>
        <v/>
      </c>
      <c r="O2069" s="2"/>
      <c r="P2069" s="2"/>
      <c r="Q2069" s="1" t="str">
        <f>IF($D2069="","",$C2069&amp;"|"&amp;COUNTIFS($C$7:$C2069,$C2069))</f>
        <v/>
      </c>
      <c r="R2069" s="1" t="str">
        <f t="shared" si="163"/>
        <v/>
      </c>
      <c r="S2069" s="1" t="str">
        <f t="shared" si="164"/>
        <v/>
      </c>
      <c r="T2069" s="1">
        <f>IF($E2069="",0,SUMPRODUCT((AY_SONU!$O$7:$O$42="Evet")*(AY_SONU!$B$7:$B$42=DATE(YEAR($E2069),MONTH($E2069),1))))</f>
        <v>0</v>
      </c>
    </row>
    <row r="2070" spans="1:20" ht="18" customHeight="1" x14ac:dyDescent="0.3">
      <c r="A2070" s="2"/>
      <c r="B2070" s="65" t="str">
        <f t="shared" si="160"/>
        <v/>
      </c>
      <c r="C2070" s="65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66"/>
      <c r="F2070" s="67"/>
      <c r="G2070" s="60"/>
      <c r="H2070" s="60"/>
      <c r="I2070" s="61"/>
      <c r="J2070" s="61"/>
      <c r="K2070" s="61"/>
      <c r="L2070" s="73" t="str">
        <f t="shared" si="161"/>
        <v/>
      </c>
      <c r="M2070" s="65" t="str">
        <f t="shared" ca="1" si="162"/>
        <v/>
      </c>
      <c r="N2070" s="74" t="str">
        <f>IF($C2070="","",IF($C2070="TANIMSIZ MÜŞTERİ","—",INDEX(MUSTERILER!$C$7:$C$156,MATCH($C2070,MUSTERILER!$B$7:$B$156,0))))</f>
        <v/>
      </c>
      <c r="O2070" s="2"/>
      <c r="P2070" s="2"/>
      <c r="Q2070" s="1" t="str">
        <f>IF($D2070="","",$C2070&amp;"|"&amp;COUNTIFS($C$7:$C2070,$C2070))</f>
        <v/>
      </c>
      <c r="R2070" s="1" t="str">
        <f t="shared" si="163"/>
        <v/>
      </c>
      <c r="S2070" s="1" t="str">
        <f t="shared" si="164"/>
        <v/>
      </c>
      <c r="T2070" s="1">
        <f>IF($E2070="",0,SUMPRODUCT((AY_SONU!$O$7:$O$42="Evet")*(AY_SONU!$B$7:$B$42=DATE(YEAR($E2070),MONTH($E2070),1))))</f>
        <v>0</v>
      </c>
    </row>
    <row r="2071" spans="1:20" ht="18" customHeight="1" x14ac:dyDescent="0.3">
      <c r="A2071" s="2"/>
      <c r="B2071" s="65" t="str">
        <f t="shared" si="160"/>
        <v/>
      </c>
      <c r="C2071" s="65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66"/>
      <c r="F2071" s="67"/>
      <c r="G2071" s="60"/>
      <c r="H2071" s="60"/>
      <c r="I2071" s="61"/>
      <c r="J2071" s="61"/>
      <c r="K2071" s="61"/>
      <c r="L2071" s="73" t="str">
        <f t="shared" si="161"/>
        <v/>
      </c>
      <c r="M2071" s="65" t="str">
        <f t="shared" ca="1" si="162"/>
        <v/>
      </c>
      <c r="N2071" s="74" t="str">
        <f>IF($C2071="","",IF($C2071="TANIMSIZ MÜŞTERİ","—",INDEX(MUSTERILER!$C$7:$C$156,MATCH($C2071,MUSTERILER!$B$7:$B$156,0))))</f>
        <v/>
      </c>
      <c r="O2071" s="2"/>
      <c r="P2071" s="2"/>
      <c r="Q2071" s="1" t="str">
        <f>IF($D2071="","",$C2071&amp;"|"&amp;COUNTIFS($C$7:$C2071,$C2071))</f>
        <v/>
      </c>
      <c r="R2071" s="1" t="str">
        <f t="shared" si="163"/>
        <v/>
      </c>
      <c r="S2071" s="1" t="str">
        <f t="shared" si="164"/>
        <v/>
      </c>
      <c r="T2071" s="1">
        <f>IF($E2071="",0,SUMPRODUCT((AY_SONU!$O$7:$O$42="Evet")*(AY_SONU!$B$7:$B$42=DATE(YEAR($E2071),MONTH($E2071),1))))</f>
        <v>0</v>
      </c>
    </row>
    <row r="2072" spans="1:20" ht="18" customHeight="1" x14ac:dyDescent="0.3">
      <c r="A2072" s="2"/>
      <c r="B2072" s="65" t="str">
        <f t="shared" si="160"/>
        <v/>
      </c>
      <c r="C2072" s="65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66"/>
      <c r="F2072" s="67"/>
      <c r="G2072" s="60"/>
      <c r="H2072" s="60"/>
      <c r="I2072" s="61"/>
      <c r="J2072" s="61"/>
      <c r="K2072" s="61"/>
      <c r="L2072" s="73" t="str">
        <f t="shared" si="161"/>
        <v/>
      </c>
      <c r="M2072" s="65" t="str">
        <f t="shared" ca="1" si="162"/>
        <v/>
      </c>
      <c r="N2072" s="74" t="str">
        <f>IF($C2072="","",IF($C2072="TANIMSIZ MÜŞTERİ","—",INDEX(MUSTERILER!$C$7:$C$156,MATCH($C2072,MUSTERILER!$B$7:$B$156,0))))</f>
        <v/>
      </c>
      <c r="O2072" s="2"/>
      <c r="P2072" s="2"/>
      <c r="Q2072" s="1" t="str">
        <f>IF($D2072="","",$C2072&amp;"|"&amp;COUNTIFS($C$7:$C2072,$C2072))</f>
        <v/>
      </c>
      <c r="R2072" s="1" t="str">
        <f t="shared" si="163"/>
        <v/>
      </c>
      <c r="S2072" s="1" t="str">
        <f t="shared" si="164"/>
        <v/>
      </c>
      <c r="T2072" s="1">
        <f>IF($E2072="",0,SUMPRODUCT((AY_SONU!$O$7:$O$42="Evet")*(AY_SONU!$B$7:$B$42=DATE(YEAR($E2072),MONTH($E2072),1))))</f>
        <v>0</v>
      </c>
    </row>
    <row r="2073" spans="1:20" ht="18" customHeight="1" x14ac:dyDescent="0.3">
      <c r="A2073" s="2"/>
      <c r="B2073" s="65" t="str">
        <f t="shared" si="160"/>
        <v/>
      </c>
      <c r="C2073" s="65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66"/>
      <c r="F2073" s="67"/>
      <c r="G2073" s="60"/>
      <c r="H2073" s="60"/>
      <c r="I2073" s="61"/>
      <c r="J2073" s="61"/>
      <c r="K2073" s="61"/>
      <c r="L2073" s="73" t="str">
        <f t="shared" si="161"/>
        <v/>
      </c>
      <c r="M2073" s="65" t="str">
        <f t="shared" ca="1" si="162"/>
        <v/>
      </c>
      <c r="N2073" s="74" t="str">
        <f>IF($C2073="","",IF($C2073="TANIMSIZ MÜŞTERİ","—",INDEX(MUSTERILER!$C$7:$C$156,MATCH($C2073,MUSTERILER!$B$7:$B$156,0))))</f>
        <v/>
      </c>
      <c r="O2073" s="2"/>
      <c r="P2073" s="2"/>
      <c r="Q2073" s="1" t="str">
        <f>IF($D2073="","",$C2073&amp;"|"&amp;COUNTIFS($C$7:$C2073,$C2073))</f>
        <v/>
      </c>
      <c r="R2073" s="1" t="str">
        <f t="shared" si="163"/>
        <v/>
      </c>
      <c r="S2073" s="1" t="str">
        <f t="shared" si="164"/>
        <v/>
      </c>
      <c r="T2073" s="1">
        <f>IF($E2073="",0,SUMPRODUCT((AY_SONU!$O$7:$O$42="Evet")*(AY_SONU!$B$7:$B$42=DATE(YEAR($E2073),MONTH($E2073),1))))</f>
        <v>0</v>
      </c>
    </row>
    <row r="2074" spans="1:20" ht="18" customHeight="1" x14ac:dyDescent="0.3">
      <c r="A2074" s="2"/>
      <c r="B2074" s="65" t="str">
        <f t="shared" si="160"/>
        <v/>
      </c>
      <c r="C2074" s="65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66"/>
      <c r="F2074" s="67"/>
      <c r="G2074" s="60"/>
      <c r="H2074" s="60"/>
      <c r="I2074" s="61"/>
      <c r="J2074" s="61"/>
      <c r="K2074" s="61"/>
      <c r="L2074" s="73" t="str">
        <f t="shared" si="161"/>
        <v/>
      </c>
      <c r="M2074" s="65" t="str">
        <f t="shared" ca="1" si="162"/>
        <v/>
      </c>
      <c r="N2074" s="74" t="str">
        <f>IF($C2074="","",IF($C2074="TANIMSIZ MÜŞTERİ","—",INDEX(MUSTERILER!$C$7:$C$156,MATCH($C2074,MUSTERILER!$B$7:$B$156,0))))</f>
        <v/>
      </c>
      <c r="O2074" s="2"/>
      <c r="P2074" s="2"/>
      <c r="Q2074" s="1" t="str">
        <f>IF($D2074="","",$C2074&amp;"|"&amp;COUNTIFS($C$7:$C2074,$C2074))</f>
        <v/>
      </c>
      <c r="R2074" s="1" t="str">
        <f t="shared" si="163"/>
        <v/>
      </c>
      <c r="S2074" s="1" t="str">
        <f t="shared" si="164"/>
        <v/>
      </c>
      <c r="T2074" s="1">
        <f>IF($E2074="",0,SUMPRODUCT((AY_SONU!$O$7:$O$42="Evet")*(AY_SONU!$B$7:$B$42=DATE(YEAR($E2074),MONTH($E2074),1))))</f>
        <v>0</v>
      </c>
    </row>
    <row r="2075" spans="1:20" ht="18" customHeight="1" x14ac:dyDescent="0.3">
      <c r="A2075" s="2"/>
      <c r="B2075" s="65" t="str">
        <f t="shared" si="160"/>
        <v/>
      </c>
      <c r="C2075" s="65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66"/>
      <c r="F2075" s="67"/>
      <c r="G2075" s="60"/>
      <c r="H2075" s="60"/>
      <c r="I2075" s="61"/>
      <c r="J2075" s="61"/>
      <c r="K2075" s="61"/>
      <c r="L2075" s="73" t="str">
        <f t="shared" si="161"/>
        <v/>
      </c>
      <c r="M2075" s="65" t="str">
        <f t="shared" ca="1" si="162"/>
        <v/>
      </c>
      <c r="N2075" s="74" t="str">
        <f>IF($C2075="","",IF($C2075="TANIMSIZ MÜŞTERİ","—",INDEX(MUSTERILER!$C$7:$C$156,MATCH($C2075,MUSTERILER!$B$7:$B$156,0))))</f>
        <v/>
      </c>
      <c r="O2075" s="2"/>
      <c r="P2075" s="2"/>
      <c r="Q2075" s="1" t="str">
        <f>IF($D2075="","",$C2075&amp;"|"&amp;COUNTIFS($C$7:$C2075,$C2075))</f>
        <v/>
      </c>
      <c r="R2075" s="1" t="str">
        <f t="shared" si="163"/>
        <v/>
      </c>
      <c r="S2075" s="1" t="str">
        <f t="shared" si="164"/>
        <v/>
      </c>
      <c r="T2075" s="1">
        <f>IF($E2075="",0,SUMPRODUCT((AY_SONU!$O$7:$O$42="Evet")*(AY_SONU!$B$7:$B$42=DATE(YEAR($E2075),MONTH($E2075),1))))</f>
        <v>0</v>
      </c>
    </row>
    <row r="2076" spans="1:20" ht="18" customHeight="1" x14ac:dyDescent="0.3">
      <c r="A2076" s="2"/>
      <c r="B2076" s="65" t="str">
        <f t="shared" si="160"/>
        <v/>
      </c>
      <c r="C2076" s="65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66"/>
      <c r="F2076" s="67"/>
      <c r="G2076" s="60"/>
      <c r="H2076" s="60"/>
      <c r="I2076" s="61"/>
      <c r="J2076" s="61"/>
      <c r="K2076" s="61"/>
      <c r="L2076" s="73" t="str">
        <f t="shared" si="161"/>
        <v/>
      </c>
      <c r="M2076" s="65" t="str">
        <f t="shared" ca="1" si="162"/>
        <v/>
      </c>
      <c r="N2076" s="74" t="str">
        <f>IF($C2076="","",IF($C2076="TANIMSIZ MÜŞTERİ","—",INDEX(MUSTERILER!$C$7:$C$156,MATCH($C2076,MUSTERILER!$B$7:$B$156,0))))</f>
        <v/>
      </c>
      <c r="O2076" s="2"/>
      <c r="P2076" s="2"/>
      <c r="Q2076" s="1" t="str">
        <f>IF($D2076="","",$C2076&amp;"|"&amp;COUNTIFS($C$7:$C2076,$C2076))</f>
        <v/>
      </c>
      <c r="R2076" s="1" t="str">
        <f t="shared" si="163"/>
        <v/>
      </c>
      <c r="S2076" s="1" t="str">
        <f t="shared" si="164"/>
        <v/>
      </c>
      <c r="T2076" s="1">
        <f>IF($E2076="",0,SUMPRODUCT((AY_SONU!$O$7:$O$42="Evet")*(AY_SONU!$B$7:$B$42=DATE(YEAR($E2076),MONTH($E2076),1))))</f>
        <v>0</v>
      </c>
    </row>
    <row r="2077" spans="1:20" ht="18" customHeight="1" x14ac:dyDescent="0.3">
      <c r="A2077" s="2"/>
      <c r="B2077" s="65" t="str">
        <f t="shared" si="160"/>
        <v/>
      </c>
      <c r="C2077" s="65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66"/>
      <c r="F2077" s="67"/>
      <c r="G2077" s="60"/>
      <c r="H2077" s="60"/>
      <c r="I2077" s="61"/>
      <c r="J2077" s="61"/>
      <c r="K2077" s="61"/>
      <c r="L2077" s="73" t="str">
        <f t="shared" si="161"/>
        <v/>
      </c>
      <c r="M2077" s="65" t="str">
        <f t="shared" ca="1" si="162"/>
        <v/>
      </c>
      <c r="N2077" s="74" t="str">
        <f>IF($C2077="","",IF($C2077="TANIMSIZ MÜŞTERİ","—",INDEX(MUSTERILER!$C$7:$C$156,MATCH($C2077,MUSTERILER!$B$7:$B$156,0))))</f>
        <v/>
      </c>
      <c r="O2077" s="2"/>
      <c r="P2077" s="2"/>
      <c r="Q2077" s="1" t="str">
        <f>IF($D2077="","",$C2077&amp;"|"&amp;COUNTIFS($C$7:$C2077,$C2077))</f>
        <v/>
      </c>
      <c r="R2077" s="1" t="str">
        <f t="shared" si="163"/>
        <v/>
      </c>
      <c r="S2077" s="1" t="str">
        <f t="shared" si="164"/>
        <v/>
      </c>
      <c r="T2077" s="1">
        <f>IF($E2077="",0,SUMPRODUCT((AY_SONU!$O$7:$O$42="Evet")*(AY_SONU!$B$7:$B$42=DATE(YEAR($E2077),MONTH($E2077),1))))</f>
        <v>0</v>
      </c>
    </row>
    <row r="2078" spans="1:20" ht="18" customHeight="1" x14ac:dyDescent="0.3">
      <c r="A2078" s="2"/>
      <c r="B2078" s="65" t="str">
        <f t="shared" si="160"/>
        <v/>
      </c>
      <c r="C2078" s="65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66"/>
      <c r="F2078" s="67"/>
      <c r="G2078" s="60"/>
      <c r="H2078" s="60"/>
      <c r="I2078" s="61"/>
      <c r="J2078" s="61"/>
      <c r="K2078" s="61"/>
      <c r="L2078" s="73" t="str">
        <f t="shared" si="161"/>
        <v/>
      </c>
      <c r="M2078" s="65" t="str">
        <f t="shared" ca="1" si="162"/>
        <v/>
      </c>
      <c r="N2078" s="74" t="str">
        <f>IF($C2078="","",IF($C2078="TANIMSIZ MÜŞTERİ","—",INDEX(MUSTERILER!$C$7:$C$156,MATCH($C2078,MUSTERILER!$B$7:$B$156,0))))</f>
        <v/>
      </c>
      <c r="O2078" s="2"/>
      <c r="P2078" s="2"/>
      <c r="Q2078" s="1" t="str">
        <f>IF($D2078="","",$C2078&amp;"|"&amp;COUNTIFS($C$7:$C2078,$C2078))</f>
        <v/>
      </c>
      <c r="R2078" s="1" t="str">
        <f t="shared" si="163"/>
        <v/>
      </c>
      <c r="S2078" s="1" t="str">
        <f t="shared" si="164"/>
        <v/>
      </c>
      <c r="T2078" s="1">
        <f>IF($E2078="",0,SUMPRODUCT((AY_SONU!$O$7:$O$42="Evet")*(AY_SONU!$B$7:$B$42=DATE(YEAR($E2078),MONTH($E2078),1))))</f>
        <v>0</v>
      </c>
    </row>
    <row r="2079" spans="1:20" ht="18" customHeight="1" x14ac:dyDescent="0.3">
      <c r="A2079" s="2"/>
      <c r="B2079" s="65" t="str">
        <f t="shared" si="160"/>
        <v/>
      </c>
      <c r="C2079" s="65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66"/>
      <c r="F2079" s="67"/>
      <c r="G2079" s="60"/>
      <c r="H2079" s="60"/>
      <c r="I2079" s="61"/>
      <c r="J2079" s="61"/>
      <c r="K2079" s="61"/>
      <c r="L2079" s="73" t="str">
        <f t="shared" si="161"/>
        <v/>
      </c>
      <c r="M2079" s="65" t="str">
        <f t="shared" ca="1" si="162"/>
        <v/>
      </c>
      <c r="N2079" s="74" t="str">
        <f>IF($C2079="","",IF($C2079="TANIMSIZ MÜŞTERİ","—",INDEX(MUSTERILER!$C$7:$C$156,MATCH($C2079,MUSTERILER!$B$7:$B$156,0))))</f>
        <v/>
      </c>
      <c r="O2079" s="2"/>
      <c r="P2079" s="2"/>
      <c r="Q2079" s="1" t="str">
        <f>IF($D2079="","",$C2079&amp;"|"&amp;COUNTIFS($C$7:$C2079,$C2079))</f>
        <v/>
      </c>
      <c r="R2079" s="1" t="str">
        <f t="shared" si="163"/>
        <v/>
      </c>
      <c r="S2079" s="1" t="str">
        <f t="shared" si="164"/>
        <v/>
      </c>
      <c r="T2079" s="1">
        <f>IF($E2079="",0,SUMPRODUCT((AY_SONU!$O$7:$O$42="Evet")*(AY_SONU!$B$7:$B$42=DATE(YEAR($E2079),MONTH($E2079),1))))</f>
        <v>0</v>
      </c>
    </row>
    <row r="2080" spans="1:20" ht="18" customHeight="1" x14ac:dyDescent="0.3">
      <c r="A2080" s="2"/>
      <c r="B2080" s="65" t="str">
        <f t="shared" si="160"/>
        <v/>
      </c>
      <c r="C2080" s="65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66"/>
      <c r="F2080" s="67"/>
      <c r="G2080" s="60"/>
      <c r="H2080" s="60"/>
      <c r="I2080" s="61"/>
      <c r="J2080" s="61"/>
      <c r="K2080" s="61"/>
      <c r="L2080" s="73" t="str">
        <f t="shared" si="161"/>
        <v/>
      </c>
      <c r="M2080" s="65" t="str">
        <f t="shared" ca="1" si="162"/>
        <v/>
      </c>
      <c r="N2080" s="74" t="str">
        <f>IF($C2080="","",IF($C2080="TANIMSIZ MÜŞTERİ","—",INDEX(MUSTERILER!$C$7:$C$156,MATCH($C2080,MUSTERILER!$B$7:$B$156,0))))</f>
        <v/>
      </c>
      <c r="O2080" s="2"/>
      <c r="P2080" s="2"/>
      <c r="Q2080" s="1" t="str">
        <f>IF($D2080="","",$C2080&amp;"|"&amp;COUNTIFS($C$7:$C2080,$C2080))</f>
        <v/>
      </c>
      <c r="R2080" s="1" t="str">
        <f t="shared" si="163"/>
        <v/>
      </c>
      <c r="S2080" s="1" t="str">
        <f t="shared" si="164"/>
        <v/>
      </c>
      <c r="T2080" s="1">
        <f>IF($E2080="",0,SUMPRODUCT((AY_SONU!$O$7:$O$42="Evet")*(AY_SONU!$B$7:$B$42=DATE(YEAR($E2080),MONTH($E2080),1))))</f>
        <v>0</v>
      </c>
    </row>
    <row r="2081" spans="1:20" ht="18" customHeight="1" x14ac:dyDescent="0.3">
      <c r="A2081" s="2"/>
      <c r="B2081" s="65" t="str">
        <f t="shared" si="160"/>
        <v/>
      </c>
      <c r="C2081" s="65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66"/>
      <c r="F2081" s="67"/>
      <c r="G2081" s="60"/>
      <c r="H2081" s="60"/>
      <c r="I2081" s="61"/>
      <c r="J2081" s="61"/>
      <c r="K2081" s="61"/>
      <c r="L2081" s="73" t="str">
        <f t="shared" si="161"/>
        <v/>
      </c>
      <c r="M2081" s="65" t="str">
        <f t="shared" ca="1" si="162"/>
        <v/>
      </c>
      <c r="N2081" s="74" t="str">
        <f>IF($C2081="","",IF($C2081="TANIMSIZ MÜŞTERİ","—",INDEX(MUSTERILER!$C$7:$C$156,MATCH($C2081,MUSTERILER!$B$7:$B$156,0))))</f>
        <v/>
      </c>
      <c r="O2081" s="2"/>
      <c r="P2081" s="2"/>
      <c r="Q2081" s="1" t="str">
        <f>IF($D2081="","",$C2081&amp;"|"&amp;COUNTIFS($C$7:$C2081,$C2081))</f>
        <v/>
      </c>
      <c r="R2081" s="1" t="str">
        <f t="shared" si="163"/>
        <v/>
      </c>
      <c r="S2081" s="1" t="str">
        <f t="shared" si="164"/>
        <v/>
      </c>
      <c r="T2081" s="1">
        <f>IF($E2081="",0,SUMPRODUCT((AY_SONU!$O$7:$O$42="Evet")*(AY_SONU!$B$7:$B$42=DATE(YEAR($E2081),MONTH($E2081),1))))</f>
        <v>0</v>
      </c>
    </row>
    <row r="2082" spans="1:20" ht="18" customHeight="1" x14ac:dyDescent="0.3">
      <c r="A2082" s="2"/>
      <c r="B2082" s="65" t="str">
        <f t="shared" si="160"/>
        <v/>
      </c>
      <c r="C2082" s="65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66"/>
      <c r="F2082" s="67"/>
      <c r="G2082" s="60"/>
      <c r="H2082" s="60"/>
      <c r="I2082" s="61"/>
      <c r="J2082" s="61"/>
      <c r="K2082" s="61"/>
      <c r="L2082" s="73" t="str">
        <f t="shared" si="161"/>
        <v/>
      </c>
      <c r="M2082" s="65" t="str">
        <f t="shared" ca="1" si="162"/>
        <v/>
      </c>
      <c r="N2082" s="74" t="str">
        <f>IF($C2082="","",IF($C2082="TANIMSIZ MÜŞTERİ","—",INDEX(MUSTERILER!$C$7:$C$156,MATCH($C2082,MUSTERILER!$B$7:$B$156,0))))</f>
        <v/>
      </c>
      <c r="O2082" s="2"/>
      <c r="P2082" s="2"/>
      <c r="Q2082" s="1" t="str">
        <f>IF($D2082="","",$C2082&amp;"|"&amp;COUNTIFS($C$7:$C2082,$C2082))</f>
        <v/>
      </c>
      <c r="R2082" s="1" t="str">
        <f t="shared" si="163"/>
        <v/>
      </c>
      <c r="S2082" s="1" t="str">
        <f t="shared" si="164"/>
        <v/>
      </c>
      <c r="T2082" s="1">
        <f>IF($E2082="",0,SUMPRODUCT((AY_SONU!$O$7:$O$42="Evet")*(AY_SONU!$B$7:$B$42=DATE(YEAR($E2082),MONTH($E2082),1))))</f>
        <v>0</v>
      </c>
    </row>
    <row r="2083" spans="1:20" ht="18" customHeight="1" x14ac:dyDescent="0.3">
      <c r="A2083" s="2"/>
      <c r="B2083" s="65" t="str">
        <f t="shared" si="160"/>
        <v/>
      </c>
      <c r="C2083" s="65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66"/>
      <c r="F2083" s="67"/>
      <c r="G2083" s="60"/>
      <c r="H2083" s="60"/>
      <c r="I2083" s="61"/>
      <c r="J2083" s="61"/>
      <c r="K2083" s="61"/>
      <c r="L2083" s="73" t="str">
        <f t="shared" si="161"/>
        <v/>
      </c>
      <c r="M2083" s="65" t="str">
        <f t="shared" ca="1" si="162"/>
        <v/>
      </c>
      <c r="N2083" s="74" t="str">
        <f>IF($C2083="","",IF($C2083="TANIMSIZ MÜŞTERİ","—",INDEX(MUSTERILER!$C$7:$C$156,MATCH($C2083,MUSTERILER!$B$7:$B$156,0))))</f>
        <v/>
      </c>
      <c r="O2083" s="2"/>
      <c r="P2083" s="2"/>
      <c r="Q2083" s="1" t="str">
        <f>IF($D2083="","",$C2083&amp;"|"&amp;COUNTIFS($C$7:$C2083,$C2083))</f>
        <v/>
      </c>
      <c r="R2083" s="1" t="str">
        <f t="shared" si="163"/>
        <v/>
      </c>
      <c r="S2083" s="1" t="str">
        <f t="shared" si="164"/>
        <v/>
      </c>
      <c r="T2083" s="1">
        <f>IF($E2083="",0,SUMPRODUCT((AY_SONU!$O$7:$O$42="Evet")*(AY_SONU!$B$7:$B$42=DATE(YEAR($E2083),MONTH($E2083),1))))</f>
        <v>0</v>
      </c>
    </row>
    <row r="2084" spans="1:20" ht="18" customHeight="1" x14ac:dyDescent="0.3">
      <c r="A2084" s="2"/>
      <c r="B2084" s="65" t="str">
        <f t="shared" si="160"/>
        <v/>
      </c>
      <c r="C2084" s="65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66"/>
      <c r="F2084" s="67"/>
      <c r="G2084" s="60"/>
      <c r="H2084" s="60"/>
      <c r="I2084" s="61"/>
      <c r="J2084" s="61"/>
      <c r="K2084" s="61"/>
      <c r="L2084" s="73" t="str">
        <f t="shared" si="161"/>
        <v/>
      </c>
      <c r="M2084" s="65" t="str">
        <f t="shared" ca="1" si="162"/>
        <v/>
      </c>
      <c r="N2084" s="74" t="str">
        <f>IF($C2084="","",IF($C2084="TANIMSIZ MÜŞTERİ","—",INDEX(MUSTERILER!$C$7:$C$156,MATCH($C2084,MUSTERILER!$B$7:$B$156,0))))</f>
        <v/>
      </c>
      <c r="O2084" s="2"/>
      <c r="P2084" s="2"/>
      <c r="Q2084" s="1" t="str">
        <f>IF($D2084="","",$C2084&amp;"|"&amp;COUNTIFS($C$7:$C2084,$C2084))</f>
        <v/>
      </c>
      <c r="R2084" s="1" t="str">
        <f t="shared" si="163"/>
        <v/>
      </c>
      <c r="S2084" s="1" t="str">
        <f t="shared" si="164"/>
        <v/>
      </c>
      <c r="T2084" s="1">
        <f>IF($E2084="",0,SUMPRODUCT((AY_SONU!$O$7:$O$42="Evet")*(AY_SONU!$B$7:$B$42=DATE(YEAR($E2084),MONTH($E2084),1))))</f>
        <v>0</v>
      </c>
    </row>
    <row r="2085" spans="1:20" ht="18" customHeight="1" x14ac:dyDescent="0.3">
      <c r="A2085" s="2"/>
      <c r="B2085" s="65" t="str">
        <f t="shared" si="160"/>
        <v/>
      </c>
      <c r="C2085" s="65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66"/>
      <c r="F2085" s="67"/>
      <c r="G2085" s="60"/>
      <c r="H2085" s="60"/>
      <c r="I2085" s="61"/>
      <c r="J2085" s="61"/>
      <c r="K2085" s="61"/>
      <c r="L2085" s="73" t="str">
        <f t="shared" si="161"/>
        <v/>
      </c>
      <c r="M2085" s="65" t="str">
        <f t="shared" ca="1" si="162"/>
        <v/>
      </c>
      <c r="N2085" s="74" t="str">
        <f>IF($C2085="","",IF($C2085="TANIMSIZ MÜŞTERİ","—",INDEX(MUSTERILER!$C$7:$C$156,MATCH($C2085,MUSTERILER!$B$7:$B$156,0))))</f>
        <v/>
      </c>
      <c r="O2085" s="2"/>
      <c r="P2085" s="2"/>
      <c r="Q2085" s="1" t="str">
        <f>IF($D2085="","",$C2085&amp;"|"&amp;COUNTIFS($C$7:$C2085,$C2085))</f>
        <v/>
      </c>
      <c r="R2085" s="1" t="str">
        <f t="shared" si="163"/>
        <v/>
      </c>
      <c r="S2085" s="1" t="str">
        <f t="shared" si="164"/>
        <v/>
      </c>
      <c r="T2085" s="1">
        <f>IF($E2085="",0,SUMPRODUCT((AY_SONU!$O$7:$O$42="Evet")*(AY_SONU!$B$7:$B$42=DATE(YEAR($E2085),MONTH($E2085),1))))</f>
        <v>0</v>
      </c>
    </row>
    <row r="2086" spans="1:20" ht="18" customHeight="1" x14ac:dyDescent="0.3">
      <c r="A2086" s="2"/>
      <c r="B2086" s="65" t="str">
        <f t="shared" si="160"/>
        <v/>
      </c>
      <c r="C2086" s="65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66"/>
      <c r="F2086" s="67"/>
      <c r="G2086" s="60"/>
      <c r="H2086" s="60"/>
      <c r="I2086" s="61"/>
      <c r="J2086" s="61"/>
      <c r="K2086" s="61"/>
      <c r="L2086" s="73" t="str">
        <f t="shared" si="161"/>
        <v/>
      </c>
      <c r="M2086" s="65" t="str">
        <f t="shared" ca="1" si="162"/>
        <v/>
      </c>
      <c r="N2086" s="74" t="str">
        <f>IF($C2086="","",IF($C2086="TANIMSIZ MÜŞTERİ","—",INDEX(MUSTERILER!$C$7:$C$156,MATCH($C2086,MUSTERILER!$B$7:$B$156,0))))</f>
        <v/>
      </c>
      <c r="O2086" s="2"/>
      <c r="P2086" s="2"/>
      <c r="Q2086" s="1" t="str">
        <f>IF($D2086="","",$C2086&amp;"|"&amp;COUNTIFS($C$7:$C2086,$C2086))</f>
        <v/>
      </c>
      <c r="R2086" s="1" t="str">
        <f t="shared" si="163"/>
        <v/>
      </c>
      <c r="S2086" s="1" t="str">
        <f t="shared" si="164"/>
        <v/>
      </c>
      <c r="T2086" s="1">
        <f>IF($E2086="",0,SUMPRODUCT((AY_SONU!$O$7:$O$42="Evet")*(AY_SONU!$B$7:$B$42=DATE(YEAR($E2086),MONTH($E2086),1))))</f>
        <v>0</v>
      </c>
    </row>
    <row r="2087" spans="1:20" ht="18" customHeight="1" x14ac:dyDescent="0.3">
      <c r="A2087" s="2"/>
      <c r="B2087" s="65" t="str">
        <f t="shared" si="160"/>
        <v/>
      </c>
      <c r="C2087" s="65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66"/>
      <c r="F2087" s="67"/>
      <c r="G2087" s="60"/>
      <c r="H2087" s="60"/>
      <c r="I2087" s="61"/>
      <c r="J2087" s="61"/>
      <c r="K2087" s="61"/>
      <c r="L2087" s="73" t="str">
        <f t="shared" si="161"/>
        <v/>
      </c>
      <c r="M2087" s="65" t="str">
        <f t="shared" ca="1" si="162"/>
        <v/>
      </c>
      <c r="N2087" s="74" t="str">
        <f>IF($C2087="","",IF($C2087="TANIMSIZ MÜŞTERİ","—",INDEX(MUSTERILER!$C$7:$C$156,MATCH($C2087,MUSTERILER!$B$7:$B$156,0))))</f>
        <v/>
      </c>
      <c r="O2087" s="2"/>
      <c r="P2087" s="2"/>
      <c r="Q2087" s="1" t="str">
        <f>IF($D2087="","",$C2087&amp;"|"&amp;COUNTIFS($C$7:$C2087,$C2087))</f>
        <v/>
      </c>
      <c r="R2087" s="1" t="str">
        <f t="shared" si="163"/>
        <v/>
      </c>
      <c r="S2087" s="1" t="str">
        <f t="shared" si="164"/>
        <v/>
      </c>
      <c r="T2087" s="1">
        <f>IF($E2087="",0,SUMPRODUCT((AY_SONU!$O$7:$O$42="Evet")*(AY_SONU!$B$7:$B$42=DATE(YEAR($E2087),MONTH($E2087),1))))</f>
        <v>0</v>
      </c>
    </row>
    <row r="2088" spans="1:20" ht="18" customHeight="1" x14ac:dyDescent="0.3">
      <c r="A2088" s="2"/>
      <c r="B2088" s="65" t="str">
        <f t="shared" si="160"/>
        <v/>
      </c>
      <c r="C2088" s="65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66"/>
      <c r="F2088" s="67"/>
      <c r="G2088" s="60"/>
      <c r="H2088" s="60"/>
      <c r="I2088" s="61"/>
      <c r="J2088" s="61"/>
      <c r="K2088" s="61"/>
      <c r="L2088" s="73" t="str">
        <f t="shared" si="161"/>
        <v/>
      </c>
      <c r="M2088" s="65" t="str">
        <f t="shared" ca="1" si="162"/>
        <v/>
      </c>
      <c r="N2088" s="74" t="str">
        <f>IF($C2088="","",IF($C2088="TANIMSIZ MÜŞTERİ","—",INDEX(MUSTERILER!$C$7:$C$156,MATCH($C2088,MUSTERILER!$B$7:$B$156,0))))</f>
        <v/>
      </c>
      <c r="O2088" s="2"/>
      <c r="P2088" s="2"/>
      <c r="Q2088" s="1" t="str">
        <f>IF($D2088="","",$C2088&amp;"|"&amp;COUNTIFS($C$7:$C2088,$C2088))</f>
        <v/>
      </c>
      <c r="R2088" s="1" t="str">
        <f t="shared" si="163"/>
        <v/>
      </c>
      <c r="S2088" s="1" t="str">
        <f t="shared" si="164"/>
        <v/>
      </c>
      <c r="T2088" s="1">
        <f>IF($E2088="",0,SUMPRODUCT((AY_SONU!$O$7:$O$42="Evet")*(AY_SONU!$B$7:$B$42=DATE(YEAR($E2088),MONTH($E2088),1))))</f>
        <v>0</v>
      </c>
    </row>
    <row r="2089" spans="1:20" ht="18" customHeight="1" x14ac:dyDescent="0.3">
      <c r="A2089" s="2"/>
      <c r="B2089" s="65" t="str">
        <f t="shared" si="160"/>
        <v/>
      </c>
      <c r="C2089" s="65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66"/>
      <c r="F2089" s="67"/>
      <c r="G2089" s="60"/>
      <c r="H2089" s="60"/>
      <c r="I2089" s="61"/>
      <c r="J2089" s="61"/>
      <c r="K2089" s="61"/>
      <c r="L2089" s="73" t="str">
        <f t="shared" si="161"/>
        <v/>
      </c>
      <c r="M2089" s="65" t="str">
        <f t="shared" ca="1" si="162"/>
        <v/>
      </c>
      <c r="N2089" s="74" t="str">
        <f>IF($C2089="","",IF($C2089="TANIMSIZ MÜŞTERİ","—",INDEX(MUSTERILER!$C$7:$C$156,MATCH($C2089,MUSTERILER!$B$7:$B$156,0))))</f>
        <v/>
      </c>
      <c r="O2089" s="2"/>
      <c r="P2089" s="2"/>
      <c r="Q2089" s="1" t="str">
        <f>IF($D2089="","",$C2089&amp;"|"&amp;COUNTIFS($C$7:$C2089,$C2089))</f>
        <v/>
      </c>
      <c r="R2089" s="1" t="str">
        <f t="shared" si="163"/>
        <v/>
      </c>
      <c r="S2089" s="1" t="str">
        <f t="shared" si="164"/>
        <v/>
      </c>
      <c r="T2089" s="1">
        <f>IF($E2089="",0,SUMPRODUCT((AY_SONU!$O$7:$O$42="Evet")*(AY_SONU!$B$7:$B$42=DATE(YEAR($E2089),MONTH($E2089),1))))</f>
        <v>0</v>
      </c>
    </row>
    <row r="2090" spans="1:20" ht="18" customHeight="1" x14ac:dyDescent="0.3">
      <c r="A2090" s="2"/>
      <c r="B2090" s="65" t="str">
        <f t="shared" si="160"/>
        <v/>
      </c>
      <c r="C2090" s="65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66"/>
      <c r="F2090" s="67"/>
      <c r="G2090" s="60"/>
      <c r="H2090" s="60"/>
      <c r="I2090" s="61"/>
      <c r="J2090" s="61"/>
      <c r="K2090" s="61"/>
      <c r="L2090" s="73" t="str">
        <f t="shared" si="161"/>
        <v/>
      </c>
      <c r="M2090" s="65" t="str">
        <f t="shared" ca="1" si="162"/>
        <v/>
      </c>
      <c r="N2090" s="74" t="str">
        <f>IF($C2090="","",IF($C2090="TANIMSIZ MÜŞTERİ","—",INDEX(MUSTERILER!$C$7:$C$156,MATCH($C2090,MUSTERILER!$B$7:$B$156,0))))</f>
        <v/>
      </c>
      <c r="O2090" s="2"/>
      <c r="P2090" s="2"/>
      <c r="Q2090" s="1" t="str">
        <f>IF($D2090="","",$C2090&amp;"|"&amp;COUNTIFS($C$7:$C2090,$C2090))</f>
        <v/>
      </c>
      <c r="R2090" s="1" t="str">
        <f t="shared" si="163"/>
        <v/>
      </c>
      <c r="S2090" s="1" t="str">
        <f t="shared" si="164"/>
        <v/>
      </c>
      <c r="T2090" s="1">
        <f>IF($E2090="",0,SUMPRODUCT((AY_SONU!$O$7:$O$42="Evet")*(AY_SONU!$B$7:$B$42=DATE(YEAR($E2090),MONTH($E2090),1))))</f>
        <v>0</v>
      </c>
    </row>
    <row r="2091" spans="1:20" ht="18" customHeight="1" x14ac:dyDescent="0.3">
      <c r="A2091" s="2"/>
      <c r="B2091" s="65" t="str">
        <f t="shared" si="160"/>
        <v/>
      </c>
      <c r="C2091" s="65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66"/>
      <c r="F2091" s="67"/>
      <c r="G2091" s="60"/>
      <c r="H2091" s="60"/>
      <c r="I2091" s="61"/>
      <c r="J2091" s="61"/>
      <c r="K2091" s="61"/>
      <c r="L2091" s="73" t="str">
        <f t="shared" si="161"/>
        <v/>
      </c>
      <c r="M2091" s="65" t="str">
        <f t="shared" ca="1" si="162"/>
        <v/>
      </c>
      <c r="N2091" s="74" t="str">
        <f>IF($C2091="","",IF($C2091="TANIMSIZ MÜŞTERİ","—",INDEX(MUSTERILER!$C$7:$C$156,MATCH($C2091,MUSTERILER!$B$7:$B$156,0))))</f>
        <v/>
      </c>
      <c r="O2091" s="2"/>
      <c r="P2091" s="2"/>
      <c r="Q2091" s="1" t="str">
        <f>IF($D2091="","",$C2091&amp;"|"&amp;COUNTIFS($C$7:$C2091,$C2091))</f>
        <v/>
      </c>
      <c r="R2091" s="1" t="str">
        <f t="shared" si="163"/>
        <v/>
      </c>
      <c r="S2091" s="1" t="str">
        <f t="shared" si="164"/>
        <v/>
      </c>
      <c r="T2091" s="1">
        <f>IF($E2091="",0,SUMPRODUCT((AY_SONU!$O$7:$O$42="Evet")*(AY_SONU!$B$7:$B$42=DATE(YEAR($E2091),MONTH($E2091),1))))</f>
        <v>0</v>
      </c>
    </row>
    <row r="2092" spans="1:20" ht="18" customHeight="1" x14ac:dyDescent="0.3">
      <c r="A2092" s="2"/>
      <c r="B2092" s="65" t="str">
        <f t="shared" si="160"/>
        <v/>
      </c>
      <c r="C2092" s="65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66"/>
      <c r="F2092" s="67"/>
      <c r="G2092" s="60"/>
      <c r="H2092" s="60"/>
      <c r="I2092" s="61"/>
      <c r="J2092" s="61"/>
      <c r="K2092" s="61"/>
      <c r="L2092" s="73" t="str">
        <f t="shared" si="161"/>
        <v/>
      </c>
      <c r="M2092" s="65" t="str">
        <f t="shared" ca="1" si="162"/>
        <v/>
      </c>
      <c r="N2092" s="74" t="str">
        <f>IF($C2092="","",IF($C2092="TANIMSIZ MÜŞTERİ","—",INDEX(MUSTERILER!$C$7:$C$156,MATCH($C2092,MUSTERILER!$B$7:$B$156,0))))</f>
        <v/>
      </c>
      <c r="O2092" s="2"/>
      <c r="P2092" s="2"/>
      <c r="Q2092" s="1" t="str">
        <f>IF($D2092="","",$C2092&amp;"|"&amp;COUNTIFS($C$7:$C2092,$C2092))</f>
        <v/>
      </c>
      <c r="R2092" s="1" t="str">
        <f t="shared" si="163"/>
        <v/>
      </c>
      <c r="S2092" s="1" t="str">
        <f t="shared" si="164"/>
        <v/>
      </c>
      <c r="T2092" s="1">
        <f>IF($E2092="",0,SUMPRODUCT((AY_SONU!$O$7:$O$42="Evet")*(AY_SONU!$B$7:$B$42=DATE(YEAR($E2092),MONTH($E2092),1))))</f>
        <v>0</v>
      </c>
    </row>
    <row r="2093" spans="1:20" ht="18" customHeight="1" x14ac:dyDescent="0.3">
      <c r="A2093" s="2"/>
      <c r="B2093" s="65" t="str">
        <f t="shared" si="160"/>
        <v/>
      </c>
      <c r="C2093" s="65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66"/>
      <c r="F2093" s="67"/>
      <c r="G2093" s="60"/>
      <c r="H2093" s="60"/>
      <c r="I2093" s="61"/>
      <c r="J2093" s="61"/>
      <c r="K2093" s="61"/>
      <c r="L2093" s="73" t="str">
        <f t="shared" si="161"/>
        <v/>
      </c>
      <c r="M2093" s="65" t="str">
        <f t="shared" ca="1" si="162"/>
        <v/>
      </c>
      <c r="N2093" s="74" t="str">
        <f>IF($C2093="","",IF($C2093="TANIMSIZ MÜŞTERİ","—",INDEX(MUSTERILER!$C$7:$C$156,MATCH($C2093,MUSTERILER!$B$7:$B$156,0))))</f>
        <v/>
      </c>
      <c r="O2093" s="2"/>
      <c r="P2093" s="2"/>
      <c r="Q2093" s="1" t="str">
        <f>IF($D2093="","",$C2093&amp;"|"&amp;COUNTIFS($C$7:$C2093,$C2093))</f>
        <v/>
      </c>
      <c r="R2093" s="1" t="str">
        <f t="shared" si="163"/>
        <v/>
      </c>
      <c r="S2093" s="1" t="str">
        <f t="shared" si="164"/>
        <v/>
      </c>
      <c r="T2093" s="1">
        <f>IF($E2093="",0,SUMPRODUCT((AY_SONU!$O$7:$O$42="Evet")*(AY_SONU!$B$7:$B$42=DATE(YEAR($E2093),MONTH($E2093),1))))</f>
        <v>0</v>
      </c>
    </row>
    <row r="2094" spans="1:20" ht="18" customHeight="1" x14ac:dyDescent="0.3">
      <c r="A2094" s="2"/>
      <c r="B2094" s="65" t="str">
        <f t="shared" si="160"/>
        <v/>
      </c>
      <c r="C2094" s="65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66"/>
      <c r="F2094" s="67"/>
      <c r="G2094" s="60"/>
      <c r="H2094" s="60"/>
      <c r="I2094" s="61"/>
      <c r="J2094" s="61"/>
      <c r="K2094" s="61"/>
      <c r="L2094" s="73" t="str">
        <f t="shared" si="161"/>
        <v/>
      </c>
      <c r="M2094" s="65" t="str">
        <f t="shared" ca="1" si="162"/>
        <v/>
      </c>
      <c r="N2094" s="74" t="str">
        <f>IF($C2094="","",IF($C2094="TANIMSIZ MÜŞTERİ","—",INDEX(MUSTERILER!$C$7:$C$156,MATCH($C2094,MUSTERILER!$B$7:$B$156,0))))</f>
        <v/>
      </c>
      <c r="O2094" s="2"/>
      <c r="P2094" s="2"/>
      <c r="Q2094" s="1" t="str">
        <f>IF($D2094="","",$C2094&amp;"|"&amp;COUNTIFS($C$7:$C2094,$C2094))</f>
        <v/>
      </c>
      <c r="R2094" s="1" t="str">
        <f t="shared" si="163"/>
        <v/>
      </c>
      <c r="S2094" s="1" t="str">
        <f t="shared" si="164"/>
        <v/>
      </c>
      <c r="T2094" s="1">
        <f>IF($E2094="",0,SUMPRODUCT((AY_SONU!$O$7:$O$42="Evet")*(AY_SONU!$B$7:$B$42=DATE(YEAR($E2094),MONTH($E2094),1))))</f>
        <v>0</v>
      </c>
    </row>
    <row r="2095" spans="1:20" ht="18" customHeight="1" x14ac:dyDescent="0.3">
      <c r="A2095" s="2"/>
      <c r="B2095" s="65" t="str">
        <f t="shared" si="160"/>
        <v/>
      </c>
      <c r="C2095" s="65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66"/>
      <c r="F2095" s="67"/>
      <c r="G2095" s="60"/>
      <c r="H2095" s="60"/>
      <c r="I2095" s="61"/>
      <c r="J2095" s="61"/>
      <c r="K2095" s="61"/>
      <c r="L2095" s="73" t="str">
        <f t="shared" si="161"/>
        <v/>
      </c>
      <c r="M2095" s="65" t="str">
        <f t="shared" ca="1" si="162"/>
        <v/>
      </c>
      <c r="N2095" s="74" t="str">
        <f>IF($C2095="","",IF($C2095="TANIMSIZ MÜŞTERİ","—",INDEX(MUSTERILER!$C$7:$C$156,MATCH($C2095,MUSTERILER!$B$7:$B$156,0))))</f>
        <v/>
      </c>
      <c r="O2095" s="2"/>
      <c r="P2095" s="2"/>
      <c r="Q2095" s="1" t="str">
        <f>IF($D2095="","",$C2095&amp;"|"&amp;COUNTIFS($C$7:$C2095,$C2095))</f>
        <v/>
      </c>
      <c r="R2095" s="1" t="str">
        <f t="shared" si="163"/>
        <v/>
      </c>
      <c r="S2095" s="1" t="str">
        <f t="shared" si="164"/>
        <v/>
      </c>
      <c r="T2095" s="1">
        <f>IF($E2095="",0,SUMPRODUCT((AY_SONU!$O$7:$O$42="Evet")*(AY_SONU!$B$7:$B$42=DATE(YEAR($E2095),MONTH($E2095),1))))</f>
        <v>0</v>
      </c>
    </row>
    <row r="2096" spans="1:20" ht="18" customHeight="1" x14ac:dyDescent="0.3">
      <c r="A2096" s="2"/>
      <c r="B2096" s="65" t="str">
        <f t="shared" si="160"/>
        <v/>
      </c>
      <c r="C2096" s="65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66"/>
      <c r="F2096" s="67"/>
      <c r="G2096" s="60"/>
      <c r="H2096" s="60"/>
      <c r="I2096" s="61"/>
      <c r="J2096" s="61"/>
      <c r="K2096" s="61"/>
      <c r="L2096" s="73" t="str">
        <f t="shared" si="161"/>
        <v/>
      </c>
      <c r="M2096" s="65" t="str">
        <f t="shared" ca="1" si="162"/>
        <v/>
      </c>
      <c r="N2096" s="74" t="str">
        <f>IF($C2096="","",IF($C2096="TANIMSIZ MÜŞTERİ","—",INDEX(MUSTERILER!$C$7:$C$156,MATCH($C2096,MUSTERILER!$B$7:$B$156,0))))</f>
        <v/>
      </c>
      <c r="O2096" s="2"/>
      <c r="P2096" s="2"/>
      <c r="Q2096" s="1" t="str">
        <f>IF($D2096="","",$C2096&amp;"|"&amp;COUNTIFS($C$7:$C2096,$C2096))</f>
        <v/>
      </c>
      <c r="R2096" s="1" t="str">
        <f t="shared" si="163"/>
        <v/>
      </c>
      <c r="S2096" s="1" t="str">
        <f t="shared" si="164"/>
        <v/>
      </c>
      <c r="T2096" s="1">
        <f>IF($E2096="",0,SUMPRODUCT((AY_SONU!$O$7:$O$42="Evet")*(AY_SONU!$B$7:$B$42=DATE(YEAR($E2096),MONTH($E2096),1))))</f>
        <v>0</v>
      </c>
    </row>
    <row r="2097" spans="1:20" ht="18" customHeight="1" x14ac:dyDescent="0.3">
      <c r="A2097" s="2"/>
      <c r="B2097" s="65" t="str">
        <f t="shared" si="160"/>
        <v/>
      </c>
      <c r="C2097" s="65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66"/>
      <c r="F2097" s="67"/>
      <c r="G2097" s="60"/>
      <c r="H2097" s="60"/>
      <c r="I2097" s="61"/>
      <c r="J2097" s="61"/>
      <c r="K2097" s="61"/>
      <c r="L2097" s="73" t="str">
        <f t="shared" si="161"/>
        <v/>
      </c>
      <c r="M2097" s="65" t="str">
        <f t="shared" ca="1" si="162"/>
        <v/>
      </c>
      <c r="N2097" s="74" t="str">
        <f>IF($C2097="","",IF($C2097="TANIMSIZ MÜŞTERİ","—",INDEX(MUSTERILER!$C$7:$C$156,MATCH($C2097,MUSTERILER!$B$7:$B$156,0))))</f>
        <v/>
      </c>
      <c r="O2097" s="2"/>
      <c r="P2097" s="2"/>
      <c r="Q2097" s="1" t="str">
        <f>IF($D2097="","",$C2097&amp;"|"&amp;COUNTIFS($C$7:$C2097,$C2097))</f>
        <v/>
      </c>
      <c r="R2097" s="1" t="str">
        <f t="shared" si="163"/>
        <v/>
      </c>
      <c r="S2097" s="1" t="str">
        <f t="shared" si="164"/>
        <v/>
      </c>
      <c r="T2097" s="1">
        <f>IF($E2097="",0,SUMPRODUCT((AY_SONU!$O$7:$O$42="Evet")*(AY_SONU!$B$7:$B$42=DATE(YEAR($E2097),MONTH($E2097),1))))</f>
        <v>0</v>
      </c>
    </row>
    <row r="2098" spans="1:20" ht="18" customHeight="1" x14ac:dyDescent="0.3">
      <c r="A2098" s="2"/>
      <c r="B2098" s="65" t="str">
        <f t="shared" si="160"/>
        <v/>
      </c>
      <c r="C2098" s="65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66"/>
      <c r="F2098" s="67"/>
      <c r="G2098" s="60"/>
      <c r="H2098" s="60"/>
      <c r="I2098" s="61"/>
      <c r="J2098" s="61"/>
      <c r="K2098" s="61"/>
      <c r="L2098" s="73" t="str">
        <f t="shared" si="161"/>
        <v/>
      </c>
      <c r="M2098" s="65" t="str">
        <f t="shared" ca="1" si="162"/>
        <v/>
      </c>
      <c r="N2098" s="74" t="str">
        <f>IF($C2098="","",IF($C2098="TANIMSIZ MÜŞTERİ","—",INDEX(MUSTERILER!$C$7:$C$156,MATCH($C2098,MUSTERILER!$B$7:$B$156,0))))</f>
        <v/>
      </c>
      <c r="O2098" s="2"/>
      <c r="P2098" s="2"/>
      <c r="Q2098" s="1" t="str">
        <f>IF($D2098="","",$C2098&amp;"|"&amp;COUNTIFS($C$7:$C2098,$C2098))</f>
        <v/>
      </c>
      <c r="R2098" s="1" t="str">
        <f t="shared" si="163"/>
        <v/>
      </c>
      <c r="S2098" s="1" t="str">
        <f t="shared" si="164"/>
        <v/>
      </c>
      <c r="T2098" s="1">
        <f>IF($E2098="",0,SUMPRODUCT((AY_SONU!$O$7:$O$42="Evet")*(AY_SONU!$B$7:$B$42=DATE(YEAR($E2098),MONTH($E2098),1))))</f>
        <v>0</v>
      </c>
    </row>
    <row r="2099" spans="1:20" ht="18" customHeight="1" x14ac:dyDescent="0.3">
      <c r="A2099" s="2"/>
      <c r="B2099" s="65" t="str">
        <f t="shared" si="160"/>
        <v/>
      </c>
      <c r="C2099" s="65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66"/>
      <c r="F2099" s="67"/>
      <c r="G2099" s="60"/>
      <c r="H2099" s="60"/>
      <c r="I2099" s="61"/>
      <c r="J2099" s="61"/>
      <c r="K2099" s="61"/>
      <c r="L2099" s="73" t="str">
        <f t="shared" si="161"/>
        <v/>
      </c>
      <c r="M2099" s="65" t="str">
        <f t="shared" ca="1" si="162"/>
        <v/>
      </c>
      <c r="N2099" s="74" t="str">
        <f>IF($C2099="","",IF($C2099="TANIMSIZ MÜŞTERİ","—",INDEX(MUSTERILER!$C$7:$C$156,MATCH($C2099,MUSTERILER!$B$7:$B$156,0))))</f>
        <v/>
      </c>
      <c r="O2099" s="2"/>
      <c r="P2099" s="2"/>
      <c r="Q2099" s="1" t="str">
        <f>IF($D2099="","",$C2099&amp;"|"&amp;COUNTIFS($C$7:$C2099,$C2099))</f>
        <v/>
      </c>
      <c r="R2099" s="1" t="str">
        <f t="shared" si="163"/>
        <v/>
      </c>
      <c r="S2099" s="1" t="str">
        <f t="shared" si="164"/>
        <v/>
      </c>
      <c r="T2099" s="1">
        <f>IF($E2099="",0,SUMPRODUCT((AY_SONU!$O$7:$O$42="Evet")*(AY_SONU!$B$7:$B$42=DATE(YEAR($E2099),MONTH($E2099),1))))</f>
        <v>0</v>
      </c>
    </row>
    <row r="2100" spans="1:20" ht="18" customHeight="1" x14ac:dyDescent="0.3">
      <c r="A2100" s="2"/>
      <c r="B2100" s="65" t="str">
        <f t="shared" si="160"/>
        <v/>
      </c>
      <c r="C2100" s="65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66"/>
      <c r="F2100" s="67"/>
      <c r="G2100" s="60"/>
      <c r="H2100" s="60"/>
      <c r="I2100" s="61"/>
      <c r="J2100" s="61"/>
      <c r="K2100" s="61"/>
      <c r="L2100" s="73" t="str">
        <f t="shared" si="161"/>
        <v/>
      </c>
      <c r="M2100" s="65" t="str">
        <f t="shared" ca="1" si="162"/>
        <v/>
      </c>
      <c r="N2100" s="74" t="str">
        <f>IF($C2100="","",IF($C2100="TANIMSIZ MÜŞTERİ","—",INDEX(MUSTERILER!$C$7:$C$156,MATCH($C2100,MUSTERILER!$B$7:$B$156,0))))</f>
        <v/>
      </c>
      <c r="O2100" s="2"/>
      <c r="P2100" s="2"/>
      <c r="Q2100" s="1" t="str">
        <f>IF($D2100="","",$C2100&amp;"|"&amp;COUNTIFS($C$7:$C2100,$C2100))</f>
        <v/>
      </c>
      <c r="R2100" s="1" t="str">
        <f t="shared" si="163"/>
        <v/>
      </c>
      <c r="S2100" s="1" t="str">
        <f t="shared" si="164"/>
        <v/>
      </c>
      <c r="T2100" s="1">
        <f>IF($E2100="",0,SUMPRODUCT((AY_SONU!$O$7:$O$42="Evet")*(AY_SONU!$B$7:$B$42=DATE(YEAR($E2100),MONTH($E2100),1))))</f>
        <v>0</v>
      </c>
    </row>
    <row r="2101" spans="1:20" ht="18" customHeight="1" x14ac:dyDescent="0.3">
      <c r="A2101" s="2"/>
      <c r="B2101" s="65" t="str">
        <f t="shared" si="160"/>
        <v/>
      </c>
      <c r="C2101" s="65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66"/>
      <c r="F2101" s="67"/>
      <c r="G2101" s="60"/>
      <c r="H2101" s="60"/>
      <c r="I2101" s="61"/>
      <c r="J2101" s="61"/>
      <c r="K2101" s="61"/>
      <c r="L2101" s="73" t="str">
        <f t="shared" si="161"/>
        <v/>
      </c>
      <c r="M2101" s="65" t="str">
        <f t="shared" ca="1" si="162"/>
        <v/>
      </c>
      <c r="N2101" s="74" t="str">
        <f>IF($C2101="","",IF($C2101="TANIMSIZ MÜŞTERİ","—",INDEX(MUSTERILER!$C$7:$C$156,MATCH($C2101,MUSTERILER!$B$7:$B$156,0))))</f>
        <v/>
      </c>
      <c r="O2101" s="2"/>
      <c r="P2101" s="2"/>
      <c r="Q2101" s="1" t="str">
        <f>IF($D2101="","",$C2101&amp;"|"&amp;COUNTIFS($C$7:$C2101,$C2101))</f>
        <v/>
      </c>
      <c r="R2101" s="1" t="str">
        <f t="shared" si="163"/>
        <v/>
      </c>
      <c r="S2101" s="1" t="str">
        <f t="shared" si="164"/>
        <v/>
      </c>
      <c r="T2101" s="1">
        <f>IF($E2101="",0,SUMPRODUCT((AY_SONU!$O$7:$O$42="Evet")*(AY_SONU!$B$7:$B$42=DATE(YEAR($E2101),MONTH($E2101),1))))</f>
        <v>0</v>
      </c>
    </row>
    <row r="2102" spans="1:20" ht="18" customHeight="1" x14ac:dyDescent="0.3">
      <c r="A2102" s="2"/>
      <c r="B2102" s="65" t="str">
        <f t="shared" si="160"/>
        <v/>
      </c>
      <c r="C2102" s="65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66"/>
      <c r="F2102" s="67"/>
      <c r="G2102" s="60"/>
      <c r="H2102" s="60"/>
      <c r="I2102" s="61"/>
      <c r="J2102" s="61"/>
      <c r="K2102" s="61"/>
      <c r="L2102" s="73" t="str">
        <f t="shared" si="161"/>
        <v/>
      </c>
      <c r="M2102" s="65" t="str">
        <f t="shared" ca="1" si="162"/>
        <v/>
      </c>
      <c r="N2102" s="74" t="str">
        <f>IF($C2102="","",IF($C2102="TANIMSIZ MÜŞTERİ","—",INDEX(MUSTERILER!$C$7:$C$156,MATCH($C2102,MUSTERILER!$B$7:$B$156,0))))</f>
        <v/>
      </c>
      <c r="O2102" s="2"/>
      <c r="P2102" s="2"/>
      <c r="Q2102" s="1" t="str">
        <f>IF($D2102="","",$C2102&amp;"|"&amp;COUNTIFS($C$7:$C2102,$C2102))</f>
        <v/>
      </c>
      <c r="R2102" s="1" t="str">
        <f t="shared" si="163"/>
        <v/>
      </c>
      <c r="S2102" s="1" t="str">
        <f t="shared" si="164"/>
        <v/>
      </c>
      <c r="T2102" s="1">
        <f>IF($E2102="",0,SUMPRODUCT((AY_SONU!$O$7:$O$42="Evet")*(AY_SONU!$B$7:$B$42=DATE(YEAR($E2102),MONTH($E2102),1))))</f>
        <v>0</v>
      </c>
    </row>
    <row r="2103" spans="1:20" ht="18" customHeight="1" x14ac:dyDescent="0.3">
      <c r="A2103" s="2"/>
      <c r="B2103" s="65" t="str">
        <f t="shared" si="160"/>
        <v/>
      </c>
      <c r="C2103" s="65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66"/>
      <c r="F2103" s="67"/>
      <c r="G2103" s="60"/>
      <c r="H2103" s="60"/>
      <c r="I2103" s="61"/>
      <c r="J2103" s="61"/>
      <c r="K2103" s="61"/>
      <c r="L2103" s="73" t="str">
        <f t="shared" si="161"/>
        <v/>
      </c>
      <c r="M2103" s="65" t="str">
        <f t="shared" ca="1" si="162"/>
        <v/>
      </c>
      <c r="N2103" s="74" t="str">
        <f>IF($C2103="","",IF($C2103="TANIMSIZ MÜŞTERİ","—",INDEX(MUSTERILER!$C$7:$C$156,MATCH($C2103,MUSTERILER!$B$7:$B$156,0))))</f>
        <v/>
      </c>
      <c r="O2103" s="2"/>
      <c r="P2103" s="2"/>
      <c r="Q2103" s="1" t="str">
        <f>IF($D2103="","",$C2103&amp;"|"&amp;COUNTIFS($C$7:$C2103,$C2103))</f>
        <v/>
      </c>
      <c r="R2103" s="1" t="str">
        <f t="shared" si="163"/>
        <v/>
      </c>
      <c r="S2103" s="1" t="str">
        <f t="shared" si="164"/>
        <v/>
      </c>
      <c r="T2103" s="1">
        <f>IF($E2103="",0,SUMPRODUCT((AY_SONU!$O$7:$O$42="Evet")*(AY_SONU!$B$7:$B$42=DATE(YEAR($E2103),MONTH($E2103),1))))</f>
        <v>0</v>
      </c>
    </row>
    <row r="2104" spans="1:20" ht="18" customHeight="1" x14ac:dyDescent="0.3">
      <c r="A2104" s="2"/>
      <c r="B2104" s="65" t="str">
        <f t="shared" si="160"/>
        <v/>
      </c>
      <c r="C2104" s="65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66"/>
      <c r="F2104" s="67"/>
      <c r="G2104" s="60"/>
      <c r="H2104" s="60"/>
      <c r="I2104" s="61"/>
      <c r="J2104" s="61"/>
      <c r="K2104" s="61"/>
      <c r="L2104" s="73" t="str">
        <f t="shared" si="161"/>
        <v/>
      </c>
      <c r="M2104" s="65" t="str">
        <f t="shared" ca="1" si="162"/>
        <v/>
      </c>
      <c r="N2104" s="74" t="str">
        <f>IF($C2104="","",IF($C2104="TANIMSIZ MÜŞTERİ","—",INDEX(MUSTERILER!$C$7:$C$156,MATCH($C2104,MUSTERILER!$B$7:$B$156,0))))</f>
        <v/>
      </c>
      <c r="O2104" s="2"/>
      <c r="P2104" s="2"/>
      <c r="Q2104" s="1" t="str">
        <f>IF($D2104="","",$C2104&amp;"|"&amp;COUNTIFS($C$7:$C2104,$C2104))</f>
        <v/>
      </c>
      <c r="R2104" s="1" t="str">
        <f t="shared" si="163"/>
        <v/>
      </c>
      <c r="S2104" s="1" t="str">
        <f t="shared" si="164"/>
        <v/>
      </c>
      <c r="T2104" s="1">
        <f>IF($E2104="",0,SUMPRODUCT((AY_SONU!$O$7:$O$42="Evet")*(AY_SONU!$B$7:$B$42=DATE(YEAR($E2104),MONTH($E2104),1))))</f>
        <v>0</v>
      </c>
    </row>
    <row r="2105" spans="1:20" ht="18" customHeight="1" x14ac:dyDescent="0.3">
      <c r="A2105" s="2"/>
      <c r="B2105" s="65" t="str">
        <f t="shared" si="160"/>
        <v/>
      </c>
      <c r="C2105" s="65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66"/>
      <c r="F2105" s="67"/>
      <c r="G2105" s="60"/>
      <c r="H2105" s="60"/>
      <c r="I2105" s="61"/>
      <c r="J2105" s="61"/>
      <c r="K2105" s="61"/>
      <c r="L2105" s="73" t="str">
        <f t="shared" si="161"/>
        <v/>
      </c>
      <c r="M2105" s="65" t="str">
        <f t="shared" ca="1" si="162"/>
        <v/>
      </c>
      <c r="N2105" s="74" t="str">
        <f>IF($C2105="","",IF($C2105="TANIMSIZ MÜŞTERİ","—",INDEX(MUSTERILER!$C$7:$C$156,MATCH($C2105,MUSTERILER!$B$7:$B$156,0))))</f>
        <v/>
      </c>
      <c r="O2105" s="2"/>
      <c r="P2105" s="2"/>
      <c r="Q2105" s="1" t="str">
        <f>IF($D2105="","",$C2105&amp;"|"&amp;COUNTIFS($C$7:$C2105,$C2105))</f>
        <v/>
      </c>
      <c r="R2105" s="1" t="str">
        <f t="shared" si="163"/>
        <v/>
      </c>
      <c r="S2105" s="1" t="str">
        <f t="shared" si="164"/>
        <v/>
      </c>
      <c r="T2105" s="1">
        <f>IF($E2105="",0,SUMPRODUCT((AY_SONU!$O$7:$O$42="Evet")*(AY_SONU!$B$7:$B$42=DATE(YEAR($E2105),MONTH($E2105),1))))</f>
        <v>0</v>
      </c>
    </row>
    <row r="2106" spans="1:20" ht="18" customHeight="1" x14ac:dyDescent="0.3">
      <c r="A2106" s="2"/>
      <c r="B2106" s="65" t="str">
        <f t="shared" si="160"/>
        <v/>
      </c>
      <c r="C2106" s="65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66"/>
      <c r="F2106" s="67"/>
      <c r="G2106" s="60"/>
      <c r="H2106" s="60"/>
      <c r="I2106" s="61"/>
      <c r="J2106" s="61"/>
      <c r="K2106" s="61"/>
      <c r="L2106" s="73" t="str">
        <f t="shared" si="161"/>
        <v/>
      </c>
      <c r="M2106" s="65" t="str">
        <f t="shared" ca="1" si="162"/>
        <v/>
      </c>
      <c r="N2106" s="74" t="str">
        <f>IF($C2106="","",IF($C2106="TANIMSIZ MÜŞTERİ","—",INDEX(MUSTERILER!$C$7:$C$156,MATCH($C2106,MUSTERILER!$B$7:$B$156,0))))</f>
        <v/>
      </c>
      <c r="O2106" s="2"/>
      <c r="P2106" s="2"/>
      <c r="Q2106" s="1" t="str">
        <f>IF($D2106="","",$C2106&amp;"|"&amp;COUNTIFS($C$7:$C2106,$C2106))</f>
        <v/>
      </c>
      <c r="R2106" s="1" t="str">
        <f t="shared" si="163"/>
        <v/>
      </c>
      <c r="S2106" s="1" t="str">
        <f t="shared" si="164"/>
        <v/>
      </c>
      <c r="T2106" s="1">
        <f>IF($E2106="",0,SUMPRODUCT((AY_SONU!$O$7:$O$42="Evet")*(AY_SONU!$B$7:$B$42=DATE(YEAR($E2106),MONTH($E2106),1))))</f>
        <v>0</v>
      </c>
    </row>
    <row r="2107" spans="1:20" ht="18" customHeight="1" x14ac:dyDescent="0.3">
      <c r="A2107" s="2"/>
      <c r="B2107" s="65" t="str">
        <f t="shared" si="160"/>
        <v/>
      </c>
      <c r="C2107" s="65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66"/>
      <c r="F2107" s="67"/>
      <c r="G2107" s="60"/>
      <c r="H2107" s="60"/>
      <c r="I2107" s="61"/>
      <c r="J2107" s="61"/>
      <c r="K2107" s="61"/>
      <c r="L2107" s="73" t="str">
        <f t="shared" si="161"/>
        <v/>
      </c>
      <c r="M2107" s="65" t="str">
        <f t="shared" ca="1" si="162"/>
        <v/>
      </c>
      <c r="N2107" s="74" t="str">
        <f>IF($C2107="","",IF($C2107="TANIMSIZ MÜŞTERİ","—",INDEX(MUSTERILER!$C$7:$C$156,MATCH($C2107,MUSTERILER!$B$7:$B$156,0))))</f>
        <v/>
      </c>
      <c r="O2107" s="2"/>
      <c r="P2107" s="2"/>
      <c r="Q2107" s="1" t="str">
        <f>IF($D2107="","",$C2107&amp;"|"&amp;COUNTIFS($C$7:$C2107,$C2107))</f>
        <v/>
      </c>
      <c r="R2107" s="1" t="str">
        <f t="shared" si="163"/>
        <v/>
      </c>
      <c r="S2107" s="1" t="str">
        <f t="shared" si="164"/>
        <v/>
      </c>
      <c r="T2107" s="1">
        <f>IF($E2107="",0,SUMPRODUCT((AY_SONU!$O$7:$O$42="Evet")*(AY_SONU!$B$7:$B$42=DATE(YEAR($E2107),MONTH($E2107),1))))</f>
        <v>0</v>
      </c>
    </row>
    <row r="2108" spans="1:20" ht="18" customHeight="1" x14ac:dyDescent="0.3">
      <c r="A2108" s="2"/>
      <c r="B2108" s="65" t="str">
        <f t="shared" si="160"/>
        <v/>
      </c>
      <c r="C2108" s="65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66"/>
      <c r="F2108" s="67"/>
      <c r="G2108" s="60"/>
      <c r="H2108" s="60"/>
      <c r="I2108" s="61"/>
      <c r="J2108" s="61"/>
      <c r="K2108" s="61"/>
      <c r="L2108" s="73" t="str">
        <f t="shared" si="161"/>
        <v/>
      </c>
      <c r="M2108" s="65" t="str">
        <f t="shared" ca="1" si="162"/>
        <v/>
      </c>
      <c r="N2108" s="74" t="str">
        <f>IF($C2108="","",IF($C2108="TANIMSIZ MÜŞTERİ","—",INDEX(MUSTERILER!$C$7:$C$156,MATCH($C2108,MUSTERILER!$B$7:$B$156,0))))</f>
        <v/>
      </c>
      <c r="O2108" s="2"/>
      <c r="P2108" s="2"/>
      <c r="Q2108" s="1" t="str">
        <f>IF($D2108="","",$C2108&amp;"|"&amp;COUNTIFS($C$7:$C2108,$C2108))</f>
        <v/>
      </c>
      <c r="R2108" s="1" t="str">
        <f t="shared" si="163"/>
        <v/>
      </c>
      <c r="S2108" s="1" t="str">
        <f t="shared" si="164"/>
        <v/>
      </c>
      <c r="T2108" s="1">
        <f>IF($E2108="",0,SUMPRODUCT((AY_SONU!$O$7:$O$42="Evet")*(AY_SONU!$B$7:$B$42=DATE(YEAR($E2108),MONTH($E2108),1))))</f>
        <v>0</v>
      </c>
    </row>
    <row r="2109" spans="1:20" ht="18" customHeight="1" x14ac:dyDescent="0.3">
      <c r="A2109" s="2"/>
      <c r="B2109" s="65" t="str">
        <f t="shared" si="160"/>
        <v/>
      </c>
      <c r="C2109" s="65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66"/>
      <c r="F2109" s="67"/>
      <c r="G2109" s="60"/>
      <c r="H2109" s="60"/>
      <c r="I2109" s="61"/>
      <c r="J2109" s="61"/>
      <c r="K2109" s="61"/>
      <c r="L2109" s="73" t="str">
        <f t="shared" si="161"/>
        <v/>
      </c>
      <c r="M2109" s="65" t="str">
        <f t="shared" ca="1" si="162"/>
        <v/>
      </c>
      <c r="N2109" s="74" t="str">
        <f>IF($C2109="","",IF($C2109="TANIMSIZ MÜŞTERİ","—",INDEX(MUSTERILER!$C$7:$C$156,MATCH($C2109,MUSTERILER!$B$7:$B$156,0))))</f>
        <v/>
      </c>
      <c r="O2109" s="2"/>
      <c r="P2109" s="2"/>
      <c r="Q2109" s="1" t="str">
        <f>IF($D2109="","",$C2109&amp;"|"&amp;COUNTIFS($C$7:$C2109,$C2109))</f>
        <v/>
      </c>
      <c r="R2109" s="1" t="str">
        <f t="shared" si="163"/>
        <v/>
      </c>
      <c r="S2109" s="1" t="str">
        <f t="shared" si="164"/>
        <v/>
      </c>
      <c r="T2109" s="1">
        <f>IF($E2109="",0,SUMPRODUCT((AY_SONU!$O$7:$O$42="Evet")*(AY_SONU!$B$7:$B$42=DATE(YEAR($E2109),MONTH($E2109),1))))</f>
        <v>0</v>
      </c>
    </row>
    <row r="2110" spans="1:20" ht="18" customHeight="1" x14ac:dyDescent="0.3">
      <c r="A2110" s="2"/>
      <c r="B2110" s="65" t="str">
        <f t="shared" si="160"/>
        <v/>
      </c>
      <c r="C2110" s="65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66"/>
      <c r="F2110" s="67"/>
      <c r="G2110" s="60"/>
      <c r="H2110" s="60"/>
      <c r="I2110" s="61"/>
      <c r="J2110" s="61"/>
      <c r="K2110" s="61"/>
      <c r="L2110" s="73" t="str">
        <f t="shared" si="161"/>
        <v/>
      </c>
      <c r="M2110" s="65" t="str">
        <f t="shared" ca="1" si="162"/>
        <v/>
      </c>
      <c r="N2110" s="74" t="str">
        <f>IF($C2110="","",IF($C2110="TANIMSIZ MÜŞTERİ","—",INDEX(MUSTERILER!$C$7:$C$156,MATCH($C2110,MUSTERILER!$B$7:$B$156,0))))</f>
        <v/>
      </c>
      <c r="O2110" s="2"/>
      <c r="P2110" s="2"/>
      <c r="Q2110" s="1" t="str">
        <f>IF($D2110="","",$C2110&amp;"|"&amp;COUNTIFS($C$7:$C2110,$C2110))</f>
        <v/>
      </c>
      <c r="R2110" s="1" t="str">
        <f t="shared" si="163"/>
        <v/>
      </c>
      <c r="S2110" s="1" t="str">
        <f t="shared" si="164"/>
        <v/>
      </c>
      <c r="T2110" s="1">
        <f>IF($E2110="",0,SUMPRODUCT((AY_SONU!$O$7:$O$42="Evet")*(AY_SONU!$B$7:$B$42=DATE(YEAR($E2110),MONTH($E2110),1))))</f>
        <v>0</v>
      </c>
    </row>
    <row r="2111" spans="1:20" ht="18" customHeight="1" x14ac:dyDescent="0.3">
      <c r="A2111" s="2"/>
      <c r="B2111" s="65" t="str">
        <f t="shared" si="160"/>
        <v/>
      </c>
      <c r="C2111" s="65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66"/>
      <c r="F2111" s="67"/>
      <c r="G2111" s="60"/>
      <c r="H2111" s="60"/>
      <c r="I2111" s="61"/>
      <c r="J2111" s="61"/>
      <c r="K2111" s="61"/>
      <c r="L2111" s="73" t="str">
        <f t="shared" si="161"/>
        <v/>
      </c>
      <c r="M2111" s="65" t="str">
        <f t="shared" ca="1" si="162"/>
        <v/>
      </c>
      <c r="N2111" s="74" t="str">
        <f>IF($C2111="","",IF($C2111="TANIMSIZ MÜŞTERİ","—",INDEX(MUSTERILER!$C$7:$C$156,MATCH($C2111,MUSTERILER!$B$7:$B$156,0))))</f>
        <v/>
      </c>
      <c r="O2111" s="2"/>
      <c r="P2111" s="2"/>
      <c r="Q2111" s="1" t="str">
        <f>IF($D2111="","",$C2111&amp;"|"&amp;COUNTIFS($C$7:$C2111,$C2111))</f>
        <v/>
      </c>
      <c r="R2111" s="1" t="str">
        <f t="shared" si="163"/>
        <v/>
      </c>
      <c r="S2111" s="1" t="str">
        <f t="shared" si="164"/>
        <v/>
      </c>
      <c r="T2111" s="1">
        <f>IF($E2111="",0,SUMPRODUCT((AY_SONU!$O$7:$O$42="Evet")*(AY_SONU!$B$7:$B$42=DATE(YEAR($E2111),MONTH($E2111),1))))</f>
        <v>0</v>
      </c>
    </row>
    <row r="2112" spans="1:20" ht="18" customHeight="1" x14ac:dyDescent="0.3">
      <c r="A2112" s="2"/>
      <c r="B2112" s="65" t="str">
        <f t="shared" si="160"/>
        <v/>
      </c>
      <c r="C2112" s="65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66"/>
      <c r="F2112" s="67"/>
      <c r="G2112" s="60"/>
      <c r="H2112" s="60"/>
      <c r="I2112" s="61"/>
      <c r="J2112" s="61"/>
      <c r="K2112" s="61"/>
      <c r="L2112" s="73" t="str">
        <f t="shared" si="161"/>
        <v/>
      </c>
      <c r="M2112" s="65" t="str">
        <f t="shared" ca="1" si="162"/>
        <v/>
      </c>
      <c r="N2112" s="74" t="str">
        <f>IF($C2112="","",IF($C2112="TANIMSIZ MÜŞTERİ","—",INDEX(MUSTERILER!$C$7:$C$156,MATCH($C2112,MUSTERILER!$B$7:$B$156,0))))</f>
        <v/>
      </c>
      <c r="O2112" s="2"/>
      <c r="P2112" s="2"/>
      <c r="Q2112" s="1" t="str">
        <f>IF($D2112="","",$C2112&amp;"|"&amp;COUNTIFS($C$7:$C2112,$C2112))</f>
        <v/>
      </c>
      <c r="R2112" s="1" t="str">
        <f t="shared" si="163"/>
        <v/>
      </c>
      <c r="S2112" s="1" t="str">
        <f t="shared" si="164"/>
        <v/>
      </c>
      <c r="T2112" s="1">
        <f>IF($E2112="",0,SUMPRODUCT((AY_SONU!$O$7:$O$42="Evet")*(AY_SONU!$B$7:$B$42=DATE(YEAR($E2112),MONTH($E2112),1))))</f>
        <v>0</v>
      </c>
    </row>
    <row r="2113" spans="1:20" ht="18" customHeight="1" x14ac:dyDescent="0.3">
      <c r="A2113" s="2"/>
      <c r="B2113" s="65" t="str">
        <f t="shared" si="160"/>
        <v/>
      </c>
      <c r="C2113" s="65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66"/>
      <c r="F2113" s="67"/>
      <c r="G2113" s="60"/>
      <c r="H2113" s="60"/>
      <c r="I2113" s="61"/>
      <c r="J2113" s="61"/>
      <c r="K2113" s="61"/>
      <c r="L2113" s="73" t="str">
        <f t="shared" si="161"/>
        <v/>
      </c>
      <c r="M2113" s="65" t="str">
        <f t="shared" ca="1" si="162"/>
        <v/>
      </c>
      <c r="N2113" s="74" t="str">
        <f>IF($C2113="","",IF($C2113="TANIMSIZ MÜŞTERİ","—",INDEX(MUSTERILER!$C$7:$C$156,MATCH($C2113,MUSTERILER!$B$7:$B$156,0))))</f>
        <v/>
      </c>
      <c r="O2113" s="2"/>
      <c r="P2113" s="2"/>
      <c r="Q2113" s="1" t="str">
        <f>IF($D2113="","",$C2113&amp;"|"&amp;COUNTIFS($C$7:$C2113,$C2113))</f>
        <v/>
      </c>
      <c r="R2113" s="1" t="str">
        <f t="shared" si="163"/>
        <v/>
      </c>
      <c r="S2113" s="1" t="str">
        <f t="shared" si="164"/>
        <v/>
      </c>
      <c r="T2113" s="1">
        <f>IF($E2113="",0,SUMPRODUCT((AY_SONU!$O$7:$O$42="Evet")*(AY_SONU!$B$7:$B$42=DATE(YEAR($E2113),MONTH($E2113),1))))</f>
        <v>0</v>
      </c>
    </row>
    <row r="2114" spans="1:20" ht="18" customHeight="1" x14ac:dyDescent="0.3">
      <c r="A2114" s="2"/>
      <c r="B2114" s="65" t="str">
        <f t="shared" si="160"/>
        <v/>
      </c>
      <c r="C2114" s="65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66"/>
      <c r="F2114" s="67"/>
      <c r="G2114" s="60"/>
      <c r="H2114" s="60"/>
      <c r="I2114" s="61"/>
      <c r="J2114" s="61"/>
      <c r="K2114" s="61"/>
      <c r="L2114" s="73" t="str">
        <f t="shared" si="161"/>
        <v/>
      </c>
      <c r="M2114" s="65" t="str">
        <f t="shared" ca="1" si="162"/>
        <v/>
      </c>
      <c r="N2114" s="74" t="str">
        <f>IF($C2114="","",IF($C2114="TANIMSIZ MÜŞTERİ","—",INDEX(MUSTERILER!$C$7:$C$156,MATCH($C2114,MUSTERILER!$B$7:$B$156,0))))</f>
        <v/>
      </c>
      <c r="O2114" s="2"/>
      <c r="P2114" s="2"/>
      <c r="Q2114" s="1" t="str">
        <f>IF($D2114="","",$C2114&amp;"|"&amp;COUNTIFS($C$7:$C2114,$C2114))</f>
        <v/>
      </c>
      <c r="R2114" s="1" t="str">
        <f t="shared" si="163"/>
        <v/>
      </c>
      <c r="S2114" s="1" t="str">
        <f t="shared" si="164"/>
        <v/>
      </c>
      <c r="T2114" s="1">
        <f>IF($E2114="",0,SUMPRODUCT((AY_SONU!$O$7:$O$42="Evet")*(AY_SONU!$B$7:$B$42=DATE(YEAR($E2114),MONTH($E2114),1))))</f>
        <v>0</v>
      </c>
    </row>
    <row r="2115" spans="1:20" ht="18" customHeight="1" x14ac:dyDescent="0.3">
      <c r="A2115" s="2"/>
      <c r="B2115" s="65" t="str">
        <f t="shared" si="160"/>
        <v/>
      </c>
      <c r="C2115" s="65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66"/>
      <c r="F2115" s="67"/>
      <c r="G2115" s="60"/>
      <c r="H2115" s="60"/>
      <c r="I2115" s="61"/>
      <c r="J2115" s="61"/>
      <c r="K2115" s="61"/>
      <c r="L2115" s="73" t="str">
        <f t="shared" si="161"/>
        <v/>
      </c>
      <c r="M2115" s="65" t="str">
        <f t="shared" ca="1" si="162"/>
        <v/>
      </c>
      <c r="N2115" s="74" t="str">
        <f>IF($C2115="","",IF($C2115="TANIMSIZ MÜŞTERİ","—",INDEX(MUSTERILER!$C$7:$C$156,MATCH($C2115,MUSTERILER!$B$7:$B$156,0))))</f>
        <v/>
      </c>
      <c r="O2115" s="2"/>
      <c r="P2115" s="2"/>
      <c r="Q2115" s="1" t="str">
        <f>IF($D2115="","",$C2115&amp;"|"&amp;COUNTIFS($C$7:$C2115,$C2115))</f>
        <v/>
      </c>
      <c r="R2115" s="1" t="str">
        <f t="shared" si="163"/>
        <v/>
      </c>
      <c r="S2115" s="1" t="str">
        <f t="shared" si="164"/>
        <v/>
      </c>
      <c r="T2115" s="1">
        <f>IF($E2115="",0,SUMPRODUCT((AY_SONU!$O$7:$O$42="Evet")*(AY_SONU!$B$7:$B$42=DATE(YEAR($E2115),MONTH($E2115),1))))</f>
        <v>0</v>
      </c>
    </row>
    <row r="2116" spans="1:20" ht="18" customHeight="1" x14ac:dyDescent="0.3">
      <c r="A2116" s="2"/>
      <c r="B2116" s="65" t="str">
        <f t="shared" si="160"/>
        <v/>
      </c>
      <c r="C2116" s="65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66"/>
      <c r="F2116" s="67"/>
      <c r="G2116" s="60"/>
      <c r="H2116" s="60"/>
      <c r="I2116" s="61"/>
      <c r="J2116" s="61"/>
      <c r="K2116" s="61"/>
      <c r="L2116" s="73" t="str">
        <f t="shared" si="161"/>
        <v/>
      </c>
      <c r="M2116" s="65" t="str">
        <f t="shared" ca="1" si="162"/>
        <v/>
      </c>
      <c r="N2116" s="74" t="str">
        <f>IF($C2116="","",IF($C2116="TANIMSIZ MÜŞTERİ","—",INDEX(MUSTERILER!$C$7:$C$156,MATCH($C2116,MUSTERILER!$B$7:$B$156,0))))</f>
        <v/>
      </c>
      <c r="O2116" s="2"/>
      <c r="P2116" s="2"/>
      <c r="Q2116" s="1" t="str">
        <f>IF($D2116="","",$C2116&amp;"|"&amp;COUNTIFS($C$7:$C2116,$C2116))</f>
        <v/>
      </c>
      <c r="R2116" s="1" t="str">
        <f t="shared" si="163"/>
        <v/>
      </c>
      <c r="S2116" s="1" t="str">
        <f t="shared" si="164"/>
        <v/>
      </c>
      <c r="T2116" s="1">
        <f>IF($E2116="",0,SUMPRODUCT((AY_SONU!$O$7:$O$42="Evet")*(AY_SONU!$B$7:$B$42=DATE(YEAR($E2116),MONTH($E2116),1))))</f>
        <v>0</v>
      </c>
    </row>
    <row r="2117" spans="1:20" ht="18" customHeight="1" x14ac:dyDescent="0.3">
      <c r="A2117" s="2"/>
      <c r="B2117" s="65" t="str">
        <f t="shared" si="160"/>
        <v/>
      </c>
      <c r="C2117" s="65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66"/>
      <c r="F2117" s="67"/>
      <c r="G2117" s="60"/>
      <c r="H2117" s="60"/>
      <c r="I2117" s="61"/>
      <c r="J2117" s="61"/>
      <c r="K2117" s="61"/>
      <c r="L2117" s="73" t="str">
        <f t="shared" si="161"/>
        <v/>
      </c>
      <c r="M2117" s="65" t="str">
        <f t="shared" ca="1" si="162"/>
        <v/>
      </c>
      <c r="N2117" s="74" t="str">
        <f>IF($C2117="","",IF($C2117="TANIMSIZ MÜŞTERİ","—",INDEX(MUSTERILER!$C$7:$C$156,MATCH($C2117,MUSTERILER!$B$7:$B$156,0))))</f>
        <v/>
      </c>
      <c r="O2117" s="2"/>
      <c r="P2117" s="2"/>
      <c r="Q2117" s="1" t="str">
        <f>IF($D2117="","",$C2117&amp;"|"&amp;COUNTIFS($C$7:$C2117,$C2117))</f>
        <v/>
      </c>
      <c r="R2117" s="1" t="str">
        <f t="shared" si="163"/>
        <v/>
      </c>
      <c r="S2117" s="1" t="str">
        <f t="shared" si="164"/>
        <v/>
      </c>
      <c r="T2117" s="1">
        <f>IF($E2117="",0,SUMPRODUCT((AY_SONU!$O$7:$O$42="Evet")*(AY_SONU!$B$7:$B$42=DATE(YEAR($E2117),MONTH($E2117),1))))</f>
        <v>0</v>
      </c>
    </row>
    <row r="2118" spans="1:20" ht="18" customHeight="1" x14ac:dyDescent="0.3">
      <c r="A2118" s="2"/>
      <c r="B2118" s="65" t="str">
        <f t="shared" si="160"/>
        <v/>
      </c>
      <c r="C2118" s="65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66"/>
      <c r="F2118" s="67"/>
      <c r="G2118" s="60"/>
      <c r="H2118" s="60"/>
      <c r="I2118" s="61"/>
      <c r="J2118" s="61"/>
      <c r="K2118" s="61"/>
      <c r="L2118" s="73" t="str">
        <f t="shared" si="161"/>
        <v/>
      </c>
      <c r="M2118" s="65" t="str">
        <f t="shared" ca="1" si="162"/>
        <v/>
      </c>
      <c r="N2118" s="74" t="str">
        <f>IF($C2118="","",IF($C2118="TANIMSIZ MÜŞTERİ","—",INDEX(MUSTERILER!$C$7:$C$156,MATCH($C2118,MUSTERILER!$B$7:$B$156,0))))</f>
        <v/>
      </c>
      <c r="O2118" s="2"/>
      <c r="P2118" s="2"/>
      <c r="Q2118" s="1" t="str">
        <f>IF($D2118="","",$C2118&amp;"|"&amp;COUNTIFS($C$7:$C2118,$C2118))</f>
        <v/>
      </c>
      <c r="R2118" s="1" t="str">
        <f t="shared" si="163"/>
        <v/>
      </c>
      <c r="S2118" s="1" t="str">
        <f t="shared" si="164"/>
        <v/>
      </c>
      <c r="T2118" s="1">
        <f>IF($E2118="",0,SUMPRODUCT((AY_SONU!$O$7:$O$42="Evet")*(AY_SONU!$B$7:$B$42=DATE(YEAR($E2118),MONTH($E2118),1))))</f>
        <v>0</v>
      </c>
    </row>
    <row r="2119" spans="1:20" ht="18" customHeight="1" x14ac:dyDescent="0.3">
      <c r="A2119" s="2"/>
      <c r="B2119" s="65" t="str">
        <f t="shared" ref="B2119:B2182" si="165">IF($D2119="","","T"&amp;TEXT(ROW()-6,"00000"))</f>
        <v/>
      </c>
      <c r="C2119" s="65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66"/>
      <c r="F2119" s="67"/>
      <c r="G2119" s="60"/>
      <c r="H2119" s="60"/>
      <c r="I2119" s="61"/>
      <c r="J2119" s="61"/>
      <c r="K2119" s="61"/>
      <c r="L2119" s="73" t="str">
        <f t="shared" ref="L2119:L2182" si="166">IF($E2119="","",DATE(YEAR($E2119),MONTH($E2119),1))</f>
        <v/>
      </c>
      <c r="M2119" s="65" t="str">
        <f t="shared" ref="M2119:M2182" ca="1" si="167">IF($D2119="","",IF($C2119="TANIMSIZ MÜŞTERİ","HATA",IF(OR($E2119="",$F2119&lt;=0,$G2119=""),"EKSİK",IF($E2119&gt;TODAY(),"İLERİ TARİH",IF(COUNTIF($S$7:$S$2506,$S2119)&gt;1,"MÜKERRER?",IF($T2119&gt;0,"KAPALI DÖNEM","UYGUN"))))))</f>
        <v/>
      </c>
      <c r="N2119" s="74" t="str">
        <f>IF($C2119="","",IF($C2119="TANIMSIZ MÜŞTERİ","—",INDEX(MUSTERILER!$C$7:$C$156,MATCH($C2119,MUSTERILER!$B$7:$B$156,0))))</f>
        <v/>
      </c>
      <c r="O2119" s="2"/>
      <c r="P2119" s="2"/>
      <c r="Q2119" s="1" t="str">
        <f>IF($D2119="","",$C2119&amp;"|"&amp;COUNTIFS($C$7:$C2119,$C2119))</f>
        <v/>
      </c>
      <c r="R2119" s="1" t="str">
        <f t="shared" ref="R2119:R2182" si="168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 t="str">
        <f t="shared" ref="S2119:S2182" si="169"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>0</v>
      </c>
    </row>
    <row r="2120" spans="1:20" ht="18" customHeight="1" x14ac:dyDescent="0.3">
      <c r="A2120" s="2"/>
      <c r="B2120" s="65" t="str">
        <f t="shared" si="165"/>
        <v/>
      </c>
      <c r="C2120" s="65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66"/>
      <c r="F2120" s="67"/>
      <c r="G2120" s="60"/>
      <c r="H2120" s="60"/>
      <c r="I2120" s="61"/>
      <c r="J2120" s="61"/>
      <c r="K2120" s="61"/>
      <c r="L2120" s="73" t="str">
        <f t="shared" si="166"/>
        <v/>
      </c>
      <c r="M2120" s="65" t="str">
        <f t="shared" ca="1" si="167"/>
        <v/>
      </c>
      <c r="N2120" s="74" t="str">
        <f>IF($C2120="","",IF($C2120="TANIMSIZ MÜŞTERİ","—",INDEX(MUSTERILER!$C$7:$C$156,MATCH($C2120,MUSTERILER!$B$7:$B$156,0))))</f>
        <v/>
      </c>
      <c r="O2120" s="2"/>
      <c r="P2120" s="2"/>
      <c r="Q2120" s="1" t="str">
        <f>IF($D2120="","",$C2120&amp;"|"&amp;COUNTIFS($C$7:$C2120,$C2120))</f>
        <v/>
      </c>
      <c r="R2120" s="1" t="str">
        <f t="shared" si="168"/>
        <v/>
      </c>
      <c r="S2120" s="1" t="str">
        <f t="shared" si="169"/>
        <v/>
      </c>
      <c r="T2120" s="1">
        <f>IF($E2120="",0,SUMPRODUCT((AY_SONU!$O$7:$O$42="Evet")*(AY_SONU!$B$7:$B$42=DATE(YEAR($E2120),MONTH($E2120),1))))</f>
        <v>0</v>
      </c>
    </row>
    <row r="2121" spans="1:20" ht="18" customHeight="1" x14ac:dyDescent="0.3">
      <c r="A2121" s="2"/>
      <c r="B2121" s="65" t="str">
        <f t="shared" si="165"/>
        <v/>
      </c>
      <c r="C2121" s="65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66"/>
      <c r="F2121" s="67"/>
      <c r="G2121" s="60"/>
      <c r="H2121" s="60"/>
      <c r="I2121" s="61"/>
      <c r="J2121" s="61"/>
      <c r="K2121" s="61"/>
      <c r="L2121" s="73" t="str">
        <f t="shared" si="166"/>
        <v/>
      </c>
      <c r="M2121" s="65" t="str">
        <f t="shared" ca="1" si="167"/>
        <v/>
      </c>
      <c r="N2121" s="74" t="str">
        <f>IF($C2121="","",IF($C2121="TANIMSIZ MÜŞTERİ","—",INDEX(MUSTERILER!$C$7:$C$156,MATCH($C2121,MUSTERILER!$B$7:$B$156,0))))</f>
        <v/>
      </c>
      <c r="O2121" s="2"/>
      <c r="P2121" s="2"/>
      <c r="Q2121" s="1" t="str">
        <f>IF($D2121="","",$C2121&amp;"|"&amp;COUNTIFS($C$7:$C2121,$C2121))</f>
        <v/>
      </c>
      <c r="R2121" s="1" t="str">
        <f t="shared" si="168"/>
        <v/>
      </c>
      <c r="S2121" s="1" t="str">
        <f t="shared" si="169"/>
        <v/>
      </c>
      <c r="T2121" s="1">
        <f>IF($E2121="",0,SUMPRODUCT((AY_SONU!$O$7:$O$42="Evet")*(AY_SONU!$B$7:$B$42=DATE(YEAR($E2121),MONTH($E2121),1))))</f>
        <v>0</v>
      </c>
    </row>
    <row r="2122" spans="1:20" ht="18" customHeight="1" x14ac:dyDescent="0.3">
      <c r="A2122" s="2"/>
      <c r="B2122" s="65" t="str">
        <f t="shared" si="165"/>
        <v/>
      </c>
      <c r="C2122" s="65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66"/>
      <c r="F2122" s="67"/>
      <c r="G2122" s="60"/>
      <c r="H2122" s="60"/>
      <c r="I2122" s="61"/>
      <c r="J2122" s="61"/>
      <c r="K2122" s="61"/>
      <c r="L2122" s="73" t="str">
        <f t="shared" si="166"/>
        <v/>
      </c>
      <c r="M2122" s="65" t="str">
        <f t="shared" ca="1" si="167"/>
        <v/>
      </c>
      <c r="N2122" s="74" t="str">
        <f>IF($C2122="","",IF($C2122="TANIMSIZ MÜŞTERİ","—",INDEX(MUSTERILER!$C$7:$C$156,MATCH($C2122,MUSTERILER!$B$7:$B$156,0))))</f>
        <v/>
      </c>
      <c r="O2122" s="2"/>
      <c r="P2122" s="2"/>
      <c r="Q2122" s="1" t="str">
        <f>IF($D2122="","",$C2122&amp;"|"&amp;COUNTIFS($C$7:$C2122,$C2122))</f>
        <v/>
      </c>
      <c r="R2122" s="1" t="str">
        <f t="shared" si="168"/>
        <v/>
      </c>
      <c r="S2122" s="1" t="str">
        <f t="shared" si="169"/>
        <v/>
      </c>
      <c r="T2122" s="1">
        <f>IF($E2122="",0,SUMPRODUCT((AY_SONU!$O$7:$O$42="Evet")*(AY_SONU!$B$7:$B$42=DATE(YEAR($E2122),MONTH($E2122),1))))</f>
        <v>0</v>
      </c>
    </row>
    <row r="2123" spans="1:20" ht="18" customHeight="1" x14ac:dyDescent="0.3">
      <c r="A2123" s="2"/>
      <c r="B2123" s="65" t="str">
        <f t="shared" si="165"/>
        <v/>
      </c>
      <c r="C2123" s="65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66"/>
      <c r="F2123" s="67"/>
      <c r="G2123" s="60"/>
      <c r="H2123" s="60"/>
      <c r="I2123" s="61"/>
      <c r="J2123" s="61"/>
      <c r="K2123" s="61"/>
      <c r="L2123" s="73" t="str">
        <f t="shared" si="166"/>
        <v/>
      </c>
      <c r="M2123" s="65" t="str">
        <f t="shared" ca="1" si="167"/>
        <v/>
      </c>
      <c r="N2123" s="74" t="str">
        <f>IF($C2123="","",IF($C2123="TANIMSIZ MÜŞTERİ","—",INDEX(MUSTERILER!$C$7:$C$156,MATCH($C2123,MUSTERILER!$B$7:$B$156,0))))</f>
        <v/>
      </c>
      <c r="O2123" s="2"/>
      <c r="P2123" s="2"/>
      <c r="Q2123" s="1" t="str">
        <f>IF($D2123="","",$C2123&amp;"|"&amp;COUNTIFS($C$7:$C2123,$C2123))</f>
        <v/>
      </c>
      <c r="R2123" s="1" t="str">
        <f t="shared" si="168"/>
        <v/>
      </c>
      <c r="S2123" s="1" t="str">
        <f t="shared" si="169"/>
        <v/>
      </c>
      <c r="T2123" s="1">
        <f>IF($E2123="",0,SUMPRODUCT((AY_SONU!$O$7:$O$42="Evet")*(AY_SONU!$B$7:$B$42=DATE(YEAR($E2123),MONTH($E2123),1))))</f>
        <v>0</v>
      </c>
    </row>
    <row r="2124" spans="1:20" ht="18" customHeight="1" x14ac:dyDescent="0.3">
      <c r="A2124" s="2"/>
      <c r="B2124" s="65" t="str">
        <f t="shared" si="165"/>
        <v/>
      </c>
      <c r="C2124" s="65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66"/>
      <c r="F2124" s="67"/>
      <c r="G2124" s="60"/>
      <c r="H2124" s="60"/>
      <c r="I2124" s="61"/>
      <c r="J2124" s="61"/>
      <c r="K2124" s="61"/>
      <c r="L2124" s="73" t="str">
        <f t="shared" si="166"/>
        <v/>
      </c>
      <c r="M2124" s="65" t="str">
        <f t="shared" ca="1" si="167"/>
        <v/>
      </c>
      <c r="N2124" s="74" t="str">
        <f>IF($C2124="","",IF($C2124="TANIMSIZ MÜŞTERİ","—",INDEX(MUSTERILER!$C$7:$C$156,MATCH($C2124,MUSTERILER!$B$7:$B$156,0))))</f>
        <v/>
      </c>
      <c r="O2124" s="2"/>
      <c r="P2124" s="2"/>
      <c r="Q2124" s="1" t="str">
        <f>IF($D2124="","",$C2124&amp;"|"&amp;COUNTIFS($C$7:$C2124,$C2124))</f>
        <v/>
      </c>
      <c r="R2124" s="1" t="str">
        <f t="shared" si="168"/>
        <v/>
      </c>
      <c r="S2124" s="1" t="str">
        <f t="shared" si="169"/>
        <v/>
      </c>
      <c r="T2124" s="1">
        <f>IF($E2124="",0,SUMPRODUCT((AY_SONU!$O$7:$O$42="Evet")*(AY_SONU!$B$7:$B$42=DATE(YEAR($E2124),MONTH($E2124),1))))</f>
        <v>0</v>
      </c>
    </row>
    <row r="2125" spans="1:20" ht="18" customHeight="1" x14ac:dyDescent="0.3">
      <c r="A2125" s="2"/>
      <c r="B2125" s="65" t="str">
        <f t="shared" si="165"/>
        <v/>
      </c>
      <c r="C2125" s="65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66"/>
      <c r="F2125" s="67"/>
      <c r="G2125" s="60"/>
      <c r="H2125" s="60"/>
      <c r="I2125" s="61"/>
      <c r="J2125" s="61"/>
      <c r="K2125" s="61"/>
      <c r="L2125" s="73" t="str">
        <f t="shared" si="166"/>
        <v/>
      </c>
      <c r="M2125" s="65" t="str">
        <f t="shared" ca="1" si="167"/>
        <v/>
      </c>
      <c r="N2125" s="74" t="str">
        <f>IF($C2125="","",IF($C2125="TANIMSIZ MÜŞTERİ","—",INDEX(MUSTERILER!$C$7:$C$156,MATCH($C2125,MUSTERILER!$B$7:$B$156,0))))</f>
        <v/>
      </c>
      <c r="O2125" s="2"/>
      <c r="P2125" s="2"/>
      <c r="Q2125" s="1" t="str">
        <f>IF($D2125="","",$C2125&amp;"|"&amp;COUNTIFS($C$7:$C2125,$C2125))</f>
        <v/>
      </c>
      <c r="R2125" s="1" t="str">
        <f t="shared" si="168"/>
        <v/>
      </c>
      <c r="S2125" s="1" t="str">
        <f t="shared" si="169"/>
        <v/>
      </c>
      <c r="T2125" s="1">
        <f>IF($E2125="",0,SUMPRODUCT((AY_SONU!$O$7:$O$42="Evet")*(AY_SONU!$B$7:$B$42=DATE(YEAR($E2125),MONTH($E2125),1))))</f>
        <v>0</v>
      </c>
    </row>
    <row r="2126" spans="1:20" ht="18" customHeight="1" x14ac:dyDescent="0.3">
      <c r="A2126" s="2"/>
      <c r="B2126" s="65" t="str">
        <f t="shared" si="165"/>
        <v/>
      </c>
      <c r="C2126" s="65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66"/>
      <c r="F2126" s="67"/>
      <c r="G2126" s="60"/>
      <c r="H2126" s="60"/>
      <c r="I2126" s="61"/>
      <c r="J2126" s="61"/>
      <c r="K2126" s="61"/>
      <c r="L2126" s="73" t="str">
        <f t="shared" si="166"/>
        <v/>
      </c>
      <c r="M2126" s="65" t="str">
        <f t="shared" ca="1" si="167"/>
        <v/>
      </c>
      <c r="N2126" s="74" t="str">
        <f>IF($C2126="","",IF($C2126="TANIMSIZ MÜŞTERİ","—",INDEX(MUSTERILER!$C$7:$C$156,MATCH($C2126,MUSTERILER!$B$7:$B$156,0))))</f>
        <v/>
      </c>
      <c r="O2126" s="2"/>
      <c r="P2126" s="2"/>
      <c r="Q2126" s="1" t="str">
        <f>IF($D2126="","",$C2126&amp;"|"&amp;COUNTIFS($C$7:$C2126,$C2126))</f>
        <v/>
      </c>
      <c r="R2126" s="1" t="str">
        <f t="shared" si="168"/>
        <v/>
      </c>
      <c r="S2126" s="1" t="str">
        <f t="shared" si="169"/>
        <v/>
      </c>
      <c r="T2126" s="1">
        <f>IF($E2126="",0,SUMPRODUCT((AY_SONU!$O$7:$O$42="Evet")*(AY_SONU!$B$7:$B$42=DATE(YEAR($E2126),MONTH($E2126),1))))</f>
        <v>0</v>
      </c>
    </row>
    <row r="2127" spans="1:20" ht="18" customHeight="1" x14ac:dyDescent="0.3">
      <c r="A2127" s="2"/>
      <c r="B2127" s="65" t="str">
        <f t="shared" si="165"/>
        <v/>
      </c>
      <c r="C2127" s="65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66"/>
      <c r="F2127" s="67"/>
      <c r="G2127" s="60"/>
      <c r="H2127" s="60"/>
      <c r="I2127" s="61"/>
      <c r="J2127" s="61"/>
      <c r="K2127" s="61"/>
      <c r="L2127" s="73" t="str">
        <f t="shared" si="166"/>
        <v/>
      </c>
      <c r="M2127" s="65" t="str">
        <f t="shared" ca="1" si="167"/>
        <v/>
      </c>
      <c r="N2127" s="74" t="str">
        <f>IF($C2127="","",IF($C2127="TANIMSIZ MÜŞTERİ","—",INDEX(MUSTERILER!$C$7:$C$156,MATCH($C2127,MUSTERILER!$B$7:$B$156,0))))</f>
        <v/>
      </c>
      <c r="O2127" s="2"/>
      <c r="P2127" s="2"/>
      <c r="Q2127" s="1" t="str">
        <f>IF($D2127="","",$C2127&amp;"|"&amp;COUNTIFS($C$7:$C2127,$C2127))</f>
        <v/>
      </c>
      <c r="R2127" s="1" t="str">
        <f t="shared" si="168"/>
        <v/>
      </c>
      <c r="S2127" s="1" t="str">
        <f t="shared" si="169"/>
        <v/>
      </c>
      <c r="T2127" s="1">
        <f>IF($E2127="",0,SUMPRODUCT((AY_SONU!$O$7:$O$42="Evet")*(AY_SONU!$B$7:$B$42=DATE(YEAR($E2127),MONTH($E2127),1))))</f>
        <v>0</v>
      </c>
    </row>
    <row r="2128" spans="1:20" ht="18" customHeight="1" x14ac:dyDescent="0.3">
      <c r="A2128" s="2"/>
      <c r="B2128" s="65" t="str">
        <f t="shared" si="165"/>
        <v/>
      </c>
      <c r="C2128" s="65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66"/>
      <c r="F2128" s="67"/>
      <c r="G2128" s="60"/>
      <c r="H2128" s="60"/>
      <c r="I2128" s="61"/>
      <c r="J2128" s="61"/>
      <c r="K2128" s="61"/>
      <c r="L2128" s="73" t="str">
        <f t="shared" si="166"/>
        <v/>
      </c>
      <c r="M2128" s="65" t="str">
        <f t="shared" ca="1" si="167"/>
        <v/>
      </c>
      <c r="N2128" s="74" t="str">
        <f>IF($C2128="","",IF($C2128="TANIMSIZ MÜŞTERİ","—",INDEX(MUSTERILER!$C$7:$C$156,MATCH($C2128,MUSTERILER!$B$7:$B$156,0))))</f>
        <v/>
      </c>
      <c r="O2128" s="2"/>
      <c r="P2128" s="2"/>
      <c r="Q2128" s="1" t="str">
        <f>IF($D2128="","",$C2128&amp;"|"&amp;COUNTIFS($C$7:$C2128,$C2128))</f>
        <v/>
      </c>
      <c r="R2128" s="1" t="str">
        <f t="shared" si="168"/>
        <v/>
      </c>
      <c r="S2128" s="1" t="str">
        <f t="shared" si="169"/>
        <v/>
      </c>
      <c r="T2128" s="1">
        <f>IF($E2128="",0,SUMPRODUCT((AY_SONU!$O$7:$O$42="Evet")*(AY_SONU!$B$7:$B$42=DATE(YEAR($E2128),MONTH($E2128),1))))</f>
        <v>0</v>
      </c>
    </row>
    <row r="2129" spans="1:20" ht="18" customHeight="1" x14ac:dyDescent="0.3">
      <c r="A2129" s="2"/>
      <c r="B2129" s="65" t="str">
        <f t="shared" si="165"/>
        <v/>
      </c>
      <c r="C2129" s="65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66"/>
      <c r="F2129" s="67"/>
      <c r="G2129" s="60"/>
      <c r="H2129" s="60"/>
      <c r="I2129" s="61"/>
      <c r="J2129" s="61"/>
      <c r="K2129" s="61"/>
      <c r="L2129" s="73" t="str">
        <f t="shared" si="166"/>
        <v/>
      </c>
      <c r="M2129" s="65" t="str">
        <f t="shared" ca="1" si="167"/>
        <v/>
      </c>
      <c r="N2129" s="74" t="str">
        <f>IF($C2129="","",IF($C2129="TANIMSIZ MÜŞTERİ","—",INDEX(MUSTERILER!$C$7:$C$156,MATCH($C2129,MUSTERILER!$B$7:$B$156,0))))</f>
        <v/>
      </c>
      <c r="O2129" s="2"/>
      <c r="P2129" s="2"/>
      <c r="Q2129" s="1" t="str">
        <f>IF($D2129="","",$C2129&amp;"|"&amp;COUNTIFS($C$7:$C2129,$C2129))</f>
        <v/>
      </c>
      <c r="R2129" s="1" t="str">
        <f t="shared" si="168"/>
        <v/>
      </c>
      <c r="S2129" s="1" t="str">
        <f t="shared" si="169"/>
        <v/>
      </c>
      <c r="T2129" s="1">
        <f>IF($E2129="",0,SUMPRODUCT((AY_SONU!$O$7:$O$42="Evet")*(AY_SONU!$B$7:$B$42=DATE(YEAR($E2129),MONTH($E2129),1))))</f>
        <v>0</v>
      </c>
    </row>
    <row r="2130" spans="1:20" ht="18" customHeight="1" x14ac:dyDescent="0.3">
      <c r="A2130" s="2"/>
      <c r="B2130" s="65" t="str">
        <f t="shared" si="165"/>
        <v/>
      </c>
      <c r="C2130" s="65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66"/>
      <c r="F2130" s="67"/>
      <c r="G2130" s="60"/>
      <c r="H2130" s="60"/>
      <c r="I2130" s="61"/>
      <c r="J2130" s="61"/>
      <c r="K2130" s="61"/>
      <c r="L2130" s="73" t="str">
        <f t="shared" si="166"/>
        <v/>
      </c>
      <c r="M2130" s="65" t="str">
        <f t="shared" ca="1" si="167"/>
        <v/>
      </c>
      <c r="N2130" s="74" t="str">
        <f>IF($C2130="","",IF($C2130="TANIMSIZ MÜŞTERİ","—",INDEX(MUSTERILER!$C$7:$C$156,MATCH($C2130,MUSTERILER!$B$7:$B$156,0))))</f>
        <v/>
      </c>
      <c r="O2130" s="2"/>
      <c r="P2130" s="2"/>
      <c r="Q2130" s="1" t="str">
        <f>IF($D2130="","",$C2130&amp;"|"&amp;COUNTIFS($C$7:$C2130,$C2130))</f>
        <v/>
      </c>
      <c r="R2130" s="1" t="str">
        <f t="shared" si="168"/>
        <v/>
      </c>
      <c r="S2130" s="1" t="str">
        <f t="shared" si="169"/>
        <v/>
      </c>
      <c r="T2130" s="1">
        <f>IF($E2130="",0,SUMPRODUCT((AY_SONU!$O$7:$O$42="Evet")*(AY_SONU!$B$7:$B$42=DATE(YEAR($E2130),MONTH($E2130),1))))</f>
        <v>0</v>
      </c>
    </row>
    <row r="2131" spans="1:20" ht="18" customHeight="1" x14ac:dyDescent="0.3">
      <c r="A2131" s="2"/>
      <c r="B2131" s="65" t="str">
        <f t="shared" si="165"/>
        <v/>
      </c>
      <c r="C2131" s="65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66"/>
      <c r="F2131" s="67"/>
      <c r="G2131" s="60"/>
      <c r="H2131" s="60"/>
      <c r="I2131" s="61"/>
      <c r="J2131" s="61"/>
      <c r="K2131" s="61"/>
      <c r="L2131" s="73" t="str">
        <f t="shared" si="166"/>
        <v/>
      </c>
      <c r="M2131" s="65" t="str">
        <f t="shared" ca="1" si="167"/>
        <v/>
      </c>
      <c r="N2131" s="74" t="str">
        <f>IF($C2131="","",IF($C2131="TANIMSIZ MÜŞTERİ","—",INDEX(MUSTERILER!$C$7:$C$156,MATCH($C2131,MUSTERILER!$B$7:$B$156,0))))</f>
        <v/>
      </c>
      <c r="O2131" s="2"/>
      <c r="P2131" s="2"/>
      <c r="Q2131" s="1" t="str">
        <f>IF($D2131="","",$C2131&amp;"|"&amp;COUNTIFS($C$7:$C2131,$C2131))</f>
        <v/>
      </c>
      <c r="R2131" s="1" t="str">
        <f t="shared" si="168"/>
        <v/>
      </c>
      <c r="S2131" s="1" t="str">
        <f t="shared" si="169"/>
        <v/>
      </c>
      <c r="T2131" s="1">
        <f>IF($E2131="",0,SUMPRODUCT((AY_SONU!$O$7:$O$42="Evet")*(AY_SONU!$B$7:$B$42=DATE(YEAR($E2131),MONTH($E2131),1))))</f>
        <v>0</v>
      </c>
    </row>
    <row r="2132" spans="1:20" ht="18" customHeight="1" x14ac:dyDescent="0.3">
      <c r="A2132" s="2"/>
      <c r="B2132" s="65" t="str">
        <f t="shared" si="165"/>
        <v/>
      </c>
      <c r="C2132" s="65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66"/>
      <c r="F2132" s="67"/>
      <c r="G2132" s="60"/>
      <c r="H2132" s="60"/>
      <c r="I2132" s="61"/>
      <c r="J2132" s="61"/>
      <c r="K2132" s="61"/>
      <c r="L2132" s="73" t="str">
        <f t="shared" si="166"/>
        <v/>
      </c>
      <c r="M2132" s="65" t="str">
        <f t="shared" ca="1" si="167"/>
        <v/>
      </c>
      <c r="N2132" s="74" t="str">
        <f>IF($C2132="","",IF($C2132="TANIMSIZ MÜŞTERİ","—",INDEX(MUSTERILER!$C$7:$C$156,MATCH($C2132,MUSTERILER!$B$7:$B$156,0))))</f>
        <v/>
      </c>
      <c r="O2132" s="2"/>
      <c r="P2132" s="2"/>
      <c r="Q2132" s="1" t="str">
        <f>IF($D2132="","",$C2132&amp;"|"&amp;COUNTIFS($C$7:$C2132,$C2132))</f>
        <v/>
      </c>
      <c r="R2132" s="1" t="str">
        <f t="shared" si="168"/>
        <v/>
      </c>
      <c r="S2132" s="1" t="str">
        <f t="shared" si="169"/>
        <v/>
      </c>
      <c r="T2132" s="1">
        <f>IF($E2132="",0,SUMPRODUCT((AY_SONU!$O$7:$O$42="Evet")*(AY_SONU!$B$7:$B$42=DATE(YEAR($E2132),MONTH($E2132),1))))</f>
        <v>0</v>
      </c>
    </row>
    <row r="2133" spans="1:20" ht="18" customHeight="1" x14ac:dyDescent="0.3">
      <c r="A2133" s="2"/>
      <c r="B2133" s="65" t="str">
        <f t="shared" si="165"/>
        <v/>
      </c>
      <c r="C2133" s="65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66"/>
      <c r="F2133" s="67"/>
      <c r="G2133" s="60"/>
      <c r="H2133" s="60"/>
      <c r="I2133" s="61"/>
      <c r="J2133" s="61"/>
      <c r="K2133" s="61"/>
      <c r="L2133" s="73" t="str">
        <f t="shared" si="166"/>
        <v/>
      </c>
      <c r="M2133" s="65" t="str">
        <f t="shared" ca="1" si="167"/>
        <v/>
      </c>
      <c r="N2133" s="74" t="str">
        <f>IF($C2133="","",IF($C2133="TANIMSIZ MÜŞTERİ","—",INDEX(MUSTERILER!$C$7:$C$156,MATCH($C2133,MUSTERILER!$B$7:$B$156,0))))</f>
        <v/>
      </c>
      <c r="O2133" s="2"/>
      <c r="P2133" s="2"/>
      <c r="Q2133" s="1" t="str">
        <f>IF($D2133="","",$C2133&amp;"|"&amp;COUNTIFS($C$7:$C2133,$C2133))</f>
        <v/>
      </c>
      <c r="R2133" s="1" t="str">
        <f t="shared" si="168"/>
        <v/>
      </c>
      <c r="S2133" s="1" t="str">
        <f t="shared" si="169"/>
        <v/>
      </c>
      <c r="T2133" s="1">
        <f>IF($E2133="",0,SUMPRODUCT((AY_SONU!$O$7:$O$42="Evet")*(AY_SONU!$B$7:$B$42=DATE(YEAR($E2133),MONTH($E2133),1))))</f>
        <v>0</v>
      </c>
    </row>
    <row r="2134" spans="1:20" ht="18" customHeight="1" x14ac:dyDescent="0.3">
      <c r="A2134" s="2"/>
      <c r="B2134" s="65" t="str">
        <f t="shared" si="165"/>
        <v/>
      </c>
      <c r="C2134" s="65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66"/>
      <c r="F2134" s="67"/>
      <c r="G2134" s="60"/>
      <c r="H2134" s="60"/>
      <c r="I2134" s="61"/>
      <c r="J2134" s="61"/>
      <c r="K2134" s="61"/>
      <c r="L2134" s="73" t="str">
        <f t="shared" si="166"/>
        <v/>
      </c>
      <c r="M2134" s="65" t="str">
        <f t="shared" ca="1" si="167"/>
        <v/>
      </c>
      <c r="N2134" s="74" t="str">
        <f>IF($C2134="","",IF($C2134="TANIMSIZ MÜŞTERİ","—",INDEX(MUSTERILER!$C$7:$C$156,MATCH($C2134,MUSTERILER!$B$7:$B$156,0))))</f>
        <v/>
      </c>
      <c r="O2134" s="2"/>
      <c r="P2134" s="2"/>
      <c r="Q2134" s="1" t="str">
        <f>IF($D2134="","",$C2134&amp;"|"&amp;COUNTIFS($C$7:$C2134,$C2134))</f>
        <v/>
      </c>
      <c r="R2134" s="1" t="str">
        <f t="shared" si="168"/>
        <v/>
      </c>
      <c r="S2134" s="1" t="str">
        <f t="shared" si="169"/>
        <v/>
      </c>
      <c r="T2134" s="1">
        <f>IF($E2134="",0,SUMPRODUCT((AY_SONU!$O$7:$O$42="Evet")*(AY_SONU!$B$7:$B$42=DATE(YEAR($E2134),MONTH($E2134),1))))</f>
        <v>0</v>
      </c>
    </row>
    <row r="2135" spans="1:20" ht="18" customHeight="1" x14ac:dyDescent="0.3">
      <c r="A2135" s="2"/>
      <c r="B2135" s="65" t="str">
        <f t="shared" si="165"/>
        <v/>
      </c>
      <c r="C2135" s="65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66"/>
      <c r="F2135" s="67"/>
      <c r="G2135" s="60"/>
      <c r="H2135" s="60"/>
      <c r="I2135" s="61"/>
      <c r="J2135" s="61"/>
      <c r="K2135" s="61"/>
      <c r="L2135" s="73" t="str">
        <f t="shared" si="166"/>
        <v/>
      </c>
      <c r="M2135" s="65" t="str">
        <f t="shared" ca="1" si="167"/>
        <v/>
      </c>
      <c r="N2135" s="74" t="str">
        <f>IF($C2135="","",IF($C2135="TANIMSIZ MÜŞTERİ","—",INDEX(MUSTERILER!$C$7:$C$156,MATCH($C2135,MUSTERILER!$B$7:$B$156,0))))</f>
        <v/>
      </c>
      <c r="O2135" s="2"/>
      <c r="P2135" s="2"/>
      <c r="Q2135" s="1" t="str">
        <f>IF($D2135="","",$C2135&amp;"|"&amp;COUNTIFS($C$7:$C2135,$C2135))</f>
        <v/>
      </c>
      <c r="R2135" s="1" t="str">
        <f t="shared" si="168"/>
        <v/>
      </c>
      <c r="S2135" s="1" t="str">
        <f t="shared" si="169"/>
        <v/>
      </c>
      <c r="T2135" s="1">
        <f>IF($E2135="",0,SUMPRODUCT((AY_SONU!$O$7:$O$42="Evet")*(AY_SONU!$B$7:$B$42=DATE(YEAR($E2135),MONTH($E2135),1))))</f>
        <v>0</v>
      </c>
    </row>
    <row r="2136" spans="1:20" ht="18" customHeight="1" x14ac:dyDescent="0.3">
      <c r="A2136" s="2"/>
      <c r="B2136" s="65" t="str">
        <f t="shared" si="165"/>
        <v/>
      </c>
      <c r="C2136" s="65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66"/>
      <c r="F2136" s="67"/>
      <c r="G2136" s="60"/>
      <c r="H2136" s="60"/>
      <c r="I2136" s="61"/>
      <c r="J2136" s="61"/>
      <c r="K2136" s="61"/>
      <c r="L2136" s="73" t="str">
        <f t="shared" si="166"/>
        <v/>
      </c>
      <c r="M2136" s="65" t="str">
        <f t="shared" ca="1" si="167"/>
        <v/>
      </c>
      <c r="N2136" s="74" t="str">
        <f>IF($C2136="","",IF($C2136="TANIMSIZ MÜŞTERİ","—",INDEX(MUSTERILER!$C$7:$C$156,MATCH($C2136,MUSTERILER!$B$7:$B$156,0))))</f>
        <v/>
      </c>
      <c r="O2136" s="2"/>
      <c r="P2136" s="2"/>
      <c r="Q2136" s="1" t="str">
        <f>IF($D2136="","",$C2136&amp;"|"&amp;COUNTIFS($C$7:$C2136,$C2136))</f>
        <v/>
      </c>
      <c r="R2136" s="1" t="str">
        <f t="shared" si="168"/>
        <v/>
      </c>
      <c r="S2136" s="1" t="str">
        <f t="shared" si="169"/>
        <v/>
      </c>
      <c r="T2136" s="1">
        <f>IF($E2136="",0,SUMPRODUCT((AY_SONU!$O$7:$O$42="Evet")*(AY_SONU!$B$7:$B$42=DATE(YEAR($E2136),MONTH($E2136),1))))</f>
        <v>0</v>
      </c>
    </row>
    <row r="2137" spans="1:20" ht="18" customHeight="1" x14ac:dyDescent="0.3">
      <c r="A2137" s="2"/>
      <c r="B2137" s="65" t="str">
        <f t="shared" si="165"/>
        <v/>
      </c>
      <c r="C2137" s="65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66"/>
      <c r="F2137" s="67"/>
      <c r="G2137" s="60"/>
      <c r="H2137" s="60"/>
      <c r="I2137" s="61"/>
      <c r="J2137" s="61"/>
      <c r="K2137" s="61"/>
      <c r="L2137" s="73" t="str">
        <f t="shared" si="166"/>
        <v/>
      </c>
      <c r="M2137" s="65" t="str">
        <f t="shared" ca="1" si="167"/>
        <v/>
      </c>
      <c r="N2137" s="74" t="str">
        <f>IF($C2137="","",IF($C2137="TANIMSIZ MÜŞTERİ","—",INDEX(MUSTERILER!$C$7:$C$156,MATCH($C2137,MUSTERILER!$B$7:$B$156,0))))</f>
        <v/>
      </c>
      <c r="O2137" s="2"/>
      <c r="P2137" s="2"/>
      <c r="Q2137" s="1" t="str">
        <f>IF($D2137="","",$C2137&amp;"|"&amp;COUNTIFS($C$7:$C2137,$C2137))</f>
        <v/>
      </c>
      <c r="R2137" s="1" t="str">
        <f t="shared" si="168"/>
        <v/>
      </c>
      <c r="S2137" s="1" t="str">
        <f t="shared" si="169"/>
        <v/>
      </c>
      <c r="T2137" s="1">
        <f>IF($E2137="",0,SUMPRODUCT((AY_SONU!$O$7:$O$42="Evet")*(AY_SONU!$B$7:$B$42=DATE(YEAR($E2137),MONTH($E2137),1))))</f>
        <v>0</v>
      </c>
    </row>
    <row r="2138" spans="1:20" ht="18" customHeight="1" x14ac:dyDescent="0.3">
      <c r="A2138" s="2"/>
      <c r="B2138" s="65" t="str">
        <f t="shared" si="165"/>
        <v/>
      </c>
      <c r="C2138" s="65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66"/>
      <c r="F2138" s="67"/>
      <c r="G2138" s="60"/>
      <c r="H2138" s="60"/>
      <c r="I2138" s="61"/>
      <c r="J2138" s="61"/>
      <c r="K2138" s="61"/>
      <c r="L2138" s="73" t="str">
        <f t="shared" si="166"/>
        <v/>
      </c>
      <c r="M2138" s="65" t="str">
        <f t="shared" ca="1" si="167"/>
        <v/>
      </c>
      <c r="N2138" s="74" t="str">
        <f>IF($C2138="","",IF($C2138="TANIMSIZ MÜŞTERİ","—",INDEX(MUSTERILER!$C$7:$C$156,MATCH($C2138,MUSTERILER!$B$7:$B$156,0))))</f>
        <v/>
      </c>
      <c r="O2138" s="2"/>
      <c r="P2138" s="2"/>
      <c r="Q2138" s="1" t="str">
        <f>IF($D2138="","",$C2138&amp;"|"&amp;COUNTIFS($C$7:$C2138,$C2138))</f>
        <v/>
      </c>
      <c r="R2138" s="1" t="str">
        <f t="shared" si="168"/>
        <v/>
      </c>
      <c r="S2138" s="1" t="str">
        <f t="shared" si="169"/>
        <v/>
      </c>
      <c r="T2138" s="1">
        <f>IF($E2138="",0,SUMPRODUCT((AY_SONU!$O$7:$O$42="Evet")*(AY_SONU!$B$7:$B$42=DATE(YEAR($E2138),MONTH($E2138),1))))</f>
        <v>0</v>
      </c>
    </row>
    <row r="2139" spans="1:20" ht="18" customHeight="1" x14ac:dyDescent="0.3">
      <c r="A2139" s="2"/>
      <c r="B2139" s="65" t="str">
        <f t="shared" si="165"/>
        <v/>
      </c>
      <c r="C2139" s="65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66"/>
      <c r="F2139" s="67"/>
      <c r="G2139" s="60"/>
      <c r="H2139" s="60"/>
      <c r="I2139" s="61"/>
      <c r="J2139" s="61"/>
      <c r="K2139" s="61"/>
      <c r="L2139" s="73" t="str">
        <f t="shared" si="166"/>
        <v/>
      </c>
      <c r="M2139" s="65" t="str">
        <f t="shared" ca="1" si="167"/>
        <v/>
      </c>
      <c r="N2139" s="74" t="str">
        <f>IF($C2139="","",IF($C2139="TANIMSIZ MÜŞTERİ","—",INDEX(MUSTERILER!$C$7:$C$156,MATCH($C2139,MUSTERILER!$B$7:$B$156,0))))</f>
        <v/>
      </c>
      <c r="O2139" s="2"/>
      <c r="P2139" s="2"/>
      <c r="Q2139" s="1" t="str">
        <f>IF($D2139="","",$C2139&amp;"|"&amp;COUNTIFS($C$7:$C2139,$C2139))</f>
        <v/>
      </c>
      <c r="R2139" s="1" t="str">
        <f t="shared" si="168"/>
        <v/>
      </c>
      <c r="S2139" s="1" t="str">
        <f t="shared" si="169"/>
        <v/>
      </c>
      <c r="T2139" s="1">
        <f>IF($E2139="",0,SUMPRODUCT((AY_SONU!$O$7:$O$42="Evet")*(AY_SONU!$B$7:$B$42=DATE(YEAR($E2139),MONTH($E2139),1))))</f>
        <v>0</v>
      </c>
    </row>
    <row r="2140" spans="1:20" ht="18" customHeight="1" x14ac:dyDescent="0.3">
      <c r="A2140" s="2"/>
      <c r="B2140" s="65" t="str">
        <f t="shared" si="165"/>
        <v/>
      </c>
      <c r="C2140" s="65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66"/>
      <c r="F2140" s="67"/>
      <c r="G2140" s="60"/>
      <c r="H2140" s="60"/>
      <c r="I2140" s="61"/>
      <c r="J2140" s="61"/>
      <c r="K2140" s="61"/>
      <c r="L2140" s="73" t="str">
        <f t="shared" si="166"/>
        <v/>
      </c>
      <c r="M2140" s="65" t="str">
        <f t="shared" ca="1" si="167"/>
        <v/>
      </c>
      <c r="N2140" s="74" t="str">
        <f>IF($C2140="","",IF($C2140="TANIMSIZ MÜŞTERİ","—",INDEX(MUSTERILER!$C$7:$C$156,MATCH($C2140,MUSTERILER!$B$7:$B$156,0))))</f>
        <v/>
      </c>
      <c r="O2140" s="2"/>
      <c r="P2140" s="2"/>
      <c r="Q2140" s="1" t="str">
        <f>IF($D2140="","",$C2140&amp;"|"&amp;COUNTIFS($C$7:$C2140,$C2140))</f>
        <v/>
      </c>
      <c r="R2140" s="1" t="str">
        <f t="shared" si="168"/>
        <v/>
      </c>
      <c r="S2140" s="1" t="str">
        <f t="shared" si="169"/>
        <v/>
      </c>
      <c r="T2140" s="1">
        <f>IF($E2140="",0,SUMPRODUCT((AY_SONU!$O$7:$O$42="Evet")*(AY_SONU!$B$7:$B$42=DATE(YEAR($E2140),MONTH($E2140),1))))</f>
        <v>0</v>
      </c>
    </row>
    <row r="2141" spans="1:20" ht="18" customHeight="1" x14ac:dyDescent="0.3">
      <c r="A2141" s="2"/>
      <c r="B2141" s="65" t="str">
        <f t="shared" si="165"/>
        <v/>
      </c>
      <c r="C2141" s="65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66"/>
      <c r="F2141" s="67"/>
      <c r="G2141" s="60"/>
      <c r="H2141" s="60"/>
      <c r="I2141" s="61"/>
      <c r="J2141" s="61"/>
      <c r="K2141" s="61"/>
      <c r="L2141" s="73" t="str">
        <f t="shared" si="166"/>
        <v/>
      </c>
      <c r="M2141" s="65" t="str">
        <f t="shared" ca="1" si="167"/>
        <v/>
      </c>
      <c r="N2141" s="74" t="str">
        <f>IF($C2141="","",IF($C2141="TANIMSIZ MÜŞTERİ","—",INDEX(MUSTERILER!$C$7:$C$156,MATCH($C2141,MUSTERILER!$B$7:$B$156,0))))</f>
        <v/>
      </c>
      <c r="O2141" s="2"/>
      <c r="P2141" s="2"/>
      <c r="Q2141" s="1" t="str">
        <f>IF($D2141="","",$C2141&amp;"|"&amp;COUNTIFS($C$7:$C2141,$C2141))</f>
        <v/>
      </c>
      <c r="R2141" s="1" t="str">
        <f t="shared" si="168"/>
        <v/>
      </c>
      <c r="S2141" s="1" t="str">
        <f t="shared" si="169"/>
        <v/>
      </c>
      <c r="T2141" s="1">
        <f>IF($E2141="",0,SUMPRODUCT((AY_SONU!$O$7:$O$42="Evet")*(AY_SONU!$B$7:$B$42=DATE(YEAR($E2141),MONTH($E2141),1))))</f>
        <v>0</v>
      </c>
    </row>
    <row r="2142" spans="1:20" ht="18" customHeight="1" x14ac:dyDescent="0.3">
      <c r="A2142" s="2"/>
      <c r="B2142" s="65" t="str">
        <f t="shared" si="165"/>
        <v/>
      </c>
      <c r="C2142" s="65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66"/>
      <c r="F2142" s="67"/>
      <c r="G2142" s="60"/>
      <c r="H2142" s="60"/>
      <c r="I2142" s="61"/>
      <c r="J2142" s="61"/>
      <c r="K2142" s="61"/>
      <c r="L2142" s="73" t="str">
        <f t="shared" si="166"/>
        <v/>
      </c>
      <c r="M2142" s="65" t="str">
        <f t="shared" ca="1" si="167"/>
        <v/>
      </c>
      <c r="N2142" s="74" t="str">
        <f>IF($C2142="","",IF($C2142="TANIMSIZ MÜŞTERİ","—",INDEX(MUSTERILER!$C$7:$C$156,MATCH($C2142,MUSTERILER!$B$7:$B$156,0))))</f>
        <v/>
      </c>
      <c r="O2142" s="2"/>
      <c r="P2142" s="2"/>
      <c r="Q2142" s="1" t="str">
        <f>IF($D2142="","",$C2142&amp;"|"&amp;COUNTIFS($C$7:$C2142,$C2142))</f>
        <v/>
      </c>
      <c r="R2142" s="1" t="str">
        <f t="shared" si="168"/>
        <v/>
      </c>
      <c r="S2142" s="1" t="str">
        <f t="shared" si="169"/>
        <v/>
      </c>
      <c r="T2142" s="1">
        <f>IF($E2142="",0,SUMPRODUCT((AY_SONU!$O$7:$O$42="Evet")*(AY_SONU!$B$7:$B$42=DATE(YEAR($E2142),MONTH($E2142),1))))</f>
        <v>0</v>
      </c>
    </row>
    <row r="2143" spans="1:20" ht="18" customHeight="1" x14ac:dyDescent="0.3">
      <c r="A2143" s="2"/>
      <c r="B2143" s="65" t="str">
        <f t="shared" si="165"/>
        <v/>
      </c>
      <c r="C2143" s="65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66"/>
      <c r="F2143" s="67"/>
      <c r="G2143" s="60"/>
      <c r="H2143" s="60"/>
      <c r="I2143" s="61"/>
      <c r="J2143" s="61"/>
      <c r="K2143" s="61"/>
      <c r="L2143" s="73" t="str">
        <f t="shared" si="166"/>
        <v/>
      </c>
      <c r="M2143" s="65" t="str">
        <f t="shared" ca="1" si="167"/>
        <v/>
      </c>
      <c r="N2143" s="74" t="str">
        <f>IF($C2143="","",IF($C2143="TANIMSIZ MÜŞTERİ","—",INDEX(MUSTERILER!$C$7:$C$156,MATCH($C2143,MUSTERILER!$B$7:$B$156,0))))</f>
        <v/>
      </c>
      <c r="O2143" s="2"/>
      <c r="P2143" s="2"/>
      <c r="Q2143" s="1" t="str">
        <f>IF($D2143="","",$C2143&amp;"|"&amp;COUNTIFS($C$7:$C2143,$C2143))</f>
        <v/>
      </c>
      <c r="R2143" s="1" t="str">
        <f t="shared" si="168"/>
        <v/>
      </c>
      <c r="S2143" s="1" t="str">
        <f t="shared" si="169"/>
        <v/>
      </c>
      <c r="T2143" s="1">
        <f>IF($E2143="",0,SUMPRODUCT((AY_SONU!$O$7:$O$42="Evet")*(AY_SONU!$B$7:$B$42=DATE(YEAR($E2143),MONTH($E2143),1))))</f>
        <v>0</v>
      </c>
    </row>
    <row r="2144" spans="1:20" ht="18" customHeight="1" x14ac:dyDescent="0.3">
      <c r="A2144" s="2"/>
      <c r="B2144" s="65" t="str">
        <f t="shared" si="165"/>
        <v/>
      </c>
      <c r="C2144" s="65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66"/>
      <c r="F2144" s="67"/>
      <c r="G2144" s="60"/>
      <c r="H2144" s="60"/>
      <c r="I2144" s="61"/>
      <c r="J2144" s="61"/>
      <c r="K2144" s="61"/>
      <c r="L2144" s="73" t="str">
        <f t="shared" si="166"/>
        <v/>
      </c>
      <c r="M2144" s="65" t="str">
        <f t="shared" ca="1" si="167"/>
        <v/>
      </c>
      <c r="N2144" s="74" t="str">
        <f>IF($C2144="","",IF($C2144="TANIMSIZ MÜŞTERİ","—",INDEX(MUSTERILER!$C$7:$C$156,MATCH($C2144,MUSTERILER!$B$7:$B$156,0))))</f>
        <v/>
      </c>
      <c r="O2144" s="2"/>
      <c r="P2144" s="2"/>
      <c r="Q2144" s="1" t="str">
        <f>IF($D2144="","",$C2144&amp;"|"&amp;COUNTIFS($C$7:$C2144,$C2144))</f>
        <v/>
      </c>
      <c r="R2144" s="1" t="str">
        <f t="shared" si="168"/>
        <v/>
      </c>
      <c r="S2144" s="1" t="str">
        <f t="shared" si="169"/>
        <v/>
      </c>
      <c r="T2144" s="1">
        <f>IF($E2144="",0,SUMPRODUCT((AY_SONU!$O$7:$O$42="Evet")*(AY_SONU!$B$7:$B$42=DATE(YEAR($E2144),MONTH($E2144),1))))</f>
        <v>0</v>
      </c>
    </row>
    <row r="2145" spans="1:20" ht="18" customHeight="1" x14ac:dyDescent="0.3">
      <c r="A2145" s="2"/>
      <c r="B2145" s="65" t="str">
        <f t="shared" si="165"/>
        <v/>
      </c>
      <c r="C2145" s="65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66"/>
      <c r="F2145" s="67"/>
      <c r="G2145" s="60"/>
      <c r="H2145" s="60"/>
      <c r="I2145" s="61"/>
      <c r="J2145" s="61"/>
      <c r="K2145" s="61"/>
      <c r="L2145" s="73" t="str">
        <f t="shared" si="166"/>
        <v/>
      </c>
      <c r="M2145" s="65" t="str">
        <f t="shared" ca="1" si="167"/>
        <v/>
      </c>
      <c r="N2145" s="74" t="str">
        <f>IF($C2145="","",IF($C2145="TANIMSIZ MÜŞTERİ","—",INDEX(MUSTERILER!$C$7:$C$156,MATCH($C2145,MUSTERILER!$B$7:$B$156,0))))</f>
        <v/>
      </c>
      <c r="O2145" s="2"/>
      <c r="P2145" s="2"/>
      <c r="Q2145" s="1" t="str">
        <f>IF($D2145="","",$C2145&amp;"|"&amp;COUNTIFS($C$7:$C2145,$C2145))</f>
        <v/>
      </c>
      <c r="R2145" s="1" t="str">
        <f t="shared" si="168"/>
        <v/>
      </c>
      <c r="S2145" s="1" t="str">
        <f t="shared" si="169"/>
        <v/>
      </c>
      <c r="T2145" s="1">
        <f>IF($E2145="",0,SUMPRODUCT((AY_SONU!$O$7:$O$42="Evet")*(AY_SONU!$B$7:$B$42=DATE(YEAR($E2145),MONTH($E2145),1))))</f>
        <v>0</v>
      </c>
    </row>
    <row r="2146" spans="1:20" ht="18" customHeight="1" x14ac:dyDescent="0.3">
      <c r="A2146" s="2"/>
      <c r="B2146" s="65" t="str">
        <f t="shared" si="165"/>
        <v/>
      </c>
      <c r="C2146" s="65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66"/>
      <c r="F2146" s="67"/>
      <c r="G2146" s="60"/>
      <c r="H2146" s="60"/>
      <c r="I2146" s="61"/>
      <c r="J2146" s="61"/>
      <c r="K2146" s="61"/>
      <c r="L2146" s="73" t="str">
        <f t="shared" si="166"/>
        <v/>
      </c>
      <c r="M2146" s="65" t="str">
        <f t="shared" ca="1" si="167"/>
        <v/>
      </c>
      <c r="N2146" s="74" t="str">
        <f>IF($C2146="","",IF($C2146="TANIMSIZ MÜŞTERİ","—",INDEX(MUSTERILER!$C$7:$C$156,MATCH($C2146,MUSTERILER!$B$7:$B$156,0))))</f>
        <v/>
      </c>
      <c r="O2146" s="2"/>
      <c r="P2146" s="2"/>
      <c r="Q2146" s="1" t="str">
        <f>IF($D2146="","",$C2146&amp;"|"&amp;COUNTIFS($C$7:$C2146,$C2146))</f>
        <v/>
      </c>
      <c r="R2146" s="1" t="str">
        <f t="shared" si="168"/>
        <v/>
      </c>
      <c r="S2146" s="1" t="str">
        <f t="shared" si="169"/>
        <v/>
      </c>
      <c r="T2146" s="1">
        <f>IF($E2146="",0,SUMPRODUCT((AY_SONU!$O$7:$O$42="Evet")*(AY_SONU!$B$7:$B$42=DATE(YEAR($E2146),MONTH($E2146),1))))</f>
        <v>0</v>
      </c>
    </row>
    <row r="2147" spans="1:20" ht="18" customHeight="1" x14ac:dyDescent="0.3">
      <c r="A2147" s="2"/>
      <c r="B2147" s="65" t="str">
        <f t="shared" si="165"/>
        <v/>
      </c>
      <c r="C2147" s="65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66"/>
      <c r="F2147" s="67"/>
      <c r="G2147" s="60"/>
      <c r="H2147" s="60"/>
      <c r="I2147" s="61"/>
      <c r="J2147" s="61"/>
      <c r="K2147" s="61"/>
      <c r="L2147" s="73" t="str">
        <f t="shared" si="166"/>
        <v/>
      </c>
      <c r="M2147" s="65" t="str">
        <f t="shared" ca="1" si="167"/>
        <v/>
      </c>
      <c r="N2147" s="74" t="str">
        <f>IF($C2147="","",IF($C2147="TANIMSIZ MÜŞTERİ","—",INDEX(MUSTERILER!$C$7:$C$156,MATCH($C2147,MUSTERILER!$B$7:$B$156,0))))</f>
        <v/>
      </c>
      <c r="O2147" s="2"/>
      <c r="P2147" s="2"/>
      <c r="Q2147" s="1" t="str">
        <f>IF($D2147="","",$C2147&amp;"|"&amp;COUNTIFS($C$7:$C2147,$C2147))</f>
        <v/>
      </c>
      <c r="R2147" s="1" t="str">
        <f t="shared" si="168"/>
        <v/>
      </c>
      <c r="S2147" s="1" t="str">
        <f t="shared" si="169"/>
        <v/>
      </c>
      <c r="T2147" s="1">
        <f>IF($E2147="",0,SUMPRODUCT((AY_SONU!$O$7:$O$42="Evet")*(AY_SONU!$B$7:$B$42=DATE(YEAR($E2147),MONTH($E2147),1))))</f>
        <v>0</v>
      </c>
    </row>
    <row r="2148" spans="1:20" ht="18" customHeight="1" x14ac:dyDescent="0.3">
      <c r="A2148" s="2"/>
      <c r="B2148" s="65" t="str">
        <f t="shared" si="165"/>
        <v/>
      </c>
      <c r="C2148" s="65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66"/>
      <c r="F2148" s="67"/>
      <c r="G2148" s="60"/>
      <c r="H2148" s="60"/>
      <c r="I2148" s="61"/>
      <c r="J2148" s="61"/>
      <c r="K2148" s="61"/>
      <c r="L2148" s="73" t="str">
        <f t="shared" si="166"/>
        <v/>
      </c>
      <c r="M2148" s="65" t="str">
        <f t="shared" ca="1" si="167"/>
        <v/>
      </c>
      <c r="N2148" s="74" t="str">
        <f>IF($C2148="","",IF($C2148="TANIMSIZ MÜŞTERİ","—",INDEX(MUSTERILER!$C$7:$C$156,MATCH($C2148,MUSTERILER!$B$7:$B$156,0))))</f>
        <v/>
      </c>
      <c r="O2148" s="2"/>
      <c r="P2148" s="2"/>
      <c r="Q2148" s="1" t="str">
        <f>IF($D2148="","",$C2148&amp;"|"&amp;COUNTIFS($C$7:$C2148,$C2148))</f>
        <v/>
      </c>
      <c r="R2148" s="1" t="str">
        <f t="shared" si="168"/>
        <v/>
      </c>
      <c r="S2148" s="1" t="str">
        <f t="shared" si="169"/>
        <v/>
      </c>
      <c r="T2148" s="1">
        <f>IF($E2148="",0,SUMPRODUCT((AY_SONU!$O$7:$O$42="Evet")*(AY_SONU!$B$7:$B$42=DATE(YEAR($E2148),MONTH($E2148),1))))</f>
        <v>0</v>
      </c>
    </row>
    <row r="2149" spans="1:20" ht="18" customHeight="1" x14ac:dyDescent="0.3">
      <c r="A2149" s="2"/>
      <c r="B2149" s="65" t="str">
        <f t="shared" si="165"/>
        <v/>
      </c>
      <c r="C2149" s="65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66"/>
      <c r="F2149" s="67"/>
      <c r="G2149" s="60"/>
      <c r="H2149" s="60"/>
      <c r="I2149" s="61"/>
      <c r="J2149" s="61"/>
      <c r="K2149" s="61"/>
      <c r="L2149" s="73" t="str">
        <f t="shared" si="166"/>
        <v/>
      </c>
      <c r="M2149" s="65" t="str">
        <f t="shared" ca="1" si="167"/>
        <v/>
      </c>
      <c r="N2149" s="74" t="str">
        <f>IF($C2149="","",IF($C2149="TANIMSIZ MÜŞTERİ","—",INDEX(MUSTERILER!$C$7:$C$156,MATCH($C2149,MUSTERILER!$B$7:$B$156,0))))</f>
        <v/>
      </c>
      <c r="O2149" s="2"/>
      <c r="P2149" s="2"/>
      <c r="Q2149" s="1" t="str">
        <f>IF($D2149="","",$C2149&amp;"|"&amp;COUNTIFS($C$7:$C2149,$C2149))</f>
        <v/>
      </c>
      <c r="R2149" s="1" t="str">
        <f t="shared" si="168"/>
        <v/>
      </c>
      <c r="S2149" s="1" t="str">
        <f t="shared" si="169"/>
        <v/>
      </c>
      <c r="T2149" s="1">
        <f>IF($E2149="",0,SUMPRODUCT((AY_SONU!$O$7:$O$42="Evet")*(AY_SONU!$B$7:$B$42=DATE(YEAR($E2149),MONTH($E2149),1))))</f>
        <v>0</v>
      </c>
    </row>
    <row r="2150" spans="1:20" ht="18" customHeight="1" x14ac:dyDescent="0.3">
      <c r="A2150" s="2"/>
      <c r="B2150" s="65" t="str">
        <f t="shared" si="165"/>
        <v/>
      </c>
      <c r="C2150" s="65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66"/>
      <c r="F2150" s="67"/>
      <c r="G2150" s="60"/>
      <c r="H2150" s="60"/>
      <c r="I2150" s="61"/>
      <c r="J2150" s="61"/>
      <c r="K2150" s="61"/>
      <c r="L2150" s="73" t="str">
        <f t="shared" si="166"/>
        <v/>
      </c>
      <c r="M2150" s="65" t="str">
        <f t="shared" ca="1" si="167"/>
        <v/>
      </c>
      <c r="N2150" s="74" t="str">
        <f>IF($C2150="","",IF($C2150="TANIMSIZ MÜŞTERİ","—",INDEX(MUSTERILER!$C$7:$C$156,MATCH($C2150,MUSTERILER!$B$7:$B$156,0))))</f>
        <v/>
      </c>
      <c r="O2150" s="2"/>
      <c r="P2150" s="2"/>
      <c r="Q2150" s="1" t="str">
        <f>IF($D2150="","",$C2150&amp;"|"&amp;COUNTIFS($C$7:$C2150,$C2150))</f>
        <v/>
      </c>
      <c r="R2150" s="1" t="str">
        <f t="shared" si="168"/>
        <v/>
      </c>
      <c r="S2150" s="1" t="str">
        <f t="shared" si="169"/>
        <v/>
      </c>
      <c r="T2150" s="1">
        <f>IF($E2150="",0,SUMPRODUCT((AY_SONU!$O$7:$O$42="Evet")*(AY_SONU!$B$7:$B$42=DATE(YEAR($E2150),MONTH($E2150),1))))</f>
        <v>0</v>
      </c>
    </row>
    <row r="2151" spans="1:20" ht="18" customHeight="1" x14ac:dyDescent="0.3">
      <c r="A2151" s="2"/>
      <c r="B2151" s="65" t="str">
        <f t="shared" si="165"/>
        <v/>
      </c>
      <c r="C2151" s="65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66"/>
      <c r="F2151" s="67"/>
      <c r="G2151" s="60"/>
      <c r="H2151" s="60"/>
      <c r="I2151" s="61"/>
      <c r="J2151" s="61"/>
      <c r="K2151" s="61"/>
      <c r="L2151" s="73" t="str">
        <f t="shared" si="166"/>
        <v/>
      </c>
      <c r="M2151" s="65" t="str">
        <f t="shared" ca="1" si="167"/>
        <v/>
      </c>
      <c r="N2151" s="74" t="str">
        <f>IF($C2151="","",IF($C2151="TANIMSIZ MÜŞTERİ","—",INDEX(MUSTERILER!$C$7:$C$156,MATCH($C2151,MUSTERILER!$B$7:$B$156,0))))</f>
        <v/>
      </c>
      <c r="O2151" s="2"/>
      <c r="P2151" s="2"/>
      <c r="Q2151" s="1" t="str">
        <f>IF($D2151="","",$C2151&amp;"|"&amp;COUNTIFS($C$7:$C2151,$C2151))</f>
        <v/>
      </c>
      <c r="R2151" s="1" t="str">
        <f t="shared" si="168"/>
        <v/>
      </c>
      <c r="S2151" s="1" t="str">
        <f t="shared" si="169"/>
        <v/>
      </c>
      <c r="T2151" s="1">
        <f>IF($E2151="",0,SUMPRODUCT((AY_SONU!$O$7:$O$42="Evet")*(AY_SONU!$B$7:$B$42=DATE(YEAR($E2151),MONTH($E2151),1))))</f>
        <v>0</v>
      </c>
    </row>
    <row r="2152" spans="1:20" ht="18" customHeight="1" x14ac:dyDescent="0.3">
      <c r="A2152" s="2"/>
      <c r="B2152" s="65" t="str">
        <f t="shared" si="165"/>
        <v/>
      </c>
      <c r="C2152" s="65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66"/>
      <c r="F2152" s="67"/>
      <c r="G2152" s="60"/>
      <c r="H2152" s="60"/>
      <c r="I2152" s="61"/>
      <c r="J2152" s="61"/>
      <c r="K2152" s="61"/>
      <c r="L2152" s="73" t="str">
        <f t="shared" si="166"/>
        <v/>
      </c>
      <c r="M2152" s="65" t="str">
        <f t="shared" ca="1" si="167"/>
        <v/>
      </c>
      <c r="N2152" s="74" t="str">
        <f>IF($C2152="","",IF($C2152="TANIMSIZ MÜŞTERİ","—",INDEX(MUSTERILER!$C$7:$C$156,MATCH($C2152,MUSTERILER!$B$7:$B$156,0))))</f>
        <v/>
      </c>
      <c r="O2152" s="2"/>
      <c r="P2152" s="2"/>
      <c r="Q2152" s="1" t="str">
        <f>IF($D2152="","",$C2152&amp;"|"&amp;COUNTIFS($C$7:$C2152,$C2152))</f>
        <v/>
      </c>
      <c r="R2152" s="1" t="str">
        <f t="shared" si="168"/>
        <v/>
      </c>
      <c r="S2152" s="1" t="str">
        <f t="shared" si="169"/>
        <v/>
      </c>
      <c r="T2152" s="1">
        <f>IF($E2152="",0,SUMPRODUCT((AY_SONU!$O$7:$O$42="Evet")*(AY_SONU!$B$7:$B$42=DATE(YEAR($E2152),MONTH($E2152),1))))</f>
        <v>0</v>
      </c>
    </row>
    <row r="2153" spans="1:20" ht="18" customHeight="1" x14ac:dyDescent="0.3">
      <c r="A2153" s="2"/>
      <c r="B2153" s="65" t="str">
        <f t="shared" si="165"/>
        <v/>
      </c>
      <c r="C2153" s="65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66"/>
      <c r="F2153" s="67"/>
      <c r="G2153" s="60"/>
      <c r="H2153" s="60"/>
      <c r="I2153" s="61"/>
      <c r="J2153" s="61"/>
      <c r="K2153" s="61"/>
      <c r="L2153" s="73" t="str">
        <f t="shared" si="166"/>
        <v/>
      </c>
      <c r="M2153" s="65" t="str">
        <f t="shared" ca="1" si="167"/>
        <v/>
      </c>
      <c r="N2153" s="74" t="str">
        <f>IF($C2153="","",IF($C2153="TANIMSIZ MÜŞTERİ","—",INDEX(MUSTERILER!$C$7:$C$156,MATCH($C2153,MUSTERILER!$B$7:$B$156,0))))</f>
        <v/>
      </c>
      <c r="O2153" s="2"/>
      <c r="P2153" s="2"/>
      <c r="Q2153" s="1" t="str">
        <f>IF($D2153="","",$C2153&amp;"|"&amp;COUNTIFS($C$7:$C2153,$C2153))</f>
        <v/>
      </c>
      <c r="R2153" s="1" t="str">
        <f t="shared" si="168"/>
        <v/>
      </c>
      <c r="S2153" s="1" t="str">
        <f t="shared" si="169"/>
        <v/>
      </c>
      <c r="T2153" s="1">
        <f>IF($E2153="",0,SUMPRODUCT((AY_SONU!$O$7:$O$42="Evet")*(AY_SONU!$B$7:$B$42=DATE(YEAR($E2153),MONTH($E2153),1))))</f>
        <v>0</v>
      </c>
    </row>
    <row r="2154" spans="1:20" ht="18" customHeight="1" x14ac:dyDescent="0.3">
      <c r="A2154" s="2"/>
      <c r="B2154" s="65" t="str">
        <f t="shared" si="165"/>
        <v/>
      </c>
      <c r="C2154" s="65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66"/>
      <c r="F2154" s="67"/>
      <c r="G2154" s="60"/>
      <c r="H2154" s="60"/>
      <c r="I2154" s="61"/>
      <c r="J2154" s="61"/>
      <c r="K2154" s="61"/>
      <c r="L2154" s="73" t="str">
        <f t="shared" si="166"/>
        <v/>
      </c>
      <c r="M2154" s="65" t="str">
        <f t="shared" ca="1" si="167"/>
        <v/>
      </c>
      <c r="N2154" s="74" t="str">
        <f>IF($C2154="","",IF($C2154="TANIMSIZ MÜŞTERİ","—",INDEX(MUSTERILER!$C$7:$C$156,MATCH($C2154,MUSTERILER!$B$7:$B$156,0))))</f>
        <v/>
      </c>
      <c r="O2154" s="2"/>
      <c r="P2154" s="2"/>
      <c r="Q2154" s="1" t="str">
        <f>IF($D2154="","",$C2154&amp;"|"&amp;COUNTIFS($C$7:$C2154,$C2154))</f>
        <v/>
      </c>
      <c r="R2154" s="1" t="str">
        <f t="shared" si="168"/>
        <v/>
      </c>
      <c r="S2154" s="1" t="str">
        <f t="shared" si="169"/>
        <v/>
      </c>
      <c r="T2154" s="1">
        <f>IF($E2154="",0,SUMPRODUCT((AY_SONU!$O$7:$O$42="Evet")*(AY_SONU!$B$7:$B$42=DATE(YEAR($E2154),MONTH($E2154),1))))</f>
        <v>0</v>
      </c>
    </row>
    <row r="2155" spans="1:20" ht="18" customHeight="1" x14ac:dyDescent="0.3">
      <c r="A2155" s="2"/>
      <c r="B2155" s="65" t="str">
        <f t="shared" si="165"/>
        <v/>
      </c>
      <c r="C2155" s="65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66"/>
      <c r="F2155" s="67"/>
      <c r="G2155" s="60"/>
      <c r="H2155" s="60"/>
      <c r="I2155" s="61"/>
      <c r="J2155" s="61"/>
      <c r="K2155" s="61"/>
      <c r="L2155" s="73" t="str">
        <f t="shared" si="166"/>
        <v/>
      </c>
      <c r="M2155" s="65" t="str">
        <f t="shared" ca="1" si="167"/>
        <v/>
      </c>
      <c r="N2155" s="74" t="str">
        <f>IF($C2155="","",IF($C2155="TANIMSIZ MÜŞTERİ","—",INDEX(MUSTERILER!$C$7:$C$156,MATCH($C2155,MUSTERILER!$B$7:$B$156,0))))</f>
        <v/>
      </c>
      <c r="O2155" s="2"/>
      <c r="P2155" s="2"/>
      <c r="Q2155" s="1" t="str">
        <f>IF($D2155="","",$C2155&amp;"|"&amp;COUNTIFS($C$7:$C2155,$C2155))</f>
        <v/>
      </c>
      <c r="R2155" s="1" t="str">
        <f t="shared" si="168"/>
        <v/>
      </c>
      <c r="S2155" s="1" t="str">
        <f t="shared" si="169"/>
        <v/>
      </c>
      <c r="T2155" s="1">
        <f>IF($E2155="",0,SUMPRODUCT((AY_SONU!$O$7:$O$42="Evet")*(AY_SONU!$B$7:$B$42=DATE(YEAR($E2155),MONTH($E2155),1))))</f>
        <v>0</v>
      </c>
    </row>
    <row r="2156" spans="1:20" ht="18" customHeight="1" x14ac:dyDescent="0.3">
      <c r="A2156" s="2"/>
      <c r="B2156" s="65" t="str">
        <f t="shared" si="165"/>
        <v/>
      </c>
      <c r="C2156" s="65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66"/>
      <c r="F2156" s="67"/>
      <c r="G2156" s="60"/>
      <c r="H2156" s="60"/>
      <c r="I2156" s="61"/>
      <c r="J2156" s="61"/>
      <c r="K2156" s="61"/>
      <c r="L2156" s="73" t="str">
        <f t="shared" si="166"/>
        <v/>
      </c>
      <c r="M2156" s="65" t="str">
        <f t="shared" ca="1" si="167"/>
        <v/>
      </c>
      <c r="N2156" s="74" t="str">
        <f>IF($C2156="","",IF($C2156="TANIMSIZ MÜŞTERİ","—",INDEX(MUSTERILER!$C$7:$C$156,MATCH($C2156,MUSTERILER!$B$7:$B$156,0))))</f>
        <v/>
      </c>
      <c r="O2156" s="2"/>
      <c r="P2156" s="2"/>
      <c r="Q2156" s="1" t="str">
        <f>IF($D2156="","",$C2156&amp;"|"&amp;COUNTIFS($C$7:$C2156,$C2156))</f>
        <v/>
      </c>
      <c r="R2156" s="1" t="str">
        <f t="shared" si="168"/>
        <v/>
      </c>
      <c r="S2156" s="1" t="str">
        <f t="shared" si="169"/>
        <v/>
      </c>
      <c r="T2156" s="1">
        <f>IF($E2156="",0,SUMPRODUCT((AY_SONU!$O$7:$O$42="Evet")*(AY_SONU!$B$7:$B$42=DATE(YEAR($E2156),MONTH($E2156),1))))</f>
        <v>0</v>
      </c>
    </row>
    <row r="2157" spans="1:20" ht="18" customHeight="1" x14ac:dyDescent="0.3">
      <c r="A2157" s="2"/>
      <c r="B2157" s="65" t="str">
        <f t="shared" si="165"/>
        <v/>
      </c>
      <c r="C2157" s="65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66"/>
      <c r="F2157" s="67"/>
      <c r="G2157" s="60"/>
      <c r="H2157" s="60"/>
      <c r="I2157" s="61"/>
      <c r="J2157" s="61"/>
      <c r="K2157" s="61"/>
      <c r="L2157" s="73" t="str">
        <f t="shared" si="166"/>
        <v/>
      </c>
      <c r="M2157" s="65" t="str">
        <f t="shared" ca="1" si="167"/>
        <v/>
      </c>
      <c r="N2157" s="74" t="str">
        <f>IF($C2157="","",IF($C2157="TANIMSIZ MÜŞTERİ","—",INDEX(MUSTERILER!$C$7:$C$156,MATCH($C2157,MUSTERILER!$B$7:$B$156,0))))</f>
        <v/>
      </c>
      <c r="O2157" s="2"/>
      <c r="P2157" s="2"/>
      <c r="Q2157" s="1" t="str">
        <f>IF($D2157="","",$C2157&amp;"|"&amp;COUNTIFS($C$7:$C2157,$C2157))</f>
        <v/>
      </c>
      <c r="R2157" s="1" t="str">
        <f t="shared" si="168"/>
        <v/>
      </c>
      <c r="S2157" s="1" t="str">
        <f t="shared" si="169"/>
        <v/>
      </c>
      <c r="T2157" s="1">
        <f>IF($E2157="",0,SUMPRODUCT((AY_SONU!$O$7:$O$42="Evet")*(AY_SONU!$B$7:$B$42=DATE(YEAR($E2157),MONTH($E2157),1))))</f>
        <v>0</v>
      </c>
    </row>
    <row r="2158" spans="1:20" ht="18" customHeight="1" x14ac:dyDescent="0.3">
      <c r="A2158" s="2"/>
      <c r="B2158" s="65" t="str">
        <f t="shared" si="165"/>
        <v/>
      </c>
      <c r="C2158" s="65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66"/>
      <c r="F2158" s="67"/>
      <c r="G2158" s="60"/>
      <c r="H2158" s="60"/>
      <c r="I2158" s="61"/>
      <c r="J2158" s="61"/>
      <c r="K2158" s="61"/>
      <c r="L2158" s="73" t="str">
        <f t="shared" si="166"/>
        <v/>
      </c>
      <c r="M2158" s="65" t="str">
        <f t="shared" ca="1" si="167"/>
        <v/>
      </c>
      <c r="N2158" s="74" t="str">
        <f>IF($C2158="","",IF($C2158="TANIMSIZ MÜŞTERİ","—",INDEX(MUSTERILER!$C$7:$C$156,MATCH($C2158,MUSTERILER!$B$7:$B$156,0))))</f>
        <v/>
      </c>
      <c r="O2158" s="2"/>
      <c r="P2158" s="2"/>
      <c r="Q2158" s="1" t="str">
        <f>IF($D2158="","",$C2158&amp;"|"&amp;COUNTIFS($C$7:$C2158,$C2158))</f>
        <v/>
      </c>
      <c r="R2158" s="1" t="str">
        <f t="shared" si="168"/>
        <v/>
      </c>
      <c r="S2158" s="1" t="str">
        <f t="shared" si="169"/>
        <v/>
      </c>
      <c r="T2158" s="1">
        <f>IF($E2158="",0,SUMPRODUCT((AY_SONU!$O$7:$O$42="Evet")*(AY_SONU!$B$7:$B$42=DATE(YEAR($E2158),MONTH($E2158),1))))</f>
        <v>0</v>
      </c>
    </row>
    <row r="2159" spans="1:20" ht="18" customHeight="1" x14ac:dyDescent="0.3">
      <c r="A2159" s="2"/>
      <c r="B2159" s="65" t="str">
        <f t="shared" si="165"/>
        <v/>
      </c>
      <c r="C2159" s="65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66"/>
      <c r="F2159" s="67"/>
      <c r="G2159" s="60"/>
      <c r="H2159" s="60"/>
      <c r="I2159" s="61"/>
      <c r="J2159" s="61"/>
      <c r="K2159" s="61"/>
      <c r="L2159" s="73" t="str">
        <f t="shared" si="166"/>
        <v/>
      </c>
      <c r="M2159" s="65" t="str">
        <f t="shared" ca="1" si="167"/>
        <v/>
      </c>
      <c r="N2159" s="74" t="str">
        <f>IF($C2159="","",IF($C2159="TANIMSIZ MÜŞTERİ","—",INDEX(MUSTERILER!$C$7:$C$156,MATCH($C2159,MUSTERILER!$B$7:$B$156,0))))</f>
        <v/>
      </c>
      <c r="O2159" s="2"/>
      <c r="P2159" s="2"/>
      <c r="Q2159" s="1" t="str">
        <f>IF($D2159="","",$C2159&amp;"|"&amp;COUNTIFS($C$7:$C2159,$C2159))</f>
        <v/>
      </c>
      <c r="R2159" s="1" t="str">
        <f t="shared" si="168"/>
        <v/>
      </c>
      <c r="S2159" s="1" t="str">
        <f t="shared" si="169"/>
        <v/>
      </c>
      <c r="T2159" s="1">
        <f>IF($E2159="",0,SUMPRODUCT((AY_SONU!$O$7:$O$42="Evet")*(AY_SONU!$B$7:$B$42=DATE(YEAR($E2159),MONTH($E2159),1))))</f>
        <v>0</v>
      </c>
    </row>
    <row r="2160" spans="1:20" ht="18" customHeight="1" x14ac:dyDescent="0.3">
      <c r="A2160" s="2"/>
      <c r="B2160" s="65" t="str">
        <f t="shared" si="165"/>
        <v/>
      </c>
      <c r="C2160" s="65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66"/>
      <c r="F2160" s="67"/>
      <c r="G2160" s="60"/>
      <c r="H2160" s="60"/>
      <c r="I2160" s="61"/>
      <c r="J2160" s="61"/>
      <c r="K2160" s="61"/>
      <c r="L2160" s="73" t="str">
        <f t="shared" si="166"/>
        <v/>
      </c>
      <c r="M2160" s="65" t="str">
        <f t="shared" ca="1" si="167"/>
        <v/>
      </c>
      <c r="N2160" s="74" t="str">
        <f>IF($C2160="","",IF($C2160="TANIMSIZ MÜŞTERİ","—",INDEX(MUSTERILER!$C$7:$C$156,MATCH($C2160,MUSTERILER!$B$7:$B$156,0))))</f>
        <v/>
      </c>
      <c r="O2160" s="2"/>
      <c r="P2160" s="2"/>
      <c r="Q2160" s="1" t="str">
        <f>IF($D2160="","",$C2160&amp;"|"&amp;COUNTIFS($C$7:$C2160,$C2160))</f>
        <v/>
      </c>
      <c r="R2160" s="1" t="str">
        <f t="shared" si="168"/>
        <v/>
      </c>
      <c r="S2160" s="1" t="str">
        <f t="shared" si="169"/>
        <v/>
      </c>
      <c r="T2160" s="1">
        <f>IF($E2160="",0,SUMPRODUCT((AY_SONU!$O$7:$O$42="Evet")*(AY_SONU!$B$7:$B$42=DATE(YEAR($E2160),MONTH($E2160),1))))</f>
        <v>0</v>
      </c>
    </row>
    <row r="2161" spans="1:20" ht="18" customHeight="1" x14ac:dyDescent="0.3">
      <c r="A2161" s="2"/>
      <c r="B2161" s="65" t="str">
        <f t="shared" si="165"/>
        <v/>
      </c>
      <c r="C2161" s="65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66"/>
      <c r="F2161" s="67"/>
      <c r="G2161" s="60"/>
      <c r="H2161" s="60"/>
      <c r="I2161" s="61"/>
      <c r="J2161" s="61"/>
      <c r="K2161" s="61"/>
      <c r="L2161" s="73" t="str">
        <f t="shared" si="166"/>
        <v/>
      </c>
      <c r="M2161" s="65" t="str">
        <f t="shared" ca="1" si="167"/>
        <v/>
      </c>
      <c r="N2161" s="74" t="str">
        <f>IF($C2161="","",IF($C2161="TANIMSIZ MÜŞTERİ","—",INDEX(MUSTERILER!$C$7:$C$156,MATCH($C2161,MUSTERILER!$B$7:$B$156,0))))</f>
        <v/>
      </c>
      <c r="O2161" s="2"/>
      <c r="P2161" s="2"/>
      <c r="Q2161" s="1" t="str">
        <f>IF($D2161="","",$C2161&amp;"|"&amp;COUNTIFS($C$7:$C2161,$C2161))</f>
        <v/>
      </c>
      <c r="R2161" s="1" t="str">
        <f t="shared" si="168"/>
        <v/>
      </c>
      <c r="S2161" s="1" t="str">
        <f t="shared" si="169"/>
        <v/>
      </c>
      <c r="T2161" s="1">
        <f>IF($E2161="",0,SUMPRODUCT((AY_SONU!$O$7:$O$42="Evet")*(AY_SONU!$B$7:$B$42=DATE(YEAR($E2161),MONTH($E2161),1))))</f>
        <v>0</v>
      </c>
    </row>
    <row r="2162" spans="1:20" ht="18" customHeight="1" x14ac:dyDescent="0.3">
      <c r="A2162" s="2"/>
      <c r="B2162" s="65" t="str">
        <f t="shared" si="165"/>
        <v/>
      </c>
      <c r="C2162" s="65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66"/>
      <c r="F2162" s="67"/>
      <c r="G2162" s="60"/>
      <c r="H2162" s="60"/>
      <c r="I2162" s="61"/>
      <c r="J2162" s="61"/>
      <c r="K2162" s="61"/>
      <c r="L2162" s="73" t="str">
        <f t="shared" si="166"/>
        <v/>
      </c>
      <c r="M2162" s="65" t="str">
        <f t="shared" ca="1" si="167"/>
        <v/>
      </c>
      <c r="N2162" s="74" t="str">
        <f>IF($C2162="","",IF($C2162="TANIMSIZ MÜŞTERİ","—",INDEX(MUSTERILER!$C$7:$C$156,MATCH($C2162,MUSTERILER!$B$7:$B$156,0))))</f>
        <v/>
      </c>
      <c r="O2162" s="2"/>
      <c r="P2162" s="2"/>
      <c r="Q2162" s="1" t="str">
        <f>IF($D2162="","",$C2162&amp;"|"&amp;COUNTIFS($C$7:$C2162,$C2162))</f>
        <v/>
      </c>
      <c r="R2162" s="1" t="str">
        <f t="shared" si="168"/>
        <v/>
      </c>
      <c r="S2162" s="1" t="str">
        <f t="shared" si="169"/>
        <v/>
      </c>
      <c r="T2162" s="1">
        <f>IF($E2162="",0,SUMPRODUCT((AY_SONU!$O$7:$O$42="Evet")*(AY_SONU!$B$7:$B$42=DATE(YEAR($E2162),MONTH($E2162),1))))</f>
        <v>0</v>
      </c>
    </row>
    <row r="2163" spans="1:20" ht="18" customHeight="1" x14ac:dyDescent="0.3">
      <c r="A2163" s="2"/>
      <c r="B2163" s="65" t="str">
        <f t="shared" si="165"/>
        <v/>
      </c>
      <c r="C2163" s="65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66"/>
      <c r="F2163" s="67"/>
      <c r="G2163" s="60"/>
      <c r="H2163" s="60"/>
      <c r="I2163" s="61"/>
      <c r="J2163" s="61"/>
      <c r="K2163" s="61"/>
      <c r="L2163" s="73" t="str">
        <f t="shared" si="166"/>
        <v/>
      </c>
      <c r="M2163" s="65" t="str">
        <f t="shared" ca="1" si="167"/>
        <v/>
      </c>
      <c r="N2163" s="74" t="str">
        <f>IF($C2163="","",IF($C2163="TANIMSIZ MÜŞTERİ","—",INDEX(MUSTERILER!$C$7:$C$156,MATCH($C2163,MUSTERILER!$B$7:$B$156,0))))</f>
        <v/>
      </c>
      <c r="O2163" s="2"/>
      <c r="P2163" s="2"/>
      <c r="Q2163" s="1" t="str">
        <f>IF($D2163="","",$C2163&amp;"|"&amp;COUNTIFS($C$7:$C2163,$C2163))</f>
        <v/>
      </c>
      <c r="R2163" s="1" t="str">
        <f t="shared" si="168"/>
        <v/>
      </c>
      <c r="S2163" s="1" t="str">
        <f t="shared" si="169"/>
        <v/>
      </c>
      <c r="T2163" s="1">
        <f>IF($E2163="",0,SUMPRODUCT((AY_SONU!$O$7:$O$42="Evet")*(AY_SONU!$B$7:$B$42=DATE(YEAR($E2163),MONTH($E2163),1))))</f>
        <v>0</v>
      </c>
    </row>
    <row r="2164" spans="1:20" ht="18" customHeight="1" x14ac:dyDescent="0.3">
      <c r="A2164" s="2"/>
      <c r="B2164" s="65" t="str">
        <f t="shared" si="165"/>
        <v/>
      </c>
      <c r="C2164" s="65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66"/>
      <c r="F2164" s="67"/>
      <c r="G2164" s="60"/>
      <c r="H2164" s="60"/>
      <c r="I2164" s="61"/>
      <c r="J2164" s="61"/>
      <c r="K2164" s="61"/>
      <c r="L2164" s="73" t="str">
        <f t="shared" si="166"/>
        <v/>
      </c>
      <c r="M2164" s="65" t="str">
        <f t="shared" ca="1" si="167"/>
        <v/>
      </c>
      <c r="N2164" s="74" t="str">
        <f>IF($C2164="","",IF($C2164="TANIMSIZ MÜŞTERİ","—",INDEX(MUSTERILER!$C$7:$C$156,MATCH($C2164,MUSTERILER!$B$7:$B$156,0))))</f>
        <v/>
      </c>
      <c r="O2164" s="2"/>
      <c r="P2164" s="2"/>
      <c r="Q2164" s="1" t="str">
        <f>IF($D2164="","",$C2164&amp;"|"&amp;COUNTIFS($C$7:$C2164,$C2164))</f>
        <v/>
      </c>
      <c r="R2164" s="1" t="str">
        <f t="shared" si="168"/>
        <v/>
      </c>
      <c r="S2164" s="1" t="str">
        <f t="shared" si="169"/>
        <v/>
      </c>
      <c r="T2164" s="1">
        <f>IF($E2164="",0,SUMPRODUCT((AY_SONU!$O$7:$O$42="Evet")*(AY_SONU!$B$7:$B$42=DATE(YEAR($E2164),MONTH($E2164),1))))</f>
        <v>0</v>
      </c>
    </row>
    <row r="2165" spans="1:20" ht="18" customHeight="1" x14ac:dyDescent="0.3">
      <c r="A2165" s="2"/>
      <c r="B2165" s="65" t="str">
        <f t="shared" si="165"/>
        <v/>
      </c>
      <c r="C2165" s="65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66"/>
      <c r="F2165" s="67"/>
      <c r="G2165" s="60"/>
      <c r="H2165" s="60"/>
      <c r="I2165" s="61"/>
      <c r="J2165" s="61"/>
      <c r="K2165" s="61"/>
      <c r="L2165" s="73" t="str">
        <f t="shared" si="166"/>
        <v/>
      </c>
      <c r="M2165" s="65" t="str">
        <f t="shared" ca="1" si="167"/>
        <v/>
      </c>
      <c r="N2165" s="74" t="str">
        <f>IF($C2165="","",IF($C2165="TANIMSIZ MÜŞTERİ","—",INDEX(MUSTERILER!$C$7:$C$156,MATCH($C2165,MUSTERILER!$B$7:$B$156,0))))</f>
        <v/>
      </c>
      <c r="O2165" s="2"/>
      <c r="P2165" s="2"/>
      <c r="Q2165" s="1" t="str">
        <f>IF($D2165="","",$C2165&amp;"|"&amp;COUNTIFS($C$7:$C2165,$C2165))</f>
        <v/>
      </c>
      <c r="R2165" s="1" t="str">
        <f t="shared" si="168"/>
        <v/>
      </c>
      <c r="S2165" s="1" t="str">
        <f t="shared" si="169"/>
        <v/>
      </c>
      <c r="T2165" s="1">
        <f>IF($E2165="",0,SUMPRODUCT((AY_SONU!$O$7:$O$42="Evet")*(AY_SONU!$B$7:$B$42=DATE(YEAR($E2165),MONTH($E2165),1))))</f>
        <v>0</v>
      </c>
    </row>
    <row r="2166" spans="1:20" ht="18" customHeight="1" x14ac:dyDescent="0.3">
      <c r="A2166" s="2"/>
      <c r="B2166" s="65" t="str">
        <f t="shared" si="165"/>
        <v/>
      </c>
      <c r="C2166" s="65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66"/>
      <c r="F2166" s="67"/>
      <c r="G2166" s="60"/>
      <c r="H2166" s="60"/>
      <c r="I2166" s="61"/>
      <c r="J2166" s="61"/>
      <c r="K2166" s="61"/>
      <c r="L2166" s="73" t="str">
        <f t="shared" si="166"/>
        <v/>
      </c>
      <c r="M2166" s="65" t="str">
        <f t="shared" ca="1" si="167"/>
        <v/>
      </c>
      <c r="N2166" s="74" t="str">
        <f>IF($C2166="","",IF($C2166="TANIMSIZ MÜŞTERİ","—",INDEX(MUSTERILER!$C$7:$C$156,MATCH($C2166,MUSTERILER!$B$7:$B$156,0))))</f>
        <v/>
      </c>
      <c r="O2166" s="2"/>
      <c r="P2166" s="2"/>
      <c r="Q2166" s="1" t="str">
        <f>IF($D2166="","",$C2166&amp;"|"&amp;COUNTIFS($C$7:$C2166,$C2166))</f>
        <v/>
      </c>
      <c r="R2166" s="1" t="str">
        <f t="shared" si="168"/>
        <v/>
      </c>
      <c r="S2166" s="1" t="str">
        <f t="shared" si="169"/>
        <v/>
      </c>
      <c r="T2166" s="1">
        <f>IF($E2166="",0,SUMPRODUCT((AY_SONU!$O$7:$O$42="Evet")*(AY_SONU!$B$7:$B$42=DATE(YEAR($E2166),MONTH($E2166),1))))</f>
        <v>0</v>
      </c>
    </row>
    <row r="2167" spans="1:20" ht="18" customHeight="1" x14ac:dyDescent="0.3">
      <c r="A2167" s="2"/>
      <c r="B2167" s="65" t="str">
        <f t="shared" si="165"/>
        <v/>
      </c>
      <c r="C2167" s="65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66"/>
      <c r="F2167" s="67"/>
      <c r="G2167" s="60"/>
      <c r="H2167" s="60"/>
      <c r="I2167" s="61"/>
      <c r="J2167" s="61"/>
      <c r="K2167" s="61"/>
      <c r="L2167" s="73" t="str">
        <f t="shared" si="166"/>
        <v/>
      </c>
      <c r="M2167" s="65" t="str">
        <f t="shared" ca="1" si="167"/>
        <v/>
      </c>
      <c r="N2167" s="74" t="str">
        <f>IF($C2167="","",IF($C2167="TANIMSIZ MÜŞTERİ","—",INDEX(MUSTERILER!$C$7:$C$156,MATCH($C2167,MUSTERILER!$B$7:$B$156,0))))</f>
        <v/>
      </c>
      <c r="O2167" s="2"/>
      <c r="P2167" s="2"/>
      <c r="Q2167" s="1" t="str">
        <f>IF($D2167="","",$C2167&amp;"|"&amp;COUNTIFS($C$7:$C2167,$C2167))</f>
        <v/>
      </c>
      <c r="R2167" s="1" t="str">
        <f t="shared" si="168"/>
        <v/>
      </c>
      <c r="S2167" s="1" t="str">
        <f t="shared" si="169"/>
        <v/>
      </c>
      <c r="T2167" s="1">
        <f>IF($E2167="",0,SUMPRODUCT((AY_SONU!$O$7:$O$42="Evet")*(AY_SONU!$B$7:$B$42=DATE(YEAR($E2167),MONTH($E2167),1))))</f>
        <v>0</v>
      </c>
    </row>
    <row r="2168" spans="1:20" ht="18" customHeight="1" x14ac:dyDescent="0.3">
      <c r="A2168" s="2"/>
      <c r="B2168" s="65" t="str">
        <f t="shared" si="165"/>
        <v/>
      </c>
      <c r="C2168" s="65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66"/>
      <c r="F2168" s="67"/>
      <c r="G2168" s="60"/>
      <c r="H2168" s="60"/>
      <c r="I2168" s="61"/>
      <c r="J2168" s="61"/>
      <c r="K2168" s="61"/>
      <c r="L2168" s="73" t="str">
        <f t="shared" si="166"/>
        <v/>
      </c>
      <c r="M2168" s="65" t="str">
        <f t="shared" ca="1" si="167"/>
        <v/>
      </c>
      <c r="N2168" s="74" t="str">
        <f>IF($C2168="","",IF($C2168="TANIMSIZ MÜŞTERİ","—",INDEX(MUSTERILER!$C$7:$C$156,MATCH($C2168,MUSTERILER!$B$7:$B$156,0))))</f>
        <v/>
      </c>
      <c r="O2168" s="2"/>
      <c r="P2168" s="2"/>
      <c r="Q2168" s="1" t="str">
        <f>IF($D2168="","",$C2168&amp;"|"&amp;COUNTIFS($C$7:$C2168,$C2168))</f>
        <v/>
      </c>
      <c r="R2168" s="1" t="str">
        <f t="shared" si="168"/>
        <v/>
      </c>
      <c r="S2168" s="1" t="str">
        <f t="shared" si="169"/>
        <v/>
      </c>
      <c r="T2168" s="1">
        <f>IF($E2168="",0,SUMPRODUCT((AY_SONU!$O$7:$O$42="Evet")*(AY_SONU!$B$7:$B$42=DATE(YEAR($E2168),MONTH($E2168),1))))</f>
        <v>0</v>
      </c>
    </row>
    <row r="2169" spans="1:20" ht="18" customHeight="1" x14ac:dyDescent="0.3">
      <c r="A2169" s="2"/>
      <c r="B2169" s="65" t="str">
        <f t="shared" si="165"/>
        <v/>
      </c>
      <c r="C2169" s="65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66"/>
      <c r="F2169" s="67"/>
      <c r="G2169" s="60"/>
      <c r="H2169" s="60"/>
      <c r="I2169" s="61"/>
      <c r="J2169" s="61"/>
      <c r="K2169" s="61"/>
      <c r="L2169" s="73" t="str">
        <f t="shared" si="166"/>
        <v/>
      </c>
      <c r="M2169" s="65" t="str">
        <f t="shared" ca="1" si="167"/>
        <v/>
      </c>
      <c r="N2169" s="74" t="str">
        <f>IF($C2169="","",IF($C2169="TANIMSIZ MÜŞTERİ","—",INDEX(MUSTERILER!$C$7:$C$156,MATCH($C2169,MUSTERILER!$B$7:$B$156,0))))</f>
        <v/>
      </c>
      <c r="O2169" s="2"/>
      <c r="P2169" s="2"/>
      <c r="Q2169" s="1" t="str">
        <f>IF($D2169="","",$C2169&amp;"|"&amp;COUNTIFS($C$7:$C2169,$C2169))</f>
        <v/>
      </c>
      <c r="R2169" s="1" t="str">
        <f t="shared" si="168"/>
        <v/>
      </c>
      <c r="S2169" s="1" t="str">
        <f t="shared" si="169"/>
        <v/>
      </c>
      <c r="T2169" s="1">
        <f>IF($E2169="",0,SUMPRODUCT((AY_SONU!$O$7:$O$42="Evet")*(AY_SONU!$B$7:$B$42=DATE(YEAR($E2169),MONTH($E2169),1))))</f>
        <v>0</v>
      </c>
    </row>
    <row r="2170" spans="1:20" ht="18" customHeight="1" x14ac:dyDescent="0.3">
      <c r="A2170" s="2"/>
      <c r="B2170" s="65" t="str">
        <f t="shared" si="165"/>
        <v/>
      </c>
      <c r="C2170" s="65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66"/>
      <c r="F2170" s="67"/>
      <c r="G2170" s="60"/>
      <c r="H2170" s="60"/>
      <c r="I2170" s="61"/>
      <c r="J2170" s="61"/>
      <c r="K2170" s="61"/>
      <c r="L2170" s="73" t="str">
        <f t="shared" si="166"/>
        <v/>
      </c>
      <c r="M2170" s="65" t="str">
        <f t="shared" ca="1" si="167"/>
        <v/>
      </c>
      <c r="N2170" s="74" t="str">
        <f>IF($C2170="","",IF($C2170="TANIMSIZ MÜŞTERİ","—",INDEX(MUSTERILER!$C$7:$C$156,MATCH($C2170,MUSTERILER!$B$7:$B$156,0))))</f>
        <v/>
      </c>
      <c r="O2170" s="2"/>
      <c r="P2170" s="2"/>
      <c r="Q2170" s="1" t="str">
        <f>IF($D2170="","",$C2170&amp;"|"&amp;COUNTIFS($C$7:$C2170,$C2170))</f>
        <v/>
      </c>
      <c r="R2170" s="1" t="str">
        <f t="shared" si="168"/>
        <v/>
      </c>
      <c r="S2170" s="1" t="str">
        <f t="shared" si="169"/>
        <v/>
      </c>
      <c r="T2170" s="1">
        <f>IF($E2170="",0,SUMPRODUCT((AY_SONU!$O$7:$O$42="Evet")*(AY_SONU!$B$7:$B$42=DATE(YEAR($E2170),MONTH($E2170),1))))</f>
        <v>0</v>
      </c>
    </row>
    <row r="2171" spans="1:20" ht="18" customHeight="1" x14ac:dyDescent="0.3">
      <c r="A2171" s="2"/>
      <c r="B2171" s="65" t="str">
        <f t="shared" si="165"/>
        <v/>
      </c>
      <c r="C2171" s="65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66"/>
      <c r="F2171" s="67"/>
      <c r="G2171" s="60"/>
      <c r="H2171" s="60"/>
      <c r="I2171" s="61"/>
      <c r="J2171" s="61"/>
      <c r="K2171" s="61"/>
      <c r="L2171" s="73" t="str">
        <f t="shared" si="166"/>
        <v/>
      </c>
      <c r="M2171" s="65" t="str">
        <f t="shared" ca="1" si="167"/>
        <v/>
      </c>
      <c r="N2171" s="74" t="str">
        <f>IF($C2171="","",IF($C2171="TANIMSIZ MÜŞTERİ","—",INDEX(MUSTERILER!$C$7:$C$156,MATCH($C2171,MUSTERILER!$B$7:$B$156,0))))</f>
        <v/>
      </c>
      <c r="O2171" s="2"/>
      <c r="P2171" s="2"/>
      <c r="Q2171" s="1" t="str">
        <f>IF($D2171="","",$C2171&amp;"|"&amp;COUNTIFS($C$7:$C2171,$C2171))</f>
        <v/>
      </c>
      <c r="R2171" s="1" t="str">
        <f t="shared" si="168"/>
        <v/>
      </c>
      <c r="S2171" s="1" t="str">
        <f t="shared" si="169"/>
        <v/>
      </c>
      <c r="T2171" s="1">
        <f>IF($E2171="",0,SUMPRODUCT((AY_SONU!$O$7:$O$42="Evet")*(AY_SONU!$B$7:$B$42=DATE(YEAR($E2171),MONTH($E2171),1))))</f>
        <v>0</v>
      </c>
    </row>
    <row r="2172" spans="1:20" ht="18" customHeight="1" x14ac:dyDescent="0.3">
      <c r="A2172" s="2"/>
      <c r="B2172" s="65" t="str">
        <f t="shared" si="165"/>
        <v/>
      </c>
      <c r="C2172" s="65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66"/>
      <c r="F2172" s="67"/>
      <c r="G2172" s="60"/>
      <c r="H2172" s="60"/>
      <c r="I2172" s="61"/>
      <c r="J2172" s="61"/>
      <c r="K2172" s="61"/>
      <c r="L2172" s="73" t="str">
        <f t="shared" si="166"/>
        <v/>
      </c>
      <c r="M2172" s="65" t="str">
        <f t="shared" ca="1" si="167"/>
        <v/>
      </c>
      <c r="N2172" s="74" t="str">
        <f>IF($C2172="","",IF($C2172="TANIMSIZ MÜŞTERİ","—",INDEX(MUSTERILER!$C$7:$C$156,MATCH($C2172,MUSTERILER!$B$7:$B$156,0))))</f>
        <v/>
      </c>
      <c r="O2172" s="2"/>
      <c r="P2172" s="2"/>
      <c r="Q2172" s="1" t="str">
        <f>IF($D2172="","",$C2172&amp;"|"&amp;COUNTIFS($C$7:$C2172,$C2172))</f>
        <v/>
      </c>
      <c r="R2172" s="1" t="str">
        <f t="shared" si="168"/>
        <v/>
      </c>
      <c r="S2172" s="1" t="str">
        <f t="shared" si="169"/>
        <v/>
      </c>
      <c r="T2172" s="1">
        <f>IF($E2172="",0,SUMPRODUCT((AY_SONU!$O$7:$O$42="Evet")*(AY_SONU!$B$7:$B$42=DATE(YEAR($E2172),MONTH($E2172),1))))</f>
        <v>0</v>
      </c>
    </row>
    <row r="2173" spans="1:20" ht="18" customHeight="1" x14ac:dyDescent="0.3">
      <c r="A2173" s="2"/>
      <c r="B2173" s="65" t="str">
        <f t="shared" si="165"/>
        <v/>
      </c>
      <c r="C2173" s="65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66"/>
      <c r="F2173" s="67"/>
      <c r="G2173" s="60"/>
      <c r="H2173" s="60"/>
      <c r="I2173" s="61"/>
      <c r="J2173" s="61"/>
      <c r="K2173" s="61"/>
      <c r="L2173" s="73" t="str">
        <f t="shared" si="166"/>
        <v/>
      </c>
      <c r="M2173" s="65" t="str">
        <f t="shared" ca="1" si="167"/>
        <v/>
      </c>
      <c r="N2173" s="74" t="str">
        <f>IF($C2173="","",IF($C2173="TANIMSIZ MÜŞTERİ","—",INDEX(MUSTERILER!$C$7:$C$156,MATCH($C2173,MUSTERILER!$B$7:$B$156,0))))</f>
        <v/>
      </c>
      <c r="O2173" s="2"/>
      <c r="P2173" s="2"/>
      <c r="Q2173" s="1" t="str">
        <f>IF($D2173="","",$C2173&amp;"|"&amp;COUNTIFS($C$7:$C2173,$C2173))</f>
        <v/>
      </c>
      <c r="R2173" s="1" t="str">
        <f t="shared" si="168"/>
        <v/>
      </c>
      <c r="S2173" s="1" t="str">
        <f t="shared" si="169"/>
        <v/>
      </c>
      <c r="T2173" s="1">
        <f>IF($E2173="",0,SUMPRODUCT((AY_SONU!$O$7:$O$42="Evet")*(AY_SONU!$B$7:$B$42=DATE(YEAR($E2173),MONTH($E2173),1))))</f>
        <v>0</v>
      </c>
    </row>
    <row r="2174" spans="1:20" ht="18" customHeight="1" x14ac:dyDescent="0.3">
      <c r="A2174" s="2"/>
      <c r="B2174" s="65" t="str">
        <f t="shared" si="165"/>
        <v/>
      </c>
      <c r="C2174" s="65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66"/>
      <c r="F2174" s="67"/>
      <c r="G2174" s="60"/>
      <c r="H2174" s="60"/>
      <c r="I2174" s="61"/>
      <c r="J2174" s="61"/>
      <c r="K2174" s="61"/>
      <c r="L2174" s="73" t="str">
        <f t="shared" si="166"/>
        <v/>
      </c>
      <c r="M2174" s="65" t="str">
        <f t="shared" ca="1" si="167"/>
        <v/>
      </c>
      <c r="N2174" s="74" t="str">
        <f>IF($C2174="","",IF($C2174="TANIMSIZ MÜŞTERİ","—",INDEX(MUSTERILER!$C$7:$C$156,MATCH($C2174,MUSTERILER!$B$7:$B$156,0))))</f>
        <v/>
      </c>
      <c r="O2174" s="2"/>
      <c r="P2174" s="2"/>
      <c r="Q2174" s="1" t="str">
        <f>IF($D2174="","",$C2174&amp;"|"&amp;COUNTIFS($C$7:$C2174,$C2174))</f>
        <v/>
      </c>
      <c r="R2174" s="1" t="str">
        <f t="shared" si="168"/>
        <v/>
      </c>
      <c r="S2174" s="1" t="str">
        <f t="shared" si="169"/>
        <v/>
      </c>
      <c r="T2174" s="1">
        <f>IF($E2174="",0,SUMPRODUCT((AY_SONU!$O$7:$O$42="Evet")*(AY_SONU!$B$7:$B$42=DATE(YEAR($E2174),MONTH($E2174),1))))</f>
        <v>0</v>
      </c>
    </row>
    <row r="2175" spans="1:20" ht="18" customHeight="1" x14ac:dyDescent="0.3">
      <c r="A2175" s="2"/>
      <c r="B2175" s="65" t="str">
        <f t="shared" si="165"/>
        <v/>
      </c>
      <c r="C2175" s="65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66"/>
      <c r="F2175" s="67"/>
      <c r="G2175" s="60"/>
      <c r="H2175" s="60"/>
      <c r="I2175" s="61"/>
      <c r="J2175" s="61"/>
      <c r="K2175" s="61"/>
      <c r="L2175" s="73" t="str">
        <f t="shared" si="166"/>
        <v/>
      </c>
      <c r="M2175" s="65" t="str">
        <f t="shared" ca="1" si="167"/>
        <v/>
      </c>
      <c r="N2175" s="74" t="str">
        <f>IF($C2175="","",IF($C2175="TANIMSIZ MÜŞTERİ","—",INDEX(MUSTERILER!$C$7:$C$156,MATCH($C2175,MUSTERILER!$B$7:$B$156,0))))</f>
        <v/>
      </c>
      <c r="O2175" s="2"/>
      <c r="P2175" s="2"/>
      <c r="Q2175" s="1" t="str">
        <f>IF($D2175="","",$C2175&amp;"|"&amp;COUNTIFS($C$7:$C2175,$C2175))</f>
        <v/>
      </c>
      <c r="R2175" s="1" t="str">
        <f t="shared" si="168"/>
        <v/>
      </c>
      <c r="S2175" s="1" t="str">
        <f t="shared" si="169"/>
        <v/>
      </c>
      <c r="T2175" s="1">
        <f>IF($E2175="",0,SUMPRODUCT((AY_SONU!$O$7:$O$42="Evet")*(AY_SONU!$B$7:$B$42=DATE(YEAR($E2175),MONTH($E2175),1))))</f>
        <v>0</v>
      </c>
    </row>
    <row r="2176" spans="1:20" ht="18" customHeight="1" x14ac:dyDescent="0.3">
      <c r="A2176" s="2"/>
      <c r="B2176" s="65" t="str">
        <f t="shared" si="165"/>
        <v/>
      </c>
      <c r="C2176" s="65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66"/>
      <c r="F2176" s="67"/>
      <c r="G2176" s="60"/>
      <c r="H2176" s="60"/>
      <c r="I2176" s="61"/>
      <c r="J2176" s="61"/>
      <c r="K2176" s="61"/>
      <c r="L2176" s="73" t="str">
        <f t="shared" si="166"/>
        <v/>
      </c>
      <c r="M2176" s="65" t="str">
        <f t="shared" ca="1" si="167"/>
        <v/>
      </c>
      <c r="N2176" s="74" t="str">
        <f>IF($C2176="","",IF($C2176="TANIMSIZ MÜŞTERİ","—",INDEX(MUSTERILER!$C$7:$C$156,MATCH($C2176,MUSTERILER!$B$7:$B$156,0))))</f>
        <v/>
      </c>
      <c r="O2176" s="2"/>
      <c r="P2176" s="2"/>
      <c r="Q2176" s="1" t="str">
        <f>IF($D2176="","",$C2176&amp;"|"&amp;COUNTIFS($C$7:$C2176,$C2176))</f>
        <v/>
      </c>
      <c r="R2176" s="1" t="str">
        <f t="shared" si="168"/>
        <v/>
      </c>
      <c r="S2176" s="1" t="str">
        <f t="shared" si="169"/>
        <v/>
      </c>
      <c r="T2176" s="1">
        <f>IF($E2176="",0,SUMPRODUCT((AY_SONU!$O$7:$O$42="Evet")*(AY_SONU!$B$7:$B$42=DATE(YEAR($E2176),MONTH($E2176),1))))</f>
        <v>0</v>
      </c>
    </row>
    <row r="2177" spans="1:20" ht="18" customHeight="1" x14ac:dyDescent="0.3">
      <c r="A2177" s="2"/>
      <c r="B2177" s="65" t="str">
        <f t="shared" si="165"/>
        <v/>
      </c>
      <c r="C2177" s="65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66"/>
      <c r="F2177" s="67"/>
      <c r="G2177" s="60"/>
      <c r="H2177" s="60"/>
      <c r="I2177" s="61"/>
      <c r="J2177" s="61"/>
      <c r="K2177" s="61"/>
      <c r="L2177" s="73" t="str">
        <f t="shared" si="166"/>
        <v/>
      </c>
      <c r="M2177" s="65" t="str">
        <f t="shared" ca="1" si="167"/>
        <v/>
      </c>
      <c r="N2177" s="74" t="str">
        <f>IF($C2177="","",IF($C2177="TANIMSIZ MÜŞTERİ","—",INDEX(MUSTERILER!$C$7:$C$156,MATCH($C2177,MUSTERILER!$B$7:$B$156,0))))</f>
        <v/>
      </c>
      <c r="O2177" s="2"/>
      <c r="P2177" s="2"/>
      <c r="Q2177" s="1" t="str">
        <f>IF($D2177="","",$C2177&amp;"|"&amp;COUNTIFS($C$7:$C2177,$C2177))</f>
        <v/>
      </c>
      <c r="R2177" s="1" t="str">
        <f t="shared" si="168"/>
        <v/>
      </c>
      <c r="S2177" s="1" t="str">
        <f t="shared" si="169"/>
        <v/>
      </c>
      <c r="T2177" s="1">
        <f>IF($E2177="",0,SUMPRODUCT((AY_SONU!$O$7:$O$42="Evet")*(AY_SONU!$B$7:$B$42=DATE(YEAR($E2177),MONTH($E2177),1))))</f>
        <v>0</v>
      </c>
    </row>
    <row r="2178" spans="1:20" ht="18" customHeight="1" x14ac:dyDescent="0.3">
      <c r="A2178" s="2"/>
      <c r="B2178" s="65" t="str">
        <f t="shared" si="165"/>
        <v/>
      </c>
      <c r="C2178" s="65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66"/>
      <c r="F2178" s="67"/>
      <c r="G2178" s="60"/>
      <c r="H2178" s="60"/>
      <c r="I2178" s="61"/>
      <c r="J2178" s="61"/>
      <c r="K2178" s="61"/>
      <c r="L2178" s="73" t="str">
        <f t="shared" si="166"/>
        <v/>
      </c>
      <c r="M2178" s="65" t="str">
        <f t="shared" ca="1" si="167"/>
        <v/>
      </c>
      <c r="N2178" s="74" t="str">
        <f>IF($C2178="","",IF($C2178="TANIMSIZ MÜŞTERİ","—",INDEX(MUSTERILER!$C$7:$C$156,MATCH($C2178,MUSTERILER!$B$7:$B$156,0))))</f>
        <v/>
      </c>
      <c r="O2178" s="2"/>
      <c r="P2178" s="2"/>
      <c r="Q2178" s="1" t="str">
        <f>IF($D2178="","",$C2178&amp;"|"&amp;COUNTIFS($C$7:$C2178,$C2178))</f>
        <v/>
      </c>
      <c r="R2178" s="1" t="str">
        <f t="shared" si="168"/>
        <v/>
      </c>
      <c r="S2178" s="1" t="str">
        <f t="shared" si="169"/>
        <v/>
      </c>
      <c r="T2178" s="1">
        <f>IF($E2178="",0,SUMPRODUCT((AY_SONU!$O$7:$O$42="Evet")*(AY_SONU!$B$7:$B$42=DATE(YEAR($E2178),MONTH($E2178),1))))</f>
        <v>0</v>
      </c>
    </row>
    <row r="2179" spans="1:20" ht="18" customHeight="1" x14ac:dyDescent="0.3">
      <c r="A2179" s="2"/>
      <c r="B2179" s="65" t="str">
        <f t="shared" si="165"/>
        <v/>
      </c>
      <c r="C2179" s="65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66"/>
      <c r="F2179" s="67"/>
      <c r="G2179" s="60"/>
      <c r="H2179" s="60"/>
      <c r="I2179" s="61"/>
      <c r="J2179" s="61"/>
      <c r="K2179" s="61"/>
      <c r="L2179" s="73" t="str">
        <f t="shared" si="166"/>
        <v/>
      </c>
      <c r="M2179" s="65" t="str">
        <f t="shared" ca="1" si="167"/>
        <v/>
      </c>
      <c r="N2179" s="74" t="str">
        <f>IF($C2179="","",IF($C2179="TANIMSIZ MÜŞTERİ","—",INDEX(MUSTERILER!$C$7:$C$156,MATCH($C2179,MUSTERILER!$B$7:$B$156,0))))</f>
        <v/>
      </c>
      <c r="O2179" s="2"/>
      <c r="P2179" s="2"/>
      <c r="Q2179" s="1" t="str">
        <f>IF($D2179="","",$C2179&amp;"|"&amp;COUNTIFS($C$7:$C2179,$C2179))</f>
        <v/>
      </c>
      <c r="R2179" s="1" t="str">
        <f t="shared" si="168"/>
        <v/>
      </c>
      <c r="S2179" s="1" t="str">
        <f t="shared" si="169"/>
        <v/>
      </c>
      <c r="T2179" s="1">
        <f>IF($E2179="",0,SUMPRODUCT((AY_SONU!$O$7:$O$42="Evet")*(AY_SONU!$B$7:$B$42=DATE(YEAR($E2179),MONTH($E2179),1))))</f>
        <v>0</v>
      </c>
    </row>
    <row r="2180" spans="1:20" ht="18" customHeight="1" x14ac:dyDescent="0.3">
      <c r="A2180" s="2"/>
      <c r="B2180" s="65" t="str">
        <f t="shared" si="165"/>
        <v/>
      </c>
      <c r="C2180" s="65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66"/>
      <c r="F2180" s="67"/>
      <c r="G2180" s="60"/>
      <c r="H2180" s="60"/>
      <c r="I2180" s="61"/>
      <c r="J2180" s="61"/>
      <c r="K2180" s="61"/>
      <c r="L2180" s="73" t="str">
        <f t="shared" si="166"/>
        <v/>
      </c>
      <c r="M2180" s="65" t="str">
        <f t="shared" ca="1" si="167"/>
        <v/>
      </c>
      <c r="N2180" s="74" t="str">
        <f>IF($C2180="","",IF($C2180="TANIMSIZ MÜŞTERİ","—",INDEX(MUSTERILER!$C$7:$C$156,MATCH($C2180,MUSTERILER!$B$7:$B$156,0))))</f>
        <v/>
      </c>
      <c r="O2180" s="2"/>
      <c r="P2180" s="2"/>
      <c r="Q2180" s="1" t="str">
        <f>IF($D2180="","",$C2180&amp;"|"&amp;COUNTIFS($C$7:$C2180,$C2180))</f>
        <v/>
      </c>
      <c r="R2180" s="1" t="str">
        <f t="shared" si="168"/>
        <v/>
      </c>
      <c r="S2180" s="1" t="str">
        <f t="shared" si="169"/>
        <v/>
      </c>
      <c r="T2180" s="1">
        <f>IF($E2180="",0,SUMPRODUCT((AY_SONU!$O$7:$O$42="Evet")*(AY_SONU!$B$7:$B$42=DATE(YEAR($E2180),MONTH($E2180),1))))</f>
        <v>0</v>
      </c>
    </row>
    <row r="2181" spans="1:20" ht="18" customHeight="1" x14ac:dyDescent="0.3">
      <c r="A2181" s="2"/>
      <c r="B2181" s="65" t="str">
        <f t="shared" si="165"/>
        <v/>
      </c>
      <c r="C2181" s="65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66"/>
      <c r="F2181" s="67"/>
      <c r="G2181" s="60"/>
      <c r="H2181" s="60"/>
      <c r="I2181" s="61"/>
      <c r="J2181" s="61"/>
      <c r="K2181" s="61"/>
      <c r="L2181" s="73" t="str">
        <f t="shared" si="166"/>
        <v/>
      </c>
      <c r="M2181" s="65" t="str">
        <f t="shared" ca="1" si="167"/>
        <v/>
      </c>
      <c r="N2181" s="74" t="str">
        <f>IF($C2181="","",IF($C2181="TANIMSIZ MÜŞTERİ","—",INDEX(MUSTERILER!$C$7:$C$156,MATCH($C2181,MUSTERILER!$B$7:$B$156,0))))</f>
        <v/>
      </c>
      <c r="O2181" s="2"/>
      <c r="P2181" s="2"/>
      <c r="Q2181" s="1" t="str">
        <f>IF($D2181="","",$C2181&amp;"|"&amp;COUNTIFS($C$7:$C2181,$C2181))</f>
        <v/>
      </c>
      <c r="R2181" s="1" t="str">
        <f t="shared" si="168"/>
        <v/>
      </c>
      <c r="S2181" s="1" t="str">
        <f t="shared" si="169"/>
        <v/>
      </c>
      <c r="T2181" s="1">
        <f>IF($E2181="",0,SUMPRODUCT((AY_SONU!$O$7:$O$42="Evet")*(AY_SONU!$B$7:$B$42=DATE(YEAR($E2181),MONTH($E2181),1))))</f>
        <v>0</v>
      </c>
    </row>
    <row r="2182" spans="1:20" ht="18" customHeight="1" x14ac:dyDescent="0.3">
      <c r="A2182" s="2"/>
      <c r="B2182" s="65" t="str">
        <f t="shared" si="165"/>
        <v/>
      </c>
      <c r="C2182" s="65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66"/>
      <c r="F2182" s="67"/>
      <c r="G2182" s="60"/>
      <c r="H2182" s="60"/>
      <c r="I2182" s="61"/>
      <c r="J2182" s="61"/>
      <c r="K2182" s="61"/>
      <c r="L2182" s="73" t="str">
        <f t="shared" si="166"/>
        <v/>
      </c>
      <c r="M2182" s="65" t="str">
        <f t="shared" ca="1" si="167"/>
        <v/>
      </c>
      <c r="N2182" s="74" t="str">
        <f>IF($C2182="","",IF($C2182="TANIMSIZ MÜŞTERİ","—",INDEX(MUSTERILER!$C$7:$C$156,MATCH($C2182,MUSTERILER!$B$7:$B$156,0))))</f>
        <v/>
      </c>
      <c r="O2182" s="2"/>
      <c r="P2182" s="2"/>
      <c r="Q2182" s="1" t="str">
        <f>IF($D2182="","",$C2182&amp;"|"&amp;COUNTIFS($C$7:$C2182,$C2182))</f>
        <v/>
      </c>
      <c r="R2182" s="1" t="str">
        <f t="shared" si="168"/>
        <v/>
      </c>
      <c r="S2182" s="1" t="str">
        <f t="shared" si="169"/>
        <v/>
      </c>
      <c r="T2182" s="1">
        <f>IF($E2182="",0,SUMPRODUCT((AY_SONU!$O$7:$O$42="Evet")*(AY_SONU!$B$7:$B$42=DATE(YEAR($E2182),MONTH($E2182),1))))</f>
        <v>0</v>
      </c>
    </row>
    <row r="2183" spans="1:20" ht="18" customHeight="1" x14ac:dyDescent="0.3">
      <c r="A2183" s="2"/>
      <c r="B2183" s="65" t="str">
        <f t="shared" ref="B2183:B2246" si="170">IF($D2183="","","T"&amp;TEXT(ROW()-6,"00000"))</f>
        <v/>
      </c>
      <c r="C2183" s="65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66"/>
      <c r="F2183" s="67"/>
      <c r="G2183" s="60"/>
      <c r="H2183" s="60"/>
      <c r="I2183" s="61"/>
      <c r="J2183" s="61"/>
      <c r="K2183" s="61"/>
      <c r="L2183" s="73" t="str">
        <f t="shared" ref="L2183:L2246" si="171">IF($E2183="","",DATE(YEAR($E2183),MONTH($E2183),1))</f>
        <v/>
      </c>
      <c r="M2183" s="65" t="str">
        <f t="shared" ref="M2183:M2246" ca="1" si="172">IF($D2183="","",IF($C2183="TANIMSIZ MÜŞTERİ","HATA",IF(OR($E2183="",$F2183&lt;=0,$G2183=""),"EKSİK",IF($E2183&gt;TODAY(),"İLERİ TARİH",IF(COUNTIF($S$7:$S$2506,$S2183)&gt;1,"MÜKERRER?",IF($T2183&gt;0,"KAPALI DÖNEM","UYGUN"))))))</f>
        <v/>
      </c>
      <c r="N2183" s="74" t="str">
        <f>IF($C2183="","",IF($C2183="TANIMSIZ MÜŞTERİ","—",INDEX(MUSTERILER!$C$7:$C$156,MATCH($C2183,MUSTERILER!$B$7:$B$156,0))))</f>
        <v/>
      </c>
      <c r="O2183" s="2"/>
      <c r="P2183" s="2"/>
      <c r="Q2183" s="1" t="str">
        <f>IF($D2183="","",$C2183&amp;"|"&amp;COUNTIFS($C$7:$C2183,$C2183))</f>
        <v/>
      </c>
      <c r="R2183" s="1" t="str">
        <f t="shared" ref="R2183:R2246" si="173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 t="str">
        <f t="shared" ref="S2183:S2246" si="174"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>0</v>
      </c>
    </row>
    <row r="2184" spans="1:20" ht="18" customHeight="1" x14ac:dyDescent="0.3">
      <c r="A2184" s="2"/>
      <c r="B2184" s="65" t="str">
        <f t="shared" si="170"/>
        <v/>
      </c>
      <c r="C2184" s="65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66"/>
      <c r="F2184" s="67"/>
      <c r="G2184" s="60"/>
      <c r="H2184" s="60"/>
      <c r="I2184" s="61"/>
      <c r="J2184" s="61"/>
      <c r="K2184" s="61"/>
      <c r="L2184" s="73" t="str">
        <f t="shared" si="171"/>
        <v/>
      </c>
      <c r="M2184" s="65" t="str">
        <f t="shared" ca="1" si="172"/>
        <v/>
      </c>
      <c r="N2184" s="74" t="str">
        <f>IF($C2184="","",IF($C2184="TANIMSIZ MÜŞTERİ","—",INDEX(MUSTERILER!$C$7:$C$156,MATCH($C2184,MUSTERILER!$B$7:$B$156,0))))</f>
        <v/>
      </c>
      <c r="O2184" s="2"/>
      <c r="P2184" s="2"/>
      <c r="Q2184" s="1" t="str">
        <f>IF($D2184="","",$C2184&amp;"|"&amp;COUNTIFS($C$7:$C2184,$C2184))</f>
        <v/>
      </c>
      <c r="R2184" s="1" t="str">
        <f t="shared" si="173"/>
        <v/>
      </c>
      <c r="S2184" s="1" t="str">
        <f t="shared" si="174"/>
        <v/>
      </c>
      <c r="T2184" s="1">
        <f>IF($E2184="",0,SUMPRODUCT((AY_SONU!$O$7:$O$42="Evet")*(AY_SONU!$B$7:$B$42=DATE(YEAR($E2184),MONTH($E2184),1))))</f>
        <v>0</v>
      </c>
    </row>
    <row r="2185" spans="1:20" ht="18" customHeight="1" x14ac:dyDescent="0.3">
      <c r="A2185" s="2"/>
      <c r="B2185" s="65" t="str">
        <f t="shared" si="170"/>
        <v/>
      </c>
      <c r="C2185" s="65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66"/>
      <c r="F2185" s="67"/>
      <c r="G2185" s="60"/>
      <c r="H2185" s="60"/>
      <c r="I2185" s="61"/>
      <c r="J2185" s="61"/>
      <c r="K2185" s="61"/>
      <c r="L2185" s="73" t="str">
        <f t="shared" si="171"/>
        <v/>
      </c>
      <c r="M2185" s="65" t="str">
        <f t="shared" ca="1" si="172"/>
        <v/>
      </c>
      <c r="N2185" s="74" t="str">
        <f>IF($C2185="","",IF($C2185="TANIMSIZ MÜŞTERİ","—",INDEX(MUSTERILER!$C$7:$C$156,MATCH($C2185,MUSTERILER!$B$7:$B$156,0))))</f>
        <v/>
      </c>
      <c r="O2185" s="2"/>
      <c r="P2185" s="2"/>
      <c r="Q2185" s="1" t="str">
        <f>IF($D2185="","",$C2185&amp;"|"&amp;COUNTIFS($C$7:$C2185,$C2185))</f>
        <v/>
      </c>
      <c r="R2185" s="1" t="str">
        <f t="shared" si="173"/>
        <v/>
      </c>
      <c r="S2185" s="1" t="str">
        <f t="shared" si="174"/>
        <v/>
      </c>
      <c r="T2185" s="1">
        <f>IF($E2185="",0,SUMPRODUCT((AY_SONU!$O$7:$O$42="Evet")*(AY_SONU!$B$7:$B$42=DATE(YEAR($E2185),MONTH($E2185),1))))</f>
        <v>0</v>
      </c>
    </row>
    <row r="2186" spans="1:20" ht="18" customHeight="1" x14ac:dyDescent="0.3">
      <c r="A2186" s="2"/>
      <c r="B2186" s="65" t="str">
        <f t="shared" si="170"/>
        <v/>
      </c>
      <c r="C2186" s="65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66"/>
      <c r="F2186" s="67"/>
      <c r="G2186" s="60"/>
      <c r="H2186" s="60"/>
      <c r="I2186" s="61"/>
      <c r="J2186" s="61"/>
      <c r="K2186" s="61"/>
      <c r="L2186" s="73" t="str">
        <f t="shared" si="171"/>
        <v/>
      </c>
      <c r="M2186" s="65" t="str">
        <f t="shared" ca="1" si="172"/>
        <v/>
      </c>
      <c r="N2186" s="74" t="str">
        <f>IF($C2186="","",IF($C2186="TANIMSIZ MÜŞTERİ","—",INDEX(MUSTERILER!$C$7:$C$156,MATCH($C2186,MUSTERILER!$B$7:$B$156,0))))</f>
        <v/>
      </c>
      <c r="O2186" s="2"/>
      <c r="P2186" s="2"/>
      <c r="Q2186" s="1" t="str">
        <f>IF($D2186="","",$C2186&amp;"|"&amp;COUNTIFS($C$7:$C2186,$C2186))</f>
        <v/>
      </c>
      <c r="R2186" s="1" t="str">
        <f t="shared" si="173"/>
        <v/>
      </c>
      <c r="S2186" s="1" t="str">
        <f t="shared" si="174"/>
        <v/>
      </c>
      <c r="T2186" s="1">
        <f>IF($E2186="",0,SUMPRODUCT((AY_SONU!$O$7:$O$42="Evet")*(AY_SONU!$B$7:$B$42=DATE(YEAR($E2186),MONTH($E2186),1))))</f>
        <v>0</v>
      </c>
    </row>
    <row r="2187" spans="1:20" ht="18" customHeight="1" x14ac:dyDescent="0.3">
      <c r="A2187" s="2"/>
      <c r="B2187" s="65" t="str">
        <f t="shared" si="170"/>
        <v/>
      </c>
      <c r="C2187" s="65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66"/>
      <c r="F2187" s="67"/>
      <c r="G2187" s="60"/>
      <c r="H2187" s="60"/>
      <c r="I2187" s="61"/>
      <c r="J2187" s="61"/>
      <c r="K2187" s="61"/>
      <c r="L2187" s="73" t="str">
        <f t="shared" si="171"/>
        <v/>
      </c>
      <c r="M2187" s="65" t="str">
        <f t="shared" ca="1" si="172"/>
        <v/>
      </c>
      <c r="N2187" s="74" t="str">
        <f>IF($C2187="","",IF($C2187="TANIMSIZ MÜŞTERİ","—",INDEX(MUSTERILER!$C$7:$C$156,MATCH($C2187,MUSTERILER!$B$7:$B$156,0))))</f>
        <v/>
      </c>
      <c r="O2187" s="2"/>
      <c r="P2187" s="2"/>
      <c r="Q2187" s="1" t="str">
        <f>IF($D2187="","",$C2187&amp;"|"&amp;COUNTIFS($C$7:$C2187,$C2187))</f>
        <v/>
      </c>
      <c r="R2187" s="1" t="str">
        <f t="shared" si="173"/>
        <v/>
      </c>
      <c r="S2187" s="1" t="str">
        <f t="shared" si="174"/>
        <v/>
      </c>
      <c r="T2187" s="1">
        <f>IF($E2187="",0,SUMPRODUCT((AY_SONU!$O$7:$O$42="Evet")*(AY_SONU!$B$7:$B$42=DATE(YEAR($E2187),MONTH($E2187),1))))</f>
        <v>0</v>
      </c>
    </row>
    <row r="2188" spans="1:20" ht="18" customHeight="1" x14ac:dyDescent="0.3">
      <c r="A2188" s="2"/>
      <c r="B2188" s="65" t="str">
        <f t="shared" si="170"/>
        <v/>
      </c>
      <c r="C2188" s="65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66"/>
      <c r="F2188" s="67"/>
      <c r="G2188" s="60"/>
      <c r="H2188" s="60"/>
      <c r="I2188" s="61"/>
      <c r="J2188" s="61"/>
      <c r="K2188" s="61"/>
      <c r="L2188" s="73" t="str">
        <f t="shared" si="171"/>
        <v/>
      </c>
      <c r="M2188" s="65" t="str">
        <f t="shared" ca="1" si="172"/>
        <v/>
      </c>
      <c r="N2188" s="74" t="str">
        <f>IF($C2188="","",IF($C2188="TANIMSIZ MÜŞTERİ","—",INDEX(MUSTERILER!$C$7:$C$156,MATCH($C2188,MUSTERILER!$B$7:$B$156,0))))</f>
        <v/>
      </c>
      <c r="O2188" s="2"/>
      <c r="P2188" s="2"/>
      <c r="Q2188" s="1" t="str">
        <f>IF($D2188="","",$C2188&amp;"|"&amp;COUNTIFS($C$7:$C2188,$C2188))</f>
        <v/>
      </c>
      <c r="R2188" s="1" t="str">
        <f t="shared" si="173"/>
        <v/>
      </c>
      <c r="S2188" s="1" t="str">
        <f t="shared" si="174"/>
        <v/>
      </c>
      <c r="T2188" s="1">
        <f>IF($E2188="",0,SUMPRODUCT((AY_SONU!$O$7:$O$42="Evet")*(AY_SONU!$B$7:$B$42=DATE(YEAR($E2188),MONTH($E2188),1))))</f>
        <v>0</v>
      </c>
    </row>
    <row r="2189" spans="1:20" ht="18" customHeight="1" x14ac:dyDescent="0.3">
      <c r="A2189" s="2"/>
      <c r="B2189" s="65" t="str">
        <f t="shared" si="170"/>
        <v/>
      </c>
      <c r="C2189" s="65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66"/>
      <c r="F2189" s="67"/>
      <c r="G2189" s="60"/>
      <c r="H2189" s="60"/>
      <c r="I2189" s="61"/>
      <c r="J2189" s="61"/>
      <c r="K2189" s="61"/>
      <c r="L2189" s="73" t="str">
        <f t="shared" si="171"/>
        <v/>
      </c>
      <c r="M2189" s="65" t="str">
        <f t="shared" ca="1" si="172"/>
        <v/>
      </c>
      <c r="N2189" s="74" t="str">
        <f>IF($C2189="","",IF($C2189="TANIMSIZ MÜŞTERİ","—",INDEX(MUSTERILER!$C$7:$C$156,MATCH($C2189,MUSTERILER!$B$7:$B$156,0))))</f>
        <v/>
      </c>
      <c r="O2189" s="2"/>
      <c r="P2189" s="2"/>
      <c r="Q2189" s="1" t="str">
        <f>IF($D2189="","",$C2189&amp;"|"&amp;COUNTIFS($C$7:$C2189,$C2189))</f>
        <v/>
      </c>
      <c r="R2189" s="1" t="str">
        <f t="shared" si="173"/>
        <v/>
      </c>
      <c r="S2189" s="1" t="str">
        <f t="shared" si="174"/>
        <v/>
      </c>
      <c r="T2189" s="1">
        <f>IF($E2189="",0,SUMPRODUCT((AY_SONU!$O$7:$O$42="Evet")*(AY_SONU!$B$7:$B$42=DATE(YEAR($E2189),MONTH($E2189),1))))</f>
        <v>0</v>
      </c>
    </row>
    <row r="2190" spans="1:20" ht="18" customHeight="1" x14ac:dyDescent="0.3">
      <c r="A2190" s="2"/>
      <c r="B2190" s="65" t="str">
        <f t="shared" si="170"/>
        <v/>
      </c>
      <c r="C2190" s="65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66"/>
      <c r="F2190" s="67"/>
      <c r="G2190" s="60"/>
      <c r="H2190" s="60"/>
      <c r="I2190" s="61"/>
      <c r="J2190" s="61"/>
      <c r="K2190" s="61"/>
      <c r="L2190" s="73" t="str">
        <f t="shared" si="171"/>
        <v/>
      </c>
      <c r="M2190" s="65" t="str">
        <f t="shared" ca="1" si="172"/>
        <v/>
      </c>
      <c r="N2190" s="74" t="str">
        <f>IF($C2190="","",IF($C2190="TANIMSIZ MÜŞTERİ","—",INDEX(MUSTERILER!$C$7:$C$156,MATCH($C2190,MUSTERILER!$B$7:$B$156,0))))</f>
        <v/>
      </c>
      <c r="O2190" s="2"/>
      <c r="P2190" s="2"/>
      <c r="Q2190" s="1" t="str">
        <f>IF($D2190="","",$C2190&amp;"|"&amp;COUNTIFS($C$7:$C2190,$C2190))</f>
        <v/>
      </c>
      <c r="R2190" s="1" t="str">
        <f t="shared" si="173"/>
        <v/>
      </c>
      <c r="S2190" s="1" t="str">
        <f t="shared" si="174"/>
        <v/>
      </c>
      <c r="T2190" s="1">
        <f>IF($E2190="",0,SUMPRODUCT((AY_SONU!$O$7:$O$42="Evet")*(AY_SONU!$B$7:$B$42=DATE(YEAR($E2190),MONTH($E2190),1))))</f>
        <v>0</v>
      </c>
    </row>
    <row r="2191" spans="1:20" ht="18" customHeight="1" x14ac:dyDescent="0.3">
      <c r="A2191" s="2"/>
      <c r="B2191" s="65" t="str">
        <f t="shared" si="170"/>
        <v/>
      </c>
      <c r="C2191" s="65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66"/>
      <c r="F2191" s="67"/>
      <c r="G2191" s="60"/>
      <c r="H2191" s="60"/>
      <c r="I2191" s="61"/>
      <c r="J2191" s="61"/>
      <c r="K2191" s="61"/>
      <c r="L2191" s="73" t="str">
        <f t="shared" si="171"/>
        <v/>
      </c>
      <c r="M2191" s="65" t="str">
        <f t="shared" ca="1" si="172"/>
        <v/>
      </c>
      <c r="N2191" s="74" t="str">
        <f>IF($C2191="","",IF($C2191="TANIMSIZ MÜŞTERİ","—",INDEX(MUSTERILER!$C$7:$C$156,MATCH($C2191,MUSTERILER!$B$7:$B$156,0))))</f>
        <v/>
      </c>
      <c r="O2191" s="2"/>
      <c r="P2191" s="2"/>
      <c r="Q2191" s="1" t="str">
        <f>IF($D2191="","",$C2191&amp;"|"&amp;COUNTIFS($C$7:$C2191,$C2191))</f>
        <v/>
      </c>
      <c r="R2191" s="1" t="str">
        <f t="shared" si="173"/>
        <v/>
      </c>
      <c r="S2191" s="1" t="str">
        <f t="shared" si="174"/>
        <v/>
      </c>
      <c r="T2191" s="1">
        <f>IF($E2191="",0,SUMPRODUCT((AY_SONU!$O$7:$O$42="Evet")*(AY_SONU!$B$7:$B$42=DATE(YEAR($E2191),MONTH($E2191),1))))</f>
        <v>0</v>
      </c>
    </row>
    <row r="2192" spans="1:20" ht="18" customHeight="1" x14ac:dyDescent="0.3">
      <c r="A2192" s="2"/>
      <c r="B2192" s="65" t="str">
        <f t="shared" si="170"/>
        <v/>
      </c>
      <c r="C2192" s="65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66"/>
      <c r="F2192" s="67"/>
      <c r="G2192" s="60"/>
      <c r="H2192" s="60"/>
      <c r="I2192" s="61"/>
      <c r="J2192" s="61"/>
      <c r="K2192" s="61"/>
      <c r="L2192" s="73" t="str">
        <f t="shared" si="171"/>
        <v/>
      </c>
      <c r="M2192" s="65" t="str">
        <f t="shared" ca="1" si="172"/>
        <v/>
      </c>
      <c r="N2192" s="74" t="str">
        <f>IF($C2192="","",IF($C2192="TANIMSIZ MÜŞTERİ","—",INDEX(MUSTERILER!$C$7:$C$156,MATCH($C2192,MUSTERILER!$B$7:$B$156,0))))</f>
        <v/>
      </c>
      <c r="O2192" s="2"/>
      <c r="P2192" s="2"/>
      <c r="Q2192" s="1" t="str">
        <f>IF($D2192="","",$C2192&amp;"|"&amp;COUNTIFS($C$7:$C2192,$C2192))</f>
        <v/>
      </c>
      <c r="R2192" s="1" t="str">
        <f t="shared" si="173"/>
        <v/>
      </c>
      <c r="S2192" s="1" t="str">
        <f t="shared" si="174"/>
        <v/>
      </c>
      <c r="T2192" s="1">
        <f>IF($E2192="",0,SUMPRODUCT((AY_SONU!$O$7:$O$42="Evet")*(AY_SONU!$B$7:$B$42=DATE(YEAR($E2192),MONTH($E2192),1))))</f>
        <v>0</v>
      </c>
    </row>
    <row r="2193" spans="1:20" ht="18" customHeight="1" x14ac:dyDescent="0.3">
      <c r="A2193" s="2"/>
      <c r="B2193" s="65" t="str">
        <f t="shared" si="170"/>
        <v/>
      </c>
      <c r="C2193" s="65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66"/>
      <c r="F2193" s="67"/>
      <c r="G2193" s="60"/>
      <c r="H2193" s="60"/>
      <c r="I2193" s="61"/>
      <c r="J2193" s="61"/>
      <c r="K2193" s="61"/>
      <c r="L2193" s="73" t="str">
        <f t="shared" si="171"/>
        <v/>
      </c>
      <c r="M2193" s="65" t="str">
        <f t="shared" ca="1" si="172"/>
        <v/>
      </c>
      <c r="N2193" s="74" t="str">
        <f>IF($C2193="","",IF($C2193="TANIMSIZ MÜŞTERİ","—",INDEX(MUSTERILER!$C$7:$C$156,MATCH($C2193,MUSTERILER!$B$7:$B$156,0))))</f>
        <v/>
      </c>
      <c r="O2193" s="2"/>
      <c r="P2193" s="2"/>
      <c r="Q2193" s="1" t="str">
        <f>IF($D2193="","",$C2193&amp;"|"&amp;COUNTIFS($C$7:$C2193,$C2193))</f>
        <v/>
      </c>
      <c r="R2193" s="1" t="str">
        <f t="shared" si="173"/>
        <v/>
      </c>
      <c r="S2193" s="1" t="str">
        <f t="shared" si="174"/>
        <v/>
      </c>
      <c r="T2193" s="1">
        <f>IF($E2193="",0,SUMPRODUCT((AY_SONU!$O$7:$O$42="Evet")*(AY_SONU!$B$7:$B$42=DATE(YEAR($E2193),MONTH($E2193),1))))</f>
        <v>0</v>
      </c>
    </row>
    <row r="2194" spans="1:20" ht="18" customHeight="1" x14ac:dyDescent="0.3">
      <c r="A2194" s="2"/>
      <c r="B2194" s="65" t="str">
        <f t="shared" si="170"/>
        <v/>
      </c>
      <c r="C2194" s="65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66"/>
      <c r="F2194" s="67"/>
      <c r="G2194" s="60"/>
      <c r="H2194" s="60"/>
      <c r="I2194" s="61"/>
      <c r="J2194" s="61"/>
      <c r="K2194" s="61"/>
      <c r="L2194" s="73" t="str">
        <f t="shared" si="171"/>
        <v/>
      </c>
      <c r="M2194" s="65" t="str">
        <f t="shared" ca="1" si="172"/>
        <v/>
      </c>
      <c r="N2194" s="74" t="str">
        <f>IF($C2194="","",IF($C2194="TANIMSIZ MÜŞTERİ","—",INDEX(MUSTERILER!$C$7:$C$156,MATCH($C2194,MUSTERILER!$B$7:$B$156,0))))</f>
        <v/>
      </c>
      <c r="O2194" s="2"/>
      <c r="P2194" s="2"/>
      <c r="Q2194" s="1" t="str">
        <f>IF($D2194="","",$C2194&amp;"|"&amp;COUNTIFS($C$7:$C2194,$C2194))</f>
        <v/>
      </c>
      <c r="R2194" s="1" t="str">
        <f t="shared" si="173"/>
        <v/>
      </c>
      <c r="S2194" s="1" t="str">
        <f t="shared" si="174"/>
        <v/>
      </c>
      <c r="T2194" s="1">
        <f>IF($E2194="",0,SUMPRODUCT((AY_SONU!$O$7:$O$42="Evet")*(AY_SONU!$B$7:$B$42=DATE(YEAR($E2194),MONTH($E2194),1))))</f>
        <v>0</v>
      </c>
    </row>
    <row r="2195" spans="1:20" ht="18" customHeight="1" x14ac:dyDescent="0.3">
      <c r="A2195" s="2"/>
      <c r="B2195" s="65" t="str">
        <f t="shared" si="170"/>
        <v/>
      </c>
      <c r="C2195" s="65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66"/>
      <c r="F2195" s="67"/>
      <c r="G2195" s="60"/>
      <c r="H2195" s="60"/>
      <c r="I2195" s="61"/>
      <c r="J2195" s="61"/>
      <c r="K2195" s="61"/>
      <c r="L2195" s="73" t="str">
        <f t="shared" si="171"/>
        <v/>
      </c>
      <c r="M2195" s="65" t="str">
        <f t="shared" ca="1" si="172"/>
        <v/>
      </c>
      <c r="N2195" s="74" t="str">
        <f>IF($C2195="","",IF($C2195="TANIMSIZ MÜŞTERİ","—",INDEX(MUSTERILER!$C$7:$C$156,MATCH($C2195,MUSTERILER!$B$7:$B$156,0))))</f>
        <v/>
      </c>
      <c r="O2195" s="2"/>
      <c r="P2195" s="2"/>
      <c r="Q2195" s="1" t="str">
        <f>IF($D2195="","",$C2195&amp;"|"&amp;COUNTIFS($C$7:$C2195,$C2195))</f>
        <v/>
      </c>
      <c r="R2195" s="1" t="str">
        <f t="shared" si="173"/>
        <v/>
      </c>
      <c r="S2195" s="1" t="str">
        <f t="shared" si="174"/>
        <v/>
      </c>
      <c r="T2195" s="1">
        <f>IF($E2195="",0,SUMPRODUCT((AY_SONU!$O$7:$O$42="Evet")*(AY_SONU!$B$7:$B$42=DATE(YEAR($E2195),MONTH($E2195),1))))</f>
        <v>0</v>
      </c>
    </row>
    <row r="2196" spans="1:20" ht="18" customHeight="1" x14ac:dyDescent="0.3">
      <c r="A2196" s="2"/>
      <c r="B2196" s="65" t="str">
        <f t="shared" si="170"/>
        <v/>
      </c>
      <c r="C2196" s="65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66"/>
      <c r="F2196" s="67"/>
      <c r="G2196" s="60"/>
      <c r="H2196" s="60"/>
      <c r="I2196" s="61"/>
      <c r="J2196" s="61"/>
      <c r="K2196" s="61"/>
      <c r="L2196" s="73" t="str">
        <f t="shared" si="171"/>
        <v/>
      </c>
      <c r="M2196" s="65" t="str">
        <f t="shared" ca="1" si="172"/>
        <v/>
      </c>
      <c r="N2196" s="74" t="str">
        <f>IF($C2196="","",IF($C2196="TANIMSIZ MÜŞTERİ","—",INDEX(MUSTERILER!$C$7:$C$156,MATCH($C2196,MUSTERILER!$B$7:$B$156,0))))</f>
        <v/>
      </c>
      <c r="O2196" s="2"/>
      <c r="P2196" s="2"/>
      <c r="Q2196" s="1" t="str">
        <f>IF($D2196="","",$C2196&amp;"|"&amp;COUNTIFS($C$7:$C2196,$C2196))</f>
        <v/>
      </c>
      <c r="R2196" s="1" t="str">
        <f t="shared" si="173"/>
        <v/>
      </c>
      <c r="S2196" s="1" t="str">
        <f t="shared" si="174"/>
        <v/>
      </c>
      <c r="T2196" s="1">
        <f>IF($E2196="",0,SUMPRODUCT((AY_SONU!$O$7:$O$42="Evet")*(AY_SONU!$B$7:$B$42=DATE(YEAR($E2196),MONTH($E2196),1))))</f>
        <v>0</v>
      </c>
    </row>
    <row r="2197" spans="1:20" ht="18" customHeight="1" x14ac:dyDescent="0.3">
      <c r="A2197" s="2"/>
      <c r="B2197" s="65" t="str">
        <f t="shared" si="170"/>
        <v/>
      </c>
      <c r="C2197" s="65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66"/>
      <c r="F2197" s="67"/>
      <c r="G2197" s="60"/>
      <c r="H2197" s="60"/>
      <c r="I2197" s="61"/>
      <c r="J2197" s="61"/>
      <c r="K2197" s="61"/>
      <c r="L2197" s="73" t="str">
        <f t="shared" si="171"/>
        <v/>
      </c>
      <c r="M2197" s="65" t="str">
        <f t="shared" ca="1" si="172"/>
        <v/>
      </c>
      <c r="N2197" s="74" t="str">
        <f>IF($C2197="","",IF($C2197="TANIMSIZ MÜŞTERİ","—",INDEX(MUSTERILER!$C$7:$C$156,MATCH($C2197,MUSTERILER!$B$7:$B$156,0))))</f>
        <v/>
      </c>
      <c r="O2197" s="2"/>
      <c r="P2197" s="2"/>
      <c r="Q2197" s="1" t="str">
        <f>IF($D2197="","",$C2197&amp;"|"&amp;COUNTIFS($C$7:$C2197,$C2197))</f>
        <v/>
      </c>
      <c r="R2197" s="1" t="str">
        <f t="shared" si="173"/>
        <v/>
      </c>
      <c r="S2197" s="1" t="str">
        <f t="shared" si="174"/>
        <v/>
      </c>
      <c r="T2197" s="1">
        <f>IF($E2197="",0,SUMPRODUCT((AY_SONU!$O$7:$O$42="Evet")*(AY_SONU!$B$7:$B$42=DATE(YEAR($E2197),MONTH($E2197),1))))</f>
        <v>0</v>
      </c>
    </row>
    <row r="2198" spans="1:20" ht="18" customHeight="1" x14ac:dyDescent="0.3">
      <c r="A2198" s="2"/>
      <c r="B2198" s="65" t="str">
        <f t="shared" si="170"/>
        <v/>
      </c>
      <c r="C2198" s="65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66"/>
      <c r="F2198" s="67"/>
      <c r="G2198" s="60"/>
      <c r="H2198" s="60"/>
      <c r="I2198" s="61"/>
      <c r="J2198" s="61"/>
      <c r="K2198" s="61"/>
      <c r="L2198" s="73" t="str">
        <f t="shared" si="171"/>
        <v/>
      </c>
      <c r="M2198" s="65" t="str">
        <f t="shared" ca="1" si="172"/>
        <v/>
      </c>
      <c r="N2198" s="74" t="str">
        <f>IF($C2198="","",IF($C2198="TANIMSIZ MÜŞTERİ","—",INDEX(MUSTERILER!$C$7:$C$156,MATCH($C2198,MUSTERILER!$B$7:$B$156,0))))</f>
        <v/>
      </c>
      <c r="O2198" s="2"/>
      <c r="P2198" s="2"/>
      <c r="Q2198" s="1" t="str">
        <f>IF($D2198="","",$C2198&amp;"|"&amp;COUNTIFS($C$7:$C2198,$C2198))</f>
        <v/>
      </c>
      <c r="R2198" s="1" t="str">
        <f t="shared" si="173"/>
        <v/>
      </c>
      <c r="S2198" s="1" t="str">
        <f t="shared" si="174"/>
        <v/>
      </c>
      <c r="T2198" s="1">
        <f>IF($E2198="",0,SUMPRODUCT((AY_SONU!$O$7:$O$42="Evet")*(AY_SONU!$B$7:$B$42=DATE(YEAR($E2198),MONTH($E2198),1))))</f>
        <v>0</v>
      </c>
    </row>
    <row r="2199" spans="1:20" ht="18" customHeight="1" x14ac:dyDescent="0.3">
      <c r="A2199" s="2"/>
      <c r="B2199" s="65" t="str">
        <f t="shared" si="170"/>
        <v/>
      </c>
      <c r="C2199" s="65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66"/>
      <c r="F2199" s="67"/>
      <c r="G2199" s="60"/>
      <c r="H2199" s="60"/>
      <c r="I2199" s="61"/>
      <c r="J2199" s="61"/>
      <c r="K2199" s="61"/>
      <c r="L2199" s="73" t="str">
        <f t="shared" si="171"/>
        <v/>
      </c>
      <c r="M2199" s="65" t="str">
        <f t="shared" ca="1" si="172"/>
        <v/>
      </c>
      <c r="N2199" s="74" t="str">
        <f>IF($C2199="","",IF($C2199="TANIMSIZ MÜŞTERİ","—",INDEX(MUSTERILER!$C$7:$C$156,MATCH($C2199,MUSTERILER!$B$7:$B$156,0))))</f>
        <v/>
      </c>
      <c r="O2199" s="2"/>
      <c r="P2199" s="2"/>
      <c r="Q2199" s="1" t="str">
        <f>IF($D2199="","",$C2199&amp;"|"&amp;COUNTIFS($C$7:$C2199,$C2199))</f>
        <v/>
      </c>
      <c r="R2199" s="1" t="str">
        <f t="shared" si="173"/>
        <v/>
      </c>
      <c r="S2199" s="1" t="str">
        <f t="shared" si="174"/>
        <v/>
      </c>
      <c r="T2199" s="1">
        <f>IF($E2199="",0,SUMPRODUCT((AY_SONU!$O$7:$O$42="Evet")*(AY_SONU!$B$7:$B$42=DATE(YEAR($E2199),MONTH($E2199),1))))</f>
        <v>0</v>
      </c>
    </row>
    <row r="2200" spans="1:20" ht="18" customHeight="1" x14ac:dyDescent="0.3">
      <c r="A2200" s="2"/>
      <c r="B2200" s="65" t="str">
        <f t="shared" si="170"/>
        <v/>
      </c>
      <c r="C2200" s="65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66"/>
      <c r="F2200" s="67"/>
      <c r="G2200" s="60"/>
      <c r="H2200" s="60"/>
      <c r="I2200" s="61"/>
      <c r="J2200" s="61"/>
      <c r="K2200" s="61"/>
      <c r="L2200" s="73" t="str">
        <f t="shared" si="171"/>
        <v/>
      </c>
      <c r="M2200" s="65" t="str">
        <f t="shared" ca="1" si="172"/>
        <v/>
      </c>
      <c r="N2200" s="74" t="str">
        <f>IF($C2200="","",IF($C2200="TANIMSIZ MÜŞTERİ","—",INDEX(MUSTERILER!$C$7:$C$156,MATCH($C2200,MUSTERILER!$B$7:$B$156,0))))</f>
        <v/>
      </c>
      <c r="O2200" s="2"/>
      <c r="P2200" s="2"/>
      <c r="Q2200" s="1" t="str">
        <f>IF($D2200="","",$C2200&amp;"|"&amp;COUNTIFS($C$7:$C2200,$C2200))</f>
        <v/>
      </c>
      <c r="R2200" s="1" t="str">
        <f t="shared" si="173"/>
        <v/>
      </c>
      <c r="S2200" s="1" t="str">
        <f t="shared" si="174"/>
        <v/>
      </c>
      <c r="T2200" s="1">
        <f>IF($E2200="",0,SUMPRODUCT((AY_SONU!$O$7:$O$42="Evet")*(AY_SONU!$B$7:$B$42=DATE(YEAR($E2200),MONTH($E2200),1))))</f>
        <v>0</v>
      </c>
    </row>
    <row r="2201" spans="1:20" ht="18" customHeight="1" x14ac:dyDescent="0.3">
      <c r="A2201" s="2"/>
      <c r="B2201" s="65" t="str">
        <f t="shared" si="170"/>
        <v/>
      </c>
      <c r="C2201" s="65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66"/>
      <c r="F2201" s="67"/>
      <c r="G2201" s="60"/>
      <c r="H2201" s="60"/>
      <c r="I2201" s="61"/>
      <c r="J2201" s="61"/>
      <c r="K2201" s="61"/>
      <c r="L2201" s="73" t="str">
        <f t="shared" si="171"/>
        <v/>
      </c>
      <c r="M2201" s="65" t="str">
        <f t="shared" ca="1" si="172"/>
        <v/>
      </c>
      <c r="N2201" s="74" t="str">
        <f>IF($C2201="","",IF($C2201="TANIMSIZ MÜŞTERİ","—",INDEX(MUSTERILER!$C$7:$C$156,MATCH($C2201,MUSTERILER!$B$7:$B$156,0))))</f>
        <v/>
      </c>
      <c r="O2201" s="2"/>
      <c r="P2201" s="2"/>
      <c r="Q2201" s="1" t="str">
        <f>IF($D2201="","",$C2201&amp;"|"&amp;COUNTIFS($C$7:$C2201,$C2201))</f>
        <v/>
      </c>
      <c r="R2201" s="1" t="str">
        <f t="shared" si="173"/>
        <v/>
      </c>
      <c r="S2201" s="1" t="str">
        <f t="shared" si="174"/>
        <v/>
      </c>
      <c r="T2201" s="1">
        <f>IF($E2201="",0,SUMPRODUCT((AY_SONU!$O$7:$O$42="Evet")*(AY_SONU!$B$7:$B$42=DATE(YEAR($E2201),MONTH($E2201),1))))</f>
        <v>0</v>
      </c>
    </row>
    <row r="2202" spans="1:20" ht="18" customHeight="1" x14ac:dyDescent="0.3">
      <c r="A2202" s="2"/>
      <c r="B2202" s="65" t="str">
        <f t="shared" si="170"/>
        <v/>
      </c>
      <c r="C2202" s="65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66"/>
      <c r="F2202" s="67"/>
      <c r="G2202" s="60"/>
      <c r="H2202" s="60"/>
      <c r="I2202" s="61"/>
      <c r="J2202" s="61"/>
      <c r="K2202" s="61"/>
      <c r="L2202" s="73" t="str">
        <f t="shared" si="171"/>
        <v/>
      </c>
      <c r="M2202" s="65" t="str">
        <f t="shared" ca="1" si="172"/>
        <v/>
      </c>
      <c r="N2202" s="74" t="str">
        <f>IF($C2202="","",IF($C2202="TANIMSIZ MÜŞTERİ","—",INDEX(MUSTERILER!$C$7:$C$156,MATCH($C2202,MUSTERILER!$B$7:$B$156,0))))</f>
        <v/>
      </c>
      <c r="O2202" s="2"/>
      <c r="P2202" s="2"/>
      <c r="Q2202" s="1" t="str">
        <f>IF($D2202="","",$C2202&amp;"|"&amp;COUNTIFS($C$7:$C2202,$C2202))</f>
        <v/>
      </c>
      <c r="R2202" s="1" t="str">
        <f t="shared" si="173"/>
        <v/>
      </c>
      <c r="S2202" s="1" t="str">
        <f t="shared" si="174"/>
        <v/>
      </c>
      <c r="T2202" s="1">
        <f>IF($E2202="",0,SUMPRODUCT((AY_SONU!$O$7:$O$42="Evet")*(AY_SONU!$B$7:$B$42=DATE(YEAR($E2202),MONTH($E2202),1))))</f>
        <v>0</v>
      </c>
    </row>
    <row r="2203" spans="1:20" ht="18" customHeight="1" x14ac:dyDescent="0.3">
      <c r="A2203" s="2"/>
      <c r="B2203" s="65" t="str">
        <f t="shared" si="170"/>
        <v/>
      </c>
      <c r="C2203" s="65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66"/>
      <c r="F2203" s="67"/>
      <c r="G2203" s="60"/>
      <c r="H2203" s="60"/>
      <c r="I2203" s="61"/>
      <c r="J2203" s="61"/>
      <c r="K2203" s="61"/>
      <c r="L2203" s="73" t="str">
        <f t="shared" si="171"/>
        <v/>
      </c>
      <c r="M2203" s="65" t="str">
        <f t="shared" ca="1" si="172"/>
        <v/>
      </c>
      <c r="N2203" s="74" t="str">
        <f>IF($C2203="","",IF($C2203="TANIMSIZ MÜŞTERİ","—",INDEX(MUSTERILER!$C$7:$C$156,MATCH($C2203,MUSTERILER!$B$7:$B$156,0))))</f>
        <v/>
      </c>
      <c r="O2203" s="2"/>
      <c r="P2203" s="2"/>
      <c r="Q2203" s="1" t="str">
        <f>IF($D2203="","",$C2203&amp;"|"&amp;COUNTIFS($C$7:$C2203,$C2203))</f>
        <v/>
      </c>
      <c r="R2203" s="1" t="str">
        <f t="shared" si="173"/>
        <v/>
      </c>
      <c r="S2203" s="1" t="str">
        <f t="shared" si="174"/>
        <v/>
      </c>
      <c r="T2203" s="1">
        <f>IF($E2203="",0,SUMPRODUCT((AY_SONU!$O$7:$O$42="Evet")*(AY_SONU!$B$7:$B$42=DATE(YEAR($E2203),MONTH($E2203),1))))</f>
        <v>0</v>
      </c>
    </row>
    <row r="2204" spans="1:20" ht="18" customHeight="1" x14ac:dyDescent="0.3">
      <c r="A2204" s="2"/>
      <c r="B2204" s="65" t="str">
        <f t="shared" si="170"/>
        <v/>
      </c>
      <c r="C2204" s="65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66"/>
      <c r="F2204" s="67"/>
      <c r="G2204" s="60"/>
      <c r="H2204" s="60"/>
      <c r="I2204" s="61"/>
      <c r="J2204" s="61"/>
      <c r="K2204" s="61"/>
      <c r="L2204" s="73" t="str">
        <f t="shared" si="171"/>
        <v/>
      </c>
      <c r="M2204" s="65" t="str">
        <f t="shared" ca="1" si="172"/>
        <v/>
      </c>
      <c r="N2204" s="74" t="str">
        <f>IF($C2204="","",IF($C2204="TANIMSIZ MÜŞTERİ","—",INDEX(MUSTERILER!$C$7:$C$156,MATCH($C2204,MUSTERILER!$B$7:$B$156,0))))</f>
        <v/>
      </c>
      <c r="O2204" s="2"/>
      <c r="P2204" s="2"/>
      <c r="Q2204" s="1" t="str">
        <f>IF($D2204="","",$C2204&amp;"|"&amp;COUNTIFS($C$7:$C2204,$C2204))</f>
        <v/>
      </c>
      <c r="R2204" s="1" t="str">
        <f t="shared" si="173"/>
        <v/>
      </c>
      <c r="S2204" s="1" t="str">
        <f t="shared" si="174"/>
        <v/>
      </c>
      <c r="T2204" s="1">
        <f>IF($E2204="",0,SUMPRODUCT((AY_SONU!$O$7:$O$42="Evet")*(AY_SONU!$B$7:$B$42=DATE(YEAR($E2204),MONTH($E2204),1))))</f>
        <v>0</v>
      </c>
    </row>
    <row r="2205" spans="1:20" ht="18" customHeight="1" x14ac:dyDescent="0.3">
      <c r="A2205" s="2"/>
      <c r="B2205" s="65" t="str">
        <f t="shared" si="170"/>
        <v/>
      </c>
      <c r="C2205" s="65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66"/>
      <c r="F2205" s="67"/>
      <c r="G2205" s="60"/>
      <c r="H2205" s="60"/>
      <c r="I2205" s="61"/>
      <c r="J2205" s="61"/>
      <c r="K2205" s="61"/>
      <c r="L2205" s="73" t="str">
        <f t="shared" si="171"/>
        <v/>
      </c>
      <c r="M2205" s="65" t="str">
        <f t="shared" ca="1" si="172"/>
        <v/>
      </c>
      <c r="N2205" s="74" t="str">
        <f>IF($C2205="","",IF($C2205="TANIMSIZ MÜŞTERİ","—",INDEX(MUSTERILER!$C$7:$C$156,MATCH($C2205,MUSTERILER!$B$7:$B$156,0))))</f>
        <v/>
      </c>
      <c r="O2205" s="2"/>
      <c r="P2205" s="2"/>
      <c r="Q2205" s="1" t="str">
        <f>IF($D2205="","",$C2205&amp;"|"&amp;COUNTIFS($C$7:$C2205,$C2205))</f>
        <v/>
      </c>
      <c r="R2205" s="1" t="str">
        <f t="shared" si="173"/>
        <v/>
      </c>
      <c r="S2205" s="1" t="str">
        <f t="shared" si="174"/>
        <v/>
      </c>
      <c r="T2205" s="1">
        <f>IF($E2205="",0,SUMPRODUCT((AY_SONU!$O$7:$O$42="Evet")*(AY_SONU!$B$7:$B$42=DATE(YEAR($E2205),MONTH($E2205),1))))</f>
        <v>0</v>
      </c>
    </row>
    <row r="2206" spans="1:20" ht="18" customHeight="1" x14ac:dyDescent="0.3">
      <c r="A2206" s="2"/>
      <c r="B2206" s="65" t="str">
        <f t="shared" si="170"/>
        <v/>
      </c>
      <c r="C2206" s="65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66"/>
      <c r="F2206" s="67"/>
      <c r="G2206" s="60"/>
      <c r="H2206" s="60"/>
      <c r="I2206" s="61"/>
      <c r="J2206" s="61"/>
      <c r="K2206" s="61"/>
      <c r="L2206" s="73" t="str">
        <f t="shared" si="171"/>
        <v/>
      </c>
      <c r="M2206" s="65" t="str">
        <f t="shared" ca="1" si="172"/>
        <v/>
      </c>
      <c r="N2206" s="74" t="str">
        <f>IF($C2206="","",IF($C2206="TANIMSIZ MÜŞTERİ","—",INDEX(MUSTERILER!$C$7:$C$156,MATCH($C2206,MUSTERILER!$B$7:$B$156,0))))</f>
        <v/>
      </c>
      <c r="O2206" s="2"/>
      <c r="P2206" s="2"/>
      <c r="Q2206" s="1" t="str">
        <f>IF($D2206="","",$C2206&amp;"|"&amp;COUNTIFS($C$7:$C2206,$C2206))</f>
        <v/>
      </c>
      <c r="R2206" s="1" t="str">
        <f t="shared" si="173"/>
        <v/>
      </c>
      <c r="S2206" s="1" t="str">
        <f t="shared" si="174"/>
        <v/>
      </c>
      <c r="T2206" s="1">
        <f>IF($E2206="",0,SUMPRODUCT((AY_SONU!$O$7:$O$42="Evet")*(AY_SONU!$B$7:$B$42=DATE(YEAR($E2206),MONTH($E2206),1))))</f>
        <v>0</v>
      </c>
    </row>
    <row r="2207" spans="1:20" ht="18" customHeight="1" x14ac:dyDescent="0.3">
      <c r="A2207" s="2"/>
      <c r="B2207" s="65" t="str">
        <f t="shared" si="170"/>
        <v/>
      </c>
      <c r="C2207" s="65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66"/>
      <c r="F2207" s="67"/>
      <c r="G2207" s="60"/>
      <c r="H2207" s="60"/>
      <c r="I2207" s="61"/>
      <c r="J2207" s="61"/>
      <c r="K2207" s="61"/>
      <c r="L2207" s="73" t="str">
        <f t="shared" si="171"/>
        <v/>
      </c>
      <c r="M2207" s="65" t="str">
        <f t="shared" ca="1" si="172"/>
        <v/>
      </c>
      <c r="N2207" s="74" t="str">
        <f>IF($C2207="","",IF($C2207="TANIMSIZ MÜŞTERİ","—",INDEX(MUSTERILER!$C$7:$C$156,MATCH($C2207,MUSTERILER!$B$7:$B$156,0))))</f>
        <v/>
      </c>
      <c r="O2207" s="2"/>
      <c r="P2207" s="2"/>
      <c r="Q2207" s="1" t="str">
        <f>IF($D2207="","",$C2207&amp;"|"&amp;COUNTIFS($C$7:$C2207,$C2207))</f>
        <v/>
      </c>
      <c r="R2207" s="1" t="str">
        <f t="shared" si="173"/>
        <v/>
      </c>
      <c r="S2207" s="1" t="str">
        <f t="shared" si="174"/>
        <v/>
      </c>
      <c r="T2207" s="1">
        <f>IF($E2207="",0,SUMPRODUCT((AY_SONU!$O$7:$O$42="Evet")*(AY_SONU!$B$7:$B$42=DATE(YEAR($E2207),MONTH($E2207),1))))</f>
        <v>0</v>
      </c>
    </row>
    <row r="2208" spans="1:20" ht="18" customHeight="1" x14ac:dyDescent="0.3">
      <c r="A2208" s="2"/>
      <c r="B2208" s="65" t="str">
        <f t="shared" si="170"/>
        <v/>
      </c>
      <c r="C2208" s="65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66"/>
      <c r="F2208" s="67"/>
      <c r="G2208" s="60"/>
      <c r="H2208" s="60"/>
      <c r="I2208" s="61"/>
      <c r="J2208" s="61"/>
      <c r="K2208" s="61"/>
      <c r="L2208" s="73" t="str">
        <f t="shared" si="171"/>
        <v/>
      </c>
      <c r="M2208" s="65" t="str">
        <f t="shared" ca="1" si="172"/>
        <v/>
      </c>
      <c r="N2208" s="74" t="str">
        <f>IF($C2208="","",IF($C2208="TANIMSIZ MÜŞTERİ","—",INDEX(MUSTERILER!$C$7:$C$156,MATCH($C2208,MUSTERILER!$B$7:$B$156,0))))</f>
        <v/>
      </c>
      <c r="O2208" s="2"/>
      <c r="P2208" s="2"/>
      <c r="Q2208" s="1" t="str">
        <f>IF($D2208="","",$C2208&amp;"|"&amp;COUNTIFS($C$7:$C2208,$C2208))</f>
        <v/>
      </c>
      <c r="R2208" s="1" t="str">
        <f t="shared" si="173"/>
        <v/>
      </c>
      <c r="S2208" s="1" t="str">
        <f t="shared" si="174"/>
        <v/>
      </c>
      <c r="T2208" s="1">
        <f>IF($E2208="",0,SUMPRODUCT((AY_SONU!$O$7:$O$42="Evet")*(AY_SONU!$B$7:$B$42=DATE(YEAR($E2208),MONTH($E2208),1))))</f>
        <v>0</v>
      </c>
    </row>
    <row r="2209" spans="1:20" ht="18" customHeight="1" x14ac:dyDescent="0.3">
      <c r="A2209" s="2"/>
      <c r="B2209" s="65" t="str">
        <f t="shared" si="170"/>
        <v/>
      </c>
      <c r="C2209" s="65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66"/>
      <c r="F2209" s="67"/>
      <c r="G2209" s="60"/>
      <c r="H2209" s="60"/>
      <c r="I2209" s="61"/>
      <c r="J2209" s="61"/>
      <c r="K2209" s="61"/>
      <c r="L2209" s="73" t="str">
        <f t="shared" si="171"/>
        <v/>
      </c>
      <c r="M2209" s="65" t="str">
        <f t="shared" ca="1" si="172"/>
        <v/>
      </c>
      <c r="N2209" s="74" t="str">
        <f>IF($C2209="","",IF($C2209="TANIMSIZ MÜŞTERİ","—",INDEX(MUSTERILER!$C$7:$C$156,MATCH($C2209,MUSTERILER!$B$7:$B$156,0))))</f>
        <v/>
      </c>
      <c r="O2209" s="2"/>
      <c r="P2209" s="2"/>
      <c r="Q2209" s="1" t="str">
        <f>IF($D2209="","",$C2209&amp;"|"&amp;COUNTIFS($C$7:$C2209,$C2209))</f>
        <v/>
      </c>
      <c r="R2209" s="1" t="str">
        <f t="shared" si="173"/>
        <v/>
      </c>
      <c r="S2209" s="1" t="str">
        <f t="shared" si="174"/>
        <v/>
      </c>
      <c r="T2209" s="1">
        <f>IF($E2209="",0,SUMPRODUCT((AY_SONU!$O$7:$O$42="Evet")*(AY_SONU!$B$7:$B$42=DATE(YEAR($E2209),MONTH($E2209),1))))</f>
        <v>0</v>
      </c>
    </row>
    <row r="2210" spans="1:20" ht="18" customHeight="1" x14ac:dyDescent="0.3">
      <c r="A2210" s="2"/>
      <c r="B2210" s="65" t="str">
        <f t="shared" si="170"/>
        <v/>
      </c>
      <c r="C2210" s="65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66"/>
      <c r="F2210" s="67"/>
      <c r="G2210" s="60"/>
      <c r="H2210" s="60"/>
      <c r="I2210" s="61"/>
      <c r="J2210" s="61"/>
      <c r="K2210" s="61"/>
      <c r="L2210" s="73" t="str">
        <f t="shared" si="171"/>
        <v/>
      </c>
      <c r="M2210" s="65" t="str">
        <f t="shared" ca="1" si="172"/>
        <v/>
      </c>
      <c r="N2210" s="74" t="str">
        <f>IF($C2210="","",IF($C2210="TANIMSIZ MÜŞTERİ","—",INDEX(MUSTERILER!$C$7:$C$156,MATCH($C2210,MUSTERILER!$B$7:$B$156,0))))</f>
        <v/>
      </c>
      <c r="O2210" s="2"/>
      <c r="P2210" s="2"/>
      <c r="Q2210" s="1" t="str">
        <f>IF($D2210="","",$C2210&amp;"|"&amp;COUNTIFS($C$7:$C2210,$C2210))</f>
        <v/>
      </c>
      <c r="R2210" s="1" t="str">
        <f t="shared" si="173"/>
        <v/>
      </c>
      <c r="S2210" s="1" t="str">
        <f t="shared" si="174"/>
        <v/>
      </c>
      <c r="T2210" s="1">
        <f>IF($E2210="",0,SUMPRODUCT((AY_SONU!$O$7:$O$42="Evet")*(AY_SONU!$B$7:$B$42=DATE(YEAR($E2210),MONTH($E2210),1))))</f>
        <v>0</v>
      </c>
    </row>
    <row r="2211" spans="1:20" ht="18" customHeight="1" x14ac:dyDescent="0.3">
      <c r="A2211" s="2"/>
      <c r="B2211" s="65" t="str">
        <f t="shared" si="170"/>
        <v/>
      </c>
      <c r="C2211" s="65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66"/>
      <c r="F2211" s="67"/>
      <c r="G2211" s="60"/>
      <c r="H2211" s="60"/>
      <c r="I2211" s="61"/>
      <c r="J2211" s="61"/>
      <c r="K2211" s="61"/>
      <c r="L2211" s="73" t="str">
        <f t="shared" si="171"/>
        <v/>
      </c>
      <c r="M2211" s="65" t="str">
        <f t="shared" ca="1" si="172"/>
        <v/>
      </c>
      <c r="N2211" s="74" t="str">
        <f>IF($C2211="","",IF($C2211="TANIMSIZ MÜŞTERİ","—",INDEX(MUSTERILER!$C$7:$C$156,MATCH($C2211,MUSTERILER!$B$7:$B$156,0))))</f>
        <v/>
      </c>
      <c r="O2211" s="2"/>
      <c r="P2211" s="2"/>
      <c r="Q2211" s="1" t="str">
        <f>IF($D2211="","",$C2211&amp;"|"&amp;COUNTIFS($C$7:$C2211,$C2211))</f>
        <v/>
      </c>
      <c r="R2211" s="1" t="str">
        <f t="shared" si="173"/>
        <v/>
      </c>
      <c r="S2211" s="1" t="str">
        <f t="shared" si="174"/>
        <v/>
      </c>
      <c r="T2211" s="1">
        <f>IF($E2211="",0,SUMPRODUCT((AY_SONU!$O$7:$O$42="Evet")*(AY_SONU!$B$7:$B$42=DATE(YEAR($E2211),MONTH($E2211),1))))</f>
        <v>0</v>
      </c>
    </row>
    <row r="2212" spans="1:20" ht="18" customHeight="1" x14ac:dyDescent="0.3">
      <c r="A2212" s="2"/>
      <c r="B2212" s="65" t="str">
        <f t="shared" si="170"/>
        <v/>
      </c>
      <c r="C2212" s="65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66"/>
      <c r="F2212" s="67"/>
      <c r="G2212" s="60"/>
      <c r="H2212" s="60"/>
      <c r="I2212" s="61"/>
      <c r="J2212" s="61"/>
      <c r="K2212" s="61"/>
      <c r="L2212" s="73" t="str">
        <f t="shared" si="171"/>
        <v/>
      </c>
      <c r="M2212" s="65" t="str">
        <f t="shared" ca="1" si="172"/>
        <v/>
      </c>
      <c r="N2212" s="74" t="str">
        <f>IF($C2212="","",IF($C2212="TANIMSIZ MÜŞTERİ","—",INDEX(MUSTERILER!$C$7:$C$156,MATCH($C2212,MUSTERILER!$B$7:$B$156,0))))</f>
        <v/>
      </c>
      <c r="O2212" s="2"/>
      <c r="P2212" s="2"/>
      <c r="Q2212" s="1" t="str">
        <f>IF($D2212="","",$C2212&amp;"|"&amp;COUNTIFS($C$7:$C2212,$C2212))</f>
        <v/>
      </c>
      <c r="R2212" s="1" t="str">
        <f t="shared" si="173"/>
        <v/>
      </c>
      <c r="S2212" s="1" t="str">
        <f t="shared" si="174"/>
        <v/>
      </c>
      <c r="T2212" s="1">
        <f>IF($E2212="",0,SUMPRODUCT((AY_SONU!$O$7:$O$42="Evet")*(AY_SONU!$B$7:$B$42=DATE(YEAR($E2212),MONTH($E2212),1))))</f>
        <v>0</v>
      </c>
    </row>
    <row r="2213" spans="1:20" ht="18" customHeight="1" x14ac:dyDescent="0.3">
      <c r="A2213" s="2"/>
      <c r="B2213" s="65" t="str">
        <f t="shared" si="170"/>
        <v/>
      </c>
      <c r="C2213" s="65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66"/>
      <c r="F2213" s="67"/>
      <c r="G2213" s="60"/>
      <c r="H2213" s="60"/>
      <c r="I2213" s="61"/>
      <c r="J2213" s="61"/>
      <c r="K2213" s="61"/>
      <c r="L2213" s="73" t="str">
        <f t="shared" si="171"/>
        <v/>
      </c>
      <c r="M2213" s="65" t="str">
        <f t="shared" ca="1" si="172"/>
        <v/>
      </c>
      <c r="N2213" s="74" t="str">
        <f>IF($C2213="","",IF($C2213="TANIMSIZ MÜŞTERİ","—",INDEX(MUSTERILER!$C$7:$C$156,MATCH($C2213,MUSTERILER!$B$7:$B$156,0))))</f>
        <v/>
      </c>
      <c r="O2213" s="2"/>
      <c r="P2213" s="2"/>
      <c r="Q2213" s="1" t="str">
        <f>IF($D2213="","",$C2213&amp;"|"&amp;COUNTIFS($C$7:$C2213,$C2213))</f>
        <v/>
      </c>
      <c r="R2213" s="1" t="str">
        <f t="shared" si="173"/>
        <v/>
      </c>
      <c r="S2213" s="1" t="str">
        <f t="shared" si="174"/>
        <v/>
      </c>
      <c r="T2213" s="1">
        <f>IF($E2213="",0,SUMPRODUCT((AY_SONU!$O$7:$O$42="Evet")*(AY_SONU!$B$7:$B$42=DATE(YEAR($E2213),MONTH($E2213),1))))</f>
        <v>0</v>
      </c>
    </row>
    <row r="2214" spans="1:20" ht="18" customHeight="1" x14ac:dyDescent="0.3">
      <c r="A2214" s="2"/>
      <c r="B2214" s="65" t="str">
        <f t="shared" si="170"/>
        <v/>
      </c>
      <c r="C2214" s="65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66"/>
      <c r="F2214" s="67"/>
      <c r="G2214" s="60"/>
      <c r="H2214" s="60"/>
      <c r="I2214" s="61"/>
      <c r="J2214" s="61"/>
      <c r="K2214" s="61"/>
      <c r="L2214" s="73" t="str">
        <f t="shared" si="171"/>
        <v/>
      </c>
      <c r="M2214" s="65" t="str">
        <f t="shared" ca="1" si="172"/>
        <v/>
      </c>
      <c r="N2214" s="74" t="str">
        <f>IF($C2214="","",IF($C2214="TANIMSIZ MÜŞTERİ","—",INDEX(MUSTERILER!$C$7:$C$156,MATCH($C2214,MUSTERILER!$B$7:$B$156,0))))</f>
        <v/>
      </c>
      <c r="O2214" s="2"/>
      <c r="P2214" s="2"/>
      <c r="Q2214" s="1" t="str">
        <f>IF($D2214="","",$C2214&amp;"|"&amp;COUNTIFS($C$7:$C2214,$C2214))</f>
        <v/>
      </c>
      <c r="R2214" s="1" t="str">
        <f t="shared" si="173"/>
        <v/>
      </c>
      <c r="S2214" s="1" t="str">
        <f t="shared" si="174"/>
        <v/>
      </c>
      <c r="T2214" s="1">
        <f>IF($E2214="",0,SUMPRODUCT((AY_SONU!$O$7:$O$42="Evet")*(AY_SONU!$B$7:$B$42=DATE(YEAR($E2214),MONTH($E2214),1))))</f>
        <v>0</v>
      </c>
    </row>
    <row r="2215" spans="1:20" ht="18" customHeight="1" x14ac:dyDescent="0.3">
      <c r="A2215" s="2"/>
      <c r="B2215" s="65" t="str">
        <f t="shared" si="170"/>
        <v/>
      </c>
      <c r="C2215" s="65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66"/>
      <c r="F2215" s="67"/>
      <c r="G2215" s="60"/>
      <c r="H2215" s="60"/>
      <c r="I2215" s="61"/>
      <c r="J2215" s="61"/>
      <c r="K2215" s="61"/>
      <c r="L2215" s="73" t="str">
        <f t="shared" si="171"/>
        <v/>
      </c>
      <c r="M2215" s="65" t="str">
        <f t="shared" ca="1" si="172"/>
        <v/>
      </c>
      <c r="N2215" s="74" t="str">
        <f>IF($C2215="","",IF($C2215="TANIMSIZ MÜŞTERİ","—",INDEX(MUSTERILER!$C$7:$C$156,MATCH($C2215,MUSTERILER!$B$7:$B$156,0))))</f>
        <v/>
      </c>
      <c r="O2215" s="2"/>
      <c r="P2215" s="2"/>
      <c r="Q2215" s="1" t="str">
        <f>IF($D2215="","",$C2215&amp;"|"&amp;COUNTIFS($C$7:$C2215,$C2215))</f>
        <v/>
      </c>
      <c r="R2215" s="1" t="str">
        <f t="shared" si="173"/>
        <v/>
      </c>
      <c r="S2215" s="1" t="str">
        <f t="shared" si="174"/>
        <v/>
      </c>
      <c r="T2215" s="1">
        <f>IF($E2215="",0,SUMPRODUCT((AY_SONU!$O$7:$O$42="Evet")*(AY_SONU!$B$7:$B$42=DATE(YEAR($E2215),MONTH($E2215),1))))</f>
        <v>0</v>
      </c>
    </row>
    <row r="2216" spans="1:20" ht="18" customHeight="1" x14ac:dyDescent="0.3">
      <c r="A2216" s="2"/>
      <c r="B2216" s="65" t="str">
        <f t="shared" si="170"/>
        <v/>
      </c>
      <c r="C2216" s="65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66"/>
      <c r="F2216" s="67"/>
      <c r="G2216" s="60"/>
      <c r="H2216" s="60"/>
      <c r="I2216" s="61"/>
      <c r="J2216" s="61"/>
      <c r="K2216" s="61"/>
      <c r="L2216" s="73" t="str">
        <f t="shared" si="171"/>
        <v/>
      </c>
      <c r="M2216" s="65" t="str">
        <f t="shared" ca="1" si="172"/>
        <v/>
      </c>
      <c r="N2216" s="74" t="str">
        <f>IF($C2216="","",IF($C2216="TANIMSIZ MÜŞTERİ","—",INDEX(MUSTERILER!$C$7:$C$156,MATCH($C2216,MUSTERILER!$B$7:$B$156,0))))</f>
        <v/>
      </c>
      <c r="O2216" s="2"/>
      <c r="P2216" s="2"/>
      <c r="Q2216" s="1" t="str">
        <f>IF($D2216="","",$C2216&amp;"|"&amp;COUNTIFS($C$7:$C2216,$C2216))</f>
        <v/>
      </c>
      <c r="R2216" s="1" t="str">
        <f t="shared" si="173"/>
        <v/>
      </c>
      <c r="S2216" s="1" t="str">
        <f t="shared" si="174"/>
        <v/>
      </c>
      <c r="T2216" s="1">
        <f>IF($E2216="",0,SUMPRODUCT((AY_SONU!$O$7:$O$42="Evet")*(AY_SONU!$B$7:$B$42=DATE(YEAR($E2216),MONTH($E2216),1))))</f>
        <v>0</v>
      </c>
    </row>
    <row r="2217" spans="1:20" ht="18" customHeight="1" x14ac:dyDescent="0.3">
      <c r="A2217" s="2"/>
      <c r="B2217" s="65" t="str">
        <f t="shared" si="170"/>
        <v/>
      </c>
      <c r="C2217" s="65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66"/>
      <c r="F2217" s="67"/>
      <c r="G2217" s="60"/>
      <c r="H2217" s="60"/>
      <c r="I2217" s="61"/>
      <c r="J2217" s="61"/>
      <c r="K2217" s="61"/>
      <c r="L2217" s="73" t="str">
        <f t="shared" si="171"/>
        <v/>
      </c>
      <c r="M2217" s="65" t="str">
        <f t="shared" ca="1" si="172"/>
        <v/>
      </c>
      <c r="N2217" s="74" t="str">
        <f>IF($C2217="","",IF($C2217="TANIMSIZ MÜŞTERİ","—",INDEX(MUSTERILER!$C$7:$C$156,MATCH($C2217,MUSTERILER!$B$7:$B$156,0))))</f>
        <v/>
      </c>
      <c r="O2217" s="2"/>
      <c r="P2217" s="2"/>
      <c r="Q2217" s="1" t="str">
        <f>IF($D2217="","",$C2217&amp;"|"&amp;COUNTIFS($C$7:$C2217,$C2217))</f>
        <v/>
      </c>
      <c r="R2217" s="1" t="str">
        <f t="shared" si="173"/>
        <v/>
      </c>
      <c r="S2217" s="1" t="str">
        <f t="shared" si="174"/>
        <v/>
      </c>
      <c r="T2217" s="1">
        <f>IF($E2217="",0,SUMPRODUCT((AY_SONU!$O$7:$O$42="Evet")*(AY_SONU!$B$7:$B$42=DATE(YEAR($E2217),MONTH($E2217),1))))</f>
        <v>0</v>
      </c>
    </row>
    <row r="2218" spans="1:20" ht="18" customHeight="1" x14ac:dyDescent="0.3">
      <c r="A2218" s="2"/>
      <c r="B2218" s="65" t="str">
        <f t="shared" si="170"/>
        <v/>
      </c>
      <c r="C2218" s="65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66"/>
      <c r="F2218" s="67"/>
      <c r="G2218" s="60"/>
      <c r="H2218" s="60"/>
      <c r="I2218" s="61"/>
      <c r="J2218" s="61"/>
      <c r="K2218" s="61"/>
      <c r="L2218" s="73" t="str">
        <f t="shared" si="171"/>
        <v/>
      </c>
      <c r="M2218" s="65" t="str">
        <f t="shared" ca="1" si="172"/>
        <v/>
      </c>
      <c r="N2218" s="74" t="str">
        <f>IF($C2218="","",IF($C2218="TANIMSIZ MÜŞTERİ","—",INDEX(MUSTERILER!$C$7:$C$156,MATCH($C2218,MUSTERILER!$B$7:$B$156,0))))</f>
        <v/>
      </c>
      <c r="O2218" s="2"/>
      <c r="P2218" s="2"/>
      <c r="Q2218" s="1" t="str">
        <f>IF($D2218="","",$C2218&amp;"|"&amp;COUNTIFS($C$7:$C2218,$C2218))</f>
        <v/>
      </c>
      <c r="R2218" s="1" t="str">
        <f t="shared" si="173"/>
        <v/>
      </c>
      <c r="S2218" s="1" t="str">
        <f t="shared" si="174"/>
        <v/>
      </c>
      <c r="T2218" s="1">
        <f>IF($E2218="",0,SUMPRODUCT((AY_SONU!$O$7:$O$42="Evet")*(AY_SONU!$B$7:$B$42=DATE(YEAR($E2218),MONTH($E2218),1))))</f>
        <v>0</v>
      </c>
    </row>
    <row r="2219" spans="1:20" ht="18" customHeight="1" x14ac:dyDescent="0.3">
      <c r="A2219" s="2"/>
      <c r="B2219" s="65" t="str">
        <f t="shared" si="170"/>
        <v/>
      </c>
      <c r="C2219" s="65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66"/>
      <c r="F2219" s="67"/>
      <c r="G2219" s="60"/>
      <c r="H2219" s="60"/>
      <c r="I2219" s="61"/>
      <c r="J2219" s="61"/>
      <c r="K2219" s="61"/>
      <c r="L2219" s="73" t="str">
        <f t="shared" si="171"/>
        <v/>
      </c>
      <c r="M2219" s="65" t="str">
        <f t="shared" ca="1" si="172"/>
        <v/>
      </c>
      <c r="N2219" s="74" t="str">
        <f>IF($C2219="","",IF($C2219="TANIMSIZ MÜŞTERİ","—",INDEX(MUSTERILER!$C$7:$C$156,MATCH($C2219,MUSTERILER!$B$7:$B$156,0))))</f>
        <v/>
      </c>
      <c r="O2219" s="2"/>
      <c r="P2219" s="2"/>
      <c r="Q2219" s="1" t="str">
        <f>IF($D2219="","",$C2219&amp;"|"&amp;COUNTIFS($C$7:$C2219,$C2219))</f>
        <v/>
      </c>
      <c r="R2219" s="1" t="str">
        <f t="shared" si="173"/>
        <v/>
      </c>
      <c r="S2219" s="1" t="str">
        <f t="shared" si="174"/>
        <v/>
      </c>
      <c r="T2219" s="1">
        <f>IF($E2219="",0,SUMPRODUCT((AY_SONU!$O$7:$O$42="Evet")*(AY_SONU!$B$7:$B$42=DATE(YEAR($E2219),MONTH($E2219),1))))</f>
        <v>0</v>
      </c>
    </row>
    <row r="2220" spans="1:20" ht="18" customHeight="1" x14ac:dyDescent="0.3">
      <c r="A2220" s="2"/>
      <c r="B2220" s="65" t="str">
        <f t="shared" si="170"/>
        <v/>
      </c>
      <c r="C2220" s="65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66"/>
      <c r="F2220" s="67"/>
      <c r="G2220" s="60"/>
      <c r="H2220" s="60"/>
      <c r="I2220" s="61"/>
      <c r="J2220" s="61"/>
      <c r="K2220" s="61"/>
      <c r="L2220" s="73" t="str">
        <f t="shared" si="171"/>
        <v/>
      </c>
      <c r="M2220" s="65" t="str">
        <f t="shared" ca="1" si="172"/>
        <v/>
      </c>
      <c r="N2220" s="74" t="str">
        <f>IF($C2220="","",IF($C2220="TANIMSIZ MÜŞTERİ","—",INDEX(MUSTERILER!$C$7:$C$156,MATCH($C2220,MUSTERILER!$B$7:$B$156,0))))</f>
        <v/>
      </c>
      <c r="O2220" s="2"/>
      <c r="P2220" s="2"/>
      <c r="Q2220" s="1" t="str">
        <f>IF($D2220="","",$C2220&amp;"|"&amp;COUNTIFS($C$7:$C2220,$C2220))</f>
        <v/>
      </c>
      <c r="R2220" s="1" t="str">
        <f t="shared" si="173"/>
        <v/>
      </c>
      <c r="S2220" s="1" t="str">
        <f t="shared" si="174"/>
        <v/>
      </c>
      <c r="T2220" s="1">
        <f>IF($E2220="",0,SUMPRODUCT((AY_SONU!$O$7:$O$42="Evet")*(AY_SONU!$B$7:$B$42=DATE(YEAR($E2220),MONTH($E2220),1))))</f>
        <v>0</v>
      </c>
    </row>
    <row r="2221" spans="1:20" ht="18" customHeight="1" x14ac:dyDescent="0.3">
      <c r="A2221" s="2"/>
      <c r="B2221" s="65" t="str">
        <f t="shared" si="170"/>
        <v/>
      </c>
      <c r="C2221" s="65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66"/>
      <c r="F2221" s="67"/>
      <c r="G2221" s="60"/>
      <c r="H2221" s="60"/>
      <c r="I2221" s="61"/>
      <c r="J2221" s="61"/>
      <c r="K2221" s="61"/>
      <c r="L2221" s="73" t="str">
        <f t="shared" si="171"/>
        <v/>
      </c>
      <c r="M2221" s="65" t="str">
        <f t="shared" ca="1" si="172"/>
        <v/>
      </c>
      <c r="N2221" s="74" t="str">
        <f>IF($C2221="","",IF($C2221="TANIMSIZ MÜŞTERİ","—",INDEX(MUSTERILER!$C$7:$C$156,MATCH($C2221,MUSTERILER!$B$7:$B$156,0))))</f>
        <v/>
      </c>
      <c r="O2221" s="2"/>
      <c r="P2221" s="2"/>
      <c r="Q2221" s="1" t="str">
        <f>IF($D2221="","",$C2221&amp;"|"&amp;COUNTIFS($C$7:$C2221,$C2221))</f>
        <v/>
      </c>
      <c r="R2221" s="1" t="str">
        <f t="shared" si="173"/>
        <v/>
      </c>
      <c r="S2221" s="1" t="str">
        <f t="shared" si="174"/>
        <v/>
      </c>
      <c r="T2221" s="1">
        <f>IF($E2221="",0,SUMPRODUCT((AY_SONU!$O$7:$O$42="Evet")*(AY_SONU!$B$7:$B$42=DATE(YEAR($E2221),MONTH($E2221),1))))</f>
        <v>0</v>
      </c>
    </row>
    <row r="2222" spans="1:20" ht="18" customHeight="1" x14ac:dyDescent="0.3">
      <c r="A2222" s="2"/>
      <c r="B2222" s="65" t="str">
        <f t="shared" si="170"/>
        <v/>
      </c>
      <c r="C2222" s="65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66"/>
      <c r="F2222" s="67"/>
      <c r="G2222" s="60"/>
      <c r="H2222" s="60"/>
      <c r="I2222" s="61"/>
      <c r="J2222" s="61"/>
      <c r="K2222" s="61"/>
      <c r="L2222" s="73" t="str">
        <f t="shared" si="171"/>
        <v/>
      </c>
      <c r="M2222" s="65" t="str">
        <f t="shared" ca="1" si="172"/>
        <v/>
      </c>
      <c r="N2222" s="74" t="str">
        <f>IF($C2222="","",IF($C2222="TANIMSIZ MÜŞTERİ","—",INDEX(MUSTERILER!$C$7:$C$156,MATCH($C2222,MUSTERILER!$B$7:$B$156,0))))</f>
        <v/>
      </c>
      <c r="O2222" s="2"/>
      <c r="P2222" s="2"/>
      <c r="Q2222" s="1" t="str">
        <f>IF($D2222="","",$C2222&amp;"|"&amp;COUNTIFS($C$7:$C2222,$C2222))</f>
        <v/>
      </c>
      <c r="R2222" s="1" t="str">
        <f t="shared" si="173"/>
        <v/>
      </c>
      <c r="S2222" s="1" t="str">
        <f t="shared" si="174"/>
        <v/>
      </c>
      <c r="T2222" s="1">
        <f>IF($E2222="",0,SUMPRODUCT((AY_SONU!$O$7:$O$42="Evet")*(AY_SONU!$B$7:$B$42=DATE(YEAR($E2222),MONTH($E2222),1))))</f>
        <v>0</v>
      </c>
    </row>
    <row r="2223" spans="1:20" ht="18" customHeight="1" x14ac:dyDescent="0.3">
      <c r="A2223" s="2"/>
      <c r="B2223" s="65" t="str">
        <f t="shared" si="170"/>
        <v/>
      </c>
      <c r="C2223" s="65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66"/>
      <c r="F2223" s="67"/>
      <c r="G2223" s="60"/>
      <c r="H2223" s="60"/>
      <c r="I2223" s="61"/>
      <c r="J2223" s="61"/>
      <c r="K2223" s="61"/>
      <c r="L2223" s="73" t="str">
        <f t="shared" si="171"/>
        <v/>
      </c>
      <c r="M2223" s="65" t="str">
        <f t="shared" ca="1" si="172"/>
        <v/>
      </c>
      <c r="N2223" s="74" t="str">
        <f>IF($C2223="","",IF($C2223="TANIMSIZ MÜŞTERİ","—",INDEX(MUSTERILER!$C$7:$C$156,MATCH($C2223,MUSTERILER!$B$7:$B$156,0))))</f>
        <v/>
      </c>
      <c r="O2223" s="2"/>
      <c r="P2223" s="2"/>
      <c r="Q2223" s="1" t="str">
        <f>IF($D2223="","",$C2223&amp;"|"&amp;COUNTIFS($C$7:$C2223,$C2223))</f>
        <v/>
      </c>
      <c r="R2223" s="1" t="str">
        <f t="shared" si="173"/>
        <v/>
      </c>
      <c r="S2223" s="1" t="str">
        <f t="shared" si="174"/>
        <v/>
      </c>
      <c r="T2223" s="1">
        <f>IF($E2223="",0,SUMPRODUCT((AY_SONU!$O$7:$O$42="Evet")*(AY_SONU!$B$7:$B$42=DATE(YEAR($E2223),MONTH($E2223),1))))</f>
        <v>0</v>
      </c>
    </row>
    <row r="2224" spans="1:20" ht="18" customHeight="1" x14ac:dyDescent="0.3">
      <c r="A2224" s="2"/>
      <c r="B2224" s="65" t="str">
        <f t="shared" si="170"/>
        <v/>
      </c>
      <c r="C2224" s="65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66"/>
      <c r="F2224" s="67"/>
      <c r="G2224" s="60"/>
      <c r="H2224" s="60"/>
      <c r="I2224" s="61"/>
      <c r="J2224" s="61"/>
      <c r="K2224" s="61"/>
      <c r="L2224" s="73" t="str">
        <f t="shared" si="171"/>
        <v/>
      </c>
      <c r="M2224" s="65" t="str">
        <f t="shared" ca="1" si="172"/>
        <v/>
      </c>
      <c r="N2224" s="74" t="str">
        <f>IF($C2224="","",IF($C2224="TANIMSIZ MÜŞTERİ","—",INDEX(MUSTERILER!$C$7:$C$156,MATCH($C2224,MUSTERILER!$B$7:$B$156,0))))</f>
        <v/>
      </c>
      <c r="O2224" s="2"/>
      <c r="P2224" s="2"/>
      <c r="Q2224" s="1" t="str">
        <f>IF($D2224="","",$C2224&amp;"|"&amp;COUNTIFS($C$7:$C2224,$C2224))</f>
        <v/>
      </c>
      <c r="R2224" s="1" t="str">
        <f t="shared" si="173"/>
        <v/>
      </c>
      <c r="S2224" s="1" t="str">
        <f t="shared" si="174"/>
        <v/>
      </c>
      <c r="T2224" s="1">
        <f>IF($E2224="",0,SUMPRODUCT((AY_SONU!$O$7:$O$42="Evet")*(AY_SONU!$B$7:$B$42=DATE(YEAR($E2224),MONTH($E2224),1))))</f>
        <v>0</v>
      </c>
    </row>
    <row r="2225" spans="1:20" ht="18" customHeight="1" x14ac:dyDescent="0.3">
      <c r="A2225" s="2"/>
      <c r="B2225" s="65" t="str">
        <f t="shared" si="170"/>
        <v/>
      </c>
      <c r="C2225" s="65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66"/>
      <c r="F2225" s="67"/>
      <c r="G2225" s="60"/>
      <c r="H2225" s="60"/>
      <c r="I2225" s="61"/>
      <c r="J2225" s="61"/>
      <c r="K2225" s="61"/>
      <c r="L2225" s="73" t="str">
        <f t="shared" si="171"/>
        <v/>
      </c>
      <c r="M2225" s="65" t="str">
        <f t="shared" ca="1" si="172"/>
        <v/>
      </c>
      <c r="N2225" s="74" t="str">
        <f>IF($C2225="","",IF($C2225="TANIMSIZ MÜŞTERİ","—",INDEX(MUSTERILER!$C$7:$C$156,MATCH($C2225,MUSTERILER!$B$7:$B$156,0))))</f>
        <v/>
      </c>
      <c r="O2225" s="2"/>
      <c r="P2225" s="2"/>
      <c r="Q2225" s="1" t="str">
        <f>IF($D2225="","",$C2225&amp;"|"&amp;COUNTIFS($C$7:$C2225,$C2225))</f>
        <v/>
      </c>
      <c r="R2225" s="1" t="str">
        <f t="shared" si="173"/>
        <v/>
      </c>
      <c r="S2225" s="1" t="str">
        <f t="shared" si="174"/>
        <v/>
      </c>
      <c r="T2225" s="1">
        <f>IF($E2225="",0,SUMPRODUCT((AY_SONU!$O$7:$O$42="Evet")*(AY_SONU!$B$7:$B$42=DATE(YEAR($E2225),MONTH($E2225),1))))</f>
        <v>0</v>
      </c>
    </row>
    <row r="2226" spans="1:20" ht="18" customHeight="1" x14ac:dyDescent="0.3">
      <c r="A2226" s="2"/>
      <c r="B2226" s="65" t="str">
        <f t="shared" si="170"/>
        <v/>
      </c>
      <c r="C2226" s="65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66"/>
      <c r="F2226" s="67"/>
      <c r="G2226" s="60"/>
      <c r="H2226" s="60"/>
      <c r="I2226" s="61"/>
      <c r="J2226" s="61"/>
      <c r="K2226" s="61"/>
      <c r="L2226" s="73" t="str">
        <f t="shared" si="171"/>
        <v/>
      </c>
      <c r="M2226" s="65" t="str">
        <f t="shared" ca="1" si="172"/>
        <v/>
      </c>
      <c r="N2226" s="74" t="str">
        <f>IF($C2226="","",IF($C2226="TANIMSIZ MÜŞTERİ","—",INDEX(MUSTERILER!$C$7:$C$156,MATCH($C2226,MUSTERILER!$B$7:$B$156,0))))</f>
        <v/>
      </c>
      <c r="O2226" s="2"/>
      <c r="P2226" s="2"/>
      <c r="Q2226" s="1" t="str">
        <f>IF($D2226="","",$C2226&amp;"|"&amp;COUNTIFS($C$7:$C2226,$C2226))</f>
        <v/>
      </c>
      <c r="R2226" s="1" t="str">
        <f t="shared" si="173"/>
        <v/>
      </c>
      <c r="S2226" s="1" t="str">
        <f t="shared" si="174"/>
        <v/>
      </c>
      <c r="T2226" s="1">
        <f>IF($E2226="",0,SUMPRODUCT((AY_SONU!$O$7:$O$42="Evet")*(AY_SONU!$B$7:$B$42=DATE(YEAR($E2226),MONTH($E2226),1))))</f>
        <v>0</v>
      </c>
    </row>
    <row r="2227" spans="1:20" ht="18" customHeight="1" x14ac:dyDescent="0.3">
      <c r="A2227" s="2"/>
      <c r="B2227" s="65" t="str">
        <f t="shared" si="170"/>
        <v/>
      </c>
      <c r="C2227" s="65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66"/>
      <c r="F2227" s="67"/>
      <c r="G2227" s="60"/>
      <c r="H2227" s="60"/>
      <c r="I2227" s="61"/>
      <c r="J2227" s="61"/>
      <c r="K2227" s="61"/>
      <c r="L2227" s="73" t="str">
        <f t="shared" si="171"/>
        <v/>
      </c>
      <c r="M2227" s="65" t="str">
        <f t="shared" ca="1" si="172"/>
        <v/>
      </c>
      <c r="N2227" s="74" t="str">
        <f>IF($C2227="","",IF($C2227="TANIMSIZ MÜŞTERİ","—",INDEX(MUSTERILER!$C$7:$C$156,MATCH($C2227,MUSTERILER!$B$7:$B$156,0))))</f>
        <v/>
      </c>
      <c r="O2227" s="2"/>
      <c r="P2227" s="2"/>
      <c r="Q2227" s="1" t="str">
        <f>IF($D2227="","",$C2227&amp;"|"&amp;COUNTIFS($C$7:$C2227,$C2227))</f>
        <v/>
      </c>
      <c r="R2227" s="1" t="str">
        <f t="shared" si="173"/>
        <v/>
      </c>
      <c r="S2227" s="1" t="str">
        <f t="shared" si="174"/>
        <v/>
      </c>
      <c r="T2227" s="1">
        <f>IF($E2227="",0,SUMPRODUCT((AY_SONU!$O$7:$O$42="Evet")*(AY_SONU!$B$7:$B$42=DATE(YEAR($E2227),MONTH($E2227),1))))</f>
        <v>0</v>
      </c>
    </row>
    <row r="2228" spans="1:20" ht="18" customHeight="1" x14ac:dyDescent="0.3">
      <c r="A2228" s="2"/>
      <c r="B2228" s="65" t="str">
        <f t="shared" si="170"/>
        <v/>
      </c>
      <c r="C2228" s="65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66"/>
      <c r="F2228" s="67"/>
      <c r="G2228" s="60"/>
      <c r="H2228" s="60"/>
      <c r="I2228" s="61"/>
      <c r="J2228" s="61"/>
      <c r="K2228" s="61"/>
      <c r="L2228" s="73" t="str">
        <f t="shared" si="171"/>
        <v/>
      </c>
      <c r="M2228" s="65" t="str">
        <f t="shared" ca="1" si="172"/>
        <v/>
      </c>
      <c r="N2228" s="74" t="str">
        <f>IF($C2228="","",IF($C2228="TANIMSIZ MÜŞTERİ","—",INDEX(MUSTERILER!$C$7:$C$156,MATCH($C2228,MUSTERILER!$B$7:$B$156,0))))</f>
        <v/>
      </c>
      <c r="O2228" s="2"/>
      <c r="P2228" s="2"/>
      <c r="Q2228" s="1" t="str">
        <f>IF($D2228="","",$C2228&amp;"|"&amp;COUNTIFS($C$7:$C2228,$C2228))</f>
        <v/>
      </c>
      <c r="R2228" s="1" t="str">
        <f t="shared" si="173"/>
        <v/>
      </c>
      <c r="S2228" s="1" t="str">
        <f t="shared" si="174"/>
        <v/>
      </c>
      <c r="T2228" s="1">
        <f>IF($E2228="",0,SUMPRODUCT((AY_SONU!$O$7:$O$42="Evet")*(AY_SONU!$B$7:$B$42=DATE(YEAR($E2228),MONTH($E2228),1))))</f>
        <v>0</v>
      </c>
    </row>
    <row r="2229" spans="1:20" ht="18" customHeight="1" x14ac:dyDescent="0.3">
      <c r="A2229" s="2"/>
      <c r="B2229" s="65" t="str">
        <f t="shared" si="170"/>
        <v/>
      </c>
      <c r="C2229" s="65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66"/>
      <c r="F2229" s="67"/>
      <c r="G2229" s="60"/>
      <c r="H2229" s="60"/>
      <c r="I2229" s="61"/>
      <c r="J2229" s="61"/>
      <c r="K2229" s="61"/>
      <c r="L2229" s="73" t="str">
        <f t="shared" si="171"/>
        <v/>
      </c>
      <c r="M2229" s="65" t="str">
        <f t="shared" ca="1" si="172"/>
        <v/>
      </c>
      <c r="N2229" s="74" t="str">
        <f>IF($C2229="","",IF($C2229="TANIMSIZ MÜŞTERİ","—",INDEX(MUSTERILER!$C$7:$C$156,MATCH($C2229,MUSTERILER!$B$7:$B$156,0))))</f>
        <v/>
      </c>
      <c r="O2229" s="2"/>
      <c r="P2229" s="2"/>
      <c r="Q2229" s="1" t="str">
        <f>IF($D2229="","",$C2229&amp;"|"&amp;COUNTIFS($C$7:$C2229,$C2229))</f>
        <v/>
      </c>
      <c r="R2229" s="1" t="str">
        <f t="shared" si="173"/>
        <v/>
      </c>
      <c r="S2229" s="1" t="str">
        <f t="shared" si="174"/>
        <v/>
      </c>
      <c r="T2229" s="1">
        <f>IF($E2229="",0,SUMPRODUCT((AY_SONU!$O$7:$O$42="Evet")*(AY_SONU!$B$7:$B$42=DATE(YEAR($E2229),MONTH($E2229),1))))</f>
        <v>0</v>
      </c>
    </row>
    <row r="2230" spans="1:20" ht="18" customHeight="1" x14ac:dyDescent="0.3">
      <c r="A2230" s="2"/>
      <c r="B2230" s="65" t="str">
        <f t="shared" si="170"/>
        <v/>
      </c>
      <c r="C2230" s="65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66"/>
      <c r="F2230" s="67"/>
      <c r="G2230" s="60"/>
      <c r="H2230" s="60"/>
      <c r="I2230" s="61"/>
      <c r="J2230" s="61"/>
      <c r="K2230" s="61"/>
      <c r="L2230" s="73" t="str">
        <f t="shared" si="171"/>
        <v/>
      </c>
      <c r="M2230" s="65" t="str">
        <f t="shared" ca="1" si="172"/>
        <v/>
      </c>
      <c r="N2230" s="74" t="str">
        <f>IF($C2230="","",IF($C2230="TANIMSIZ MÜŞTERİ","—",INDEX(MUSTERILER!$C$7:$C$156,MATCH($C2230,MUSTERILER!$B$7:$B$156,0))))</f>
        <v/>
      </c>
      <c r="O2230" s="2"/>
      <c r="P2230" s="2"/>
      <c r="Q2230" s="1" t="str">
        <f>IF($D2230="","",$C2230&amp;"|"&amp;COUNTIFS($C$7:$C2230,$C2230))</f>
        <v/>
      </c>
      <c r="R2230" s="1" t="str">
        <f t="shared" si="173"/>
        <v/>
      </c>
      <c r="S2230" s="1" t="str">
        <f t="shared" si="174"/>
        <v/>
      </c>
      <c r="T2230" s="1">
        <f>IF($E2230="",0,SUMPRODUCT((AY_SONU!$O$7:$O$42="Evet")*(AY_SONU!$B$7:$B$42=DATE(YEAR($E2230),MONTH($E2230),1))))</f>
        <v>0</v>
      </c>
    </row>
    <row r="2231" spans="1:20" ht="18" customHeight="1" x14ac:dyDescent="0.3">
      <c r="A2231" s="2"/>
      <c r="B2231" s="65" t="str">
        <f t="shared" si="170"/>
        <v/>
      </c>
      <c r="C2231" s="65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66"/>
      <c r="F2231" s="67"/>
      <c r="G2231" s="60"/>
      <c r="H2231" s="60"/>
      <c r="I2231" s="61"/>
      <c r="J2231" s="61"/>
      <c r="K2231" s="61"/>
      <c r="L2231" s="73" t="str">
        <f t="shared" si="171"/>
        <v/>
      </c>
      <c r="M2231" s="65" t="str">
        <f t="shared" ca="1" si="172"/>
        <v/>
      </c>
      <c r="N2231" s="74" t="str">
        <f>IF($C2231="","",IF($C2231="TANIMSIZ MÜŞTERİ","—",INDEX(MUSTERILER!$C$7:$C$156,MATCH($C2231,MUSTERILER!$B$7:$B$156,0))))</f>
        <v/>
      </c>
      <c r="O2231" s="2"/>
      <c r="P2231" s="2"/>
      <c r="Q2231" s="1" t="str">
        <f>IF($D2231="","",$C2231&amp;"|"&amp;COUNTIFS($C$7:$C2231,$C2231))</f>
        <v/>
      </c>
      <c r="R2231" s="1" t="str">
        <f t="shared" si="173"/>
        <v/>
      </c>
      <c r="S2231" s="1" t="str">
        <f t="shared" si="174"/>
        <v/>
      </c>
      <c r="T2231" s="1">
        <f>IF($E2231="",0,SUMPRODUCT((AY_SONU!$O$7:$O$42="Evet")*(AY_SONU!$B$7:$B$42=DATE(YEAR($E2231),MONTH($E2231),1))))</f>
        <v>0</v>
      </c>
    </row>
    <row r="2232" spans="1:20" ht="18" customHeight="1" x14ac:dyDescent="0.3">
      <c r="A2232" s="2"/>
      <c r="B2232" s="65" t="str">
        <f t="shared" si="170"/>
        <v/>
      </c>
      <c r="C2232" s="65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66"/>
      <c r="F2232" s="67"/>
      <c r="G2232" s="60"/>
      <c r="H2232" s="60"/>
      <c r="I2232" s="61"/>
      <c r="J2232" s="61"/>
      <c r="K2232" s="61"/>
      <c r="L2232" s="73" t="str">
        <f t="shared" si="171"/>
        <v/>
      </c>
      <c r="M2232" s="65" t="str">
        <f t="shared" ca="1" si="172"/>
        <v/>
      </c>
      <c r="N2232" s="74" t="str">
        <f>IF($C2232="","",IF($C2232="TANIMSIZ MÜŞTERİ","—",INDEX(MUSTERILER!$C$7:$C$156,MATCH($C2232,MUSTERILER!$B$7:$B$156,0))))</f>
        <v/>
      </c>
      <c r="O2232" s="2"/>
      <c r="P2232" s="2"/>
      <c r="Q2232" s="1" t="str">
        <f>IF($D2232="","",$C2232&amp;"|"&amp;COUNTIFS($C$7:$C2232,$C2232))</f>
        <v/>
      </c>
      <c r="R2232" s="1" t="str">
        <f t="shared" si="173"/>
        <v/>
      </c>
      <c r="S2232" s="1" t="str">
        <f t="shared" si="174"/>
        <v/>
      </c>
      <c r="T2232" s="1">
        <f>IF($E2232="",0,SUMPRODUCT((AY_SONU!$O$7:$O$42="Evet")*(AY_SONU!$B$7:$B$42=DATE(YEAR($E2232),MONTH($E2232),1))))</f>
        <v>0</v>
      </c>
    </row>
    <row r="2233" spans="1:20" ht="18" customHeight="1" x14ac:dyDescent="0.3">
      <c r="A2233" s="2"/>
      <c r="B2233" s="65" t="str">
        <f t="shared" si="170"/>
        <v/>
      </c>
      <c r="C2233" s="65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66"/>
      <c r="F2233" s="67"/>
      <c r="G2233" s="60"/>
      <c r="H2233" s="60"/>
      <c r="I2233" s="61"/>
      <c r="J2233" s="61"/>
      <c r="K2233" s="61"/>
      <c r="L2233" s="73" t="str">
        <f t="shared" si="171"/>
        <v/>
      </c>
      <c r="M2233" s="65" t="str">
        <f t="shared" ca="1" si="172"/>
        <v/>
      </c>
      <c r="N2233" s="74" t="str">
        <f>IF($C2233="","",IF($C2233="TANIMSIZ MÜŞTERİ","—",INDEX(MUSTERILER!$C$7:$C$156,MATCH($C2233,MUSTERILER!$B$7:$B$156,0))))</f>
        <v/>
      </c>
      <c r="O2233" s="2"/>
      <c r="P2233" s="2"/>
      <c r="Q2233" s="1" t="str">
        <f>IF($D2233="","",$C2233&amp;"|"&amp;COUNTIFS($C$7:$C2233,$C2233))</f>
        <v/>
      </c>
      <c r="R2233" s="1" t="str">
        <f t="shared" si="173"/>
        <v/>
      </c>
      <c r="S2233" s="1" t="str">
        <f t="shared" si="174"/>
        <v/>
      </c>
      <c r="T2233" s="1">
        <f>IF($E2233="",0,SUMPRODUCT((AY_SONU!$O$7:$O$42="Evet")*(AY_SONU!$B$7:$B$42=DATE(YEAR($E2233),MONTH($E2233),1))))</f>
        <v>0</v>
      </c>
    </row>
    <row r="2234" spans="1:20" ht="18" customHeight="1" x14ac:dyDescent="0.3">
      <c r="A2234" s="2"/>
      <c r="B2234" s="65" t="str">
        <f t="shared" si="170"/>
        <v/>
      </c>
      <c r="C2234" s="65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66"/>
      <c r="F2234" s="67"/>
      <c r="G2234" s="60"/>
      <c r="H2234" s="60"/>
      <c r="I2234" s="61"/>
      <c r="J2234" s="61"/>
      <c r="K2234" s="61"/>
      <c r="L2234" s="73" t="str">
        <f t="shared" si="171"/>
        <v/>
      </c>
      <c r="M2234" s="65" t="str">
        <f t="shared" ca="1" si="172"/>
        <v/>
      </c>
      <c r="N2234" s="74" t="str">
        <f>IF($C2234="","",IF($C2234="TANIMSIZ MÜŞTERİ","—",INDEX(MUSTERILER!$C$7:$C$156,MATCH($C2234,MUSTERILER!$B$7:$B$156,0))))</f>
        <v/>
      </c>
      <c r="O2234" s="2"/>
      <c r="P2234" s="2"/>
      <c r="Q2234" s="1" t="str">
        <f>IF($D2234="","",$C2234&amp;"|"&amp;COUNTIFS($C$7:$C2234,$C2234))</f>
        <v/>
      </c>
      <c r="R2234" s="1" t="str">
        <f t="shared" si="173"/>
        <v/>
      </c>
      <c r="S2234" s="1" t="str">
        <f t="shared" si="174"/>
        <v/>
      </c>
      <c r="T2234" s="1">
        <f>IF($E2234="",0,SUMPRODUCT((AY_SONU!$O$7:$O$42="Evet")*(AY_SONU!$B$7:$B$42=DATE(YEAR($E2234),MONTH($E2234),1))))</f>
        <v>0</v>
      </c>
    </row>
    <row r="2235" spans="1:20" ht="18" customHeight="1" x14ac:dyDescent="0.3">
      <c r="A2235" s="2"/>
      <c r="B2235" s="65" t="str">
        <f t="shared" si="170"/>
        <v/>
      </c>
      <c r="C2235" s="65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66"/>
      <c r="F2235" s="67"/>
      <c r="G2235" s="60"/>
      <c r="H2235" s="60"/>
      <c r="I2235" s="61"/>
      <c r="J2235" s="61"/>
      <c r="K2235" s="61"/>
      <c r="L2235" s="73" t="str">
        <f t="shared" si="171"/>
        <v/>
      </c>
      <c r="M2235" s="65" t="str">
        <f t="shared" ca="1" si="172"/>
        <v/>
      </c>
      <c r="N2235" s="74" t="str">
        <f>IF($C2235="","",IF($C2235="TANIMSIZ MÜŞTERİ","—",INDEX(MUSTERILER!$C$7:$C$156,MATCH($C2235,MUSTERILER!$B$7:$B$156,0))))</f>
        <v/>
      </c>
      <c r="O2235" s="2"/>
      <c r="P2235" s="2"/>
      <c r="Q2235" s="1" t="str">
        <f>IF($D2235="","",$C2235&amp;"|"&amp;COUNTIFS($C$7:$C2235,$C2235))</f>
        <v/>
      </c>
      <c r="R2235" s="1" t="str">
        <f t="shared" si="173"/>
        <v/>
      </c>
      <c r="S2235" s="1" t="str">
        <f t="shared" si="174"/>
        <v/>
      </c>
      <c r="T2235" s="1">
        <f>IF($E2235="",0,SUMPRODUCT((AY_SONU!$O$7:$O$42="Evet")*(AY_SONU!$B$7:$B$42=DATE(YEAR($E2235),MONTH($E2235),1))))</f>
        <v>0</v>
      </c>
    </row>
    <row r="2236" spans="1:20" ht="18" customHeight="1" x14ac:dyDescent="0.3">
      <c r="A2236" s="2"/>
      <c r="B2236" s="65" t="str">
        <f t="shared" si="170"/>
        <v/>
      </c>
      <c r="C2236" s="65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66"/>
      <c r="F2236" s="67"/>
      <c r="G2236" s="60"/>
      <c r="H2236" s="60"/>
      <c r="I2236" s="61"/>
      <c r="J2236" s="61"/>
      <c r="K2236" s="61"/>
      <c r="L2236" s="73" t="str">
        <f t="shared" si="171"/>
        <v/>
      </c>
      <c r="M2236" s="65" t="str">
        <f t="shared" ca="1" si="172"/>
        <v/>
      </c>
      <c r="N2236" s="74" t="str">
        <f>IF($C2236="","",IF($C2236="TANIMSIZ MÜŞTERİ","—",INDEX(MUSTERILER!$C$7:$C$156,MATCH($C2236,MUSTERILER!$B$7:$B$156,0))))</f>
        <v/>
      </c>
      <c r="O2236" s="2"/>
      <c r="P2236" s="2"/>
      <c r="Q2236" s="1" t="str">
        <f>IF($D2236="","",$C2236&amp;"|"&amp;COUNTIFS($C$7:$C2236,$C2236))</f>
        <v/>
      </c>
      <c r="R2236" s="1" t="str">
        <f t="shared" si="173"/>
        <v/>
      </c>
      <c r="S2236" s="1" t="str">
        <f t="shared" si="174"/>
        <v/>
      </c>
      <c r="T2236" s="1">
        <f>IF($E2236="",0,SUMPRODUCT((AY_SONU!$O$7:$O$42="Evet")*(AY_SONU!$B$7:$B$42=DATE(YEAR($E2236),MONTH($E2236),1))))</f>
        <v>0</v>
      </c>
    </row>
    <row r="2237" spans="1:20" ht="18" customHeight="1" x14ac:dyDescent="0.3">
      <c r="A2237" s="2"/>
      <c r="B2237" s="65" t="str">
        <f t="shared" si="170"/>
        <v/>
      </c>
      <c r="C2237" s="65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66"/>
      <c r="F2237" s="67"/>
      <c r="G2237" s="60"/>
      <c r="H2237" s="60"/>
      <c r="I2237" s="61"/>
      <c r="J2237" s="61"/>
      <c r="K2237" s="61"/>
      <c r="L2237" s="73" t="str">
        <f t="shared" si="171"/>
        <v/>
      </c>
      <c r="M2237" s="65" t="str">
        <f t="shared" ca="1" si="172"/>
        <v/>
      </c>
      <c r="N2237" s="74" t="str">
        <f>IF($C2237="","",IF($C2237="TANIMSIZ MÜŞTERİ","—",INDEX(MUSTERILER!$C$7:$C$156,MATCH($C2237,MUSTERILER!$B$7:$B$156,0))))</f>
        <v/>
      </c>
      <c r="O2237" s="2"/>
      <c r="P2237" s="2"/>
      <c r="Q2237" s="1" t="str">
        <f>IF($D2237="","",$C2237&amp;"|"&amp;COUNTIFS($C$7:$C2237,$C2237))</f>
        <v/>
      </c>
      <c r="R2237" s="1" t="str">
        <f t="shared" si="173"/>
        <v/>
      </c>
      <c r="S2237" s="1" t="str">
        <f t="shared" si="174"/>
        <v/>
      </c>
      <c r="T2237" s="1">
        <f>IF($E2237="",0,SUMPRODUCT((AY_SONU!$O$7:$O$42="Evet")*(AY_SONU!$B$7:$B$42=DATE(YEAR($E2237),MONTH($E2237),1))))</f>
        <v>0</v>
      </c>
    </row>
    <row r="2238" spans="1:20" ht="18" customHeight="1" x14ac:dyDescent="0.3">
      <c r="A2238" s="2"/>
      <c r="B2238" s="65" t="str">
        <f t="shared" si="170"/>
        <v/>
      </c>
      <c r="C2238" s="65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66"/>
      <c r="F2238" s="67"/>
      <c r="G2238" s="60"/>
      <c r="H2238" s="60"/>
      <c r="I2238" s="61"/>
      <c r="J2238" s="61"/>
      <c r="K2238" s="61"/>
      <c r="L2238" s="73" t="str">
        <f t="shared" si="171"/>
        <v/>
      </c>
      <c r="M2238" s="65" t="str">
        <f t="shared" ca="1" si="172"/>
        <v/>
      </c>
      <c r="N2238" s="74" t="str">
        <f>IF($C2238="","",IF($C2238="TANIMSIZ MÜŞTERİ","—",INDEX(MUSTERILER!$C$7:$C$156,MATCH($C2238,MUSTERILER!$B$7:$B$156,0))))</f>
        <v/>
      </c>
      <c r="O2238" s="2"/>
      <c r="P2238" s="2"/>
      <c r="Q2238" s="1" t="str">
        <f>IF($D2238="","",$C2238&amp;"|"&amp;COUNTIFS($C$7:$C2238,$C2238))</f>
        <v/>
      </c>
      <c r="R2238" s="1" t="str">
        <f t="shared" si="173"/>
        <v/>
      </c>
      <c r="S2238" s="1" t="str">
        <f t="shared" si="174"/>
        <v/>
      </c>
      <c r="T2238" s="1">
        <f>IF($E2238="",0,SUMPRODUCT((AY_SONU!$O$7:$O$42="Evet")*(AY_SONU!$B$7:$B$42=DATE(YEAR($E2238),MONTH($E2238),1))))</f>
        <v>0</v>
      </c>
    </row>
    <row r="2239" spans="1:20" ht="18" customHeight="1" x14ac:dyDescent="0.3">
      <c r="A2239" s="2"/>
      <c r="B2239" s="65" t="str">
        <f t="shared" si="170"/>
        <v/>
      </c>
      <c r="C2239" s="65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66"/>
      <c r="F2239" s="67"/>
      <c r="G2239" s="60"/>
      <c r="H2239" s="60"/>
      <c r="I2239" s="61"/>
      <c r="J2239" s="61"/>
      <c r="K2239" s="61"/>
      <c r="L2239" s="73" t="str">
        <f t="shared" si="171"/>
        <v/>
      </c>
      <c r="M2239" s="65" t="str">
        <f t="shared" ca="1" si="172"/>
        <v/>
      </c>
      <c r="N2239" s="74" t="str">
        <f>IF($C2239="","",IF($C2239="TANIMSIZ MÜŞTERİ","—",INDEX(MUSTERILER!$C$7:$C$156,MATCH($C2239,MUSTERILER!$B$7:$B$156,0))))</f>
        <v/>
      </c>
      <c r="O2239" s="2"/>
      <c r="P2239" s="2"/>
      <c r="Q2239" s="1" t="str">
        <f>IF($D2239="","",$C2239&amp;"|"&amp;COUNTIFS($C$7:$C2239,$C2239))</f>
        <v/>
      </c>
      <c r="R2239" s="1" t="str">
        <f t="shared" si="173"/>
        <v/>
      </c>
      <c r="S2239" s="1" t="str">
        <f t="shared" si="174"/>
        <v/>
      </c>
      <c r="T2239" s="1">
        <f>IF($E2239="",0,SUMPRODUCT((AY_SONU!$O$7:$O$42="Evet")*(AY_SONU!$B$7:$B$42=DATE(YEAR($E2239),MONTH($E2239),1))))</f>
        <v>0</v>
      </c>
    </row>
    <row r="2240" spans="1:20" ht="18" customHeight="1" x14ac:dyDescent="0.3">
      <c r="A2240" s="2"/>
      <c r="B2240" s="65" t="str">
        <f t="shared" si="170"/>
        <v/>
      </c>
      <c r="C2240" s="65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66"/>
      <c r="F2240" s="67"/>
      <c r="G2240" s="60"/>
      <c r="H2240" s="60"/>
      <c r="I2240" s="61"/>
      <c r="J2240" s="61"/>
      <c r="K2240" s="61"/>
      <c r="L2240" s="73" t="str">
        <f t="shared" si="171"/>
        <v/>
      </c>
      <c r="M2240" s="65" t="str">
        <f t="shared" ca="1" si="172"/>
        <v/>
      </c>
      <c r="N2240" s="74" t="str">
        <f>IF($C2240="","",IF($C2240="TANIMSIZ MÜŞTERİ","—",INDEX(MUSTERILER!$C$7:$C$156,MATCH($C2240,MUSTERILER!$B$7:$B$156,0))))</f>
        <v/>
      </c>
      <c r="O2240" s="2"/>
      <c r="P2240" s="2"/>
      <c r="Q2240" s="1" t="str">
        <f>IF($D2240="","",$C2240&amp;"|"&amp;COUNTIFS($C$7:$C2240,$C2240))</f>
        <v/>
      </c>
      <c r="R2240" s="1" t="str">
        <f t="shared" si="173"/>
        <v/>
      </c>
      <c r="S2240" s="1" t="str">
        <f t="shared" si="174"/>
        <v/>
      </c>
      <c r="T2240" s="1">
        <f>IF($E2240="",0,SUMPRODUCT((AY_SONU!$O$7:$O$42="Evet")*(AY_SONU!$B$7:$B$42=DATE(YEAR($E2240),MONTH($E2240),1))))</f>
        <v>0</v>
      </c>
    </row>
    <row r="2241" spans="1:20" ht="18" customHeight="1" x14ac:dyDescent="0.3">
      <c r="A2241" s="2"/>
      <c r="B2241" s="65" t="str">
        <f t="shared" si="170"/>
        <v/>
      </c>
      <c r="C2241" s="65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66"/>
      <c r="F2241" s="67"/>
      <c r="G2241" s="60"/>
      <c r="H2241" s="60"/>
      <c r="I2241" s="61"/>
      <c r="J2241" s="61"/>
      <c r="K2241" s="61"/>
      <c r="L2241" s="73" t="str">
        <f t="shared" si="171"/>
        <v/>
      </c>
      <c r="M2241" s="65" t="str">
        <f t="shared" ca="1" si="172"/>
        <v/>
      </c>
      <c r="N2241" s="74" t="str">
        <f>IF($C2241="","",IF($C2241="TANIMSIZ MÜŞTERİ","—",INDEX(MUSTERILER!$C$7:$C$156,MATCH($C2241,MUSTERILER!$B$7:$B$156,0))))</f>
        <v/>
      </c>
      <c r="O2241" s="2"/>
      <c r="P2241" s="2"/>
      <c r="Q2241" s="1" t="str">
        <f>IF($D2241="","",$C2241&amp;"|"&amp;COUNTIFS($C$7:$C2241,$C2241))</f>
        <v/>
      </c>
      <c r="R2241" s="1" t="str">
        <f t="shared" si="173"/>
        <v/>
      </c>
      <c r="S2241" s="1" t="str">
        <f t="shared" si="174"/>
        <v/>
      </c>
      <c r="T2241" s="1">
        <f>IF($E2241="",0,SUMPRODUCT((AY_SONU!$O$7:$O$42="Evet")*(AY_SONU!$B$7:$B$42=DATE(YEAR($E2241),MONTH($E2241),1))))</f>
        <v>0</v>
      </c>
    </row>
    <row r="2242" spans="1:20" ht="18" customHeight="1" x14ac:dyDescent="0.3">
      <c r="A2242" s="2"/>
      <c r="B2242" s="65" t="str">
        <f t="shared" si="170"/>
        <v/>
      </c>
      <c r="C2242" s="65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66"/>
      <c r="F2242" s="67"/>
      <c r="G2242" s="60"/>
      <c r="H2242" s="60"/>
      <c r="I2242" s="61"/>
      <c r="J2242" s="61"/>
      <c r="K2242" s="61"/>
      <c r="L2242" s="73" t="str">
        <f t="shared" si="171"/>
        <v/>
      </c>
      <c r="M2242" s="65" t="str">
        <f t="shared" ca="1" si="172"/>
        <v/>
      </c>
      <c r="N2242" s="74" t="str">
        <f>IF($C2242="","",IF($C2242="TANIMSIZ MÜŞTERİ","—",INDEX(MUSTERILER!$C$7:$C$156,MATCH($C2242,MUSTERILER!$B$7:$B$156,0))))</f>
        <v/>
      </c>
      <c r="O2242" s="2"/>
      <c r="P2242" s="2"/>
      <c r="Q2242" s="1" t="str">
        <f>IF($D2242="","",$C2242&amp;"|"&amp;COUNTIFS($C$7:$C2242,$C2242))</f>
        <v/>
      </c>
      <c r="R2242" s="1" t="str">
        <f t="shared" si="173"/>
        <v/>
      </c>
      <c r="S2242" s="1" t="str">
        <f t="shared" si="174"/>
        <v/>
      </c>
      <c r="T2242" s="1">
        <f>IF($E2242="",0,SUMPRODUCT((AY_SONU!$O$7:$O$42="Evet")*(AY_SONU!$B$7:$B$42=DATE(YEAR($E2242),MONTH($E2242),1))))</f>
        <v>0</v>
      </c>
    </row>
    <row r="2243" spans="1:20" ht="18" customHeight="1" x14ac:dyDescent="0.3">
      <c r="A2243" s="2"/>
      <c r="B2243" s="65" t="str">
        <f t="shared" si="170"/>
        <v/>
      </c>
      <c r="C2243" s="65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66"/>
      <c r="F2243" s="67"/>
      <c r="G2243" s="60"/>
      <c r="H2243" s="60"/>
      <c r="I2243" s="61"/>
      <c r="J2243" s="61"/>
      <c r="K2243" s="61"/>
      <c r="L2243" s="73" t="str">
        <f t="shared" si="171"/>
        <v/>
      </c>
      <c r="M2243" s="65" t="str">
        <f t="shared" ca="1" si="172"/>
        <v/>
      </c>
      <c r="N2243" s="74" t="str">
        <f>IF($C2243="","",IF($C2243="TANIMSIZ MÜŞTERİ","—",INDEX(MUSTERILER!$C$7:$C$156,MATCH($C2243,MUSTERILER!$B$7:$B$156,0))))</f>
        <v/>
      </c>
      <c r="O2243" s="2"/>
      <c r="P2243" s="2"/>
      <c r="Q2243" s="1" t="str">
        <f>IF($D2243="","",$C2243&amp;"|"&amp;COUNTIFS($C$7:$C2243,$C2243))</f>
        <v/>
      </c>
      <c r="R2243" s="1" t="str">
        <f t="shared" si="173"/>
        <v/>
      </c>
      <c r="S2243" s="1" t="str">
        <f t="shared" si="174"/>
        <v/>
      </c>
      <c r="T2243" s="1">
        <f>IF($E2243="",0,SUMPRODUCT((AY_SONU!$O$7:$O$42="Evet")*(AY_SONU!$B$7:$B$42=DATE(YEAR($E2243),MONTH($E2243),1))))</f>
        <v>0</v>
      </c>
    </row>
    <row r="2244" spans="1:20" ht="18" customHeight="1" x14ac:dyDescent="0.3">
      <c r="A2244" s="2"/>
      <c r="B2244" s="65" t="str">
        <f t="shared" si="170"/>
        <v/>
      </c>
      <c r="C2244" s="65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66"/>
      <c r="F2244" s="67"/>
      <c r="G2244" s="60"/>
      <c r="H2244" s="60"/>
      <c r="I2244" s="61"/>
      <c r="J2244" s="61"/>
      <c r="K2244" s="61"/>
      <c r="L2244" s="73" t="str">
        <f t="shared" si="171"/>
        <v/>
      </c>
      <c r="M2244" s="65" t="str">
        <f t="shared" ca="1" si="172"/>
        <v/>
      </c>
      <c r="N2244" s="74" t="str">
        <f>IF($C2244="","",IF($C2244="TANIMSIZ MÜŞTERİ","—",INDEX(MUSTERILER!$C$7:$C$156,MATCH($C2244,MUSTERILER!$B$7:$B$156,0))))</f>
        <v/>
      </c>
      <c r="O2244" s="2"/>
      <c r="P2244" s="2"/>
      <c r="Q2244" s="1" t="str">
        <f>IF($D2244="","",$C2244&amp;"|"&amp;COUNTIFS($C$7:$C2244,$C2244))</f>
        <v/>
      </c>
      <c r="R2244" s="1" t="str">
        <f t="shared" si="173"/>
        <v/>
      </c>
      <c r="S2244" s="1" t="str">
        <f t="shared" si="174"/>
        <v/>
      </c>
      <c r="T2244" s="1">
        <f>IF($E2244="",0,SUMPRODUCT((AY_SONU!$O$7:$O$42="Evet")*(AY_SONU!$B$7:$B$42=DATE(YEAR($E2244),MONTH($E2244),1))))</f>
        <v>0</v>
      </c>
    </row>
    <row r="2245" spans="1:20" ht="18" customHeight="1" x14ac:dyDescent="0.3">
      <c r="A2245" s="2"/>
      <c r="B2245" s="65" t="str">
        <f t="shared" si="170"/>
        <v/>
      </c>
      <c r="C2245" s="65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66"/>
      <c r="F2245" s="67"/>
      <c r="G2245" s="60"/>
      <c r="H2245" s="60"/>
      <c r="I2245" s="61"/>
      <c r="J2245" s="61"/>
      <c r="K2245" s="61"/>
      <c r="L2245" s="73" t="str">
        <f t="shared" si="171"/>
        <v/>
      </c>
      <c r="M2245" s="65" t="str">
        <f t="shared" ca="1" si="172"/>
        <v/>
      </c>
      <c r="N2245" s="74" t="str">
        <f>IF($C2245="","",IF($C2245="TANIMSIZ MÜŞTERİ","—",INDEX(MUSTERILER!$C$7:$C$156,MATCH($C2245,MUSTERILER!$B$7:$B$156,0))))</f>
        <v/>
      </c>
      <c r="O2245" s="2"/>
      <c r="P2245" s="2"/>
      <c r="Q2245" s="1" t="str">
        <f>IF($D2245="","",$C2245&amp;"|"&amp;COUNTIFS($C$7:$C2245,$C2245))</f>
        <v/>
      </c>
      <c r="R2245" s="1" t="str">
        <f t="shared" si="173"/>
        <v/>
      </c>
      <c r="S2245" s="1" t="str">
        <f t="shared" si="174"/>
        <v/>
      </c>
      <c r="T2245" s="1">
        <f>IF($E2245="",0,SUMPRODUCT((AY_SONU!$O$7:$O$42="Evet")*(AY_SONU!$B$7:$B$42=DATE(YEAR($E2245),MONTH($E2245),1))))</f>
        <v>0</v>
      </c>
    </row>
    <row r="2246" spans="1:20" ht="18" customHeight="1" x14ac:dyDescent="0.3">
      <c r="A2246" s="2"/>
      <c r="B2246" s="65" t="str">
        <f t="shared" si="170"/>
        <v/>
      </c>
      <c r="C2246" s="65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66"/>
      <c r="F2246" s="67"/>
      <c r="G2246" s="60"/>
      <c r="H2246" s="60"/>
      <c r="I2246" s="61"/>
      <c r="J2246" s="61"/>
      <c r="K2246" s="61"/>
      <c r="L2246" s="73" t="str">
        <f t="shared" si="171"/>
        <v/>
      </c>
      <c r="M2246" s="65" t="str">
        <f t="shared" ca="1" si="172"/>
        <v/>
      </c>
      <c r="N2246" s="74" t="str">
        <f>IF($C2246="","",IF($C2246="TANIMSIZ MÜŞTERİ","—",INDEX(MUSTERILER!$C$7:$C$156,MATCH($C2246,MUSTERILER!$B$7:$B$156,0))))</f>
        <v/>
      </c>
      <c r="O2246" s="2"/>
      <c r="P2246" s="2"/>
      <c r="Q2246" s="1" t="str">
        <f>IF($D2246="","",$C2246&amp;"|"&amp;COUNTIFS($C$7:$C2246,$C2246))</f>
        <v/>
      </c>
      <c r="R2246" s="1" t="str">
        <f t="shared" si="173"/>
        <v/>
      </c>
      <c r="S2246" s="1" t="str">
        <f t="shared" si="174"/>
        <v/>
      </c>
      <c r="T2246" s="1">
        <f>IF($E2246="",0,SUMPRODUCT((AY_SONU!$O$7:$O$42="Evet")*(AY_SONU!$B$7:$B$42=DATE(YEAR($E2246),MONTH($E2246),1))))</f>
        <v>0</v>
      </c>
    </row>
    <row r="2247" spans="1:20" ht="18" customHeight="1" x14ac:dyDescent="0.3">
      <c r="A2247" s="2"/>
      <c r="B2247" s="65" t="str">
        <f t="shared" ref="B2247:B2310" si="175">IF($D2247="","","T"&amp;TEXT(ROW()-6,"00000"))</f>
        <v/>
      </c>
      <c r="C2247" s="65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66"/>
      <c r="F2247" s="67"/>
      <c r="G2247" s="60"/>
      <c r="H2247" s="60"/>
      <c r="I2247" s="61"/>
      <c r="J2247" s="61"/>
      <c r="K2247" s="61"/>
      <c r="L2247" s="73" t="str">
        <f t="shared" ref="L2247:L2310" si="176">IF($E2247="","",DATE(YEAR($E2247),MONTH($E2247),1))</f>
        <v/>
      </c>
      <c r="M2247" s="65" t="str">
        <f t="shared" ref="M2247:M2310" ca="1" si="177">IF($D2247="","",IF($C2247="TANIMSIZ MÜŞTERİ","HATA",IF(OR($E2247="",$F2247&lt;=0,$G2247=""),"EKSİK",IF($E2247&gt;TODAY(),"İLERİ TARİH",IF(COUNTIF($S$7:$S$2506,$S2247)&gt;1,"MÜKERRER?",IF($T2247&gt;0,"KAPALI DÖNEM","UYGUN"))))))</f>
        <v/>
      </c>
      <c r="N2247" s="74" t="str">
        <f>IF($C2247="","",IF($C2247="TANIMSIZ MÜŞTERİ","—",INDEX(MUSTERILER!$C$7:$C$156,MATCH($C2247,MUSTERILER!$B$7:$B$156,0))))</f>
        <v/>
      </c>
      <c r="O2247" s="2"/>
      <c r="P2247" s="2"/>
      <c r="Q2247" s="1" t="str">
        <f>IF($D2247="","",$C2247&amp;"|"&amp;COUNTIFS($C$7:$C2247,$C2247))</f>
        <v/>
      </c>
      <c r="R2247" s="1" t="str">
        <f t="shared" ref="R2247:R2310" si="178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 t="str">
        <f t="shared" ref="S2247:S2310" si="179"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>0</v>
      </c>
    </row>
    <row r="2248" spans="1:20" ht="18" customHeight="1" x14ac:dyDescent="0.3">
      <c r="A2248" s="2"/>
      <c r="B2248" s="65" t="str">
        <f t="shared" si="175"/>
        <v/>
      </c>
      <c r="C2248" s="65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66"/>
      <c r="F2248" s="67"/>
      <c r="G2248" s="60"/>
      <c r="H2248" s="60"/>
      <c r="I2248" s="61"/>
      <c r="J2248" s="61"/>
      <c r="K2248" s="61"/>
      <c r="L2248" s="73" t="str">
        <f t="shared" si="176"/>
        <v/>
      </c>
      <c r="M2248" s="65" t="str">
        <f t="shared" ca="1" si="177"/>
        <v/>
      </c>
      <c r="N2248" s="74" t="str">
        <f>IF($C2248="","",IF($C2248="TANIMSIZ MÜŞTERİ","—",INDEX(MUSTERILER!$C$7:$C$156,MATCH($C2248,MUSTERILER!$B$7:$B$156,0))))</f>
        <v/>
      </c>
      <c r="O2248" s="2"/>
      <c r="P2248" s="2"/>
      <c r="Q2248" s="1" t="str">
        <f>IF($D2248="","",$C2248&amp;"|"&amp;COUNTIFS($C$7:$C2248,$C2248))</f>
        <v/>
      </c>
      <c r="R2248" s="1" t="str">
        <f t="shared" si="178"/>
        <v/>
      </c>
      <c r="S2248" s="1" t="str">
        <f t="shared" si="179"/>
        <v/>
      </c>
      <c r="T2248" s="1">
        <f>IF($E2248="",0,SUMPRODUCT((AY_SONU!$O$7:$O$42="Evet")*(AY_SONU!$B$7:$B$42=DATE(YEAR($E2248),MONTH($E2248),1))))</f>
        <v>0</v>
      </c>
    </row>
    <row r="2249" spans="1:20" ht="18" customHeight="1" x14ac:dyDescent="0.3">
      <c r="A2249" s="2"/>
      <c r="B2249" s="65" t="str">
        <f t="shared" si="175"/>
        <v/>
      </c>
      <c r="C2249" s="65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66"/>
      <c r="F2249" s="67"/>
      <c r="G2249" s="60"/>
      <c r="H2249" s="60"/>
      <c r="I2249" s="61"/>
      <c r="J2249" s="61"/>
      <c r="K2249" s="61"/>
      <c r="L2249" s="73" t="str">
        <f t="shared" si="176"/>
        <v/>
      </c>
      <c r="M2249" s="65" t="str">
        <f t="shared" ca="1" si="177"/>
        <v/>
      </c>
      <c r="N2249" s="74" t="str">
        <f>IF($C2249="","",IF($C2249="TANIMSIZ MÜŞTERİ","—",INDEX(MUSTERILER!$C$7:$C$156,MATCH($C2249,MUSTERILER!$B$7:$B$156,0))))</f>
        <v/>
      </c>
      <c r="O2249" s="2"/>
      <c r="P2249" s="2"/>
      <c r="Q2249" s="1" t="str">
        <f>IF($D2249="","",$C2249&amp;"|"&amp;COUNTIFS($C$7:$C2249,$C2249))</f>
        <v/>
      </c>
      <c r="R2249" s="1" t="str">
        <f t="shared" si="178"/>
        <v/>
      </c>
      <c r="S2249" s="1" t="str">
        <f t="shared" si="179"/>
        <v/>
      </c>
      <c r="T2249" s="1">
        <f>IF($E2249="",0,SUMPRODUCT((AY_SONU!$O$7:$O$42="Evet")*(AY_SONU!$B$7:$B$42=DATE(YEAR($E2249),MONTH($E2249),1))))</f>
        <v>0</v>
      </c>
    </row>
    <row r="2250" spans="1:20" ht="18" customHeight="1" x14ac:dyDescent="0.3">
      <c r="A2250" s="2"/>
      <c r="B2250" s="65" t="str">
        <f t="shared" si="175"/>
        <v/>
      </c>
      <c r="C2250" s="65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66"/>
      <c r="F2250" s="67"/>
      <c r="G2250" s="60"/>
      <c r="H2250" s="60"/>
      <c r="I2250" s="61"/>
      <c r="J2250" s="61"/>
      <c r="K2250" s="61"/>
      <c r="L2250" s="73" t="str">
        <f t="shared" si="176"/>
        <v/>
      </c>
      <c r="M2250" s="65" t="str">
        <f t="shared" ca="1" si="177"/>
        <v/>
      </c>
      <c r="N2250" s="74" t="str">
        <f>IF($C2250="","",IF($C2250="TANIMSIZ MÜŞTERİ","—",INDEX(MUSTERILER!$C$7:$C$156,MATCH($C2250,MUSTERILER!$B$7:$B$156,0))))</f>
        <v/>
      </c>
      <c r="O2250" s="2"/>
      <c r="P2250" s="2"/>
      <c r="Q2250" s="1" t="str">
        <f>IF($D2250="","",$C2250&amp;"|"&amp;COUNTIFS($C$7:$C2250,$C2250))</f>
        <v/>
      </c>
      <c r="R2250" s="1" t="str">
        <f t="shared" si="178"/>
        <v/>
      </c>
      <c r="S2250" s="1" t="str">
        <f t="shared" si="179"/>
        <v/>
      </c>
      <c r="T2250" s="1">
        <f>IF($E2250="",0,SUMPRODUCT((AY_SONU!$O$7:$O$42="Evet")*(AY_SONU!$B$7:$B$42=DATE(YEAR($E2250),MONTH($E2250),1))))</f>
        <v>0</v>
      </c>
    </row>
    <row r="2251" spans="1:20" ht="18" customHeight="1" x14ac:dyDescent="0.3">
      <c r="A2251" s="2"/>
      <c r="B2251" s="65" t="str">
        <f t="shared" si="175"/>
        <v/>
      </c>
      <c r="C2251" s="65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66"/>
      <c r="F2251" s="67"/>
      <c r="G2251" s="60"/>
      <c r="H2251" s="60"/>
      <c r="I2251" s="61"/>
      <c r="J2251" s="61"/>
      <c r="K2251" s="61"/>
      <c r="L2251" s="73" t="str">
        <f t="shared" si="176"/>
        <v/>
      </c>
      <c r="M2251" s="65" t="str">
        <f t="shared" ca="1" si="177"/>
        <v/>
      </c>
      <c r="N2251" s="74" t="str">
        <f>IF($C2251="","",IF($C2251="TANIMSIZ MÜŞTERİ","—",INDEX(MUSTERILER!$C$7:$C$156,MATCH($C2251,MUSTERILER!$B$7:$B$156,0))))</f>
        <v/>
      </c>
      <c r="O2251" s="2"/>
      <c r="P2251" s="2"/>
      <c r="Q2251" s="1" t="str">
        <f>IF($D2251="","",$C2251&amp;"|"&amp;COUNTIFS($C$7:$C2251,$C2251))</f>
        <v/>
      </c>
      <c r="R2251" s="1" t="str">
        <f t="shared" si="178"/>
        <v/>
      </c>
      <c r="S2251" s="1" t="str">
        <f t="shared" si="179"/>
        <v/>
      </c>
      <c r="T2251" s="1">
        <f>IF($E2251="",0,SUMPRODUCT((AY_SONU!$O$7:$O$42="Evet")*(AY_SONU!$B$7:$B$42=DATE(YEAR($E2251),MONTH($E2251),1))))</f>
        <v>0</v>
      </c>
    </row>
    <row r="2252" spans="1:20" ht="18" customHeight="1" x14ac:dyDescent="0.3">
      <c r="A2252" s="2"/>
      <c r="B2252" s="65" t="str">
        <f t="shared" si="175"/>
        <v/>
      </c>
      <c r="C2252" s="65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66"/>
      <c r="F2252" s="67"/>
      <c r="G2252" s="60"/>
      <c r="H2252" s="60"/>
      <c r="I2252" s="61"/>
      <c r="J2252" s="61"/>
      <c r="K2252" s="61"/>
      <c r="L2252" s="73" t="str">
        <f t="shared" si="176"/>
        <v/>
      </c>
      <c r="M2252" s="65" t="str">
        <f t="shared" ca="1" si="177"/>
        <v/>
      </c>
      <c r="N2252" s="74" t="str">
        <f>IF($C2252="","",IF($C2252="TANIMSIZ MÜŞTERİ","—",INDEX(MUSTERILER!$C$7:$C$156,MATCH($C2252,MUSTERILER!$B$7:$B$156,0))))</f>
        <v/>
      </c>
      <c r="O2252" s="2"/>
      <c r="P2252" s="2"/>
      <c r="Q2252" s="1" t="str">
        <f>IF($D2252="","",$C2252&amp;"|"&amp;COUNTIFS($C$7:$C2252,$C2252))</f>
        <v/>
      </c>
      <c r="R2252" s="1" t="str">
        <f t="shared" si="178"/>
        <v/>
      </c>
      <c r="S2252" s="1" t="str">
        <f t="shared" si="179"/>
        <v/>
      </c>
      <c r="T2252" s="1">
        <f>IF($E2252="",0,SUMPRODUCT((AY_SONU!$O$7:$O$42="Evet")*(AY_SONU!$B$7:$B$42=DATE(YEAR($E2252),MONTH($E2252),1))))</f>
        <v>0</v>
      </c>
    </row>
    <row r="2253" spans="1:20" ht="18" customHeight="1" x14ac:dyDescent="0.3">
      <c r="A2253" s="2"/>
      <c r="B2253" s="65" t="str">
        <f t="shared" si="175"/>
        <v/>
      </c>
      <c r="C2253" s="65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66"/>
      <c r="F2253" s="67"/>
      <c r="G2253" s="60"/>
      <c r="H2253" s="60"/>
      <c r="I2253" s="61"/>
      <c r="J2253" s="61"/>
      <c r="K2253" s="61"/>
      <c r="L2253" s="73" t="str">
        <f t="shared" si="176"/>
        <v/>
      </c>
      <c r="M2253" s="65" t="str">
        <f t="shared" ca="1" si="177"/>
        <v/>
      </c>
      <c r="N2253" s="74" t="str">
        <f>IF($C2253="","",IF($C2253="TANIMSIZ MÜŞTERİ","—",INDEX(MUSTERILER!$C$7:$C$156,MATCH($C2253,MUSTERILER!$B$7:$B$156,0))))</f>
        <v/>
      </c>
      <c r="O2253" s="2"/>
      <c r="P2253" s="2"/>
      <c r="Q2253" s="1" t="str">
        <f>IF($D2253="","",$C2253&amp;"|"&amp;COUNTIFS($C$7:$C2253,$C2253))</f>
        <v/>
      </c>
      <c r="R2253" s="1" t="str">
        <f t="shared" si="178"/>
        <v/>
      </c>
      <c r="S2253" s="1" t="str">
        <f t="shared" si="179"/>
        <v/>
      </c>
      <c r="T2253" s="1">
        <f>IF($E2253="",0,SUMPRODUCT((AY_SONU!$O$7:$O$42="Evet")*(AY_SONU!$B$7:$B$42=DATE(YEAR($E2253),MONTH($E2253),1))))</f>
        <v>0</v>
      </c>
    </row>
    <row r="2254" spans="1:20" ht="18" customHeight="1" x14ac:dyDescent="0.3">
      <c r="A2254" s="2"/>
      <c r="B2254" s="65" t="str">
        <f t="shared" si="175"/>
        <v/>
      </c>
      <c r="C2254" s="65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66"/>
      <c r="F2254" s="67"/>
      <c r="G2254" s="60"/>
      <c r="H2254" s="60"/>
      <c r="I2254" s="61"/>
      <c r="J2254" s="61"/>
      <c r="K2254" s="61"/>
      <c r="L2254" s="73" t="str">
        <f t="shared" si="176"/>
        <v/>
      </c>
      <c r="M2254" s="65" t="str">
        <f t="shared" ca="1" si="177"/>
        <v/>
      </c>
      <c r="N2254" s="74" t="str">
        <f>IF($C2254="","",IF($C2254="TANIMSIZ MÜŞTERİ","—",INDEX(MUSTERILER!$C$7:$C$156,MATCH($C2254,MUSTERILER!$B$7:$B$156,0))))</f>
        <v/>
      </c>
      <c r="O2254" s="2"/>
      <c r="P2254" s="2"/>
      <c r="Q2254" s="1" t="str">
        <f>IF($D2254="","",$C2254&amp;"|"&amp;COUNTIFS($C$7:$C2254,$C2254))</f>
        <v/>
      </c>
      <c r="R2254" s="1" t="str">
        <f t="shared" si="178"/>
        <v/>
      </c>
      <c r="S2254" s="1" t="str">
        <f t="shared" si="179"/>
        <v/>
      </c>
      <c r="T2254" s="1">
        <f>IF($E2254="",0,SUMPRODUCT((AY_SONU!$O$7:$O$42="Evet")*(AY_SONU!$B$7:$B$42=DATE(YEAR($E2254),MONTH($E2254),1))))</f>
        <v>0</v>
      </c>
    </row>
    <row r="2255" spans="1:20" ht="18" customHeight="1" x14ac:dyDescent="0.3">
      <c r="A2255" s="2"/>
      <c r="B2255" s="65" t="str">
        <f t="shared" si="175"/>
        <v/>
      </c>
      <c r="C2255" s="65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66"/>
      <c r="F2255" s="67"/>
      <c r="G2255" s="60"/>
      <c r="H2255" s="60"/>
      <c r="I2255" s="61"/>
      <c r="J2255" s="61"/>
      <c r="K2255" s="61"/>
      <c r="L2255" s="73" t="str">
        <f t="shared" si="176"/>
        <v/>
      </c>
      <c r="M2255" s="65" t="str">
        <f t="shared" ca="1" si="177"/>
        <v/>
      </c>
      <c r="N2255" s="74" t="str">
        <f>IF($C2255="","",IF($C2255="TANIMSIZ MÜŞTERİ","—",INDEX(MUSTERILER!$C$7:$C$156,MATCH($C2255,MUSTERILER!$B$7:$B$156,0))))</f>
        <v/>
      </c>
      <c r="O2255" s="2"/>
      <c r="P2255" s="2"/>
      <c r="Q2255" s="1" t="str">
        <f>IF($D2255="","",$C2255&amp;"|"&amp;COUNTIFS($C$7:$C2255,$C2255))</f>
        <v/>
      </c>
      <c r="R2255" s="1" t="str">
        <f t="shared" si="178"/>
        <v/>
      </c>
      <c r="S2255" s="1" t="str">
        <f t="shared" si="179"/>
        <v/>
      </c>
      <c r="T2255" s="1">
        <f>IF($E2255="",0,SUMPRODUCT((AY_SONU!$O$7:$O$42="Evet")*(AY_SONU!$B$7:$B$42=DATE(YEAR($E2255),MONTH($E2255),1))))</f>
        <v>0</v>
      </c>
    </row>
    <row r="2256" spans="1:20" ht="18" customHeight="1" x14ac:dyDescent="0.3">
      <c r="A2256" s="2"/>
      <c r="B2256" s="65" t="str">
        <f t="shared" si="175"/>
        <v/>
      </c>
      <c r="C2256" s="65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66"/>
      <c r="F2256" s="67"/>
      <c r="G2256" s="60"/>
      <c r="H2256" s="60"/>
      <c r="I2256" s="61"/>
      <c r="J2256" s="61"/>
      <c r="K2256" s="61"/>
      <c r="L2256" s="73" t="str">
        <f t="shared" si="176"/>
        <v/>
      </c>
      <c r="M2256" s="65" t="str">
        <f t="shared" ca="1" si="177"/>
        <v/>
      </c>
      <c r="N2256" s="74" t="str">
        <f>IF($C2256="","",IF($C2256="TANIMSIZ MÜŞTERİ","—",INDEX(MUSTERILER!$C$7:$C$156,MATCH($C2256,MUSTERILER!$B$7:$B$156,0))))</f>
        <v/>
      </c>
      <c r="O2256" s="2"/>
      <c r="P2256" s="2"/>
      <c r="Q2256" s="1" t="str">
        <f>IF($D2256="","",$C2256&amp;"|"&amp;COUNTIFS($C$7:$C2256,$C2256))</f>
        <v/>
      </c>
      <c r="R2256" s="1" t="str">
        <f t="shared" si="178"/>
        <v/>
      </c>
      <c r="S2256" s="1" t="str">
        <f t="shared" si="179"/>
        <v/>
      </c>
      <c r="T2256" s="1">
        <f>IF($E2256="",0,SUMPRODUCT((AY_SONU!$O$7:$O$42="Evet")*(AY_SONU!$B$7:$B$42=DATE(YEAR($E2256),MONTH($E2256),1))))</f>
        <v>0</v>
      </c>
    </row>
    <row r="2257" spans="1:20" ht="18" customHeight="1" x14ac:dyDescent="0.3">
      <c r="A2257" s="2"/>
      <c r="B2257" s="65" t="str">
        <f t="shared" si="175"/>
        <v/>
      </c>
      <c r="C2257" s="65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66"/>
      <c r="F2257" s="67"/>
      <c r="G2257" s="60"/>
      <c r="H2257" s="60"/>
      <c r="I2257" s="61"/>
      <c r="J2257" s="61"/>
      <c r="K2257" s="61"/>
      <c r="L2257" s="73" t="str">
        <f t="shared" si="176"/>
        <v/>
      </c>
      <c r="M2257" s="65" t="str">
        <f t="shared" ca="1" si="177"/>
        <v/>
      </c>
      <c r="N2257" s="74" t="str">
        <f>IF($C2257="","",IF($C2257="TANIMSIZ MÜŞTERİ","—",INDEX(MUSTERILER!$C$7:$C$156,MATCH($C2257,MUSTERILER!$B$7:$B$156,0))))</f>
        <v/>
      </c>
      <c r="O2257" s="2"/>
      <c r="P2257" s="2"/>
      <c r="Q2257" s="1" t="str">
        <f>IF($D2257="","",$C2257&amp;"|"&amp;COUNTIFS($C$7:$C2257,$C2257))</f>
        <v/>
      </c>
      <c r="R2257" s="1" t="str">
        <f t="shared" si="178"/>
        <v/>
      </c>
      <c r="S2257" s="1" t="str">
        <f t="shared" si="179"/>
        <v/>
      </c>
      <c r="T2257" s="1">
        <f>IF($E2257="",0,SUMPRODUCT((AY_SONU!$O$7:$O$42="Evet")*(AY_SONU!$B$7:$B$42=DATE(YEAR($E2257),MONTH($E2257),1))))</f>
        <v>0</v>
      </c>
    </row>
    <row r="2258" spans="1:20" ht="18" customHeight="1" x14ac:dyDescent="0.3">
      <c r="A2258" s="2"/>
      <c r="B2258" s="65" t="str">
        <f t="shared" si="175"/>
        <v/>
      </c>
      <c r="C2258" s="65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66"/>
      <c r="F2258" s="67"/>
      <c r="G2258" s="60"/>
      <c r="H2258" s="60"/>
      <c r="I2258" s="61"/>
      <c r="J2258" s="61"/>
      <c r="K2258" s="61"/>
      <c r="L2258" s="73" t="str">
        <f t="shared" si="176"/>
        <v/>
      </c>
      <c r="M2258" s="65" t="str">
        <f t="shared" ca="1" si="177"/>
        <v/>
      </c>
      <c r="N2258" s="74" t="str">
        <f>IF($C2258="","",IF($C2258="TANIMSIZ MÜŞTERİ","—",INDEX(MUSTERILER!$C$7:$C$156,MATCH($C2258,MUSTERILER!$B$7:$B$156,0))))</f>
        <v/>
      </c>
      <c r="O2258" s="2"/>
      <c r="P2258" s="2"/>
      <c r="Q2258" s="1" t="str">
        <f>IF($D2258="","",$C2258&amp;"|"&amp;COUNTIFS($C$7:$C2258,$C2258))</f>
        <v/>
      </c>
      <c r="R2258" s="1" t="str">
        <f t="shared" si="178"/>
        <v/>
      </c>
      <c r="S2258" s="1" t="str">
        <f t="shared" si="179"/>
        <v/>
      </c>
      <c r="T2258" s="1">
        <f>IF($E2258="",0,SUMPRODUCT((AY_SONU!$O$7:$O$42="Evet")*(AY_SONU!$B$7:$B$42=DATE(YEAR($E2258),MONTH($E2258),1))))</f>
        <v>0</v>
      </c>
    </row>
    <row r="2259" spans="1:20" ht="18" customHeight="1" x14ac:dyDescent="0.3">
      <c r="A2259" s="2"/>
      <c r="B2259" s="65" t="str">
        <f t="shared" si="175"/>
        <v/>
      </c>
      <c r="C2259" s="65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66"/>
      <c r="F2259" s="67"/>
      <c r="G2259" s="60"/>
      <c r="H2259" s="60"/>
      <c r="I2259" s="61"/>
      <c r="J2259" s="61"/>
      <c r="K2259" s="61"/>
      <c r="L2259" s="73" t="str">
        <f t="shared" si="176"/>
        <v/>
      </c>
      <c r="M2259" s="65" t="str">
        <f t="shared" ca="1" si="177"/>
        <v/>
      </c>
      <c r="N2259" s="74" t="str">
        <f>IF($C2259="","",IF($C2259="TANIMSIZ MÜŞTERİ","—",INDEX(MUSTERILER!$C$7:$C$156,MATCH($C2259,MUSTERILER!$B$7:$B$156,0))))</f>
        <v/>
      </c>
      <c r="O2259" s="2"/>
      <c r="P2259" s="2"/>
      <c r="Q2259" s="1" t="str">
        <f>IF($D2259="","",$C2259&amp;"|"&amp;COUNTIFS($C$7:$C2259,$C2259))</f>
        <v/>
      </c>
      <c r="R2259" s="1" t="str">
        <f t="shared" si="178"/>
        <v/>
      </c>
      <c r="S2259" s="1" t="str">
        <f t="shared" si="179"/>
        <v/>
      </c>
      <c r="T2259" s="1">
        <f>IF($E2259="",0,SUMPRODUCT((AY_SONU!$O$7:$O$42="Evet")*(AY_SONU!$B$7:$B$42=DATE(YEAR($E2259),MONTH($E2259),1))))</f>
        <v>0</v>
      </c>
    </row>
    <row r="2260" spans="1:20" ht="18" customHeight="1" x14ac:dyDescent="0.3">
      <c r="A2260" s="2"/>
      <c r="B2260" s="65" t="str">
        <f t="shared" si="175"/>
        <v/>
      </c>
      <c r="C2260" s="65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66"/>
      <c r="F2260" s="67"/>
      <c r="G2260" s="60"/>
      <c r="H2260" s="60"/>
      <c r="I2260" s="61"/>
      <c r="J2260" s="61"/>
      <c r="K2260" s="61"/>
      <c r="L2260" s="73" t="str">
        <f t="shared" si="176"/>
        <v/>
      </c>
      <c r="M2260" s="65" t="str">
        <f t="shared" ca="1" si="177"/>
        <v/>
      </c>
      <c r="N2260" s="74" t="str">
        <f>IF($C2260="","",IF($C2260="TANIMSIZ MÜŞTERİ","—",INDEX(MUSTERILER!$C$7:$C$156,MATCH($C2260,MUSTERILER!$B$7:$B$156,0))))</f>
        <v/>
      </c>
      <c r="O2260" s="2"/>
      <c r="P2260" s="2"/>
      <c r="Q2260" s="1" t="str">
        <f>IF($D2260="","",$C2260&amp;"|"&amp;COUNTIFS($C$7:$C2260,$C2260))</f>
        <v/>
      </c>
      <c r="R2260" s="1" t="str">
        <f t="shared" si="178"/>
        <v/>
      </c>
      <c r="S2260" s="1" t="str">
        <f t="shared" si="179"/>
        <v/>
      </c>
      <c r="T2260" s="1">
        <f>IF($E2260="",0,SUMPRODUCT((AY_SONU!$O$7:$O$42="Evet")*(AY_SONU!$B$7:$B$42=DATE(YEAR($E2260),MONTH($E2260),1))))</f>
        <v>0</v>
      </c>
    </row>
    <row r="2261" spans="1:20" ht="18" customHeight="1" x14ac:dyDescent="0.3">
      <c r="A2261" s="2"/>
      <c r="B2261" s="65" t="str">
        <f t="shared" si="175"/>
        <v/>
      </c>
      <c r="C2261" s="65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66"/>
      <c r="F2261" s="67"/>
      <c r="G2261" s="60"/>
      <c r="H2261" s="60"/>
      <c r="I2261" s="61"/>
      <c r="J2261" s="61"/>
      <c r="K2261" s="61"/>
      <c r="L2261" s="73" t="str">
        <f t="shared" si="176"/>
        <v/>
      </c>
      <c r="M2261" s="65" t="str">
        <f t="shared" ca="1" si="177"/>
        <v/>
      </c>
      <c r="N2261" s="74" t="str">
        <f>IF($C2261="","",IF($C2261="TANIMSIZ MÜŞTERİ","—",INDEX(MUSTERILER!$C$7:$C$156,MATCH($C2261,MUSTERILER!$B$7:$B$156,0))))</f>
        <v/>
      </c>
      <c r="O2261" s="2"/>
      <c r="P2261" s="2"/>
      <c r="Q2261" s="1" t="str">
        <f>IF($D2261="","",$C2261&amp;"|"&amp;COUNTIFS($C$7:$C2261,$C2261))</f>
        <v/>
      </c>
      <c r="R2261" s="1" t="str">
        <f t="shared" si="178"/>
        <v/>
      </c>
      <c r="S2261" s="1" t="str">
        <f t="shared" si="179"/>
        <v/>
      </c>
      <c r="T2261" s="1">
        <f>IF($E2261="",0,SUMPRODUCT((AY_SONU!$O$7:$O$42="Evet")*(AY_SONU!$B$7:$B$42=DATE(YEAR($E2261),MONTH($E2261),1))))</f>
        <v>0</v>
      </c>
    </row>
    <row r="2262" spans="1:20" ht="18" customHeight="1" x14ac:dyDescent="0.3">
      <c r="A2262" s="2"/>
      <c r="B2262" s="65" t="str">
        <f t="shared" si="175"/>
        <v/>
      </c>
      <c r="C2262" s="65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66"/>
      <c r="F2262" s="67"/>
      <c r="G2262" s="60"/>
      <c r="H2262" s="60"/>
      <c r="I2262" s="61"/>
      <c r="J2262" s="61"/>
      <c r="K2262" s="61"/>
      <c r="L2262" s="73" t="str">
        <f t="shared" si="176"/>
        <v/>
      </c>
      <c r="M2262" s="65" t="str">
        <f t="shared" ca="1" si="177"/>
        <v/>
      </c>
      <c r="N2262" s="74" t="str">
        <f>IF($C2262="","",IF($C2262="TANIMSIZ MÜŞTERİ","—",INDEX(MUSTERILER!$C$7:$C$156,MATCH($C2262,MUSTERILER!$B$7:$B$156,0))))</f>
        <v/>
      </c>
      <c r="O2262" s="2"/>
      <c r="P2262" s="2"/>
      <c r="Q2262" s="1" t="str">
        <f>IF($D2262="","",$C2262&amp;"|"&amp;COUNTIFS($C$7:$C2262,$C2262))</f>
        <v/>
      </c>
      <c r="R2262" s="1" t="str">
        <f t="shared" si="178"/>
        <v/>
      </c>
      <c r="S2262" s="1" t="str">
        <f t="shared" si="179"/>
        <v/>
      </c>
      <c r="T2262" s="1">
        <f>IF($E2262="",0,SUMPRODUCT((AY_SONU!$O$7:$O$42="Evet")*(AY_SONU!$B$7:$B$42=DATE(YEAR($E2262),MONTH($E2262),1))))</f>
        <v>0</v>
      </c>
    </row>
    <row r="2263" spans="1:20" ht="18" customHeight="1" x14ac:dyDescent="0.3">
      <c r="A2263" s="2"/>
      <c r="B2263" s="65" t="str">
        <f t="shared" si="175"/>
        <v/>
      </c>
      <c r="C2263" s="65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66"/>
      <c r="F2263" s="67"/>
      <c r="G2263" s="60"/>
      <c r="H2263" s="60"/>
      <c r="I2263" s="61"/>
      <c r="J2263" s="61"/>
      <c r="K2263" s="61"/>
      <c r="L2263" s="73" t="str">
        <f t="shared" si="176"/>
        <v/>
      </c>
      <c r="M2263" s="65" t="str">
        <f t="shared" ca="1" si="177"/>
        <v/>
      </c>
      <c r="N2263" s="74" t="str">
        <f>IF($C2263="","",IF($C2263="TANIMSIZ MÜŞTERİ","—",INDEX(MUSTERILER!$C$7:$C$156,MATCH($C2263,MUSTERILER!$B$7:$B$156,0))))</f>
        <v/>
      </c>
      <c r="O2263" s="2"/>
      <c r="P2263" s="2"/>
      <c r="Q2263" s="1" t="str">
        <f>IF($D2263="","",$C2263&amp;"|"&amp;COUNTIFS($C$7:$C2263,$C2263))</f>
        <v/>
      </c>
      <c r="R2263" s="1" t="str">
        <f t="shared" si="178"/>
        <v/>
      </c>
      <c r="S2263" s="1" t="str">
        <f t="shared" si="179"/>
        <v/>
      </c>
      <c r="T2263" s="1">
        <f>IF($E2263="",0,SUMPRODUCT((AY_SONU!$O$7:$O$42="Evet")*(AY_SONU!$B$7:$B$42=DATE(YEAR($E2263),MONTH($E2263),1))))</f>
        <v>0</v>
      </c>
    </row>
    <row r="2264" spans="1:20" ht="18" customHeight="1" x14ac:dyDescent="0.3">
      <c r="A2264" s="2"/>
      <c r="B2264" s="65" t="str">
        <f t="shared" si="175"/>
        <v/>
      </c>
      <c r="C2264" s="65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66"/>
      <c r="F2264" s="67"/>
      <c r="G2264" s="60"/>
      <c r="H2264" s="60"/>
      <c r="I2264" s="61"/>
      <c r="J2264" s="61"/>
      <c r="K2264" s="61"/>
      <c r="L2264" s="73" t="str">
        <f t="shared" si="176"/>
        <v/>
      </c>
      <c r="M2264" s="65" t="str">
        <f t="shared" ca="1" si="177"/>
        <v/>
      </c>
      <c r="N2264" s="74" t="str">
        <f>IF($C2264="","",IF($C2264="TANIMSIZ MÜŞTERİ","—",INDEX(MUSTERILER!$C$7:$C$156,MATCH($C2264,MUSTERILER!$B$7:$B$156,0))))</f>
        <v/>
      </c>
      <c r="O2264" s="2"/>
      <c r="P2264" s="2"/>
      <c r="Q2264" s="1" t="str">
        <f>IF($D2264="","",$C2264&amp;"|"&amp;COUNTIFS($C$7:$C2264,$C2264))</f>
        <v/>
      </c>
      <c r="R2264" s="1" t="str">
        <f t="shared" si="178"/>
        <v/>
      </c>
      <c r="S2264" s="1" t="str">
        <f t="shared" si="179"/>
        <v/>
      </c>
      <c r="T2264" s="1">
        <f>IF($E2264="",0,SUMPRODUCT((AY_SONU!$O$7:$O$42="Evet")*(AY_SONU!$B$7:$B$42=DATE(YEAR($E2264),MONTH($E2264),1))))</f>
        <v>0</v>
      </c>
    </row>
    <row r="2265" spans="1:20" ht="18" customHeight="1" x14ac:dyDescent="0.3">
      <c r="A2265" s="2"/>
      <c r="B2265" s="65" t="str">
        <f t="shared" si="175"/>
        <v/>
      </c>
      <c r="C2265" s="65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66"/>
      <c r="F2265" s="67"/>
      <c r="G2265" s="60"/>
      <c r="H2265" s="60"/>
      <c r="I2265" s="61"/>
      <c r="J2265" s="61"/>
      <c r="K2265" s="61"/>
      <c r="L2265" s="73" t="str">
        <f t="shared" si="176"/>
        <v/>
      </c>
      <c r="M2265" s="65" t="str">
        <f t="shared" ca="1" si="177"/>
        <v/>
      </c>
      <c r="N2265" s="74" t="str">
        <f>IF($C2265="","",IF($C2265="TANIMSIZ MÜŞTERİ","—",INDEX(MUSTERILER!$C$7:$C$156,MATCH($C2265,MUSTERILER!$B$7:$B$156,0))))</f>
        <v/>
      </c>
      <c r="O2265" s="2"/>
      <c r="P2265" s="2"/>
      <c r="Q2265" s="1" t="str">
        <f>IF($D2265="","",$C2265&amp;"|"&amp;COUNTIFS($C$7:$C2265,$C2265))</f>
        <v/>
      </c>
      <c r="R2265" s="1" t="str">
        <f t="shared" si="178"/>
        <v/>
      </c>
      <c r="S2265" s="1" t="str">
        <f t="shared" si="179"/>
        <v/>
      </c>
      <c r="T2265" s="1">
        <f>IF($E2265="",0,SUMPRODUCT((AY_SONU!$O$7:$O$42="Evet")*(AY_SONU!$B$7:$B$42=DATE(YEAR($E2265),MONTH($E2265),1))))</f>
        <v>0</v>
      </c>
    </row>
    <row r="2266" spans="1:20" ht="18" customHeight="1" x14ac:dyDescent="0.3">
      <c r="A2266" s="2"/>
      <c r="B2266" s="65" t="str">
        <f t="shared" si="175"/>
        <v/>
      </c>
      <c r="C2266" s="65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66"/>
      <c r="F2266" s="67"/>
      <c r="G2266" s="60"/>
      <c r="H2266" s="60"/>
      <c r="I2266" s="61"/>
      <c r="J2266" s="61"/>
      <c r="K2266" s="61"/>
      <c r="L2266" s="73" t="str">
        <f t="shared" si="176"/>
        <v/>
      </c>
      <c r="M2266" s="65" t="str">
        <f t="shared" ca="1" si="177"/>
        <v/>
      </c>
      <c r="N2266" s="74" t="str">
        <f>IF($C2266="","",IF($C2266="TANIMSIZ MÜŞTERİ","—",INDEX(MUSTERILER!$C$7:$C$156,MATCH($C2266,MUSTERILER!$B$7:$B$156,0))))</f>
        <v/>
      </c>
      <c r="O2266" s="2"/>
      <c r="P2266" s="2"/>
      <c r="Q2266" s="1" t="str">
        <f>IF($D2266="","",$C2266&amp;"|"&amp;COUNTIFS($C$7:$C2266,$C2266))</f>
        <v/>
      </c>
      <c r="R2266" s="1" t="str">
        <f t="shared" si="178"/>
        <v/>
      </c>
      <c r="S2266" s="1" t="str">
        <f t="shared" si="179"/>
        <v/>
      </c>
      <c r="T2266" s="1">
        <f>IF($E2266="",0,SUMPRODUCT((AY_SONU!$O$7:$O$42="Evet")*(AY_SONU!$B$7:$B$42=DATE(YEAR($E2266),MONTH($E2266),1))))</f>
        <v>0</v>
      </c>
    </row>
    <row r="2267" spans="1:20" ht="18" customHeight="1" x14ac:dyDescent="0.3">
      <c r="A2267" s="2"/>
      <c r="B2267" s="65" t="str">
        <f t="shared" si="175"/>
        <v/>
      </c>
      <c r="C2267" s="65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66"/>
      <c r="F2267" s="67"/>
      <c r="G2267" s="60"/>
      <c r="H2267" s="60"/>
      <c r="I2267" s="61"/>
      <c r="J2267" s="61"/>
      <c r="K2267" s="61"/>
      <c r="L2267" s="73" t="str">
        <f t="shared" si="176"/>
        <v/>
      </c>
      <c r="M2267" s="65" t="str">
        <f t="shared" ca="1" si="177"/>
        <v/>
      </c>
      <c r="N2267" s="74" t="str">
        <f>IF($C2267="","",IF($C2267="TANIMSIZ MÜŞTERİ","—",INDEX(MUSTERILER!$C$7:$C$156,MATCH($C2267,MUSTERILER!$B$7:$B$156,0))))</f>
        <v/>
      </c>
      <c r="O2267" s="2"/>
      <c r="P2267" s="2"/>
      <c r="Q2267" s="1" t="str">
        <f>IF($D2267="","",$C2267&amp;"|"&amp;COUNTIFS($C$7:$C2267,$C2267))</f>
        <v/>
      </c>
      <c r="R2267" s="1" t="str">
        <f t="shared" si="178"/>
        <v/>
      </c>
      <c r="S2267" s="1" t="str">
        <f t="shared" si="179"/>
        <v/>
      </c>
      <c r="T2267" s="1">
        <f>IF($E2267="",0,SUMPRODUCT((AY_SONU!$O$7:$O$42="Evet")*(AY_SONU!$B$7:$B$42=DATE(YEAR($E2267),MONTH($E2267),1))))</f>
        <v>0</v>
      </c>
    </row>
    <row r="2268" spans="1:20" ht="18" customHeight="1" x14ac:dyDescent="0.3">
      <c r="A2268" s="2"/>
      <c r="B2268" s="65" t="str">
        <f t="shared" si="175"/>
        <v/>
      </c>
      <c r="C2268" s="65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66"/>
      <c r="F2268" s="67"/>
      <c r="G2268" s="60"/>
      <c r="H2268" s="60"/>
      <c r="I2268" s="61"/>
      <c r="J2268" s="61"/>
      <c r="K2268" s="61"/>
      <c r="L2268" s="73" t="str">
        <f t="shared" si="176"/>
        <v/>
      </c>
      <c r="M2268" s="65" t="str">
        <f t="shared" ca="1" si="177"/>
        <v/>
      </c>
      <c r="N2268" s="74" t="str">
        <f>IF($C2268="","",IF($C2268="TANIMSIZ MÜŞTERİ","—",INDEX(MUSTERILER!$C$7:$C$156,MATCH($C2268,MUSTERILER!$B$7:$B$156,0))))</f>
        <v/>
      </c>
      <c r="O2268" s="2"/>
      <c r="P2268" s="2"/>
      <c r="Q2268" s="1" t="str">
        <f>IF($D2268="","",$C2268&amp;"|"&amp;COUNTIFS($C$7:$C2268,$C2268))</f>
        <v/>
      </c>
      <c r="R2268" s="1" t="str">
        <f t="shared" si="178"/>
        <v/>
      </c>
      <c r="S2268" s="1" t="str">
        <f t="shared" si="179"/>
        <v/>
      </c>
      <c r="T2268" s="1">
        <f>IF($E2268="",0,SUMPRODUCT((AY_SONU!$O$7:$O$42="Evet")*(AY_SONU!$B$7:$B$42=DATE(YEAR($E2268),MONTH($E2268),1))))</f>
        <v>0</v>
      </c>
    </row>
    <row r="2269" spans="1:20" ht="18" customHeight="1" x14ac:dyDescent="0.3">
      <c r="A2269" s="2"/>
      <c r="B2269" s="65" t="str">
        <f t="shared" si="175"/>
        <v/>
      </c>
      <c r="C2269" s="65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66"/>
      <c r="F2269" s="67"/>
      <c r="G2269" s="60"/>
      <c r="H2269" s="60"/>
      <c r="I2269" s="61"/>
      <c r="J2269" s="61"/>
      <c r="K2269" s="61"/>
      <c r="L2269" s="73" t="str">
        <f t="shared" si="176"/>
        <v/>
      </c>
      <c r="M2269" s="65" t="str">
        <f t="shared" ca="1" si="177"/>
        <v/>
      </c>
      <c r="N2269" s="74" t="str">
        <f>IF($C2269="","",IF($C2269="TANIMSIZ MÜŞTERİ","—",INDEX(MUSTERILER!$C$7:$C$156,MATCH($C2269,MUSTERILER!$B$7:$B$156,0))))</f>
        <v/>
      </c>
      <c r="O2269" s="2"/>
      <c r="P2269" s="2"/>
      <c r="Q2269" s="1" t="str">
        <f>IF($D2269="","",$C2269&amp;"|"&amp;COUNTIFS($C$7:$C2269,$C2269))</f>
        <v/>
      </c>
      <c r="R2269" s="1" t="str">
        <f t="shared" si="178"/>
        <v/>
      </c>
      <c r="S2269" s="1" t="str">
        <f t="shared" si="179"/>
        <v/>
      </c>
      <c r="T2269" s="1">
        <f>IF($E2269="",0,SUMPRODUCT((AY_SONU!$O$7:$O$42="Evet")*(AY_SONU!$B$7:$B$42=DATE(YEAR($E2269),MONTH($E2269),1))))</f>
        <v>0</v>
      </c>
    </row>
    <row r="2270" spans="1:20" ht="18" customHeight="1" x14ac:dyDescent="0.3">
      <c r="A2270" s="2"/>
      <c r="B2270" s="65" t="str">
        <f t="shared" si="175"/>
        <v/>
      </c>
      <c r="C2270" s="65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66"/>
      <c r="F2270" s="67"/>
      <c r="G2270" s="60"/>
      <c r="H2270" s="60"/>
      <c r="I2270" s="61"/>
      <c r="J2270" s="61"/>
      <c r="K2270" s="61"/>
      <c r="L2270" s="73" t="str">
        <f t="shared" si="176"/>
        <v/>
      </c>
      <c r="M2270" s="65" t="str">
        <f t="shared" ca="1" si="177"/>
        <v/>
      </c>
      <c r="N2270" s="74" t="str">
        <f>IF($C2270="","",IF($C2270="TANIMSIZ MÜŞTERİ","—",INDEX(MUSTERILER!$C$7:$C$156,MATCH($C2270,MUSTERILER!$B$7:$B$156,0))))</f>
        <v/>
      </c>
      <c r="O2270" s="2"/>
      <c r="P2270" s="2"/>
      <c r="Q2270" s="1" t="str">
        <f>IF($D2270="","",$C2270&amp;"|"&amp;COUNTIFS($C$7:$C2270,$C2270))</f>
        <v/>
      </c>
      <c r="R2270" s="1" t="str">
        <f t="shared" si="178"/>
        <v/>
      </c>
      <c r="S2270" s="1" t="str">
        <f t="shared" si="179"/>
        <v/>
      </c>
      <c r="T2270" s="1">
        <f>IF($E2270="",0,SUMPRODUCT((AY_SONU!$O$7:$O$42="Evet")*(AY_SONU!$B$7:$B$42=DATE(YEAR($E2270),MONTH($E2270),1))))</f>
        <v>0</v>
      </c>
    </row>
    <row r="2271" spans="1:20" ht="18" customHeight="1" x14ac:dyDescent="0.3">
      <c r="A2271" s="2"/>
      <c r="B2271" s="65" t="str">
        <f t="shared" si="175"/>
        <v/>
      </c>
      <c r="C2271" s="65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66"/>
      <c r="F2271" s="67"/>
      <c r="G2271" s="60"/>
      <c r="H2271" s="60"/>
      <c r="I2271" s="61"/>
      <c r="J2271" s="61"/>
      <c r="K2271" s="61"/>
      <c r="L2271" s="73" t="str">
        <f t="shared" si="176"/>
        <v/>
      </c>
      <c r="M2271" s="65" t="str">
        <f t="shared" ca="1" si="177"/>
        <v/>
      </c>
      <c r="N2271" s="74" t="str">
        <f>IF($C2271="","",IF($C2271="TANIMSIZ MÜŞTERİ","—",INDEX(MUSTERILER!$C$7:$C$156,MATCH($C2271,MUSTERILER!$B$7:$B$156,0))))</f>
        <v/>
      </c>
      <c r="O2271" s="2"/>
      <c r="P2271" s="2"/>
      <c r="Q2271" s="1" t="str">
        <f>IF($D2271="","",$C2271&amp;"|"&amp;COUNTIFS($C$7:$C2271,$C2271))</f>
        <v/>
      </c>
      <c r="R2271" s="1" t="str">
        <f t="shared" si="178"/>
        <v/>
      </c>
      <c r="S2271" s="1" t="str">
        <f t="shared" si="179"/>
        <v/>
      </c>
      <c r="T2271" s="1">
        <f>IF($E2271="",0,SUMPRODUCT((AY_SONU!$O$7:$O$42="Evet")*(AY_SONU!$B$7:$B$42=DATE(YEAR($E2271),MONTH($E2271),1))))</f>
        <v>0</v>
      </c>
    </row>
    <row r="2272" spans="1:20" ht="18" customHeight="1" x14ac:dyDescent="0.3">
      <c r="A2272" s="2"/>
      <c r="B2272" s="65" t="str">
        <f t="shared" si="175"/>
        <v/>
      </c>
      <c r="C2272" s="65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66"/>
      <c r="F2272" s="67"/>
      <c r="G2272" s="60"/>
      <c r="H2272" s="60"/>
      <c r="I2272" s="61"/>
      <c r="J2272" s="61"/>
      <c r="K2272" s="61"/>
      <c r="L2272" s="73" t="str">
        <f t="shared" si="176"/>
        <v/>
      </c>
      <c r="M2272" s="65" t="str">
        <f t="shared" ca="1" si="177"/>
        <v/>
      </c>
      <c r="N2272" s="74" t="str">
        <f>IF($C2272="","",IF($C2272="TANIMSIZ MÜŞTERİ","—",INDEX(MUSTERILER!$C$7:$C$156,MATCH($C2272,MUSTERILER!$B$7:$B$156,0))))</f>
        <v/>
      </c>
      <c r="O2272" s="2"/>
      <c r="P2272" s="2"/>
      <c r="Q2272" s="1" t="str">
        <f>IF($D2272="","",$C2272&amp;"|"&amp;COUNTIFS($C$7:$C2272,$C2272))</f>
        <v/>
      </c>
      <c r="R2272" s="1" t="str">
        <f t="shared" si="178"/>
        <v/>
      </c>
      <c r="S2272" s="1" t="str">
        <f t="shared" si="179"/>
        <v/>
      </c>
      <c r="T2272" s="1">
        <f>IF($E2272="",0,SUMPRODUCT((AY_SONU!$O$7:$O$42="Evet")*(AY_SONU!$B$7:$B$42=DATE(YEAR($E2272),MONTH($E2272),1))))</f>
        <v>0</v>
      </c>
    </row>
    <row r="2273" spans="1:20" ht="18" customHeight="1" x14ac:dyDescent="0.3">
      <c r="A2273" s="2"/>
      <c r="B2273" s="65" t="str">
        <f t="shared" si="175"/>
        <v/>
      </c>
      <c r="C2273" s="65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66"/>
      <c r="F2273" s="67"/>
      <c r="G2273" s="60"/>
      <c r="H2273" s="60"/>
      <c r="I2273" s="61"/>
      <c r="J2273" s="61"/>
      <c r="K2273" s="61"/>
      <c r="L2273" s="73" t="str">
        <f t="shared" si="176"/>
        <v/>
      </c>
      <c r="M2273" s="65" t="str">
        <f t="shared" ca="1" si="177"/>
        <v/>
      </c>
      <c r="N2273" s="74" t="str">
        <f>IF($C2273="","",IF($C2273="TANIMSIZ MÜŞTERİ","—",INDEX(MUSTERILER!$C$7:$C$156,MATCH($C2273,MUSTERILER!$B$7:$B$156,0))))</f>
        <v/>
      </c>
      <c r="O2273" s="2"/>
      <c r="P2273" s="2"/>
      <c r="Q2273" s="1" t="str">
        <f>IF($D2273="","",$C2273&amp;"|"&amp;COUNTIFS($C$7:$C2273,$C2273))</f>
        <v/>
      </c>
      <c r="R2273" s="1" t="str">
        <f t="shared" si="178"/>
        <v/>
      </c>
      <c r="S2273" s="1" t="str">
        <f t="shared" si="179"/>
        <v/>
      </c>
      <c r="T2273" s="1">
        <f>IF($E2273="",0,SUMPRODUCT((AY_SONU!$O$7:$O$42="Evet")*(AY_SONU!$B$7:$B$42=DATE(YEAR($E2273),MONTH($E2273),1))))</f>
        <v>0</v>
      </c>
    </row>
    <row r="2274" spans="1:20" ht="18" customHeight="1" x14ac:dyDescent="0.3">
      <c r="A2274" s="2"/>
      <c r="B2274" s="65" t="str">
        <f t="shared" si="175"/>
        <v/>
      </c>
      <c r="C2274" s="65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66"/>
      <c r="F2274" s="67"/>
      <c r="G2274" s="60"/>
      <c r="H2274" s="60"/>
      <c r="I2274" s="61"/>
      <c r="J2274" s="61"/>
      <c r="K2274" s="61"/>
      <c r="L2274" s="73" t="str">
        <f t="shared" si="176"/>
        <v/>
      </c>
      <c r="M2274" s="65" t="str">
        <f t="shared" ca="1" si="177"/>
        <v/>
      </c>
      <c r="N2274" s="74" t="str">
        <f>IF($C2274="","",IF($C2274="TANIMSIZ MÜŞTERİ","—",INDEX(MUSTERILER!$C$7:$C$156,MATCH($C2274,MUSTERILER!$B$7:$B$156,0))))</f>
        <v/>
      </c>
      <c r="O2274" s="2"/>
      <c r="P2274" s="2"/>
      <c r="Q2274" s="1" t="str">
        <f>IF($D2274="","",$C2274&amp;"|"&amp;COUNTIFS($C$7:$C2274,$C2274))</f>
        <v/>
      </c>
      <c r="R2274" s="1" t="str">
        <f t="shared" si="178"/>
        <v/>
      </c>
      <c r="S2274" s="1" t="str">
        <f t="shared" si="179"/>
        <v/>
      </c>
      <c r="T2274" s="1">
        <f>IF($E2274="",0,SUMPRODUCT((AY_SONU!$O$7:$O$42="Evet")*(AY_SONU!$B$7:$B$42=DATE(YEAR($E2274),MONTH($E2274),1))))</f>
        <v>0</v>
      </c>
    </row>
    <row r="2275" spans="1:20" ht="18" customHeight="1" x14ac:dyDescent="0.3">
      <c r="A2275" s="2"/>
      <c r="B2275" s="65" t="str">
        <f t="shared" si="175"/>
        <v/>
      </c>
      <c r="C2275" s="65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66"/>
      <c r="F2275" s="67"/>
      <c r="G2275" s="60"/>
      <c r="H2275" s="60"/>
      <c r="I2275" s="61"/>
      <c r="J2275" s="61"/>
      <c r="K2275" s="61"/>
      <c r="L2275" s="73" t="str">
        <f t="shared" si="176"/>
        <v/>
      </c>
      <c r="M2275" s="65" t="str">
        <f t="shared" ca="1" si="177"/>
        <v/>
      </c>
      <c r="N2275" s="74" t="str">
        <f>IF($C2275="","",IF($C2275="TANIMSIZ MÜŞTERİ","—",INDEX(MUSTERILER!$C$7:$C$156,MATCH($C2275,MUSTERILER!$B$7:$B$156,0))))</f>
        <v/>
      </c>
      <c r="O2275" s="2"/>
      <c r="P2275" s="2"/>
      <c r="Q2275" s="1" t="str">
        <f>IF($D2275="","",$C2275&amp;"|"&amp;COUNTIFS($C$7:$C2275,$C2275))</f>
        <v/>
      </c>
      <c r="R2275" s="1" t="str">
        <f t="shared" si="178"/>
        <v/>
      </c>
      <c r="S2275" s="1" t="str">
        <f t="shared" si="179"/>
        <v/>
      </c>
      <c r="T2275" s="1">
        <f>IF($E2275="",0,SUMPRODUCT((AY_SONU!$O$7:$O$42="Evet")*(AY_SONU!$B$7:$B$42=DATE(YEAR($E2275),MONTH($E2275),1))))</f>
        <v>0</v>
      </c>
    </row>
    <row r="2276" spans="1:20" ht="18" customHeight="1" x14ac:dyDescent="0.3">
      <c r="A2276" s="2"/>
      <c r="B2276" s="65" t="str">
        <f t="shared" si="175"/>
        <v/>
      </c>
      <c r="C2276" s="65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66"/>
      <c r="F2276" s="67"/>
      <c r="G2276" s="60"/>
      <c r="H2276" s="60"/>
      <c r="I2276" s="61"/>
      <c r="J2276" s="61"/>
      <c r="K2276" s="61"/>
      <c r="L2276" s="73" t="str">
        <f t="shared" si="176"/>
        <v/>
      </c>
      <c r="M2276" s="65" t="str">
        <f t="shared" ca="1" si="177"/>
        <v/>
      </c>
      <c r="N2276" s="74" t="str">
        <f>IF($C2276="","",IF($C2276="TANIMSIZ MÜŞTERİ","—",INDEX(MUSTERILER!$C$7:$C$156,MATCH($C2276,MUSTERILER!$B$7:$B$156,0))))</f>
        <v/>
      </c>
      <c r="O2276" s="2"/>
      <c r="P2276" s="2"/>
      <c r="Q2276" s="1" t="str">
        <f>IF($D2276="","",$C2276&amp;"|"&amp;COUNTIFS($C$7:$C2276,$C2276))</f>
        <v/>
      </c>
      <c r="R2276" s="1" t="str">
        <f t="shared" si="178"/>
        <v/>
      </c>
      <c r="S2276" s="1" t="str">
        <f t="shared" si="179"/>
        <v/>
      </c>
      <c r="T2276" s="1">
        <f>IF($E2276="",0,SUMPRODUCT((AY_SONU!$O$7:$O$42="Evet")*(AY_SONU!$B$7:$B$42=DATE(YEAR($E2276),MONTH($E2276),1))))</f>
        <v>0</v>
      </c>
    </row>
    <row r="2277" spans="1:20" ht="18" customHeight="1" x14ac:dyDescent="0.3">
      <c r="A2277" s="2"/>
      <c r="B2277" s="65" t="str">
        <f t="shared" si="175"/>
        <v/>
      </c>
      <c r="C2277" s="65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66"/>
      <c r="F2277" s="67"/>
      <c r="G2277" s="60"/>
      <c r="H2277" s="60"/>
      <c r="I2277" s="61"/>
      <c r="J2277" s="61"/>
      <c r="K2277" s="61"/>
      <c r="L2277" s="73" t="str">
        <f t="shared" si="176"/>
        <v/>
      </c>
      <c r="M2277" s="65" t="str">
        <f t="shared" ca="1" si="177"/>
        <v/>
      </c>
      <c r="N2277" s="74" t="str">
        <f>IF($C2277="","",IF($C2277="TANIMSIZ MÜŞTERİ","—",INDEX(MUSTERILER!$C$7:$C$156,MATCH($C2277,MUSTERILER!$B$7:$B$156,0))))</f>
        <v/>
      </c>
      <c r="O2277" s="2"/>
      <c r="P2277" s="2"/>
      <c r="Q2277" s="1" t="str">
        <f>IF($D2277="","",$C2277&amp;"|"&amp;COUNTIFS($C$7:$C2277,$C2277))</f>
        <v/>
      </c>
      <c r="R2277" s="1" t="str">
        <f t="shared" si="178"/>
        <v/>
      </c>
      <c r="S2277" s="1" t="str">
        <f t="shared" si="179"/>
        <v/>
      </c>
      <c r="T2277" s="1">
        <f>IF($E2277="",0,SUMPRODUCT((AY_SONU!$O$7:$O$42="Evet")*(AY_SONU!$B$7:$B$42=DATE(YEAR($E2277),MONTH($E2277),1))))</f>
        <v>0</v>
      </c>
    </row>
    <row r="2278" spans="1:20" ht="18" customHeight="1" x14ac:dyDescent="0.3">
      <c r="A2278" s="2"/>
      <c r="B2278" s="65" t="str">
        <f t="shared" si="175"/>
        <v/>
      </c>
      <c r="C2278" s="65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66"/>
      <c r="F2278" s="67"/>
      <c r="G2278" s="60"/>
      <c r="H2278" s="60"/>
      <c r="I2278" s="61"/>
      <c r="J2278" s="61"/>
      <c r="K2278" s="61"/>
      <c r="L2278" s="73" t="str">
        <f t="shared" si="176"/>
        <v/>
      </c>
      <c r="M2278" s="65" t="str">
        <f t="shared" ca="1" si="177"/>
        <v/>
      </c>
      <c r="N2278" s="74" t="str">
        <f>IF($C2278="","",IF($C2278="TANIMSIZ MÜŞTERİ","—",INDEX(MUSTERILER!$C$7:$C$156,MATCH($C2278,MUSTERILER!$B$7:$B$156,0))))</f>
        <v/>
      </c>
      <c r="O2278" s="2"/>
      <c r="P2278" s="2"/>
      <c r="Q2278" s="1" t="str">
        <f>IF($D2278="","",$C2278&amp;"|"&amp;COUNTIFS($C$7:$C2278,$C2278))</f>
        <v/>
      </c>
      <c r="R2278" s="1" t="str">
        <f t="shared" si="178"/>
        <v/>
      </c>
      <c r="S2278" s="1" t="str">
        <f t="shared" si="179"/>
        <v/>
      </c>
      <c r="T2278" s="1">
        <f>IF($E2278="",0,SUMPRODUCT((AY_SONU!$O$7:$O$42="Evet")*(AY_SONU!$B$7:$B$42=DATE(YEAR($E2278),MONTH($E2278),1))))</f>
        <v>0</v>
      </c>
    </row>
    <row r="2279" spans="1:20" ht="18" customHeight="1" x14ac:dyDescent="0.3">
      <c r="A2279" s="2"/>
      <c r="B2279" s="65" t="str">
        <f t="shared" si="175"/>
        <v/>
      </c>
      <c r="C2279" s="65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66"/>
      <c r="F2279" s="67"/>
      <c r="G2279" s="60"/>
      <c r="H2279" s="60"/>
      <c r="I2279" s="61"/>
      <c r="J2279" s="61"/>
      <c r="K2279" s="61"/>
      <c r="L2279" s="73" t="str">
        <f t="shared" si="176"/>
        <v/>
      </c>
      <c r="M2279" s="65" t="str">
        <f t="shared" ca="1" si="177"/>
        <v/>
      </c>
      <c r="N2279" s="74" t="str">
        <f>IF($C2279="","",IF($C2279="TANIMSIZ MÜŞTERİ","—",INDEX(MUSTERILER!$C$7:$C$156,MATCH($C2279,MUSTERILER!$B$7:$B$156,0))))</f>
        <v/>
      </c>
      <c r="O2279" s="2"/>
      <c r="P2279" s="2"/>
      <c r="Q2279" s="1" t="str">
        <f>IF($D2279="","",$C2279&amp;"|"&amp;COUNTIFS($C$7:$C2279,$C2279))</f>
        <v/>
      </c>
      <c r="R2279" s="1" t="str">
        <f t="shared" si="178"/>
        <v/>
      </c>
      <c r="S2279" s="1" t="str">
        <f t="shared" si="179"/>
        <v/>
      </c>
      <c r="T2279" s="1">
        <f>IF($E2279="",0,SUMPRODUCT((AY_SONU!$O$7:$O$42="Evet")*(AY_SONU!$B$7:$B$42=DATE(YEAR($E2279),MONTH($E2279),1))))</f>
        <v>0</v>
      </c>
    </row>
    <row r="2280" spans="1:20" ht="18" customHeight="1" x14ac:dyDescent="0.3">
      <c r="A2280" s="2"/>
      <c r="B2280" s="65" t="str">
        <f t="shared" si="175"/>
        <v/>
      </c>
      <c r="C2280" s="65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66"/>
      <c r="F2280" s="67"/>
      <c r="G2280" s="60"/>
      <c r="H2280" s="60"/>
      <c r="I2280" s="61"/>
      <c r="J2280" s="61"/>
      <c r="K2280" s="61"/>
      <c r="L2280" s="73" t="str">
        <f t="shared" si="176"/>
        <v/>
      </c>
      <c r="M2280" s="65" t="str">
        <f t="shared" ca="1" si="177"/>
        <v/>
      </c>
      <c r="N2280" s="74" t="str">
        <f>IF($C2280="","",IF($C2280="TANIMSIZ MÜŞTERİ","—",INDEX(MUSTERILER!$C$7:$C$156,MATCH($C2280,MUSTERILER!$B$7:$B$156,0))))</f>
        <v/>
      </c>
      <c r="O2280" s="2"/>
      <c r="P2280" s="2"/>
      <c r="Q2280" s="1" t="str">
        <f>IF($D2280="","",$C2280&amp;"|"&amp;COUNTIFS($C$7:$C2280,$C2280))</f>
        <v/>
      </c>
      <c r="R2280" s="1" t="str">
        <f t="shared" si="178"/>
        <v/>
      </c>
      <c r="S2280" s="1" t="str">
        <f t="shared" si="179"/>
        <v/>
      </c>
      <c r="T2280" s="1">
        <f>IF($E2280="",0,SUMPRODUCT((AY_SONU!$O$7:$O$42="Evet")*(AY_SONU!$B$7:$B$42=DATE(YEAR($E2280),MONTH($E2280),1))))</f>
        <v>0</v>
      </c>
    </row>
    <row r="2281" spans="1:20" ht="18" customHeight="1" x14ac:dyDescent="0.3">
      <c r="A2281" s="2"/>
      <c r="B2281" s="65" t="str">
        <f t="shared" si="175"/>
        <v/>
      </c>
      <c r="C2281" s="65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66"/>
      <c r="F2281" s="67"/>
      <c r="G2281" s="60"/>
      <c r="H2281" s="60"/>
      <c r="I2281" s="61"/>
      <c r="J2281" s="61"/>
      <c r="K2281" s="61"/>
      <c r="L2281" s="73" t="str">
        <f t="shared" si="176"/>
        <v/>
      </c>
      <c r="M2281" s="65" t="str">
        <f t="shared" ca="1" si="177"/>
        <v/>
      </c>
      <c r="N2281" s="74" t="str">
        <f>IF($C2281="","",IF($C2281="TANIMSIZ MÜŞTERİ","—",INDEX(MUSTERILER!$C$7:$C$156,MATCH($C2281,MUSTERILER!$B$7:$B$156,0))))</f>
        <v/>
      </c>
      <c r="O2281" s="2"/>
      <c r="P2281" s="2"/>
      <c r="Q2281" s="1" t="str">
        <f>IF($D2281="","",$C2281&amp;"|"&amp;COUNTIFS($C$7:$C2281,$C2281))</f>
        <v/>
      </c>
      <c r="R2281" s="1" t="str">
        <f t="shared" si="178"/>
        <v/>
      </c>
      <c r="S2281" s="1" t="str">
        <f t="shared" si="179"/>
        <v/>
      </c>
      <c r="T2281" s="1">
        <f>IF($E2281="",0,SUMPRODUCT((AY_SONU!$O$7:$O$42="Evet")*(AY_SONU!$B$7:$B$42=DATE(YEAR($E2281),MONTH($E2281),1))))</f>
        <v>0</v>
      </c>
    </row>
    <row r="2282" spans="1:20" ht="18" customHeight="1" x14ac:dyDescent="0.3">
      <c r="A2282" s="2"/>
      <c r="B2282" s="65" t="str">
        <f t="shared" si="175"/>
        <v/>
      </c>
      <c r="C2282" s="65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66"/>
      <c r="F2282" s="67"/>
      <c r="G2282" s="60"/>
      <c r="H2282" s="60"/>
      <c r="I2282" s="61"/>
      <c r="J2282" s="61"/>
      <c r="K2282" s="61"/>
      <c r="L2282" s="73" t="str">
        <f t="shared" si="176"/>
        <v/>
      </c>
      <c r="M2282" s="65" t="str">
        <f t="shared" ca="1" si="177"/>
        <v/>
      </c>
      <c r="N2282" s="74" t="str">
        <f>IF($C2282="","",IF($C2282="TANIMSIZ MÜŞTERİ","—",INDEX(MUSTERILER!$C$7:$C$156,MATCH($C2282,MUSTERILER!$B$7:$B$156,0))))</f>
        <v/>
      </c>
      <c r="O2282" s="2"/>
      <c r="P2282" s="2"/>
      <c r="Q2282" s="1" t="str">
        <f>IF($D2282="","",$C2282&amp;"|"&amp;COUNTIFS($C$7:$C2282,$C2282))</f>
        <v/>
      </c>
      <c r="R2282" s="1" t="str">
        <f t="shared" si="178"/>
        <v/>
      </c>
      <c r="S2282" s="1" t="str">
        <f t="shared" si="179"/>
        <v/>
      </c>
      <c r="T2282" s="1">
        <f>IF($E2282="",0,SUMPRODUCT((AY_SONU!$O$7:$O$42="Evet")*(AY_SONU!$B$7:$B$42=DATE(YEAR($E2282),MONTH($E2282),1))))</f>
        <v>0</v>
      </c>
    </row>
    <row r="2283" spans="1:20" ht="18" customHeight="1" x14ac:dyDescent="0.3">
      <c r="A2283" s="2"/>
      <c r="B2283" s="65" t="str">
        <f t="shared" si="175"/>
        <v/>
      </c>
      <c r="C2283" s="65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66"/>
      <c r="F2283" s="67"/>
      <c r="G2283" s="60"/>
      <c r="H2283" s="60"/>
      <c r="I2283" s="61"/>
      <c r="J2283" s="61"/>
      <c r="K2283" s="61"/>
      <c r="L2283" s="73" t="str">
        <f t="shared" si="176"/>
        <v/>
      </c>
      <c r="M2283" s="65" t="str">
        <f t="shared" ca="1" si="177"/>
        <v/>
      </c>
      <c r="N2283" s="74" t="str">
        <f>IF($C2283="","",IF($C2283="TANIMSIZ MÜŞTERİ","—",INDEX(MUSTERILER!$C$7:$C$156,MATCH($C2283,MUSTERILER!$B$7:$B$156,0))))</f>
        <v/>
      </c>
      <c r="O2283" s="2"/>
      <c r="P2283" s="2"/>
      <c r="Q2283" s="1" t="str">
        <f>IF($D2283="","",$C2283&amp;"|"&amp;COUNTIFS($C$7:$C2283,$C2283))</f>
        <v/>
      </c>
      <c r="R2283" s="1" t="str">
        <f t="shared" si="178"/>
        <v/>
      </c>
      <c r="S2283" s="1" t="str">
        <f t="shared" si="179"/>
        <v/>
      </c>
      <c r="T2283" s="1">
        <f>IF($E2283="",0,SUMPRODUCT((AY_SONU!$O$7:$O$42="Evet")*(AY_SONU!$B$7:$B$42=DATE(YEAR($E2283),MONTH($E2283),1))))</f>
        <v>0</v>
      </c>
    </row>
    <row r="2284" spans="1:20" ht="18" customHeight="1" x14ac:dyDescent="0.3">
      <c r="A2284" s="2"/>
      <c r="B2284" s="65" t="str">
        <f t="shared" si="175"/>
        <v/>
      </c>
      <c r="C2284" s="65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66"/>
      <c r="F2284" s="67"/>
      <c r="G2284" s="60"/>
      <c r="H2284" s="60"/>
      <c r="I2284" s="61"/>
      <c r="J2284" s="61"/>
      <c r="K2284" s="61"/>
      <c r="L2284" s="73" t="str">
        <f t="shared" si="176"/>
        <v/>
      </c>
      <c r="M2284" s="65" t="str">
        <f t="shared" ca="1" si="177"/>
        <v/>
      </c>
      <c r="N2284" s="74" t="str">
        <f>IF($C2284="","",IF($C2284="TANIMSIZ MÜŞTERİ","—",INDEX(MUSTERILER!$C$7:$C$156,MATCH($C2284,MUSTERILER!$B$7:$B$156,0))))</f>
        <v/>
      </c>
      <c r="O2284" s="2"/>
      <c r="P2284" s="2"/>
      <c r="Q2284" s="1" t="str">
        <f>IF($D2284="","",$C2284&amp;"|"&amp;COUNTIFS($C$7:$C2284,$C2284))</f>
        <v/>
      </c>
      <c r="R2284" s="1" t="str">
        <f t="shared" si="178"/>
        <v/>
      </c>
      <c r="S2284" s="1" t="str">
        <f t="shared" si="179"/>
        <v/>
      </c>
      <c r="T2284" s="1">
        <f>IF($E2284="",0,SUMPRODUCT((AY_SONU!$O$7:$O$42="Evet")*(AY_SONU!$B$7:$B$42=DATE(YEAR($E2284),MONTH($E2284),1))))</f>
        <v>0</v>
      </c>
    </row>
    <row r="2285" spans="1:20" ht="18" customHeight="1" x14ac:dyDescent="0.3">
      <c r="A2285" s="2"/>
      <c r="B2285" s="65" t="str">
        <f t="shared" si="175"/>
        <v/>
      </c>
      <c r="C2285" s="65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66"/>
      <c r="F2285" s="67"/>
      <c r="G2285" s="60"/>
      <c r="H2285" s="60"/>
      <c r="I2285" s="61"/>
      <c r="J2285" s="61"/>
      <c r="K2285" s="61"/>
      <c r="L2285" s="73" t="str">
        <f t="shared" si="176"/>
        <v/>
      </c>
      <c r="M2285" s="65" t="str">
        <f t="shared" ca="1" si="177"/>
        <v/>
      </c>
      <c r="N2285" s="74" t="str">
        <f>IF($C2285="","",IF($C2285="TANIMSIZ MÜŞTERİ","—",INDEX(MUSTERILER!$C$7:$C$156,MATCH($C2285,MUSTERILER!$B$7:$B$156,0))))</f>
        <v/>
      </c>
      <c r="O2285" s="2"/>
      <c r="P2285" s="2"/>
      <c r="Q2285" s="1" t="str">
        <f>IF($D2285="","",$C2285&amp;"|"&amp;COUNTIFS($C$7:$C2285,$C2285))</f>
        <v/>
      </c>
      <c r="R2285" s="1" t="str">
        <f t="shared" si="178"/>
        <v/>
      </c>
      <c r="S2285" s="1" t="str">
        <f t="shared" si="179"/>
        <v/>
      </c>
      <c r="T2285" s="1">
        <f>IF($E2285="",0,SUMPRODUCT((AY_SONU!$O$7:$O$42="Evet")*(AY_SONU!$B$7:$B$42=DATE(YEAR($E2285),MONTH($E2285),1))))</f>
        <v>0</v>
      </c>
    </row>
    <row r="2286" spans="1:20" ht="18" customHeight="1" x14ac:dyDescent="0.3">
      <c r="A2286" s="2"/>
      <c r="B2286" s="65" t="str">
        <f t="shared" si="175"/>
        <v/>
      </c>
      <c r="C2286" s="65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66"/>
      <c r="F2286" s="67"/>
      <c r="G2286" s="60"/>
      <c r="H2286" s="60"/>
      <c r="I2286" s="61"/>
      <c r="J2286" s="61"/>
      <c r="K2286" s="61"/>
      <c r="L2286" s="73" t="str">
        <f t="shared" si="176"/>
        <v/>
      </c>
      <c r="M2286" s="65" t="str">
        <f t="shared" ca="1" si="177"/>
        <v/>
      </c>
      <c r="N2286" s="74" t="str">
        <f>IF($C2286="","",IF($C2286="TANIMSIZ MÜŞTERİ","—",INDEX(MUSTERILER!$C$7:$C$156,MATCH($C2286,MUSTERILER!$B$7:$B$156,0))))</f>
        <v/>
      </c>
      <c r="O2286" s="2"/>
      <c r="P2286" s="2"/>
      <c r="Q2286" s="1" t="str">
        <f>IF($D2286="","",$C2286&amp;"|"&amp;COUNTIFS($C$7:$C2286,$C2286))</f>
        <v/>
      </c>
      <c r="R2286" s="1" t="str">
        <f t="shared" si="178"/>
        <v/>
      </c>
      <c r="S2286" s="1" t="str">
        <f t="shared" si="179"/>
        <v/>
      </c>
      <c r="T2286" s="1">
        <f>IF($E2286="",0,SUMPRODUCT((AY_SONU!$O$7:$O$42="Evet")*(AY_SONU!$B$7:$B$42=DATE(YEAR($E2286),MONTH($E2286),1))))</f>
        <v>0</v>
      </c>
    </row>
    <row r="2287" spans="1:20" ht="18" customHeight="1" x14ac:dyDescent="0.3">
      <c r="A2287" s="2"/>
      <c r="B2287" s="65" t="str">
        <f t="shared" si="175"/>
        <v/>
      </c>
      <c r="C2287" s="65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66"/>
      <c r="F2287" s="67"/>
      <c r="G2287" s="60"/>
      <c r="H2287" s="60"/>
      <c r="I2287" s="61"/>
      <c r="J2287" s="61"/>
      <c r="K2287" s="61"/>
      <c r="L2287" s="73" t="str">
        <f t="shared" si="176"/>
        <v/>
      </c>
      <c r="M2287" s="65" t="str">
        <f t="shared" ca="1" si="177"/>
        <v/>
      </c>
      <c r="N2287" s="74" t="str">
        <f>IF($C2287="","",IF($C2287="TANIMSIZ MÜŞTERİ","—",INDEX(MUSTERILER!$C$7:$C$156,MATCH($C2287,MUSTERILER!$B$7:$B$156,0))))</f>
        <v/>
      </c>
      <c r="O2287" s="2"/>
      <c r="P2287" s="2"/>
      <c r="Q2287" s="1" t="str">
        <f>IF($D2287="","",$C2287&amp;"|"&amp;COUNTIFS($C$7:$C2287,$C2287))</f>
        <v/>
      </c>
      <c r="R2287" s="1" t="str">
        <f t="shared" si="178"/>
        <v/>
      </c>
      <c r="S2287" s="1" t="str">
        <f t="shared" si="179"/>
        <v/>
      </c>
      <c r="T2287" s="1">
        <f>IF($E2287="",0,SUMPRODUCT((AY_SONU!$O$7:$O$42="Evet")*(AY_SONU!$B$7:$B$42=DATE(YEAR($E2287),MONTH($E2287),1))))</f>
        <v>0</v>
      </c>
    </row>
    <row r="2288" spans="1:20" ht="18" customHeight="1" x14ac:dyDescent="0.3">
      <c r="A2288" s="2"/>
      <c r="B2288" s="65" t="str">
        <f t="shared" si="175"/>
        <v/>
      </c>
      <c r="C2288" s="65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66"/>
      <c r="F2288" s="67"/>
      <c r="G2288" s="60"/>
      <c r="H2288" s="60"/>
      <c r="I2288" s="61"/>
      <c r="J2288" s="61"/>
      <c r="K2288" s="61"/>
      <c r="L2288" s="73" t="str">
        <f t="shared" si="176"/>
        <v/>
      </c>
      <c r="M2288" s="65" t="str">
        <f t="shared" ca="1" si="177"/>
        <v/>
      </c>
      <c r="N2288" s="74" t="str">
        <f>IF($C2288="","",IF($C2288="TANIMSIZ MÜŞTERİ","—",INDEX(MUSTERILER!$C$7:$C$156,MATCH($C2288,MUSTERILER!$B$7:$B$156,0))))</f>
        <v/>
      </c>
      <c r="O2288" s="2"/>
      <c r="P2288" s="2"/>
      <c r="Q2288" s="1" t="str">
        <f>IF($D2288="","",$C2288&amp;"|"&amp;COUNTIFS($C$7:$C2288,$C2288))</f>
        <v/>
      </c>
      <c r="R2288" s="1" t="str">
        <f t="shared" si="178"/>
        <v/>
      </c>
      <c r="S2288" s="1" t="str">
        <f t="shared" si="179"/>
        <v/>
      </c>
      <c r="T2288" s="1">
        <f>IF($E2288="",0,SUMPRODUCT((AY_SONU!$O$7:$O$42="Evet")*(AY_SONU!$B$7:$B$42=DATE(YEAR($E2288),MONTH($E2288),1))))</f>
        <v>0</v>
      </c>
    </row>
    <row r="2289" spans="1:20" ht="18" customHeight="1" x14ac:dyDescent="0.3">
      <c r="A2289" s="2"/>
      <c r="B2289" s="65" t="str">
        <f t="shared" si="175"/>
        <v/>
      </c>
      <c r="C2289" s="65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66"/>
      <c r="F2289" s="67"/>
      <c r="G2289" s="60"/>
      <c r="H2289" s="60"/>
      <c r="I2289" s="61"/>
      <c r="J2289" s="61"/>
      <c r="K2289" s="61"/>
      <c r="L2289" s="73" t="str">
        <f t="shared" si="176"/>
        <v/>
      </c>
      <c r="M2289" s="65" t="str">
        <f t="shared" ca="1" si="177"/>
        <v/>
      </c>
      <c r="N2289" s="74" t="str">
        <f>IF($C2289="","",IF($C2289="TANIMSIZ MÜŞTERİ","—",INDEX(MUSTERILER!$C$7:$C$156,MATCH($C2289,MUSTERILER!$B$7:$B$156,0))))</f>
        <v/>
      </c>
      <c r="O2289" s="2"/>
      <c r="P2289" s="2"/>
      <c r="Q2289" s="1" t="str">
        <f>IF($D2289="","",$C2289&amp;"|"&amp;COUNTIFS($C$7:$C2289,$C2289))</f>
        <v/>
      </c>
      <c r="R2289" s="1" t="str">
        <f t="shared" si="178"/>
        <v/>
      </c>
      <c r="S2289" s="1" t="str">
        <f t="shared" si="179"/>
        <v/>
      </c>
      <c r="T2289" s="1">
        <f>IF($E2289="",0,SUMPRODUCT((AY_SONU!$O$7:$O$42="Evet")*(AY_SONU!$B$7:$B$42=DATE(YEAR($E2289),MONTH($E2289),1))))</f>
        <v>0</v>
      </c>
    </row>
    <row r="2290" spans="1:20" ht="18" customHeight="1" x14ac:dyDescent="0.3">
      <c r="A2290" s="2"/>
      <c r="B2290" s="65" t="str">
        <f t="shared" si="175"/>
        <v/>
      </c>
      <c r="C2290" s="65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66"/>
      <c r="F2290" s="67"/>
      <c r="G2290" s="60"/>
      <c r="H2290" s="60"/>
      <c r="I2290" s="61"/>
      <c r="J2290" s="61"/>
      <c r="K2290" s="61"/>
      <c r="L2290" s="73" t="str">
        <f t="shared" si="176"/>
        <v/>
      </c>
      <c r="M2290" s="65" t="str">
        <f t="shared" ca="1" si="177"/>
        <v/>
      </c>
      <c r="N2290" s="74" t="str">
        <f>IF($C2290="","",IF($C2290="TANIMSIZ MÜŞTERİ","—",INDEX(MUSTERILER!$C$7:$C$156,MATCH($C2290,MUSTERILER!$B$7:$B$156,0))))</f>
        <v/>
      </c>
      <c r="O2290" s="2"/>
      <c r="P2290" s="2"/>
      <c r="Q2290" s="1" t="str">
        <f>IF($D2290="","",$C2290&amp;"|"&amp;COUNTIFS($C$7:$C2290,$C2290))</f>
        <v/>
      </c>
      <c r="R2290" s="1" t="str">
        <f t="shared" si="178"/>
        <v/>
      </c>
      <c r="S2290" s="1" t="str">
        <f t="shared" si="179"/>
        <v/>
      </c>
      <c r="T2290" s="1">
        <f>IF($E2290="",0,SUMPRODUCT((AY_SONU!$O$7:$O$42="Evet")*(AY_SONU!$B$7:$B$42=DATE(YEAR($E2290),MONTH($E2290),1))))</f>
        <v>0</v>
      </c>
    </row>
    <row r="2291" spans="1:20" ht="18" customHeight="1" x14ac:dyDescent="0.3">
      <c r="A2291" s="2"/>
      <c r="B2291" s="65" t="str">
        <f t="shared" si="175"/>
        <v/>
      </c>
      <c r="C2291" s="65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66"/>
      <c r="F2291" s="67"/>
      <c r="G2291" s="60"/>
      <c r="H2291" s="60"/>
      <c r="I2291" s="61"/>
      <c r="J2291" s="61"/>
      <c r="K2291" s="61"/>
      <c r="L2291" s="73" t="str">
        <f t="shared" si="176"/>
        <v/>
      </c>
      <c r="M2291" s="65" t="str">
        <f t="shared" ca="1" si="177"/>
        <v/>
      </c>
      <c r="N2291" s="74" t="str">
        <f>IF($C2291="","",IF($C2291="TANIMSIZ MÜŞTERİ","—",INDEX(MUSTERILER!$C$7:$C$156,MATCH($C2291,MUSTERILER!$B$7:$B$156,0))))</f>
        <v/>
      </c>
      <c r="O2291" s="2"/>
      <c r="P2291" s="2"/>
      <c r="Q2291" s="1" t="str">
        <f>IF($D2291="","",$C2291&amp;"|"&amp;COUNTIFS($C$7:$C2291,$C2291))</f>
        <v/>
      </c>
      <c r="R2291" s="1" t="str">
        <f t="shared" si="178"/>
        <v/>
      </c>
      <c r="S2291" s="1" t="str">
        <f t="shared" si="179"/>
        <v/>
      </c>
      <c r="T2291" s="1">
        <f>IF($E2291="",0,SUMPRODUCT((AY_SONU!$O$7:$O$42="Evet")*(AY_SONU!$B$7:$B$42=DATE(YEAR($E2291),MONTH($E2291),1))))</f>
        <v>0</v>
      </c>
    </row>
    <row r="2292" spans="1:20" ht="18" customHeight="1" x14ac:dyDescent="0.3">
      <c r="A2292" s="2"/>
      <c r="B2292" s="65" t="str">
        <f t="shared" si="175"/>
        <v/>
      </c>
      <c r="C2292" s="65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66"/>
      <c r="F2292" s="67"/>
      <c r="G2292" s="60"/>
      <c r="H2292" s="60"/>
      <c r="I2292" s="61"/>
      <c r="J2292" s="61"/>
      <c r="K2292" s="61"/>
      <c r="L2292" s="73" t="str">
        <f t="shared" si="176"/>
        <v/>
      </c>
      <c r="M2292" s="65" t="str">
        <f t="shared" ca="1" si="177"/>
        <v/>
      </c>
      <c r="N2292" s="74" t="str">
        <f>IF($C2292="","",IF($C2292="TANIMSIZ MÜŞTERİ","—",INDEX(MUSTERILER!$C$7:$C$156,MATCH($C2292,MUSTERILER!$B$7:$B$156,0))))</f>
        <v/>
      </c>
      <c r="O2292" s="2"/>
      <c r="P2292" s="2"/>
      <c r="Q2292" s="1" t="str">
        <f>IF($D2292="","",$C2292&amp;"|"&amp;COUNTIFS($C$7:$C2292,$C2292))</f>
        <v/>
      </c>
      <c r="R2292" s="1" t="str">
        <f t="shared" si="178"/>
        <v/>
      </c>
      <c r="S2292" s="1" t="str">
        <f t="shared" si="179"/>
        <v/>
      </c>
      <c r="T2292" s="1">
        <f>IF($E2292="",0,SUMPRODUCT((AY_SONU!$O$7:$O$42="Evet")*(AY_SONU!$B$7:$B$42=DATE(YEAR($E2292),MONTH($E2292),1))))</f>
        <v>0</v>
      </c>
    </row>
    <row r="2293" spans="1:20" ht="18" customHeight="1" x14ac:dyDescent="0.3">
      <c r="A2293" s="2"/>
      <c r="B2293" s="65" t="str">
        <f t="shared" si="175"/>
        <v/>
      </c>
      <c r="C2293" s="65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66"/>
      <c r="F2293" s="67"/>
      <c r="G2293" s="60"/>
      <c r="H2293" s="60"/>
      <c r="I2293" s="61"/>
      <c r="J2293" s="61"/>
      <c r="K2293" s="61"/>
      <c r="L2293" s="73" t="str">
        <f t="shared" si="176"/>
        <v/>
      </c>
      <c r="M2293" s="65" t="str">
        <f t="shared" ca="1" si="177"/>
        <v/>
      </c>
      <c r="N2293" s="74" t="str">
        <f>IF($C2293="","",IF($C2293="TANIMSIZ MÜŞTERİ","—",INDEX(MUSTERILER!$C$7:$C$156,MATCH($C2293,MUSTERILER!$B$7:$B$156,0))))</f>
        <v/>
      </c>
      <c r="O2293" s="2"/>
      <c r="P2293" s="2"/>
      <c r="Q2293" s="1" t="str">
        <f>IF($D2293="","",$C2293&amp;"|"&amp;COUNTIFS($C$7:$C2293,$C2293))</f>
        <v/>
      </c>
      <c r="R2293" s="1" t="str">
        <f t="shared" si="178"/>
        <v/>
      </c>
      <c r="S2293" s="1" t="str">
        <f t="shared" si="179"/>
        <v/>
      </c>
      <c r="T2293" s="1">
        <f>IF($E2293="",0,SUMPRODUCT((AY_SONU!$O$7:$O$42="Evet")*(AY_SONU!$B$7:$B$42=DATE(YEAR($E2293),MONTH($E2293),1))))</f>
        <v>0</v>
      </c>
    </row>
    <row r="2294" spans="1:20" ht="18" customHeight="1" x14ac:dyDescent="0.3">
      <c r="A2294" s="2"/>
      <c r="B2294" s="65" t="str">
        <f t="shared" si="175"/>
        <v/>
      </c>
      <c r="C2294" s="65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66"/>
      <c r="F2294" s="67"/>
      <c r="G2294" s="60"/>
      <c r="H2294" s="60"/>
      <c r="I2294" s="61"/>
      <c r="J2294" s="61"/>
      <c r="K2294" s="61"/>
      <c r="L2294" s="73" t="str">
        <f t="shared" si="176"/>
        <v/>
      </c>
      <c r="M2294" s="65" t="str">
        <f t="shared" ca="1" si="177"/>
        <v/>
      </c>
      <c r="N2294" s="74" t="str">
        <f>IF($C2294="","",IF($C2294="TANIMSIZ MÜŞTERİ","—",INDEX(MUSTERILER!$C$7:$C$156,MATCH($C2294,MUSTERILER!$B$7:$B$156,0))))</f>
        <v/>
      </c>
      <c r="O2294" s="2"/>
      <c r="P2294" s="2"/>
      <c r="Q2294" s="1" t="str">
        <f>IF($D2294="","",$C2294&amp;"|"&amp;COUNTIFS($C$7:$C2294,$C2294))</f>
        <v/>
      </c>
      <c r="R2294" s="1" t="str">
        <f t="shared" si="178"/>
        <v/>
      </c>
      <c r="S2294" s="1" t="str">
        <f t="shared" si="179"/>
        <v/>
      </c>
      <c r="T2294" s="1">
        <f>IF($E2294="",0,SUMPRODUCT((AY_SONU!$O$7:$O$42="Evet")*(AY_SONU!$B$7:$B$42=DATE(YEAR($E2294),MONTH($E2294),1))))</f>
        <v>0</v>
      </c>
    </row>
    <row r="2295" spans="1:20" ht="18" customHeight="1" x14ac:dyDescent="0.3">
      <c r="A2295" s="2"/>
      <c r="B2295" s="65" t="str">
        <f t="shared" si="175"/>
        <v/>
      </c>
      <c r="C2295" s="65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66"/>
      <c r="F2295" s="67"/>
      <c r="G2295" s="60"/>
      <c r="H2295" s="60"/>
      <c r="I2295" s="61"/>
      <c r="J2295" s="61"/>
      <c r="K2295" s="61"/>
      <c r="L2295" s="73" t="str">
        <f t="shared" si="176"/>
        <v/>
      </c>
      <c r="M2295" s="65" t="str">
        <f t="shared" ca="1" si="177"/>
        <v/>
      </c>
      <c r="N2295" s="74" t="str">
        <f>IF($C2295="","",IF($C2295="TANIMSIZ MÜŞTERİ","—",INDEX(MUSTERILER!$C$7:$C$156,MATCH($C2295,MUSTERILER!$B$7:$B$156,0))))</f>
        <v/>
      </c>
      <c r="O2295" s="2"/>
      <c r="P2295" s="2"/>
      <c r="Q2295" s="1" t="str">
        <f>IF($D2295="","",$C2295&amp;"|"&amp;COUNTIFS($C$7:$C2295,$C2295))</f>
        <v/>
      </c>
      <c r="R2295" s="1" t="str">
        <f t="shared" si="178"/>
        <v/>
      </c>
      <c r="S2295" s="1" t="str">
        <f t="shared" si="179"/>
        <v/>
      </c>
      <c r="T2295" s="1">
        <f>IF($E2295="",0,SUMPRODUCT((AY_SONU!$O$7:$O$42="Evet")*(AY_SONU!$B$7:$B$42=DATE(YEAR($E2295),MONTH($E2295),1))))</f>
        <v>0</v>
      </c>
    </row>
    <row r="2296" spans="1:20" ht="18" customHeight="1" x14ac:dyDescent="0.3">
      <c r="A2296" s="2"/>
      <c r="B2296" s="65" t="str">
        <f t="shared" si="175"/>
        <v/>
      </c>
      <c r="C2296" s="65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66"/>
      <c r="F2296" s="67"/>
      <c r="G2296" s="60"/>
      <c r="H2296" s="60"/>
      <c r="I2296" s="61"/>
      <c r="J2296" s="61"/>
      <c r="K2296" s="61"/>
      <c r="L2296" s="73" t="str">
        <f t="shared" si="176"/>
        <v/>
      </c>
      <c r="M2296" s="65" t="str">
        <f t="shared" ca="1" si="177"/>
        <v/>
      </c>
      <c r="N2296" s="74" t="str">
        <f>IF($C2296="","",IF($C2296="TANIMSIZ MÜŞTERİ","—",INDEX(MUSTERILER!$C$7:$C$156,MATCH($C2296,MUSTERILER!$B$7:$B$156,0))))</f>
        <v/>
      </c>
      <c r="O2296" s="2"/>
      <c r="P2296" s="2"/>
      <c r="Q2296" s="1" t="str">
        <f>IF($D2296="","",$C2296&amp;"|"&amp;COUNTIFS($C$7:$C2296,$C2296))</f>
        <v/>
      </c>
      <c r="R2296" s="1" t="str">
        <f t="shared" si="178"/>
        <v/>
      </c>
      <c r="S2296" s="1" t="str">
        <f t="shared" si="179"/>
        <v/>
      </c>
      <c r="T2296" s="1">
        <f>IF($E2296="",0,SUMPRODUCT((AY_SONU!$O$7:$O$42="Evet")*(AY_SONU!$B$7:$B$42=DATE(YEAR($E2296),MONTH($E2296),1))))</f>
        <v>0</v>
      </c>
    </row>
    <row r="2297" spans="1:20" ht="18" customHeight="1" x14ac:dyDescent="0.3">
      <c r="A2297" s="2"/>
      <c r="B2297" s="65" t="str">
        <f t="shared" si="175"/>
        <v/>
      </c>
      <c r="C2297" s="65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66"/>
      <c r="F2297" s="67"/>
      <c r="G2297" s="60"/>
      <c r="H2297" s="60"/>
      <c r="I2297" s="61"/>
      <c r="J2297" s="61"/>
      <c r="K2297" s="61"/>
      <c r="L2297" s="73" t="str">
        <f t="shared" si="176"/>
        <v/>
      </c>
      <c r="M2297" s="65" t="str">
        <f t="shared" ca="1" si="177"/>
        <v/>
      </c>
      <c r="N2297" s="74" t="str">
        <f>IF($C2297="","",IF($C2297="TANIMSIZ MÜŞTERİ","—",INDEX(MUSTERILER!$C$7:$C$156,MATCH($C2297,MUSTERILER!$B$7:$B$156,0))))</f>
        <v/>
      </c>
      <c r="O2297" s="2"/>
      <c r="P2297" s="2"/>
      <c r="Q2297" s="1" t="str">
        <f>IF($D2297="","",$C2297&amp;"|"&amp;COUNTIFS($C$7:$C2297,$C2297))</f>
        <v/>
      </c>
      <c r="R2297" s="1" t="str">
        <f t="shared" si="178"/>
        <v/>
      </c>
      <c r="S2297" s="1" t="str">
        <f t="shared" si="179"/>
        <v/>
      </c>
      <c r="T2297" s="1">
        <f>IF($E2297="",0,SUMPRODUCT((AY_SONU!$O$7:$O$42="Evet")*(AY_SONU!$B$7:$B$42=DATE(YEAR($E2297),MONTH($E2297),1))))</f>
        <v>0</v>
      </c>
    </row>
    <row r="2298" spans="1:20" ht="18" customHeight="1" x14ac:dyDescent="0.3">
      <c r="A2298" s="2"/>
      <c r="B2298" s="65" t="str">
        <f t="shared" si="175"/>
        <v/>
      </c>
      <c r="C2298" s="65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66"/>
      <c r="F2298" s="67"/>
      <c r="G2298" s="60"/>
      <c r="H2298" s="60"/>
      <c r="I2298" s="61"/>
      <c r="J2298" s="61"/>
      <c r="K2298" s="61"/>
      <c r="L2298" s="73" t="str">
        <f t="shared" si="176"/>
        <v/>
      </c>
      <c r="M2298" s="65" t="str">
        <f t="shared" ca="1" si="177"/>
        <v/>
      </c>
      <c r="N2298" s="74" t="str">
        <f>IF($C2298="","",IF($C2298="TANIMSIZ MÜŞTERİ","—",INDEX(MUSTERILER!$C$7:$C$156,MATCH($C2298,MUSTERILER!$B$7:$B$156,0))))</f>
        <v/>
      </c>
      <c r="O2298" s="2"/>
      <c r="P2298" s="2"/>
      <c r="Q2298" s="1" t="str">
        <f>IF($D2298="","",$C2298&amp;"|"&amp;COUNTIFS($C$7:$C2298,$C2298))</f>
        <v/>
      </c>
      <c r="R2298" s="1" t="str">
        <f t="shared" si="178"/>
        <v/>
      </c>
      <c r="S2298" s="1" t="str">
        <f t="shared" si="179"/>
        <v/>
      </c>
      <c r="T2298" s="1">
        <f>IF($E2298="",0,SUMPRODUCT((AY_SONU!$O$7:$O$42="Evet")*(AY_SONU!$B$7:$B$42=DATE(YEAR($E2298),MONTH($E2298),1))))</f>
        <v>0</v>
      </c>
    </row>
    <row r="2299" spans="1:20" ht="18" customHeight="1" x14ac:dyDescent="0.3">
      <c r="A2299" s="2"/>
      <c r="B2299" s="65" t="str">
        <f t="shared" si="175"/>
        <v/>
      </c>
      <c r="C2299" s="65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66"/>
      <c r="F2299" s="67"/>
      <c r="G2299" s="60"/>
      <c r="H2299" s="60"/>
      <c r="I2299" s="61"/>
      <c r="J2299" s="61"/>
      <c r="K2299" s="61"/>
      <c r="L2299" s="73" t="str">
        <f t="shared" si="176"/>
        <v/>
      </c>
      <c r="M2299" s="65" t="str">
        <f t="shared" ca="1" si="177"/>
        <v/>
      </c>
      <c r="N2299" s="74" t="str">
        <f>IF($C2299="","",IF($C2299="TANIMSIZ MÜŞTERİ","—",INDEX(MUSTERILER!$C$7:$C$156,MATCH($C2299,MUSTERILER!$B$7:$B$156,0))))</f>
        <v/>
      </c>
      <c r="O2299" s="2"/>
      <c r="P2299" s="2"/>
      <c r="Q2299" s="1" t="str">
        <f>IF($D2299="","",$C2299&amp;"|"&amp;COUNTIFS($C$7:$C2299,$C2299))</f>
        <v/>
      </c>
      <c r="R2299" s="1" t="str">
        <f t="shared" si="178"/>
        <v/>
      </c>
      <c r="S2299" s="1" t="str">
        <f t="shared" si="179"/>
        <v/>
      </c>
      <c r="T2299" s="1">
        <f>IF($E2299="",0,SUMPRODUCT((AY_SONU!$O$7:$O$42="Evet")*(AY_SONU!$B$7:$B$42=DATE(YEAR($E2299),MONTH($E2299),1))))</f>
        <v>0</v>
      </c>
    </row>
    <row r="2300" spans="1:20" ht="18" customHeight="1" x14ac:dyDescent="0.3">
      <c r="A2300" s="2"/>
      <c r="B2300" s="65" t="str">
        <f t="shared" si="175"/>
        <v/>
      </c>
      <c r="C2300" s="65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66"/>
      <c r="F2300" s="67"/>
      <c r="G2300" s="60"/>
      <c r="H2300" s="60"/>
      <c r="I2300" s="61"/>
      <c r="J2300" s="61"/>
      <c r="K2300" s="61"/>
      <c r="L2300" s="73" t="str">
        <f t="shared" si="176"/>
        <v/>
      </c>
      <c r="M2300" s="65" t="str">
        <f t="shared" ca="1" si="177"/>
        <v/>
      </c>
      <c r="N2300" s="74" t="str">
        <f>IF($C2300="","",IF($C2300="TANIMSIZ MÜŞTERİ","—",INDEX(MUSTERILER!$C$7:$C$156,MATCH($C2300,MUSTERILER!$B$7:$B$156,0))))</f>
        <v/>
      </c>
      <c r="O2300" s="2"/>
      <c r="P2300" s="2"/>
      <c r="Q2300" s="1" t="str">
        <f>IF($D2300="","",$C2300&amp;"|"&amp;COUNTIFS($C$7:$C2300,$C2300))</f>
        <v/>
      </c>
      <c r="R2300" s="1" t="str">
        <f t="shared" si="178"/>
        <v/>
      </c>
      <c r="S2300" s="1" t="str">
        <f t="shared" si="179"/>
        <v/>
      </c>
      <c r="T2300" s="1">
        <f>IF($E2300="",0,SUMPRODUCT((AY_SONU!$O$7:$O$42="Evet")*(AY_SONU!$B$7:$B$42=DATE(YEAR($E2300),MONTH($E2300),1))))</f>
        <v>0</v>
      </c>
    </row>
    <row r="2301" spans="1:20" ht="18" customHeight="1" x14ac:dyDescent="0.3">
      <c r="A2301" s="2"/>
      <c r="B2301" s="65" t="str">
        <f t="shared" si="175"/>
        <v/>
      </c>
      <c r="C2301" s="65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66"/>
      <c r="F2301" s="67"/>
      <c r="G2301" s="60"/>
      <c r="H2301" s="60"/>
      <c r="I2301" s="61"/>
      <c r="J2301" s="61"/>
      <c r="K2301" s="61"/>
      <c r="L2301" s="73" t="str">
        <f t="shared" si="176"/>
        <v/>
      </c>
      <c r="M2301" s="65" t="str">
        <f t="shared" ca="1" si="177"/>
        <v/>
      </c>
      <c r="N2301" s="74" t="str">
        <f>IF($C2301="","",IF($C2301="TANIMSIZ MÜŞTERİ","—",INDEX(MUSTERILER!$C$7:$C$156,MATCH($C2301,MUSTERILER!$B$7:$B$156,0))))</f>
        <v/>
      </c>
      <c r="O2301" s="2"/>
      <c r="P2301" s="2"/>
      <c r="Q2301" s="1" t="str">
        <f>IF($D2301="","",$C2301&amp;"|"&amp;COUNTIFS($C$7:$C2301,$C2301))</f>
        <v/>
      </c>
      <c r="R2301" s="1" t="str">
        <f t="shared" si="178"/>
        <v/>
      </c>
      <c r="S2301" s="1" t="str">
        <f t="shared" si="179"/>
        <v/>
      </c>
      <c r="T2301" s="1">
        <f>IF($E2301="",0,SUMPRODUCT((AY_SONU!$O$7:$O$42="Evet")*(AY_SONU!$B$7:$B$42=DATE(YEAR($E2301),MONTH($E2301),1))))</f>
        <v>0</v>
      </c>
    </row>
    <row r="2302" spans="1:20" ht="18" customHeight="1" x14ac:dyDescent="0.3">
      <c r="A2302" s="2"/>
      <c r="B2302" s="65" t="str">
        <f t="shared" si="175"/>
        <v/>
      </c>
      <c r="C2302" s="65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66"/>
      <c r="F2302" s="67"/>
      <c r="G2302" s="60"/>
      <c r="H2302" s="60"/>
      <c r="I2302" s="61"/>
      <c r="J2302" s="61"/>
      <c r="K2302" s="61"/>
      <c r="L2302" s="73" t="str">
        <f t="shared" si="176"/>
        <v/>
      </c>
      <c r="M2302" s="65" t="str">
        <f t="shared" ca="1" si="177"/>
        <v/>
      </c>
      <c r="N2302" s="74" t="str">
        <f>IF($C2302="","",IF($C2302="TANIMSIZ MÜŞTERİ","—",INDEX(MUSTERILER!$C$7:$C$156,MATCH($C2302,MUSTERILER!$B$7:$B$156,0))))</f>
        <v/>
      </c>
      <c r="O2302" s="2"/>
      <c r="P2302" s="2"/>
      <c r="Q2302" s="1" t="str">
        <f>IF($D2302="","",$C2302&amp;"|"&amp;COUNTIFS($C$7:$C2302,$C2302))</f>
        <v/>
      </c>
      <c r="R2302" s="1" t="str">
        <f t="shared" si="178"/>
        <v/>
      </c>
      <c r="S2302" s="1" t="str">
        <f t="shared" si="179"/>
        <v/>
      </c>
      <c r="T2302" s="1">
        <f>IF($E2302="",0,SUMPRODUCT((AY_SONU!$O$7:$O$42="Evet")*(AY_SONU!$B$7:$B$42=DATE(YEAR($E2302),MONTH($E2302),1))))</f>
        <v>0</v>
      </c>
    </row>
    <row r="2303" spans="1:20" ht="18" customHeight="1" x14ac:dyDescent="0.3">
      <c r="A2303" s="2"/>
      <c r="B2303" s="65" t="str">
        <f t="shared" si="175"/>
        <v/>
      </c>
      <c r="C2303" s="65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66"/>
      <c r="F2303" s="67"/>
      <c r="G2303" s="60"/>
      <c r="H2303" s="60"/>
      <c r="I2303" s="61"/>
      <c r="J2303" s="61"/>
      <c r="K2303" s="61"/>
      <c r="L2303" s="73" t="str">
        <f t="shared" si="176"/>
        <v/>
      </c>
      <c r="M2303" s="65" t="str">
        <f t="shared" ca="1" si="177"/>
        <v/>
      </c>
      <c r="N2303" s="74" t="str">
        <f>IF($C2303="","",IF($C2303="TANIMSIZ MÜŞTERİ","—",INDEX(MUSTERILER!$C$7:$C$156,MATCH($C2303,MUSTERILER!$B$7:$B$156,0))))</f>
        <v/>
      </c>
      <c r="O2303" s="2"/>
      <c r="P2303" s="2"/>
      <c r="Q2303" s="1" t="str">
        <f>IF($D2303="","",$C2303&amp;"|"&amp;COUNTIFS($C$7:$C2303,$C2303))</f>
        <v/>
      </c>
      <c r="R2303" s="1" t="str">
        <f t="shared" si="178"/>
        <v/>
      </c>
      <c r="S2303" s="1" t="str">
        <f t="shared" si="179"/>
        <v/>
      </c>
      <c r="T2303" s="1">
        <f>IF($E2303="",0,SUMPRODUCT((AY_SONU!$O$7:$O$42="Evet")*(AY_SONU!$B$7:$B$42=DATE(YEAR($E2303),MONTH($E2303),1))))</f>
        <v>0</v>
      </c>
    </row>
    <row r="2304" spans="1:20" ht="18" customHeight="1" x14ac:dyDescent="0.3">
      <c r="A2304" s="2"/>
      <c r="B2304" s="65" t="str">
        <f t="shared" si="175"/>
        <v/>
      </c>
      <c r="C2304" s="65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66"/>
      <c r="F2304" s="67"/>
      <c r="G2304" s="60"/>
      <c r="H2304" s="60"/>
      <c r="I2304" s="61"/>
      <c r="J2304" s="61"/>
      <c r="K2304" s="61"/>
      <c r="L2304" s="73" t="str">
        <f t="shared" si="176"/>
        <v/>
      </c>
      <c r="M2304" s="65" t="str">
        <f t="shared" ca="1" si="177"/>
        <v/>
      </c>
      <c r="N2304" s="74" t="str">
        <f>IF($C2304="","",IF($C2304="TANIMSIZ MÜŞTERİ","—",INDEX(MUSTERILER!$C$7:$C$156,MATCH($C2304,MUSTERILER!$B$7:$B$156,0))))</f>
        <v/>
      </c>
      <c r="O2304" s="2"/>
      <c r="P2304" s="2"/>
      <c r="Q2304" s="1" t="str">
        <f>IF($D2304="","",$C2304&amp;"|"&amp;COUNTIFS($C$7:$C2304,$C2304))</f>
        <v/>
      </c>
      <c r="R2304" s="1" t="str">
        <f t="shared" si="178"/>
        <v/>
      </c>
      <c r="S2304" s="1" t="str">
        <f t="shared" si="179"/>
        <v/>
      </c>
      <c r="T2304" s="1">
        <f>IF($E2304="",0,SUMPRODUCT((AY_SONU!$O$7:$O$42="Evet")*(AY_SONU!$B$7:$B$42=DATE(YEAR($E2304),MONTH($E2304),1))))</f>
        <v>0</v>
      </c>
    </row>
    <row r="2305" spans="1:20" ht="18" customHeight="1" x14ac:dyDescent="0.3">
      <c r="A2305" s="2"/>
      <c r="B2305" s="65" t="str">
        <f t="shared" si="175"/>
        <v/>
      </c>
      <c r="C2305" s="65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66"/>
      <c r="F2305" s="67"/>
      <c r="G2305" s="60"/>
      <c r="H2305" s="60"/>
      <c r="I2305" s="61"/>
      <c r="J2305" s="61"/>
      <c r="K2305" s="61"/>
      <c r="L2305" s="73" t="str">
        <f t="shared" si="176"/>
        <v/>
      </c>
      <c r="M2305" s="65" t="str">
        <f t="shared" ca="1" si="177"/>
        <v/>
      </c>
      <c r="N2305" s="74" t="str">
        <f>IF($C2305="","",IF($C2305="TANIMSIZ MÜŞTERİ","—",INDEX(MUSTERILER!$C$7:$C$156,MATCH($C2305,MUSTERILER!$B$7:$B$156,0))))</f>
        <v/>
      </c>
      <c r="O2305" s="2"/>
      <c r="P2305" s="2"/>
      <c r="Q2305" s="1" t="str">
        <f>IF($D2305="","",$C2305&amp;"|"&amp;COUNTIFS($C$7:$C2305,$C2305))</f>
        <v/>
      </c>
      <c r="R2305" s="1" t="str">
        <f t="shared" si="178"/>
        <v/>
      </c>
      <c r="S2305" s="1" t="str">
        <f t="shared" si="179"/>
        <v/>
      </c>
      <c r="T2305" s="1">
        <f>IF($E2305="",0,SUMPRODUCT((AY_SONU!$O$7:$O$42="Evet")*(AY_SONU!$B$7:$B$42=DATE(YEAR($E2305),MONTH($E2305),1))))</f>
        <v>0</v>
      </c>
    </row>
    <row r="2306" spans="1:20" ht="18" customHeight="1" x14ac:dyDescent="0.3">
      <c r="A2306" s="2"/>
      <c r="B2306" s="65" t="str">
        <f t="shared" si="175"/>
        <v/>
      </c>
      <c r="C2306" s="65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66"/>
      <c r="F2306" s="67"/>
      <c r="G2306" s="60"/>
      <c r="H2306" s="60"/>
      <c r="I2306" s="61"/>
      <c r="J2306" s="61"/>
      <c r="K2306" s="61"/>
      <c r="L2306" s="73" t="str">
        <f t="shared" si="176"/>
        <v/>
      </c>
      <c r="M2306" s="65" t="str">
        <f t="shared" ca="1" si="177"/>
        <v/>
      </c>
      <c r="N2306" s="74" t="str">
        <f>IF($C2306="","",IF($C2306="TANIMSIZ MÜŞTERİ","—",INDEX(MUSTERILER!$C$7:$C$156,MATCH($C2306,MUSTERILER!$B$7:$B$156,0))))</f>
        <v/>
      </c>
      <c r="O2306" s="2"/>
      <c r="P2306" s="2"/>
      <c r="Q2306" s="1" t="str">
        <f>IF($D2306="","",$C2306&amp;"|"&amp;COUNTIFS($C$7:$C2306,$C2306))</f>
        <v/>
      </c>
      <c r="R2306" s="1" t="str">
        <f t="shared" si="178"/>
        <v/>
      </c>
      <c r="S2306" s="1" t="str">
        <f t="shared" si="179"/>
        <v/>
      </c>
      <c r="T2306" s="1">
        <f>IF($E2306="",0,SUMPRODUCT((AY_SONU!$O$7:$O$42="Evet")*(AY_SONU!$B$7:$B$42=DATE(YEAR($E2306),MONTH($E2306),1))))</f>
        <v>0</v>
      </c>
    </row>
    <row r="2307" spans="1:20" ht="18" customHeight="1" x14ac:dyDescent="0.3">
      <c r="A2307" s="2"/>
      <c r="B2307" s="65" t="str">
        <f t="shared" si="175"/>
        <v/>
      </c>
      <c r="C2307" s="65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66"/>
      <c r="F2307" s="67"/>
      <c r="G2307" s="60"/>
      <c r="H2307" s="60"/>
      <c r="I2307" s="61"/>
      <c r="J2307" s="61"/>
      <c r="K2307" s="61"/>
      <c r="L2307" s="73" t="str">
        <f t="shared" si="176"/>
        <v/>
      </c>
      <c r="M2307" s="65" t="str">
        <f t="shared" ca="1" si="177"/>
        <v/>
      </c>
      <c r="N2307" s="74" t="str">
        <f>IF($C2307="","",IF($C2307="TANIMSIZ MÜŞTERİ","—",INDEX(MUSTERILER!$C$7:$C$156,MATCH($C2307,MUSTERILER!$B$7:$B$156,0))))</f>
        <v/>
      </c>
      <c r="O2307" s="2"/>
      <c r="P2307" s="2"/>
      <c r="Q2307" s="1" t="str">
        <f>IF($D2307="","",$C2307&amp;"|"&amp;COUNTIFS($C$7:$C2307,$C2307))</f>
        <v/>
      </c>
      <c r="R2307" s="1" t="str">
        <f t="shared" si="178"/>
        <v/>
      </c>
      <c r="S2307" s="1" t="str">
        <f t="shared" si="179"/>
        <v/>
      </c>
      <c r="T2307" s="1">
        <f>IF($E2307="",0,SUMPRODUCT((AY_SONU!$O$7:$O$42="Evet")*(AY_SONU!$B$7:$B$42=DATE(YEAR($E2307),MONTH($E2307),1))))</f>
        <v>0</v>
      </c>
    </row>
    <row r="2308" spans="1:20" ht="18" customHeight="1" x14ac:dyDescent="0.3">
      <c r="A2308" s="2"/>
      <c r="B2308" s="65" t="str">
        <f t="shared" si="175"/>
        <v/>
      </c>
      <c r="C2308" s="65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66"/>
      <c r="F2308" s="67"/>
      <c r="G2308" s="60"/>
      <c r="H2308" s="60"/>
      <c r="I2308" s="61"/>
      <c r="J2308" s="61"/>
      <c r="K2308" s="61"/>
      <c r="L2308" s="73" t="str">
        <f t="shared" si="176"/>
        <v/>
      </c>
      <c r="M2308" s="65" t="str">
        <f t="shared" ca="1" si="177"/>
        <v/>
      </c>
      <c r="N2308" s="74" t="str">
        <f>IF($C2308="","",IF($C2308="TANIMSIZ MÜŞTERİ","—",INDEX(MUSTERILER!$C$7:$C$156,MATCH($C2308,MUSTERILER!$B$7:$B$156,0))))</f>
        <v/>
      </c>
      <c r="O2308" s="2"/>
      <c r="P2308" s="2"/>
      <c r="Q2308" s="1" t="str">
        <f>IF($D2308="","",$C2308&amp;"|"&amp;COUNTIFS($C$7:$C2308,$C2308))</f>
        <v/>
      </c>
      <c r="R2308" s="1" t="str">
        <f t="shared" si="178"/>
        <v/>
      </c>
      <c r="S2308" s="1" t="str">
        <f t="shared" si="179"/>
        <v/>
      </c>
      <c r="T2308" s="1">
        <f>IF($E2308="",0,SUMPRODUCT((AY_SONU!$O$7:$O$42="Evet")*(AY_SONU!$B$7:$B$42=DATE(YEAR($E2308),MONTH($E2308),1))))</f>
        <v>0</v>
      </c>
    </row>
    <row r="2309" spans="1:20" ht="18" customHeight="1" x14ac:dyDescent="0.3">
      <c r="A2309" s="2"/>
      <c r="B2309" s="65" t="str">
        <f t="shared" si="175"/>
        <v/>
      </c>
      <c r="C2309" s="65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66"/>
      <c r="F2309" s="67"/>
      <c r="G2309" s="60"/>
      <c r="H2309" s="60"/>
      <c r="I2309" s="61"/>
      <c r="J2309" s="61"/>
      <c r="K2309" s="61"/>
      <c r="L2309" s="73" t="str">
        <f t="shared" si="176"/>
        <v/>
      </c>
      <c r="M2309" s="65" t="str">
        <f t="shared" ca="1" si="177"/>
        <v/>
      </c>
      <c r="N2309" s="74" t="str">
        <f>IF($C2309="","",IF($C2309="TANIMSIZ MÜŞTERİ","—",INDEX(MUSTERILER!$C$7:$C$156,MATCH($C2309,MUSTERILER!$B$7:$B$156,0))))</f>
        <v/>
      </c>
      <c r="O2309" s="2"/>
      <c r="P2309" s="2"/>
      <c r="Q2309" s="1" t="str">
        <f>IF($D2309="","",$C2309&amp;"|"&amp;COUNTIFS($C$7:$C2309,$C2309))</f>
        <v/>
      </c>
      <c r="R2309" s="1" t="str">
        <f t="shared" si="178"/>
        <v/>
      </c>
      <c r="S2309" s="1" t="str">
        <f t="shared" si="179"/>
        <v/>
      </c>
      <c r="T2309" s="1">
        <f>IF($E2309="",0,SUMPRODUCT((AY_SONU!$O$7:$O$42="Evet")*(AY_SONU!$B$7:$B$42=DATE(YEAR($E2309),MONTH($E2309),1))))</f>
        <v>0</v>
      </c>
    </row>
    <row r="2310" spans="1:20" ht="18" customHeight="1" x14ac:dyDescent="0.3">
      <c r="A2310" s="2"/>
      <c r="B2310" s="65" t="str">
        <f t="shared" si="175"/>
        <v/>
      </c>
      <c r="C2310" s="65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66"/>
      <c r="F2310" s="67"/>
      <c r="G2310" s="60"/>
      <c r="H2310" s="60"/>
      <c r="I2310" s="61"/>
      <c r="J2310" s="61"/>
      <c r="K2310" s="61"/>
      <c r="L2310" s="73" t="str">
        <f t="shared" si="176"/>
        <v/>
      </c>
      <c r="M2310" s="65" t="str">
        <f t="shared" ca="1" si="177"/>
        <v/>
      </c>
      <c r="N2310" s="74" t="str">
        <f>IF($C2310="","",IF($C2310="TANIMSIZ MÜŞTERİ","—",INDEX(MUSTERILER!$C$7:$C$156,MATCH($C2310,MUSTERILER!$B$7:$B$156,0))))</f>
        <v/>
      </c>
      <c r="O2310" s="2"/>
      <c r="P2310" s="2"/>
      <c r="Q2310" s="1" t="str">
        <f>IF($D2310="","",$C2310&amp;"|"&amp;COUNTIFS($C$7:$C2310,$C2310))</f>
        <v/>
      </c>
      <c r="R2310" s="1" t="str">
        <f t="shared" si="178"/>
        <v/>
      </c>
      <c r="S2310" s="1" t="str">
        <f t="shared" si="179"/>
        <v/>
      </c>
      <c r="T2310" s="1">
        <f>IF($E2310="",0,SUMPRODUCT((AY_SONU!$O$7:$O$42="Evet")*(AY_SONU!$B$7:$B$42=DATE(YEAR($E2310),MONTH($E2310),1))))</f>
        <v>0</v>
      </c>
    </row>
    <row r="2311" spans="1:20" ht="18" customHeight="1" x14ac:dyDescent="0.3">
      <c r="A2311" s="2"/>
      <c r="B2311" s="65" t="str">
        <f t="shared" ref="B2311:B2374" si="180">IF($D2311="","","T"&amp;TEXT(ROW()-6,"00000"))</f>
        <v/>
      </c>
      <c r="C2311" s="65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66"/>
      <c r="F2311" s="67"/>
      <c r="G2311" s="60"/>
      <c r="H2311" s="60"/>
      <c r="I2311" s="61"/>
      <c r="J2311" s="61"/>
      <c r="K2311" s="61"/>
      <c r="L2311" s="73" t="str">
        <f t="shared" ref="L2311:L2374" si="181">IF($E2311="","",DATE(YEAR($E2311),MONTH($E2311),1))</f>
        <v/>
      </c>
      <c r="M2311" s="65" t="str">
        <f t="shared" ref="M2311:M2374" ca="1" si="182">IF($D2311="","",IF($C2311="TANIMSIZ MÜŞTERİ","HATA",IF(OR($E2311="",$F2311&lt;=0,$G2311=""),"EKSİK",IF($E2311&gt;TODAY(),"İLERİ TARİH",IF(COUNTIF($S$7:$S$2506,$S2311)&gt;1,"MÜKERRER?",IF($T2311&gt;0,"KAPALI DÖNEM","UYGUN"))))))</f>
        <v/>
      </c>
      <c r="N2311" s="74" t="str">
        <f>IF($C2311="","",IF($C2311="TANIMSIZ MÜŞTERİ","—",INDEX(MUSTERILER!$C$7:$C$156,MATCH($C2311,MUSTERILER!$B$7:$B$156,0))))</f>
        <v/>
      </c>
      <c r="O2311" s="2"/>
      <c r="P2311" s="2"/>
      <c r="Q2311" s="1" t="str">
        <f>IF($D2311="","",$C2311&amp;"|"&amp;COUNTIFS($C$7:$C2311,$C2311))</f>
        <v/>
      </c>
      <c r="R2311" s="1" t="str">
        <f t="shared" ref="R2311:R2374" si="183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 t="str">
        <f t="shared" ref="S2311:S2374" si="184"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>0</v>
      </c>
    </row>
    <row r="2312" spans="1:20" ht="18" customHeight="1" x14ac:dyDescent="0.3">
      <c r="A2312" s="2"/>
      <c r="B2312" s="65" t="str">
        <f t="shared" si="180"/>
        <v/>
      </c>
      <c r="C2312" s="65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66"/>
      <c r="F2312" s="67"/>
      <c r="G2312" s="60"/>
      <c r="H2312" s="60"/>
      <c r="I2312" s="61"/>
      <c r="J2312" s="61"/>
      <c r="K2312" s="61"/>
      <c r="L2312" s="73" t="str">
        <f t="shared" si="181"/>
        <v/>
      </c>
      <c r="M2312" s="65" t="str">
        <f t="shared" ca="1" si="182"/>
        <v/>
      </c>
      <c r="N2312" s="74" t="str">
        <f>IF($C2312="","",IF($C2312="TANIMSIZ MÜŞTERİ","—",INDEX(MUSTERILER!$C$7:$C$156,MATCH($C2312,MUSTERILER!$B$7:$B$156,0))))</f>
        <v/>
      </c>
      <c r="O2312" s="2"/>
      <c r="P2312" s="2"/>
      <c r="Q2312" s="1" t="str">
        <f>IF($D2312="","",$C2312&amp;"|"&amp;COUNTIFS($C$7:$C2312,$C2312))</f>
        <v/>
      </c>
      <c r="R2312" s="1" t="str">
        <f t="shared" si="183"/>
        <v/>
      </c>
      <c r="S2312" s="1" t="str">
        <f t="shared" si="184"/>
        <v/>
      </c>
      <c r="T2312" s="1">
        <f>IF($E2312="",0,SUMPRODUCT((AY_SONU!$O$7:$O$42="Evet")*(AY_SONU!$B$7:$B$42=DATE(YEAR($E2312),MONTH($E2312),1))))</f>
        <v>0</v>
      </c>
    </row>
    <row r="2313" spans="1:20" ht="18" customHeight="1" x14ac:dyDescent="0.3">
      <c r="A2313" s="2"/>
      <c r="B2313" s="65" t="str">
        <f t="shared" si="180"/>
        <v/>
      </c>
      <c r="C2313" s="65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66"/>
      <c r="F2313" s="67"/>
      <c r="G2313" s="60"/>
      <c r="H2313" s="60"/>
      <c r="I2313" s="61"/>
      <c r="J2313" s="61"/>
      <c r="K2313" s="61"/>
      <c r="L2313" s="73" t="str">
        <f t="shared" si="181"/>
        <v/>
      </c>
      <c r="M2313" s="65" t="str">
        <f t="shared" ca="1" si="182"/>
        <v/>
      </c>
      <c r="N2313" s="74" t="str">
        <f>IF($C2313="","",IF($C2313="TANIMSIZ MÜŞTERİ","—",INDEX(MUSTERILER!$C$7:$C$156,MATCH($C2313,MUSTERILER!$B$7:$B$156,0))))</f>
        <v/>
      </c>
      <c r="O2313" s="2"/>
      <c r="P2313" s="2"/>
      <c r="Q2313" s="1" t="str">
        <f>IF($D2313="","",$C2313&amp;"|"&amp;COUNTIFS($C$7:$C2313,$C2313))</f>
        <v/>
      </c>
      <c r="R2313" s="1" t="str">
        <f t="shared" si="183"/>
        <v/>
      </c>
      <c r="S2313" s="1" t="str">
        <f t="shared" si="184"/>
        <v/>
      </c>
      <c r="T2313" s="1">
        <f>IF($E2313="",0,SUMPRODUCT((AY_SONU!$O$7:$O$42="Evet")*(AY_SONU!$B$7:$B$42=DATE(YEAR($E2313),MONTH($E2313),1))))</f>
        <v>0</v>
      </c>
    </row>
    <row r="2314" spans="1:20" ht="18" customHeight="1" x14ac:dyDescent="0.3">
      <c r="A2314" s="2"/>
      <c r="B2314" s="65" t="str">
        <f t="shared" si="180"/>
        <v/>
      </c>
      <c r="C2314" s="65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66"/>
      <c r="F2314" s="67"/>
      <c r="G2314" s="60"/>
      <c r="H2314" s="60"/>
      <c r="I2314" s="61"/>
      <c r="J2314" s="61"/>
      <c r="K2314" s="61"/>
      <c r="L2314" s="73" t="str">
        <f t="shared" si="181"/>
        <v/>
      </c>
      <c r="M2314" s="65" t="str">
        <f t="shared" ca="1" si="182"/>
        <v/>
      </c>
      <c r="N2314" s="74" t="str">
        <f>IF($C2314="","",IF($C2314="TANIMSIZ MÜŞTERİ","—",INDEX(MUSTERILER!$C$7:$C$156,MATCH($C2314,MUSTERILER!$B$7:$B$156,0))))</f>
        <v/>
      </c>
      <c r="O2314" s="2"/>
      <c r="P2314" s="2"/>
      <c r="Q2314" s="1" t="str">
        <f>IF($D2314="","",$C2314&amp;"|"&amp;COUNTIFS($C$7:$C2314,$C2314))</f>
        <v/>
      </c>
      <c r="R2314" s="1" t="str">
        <f t="shared" si="183"/>
        <v/>
      </c>
      <c r="S2314" s="1" t="str">
        <f t="shared" si="184"/>
        <v/>
      </c>
      <c r="T2314" s="1">
        <f>IF($E2314="",0,SUMPRODUCT((AY_SONU!$O$7:$O$42="Evet")*(AY_SONU!$B$7:$B$42=DATE(YEAR($E2314),MONTH($E2314),1))))</f>
        <v>0</v>
      </c>
    </row>
    <row r="2315" spans="1:20" ht="18" customHeight="1" x14ac:dyDescent="0.3">
      <c r="A2315" s="2"/>
      <c r="B2315" s="65" t="str">
        <f t="shared" si="180"/>
        <v/>
      </c>
      <c r="C2315" s="65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66"/>
      <c r="F2315" s="67"/>
      <c r="G2315" s="60"/>
      <c r="H2315" s="60"/>
      <c r="I2315" s="61"/>
      <c r="J2315" s="61"/>
      <c r="K2315" s="61"/>
      <c r="L2315" s="73" t="str">
        <f t="shared" si="181"/>
        <v/>
      </c>
      <c r="M2315" s="65" t="str">
        <f t="shared" ca="1" si="182"/>
        <v/>
      </c>
      <c r="N2315" s="74" t="str">
        <f>IF($C2315="","",IF($C2315="TANIMSIZ MÜŞTERİ","—",INDEX(MUSTERILER!$C$7:$C$156,MATCH($C2315,MUSTERILER!$B$7:$B$156,0))))</f>
        <v/>
      </c>
      <c r="O2315" s="2"/>
      <c r="P2315" s="2"/>
      <c r="Q2315" s="1" t="str">
        <f>IF($D2315="","",$C2315&amp;"|"&amp;COUNTIFS($C$7:$C2315,$C2315))</f>
        <v/>
      </c>
      <c r="R2315" s="1" t="str">
        <f t="shared" si="183"/>
        <v/>
      </c>
      <c r="S2315" s="1" t="str">
        <f t="shared" si="184"/>
        <v/>
      </c>
      <c r="T2315" s="1">
        <f>IF($E2315="",0,SUMPRODUCT((AY_SONU!$O$7:$O$42="Evet")*(AY_SONU!$B$7:$B$42=DATE(YEAR($E2315),MONTH($E2315),1))))</f>
        <v>0</v>
      </c>
    </row>
    <row r="2316" spans="1:20" ht="18" customHeight="1" x14ac:dyDescent="0.3">
      <c r="A2316" s="2"/>
      <c r="B2316" s="65" t="str">
        <f t="shared" si="180"/>
        <v/>
      </c>
      <c r="C2316" s="65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66"/>
      <c r="F2316" s="67"/>
      <c r="G2316" s="60"/>
      <c r="H2316" s="60"/>
      <c r="I2316" s="61"/>
      <c r="J2316" s="61"/>
      <c r="K2316" s="61"/>
      <c r="L2316" s="73" t="str">
        <f t="shared" si="181"/>
        <v/>
      </c>
      <c r="M2316" s="65" t="str">
        <f t="shared" ca="1" si="182"/>
        <v/>
      </c>
      <c r="N2316" s="74" t="str">
        <f>IF($C2316="","",IF($C2316="TANIMSIZ MÜŞTERİ","—",INDEX(MUSTERILER!$C$7:$C$156,MATCH($C2316,MUSTERILER!$B$7:$B$156,0))))</f>
        <v/>
      </c>
      <c r="O2316" s="2"/>
      <c r="P2316" s="2"/>
      <c r="Q2316" s="1" t="str">
        <f>IF($D2316="","",$C2316&amp;"|"&amp;COUNTIFS($C$7:$C2316,$C2316))</f>
        <v/>
      </c>
      <c r="R2316" s="1" t="str">
        <f t="shared" si="183"/>
        <v/>
      </c>
      <c r="S2316" s="1" t="str">
        <f t="shared" si="184"/>
        <v/>
      </c>
      <c r="T2316" s="1">
        <f>IF($E2316="",0,SUMPRODUCT((AY_SONU!$O$7:$O$42="Evet")*(AY_SONU!$B$7:$B$42=DATE(YEAR($E2316),MONTH($E2316),1))))</f>
        <v>0</v>
      </c>
    </row>
    <row r="2317" spans="1:20" ht="18" customHeight="1" x14ac:dyDescent="0.3">
      <c r="A2317" s="2"/>
      <c r="B2317" s="65" t="str">
        <f t="shared" si="180"/>
        <v/>
      </c>
      <c r="C2317" s="65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66"/>
      <c r="F2317" s="67"/>
      <c r="G2317" s="60"/>
      <c r="H2317" s="60"/>
      <c r="I2317" s="61"/>
      <c r="J2317" s="61"/>
      <c r="K2317" s="61"/>
      <c r="L2317" s="73" t="str">
        <f t="shared" si="181"/>
        <v/>
      </c>
      <c r="M2317" s="65" t="str">
        <f t="shared" ca="1" si="182"/>
        <v/>
      </c>
      <c r="N2317" s="74" t="str">
        <f>IF($C2317="","",IF($C2317="TANIMSIZ MÜŞTERİ","—",INDEX(MUSTERILER!$C$7:$C$156,MATCH($C2317,MUSTERILER!$B$7:$B$156,0))))</f>
        <v/>
      </c>
      <c r="O2317" s="2"/>
      <c r="P2317" s="2"/>
      <c r="Q2317" s="1" t="str">
        <f>IF($D2317="","",$C2317&amp;"|"&amp;COUNTIFS($C$7:$C2317,$C2317))</f>
        <v/>
      </c>
      <c r="R2317" s="1" t="str">
        <f t="shared" si="183"/>
        <v/>
      </c>
      <c r="S2317" s="1" t="str">
        <f t="shared" si="184"/>
        <v/>
      </c>
      <c r="T2317" s="1">
        <f>IF($E2317="",0,SUMPRODUCT((AY_SONU!$O$7:$O$42="Evet")*(AY_SONU!$B$7:$B$42=DATE(YEAR($E2317),MONTH($E2317),1))))</f>
        <v>0</v>
      </c>
    </row>
    <row r="2318" spans="1:20" ht="18" customHeight="1" x14ac:dyDescent="0.3">
      <c r="A2318" s="2"/>
      <c r="B2318" s="65" t="str">
        <f t="shared" si="180"/>
        <v/>
      </c>
      <c r="C2318" s="65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66"/>
      <c r="F2318" s="67"/>
      <c r="G2318" s="60"/>
      <c r="H2318" s="60"/>
      <c r="I2318" s="61"/>
      <c r="J2318" s="61"/>
      <c r="K2318" s="61"/>
      <c r="L2318" s="73" t="str">
        <f t="shared" si="181"/>
        <v/>
      </c>
      <c r="M2318" s="65" t="str">
        <f t="shared" ca="1" si="182"/>
        <v/>
      </c>
      <c r="N2318" s="74" t="str">
        <f>IF($C2318="","",IF($C2318="TANIMSIZ MÜŞTERİ","—",INDEX(MUSTERILER!$C$7:$C$156,MATCH($C2318,MUSTERILER!$B$7:$B$156,0))))</f>
        <v/>
      </c>
      <c r="O2318" s="2"/>
      <c r="P2318" s="2"/>
      <c r="Q2318" s="1" t="str">
        <f>IF($D2318="","",$C2318&amp;"|"&amp;COUNTIFS($C$7:$C2318,$C2318))</f>
        <v/>
      </c>
      <c r="R2318" s="1" t="str">
        <f t="shared" si="183"/>
        <v/>
      </c>
      <c r="S2318" s="1" t="str">
        <f t="shared" si="184"/>
        <v/>
      </c>
      <c r="T2318" s="1">
        <f>IF($E2318="",0,SUMPRODUCT((AY_SONU!$O$7:$O$42="Evet")*(AY_SONU!$B$7:$B$42=DATE(YEAR($E2318),MONTH($E2318),1))))</f>
        <v>0</v>
      </c>
    </row>
    <row r="2319" spans="1:20" ht="18" customHeight="1" x14ac:dyDescent="0.3">
      <c r="A2319" s="2"/>
      <c r="B2319" s="65" t="str">
        <f t="shared" si="180"/>
        <v/>
      </c>
      <c r="C2319" s="65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66"/>
      <c r="F2319" s="67"/>
      <c r="G2319" s="60"/>
      <c r="H2319" s="60"/>
      <c r="I2319" s="61"/>
      <c r="J2319" s="61"/>
      <c r="K2319" s="61"/>
      <c r="L2319" s="73" t="str">
        <f t="shared" si="181"/>
        <v/>
      </c>
      <c r="M2319" s="65" t="str">
        <f t="shared" ca="1" si="182"/>
        <v/>
      </c>
      <c r="N2319" s="74" t="str">
        <f>IF($C2319="","",IF($C2319="TANIMSIZ MÜŞTERİ","—",INDEX(MUSTERILER!$C$7:$C$156,MATCH($C2319,MUSTERILER!$B$7:$B$156,0))))</f>
        <v/>
      </c>
      <c r="O2319" s="2"/>
      <c r="P2319" s="2"/>
      <c r="Q2319" s="1" t="str">
        <f>IF($D2319="","",$C2319&amp;"|"&amp;COUNTIFS($C$7:$C2319,$C2319))</f>
        <v/>
      </c>
      <c r="R2319" s="1" t="str">
        <f t="shared" si="183"/>
        <v/>
      </c>
      <c r="S2319" s="1" t="str">
        <f t="shared" si="184"/>
        <v/>
      </c>
      <c r="T2319" s="1">
        <f>IF($E2319="",0,SUMPRODUCT((AY_SONU!$O$7:$O$42="Evet")*(AY_SONU!$B$7:$B$42=DATE(YEAR($E2319),MONTH($E2319),1))))</f>
        <v>0</v>
      </c>
    </row>
    <row r="2320" spans="1:20" ht="18" customHeight="1" x14ac:dyDescent="0.3">
      <c r="A2320" s="2"/>
      <c r="B2320" s="65" t="str">
        <f t="shared" si="180"/>
        <v/>
      </c>
      <c r="C2320" s="65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66"/>
      <c r="F2320" s="67"/>
      <c r="G2320" s="60"/>
      <c r="H2320" s="60"/>
      <c r="I2320" s="61"/>
      <c r="J2320" s="61"/>
      <c r="K2320" s="61"/>
      <c r="L2320" s="73" t="str">
        <f t="shared" si="181"/>
        <v/>
      </c>
      <c r="M2320" s="65" t="str">
        <f t="shared" ca="1" si="182"/>
        <v/>
      </c>
      <c r="N2320" s="74" t="str">
        <f>IF($C2320="","",IF($C2320="TANIMSIZ MÜŞTERİ","—",INDEX(MUSTERILER!$C$7:$C$156,MATCH($C2320,MUSTERILER!$B$7:$B$156,0))))</f>
        <v/>
      </c>
      <c r="O2320" s="2"/>
      <c r="P2320" s="2"/>
      <c r="Q2320" s="1" t="str">
        <f>IF($D2320="","",$C2320&amp;"|"&amp;COUNTIFS($C$7:$C2320,$C2320))</f>
        <v/>
      </c>
      <c r="R2320" s="1" t="str">
        <f t="shared" si="183"/>
        <v/>
      </c>
      <c r="S2320" s="1" t="str">
        <f t="shared" si="184"/>
        <v/>
      </c>
      <c r="T2320" s="1">
        <f>IF($E2320="",0,SUMPRODUCT((AY_SONU!$O$7:$O$42="Evet")*(AY_SONU!$B$7:$B$42=DATE(YEAR($E2320),MONTH($E2320),1))))</f>
        <v>0</v>
      </c>
    </row>
    <row r="2321" spans="1:20" ht="18" customHeight="1" x14ac:dyDescent="0.3">
      <c r="A2321" s="2"/>
      <c r="B2321" s="65" t="str">
        <f t="shared" si="180"/>
        <v/>
      </c>
      <c r="C2321" s="65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66"/>
      <c r="F2321" s="67"/>
      <c r="G2321" s="60"/>
      <c r="H2321" s="60"/>
      <c r="I2321" s="61"/>
      <c r="J2321" s="61"/>
      <c r="K2321" s="61"/>
      <c r="L2321" s="73" t="str">
        <f t="shared" si="181"/>
        <v/>
      </c>
      <c r="M2321" s="65" t="str">
        <f t="shared" ca="1" si="182"/>
        <v/>
      </c>
      <c r="N2321" s="74" t="str">
        <f>IF($C2321="","",IF($C2321="TANIMSIZ MÜŞTERİ","—",INDEX(MUSTERILER!$C$7:$C$156,MATCH($C2321,MUSTERILER!$B$7:$B$156,0))))</f>
        <v/>
      </c>
      <c r="O2321" s="2"/>
      <c r="P2321" s="2"/>
      <c r="Q2321" s="1" t="str">
        <f>IF($D2321="","",$C2321&amp;"|"&amp;COUNTIFS($C$7:$C2321,$C2321))</f>
        <v/>
      </c>
      <c r="R2321" s="1" t="str">
        <f t="shared" si="183"/>
        <v/>
      </c>
      <c r="S2321" s="1" t="str">
        <f t="shared" si="184"/>
        <v/>
      </c>
      <c r="T2321" s="1">
        <f>IF($E2321="",0,SUMPRODUCT((AY_SONU!$O$7:$O$42="Evet")*(AY_SONU!$B$7:$B$42=DATE(YEAR($E2321),MONTH($E2321),1))))</f>
        <v>0</v>
      </c>
    </row>
    <row r="2322" spans="1:20" ht="18" customHeight="1" x14ac:dyDescent="0.3">
      <c r="A2322" s="2"/>
      <c r="B2322" s="65" t="str">
        <f t="shared" si="180"/>
        <v/>
      </c>
      <c r="C2322" s="65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66"/>
      <c r="F2322" s="67"/>
      <c r="G2322" s="60"/>
      <c r="H2322" s="60"/>
      <c r="I2322" s="61"/>
      <c r="J2322" s="61"/>
      <c r="K2322" s="61"/>
      <c r="L2322" s="73" t="str">
        <f t="shared" si="181"/>
        <v/>
      </c>
      <c r="M2322" s="65" t="str">
        <f t="shared" ca="1" si="182"/>
        <v/>
      </c>
      <c r="N2322" s="74" t="str">
        <f>IF($C2322="","",IF($C2322="TANIMSIZ MÜŞTERİ","—",INDEX(MUSTERILER!$C$7:$C$156,MATCH($C2322,MUSTERILER!$B$7:$B$156,0))))</f>
        <v/>
      </c>
      <c r="O2322" s="2"/>
      <c r="P2322" s="2"/>
      <c r="Q2322" s="1" t="str">
        <f>IF($D2322="","",$C2322&amp;"|"&amp;COUNTIFS($C$7:$C2322,$C2322))</f>
        <v/>
      </c>
      <c r="R2322" s="1" t="str">
        <f t="shared" si="183"/>
        <v/>
      </c>
      <c r="S2322" s="1" t="str">
        <f t="shared" si="184"/>
        <v/>
      </c>
      <c r="T2322" s="1">
        <f>IF($E2322="",0,SUMPRODUCT((AY_SONU!$O$7:$O$42="Evet")*(AY_SONU!$B$7:$B$42=DATE(YEAR($E2322),MONTH($E2322),1))))</f>
        <v>0</v>
      </c>
    </row>
    <row r="2323" spans="1:20" ht="18" customHeight="1" x14ac:dyDescent="0.3">
      <c r="A2323" s="2"/>
      <c r="B2323" s="65" t="str">
        <f t="shared" si="180"/>
        <v/>
      </c>
      <c r="C2323" s="65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66"/>
      <c r="F2323" s="67"/>
      <c r="G2323" s="60"/>
      <c r="H2323" s="60"/>
      <c r="I2323" s="61"/>
      <c r="J2323" s="61"/>
      <c r="K2323" s="61"/>
      <c r="L2323" s="73" t="str">
        <f t="shared" si="181"/>
        <v/>
      </c>
      <c r="M2323" s="65" t="str">
        <f t="shared" ca="1" si="182"/>
        <v/>
      </c>
      <c r="N2323" s="74" t="str">
        <f>IF($C2323="","",IF($C2323="TANIMSIZ MÜŞTERİ","—",INDEX(MUSTERILER!$C$7:$C$156,MATCH($C2323,MUSTERILER!$B$7:$B$156,0))))</f>
        <v/>
      </c>
      <c r="O2323" s="2"/>
      <c r="P2323" s="2"/>
      <c r="Q2323" s="1" t="str">
        <f>IF($D2323="","",$C2323&amp;"|"&amp;COUNTIFS($C$7:$C2323,$C2323))</f>
        <v/>
      </c>
      <c r="R2323" s="1" t="str">
        <f t="shared" si="183"/>
        <v/>
      </c>
      <c r="S2323" s="1" t="str">
        <f t="shared" si="184"/>
        <v/>
      </c>
      <c r="T2323" s="1">
        <f>IF($E2323="",0,SUMPRODUCT((AY_SONU!$O$7:$O$42="Evet")*(AY_SONU!$B$7:$B$42=DATE(YEAR($E2323),MONTH($E2323),1))))</f>
        <v>0</v>
      </c>
    </row>
    <row r="2324" spans="1:20" ht="18" customHeight="1" x14ac:dyDescent="0.3">
      <c r="A2324" s="2"/>
      <c r="B2324" s="65" t="str">
        <f t="shared" si="180"/>
        <v/>
      </c>
      <c r="C2324" s="65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66"/>
      <c r="F2324" s="67"/>
      <c r="G2324" s="60"/>
      <c r="H2324" s="60"/>
      <c r="I2324" s="61"/>
      <c r="J2324" s="61"/>
      <c r="K2324" s="61"/>
      <c r="L2324" s="73" t="str">
        <f t="shared" si="181"/>
        <v/>
      </c>
      <c r="M2324" s="65" t="str">
        <f t="shared" ca="1" si="182"/>
        <v/>
      </c>
      <c r="N2324" s="74" t="str">
        <f>IF($C2324="","",IF($C2324="TANIMSIZ MÜŞTERİ","—",INDEX(MUSTERILER!$C$7:$C$156,MATCH($C2324,MUSTERILER!$B$7:$B$156,0))))</f>
        <v/>
      </c>
      <c r="O2324" s="2"/>
      <c r="P2324" s="2"/>
      <c r="Q2324" s="1" t="str">
        <f>IF($D2324="","",$C2324&amp;"|"&amp;COUNTIFS($C$7:$C2324,$C2324))</f>
        <v/>
      </c>
      <c r="R2324" s="1" t="str">
        <f t="shared" si="183"/>
        <v/>
      </c>
      <c r="S2324" s="1" t="str">
        <f t="shared" si="184"/>
        <v/>
      </c>
      <c r="T2324" s="1">
        <f>IF($E2324="",0,SUMPRODUCT((AY_SONU!$O$7:$O$42="Evet")*(AY_SONU!$B$7:$B$42=DATE(YEAR($E2324),MONTH($E2324),1))))</f>
        <v>0</v>
      </c>
    </row>
    <row r="2325" spans="1:20" ht="18" customHeight="1" x14ac:dyDescent="0.3">
      <c r="A2325" s="2"/>
      <c r="B2325" s="65" t="str">
        <f t="shared" si="180"/>
        <v/>
      </c>
      <c r="C2325" s="65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66"/>
      <c r="F2325" s="67"/>
      <c r="G2325" s="60"/>
      <c r="H2325" s="60"/>
      <c r="I2325" s="61"/>
      <c r="J2325" s="61"/>
      <c r="K2325" s="61"/>
      <c r="L2325" s="73" t="str">
        <f t="shared" si="181"/>
        <v/>
      </c>
      <c r="M2325" s="65" t="str">
        <f t="shared" ca="1" si="182"/>
        <v/>
      </c>
      <c r="N2325" s="74" t="str">
        <f>IF($C2325="","",IF($C2325="TANIMSIZ MÜŞTERİ","—",INDEX(MUSTERILER!$C$7:$C$156,MATCH($C2325,MUSTERILER!$B$7:$B$156,0))))</f>
        <v/>
      </c>
      <c r="O2325" s="2"/>
      <c r="P2325" s="2"/>
      <c r="Q2325" s="1" t="str">
        <f>IF($D2325="","",$C2325&amp;"|"&amp;COUNTIFS($C$7:$C2325,$C2325))</f>
        <v/>
      </c>
      <c r="R2325" s="1" t="str">
        <f t="shared" si="183"/>
        <v/>
      </c>
      <c r="S2325" s="1" t="str">
        <f t="shared" si="184"/>
        <v/>
      </c>
      <c r="T2325" s="1">
        <f>IF($E2325="",0,SUMPRODUCT((AY_SONU!$O$7:$O$42="Evet")*(AY_SONU!$B$7:$B$42=DATE(YEAR($E2325),MONTH($E2325),1))))</f>
        <v>0</v>
      </c>
    </row>
    <row r="2326" spans="1:20" ht="18" customHeight="1" x14ac:dyDescent="0.3">
      <c r="A2326" s="2"/>
      <c r="B2326" s="65" t="str">
        <f t="shared" si="180"/>
        <v/>
      </c>
      <c r="C2326" s="65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66"/>
      <c r="F2326" s="67"/>
      <c r="G2326" s="60"/>
      <c r="H2326" s="60"/>
      <c r="I2326" s="61"/>
      <c r="J2326" s="61"/>
      <c r="K2326" s="61"/>
      <c r="L2326" s="73" t="str">
        <f t="shared" si="181"/>
        <v/>
      </c>
      <c r="M2326" s="65" t="str">
        <f t="shared" ca="1" si="182"/>
        <v/>
      </c>
      <c r="N2326" s="74" t="str">
        <f>IF($C2326="","",IF($C2326="TANIMSIZ MÜŞTERİ","—",INDEX(MUSTERILER!$C$7:$C$156,MATCH($C2326,MUSTERILER!$B$7:$B$156,0))))</f>
        <v/>
      </c>
      <c r="O2326" s="2"/>
      <c r="P2326" s="2"/>
      <c r="Q2326" s="1" t="str">
        <f>IF($D2326="","",$C2326&amp;"|"&amp;COUNTIFS($C$7:$C2326,$C2326))</f>
        <v/>
      </c>
      <c r="R2326" s="1" t="str">
        <f t="shared" si="183"/>
        <v/>
      </c>
      <c r="S2326" s="1" t="str">
        <f t="shared" si="184"/>
        <v/>
      </c>
      <c r="T2326" s="1">
        <f>IF($E2326="",0,SUMPRODUCT((AY_SONU!$O$7:$O$42="Evet")*(AY_SONU!$B$7:$B$42=DATE(YEAR($E2326),MONTH($E2326),1))))</f>
        <v>0</v>
      </c>
    </row>
    <row r="2327" spans="1:20" ht="18" customHeight="1" x14ac:dyDescent="0.3">
      <c r="A2327" s="2"/>
      <c r="B2327" s="65" t="str">
        <f t="shared" si="180"/>
        <v/>
      </c>
      <c r="C2327" s="65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66"/>
      <c r="F2327" s="67"/>
      <c r="G2327" s="60"/>
      <c r="H2327" s="60"/>
      <c r="I2327" s="61"/>
      <c r="J2327" s="61"/>
      <c r="K2327" s="61"/>
      <c r="L2327" s="73" t="str">
        <f t="shared" si="181"/>
        <v/>
      </c>
      <c r="M2327" s="65" t="str">
        <f t="shared" ca="1" si="182"/>
        <v/>
      </c>
      <c r="N2327" s="74" t="str">
        <f>IF($C2327="","",IF($C2327="TANIMSIZ MÜŞTERİ","—",INDEX(MUSTERILER!$C$7:$C$156,MATCH($C2327,MUSTERILER!$B$7:$B$156,0))))</f>
        <v/>
      </c>
      <c r="O2327" s="2"/>
      <c r="P2327" s="2"/>
      <c r="Q2327" s="1" t="str">
        <f>IF($D2327="","",$C2327&amp;"|"&amp;COUNTIFS($C$7:$C2327,$C2327))</f>
        <v/>
      </c>
      <c r="R2327" s="1" t="str">
        <f t="shared" si="183"/>
        <v/>
      </c>
      <c r="S2327" s="1" t="str">
        <f t="shared" si="184"/>
        <v/>
      </c>
      <c r="T2327" s="1">
        <f>IF($E2327="",0,SUMPRODUCT((AY_SONU!$O$7:$O$42="Evet")*(AY_SONU!$B$7:$B$42=DATE(YEAR($E2327),MONTH($E2327),1))))</f>
        <v>0</v>
      </c>
    </row>
    <row r="2328" spans="1:20" ht="18" customHeight="1" x14ac:dyDescent="0.3">
      <c r="A2328" s="2"/>
      <c r="B2328" s="65" t="str">
        <f t="shared" si="180"/>
        <v/>
      </c>
      <c r="C2328" s="65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66"/>
      <c r="F2328" s="67"/>
      <c r="G2328" s="60"/>
      <c r="H2328" s="60"/>
      <c r="I2328" s="61"/>
      <c r="J2328" s="61"/>
      <c r="K2328" s="61"/>
      <c r="L2328" s="73" t="str">
        <f t="shared" si="181"/>
        <v/>
      </c>
      <c r="M2328" s="65" t="str">
        <f t="shared" ca="1" si="182"/>
        <v/>
      </c>
      <c r="N2328" s="74" t="str">
        <f>IF($C2328="","",IF($C2328="TANIMSIZ MÜŞTERİ","—",INDEX(MUSTERILER!$C$7:$C$156,MATCH($C2328,MUSTERILER!$B$7:$B$156,0))))</f>
        <v/>
      </c>
      <c r="O2328" s="2"/>
      <c r="P2328" s="2"/>
      <c r="Q2328" s="1" t="str">
        <f>IF($D2328="","",$C2328&amp;"|"&amp;COUNTIFS($C$7:$C2328,$C2328))</f>
        <v/>
      </c>
      <c r="R2328" s="1" t="str">
        <f t="shared" si="183"/>
        <v/>
      </c>
      <c r="S2328" s="1" t="str">
        <f t="shared" si="184"/>
        <v/>
      </c>
      <c r="T2328" s="1">
        <f>IF($E2328="",0,SUMPRODUCT((AY_SONU!$O$7:$O$42="Evet")*(AY_SONU!$B$7:$B$42=DATE(YEAR($E2328),MONTH($E2328),1))))</f>
        <v>0</v>
      </c>
    </row>
    <row r="2329" spans="1:20" ht="18" customHeight="1" x14ac:dyDescent="0.3">
      <c r="A2329" s="2"/>
      <c r="B2329" s="65" t="str">
        <f t="shared" si="180"/>
        <v/>
      </c>
      <c r="C2329" s="65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66"/>
      <c r="F2329" s="67"/>
      <c r="G2329" s="60"/>
      <c r="H2329" s="60"/>
      <c r="I2329" s="61"/>
      <c r="J2329" s="61"/>
      <c r="K2329" s="61"/>
      <c r="L2329" s="73" t="str">
        <f t="shared" si="181"/>
        <v/>
      </c>
      <c r="M2329" s="65" t="str">
        <f t="shared" ca="1" si="182"/>
        <v/>
      </c>
      <c r="N2329" s="74" t="str">
        <f>IF($C2329="","",IF($C2329="TANIMSIZ MÜŞTERİ","—",INDEX(MUSTERILER!$C$7:$C$156,MATCH($C2329,MUSTERILER!$B$7:$B$156,0))))</f>
        <v/>
      </c>
      <c r="O2329" s="2"/>
      <c r="P2329" s="2"/>
      <c r="Q2329" s="1" t="str">
        <f>IF($D2329="","",$C2329&amp;"|"&amp;COUNTIFS($C$7:$C2329,$C2329))</f>
        <v/>
      </c>
      <c r="R2329" s="1" t="str">
        <f t="shared" si="183"/>
        <v/>
      </c>
      <c r="S2329" s="1" t="str">
        <f t="shared" si="184"/>
        <v/>
      </c>
      <c r="T2329" s="1">
        <f>IF($E2329="",0,SUMPRODUCT((AY_SONU!$O$7:$O$42="Evet")*(AY_SONU!$B$7:$B$42=DATE(YEAR($E2329),MONTH($E2329),1))))</f>
        <v>0</v>
      </c>
    </row>
    <row r="2330" spans="1:20" ht="18" customHeight="1" x14ac:dyDescent="0.3">
      <c r="A2330" s="2"/>
      <c r="B2330" s="65" t="str">
        <f t="shared" si="180"/>
        <v/>
      </c>
      <c r="C2330" s="65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66"/>
      <c r="F2330" s="67"/>
      <c r="G2330" s="60"/>
      <c r="H2330" s="60"/>
      <c r="I2330" s="61"/>
      <c r="J2330" s="61"/>
      <c r="K2330" s="61"/>
      <c r="L2330" s="73" t="str">
        <f t="shared" si="181"/>
        <v/>
      </c>
      <c r="M2330" s="65" t="str">
        <f t="shared" ca="1" si="182"/>
        <v/>
      </c>
      <c r="N2330" s="74" t="str">
        <f>IF($C2330="","",IF($C2330="TANIMSIZ MÜŞTERİ","—",INDEX(MUSTERILER!$C$7:$C$156,MATCH($C2330,MUSTERILER!$B$7:$B$156,0))))</f>
        <v/>
      </c>
      <c r="O2330" s="2"/>
      <c r="P2330" s="2"/>
      <c r="Q2330" s="1" t="str">
        <f>IF($D2330="","",$C2330&amp;"|"&amp;COUNTIFS($C$7:$C2330,$C2330))</f>
        <v/>
      </c>
      <c r="R2330" s="1" t="str">
        <f t="shared" si="183"/>
        <v/>
      </c>
      <c r="S2330" s="1" t="str">
        <f t="shared" si="184"/>
        <v/>
      </c>
      <c r="T2330" s="1">
        <f>IF($E2330="",0,SUMPRODUCT((AY_SONU!$O$7:$O$42="Evet")*(AY_SONU!$B$7:$B$42=DATE(YEAR($E2330),MONTH($E2330),1))))</f>
        <v>0</v>
      </c>
    </row>
    <row r="2331" spans="1:20" ht="18" customHeight="1" x14ac:dyDescent="0.3">
      <c r="A2331" s="2"/>
      <c r="B2331" s="65" t="str">
        <f t="shared" si="180"/>
        <v/>
      </c>
      <c r="C2331" s="65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66"/>
      <c r="F2331" s="67"/>
      <c r="G2331" s="60"/>
      <c r="H2331" s="60"/>
      <c r="I2331" s="61"/>
      <c r="J2331" s="61"/>
      <c r="K2331" s="61"/>
      <c r="L2331" s="73" t="str">
        <f t="shared" si="181"/>
        <v/>
      </c>
      <c r="M2331" s="65" t="str">
        <f t="shared" ca="1" si="182"/>
        <v/>
      </c>
      <c r="N2331" s="74" t="str">
        <f>IF($C2331="","",IF($C2331="TANIMSIZ MÜŞTERİ","—",INDEX(MUSTERILER!$C$7:$C$156,MATCH($C2331,MUSTERILER!$B$7:$B$156,0))))</f>
        <v/>
      </c>
      <c r="O2331" s="2"/>
      <c r="P2331" s="2"/>
      <c r="Q2331" s="1" t="str">
        <f>IF($D2331="","",$C2331&amp;"|"&amp;COUNTIFS($C$7:$C2331,$C2331))</f>
        <v/>
      </c>
      <c r="R2331" s="1" t="str">
        <f t="shared" si="183"/>
        <v/>
      </c>
      <c r="S2331" s="1" t="str">
        <f t="shared" si="184"/>
        <v/>
      </c>
      <c r="T2331" s="1">
        <f>IF($E2331="",0,SUMPRODUCT((AY_SONU!$O$7:$O$42="Evet")*(AY_SONU!$B$7:$B$42=DATE(YEAR($E2331),MONTH($E2331),1))))</f>
        <v>0</v>
      </c>
    </row>
    <row r="2332" spans="1:20" ht="18" customHeight="1" x14ac:dyDescent="0.3">
      <c r="A2332" s="2"/>
      <c r="B2332" s="65" t="str">
        <f t="shared" si="180"/>
        <v/>
      </c>
      <c r="C2332" s="65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66"/>
      <c r="F2332" s="67"/>
      <c r="G2332" s="60"/>
      <c r="H2332" s="60"/>
      <c r="I2332" s="61"/>
      <c r="J2332" s="61"/>
      <c r="K2332" s="61"/>
      <c r="L2332" s="73" t="str">
        <f t="shared" si="181"/>
        <v/>
      </c>
      <c r="M2332" s="65" t="str">
        <f t="shared" ca="1" si="182"/>
        <v/>
      </c>
      <c r="N2332" s="74" t="str">
        <f>IF($C2332="","",IF($C2332="TANIMSIZ MÜŞTERİ","—",INDEX(MUSTERILER!$C$7:$C$156,MATCH($C2332,MUSTERILER!$B$7:$B$156,0))))</f>
        <v/>
      </c>
      <c r="O2332" s="2"/>
      <c r="P2332" s="2"/>
      <c r="Q2332" s="1" t="str">
        <f>IF($D2332="","",$C2332&amp;"|"&amp;COUNTIFS($C$7:$C2332,$C2332))</f>
        <v/>
      </c>
      <c r="R2332" s="1" t="str">
        <f t="shared" si="183"/>
        <v/>
      </c>
      <c r="S2332" s="1" t="str">
        <f t="shared" si="184"/>
        <v/>
      </c>
      <c r="T2332" s="1">
        <f>IF($E2332="",0,SUMPRODUCT((AY_SONU!$O$7:$O$42="Evet")*(AY_SONU!$B$7:$B$42=DATE(YEAR($E2332),MONTH($E2332),1))))</f>
        <v>0</v>
      </c>
    </row>
    <row r="2333" spans="1:20" ht="18" customHeight="1" x14ac:dyDescent="0.3">
      <c r="A2333" s="2"/>
      <c r="B2333" s="65" t="str">
        <f t="shared" si="180"/>
        <v/>
      </c>
      <c r="C2333" s="65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66"/>
      <c r="F2333" s="67"/>
      <c r="G2333" s="60"/>
      <c r="H2333" s="60"/>
      <c r="I2333" s="61"/>
      <c r="J2333" s="61"/>
      <c r="K2333" s="61"/>
      <c r="L2333" s="73" t="str">
        <f t="shared" si="181"/>
        <v/>
      </c>
      <c r="M2333" s="65" t="str">
        <f t="shared" ca="1" si="182"/>
        <v/>
      </c>
      <c r="N2333" s="74" t="str">
        <f>IF($C2333="","",IF($C2333="TANIMSIZ MÜŞTERİ","—",INDEX(MUSTERILER!$C$7:$C$156,MATCH($C2333,MUSTERILER!$B$7:$B$156,0))))</f>
        <v/>
      </c>
      <c r="O2333" s="2"/>
      <c r="P2333" s="2"/>
      <c r="Q2333" s="1" t="str">
        <f>IF($D2333="","",$C2333&amp;"|"&amp;COUNTIFS($C$7:$C2333,$C2333))</f>
        <v/>
      </c>
      <c r="R2333" s="1" t="str">
        <f t="shared" si="183"/>
        <v/>
      </c>
      <c r="S2333" s="1" t="str">
        <f t="shared" si="184"/>
        <v/>
      </c>
      <c r="T2333" s="1">
        <f>IF($E2333="",0,SUMPRODUCT((AY_SONU!$O$7:$O$42="Evet")*(AY_SONU!$B$7:$B$42=DATE(YEAR($E2333),MONTH($E2333),1))))</f>
        <v>0</v>
      </c>
    </row>
    <row r="2334" spans="1:20" ht="18" customHeight="1" x14ac:dyDescent="0.3">
      <c r="A2334" s="2"/>
      <c r="B2334" s="65" t="str">
        <f t="shared" si="180"/>
        <v/>
      </c>
      <c r="C2334" s="65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66"/>
      <c r="F2334" s="67"/>
      <c r="G2334" s="60"/>
      <c r="H2334" s="60"/>
      <c r="I2334" s="61"/>
      <c r="J2334" s="61"/>
      <c r="K2334" s="61"/>
      <c r="L2334" s="73" t="str">
        <f t="shared" si="181"/>
        <v/>
      </c>
      <c r="M2334" s="65" t="str">
        <f t="shared" ca="1" si="182"/>
        <v/>
      </c>
      <c r="N2334" s="74" t="str">
        <f>IF($C2334="","",IF($C2334="TANIMSIZ MÜŞTERİ","—",INDEX(MUSTERILER!$C$7:$C$156,MATCH($C2334,MUSTERILER!$B$7:$B$156,0))))</f>
        <v/>
      </c>
      <c r="O2334" s="2"/>
      <c r="P2334" s="2"/>
      <c r="Q2334" s="1" t="str">
        <f>IF($D2334="","",$C2334&amp;"|"&amp;COUNTIFS($C$7:$C2334,$C2334))</f>
        <v/>
      </c>
      <c r="R2334" s="1" t="str">
        <f t="shared" si="183"/>
        <v/>
      </c>
      <c r="S2334" s="1" t="str">
        <f t="shared" si="184"/>
        <v/>
      </c>
      <c r="T2334" s="1">
        <f>IF($E2334="",0,SUMPRODUCT((AY_SONU!$O$7:$O$42="Evet")*(AY_SONU!$B$7:$B$42=DATE(YEAR($E2334),MONTH($E2334),1))))</f>
        <v>0</v>
      </c>
    </row>
    <row r="2335" spans="1:20" ht="18" customHeight="1" x14ac:dyDescent="0.3">
      <c r="A2335" s="2"/>
      <c r="B2335" s="65" t="str">
        <f t="shared" si="180"/>
        <v/>
      </c>
      <c r="C2335" s="65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66"/>
      <c r="F2335" s="67"/>
      <c r="G2335" s="60"/>
      <c r="H2335" s="60"/>
      <c r="I2335" s="61"/>
      <c r="J2335" s="61"/>
      <c r="K2335" s="61"/>
      <c r="L2335" s="73" t="str">
        <f t="shared" si="181"/>
        <v/>
      </c>
      <c r="M2335" s="65" t="str">
        <f t="shared" ca="1" si="182"/>
        <v/>
      </c>
      <c r="N2335" s="74" t="str">
        <f>IF($C2335="","",IF($C2335="TANIMSIZ MÜŞTERİ","—",INDEX(MUSTERILER!$C$7:$C$156,MATCH($C2335,MUSTERILER!$B$7:$B$156,0))))</f>
        <v/>
      </c>
      <c r="O2335" s="2"/>
      <c r="P2335" s="2"/>
      <c r="Q2335" s="1" t="str">
        <f>IF($D2335="","",$C2335&amp;"|"&amp;COUNTIFS($C$7:$C2335,$C2335))</f>
        <v/>
      </c>
      <c r="R2335" s="1" t="str">
        <f t="shared" si="183"/>
        <v/>
      </c>
      <c r="S2335" s="1" t="str">
        <f t="shared" si="184"/>
        <v/>
      </c>
      <c r="T2335" s="1">
        <f>IF($E2335="",0,SUMPRODUCT((AY_SONU!$O$7:$O$42="Evet")*(AY_SONU!$B$7:$B$42=DATE(YEAR($E2335),MONTH($E2335),1))))</f>
        <v>0</v>
      </c>
    </row>
    <row r="2336" spans="1:20" ht="18" customHeight="1" x14ac:dyDescent="0.3">
      <c r="A2336" s="2"/>
      <c r="B2336" s="65" t="str">
        <f t="shared" si="180"/>
        <v/>
      </c>
      <c r="C2336" s="65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66"/>
      <c r="F2336" s="67"/>
      <c r="G2336" s="60"/>
      <c r="H2336" s="60"/>
      <c r="I2336" s="61"/>
      <c r="J2336" s="61"/>
      <c r="K2336" s="61"/>
      <c r="L2336" s="73" t="str">
        <f t="shared" si="181"/>
        <v/>
      </c>
      <c r="M2336" s="65" t="str">
        <f t="shared" ca="1" si="182"/>
        <v/>
      </c>
      <c r="N2336" s="74" t="str">
        <f>IF($C2336="","",IF($C2336="TANIMSIZ MÜŞTERİ","—",INDEX(MUSTERILER!$C$7:$C$156,MATCH($C2336,MUSTERILER!$B$7:$B$156,0))))</f>
        <v/>
      </c>
      <c r="O2336" s="2"/>
      <c r="P2336" s="2"/>
      <c r="Q2336" s="1" t="str">
        <f>IF($D2336="","",$C2336&amp;"|"&amp;COUNTIFS($C$7:$C2336,$C2336))</f>
        <v/>
      </c>
      <c r="R2336" s="1" t="str">
        <f t="shared" si="183"/>
        <v/>
      </c>
      <c r="S2336" s="1" t="str">
        <f t="shared" si="184"/>
        <v/>
      </c>
      <c r="T2336" s="1">
        <f>IF($E2336="",0,SUMPRODUCT((AY_SONU!$O$7:$O$42="Evet")*(AY_SONU!$B$7:$B$42=DATE(YEAR($E2336),MONTH($E2336),1))))</f>
        <v>0</v>
      </c>
    </row>
    <row r="2337" spans="1:20" ht="18" customHeight="1" x14ac:dyDescent="0.3">
      <c r="A2337" s="2"/>
      <c r="B2337" s="65" t="str">
        <f t="shared" si="180"/>
        <v/>
      </c>
      <c r="C2337" s="65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66"/>
      <c r="F2337" s="67"/>
      <c r="G2337" s="60"/>
      <c r="H2337" s="60"/>
      <c r="I2337" s="61"/>
      <c r="J2337" s="61"/>
      <c r="K2337" s="61"/>
      <c r="L2337" s="73" t="str">
        <f t="shared" si="181"/>
        <v/>
      </c>
      <c r="M2337" s="65" t="str">
        <f t="shared" ca="1" si="182"/>
        <v/>
      </c>
      <c r="N2337" s="74" t="str">
        <f>IF($C2337="","",IF($C2337="TANIMSIZ MÜŞTERİ","—",INDEX(MUSTERILER!$C$7:$C$156,MATCH($C2337,MUSTERILER!$B$7:$B$156,0))))</f>
        <v/>
      </c>
      <c r="O2337" s="2"/>
      <c r="P2337" s="2"/>
      <c r="Q2337" s="1" t="str">
        <f>IF($D2337="","",$C2337&amp;"|"&amp;COUNTIFS($C$7:$C2337,$C2337))</f>
        <v/>
      </c>
      <c r="R2337" s="1" t="str">
        <f t="shared" si="183"/>
        <v/>
      </c>
      <c r="S2337" s="1" t="str">
        <f t="shared" si="184"/>
        <v/>
      </c>
      <c r="T2337" s="1">
        <f>IF($E2337="",0,SUMPRODUCT((AY_SONU!$O$7:$O$42="Evet")*(AY_SONU!$B$7:$B$42=DATE(YEAR($E2337),MONTH($E2337),1))))</f>
        <v>0</v>
      </c>
    </row>
    <row r="2338" spans="1:20" ht="18" customHeight="1" x14ac:dyDescent="0.3">
      <c r="A2338" s="2"/>
      <c r="B2338" s="65" t="str">
        <f t="shared" si="180"/>
        <v/>
      </c>
      <c r="C2338" s="65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66"/>
      <c r="F2338" s="67"/>
      <c r="G2338" s="60"/>
      <c r="H2338" s="60"/>
      <c r="I2338" s="61"/>
      <c r="J2338" s="61"/>
      <c r="K2338" s="61"/>
      <c r="L2338" s="73" t="str">
        <f t="shared" si="181"/>
        <v/>
      </c>
      <c r="M2338" s="65" t="str">
        <f t="shared" ca="1" si="182"/>
        <v/>
      </c>
      <c r="N2338" s="74" t="str">
        <f>IF($C2338="","",IF($C2338="TANIMSIZ MÜŞTERİ","—",INDEX(MUSTERILER!$C$7:$C$156,MATCH($C2338,MUSTERILER!$B$7:$B$156,0))))</f>
        <v/>
      </c>
      <c r="O2338" s="2"/>
      <c r="P2338" s="2"/>
      <c r="Q2338" s="1" t="str">
        <f>IF($D2338="","",$C2338&amp;"|"&amp;COUNTIFS($C$7:$C2338,$C2338))</f>
        <v/>
      </c>
      <c r="R2338" s="1" t="str">
        <f t="shared" si="183"/>
        <v/>
      </c>
      <c r="S2338" s="1" t="str">
        <f t="shared" si="184"/>
        <v/>
      </c>
      <c r="T2338" s="1">
        <f>IF($E2338="",0,SUMPRODUCT((AY_SONU!$O$7:$O$42="Evet")*(AY_SONU!$B$7:$B$42=DATE(YEAR($E2338),MONTH($E2338),1))))</f>
        <v>0</v>
      </c>
    </row>
    <row r="2339" spans="1:20" ht="18" customHeight="1" x14ac:dyDescent="0.3">
      <c r="A2339" s="2"/>
      <c r="B2339" s="65" t="str">
        <f t="shared" si="180"/>
        <v/>
      </c>
      <c r="C2339" s="65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66"/>
      <c r="F2339" s="67"/>
      <c r="G2339" s="60"/>
      <c r="H2339" s="60"/>
      <c r="I2339" s="61"/>
      <c r="J2339" s="61"/>
      <c r="K2339" s="61"/>
      <c r="L2339" s="73" t="str">
        <f t="shared" si="181"/>
        <v/>
      </c>
      <c r="M2339" s="65" t="str">
        <f t="shared" ca="1" si="182"/>
        <v/>
      </c>
      <c r="N2339" s="74" t="str">
        <f>IF($C2339="","",IF($C2339="TANIMSIZ MÜŞTERİ","—",INDEX(MUSTERILER!$C$7:$C$156,MATCH($C2339,MUSTERILER!$B$7:$B$156,0))))</f>
        <v/>
      </c>
      <c r="O2339" s="2"/>
      <c r="P2339" s="2"/>
      <c r="Q2339" s="1" t="str">
        <f>IF($D2339="","",$C2339&amp;"|"&amp;COUNTIFS($C$7:$C2339,$C2339))</f>
        <v/>
      </c>
      <c r="R2339" s="1" t="str">
        <f t="shared" si="183"/>
        <v/>
      </c>
      <c r="S2339" s="1" t="str">
        <f t="shared" si="184"/>
        <v/>
      </c>
      <c r="T2339" s="1">
        <f>IF($E2339="",0,SUMPRODUCT((AY_SONU!$O$7:$O$42="Evet")*(AY_SONU!$B$7:$B$42=DATE(YEAR($E2339),MONTH($E2339),1))))</f>
        <v>0</v>
      </c>
    </row>
    <row r="2340" spans="1:20" ht="18" customHeight="1" x14ac:dyDescent="0.3">
      <c r="A2340" s="2"/>
      <c r="B2340" s="65" t="str">
        <f t="shared" si="180"/>
        <v/>
      </c>
      <c r="C2340" s="65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66"/>
      <c r="F2340" s="67"/>
      <c r="G2340" s="60"/>
      <c r="H2340" s="60"/>
      <c r="I2340" s="61"/>
      <c r="J2340" s="61"/>
      <c r="K2340" s="61"/>
      <c r="L2340" s="73" t="str">
        <f t="shared" si="181"/>
        <v/>
      </c>
      <c r="M2340" s="65" t="str">
        <f t="shared" ca="1" si="182"/>
        <v/>
      </c>
      <c r="N2340" s="74" t="str">
        <f>IF($C2340="","",IF($C2340="TANIMSIZ MÜŞTERİ","—",INDEX(MUSTERILER!$C$7:$C$156,MATCH($C2340,MUSTERILER!$B$7:$B$156,0))))</f>
        <v/>
      </c>
      <c r="O2340" s="2"/>
      <c r="P2340" s="2"/>
      <c r="Q2340" s="1" t="str">
        <f>IF($D2340="","",$C2340&amp;"|"&amp;COUNTIFS($C$7:$C2340,$C2340))</f>
        <v/>
      </c>
      <c r="R2340" s="1" t="str">
        <f t="shared" si="183"/>
        <v/>
      </c>
      <c r="S2340" s="1" t="str">
        <f t="shared" si="184"/>
        <v/>
      </c>
      <c r="T2340" s="1">
        <f>IF($E2340="",0,SUMPRODUCT((AY_SONU!$O$7:$O$42="Evet")*(AY_SONU!$B$7:$B$42=DATE(YEAR($E2340),MONTH($E2340),1))))</f>
        <v>0</v>
      </c>
    </row>
    <row r="2341" spans="1:20" ht="18" customHeight="1" x14ac:dyDescent="0.3">
      <c r="A2341" s="2"/>
      <c r="B2341" s="65" t="str">
        <f t="shared" si="180"/>
        <v/>
      </c>
      <c r="C2341" s="65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66"/>
      <c r="F2341" s="67"/>
      <c r="G2341" s="60"/>
      <c r="H2341" s="60"/>
      <c r="I2341" s="61"/>
      <c r="J2341" s="61"/>
      <c r="K2341" s="61"/>
      <c r="L2341" s="73" t="str">
        <f t="shared" si="181"/>
        <v/>
      </c>
      <c r="M2341" s="65" t="str">
        <f t="shared" ca="1" si="182"/>
        <v/>
      </c>
      <c r="N2341" s="74" t="str">
        <f>IF($C2341="","",IF($C2341="TANIMSIZ MÜŞTERİ","—",INDEX(MUSTERILER!$C$7:$C$156,MATCH($C2341,MUSTERILER!$B$7:$B$156,0))))</f>
        <v/>
      </c>
      <c r="O2341" s="2"/>
      <c r="P2341" s="2"/>
      <c r="Q2341" s="1" t="str">
        <f>IF($D2341="","",$C2341&amp;"|"&amp;COUNTIFS($C$7:$C2341,$C2341))</f>
        <v/>
      </c>
      <c r="R2341" s="1" t="str">
        <f t="shared" si="183"/>
        <v/>
      </c>
      <c r="S2341" s="1" t="str">
        <f t="shared" si="184"/>
        <v/>
      </c>
      <c r="T2341" s="1">
        <f>IF($E2341="",0,SUMPRODUCT((AY_SONU!$O$7:$O$42="Evet")*(AY_SONU!$B$7:$B$42=DATE(YEAR($E2341),MONTH($E2341),1))))</f>
        <v>0</v>
      </c>
    </row>
    <row r="2342" spans="1:20" ht="18" customHeight="1" x14ac:dyDescent="0.3">
      <c r="A2342" s="2"/>
      <c r="B2342" s="65" t="str">
        <f t="shared" si="180"/>
        <v/>
      </c>
      <c r="C2342" s="65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66"/>
      <c r="F2342" s="67"/>
      <c r="G2342" s="60"/>
      <c r="H2342" s="60"/>
      <c r="I2342" s="61"/>
      <c r="J2342" s="61"/>
      <c r="K2342" s="61"/>
      <c r="L2342" s="73" t="str">
        <f t="shared" si="181"/>
        <v/>
      </c>
      <c r="M2342" s="65" t="str">
        <f t="shared" ca="1" si="182"/>
        <v/>
      </c>
      <c r="N2342" s="74" t="str">
        <f>IF($C2342="","",IF($C2342="TANIMSIZ MÜŞTERİ","—",INDEX(MUSTERILER!$C$7:$C$156,MATCH($C2342,MUSTERILER!$B$7:$B$156,0))))</f>
        <v/>
      </c>
      <c r="O2342" s="2"/>
      <c r="P2342" s="2"/>
      <c r="Q2342" s="1" t="str">
        <f>IF($D2342="","",$C2342&amp;"|"&amp;COUNTIFS($C$7:$C2342,$C2342))</f>
        <v/>
      </c>
      <c r="R2342" s="1" t="str">
        <f t="shared" si="183"/>
        <v/>
      </c>
      <c r="S2342" s="1" t="str">
        <f t="shared" si="184"/>
        <v/>
      </c>
      <c r="T2342" s="1">
        <f>IF($E2342="",0,SUMPRODUCT((AY_SONU!$O$7:$O$42="Evet")*(AY_SONU!$B$7:$B$42=DATE(YEAR($E2342),MONTH($E2342),1))))</f>
        <v>0</v>
      </c>
    </row>
    <row r="2343" spans="1:20" ht="18" customHeight="1" x14ac:dyDescent="0.3">
      <c r="A2343" s="2"/>
      <c r="B2343" s="65" t="str">
        <f t="shared" si="180"/>
        <v/>
      </c>
      <c r="C2343" s="65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66"/>
      <c r="F2343" s="67"/>
      <c r="G2343" s="60"/>
      <c r="H2343" s="60"/>
      <c r="I2343" s="61"/>
      <c r="J2343" s="61"/>
      <c r="K2343" s="61"/>
      <c r="L2343" s="73" t="str">
        <f t="shared" si="181"/>
        <v/>
      </c>
      <c r="M2343" s="65" t="str">
        <f t="shared" ca="1" si="182"/>
        <v/>
      </c>
      <c r="N2343" s="74" t="str">
        <f>IF($C2343="","",IF($C2343="TANIMSIZ MÜŞTERİ","—",INDEX(MUSTERILER!$C$7:$C$156,MATCH($C2343,MUSTERILER!$B$7:$B$156,0))))</f>
        <v/>
      </c>
      <c r="O2343" s="2"/>
      <c r="P2343" s="2"/>
      <c r="Q2343" s="1" t="str">
        <f>IF($D2343="","",$C2343&amp;"|"&amp;COUNTIFS($C$7:$C2343,$C2343))</f>
        <v/>
      </c>
      <c r="R2343" s="1" t="str">
        <f t="shared" si="183"/>
        <v/>
      </c>
      <c r="S2343" s="1" t="str">
        <f t="shared" si="184"/>
        <v/>
      </c>
      <c r="T2343" s="1">
        <f>IF($E2343="",0,SUMPRODUCT((AY_SONU!$O$7:$O$42="Evet")*(AY_SONU!$B$7:$B$42=DATE(YEAR($E2343),MONTH($E2343),1))))</f>
        <v>0</v>
      </c>
    </row>
    <row r="2344" spans="1:20" ht="18" customHeight="1" x14ac:dyDescent="0.3">
      <c r="A2344" s="2"/>
      <c r="B2344" s="65" t="str">
        <f t="shared" si="180"/>
        <v/>
      </c>
      <c r="C2344" s="65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66"/>
      <c r="F2344" s="67"/>
      <c r="G2344" s="60"/>
      <c r="H2344" s="60"/>
      <c r="I2344" s="61"/>
      <c r="J2344" s="61"/>
      <c r="K2344" s="61"/>
      <c r="L2344" s="73" t="str">
        <f t="shared" si="181"/>
        <v/>
      </c>
      <c r="M2344" s="65" t="str">
        <f t="shared" ca="1" si="182"/>
        <v/>
      </c>
      <c r="N2344" s="74" t="str">
        <f>IF($C2344="","",IF($C2344="TANIMSIZ MÜŞTERİ","—",INDEX(MUSTERILER!$C$7:$C$156,MATCH($C2344,MUSTERILER!$B$7:$B$156,0))))</f>
        <v/>
      </c>
      <c r="O2344" s="2"/>
      <c r="P2344" s="2"/>
      <c r="Q2344" s="1" t="str">
        <f>IF($D2344="","",$C2344&amp;"|"&amp;COUNTIFS($C$7:$C2344,$C2344))</f>
        <v/>
      </c>
      <c r="R2344" s="1" t="str">
        <f t="shared" si="183"/>
        <v/>
      </c>
      <c r="S2344" s="1" t="str">
        <f t="shared" si="184"/>
        <v/>
      </c>
      <c r="T2344" s="1">
        <f>IF($E2344="",0,SUMPRODUCT((AY_SONU!$O$7:$O$42="Evet")*(AY_SONU!$B$7:$B$42=DATE(YEAR($E2344),MONTH($E2344),1))))</f>
        <v>0</v>
      </c>
    </row>
    <row r="2345" spans="1:20" ht="18" customHeight="1" x14ac:dyDescent="0.3">
      <c r="A2345" s="2"/>
      <c r="B2345" s="65" t="str">
        <f t="shared" si="180"/>
        <v/>
      </c>
      <c r="C2345" s="65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66"/>
      <c r="F2345" s="67"/>
      <c r="G2345" s="60"/>
      <c r="H2345" s="60"/>
      <c r="I2345" s="61"/>
      <c r="J2345" s="61"/>
      <c r="K2345" s="61"/>
      <c r="L2345" s="73" t="str">
        <f t="shared" si="181"/>
        <v/>
      </c>
      <c r="M2345" s="65" t="str">
        <f t="shared" ca="1" si="182"/>
        <v/>
      </c>
      <c r="N2345" s="74" t="str">
        <f>IF($C2345="","",IF($C2345="TANIMSIZ MÜŞTERİ","—",INDEX(MUSTERILER!$C$7:$C$156,MATCH($C2345,MUSTERILER!$B$7:$B$156,0))))</f>
        <v/>
      </c>
      <c r="O2345" s="2"/>
      <c r="P2345" s="2"/>
      <c r="Q2345" s="1" t="str">
        <f>IF($D2345="","",$C2345&amp;"|"&amp;COUNTIFS($C$7:$C2345,$C2345))</f>
        <v/>
      </c>
      <c r="R2345" s="1" t="str">
        <f t="shared" si="183"/>
        <v/>
      </c>
      <c r="S2345" s="1" t="str">
        <f t="shared" si="184"/>
        <v/>
      </c>
      <c r="T2345" s="1">
        <f>IF($E2345="",0,SUMPRODUCT((AY_SONU!$O$7:$O$42="Evet")*(AY_SONU!$B$7:$B$42=DATE(YEAR($E2345),MONTH($E2345),1))))</f>
        <v>0</v>
      </c>
    </row>
    <row r="2346" spans="1:20" ht="18" customHeight="1" x14ac:dyDescent="0.3">
      <c r="A2346" s="2"/>
      <c r="B2346" s="65" t="str">
        <f t="shared" si="180"/>
        <v/>
      </c>
      <c r="C2346" s="65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66"/>
      <c r="F2346" s="67"/>
      <c r="G2346" s="60"/>
      <c r="H2346" s="60"/>
      <c r="I2346" s="61"/>
      <c r="J2346" s="61"/>
      <c r="K2346" s="61"/>
      <c r="L2346" s="73" t="str">
        <f t="shared" si="181"/>
        <v/>
      </c>
      <c r="M2346" s="65" t="str">
        <f t="shared" ca="1" si="182"/>
        <v/>
      </c>
      <c r="N2346" s="74" t="str">
        <f>IF($C2346="","",IF($C2346="TANIMSIZ MÜŞTERİ","—",INDEX(MUSTERILER!$C$7:$C$156,MATCH($C2346,MUSTERILER!$B$7:$B$156,0))))</f>
        <v/>
      </c>
      <c r="O2346" s="2"/>
      <c r="P2346" s="2"/>
      <c r="Q2346" s="1" t="str">
        <f>IF($D2346="","",$C2346&amp;"|"&amp;COUNTIFS($C$7:$C2346,$C2346))</f>
        <v/>
      </c>
      <c r="R2346" s="1" t="str">
        <f t="shared" si="183"/>
        <v/>
      </c>
      <c r="S2346" s="1" t="str">
        <f t="shared" si="184"/>
        <v/>
      </c>
      <c r="T2346" s="1">
        <f>IF($E2346="",0,SUMPRODUCT((AY_SONU!$O$7:$O$42="Evet")*(AY_SONU!$B$7:$B$42=DATE(YEAR($E2346),MONTH($E2346),1))))</f>
        <v>0</v>
      </c>
    </row>
    <row r="2347" spans="1:20" ht="18" customHeight="1" x14ac:dyDescent="0.3">
      <c r="A2347" s="2"/>
      <c r="B2347" s="65" t="str">
        <f t="shared" si="180"/>
        <v/>
      </c>
      <c r="C2347" s="65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66"/>
      <c r="F2347" s="67"/>
      <c r="G2347" s="60"/>
      <c r="H2347" s="60"/>
      <c r="I2347" s="61"/>
      <c r="J2347" s="61"/>
      <c r="K2347" s="61"/>
      <c r="L2347" s="73" t="str">
        <f t="shared" si="181"/>
        <v/>
      </c>
      <c r="M2347" s="65" t="str">
        <f t="shared" ca="1" si="182"/>
        <v/>
      </c>
      <c r="N2347" s="74" t="str">
        <f>IF($C2347="","",IF($C2347="TANIMSIZ MÜŞTERİ","—",INDEX(MUSTERILER!$C$7:$C$156,MATCH($C2347,MUSTERILER!$B$7:$B$156,0))))</f>
        <v/>
      </c>
      <c r="O2347" s="2"/>
      <c r="P2347" s="2"/>
      <c r="Q2347" s="1" t="str">
        <f>IF($D2347="","",$C2347&amp;"|"&amp;COUNTIFS($C$7:$C2347,$C2347))</f>
        <v/>
      </c>
      <c r="R2347" s="1" t="str">
        <f t="shared" si="183"/>
        <v/>
      </c>
      <c r="S2347" s="1" t="str">
        <f t="shared" si="184"/>
        <v/>
      </c>
      <c r="T2347" s="1">
        <f>IF($E2347="",0,SUMPRODUCT((AY_SONU!$O$7:$O$42="Evet")*(AY_SONU!$B$7:$B$42=DATE(YEAR($E2347),MONTH($E2347),1))))</f>
        <v>0</v>
      </c>
    </row>
    <row r="2348" spans="1:20" ht="18" customHeight="1" x14ac:dyDescent="0.3">
      <c r="A2348" s="2"/>
      <c r="B2348" s="65" t="str">
        <f t="shared" si="180"/>
        <v/>
      </c>
      <c r="C2348" s="65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66"/>
      <c r="F2348" s="67"/>
      <c r="G2348" s="60"/>
      <c r="H2348" s="60"/>
      <c r="I2348" s="61"/>
      <c r="J2348" s="61"/>
      <c r="K2348" s="61"/>
      <c r="L2348" s="73" t="str">
        <f t="shared" si="181"/>
        <v/>
      </c>
      <c r="M2348" s="65" t="str">
        <f t="shared" ca="1" si="182"/>
        <v/>
      </c>
      <c r="N2348" s="74" t="str">
        <f>IF($C2348="","",IF($C2348="TANIMSIZ MÜŞTERİ","—",INDEX(MUSTERILER!$C$7:$C$156,MATCH($C2348,MUSTERILER!$B$7:$B$156,0))))</f>
        <v/>
      </c>
      <c r="O2348" s="2"/>
      <c r="P2348" s="2"/>
      <c r="Q2348" s="1" t="str">
        <f>IF($D2348="","",$C2348&amp;"|"&amp;COUNTIFS($C$7:$C2348,$C2348))</f>
        <v/>
      </c>
      <c r="R2348" s="1" t="str">
        <f t="shared" si="183"/>
        <v/>
      </c>
      <c r="S2348" s="1" t="str">
        <f t="shared" si="184"/>
        <v/>
      </c>
      <c r="T2348" s="1">
        <f>IF($E2348="",0,SUMPRODUCT((AY_SONU!$O$7:$O$42="Evet")*(AY_SONU!$B$7:$B$42=DATE(YEAR($E2348),MONTH($E2348),1))))</f>
        <v>0</v>
      </c>
    </row>
    <row r="2349" spans="1:20" ht="18" customHeight="1" x14ac:dyDescent="0.3">
      <c r="A2349" s="2"/>
      <c r="B2349" s="65" t="str">
        <f t="shared" si="180"/>
        <v/>
      </c>
      <c r="C2349" s="65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66"/>
      <c r="F2349" s="67"/>
      <c r="G2349" s="60"/>
      <c r="H2349" s="60"/>
      <c r="I2349" s="61"/>
      <c r="J2349" s="61"/>
      <c r="K2349" s="61"/>
      <c r="L2349" s="73" t="str">
        <f t="shared" si="181"/>
        <v/>
      </c>
      <c r="M2349" s="65" t="str">
        <f t="shared" ca="1" si="182"/>
        <v/>
      </c>
      <c r="N2349" s="74" t="str">
        <f>IF($C2349="","",IF($C2349="TANIMSIZ MÜŞTERİ","—",INDEX(MUSTERILER!$C$7:$C$156,MATCH($C2349,MUSTERILER!$B$7:$B$156,0))))</f>
        <v/>
      </c>
      <c r="O2349" s="2"/>
      <c r="P2349" s="2"/>
      <c r="Q2349" s="1" t="str">
        <f>IF($D2349="","",$C2349&amp;"|"&amp;COUNTIFS($C$7:$C2349,$C2349))</f>
        <v/>
      </c>
      <c r="R2349" s="1" t="str">
        <f t="shared" si="183"/>
        <v/>
      </c>
      <c r="S2349" s="1" t="str">
        <f t="shared" si="184"/>
        <v/>
      </c>
      <c r="T2349" s="1">
        <f>IF($E2349="",0,SUMPRODUCT((AY_SONU!$O$7:$O$42="Evet")*(AY_SONU!$B$7:$B$42=DATE(YEAR($E2349),MONTH($E2349),1))))</f>
        <v>0</v>
      </c>
    </row>
    <row r="2350" spans="1:20" ht="18" customHeight="1" x14ac:dyDescent="0.3">
      <c r="A2350" s="2"/>
      <c r="B2350" s="65" t="str">
        <f t="shared" si="180"/>
        <v/>
      </c>
      <c r="C2350" s="65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66"/>
      <c r="F2350" s="67"/>
      <c r="G2350" s="60"/>
      <c r="H2350" s="60"/>
      <c r="I2350" s="61"/>
      <c r="J2350" s="61"/>
      <c r="K2350" s="61"/>
      <c r="L2350" s="73" t="str">
        <f t="shared" si="181"/>
        <v/>
      </c>
      <c r="M2350" s="65" t="str">
        <f t="shared" ca="1" si="182"/>
        <v/>
      </c>
      <c r="N2350" s="74" t="str">
        <f>IF($C2350="","",IF($C2350="TANIMSIZ MÜŞTERİ","—",INDEX(MUSTERILER!$C$7:$C$156,MATCH($C2350,MUSTERILER!$B$7:$B$156,0))))</f>
        <v/>
      </c>
      <c r="O2350" s="2"/>
      <c r="P2350" s="2"/>
      <c r="Q2350" s="1" t="str">
        <f>IF($D2350="","",$C2350&amp;"|"&amp;COUNTIFS($C$7:$C2350,$C2350))</f>
        <v/>
      </c>
      <c r="R2350" s="1" t="str">
        <f t="shared" si="183"/>
        <v/>
      </c>
      <c r="S2350" s="1" t="str">
        <f t="shared" si="184"/>
        <v/>
      </c>
      <c r="T2350" s="1">
        <f>IF($E2350="",0,SUMPRODUCT((AY_SONU!$O$7:$O$42="Evet")*(AY_SONU!$B$7:$B$42=DATE(YEAR($E2350),MONTH($E2350),1))))</f>
        <v>0</v>
      </c>
    </row>
    <row r="2351" spans="1:20" ht="18" customHeight="1" x14ac:dyDescent="0.3">
      <c r="A2351" s="2"/>
      <c r="B2351" s="65" t="str">
        <f t="shared" si="180"/>
        <v/>
      </c>
      <c r="C2351" s="65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66"/>
      <c r="F2351" s="67"/>
      <c r="G2351" s="60"/>
      <c r="H2351" s="60"/>
      <c r="I2351" s="61"/>
      <c r="J2351" s="61"/>
      <c r="K2351" s="61"/>
      <c r="L2351" s="73" t="str">
        <f t="shared" si="181"/>
        <v/>
      </c>
      <c r="M2351" s="65" t="str">
        <f t="shared" ca="1" si="182"/>
        <v/>
      </c>
      <c r="N2351" s="74" t="str">
        <f>IF($C2351="","",IF($C2351="TANIMSIZ MÜŞTERİ","—",INDEX(MUSTERILER!$C$7:$C$156,MATCH($C2351,MUSTERILER!$B$7:$B$156,0))))</f>
        <v/>
      </c>
      <c r="O2351" s="2"/>
      <c r="P2351" s="2"/>
      <c r="Q2351" s="1" t="str">
        <f>IF($D2351="","",$C2351&amp;"|"&amp;COUNTIFS($C$7:$C2351,$C2351))</f>
        <v/>
      </c>
      <c r="R2351" s="1" t="str">
        <f t="shared" si="183"/>
        <v/>
      </c>
      <c r="S2351" s="1" t="str">
        <f t="shared" si="184"/>
        <v/>
      </c>
      <c r="T2351" s="1">
        <f>IF($E2351="",0,SUMPRODUCT((AY_SONU!$O$7:$O$42="Evet")*(AY_SONU!$B$7:$B$42=DATE(YEAR($E2351),MONTH($E2351),1))))</f>
        <v>0</v>
      </c>
    </row>
    <row r="2352" spans="1:20" ht="18" customHeight="1" x14ac:dyDescent="0.3">
      <c r="A2352" s="2"/>
      <c r="B2352" s="65" t="str">
        <f t="shared" si="180"/>
        <v/>
      </c>
      <c r="C2352" s="65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66"/>
      <c r="F2352" s="67"/>
      <c r="G2352" s="60"/>
      <c r="H2352" s="60"/>
      <c r="I2352" s="61"/>
      <c r="J2352" s="61"/>
      <c r="K2352" s="61"/>
      <c r="L2352" s="73" t="str">
        <f t="shared" si="181"/>
        <v/>
      </c>
      <c r="M2352" s="65" t="str">
        <f t="shared" ca="1" si="182"/>
        <v/>
      </c>
      <c r="N2352" s="74" t="str">
        <f>IF($C2352="","",IF($C2352="TANIMSIZ MÜŞTERİ","—",INDEX(MUSTERILER!$C$7:$C$156,MATCH($C2352,MUSTERILER!$B$7:$B$156,0))))</f>
        <v/>
      </c>
      <c r="O2352" s="2"/>
      <c r="P2352" s="2"/>
      <c r="Q2352" s="1" t="str">
        <f>IF($D2352="","",$C2352&amp;"|"&amp;COUNTIFS($C$7:$C2352,$C2352))</f>
        <v/>
      </c>
      <c r="R2352" s="1" t="str">
        <f t="shared" si="183"/>
        <v/>
      </c>
      <c r="S2352" s="1" t="str">
        <f t="shared" si="184"/>
        <v/>
      </c>
      <c r="T2352" s="1">
        <f>IF($E2352="",0,SUMPRODUCT((AY_SONU!$O$7:$O$42="Evet")*(AY_SONU!$B$7:$B$42=DATE(YEAR($E2352),MONTH($E2352),1))))</f>
        <v>0</v>
      </c>
    </row>
    <row r="2353" spans="1:20" ht="18" customHeight="1" x14ac:dyDescent="0.3">
      <c r="A2353" s="2"/>
      <c r="B2353" s="65" t="str">
        <f t="shared" si="180"/>
        <v/>
      </c>
      <c r="C2353" s="65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66"/>
      <c r="F2353" s="67"/>
      <c r="G2353" s="60"/>
      <c r="H2353" s="60"/>
      <c r="I2353" s="61"/>
      <c r="J2353" s="61"/>
      <c r="K2353" s="61"/>
      <c r="L2353" s="73" t="str">
        <f t="shared" si="181"/>
        <v/>
      </c>
      <c r="M2353" s="65" t="str">
        <f t="shared" ca="1" si="182"/>
        <v/>
      </c>
      <c r="N2353" s="74" t="str">
        <f>IF($C2353="","",IF($C2353="TANIMSIZ MÜŞTERİ","—",INDEX(MUSTERILER!$C$7:$C$156,MATCH($C2353,MUSTERILER!$B$7:$B$156,0))))</f>
        <v/>
      </c>
      <c r="O2353" s="2"/>
      <c r="P2353" s="2"/>
      <c r="Q2353" s="1" t="str">
        <f>IF($D2353="","",$C2353&amp;"|"&amp;COUNTIFS($C$7:$C2353,$C2353))</f>
        <v/>
      </c>
      <c r="R2353" s="1" t="str">
        <f t="shared" si="183"/>
        <v/>
      </c>
      <c r="S2353" s="1" t="str">
        <f t="shared" si="184"/>
        <v/>
      </c>
      <c r="T2353" s="1">
        <f>IF($E2353="",0,SUMPRODUCT((AY_SONU!$O$7:$O$42="Evet")*(AY_SONU!$B$7:$B$42=DATE(YEAR($E2353),MONTH($E2353),1))))</f>
        <v>0</v>
      </c>
    </row>
    <row r="2354" spans="1:20" ht="18" customHeight="1" x14ac:dyDescent="0.3">
      <c r="A2354" s="2"/>
      <c r="B2354" s="65" t="str">
        <f t="shared" si="180"/>
        <v/>
      </c>
      <c r="C2354" s="65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66"/>
      <c r="F2354" s="67"/>
      <c r="G2354" s="60"/>
      <c r="H2354" s="60"/>
      <c r="I2354" s="61"/>
      <c r="J2354" s="61"/>
      <c r="K2354" s="61"/>
      <c r="L2354" s="73" t="str">
        <f t="shared" si="181"/>
        <v/>
      </c>
      <c r="M2354" s="65" t="str">
        <f t="shared" ca="1" si="182"/>
        <v/>
      </c>
      <c r="N2354" s="74" t="str">
        <f>IF($C2354="","",IF($C2354="TANIMSIZ MÜŞTERİ","—",INDEX(MUSTERILER!$C$7:$C$156,MATCH($C2354,MUSTERILER!$B$7:$B$156,0))))</f>
        <v/>
      </c>
      <c r="O2354" s="2"/>
      <c r="P2354" s="2"/>
      <c r="Q2354" s="1" t="str">
        <f>IF($D2354="","",$C2354&amp;"|"&amp;COUNTIFS($C$7:$C2354,$C2354))</f>
        <v/>
      </c>
      <c r="R2354" s="1" t="str">
        <f t="shared" si="183"/>
        <v/>
      </c>
      <c r="S2354" s="1" t="str">
        <f t="shared" si="184"/>
        <v/>
      </c>
      <c r="T2354" s="1">
        <f>IF($E2354="",0,SUMPRODUCT((AY_SONU!$O$7:$O$42="Evet")*(AY_SONU!$B$7:$B$42=DATE(YEAR($E2354),MONTH($E2354),1))))</f>
        <v>0</v>
      </c>
    </row>
    <row r="2355" spans="1:20" ht="18" customHeight="1" x14ac:dyDescent="0.3">
      <c r="A2355" s="2"/>
      <c r="B2355" s="65" t="str">
        <f t="shared" si="180"/>
        <v/>
      </c>
      <c r="C2355" s="65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66"/>
      <c r="F2355" s="67"/>
      <c r="G2355" s="60"/>
      <c r="H2355" s="60"/>
      <c r="I2355" s="61"/>
      <c r="J2355" s="61"/>
      <c r="K2355" s="61"/>
      <c r="L2355" s="73" t="str">
        <f t="shared" si="181"/>
        <v/>
      </c>
      <c r="M2355" s="65" t="str">
        <f t="shared" ca="1" si="182"/>
        <v/>
      </c>
      <c r="N2355" s="74" t="str">
        <f>IF($C2355="","",IF($C2355="TANIMSIZ MÜŞTERİ","—",INDEX(MUSTERILER!$C$7:$C$156,MATCH($C2355,MUSTERILER!$B$7:$B$156,0))))</f>
        <v/>
      </c>
      <c r="O2355" s="2"/>
      <c r="P2355" s="2"/>
      <c r="Q2355" s="1" t="str">
        <f>IF($D2355="","",$C2355&amp;"|"&amp;COUNTIFS($C$7:$C2355,$C2355))</f>
        <v/>
      </c>
      <c r="R2355" s="1" t="str">
        <f t="shared" si="183"/>
        <v/>
      </c>
      <c r="S2355" s="1" t="str">
        <f t="shared" si="184"/>
        <v/>
      </c>
      <c r="T2355" s="1">
        <f>IF($E2355="",0,SUMPRODUCT((AY_SONU!$O$7:$O$42="Evet")*(AY_SONU!$B$7:$B$42=DATE(YEAR($E2355),MONTH($E2355),1))))</f>
        <v>0</v>
      </c>
    </row>
    <row r="2356" spans="1:20" ht="18" customHeight="1" x14ac:dyDescent="0.3">
      <c r="A2356" s="2"/>
      <c r="B2356" s="65" t="str">
        <f t="shared" si="180"/>
        <v/>
      </c>
      <c r="C2356" s="65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66"/>
      <c r="F2356" s="67"/>
      <c r="G2356" s="60"/>
      <c r="H2356" s="60"/>
      <c r="I2356" s="61"/>
      <c r="J2356" s="61"/>
      <c r="K2356" s="61"/>
      <c r="L2356" s="73" t="str">
        <f t="shared" si="181"/>
        <v/>
      </c>
      <c r="M2356" s="65" t="str">
        <f t="shared" ca="1" si="182"/>
        <v/>
      </c>
      <c r="N2356" s="74" t="str">
        <f>IF($C2356="","",IF($C2356="TANIMSIZ MÜŞTERİ","—",INDEX(MUSTERILER!$C$7:$C$156,MATCH($C2356,MUSTERILER!$B$7:$B$156,0))))</f>
        <v/>
      </c>
      <c r="O2356" s="2"/>
      <c r="P2356" s="2"/>
      <c r="Q2356" s="1" t="str">
        <f>IF($D2356="","",$C2356&amp;"|"&amp;COUNTIFS($C$7:$C2356,$C2356))</f>
        <v/>
      </c>
      <c r="R2356" s="1" t="str">
        <f t="shared" si="183"/>
        <v/>
      </c>
      <c r="S2356" s="1" t="str">
        <f t="shared" si="184"/>
        <v/>
      </c>
      <c r="T2356" s="1">
        <f>IF($E2356="",0,SUMPRODUCT((AY_SONU!$O$7:$O$42="Evet")*(AY_SONU!$B$7:$B$42=DATE(YEAR($E2356),MONTH($E2356),1))))</f>
        <v>0</v>
      </c>
    </row>
    <row r="2357" spans="1:20" ht="18" customHeight="1" x14ac:dyDescent="0.3">
      <c r="A2357" s="2"/>
      <c r="B2357" s="65" t="str">
        <f t="shared" si="180"/>
        <v/>
      </c>
      <c r="C2357" s="65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66"/>
      <c r="F2357" s="67"/>
      <c r="G2357" s="60"/>
      <c r="H2357" s="60"/>
      <c r="I2357" s="61"/>
      <c r="J2357" s="61"/>
      <c r="K2357" s="61"/>
      <c r="L2357" s="73" t="str">
        <f t="shared" si="181"/>
        <v/>
      </c>
      <c r="M2357" s="65" t="str">
        <f t="shared" ca="1" si="182"/>
        <v/>
      </c>
      <c r="N2357" s="74" t="str">
        <f>IF($C2357="","",IF($C2357="TANIMSIZ MÜŞTERİ","—",INDEX(MUSTERILER!$C$7:$C$156,MATCH($C2357,MUSTERILER!$B$7:$B$156,0))))</f>
        <v/>
      </c>
      <c r="O2357" s="2"/>
      <c r="P2357" s="2"/>
      <c r="Q2357" s="1" t="str">
        <f>IF($D2357="","",$C2357&amp;"|"&amp;COUNTIFS($C$7:$C2357,$C2357))</f>
        <v/>
      </c>
      <c r="R2357" s="1" t="str">
        <f t="shared" si="183"/>
        <v/>
      </c>
      <c r="S2357" s="1" t="str">
        <f t="shared" si="184"/>
        <v/>
      </c>
      <c r="T2357" s="1">
        <f>IF($E2357="",0,SUMPRODUCT((AY_SONU!$O$7:$O$42="Evet")*(AY_SONU!$B$7:$B$42=DATE(YEAR($E2357),MONTH($E2357),1))))</f>
        <v>0</v>
      </c>
    </row>
    <row r="2358" spans="1:20" ht="18" customHeight="1" x14ac:dyDescent="0.3">
      <c r="A2358" s="2"/>
      <c r="B2358" s="65" t="str">
        <f t="shared" si="180"/>
        <v/>
      </c>
      <c r="C2358" s="65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66"/>
      <c r="F2358" s="67"/>
      <c r="G2358" s="60"/>
      <c r="H2358" s="60"/>
      <c r="I2358" s="61"/>
      <c r="J2358" s="61"/>
      <c r="K2358" s="61"/>
      <c r="L2358" s="73" t="str">
        <f t="shared" si="181"/>
        <v/>
      </c>
      <c r="M2358" s="65" t="str">
        <f t="shared" ca="1" si="182"/>
        <v/>
      </c>
      <c r="N2358" s="74" t="str">
        <f>IF($C2358="","",IF($C2358="TANIMSIZ MÜŞTERİ","—",INDEX(MUSTERILER!$C$7:$C$156,MATCH($C2358,MUSTERILER!$B$7:$B$156,0))))</f>
        <v/>
      </c>
      <c r="O2358" s="2"/>
      <c r="P2358" s="2"/>
      <c r="Q2358" s="1" t="str">
        <f>IF($D2358="","",$C2358&amp;"|"&amp;COUNTIFS($C$7:$C2358,$C2358))</f>
        <v/>
      </c>
      <c r="R2358" s="1" t="str">
        <f t="shared" si="183"/>
        <v/>
      </c>
      <c r="S2358" s="1" t="str">
        <f t="shared" si="184"/>
        <v/>
      </c>
      <c r="T2358" s="1">
        <f>IF($E2358="",0,SUMPRODUCT((AY_SONU!$O$7:$O$42="Evet")*(AY_SONU!$B$7:$B$42=DATE(YEAR($E2358),MONTH($E2358),1))))</f>
        <v>0</v>
      </c>
    </row>
    <row r="2359" spans="1:20" ht="18" customHeight="1" x14ac:dyDescent="0.3">
      <c r="A2359" s="2"/>
      <c r="B2359" s="65" t="str">
        <f t="shared" si="180"/>
        <v/>
      </c>
      <c r="C2359" s="65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66"/>
      <c r="F2359" s="67"/>
      <c r="G2359" s="60"/>
      <c r="H2359" s="60"/>
      <c r="I2359" s="61"/>
      <c r="J2359" s="61"/>
      <c r="K2359" s="61"/>
      <c r="L2359" s="73" t="str">
        <f t="shared" si="181"/>
        <v/>
      </c>
      <c r="M2359" s="65" t="str">
        <f t="shared" ca="1" si="182"/>
        <v/>
      </c>
      <c r="N2359" s="74" t="str">
        <f>IF($C2359="","",IF($C2359="TANIMSIZ MÜŞTERİ","—",INDEX(MUSTERILER!$C$7:$C$156,MATCH($C2359,MUSTERILER!$B$7:$B$156,0))))</f>
        <v/>
      </c>
      <c r="O2359" s="2"/>
      <c r="P2359" s="2"/>
      <c r="Q2359" s="1" t="str">
        <f>IF($D2359="","",$C2359&amp;"|"&amp;COUNTIFS($C$7:$C2359,$C2359))</f>
        <v/>
      </c>
      <c r="R2359" s="1" t="str">
        <f t="shared" si="183"/>
        <v/>
      </c>
      <c r="S2359" s="1" t="str">
        <f t="shared" si="184"/>
        <v/>
      </c>
      <c r="T2359" s="1">
        <f>IF($E2359="",0,SUMPRODUCT((AY_SONU!$O$7:$O$42="Evet")*(AY_SONU!$B$7:$B$42=DATE(YEAR($E2359),MONTH($E2359),1))))</f>
        <v>0</v>
      </c>
    </row>
    <row r="2360" spans="1:20" ht="18" customHeight="1" x14ac:dyDescent="0.3">
      <c r="A2360" s="2"/>
      <c r="B2360" s="65" t="str">
        <f t="shared" si="180"/>
        <v/>
      </c>
      <c r="C2360" s="65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66"/>
      <c r="F2360" s="67"/>
      <c r="G2360" s="60"/>
      <c r="H2360" s="60"/>
      <c r="I2360" s="61"/>
      <c r="J2360" s="61"/>
      <c r="K2360" s="61"/>
      <c r="L2360" s="73" t="str">
        <f t="shared" si="181"/>
        <v/>
      </c>
      <c r="M2360" s="65" t="str">
        <f t="shared" ca="1" si="182"/>
        <v/>
      </c>
      <c r="N2360" s="74" t="str">
        <f>IF($C2360="","",IF($C2360="TANIMSIZ MÜŞTERİ","—",INDEX(MUSTERILER!$C$7:$C$156,MATCH($C2360,MUSTERILER!$B$7:$B$156,0))))</f>
        <v/>
      </c>
      <c r="O2360" s="2"/>
      <c r="P2360" s="2"/>
      <c r="Q2360" s="1" t="str">
        <f>IF($D2360="","",$C2360&amp;"|"&amp;COUNTIFS($C$7:$C2360,$C2360))</f>
        <v/>
      </c>
      <c r="R2360" s="1" t="str">
        <f t="shared" si="183"/>
        <v/>
      </c>
      <c r="S2360" s="1" t="str">
        <f t="shared" si="184"/>
        <v/>
      </c>
      <c r="T2360" s="1">
        <f>IF($E2360="",0,SUMPRODUCT((AY_SONU!$O$7:$O$42="Evet")*(AY_SONU!$B$7:$B$42=DATE(YEAR($E2360),MONTH($E2360),1))))</f>
        <v>0</v>
      </c>
    </row>
    <row r="2361" spans="1:20" ht="18" customHeight="1" x14ac:dyDescent="0.3">
      <c r="A2361" s="2"/>
      <c r="B2361" s="65" t="str">
        <f t="shared" si="180"/>
        <v/>
      </c>
      <c r="C2361" s="65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66"/>
      <c r="F2361" s="67"/>
      <c r="G2361" s="60"/>
      <c r="H2361" s="60"/>
      <c r="I2361" s="61"/>
      <c r="J2361" s="61"/>
      <c r="K2361" s="61"/>
      <c r="L2361" s="73" t="str">
        <f t="shared" si="181"/>
        <v/>
      </c>
      <c r="M2361" s="65" t="str">
        <f t="shared" ca="1" si="182"/>
        <v/>
      </c>
      <c r="N2361" s="74" t="str">
        <f>IF($C2361="","",IF($C2361="TANIMSIZ MÜŞTERİ","—",INDEX(MUSTERILER!$C$7:$C$156,MATCH($C2361,MUSTERILER!$B$7:$B$156,0))))</f>
        <v/>
      </c>
      <c r="O2361" s="2"/>
      <c r="P2361" s="2"/>
      <c r="Q2361" s="1" t="str">
        <f>IF($D2361="","",$C2361&amp;"|"&amp;COUNTIFS($C$7:$C2361,$C2361))</f>
        <v/>
      </c>
      <c r="R2361" s="1" t="str">
        <f t="shared" si="183"/>
        <v/>
      </c>
      <c r="S2361" s="1" t="str">
        <f t="shared" si="184"/>
        <v/>
      </c>
      <c r="T2361" s="1">
        <f>IF($E2361="",0,SUMPRODUCT((AY_SONU!$O$7:$O$42="Evet")*(AY_SONU!$B$7:$B$42=DATE(YEAR($E2361),MONTH($E2361),1))))</f>
        <v>0</v>
      </c>
    </row>
    <row r="2362" spans="1:20" ht="18" customHeight="1" x14ac:dyDescent="0.3">
      <c r="A2362" s="2"/>
      <c r="B2362" s="65" t="str">
        <f t="shared" si="180"/>
        <v/>
      </c>
      <c r="C2362" s="65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66"/>
      <c r="F2362" s="67"/>
      <c r="G2362" s="60"/>
      <c r="H2362" s="60"/>
      <c r="I2362" s="61"/>
      <c r="J2362" s="61"/>
      <c r="K2362" s="61"/>
      <c r="L2362" s="73" t="str">
        <f t="shared" si="181"/>
        <v/>
      </c>
      <c r="M2362" s="65" t="str">
        <f t="shared" ca="1" si="182"/>
        <v/>
      </c>
      <c r="N2362" s="74" t="str">
        <f>IF($C2362="","",IF($C2362="TANIMSIZ MÜŞTERİ","—",INDEX(MUSTERILER!$C$7:$C$156,MATCH($C2362,MUSTERILER!$B$7:$B$156,0))))</f>
        <v/>
      </c>
      <c r="O2362" s="2"/>
      <c r="P2362" s="2"/>
      <c r="Q2362" s="1" t="str">
        <f>IF($D2362="","",$C2362&amp;"|"&amp;COUNTIFS($C$7:$C2362,$C2362))</f>
        <v/>
      </c>
      <c r="R2362" s="1" t="str">
        <f t="shared" si="183"/>
        <v/>
      </c>
      <c r="S2362" s="1" t="str">
        <f t="shared" si="184"/>
        <v/>
      </c>
      <c r="T2362" s="1">
        <f>IF($E2362="",0,SUMPRODUCT((AY_SONU!$O$7:$O$42="Evet")*(AY_SONU!$B$7:$B$42=DATE(YEAR($E2362),MONTH($E2362),1))))</f>
        <v>0</v>
      </c>
    </row>
    <row r="2363" spans="1:20" ht="18" customHeight="1" x14ac:dyDescent="0.3">
      <c r="A2363" s="2"/>
      <c r="B2363" s="65" t="str">
        <f t="shared" si="180"/>
        <v/>
      </c>
      <c r="C2363" s="65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66"/>
      <c r="F2363" s="67"/>
      <c r="G2363" s="60"/>
      <c r="H2363" s="60"/>
      <c r="I2363" s="61"/>
      <c r="J2363" s="61"/>
      <c r="K2363" s="61"/>
      <c r="L2363" s="73" t="str">
        <f t="shared" si="181"/>
        <v/>
      </c>
      <c r="M2363" s="65" t="str">
        <f t="shared" ca="1" si="182"/>
        <v/>
      </c>
      <c r="N2363" s="74" t="str">
        <f>IF($C2363="","",IF($C2363="TANIMSIZ MÜŞTERİ","—",INDEX(MUSTERILER!$C$7:$C$156,MATCH($C2363,MUSTERILER!$B$7:$B$156,0))))</f>
        <v/>
      </c>
      <c r="O2363" s="2"/>
      <c r="P2363" s="2"/>
      <c r="Q2363" s="1" t="str">
        <f>IF($D2363="","",$C2363&amp;"|"&amp;COUNTIFS($C$7:$C2363,$C2363))</f>
        <v/>
      </c>
      <c r="R2363" s="1" t="str">
        <f t="shared" si="183"/>
        <v/>
      </c>
      <c r="S2363" s="1" t="str">
        <f t="shared" si="184"/>
        <v/>
      </c>
      <c r="T2363" s="1">
        <f>IF($E2363="",0,SUMPRODUCT((AY_SONU!$O$7:$O$42="Evet")*(AY_SONU!$B$7:$B$42=DATE(YEAR($E2363),MONTH($E2363),1))))</f>
        <v>0</v>
      </c>
    </row>
    <row r="2364" spans="1:20" ht="18" customHeight="1" x14ac:dyDescent="0.3">
      <c r="A2364" s="2"/>
      <c r="B2364" s="65" t="str">
        <f t="shared" si="180"/>
        <v/>
      </c>
      <c r="C2364" s="65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66"/>
      <c r="F2364" s="67"/>
      <c r="G2364" s="60"/>
      <c r="H2364" s="60"/>
      <c r="I2364" s="61"/>
      <c r="J2364" s="61"/>
      <c r="K2364" s="61"/>
      <c r="L2364" s="73" t="str">
        <f t="shared" si="181"/>
        <v/>
      </c>
      <c r="M2364" s="65" t="str">
        <f t="shared" ca="1" si="182"/>
        <v/>
      </c>
      <c r="N2364" s="74" t="str">
        <f>IF($C2364="","",IF($C2364="TANIMSIZ MÜŞTERİ","—",INDEX(MUSTERILER!$C$7:$C$156,MATCH($C2364,MUSTERILER!$B$7:$B$156,0))))</f>
        <v/>
      </c>
      <c r="O2364" s="2"/>
      <c r="P2364" s="2"/>
      <c r="Q2364" s="1" t="str">
        <f>IF($D2364="","",$C2364&amp;"|"&amp;COUNTIFS($C$7:$C2364,$C2364))</f>
        <v/>
      </c>
      <c r="R2364" s="1" t="str">
        <f t="shared" si="183"/>
        <v/>
      </c>
      <c r="S2364" s="1" t="str">
        <f t="shared" si="184"/>
        <v/>
      </c>
      <c r="T2364" s="1">
        <f>IF($E2364="",0,SUMPRODUCT((AY_SONU!$O$7:$O$42="Evet")*(AY_SONU!$B$7:$B$42=DATE(YEAR($E2364),MONTH($E2364),1))))</f>
        <v>0</v>
      </c>
    </row>
    <row r="2365" spans="1:20" ht="18" customHeight="1" x14ac:dyDescent="0.3">
      <c r="A2365" s="2"/>
      <c r="B2365" s="65" t="str">
        <f t="shared" si="180"/>
        <v/>
      </c>
      <c r="C2365" s="65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66"/>
      <c r="F2365" s="67"/>
      <c r="G2365" s="60"/>
      <c r="H2365" s="60"/>
      <c r="I2365" s="61"/>
      <c r="J2365" s="61"/>
      <c r="K2365" s="61"/>
      <c r="L2365" s="73" t="str">
        <f t="shared" si="181"/>
        <v/>
      </c>
      <c r="M2365" s="65" t="str">
        <f t="shared" ca="1" si="182"/>
        <v/>
      </c>
      <c r="N2365" s="74" t="str">
        <f>IF($C2365="","",IF($C2365="TANIMSIZ MÜŞTERİ","—",INDEX(MUSTERILER!$C$7:$C$156,MATCH($C2365,MUSTERILER!$B$7:$B$156,0))))</f>
        <v/>
      </c>
      <c r="O2365" s="2"/>
      <c r="P2365" s="2"/>
      <c r="Q2365" s="1" t="str">
        <f>IF($D2365="","",$C2365&amp;"|"&amp;COUNTIFS($C$7:$C2365,$C2365))</f>
        <v/>
      </c>
      <c r="R2365" s="1" t="str">
        <f t="shared" si="183"/>
        <v/>
      </c>
      <c r="S2365" s="1" t="str">
        <f t="shared" si="184"/>
        <v/>
      </c>
      <c r="T2365" s="1">
        <f>IF($E2365="",0,SUMPRODUCT((AY_SONU!$O$7:$O$42="Evet")*(AY_SONU!$B$7:$B$42=DATE(YEAR($E2365),MONTH($E2365),1))))</f>
        <v>0</v>
      </c>
    </row>
    <row r="2366" spans="1:20" ht="18" customHeight="1" x14ac:dyDescent="0.3">
      <c r="A2366" s="2"/>
      <c r="B2366" s="65" t="str">
        <f t="shared" si="180"/>
        <v/>
      </c>
      <c r="C2366" s="65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66"/>
      <c r="F2366" s="67"/>
      <c r="G2366" s="60"/>
      <c r="H2366" s="60"/>
      <c r="I2366" s="61"/>
      <c r="J2366" s="61"/>
      <c r="K2366" s="61"/>
      <c r="L2366" s="73" t="str">
        <f t="shared" si="181"/>
        <v/>
      </c>
      <c r="M2366" s="65" t="str">
        <f t="shared" ca="1" si="182"/>
        <v/>
      </c>
      <c r="N2366" s="74" t="str">
        <f>IF($C2366="","",IF($C2366="TANIMSIZ MÜŞTERİ","—",INDEX(MUSTERILER!$C$7:$C$156,MATCH($C2366,MUSTERILER!$B$7:$B$156,0))))</f>
        <v/>
      </c>
      <c r="O2366" s="2"/>
      <c r="P2366" s="2"/>
      <c r="Q2366" s="1" t="str">
        <f>IF($D2366="","",$C2366&amp;"|"&amp;COUNTIFS($C$7:$C2366,$C2366))</f>
        <v/>
      </c>
      <c r="R2366" s="1" t="str">
        <f t="shared" si="183"/>
        <v/>
      </c>
      <c r="S2366" s="1" t="str">
        <f t="shared" si="184"/>
        <v/>
      </c>
      <c r="T2366" s="1">
        <f>IF($E2366="",0,SUMPRODUCT((AY_SONU!$O$7:$O$42="Evet")*(AY_SONU!$B$7:$B$42=DATE(YEAR($E2366),MONTH($E2366),1))))</f>
        <v>0</v>
      </c>
    </row>
    <row r="2367" spans="1:20" ht="18" customHeight="1" x14ac:dyDescent="0.3">
      <c r="A2367" s="2"/>
      <c r="B2367" s="65" t="str">
        <f t="shared" si="180"/>
        <v/>
      </c>
      <c r="C2367" s="65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66"/>
      <c r="F2367" s="67"/>
      <c r="G2367" s="60"/>
      <c r="H2367" s="60"/>
      <c r="I2367" s="61"/>
      <c r="J2367" s="61"/>
      <c r="K2367" s="61"/>
      <c r="L2367" s="73" t="str">
        <f t="shared" si="181"/>
        <v/>
      </c>
      <c r="M2367" s="65" t="str">
        <f t="shared" ca="1" si="182"/>
        <v/>
      </c>
      <c r="N2367" s="74" t="str">
        <f>IF($C2367="","",IF($C2367="TANIMSIZ MÜŞTERİ","—",INDEX(MUSTERILER!$C$7:$C$156,MATCH($C2367,MUSTERILER!$B$7:$B$156,0))))</f>
        <v/>
      </c>
      <c r="O2367" s="2"/>
      <c r="P2367" s="2"/>
      <c r="Q2367" s="1" t="str">
        <f>IF($D2367="","",$C2367&amp;"|"&amp;COUNTIFS($C$7:$C2367,$C2367))</f>
        <v/>
      </c>
      <c r="R2367" s="1" t="str">
        <f t="shared" si="183"/>
        <v/>
      </c>
      <c r="S2367" s="1" t="str">
        <f t="shared" si="184"/>
        <v/>
      </c>
      <c r="T2367" s="1">
        <f>IF($E2367="",0,SUMPRODUCT((AY_SONU!$O$7:$O$42="Evet")*(AY_SONU!$B$7:$B$42=DATE(YEAR($E2367),MONTH($E2367),1))))</f>
        <v>0</v>
      </c>
    </row>
    <row r="2368" spans="1:20" ht="18" customHeight="1" x14ac:dyDescent="0.3">
      <c r="A2368" s="2"/>
      <c r="B2368" s="65" t="str">
        <f t="shared" si="180"/>
        <v/>
      </c>
      <c r="C2368" s="65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66"/>
      <c r="F2368" s="67"/>
      <c r="G2368" s="60"/>
      <c r="H2368" s="60"/>
      <c r="I2368" s="61"/>
      <c r="J2368" s="61"/>
      <c r="K2368" s="61"/>
      <c r="L2368" s="73" t="str">
        <f t="shared" si="181"/>
        <v/>
      </c>
      <c r="M2368" s="65" t="str">
        <f t="shared" ca="1" si="182"/>
        <v/>
      </c>
      <c r="N2368" s="74" t="str">
        <f>IF($C2368="","",IF($C2368="TANIMSIZ MÜŞTERİ","—",INDEX(MUSTERILER!$C$7:$C$156,MATCH($C2368,MUSTERILER!$B$7:$B$156,0))))</f>
        <v/>
      </c>
      <c r="O2368" s="2"/>
      <c r="P2368" s="2"/>
      <c r="Q2368" s="1" t="str">
        <f>IF($D2368="","",$C2368&amp;"|"&amp;COUNTIFS($C$7:$C2368,$C2368))</f>
        <v/>
      </c>
      <c r="R2368" s="1" t="str">
        <f t="shared" si="183"/>
        <v/>
      </c>
      <c r="S2368" s="1" t="str">
        <f t="shared" si="184"/>
        <v/>
      </c>
      <c r="T2368" s="1">
        <f>IF($E2368="",0,SUMPRODUCT((AY_SONU!$O$7:$O$42="Evet")*(AY_SONU!$B$7:$B$42=DATE(YEAR($E2368),MONTH($E2368),1))))</f>
        <v>0</v>
      </c>
    </row>
    <row r="2369" spans="1:20" ht="18" customHeight="1" x14ac:dyDescent="0.3">
      <c r="A2369" s="2"/>
      <c r="B2369" s="65" t="str">
        <f t="shared" si="180"/>
        <v/>
      </c>
      <c r="C2369" s="65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66"/>
      <c r="F2369" s="67"/>
      <c r="G2369" s="60"/>
      <c r="H2369" s="60"/>
      <c r="I2369" s="61"/>
      <c r="J2369" s="61"/>
      <c r="K2369" s="61"/>
      <c r="L2369" s="73" t="str">
        <f t="shared" si="181"/>
        <v/>
      </c>
      <c r="M2369" s="65" t="str">
        <f t="shared" ca="1" si="182"/>
        <v/>
      </c>
      <c r="N2369" s="74" t="str">
        <f>IF($C2369="","",IF($C2369="TANIMSIZ MÜŞTERİ","—",INDEX(MUSTERILER!$C$7:$C$156,MATCH($C2369,MUSTERILER!$B$7:$B$156,0))))</f>
        <v/>
      </c>
      <c r="O2369" s="2"/>
      <c r="P2369" s="2"/>
      <c r="Q2369" s="1" t="str">
        <f>IF($D2369="","",$C2369&amp;"|"&amp;COUNTIFS($C$7:$C2369,$C2369))</f>
        <v/>
      </c>
      <c r="R2369" s="1" t="str">
        <f t="shared" si="183"/>
        <v/>
      </c>
      <c r="S2369" s="1" t="str">
        <f t="shared" si="184"/>
        <v/>
      </c>
      <c r="T2369" s="1">
        <f>IF($E2369="",0,SUMPRODUCT((AY_SONU!$O$7:$O$42="Evet")*(AY_SONU!$B$7:$B$42=DATE(YEAR($E2369),MONTH($E2369),1))))</f>
        <v>0</v>
      </c>
    </row>
    <row r="2370" spans="1:20" ht="18" customHeight="1" x14ac:dyDescent="0.3">
      <c r="A2370" s="2"/>
      <c r="B2370" s="65" t="str">
        <f t="shared" si="180"/>
        <v/>
      </c>
      <c r="C2370" s="65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66"/>
      <c r="F2370" s="67"/>
      <c r="G2370" s="60"/>
      <c r="H2370" s="60"/>
      <c r="I2370" s="61"/>
      <c r="J2370" s="61"/>
      <c r="K2370" s="61"/>
      <c r="L2370" s="73" t="str">
        <f t="shared" si="181"/>
        <v/>
      </c>
      <c r="M2370" s="65" t="str">
        <f t="shared" ca="1" si="182"/>
        <v/>
      </c>
      <c r="N2370" s="74" t="str">
        <f>IF($C2370="","",IF($C2370="TANIMSIZ MÜŞTERİ","—",INDEX(MUSTERILER!$C$7:$C$156,MATCH($C2370,MUSTERILER!$B$7:$B$156,0))))</f>
        <v/>
      </c>
      <c r="O2370" s="2"/>
      <c r="P2370" s="2"/>
      <c r="Q2370" s="1" t="str">
        <f>IF($D2370="","",$C2370&amp;"|"&amp;COUNTIFS($C$7:$C2370,$C2370))</f>
        <v/>
      </c>
      <c r="R2370" s="1" t="str">
        <f t="shared" si="183"/>
        <v/>
      </c>
      <c r="S2370" s="1" t="str">
        <f t="shared" si="184"/>
        <v/>
      </c>
      <c r="T2370" s="1">
        <f>IF($E2370="",0,SUMPRODUCT((AY_SONU!$O$7:$O$42="Evet")*(AY_SONU!$B$7:$B$42=DATE(YEAR($E2370),MONTH($E2370),1))))</f>
        <v>0</v>
      </c>
    </row>
    <row r="2371" spans="1:20" ht="18" customHeight="1" x14ac:dyDescent="0.3">
      <c r="A2371" s="2"/>
      <c r="B2371" s="65" t="str">
        <f t="shared" si="180"/>
        <v/>
      </c>
      <c r="C2371" s="65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66"/>
      <c r="F2371" s="67"/>
      <c r="G2371" s="60"/>
      <c r="H2371" s="60"/>
      <c r="I2371" s="61"/>
      <c r="J2371" s="61"/>
      <c r="K2371" s="61"/>
      <c r="L2371" s="73" t="str">
        <f t="shared" si="181"/>
        <v/>
      </c>
      <c r="M2371" s="65" t="str">
        <f t="shared" ca="1" si="182"/>
        <v/>
      </c>
      <c r="N2371" s="74" t="str">
        <f>IF($C2371="","",IF($C2371="TANIMSIZ MÜŞTERİ","—",INDEX(MUSTERILER!$C$7:$C$156,MATCH($C2371,MUSTERILER!$B$7:$B$156,0))))</f>
        <v/>
      </c>
      <c r="O2371" s="2"/>
      <c r="P2371" s="2"/>
      <c r="Q2371" s="1" t="str">
        <f>IF($D2371="","",$C2371&amp;"|"&amp;COUNTIFS($C$7:$C2371,$C2371))</f>
        <v/>
      </c>
      <c r="R2371" s="1" t="str">
        <f t="shared" si="183"/>
        <v/>
      </c>
      <c r="S2371" s="1" t="str">
        <f t="shared" si="184"/>
        <v/>
      </c>
      <c r="T2371" s="1">
        <f>IF($E2371="",0,SUMPRODUCT((AY_SONU!$O$7:$O$42="Evet")*(AY_SONU!$B$7:$B$42=DATE(YEAR($E2371),MONTH($E2371),1))))</f>
        <v>0</v>
      </c>
    </row>
    <row r="2372" spans="1:20" ht="18" customHeight="1" x14ac:dyDescent="0.3">
      <c r="A2372" s="2"/>
      <c r="B2372" s="65" t="str">
        <f t="shared" si="180"/>
        <v/>
      </c>
      <c r="C2372" s="65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66"/>
      <c r="F2372" s="67"/>
      <c r="G2372" s="60"/>
      <c r="H2372" s="60"/>
      <c r="I2372" s="61"/>
      <c r="J2372" s="61"/>
      <c r="K2372" s="61"/>
      <c r="L2372" s="73" t="str">
        <f t="shared" si="181"/>
        <v/>
      </c>
      <c r="M2372" s="65" t="str">
        <f t="shared" ca="1" si="182"/>
        <v/>
      </c>
      <c r="N2372" s="74" t="str">
        <f>IF($C2372="","",IF($C2372="TANIMSIZ MÜŞTERİ","—",INDEX(MUSTERILER!$C$7:$C$156,MATCH($C2372,MUSTERILER!$B$7:$B$156,0))))</f>
        <v/>
      </c>
      <c r="O2372" s="2"/>
      <c r="P2372" s="2"/>
      <c r="Q2372" s="1" t="str">
        <f>IF($D2372="","",$C2372&amp;"|"&amp;COUNTIFS($C$7:$C2372,$C2372))</f>
        <v/>
      </c>
      <c r="R2372" s="1" t="str">
        <f t="shared" si="183"/>
        <v/>
      </c>
      <c r="S2372" s="1" t="str">
        <f t="shared" si="184"/>
        <v/>
      </c>
      <c r="T2372" s="1">
        <f>IF($E2372="",0,SUMPRODUCT((AY_SONU!$O$7:$O$42="Evet")*(AY_SONU!$B$7:$B$42=DATE(YEAR($E2372),MONTH($E2372),1))))</f>
        <v>0</v>
      </c>
    </row>
    <row r="2373" spans="1:20" ht="18" customHeight="1" x14ac:dyDescent="0.3">
      <c r="A2373" s="2"/>
      <c r="B2373" s="65" t="str">
        <f t="shared" si="180"/>
        <v/>
      </c>
      <c r="C2373" s="65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66"/>
      <c r="F2373" s="67"/>
      <c r="G2373" s="60"/>
      <c r="H2373" s="60"/>
      <c r="I2373" s="61"/>
      <c r="J2373" s="61"/>
      <c r="K2373" s="61"/>
      <c r="L2373" s="73" t="str">
        <f t="shared" si="181"/>
        <v/>
      </c>
      <c r="M2373" s="65" t="str">
        <f t="shared" ca="1" si="182"/>
        <v/>
      </c>
      <c r="N2373" s="74" t="str">
        <f>IF($C2373="","",IF($C2373="TANIMSIZ MÜŞTERİ","—",INDEX(MUSTERILER!$C$7:$C$156,MATCH($C2373,MUSTERILER!$B$7:$B$156,0))))</f>
        <v/>
      </c>
      <c r="O2373" s="2"/>
      <c r="P2373" s="2"/>
      <c r="Q2373" s="1" t="str">
        <f>IF($D2373="","",$C2373&amp;"|"&amp;COUNTIFS($C$7:$C2373,$C2373))</f>
        <v/>
      </c>
      <c r="R2373" s="1" t="str">
        <f t="shared" si="183"/>
        <v/>
      </c>
      <c r="S2373" s="1" t="str">
        <f t="shared" si="184"/>
        <v/>
      </c>
      <c r="T2373" s="1">
        <f>IF($E2373="",0,SUMPRODUCT((AY_SONU!$O$7:$O$42="Evet")*(AY_SONU!$B$7:$B$42=DATE(YEAR($E2373),MONTH($E2373),1))))</f>
        <v>0</v>
      </c>
    </row>
    <row r="2374" spans="1:20" ht="18" customHeight="1" x14ac:dyDescent="0.3">
      <c r="A2374" s="2"/>
      <c r="B2374" s="65" t="str">
        <f t="shared" si="180"/>
        <v/>
      </c>
      <c r="C2374" s="65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66"/>
      <c r="F2374" s="67"/>
      <c r="G2374" s="60"/>
      <c r="H2374" s="60"/>
      <c r="I2374" s="61"/>
      <c r="J2374" s="61"/>
      <c r="K2374" s="61"/>
      <c r="L2374" s="73" t="str">
        <f t="shared" si="181"/>
        <v/>
      </c>
      <c r="M2374" s="65" t="str">
        <f t="shared" ca="1" si="182"/>
        <v/>
      </c>
      <c r="N2374" s="74" t="str">
        <f>IF($C2374="","",IF($C2374="TANIMSIZ MÜŞTERİ","—",INDEX(MUSTERILER!$C$7:$C$156,MATCH($C2374,MUSTERILER!$B$7:$B$156,0))))</f>
        <v/>
      </c>
      <c r="O2374" s="2"/>
      <c r="P2374" s="2"/>
      <c r="Q2374" s="1" t="str">
        <f>IF($D2374="","",$C2374&amp;"|"&amp;COUNTIFS($C$7:$C2374,$C2374))</f>
        <v/>
      </c>
      <c r="R2374" s="1" t="str">
        <f t="shared" si="183"/>
        <v/>
      </c>
      <c r="S2374" s="1" t="str">
        <f t="shared" si="184"/>
        <v/>
      </c>
      <c r="T2374" s="1">
        <f>IF($E2374="",0,SUMPRODUCT((AY_SONU!$O$7:$O$42="Evet")*(AY_SONU!$B$7:$B$42=DATE(YEAR($E2374),MONTH($E2374),1))))</f>
        <v>0</v>
      </c>
    </row>
    <row r="2375" spans="1:20" ht="18" customHeight="1" x14ac:dyDescent="0.3">
      <c r="A2375" s="2"/>
      <c r="B2375" s="65" t="str">
        <f t="shared" ref="B2375:B2438" si="185">IF($D2375="","","T"&amp;TEXT(ROW()-6,"00000"))</f>
        <v/>
      </c>
      <c r="C2375" s="65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66"/>
      <c r="F2375" s="67"/>
      <c r="G2375" s="60"/>
      <c r="H2375" s="60"/>
      <c r="I2375" s="61"/>
      <c r="J2375" s="61"/>
      <c r="K2375" s="61"/>
      <c r="L2375" s="73" t="str">
        <f t="shared" ref="L2375:L2438" si="186">IF($E2375="","",DATE(YEAR($E2375),MONTH($E2375),1))</f>
        <v/>
      </c>
      <c r="M2375" s="65" t="str">
        <f t="shared" ref="M2375:M2438" ca="1" si="187">IF($D2375="","",IF($C2375="TANIMSIZ MÜŞTERİ","HATA",IF(OR($E2375="",$F2375&lt;=0,$G2375=""),"EKSİK",IF($E2375&gt;TODAY(),"İLERİ TARİH",IF(COUNTIF($S$7:$S$2506,$S2375)&gt;1,"MÜKERRER?",IF($T2375&gt;0,"KAPALI DÖNEM","UYGUN"))))))</f>
        <v/>
      </c>
      <c r="N2375" s="74" t="str">
        <f>IF($C2375="","",IF($C2375="TANIMSIZ MÜŞTERİ","—",INDEX(MUSTERILER!$C$7:$C$156,MATCH($C2375,MUSTERILER!$B$7:$B$156,0))))</f>
        <v/>
      </c>
      <c r="O2375" s="2"/>
      <c r="P2375" s="2"/>
      <c r="Q2375" s="1" t="str">
        <f>IF($D2375="","",$C2375&amp;"|"&amp;COUNTIFS($C$7:$C2375,$C2375))</f>
        <v/>
      </c>
      <c r="R2375" s="1" t="str">
        <f t="shared" ref="R2375:R2438" si="188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 t="str">
        <f t="shared" ref="S2375:S2438" si="189"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>0</v>
      </c>
    </row>
    <row r="2376" spans="1:20" ht="18" customHeight="1" x14ac:dyDescent="0.3">
      <c r="A2376" s="2"/>
      <c r="B2376" s="65" t="str">
        <f t="shared" si="185"/>
        <v/>
      </c>
      <c r="C2376" s="65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66"/>
      <c r="F2376" s="67"/>
      <c r="G2376" s="60"/>
      <c r="H2376" s="60"/>
      <c r="I2376" s="61"/>
      <c r="J2376" s="61"/>
      <c r="K2376" s="61"/>
      <c r="L2376" s="73" t="str">
        <f t="shared" si="186"/>
        <v/>
      </c>
      <c r="M2376" s="65" t="str">
        <f t="shared" ca="1" si="187"/>
        <v/>
      </c>
      <c r="N2376" s="74" t="str">
        <f>IF($C2376="","",IF($C2376="TANIMSIZ MÜŞTERİ","—",INDEX(MUSTERILER!$C$7:$C$156,MATCH($C2376,MUSTERILER!$B$7:$B$156,0))))</f>
        <v/>
      </c>
      <c r="O2376" s="2"/>
      <c r="P2376" s="2"/>
      <c r="Q2376" s="1" t="str">
        <f>IF($D2376="","",$C2376&amp;"|"&amp;COUNTIFS($C$7:$C2376,$C2376))</f>
        <v/>
      </c>
      <c r="R2376" s="1" t="str">
        <f t="shared" si="188"/>
        <v/>
      </c>
      <c r="S2376" s="1" t="str">
        <f t="shared" si="189"/>
        <v/>
      </c>
      <c r="T2376" s="1">
        <f>IF($E2376="",0,SUMPRODUCT((AY_SONU!$O$7:$O$42="Evet")*(AY_SONU!$B$7:$B$42=DATE(YEAR($E2376),MONTH($E2376),1))))</f>
        <v>0</v>
      </c>
    </row>
    <row r="2377" spans="1:20" ht="18" customHeight="1" x14ac:dyDescent="0.3">
      <c r="A2377" s="2"/>
      <c r="B2377" s="65" t="str">
        <f t="shared" si="185"/>
        <v/>
      </c>
      <c r="C2377" s="65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66"/>
      <c r="F2377" s="67"/>
      <c r="G2377" s="60"/>
      <c r="H2377" s="60"/>
      <c r="I2377" s="61"/>
      <c r="J2377" s="61"/>
      <c r="K2377" s="61"/>
      <c r="L2377" s="73" t="str">
        <f t="shared" si="186"/>
        <v/>
      </c>
      <c r="M2377" s="65" t="str">
        <f t="shared" ca="1" si="187"/>
        <v/>
      </c>
      <c r="N2377" s="74" t="str">
        <f>IF($C2377="","",IF($C2377="TANIMSIZ MÜŞTERİ","—",INDEX(MUSTERILER!$C$7:$C$156,MATCH($C2377,MUSTERILER!$B$7:$B$156,0))))</f>
        <v/>
      </c>
      <c r="O2377" s="2"/>
      <c r="P2377" s="2"/>
      <c r="Q2377" s="1" t="str">
        <f>IF($D2377="","",$C2377&amp;"|"&amp;COUNTIFS($C$7:$C2377,$C2377))</f>
        <v/>
      </c>
      <c r="R2377" s="1" t="str">
        <f t="shared" si="188"/>
        <v/>
      </c>
      <c r="S2377" s="1" t="str">
        <f t="shared" si="189"/>
        <v/>
      </c>
      <c r="T2377" s="1">
        <f>IF($E2377="",0,SUMPRODUCT((AY_SONU!$O$7:$O$42="Evet")*(AY_SONU!$B$7:$B$42=DATE(YEAR($E2377),MONTH($E2377),1))))</f>
        <v>0</v>
      </c>
    </row>
    <row r="2378" spans="1:20" ht="18" customHeight="1" x14ac:dyDescent="0.3">
      <c r="A2378" s="2"/>
      <c r="B2378" s="65" t="str">
        <f t="shared" si="185"/>
        <v/>
      </c>
      <c r="C2378" s="65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66"/>
      <c r="F2378" s="67"/>
      <c r="G2378" s="60"/>
      <c r="H2378" s="60"/>
      <c r="I2378" s="61"/>
      <c r="J2378" s="61"/>
      <c r="K2378" s="61"/>
      <c r="L2378" s="73" t="str">
        <f t="shared" si="186"/>
        <v/>
      </c>
      <c r="M2378" s="65" t="str">
        <f t="shared" ca="1" si="187"/>
        <v/>
      </c>
      <c r="N2378" s="74" t="str">
        <f>IF($C2378="","",IF($C2378="TANIMSIZ MÜŞTERİ","—",INDEX(MUSTERILER!$C$7:$C$156,MATCH($C2378,MUSTERILER!$B$7:$B$156,0))))</f>
        <v/>
      </c>
      <c r="O2378" s="2"/>
      <c r="P2378" s="2"/>
      <c r="Q2378" s="1" t="str">
        <f>IF($D2378="","",$C2378&amp;"|"&amp;COUNTIFS($C$7:$C2378,$C2378))</f>
        <v/>
      </c>
      <c r="R2378" s="1" t="str">
        <f t="shared" si="188"/>
        <v/>
      </c>
      <c r="S2378" s="1" t="str">
        <f t="shared" si="189"/>
        <v/>
      </c>
      <c r="T2378" s="1">
        <f>IF($E2378="",0,SUMPRODUCT((AY_SONU!$O$7:$O$42="Evet")*(AY_SONU!$B$7:$B$42=DATE(YEAR($E2378),MONTH($E2378),1))))</f>
        <v>0</v>
      </c>
    </row>
    <row r="2379" spans="1:20" ht="18" customHeight="1" x14ac:dyDescent="0.3">
      <c r="A2379" s="2"/>
      <c r="B2379" s="65" t="str">
        <f t="shared" si="185"/>
        <v/>
      </c>
      <c r="C2379" s="65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66"/>
      <c r="F2379" s="67"/>
      <c r="G2379" s="60"/>
      <c r="H2379" s="60"/>
      <c r="I2379" s="61"/>
      <c r="J2379" s="61"/>
      <c r="K2379" s="61"/>
      <c r="L2379" s="73" t="str">
        <f t="shared" si="186"/>
        <v/>
      </c>
      <c r="M2379" s="65" t="str">
        <f t="shared" ca="1" si="187"/>
        <v/>
      </c>
      <c r="N2379" s="74" t="str">
        <f>IF($C2379="","",IF($C2379="TANIMSIZ MÜŞTERİ","—",INDEX(MUSTERILER!$C$7:$C$156,MATCH($C2379,MUSTERILER!$B$7:$B$156,0))))</f>
        <v/>
      </c>
      <c r="O2379" s="2"/>
      <c r="P2379" s="2"/>
      <c r="Q2379" s="1" t="str">
        <f>IF($D2379="","",$C2379&amp;"|"&amp;COUNTIFS($C$7:$C2379,$C2379))</f>
        <v/>
      </c>
      <c r="R2379" s="1" t="str">
        <f t="shared" si="188"/>
        <v/>
      </c>
      <c r="S2379" s="1" t="str">
        <f t="shared" si="189"/>
        <v/>
      </c>
      <c r="T2379" s="1">
        <f>IF($E2379="",0,SUMPRODUCT((AY_SONU!$O$7:$O$42="Evet")*(AY_SONU!$B$7:$B$42=DATE(YEAR($E2379),MONTH($E2379),1))))</f>
        <v>0</v>
      </c>
    </row>
    <row r="2380" spans="1:20" ht="18" customHeight="1" x14ac:dyDescent="0.3">
      <c r="A2380" s="2"/>
      <c r="B2380" s="65" t="str">
        <f t="shared" si="185"/>
        <v/>
      </c>
      <c r="C2380" s="65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66"/>
      <c r="F2380" s="67"/>
      <c r="G2380" s="60"/>
      <c r="H2380" s="60"/>
      <c r="I2380" s="61"/>
      <c r="J2380" s="61"/>
      <c r="K2380" s="61"/>
      <c r="L2380" s="73" t="str">
        <f t="shared" si="186"/>
        <v/>
      </c>
      <c r="M2380" s="65" t="str">
        <f t="shared" ca="1" si="187"/>
        <v/>
      </c>
      <c r="N2380" s="74" t="str">
        <f>IF($C2380="","",IF($C2380="TANIMSIZ MÜŞTERİ","—",INDEX(MUSTERILER!$C$7:$C$156,MATCH($C2380,MUSTERILER!$B$7:$B$156,0))))</f>
        <v/>
      </c>
      <c r="O2380" s="2"/>
      <c r="P2380" s="2"/>
      <c r="Q2380" s="1" t="str">
        <f>IF($D2380="","",$C2380&amp;"|"&amp;COUNTIFS($C$7:$C2380,$C2380))</f>
        <v/>
      </c>
      <c r="R2380" s="1" t="str">
        <f t="shared" si="188"/>
        <v/>
      </c>
      <c r="S2380" s="1" t="str">
        <f t="shared" si="189"/>
        <v/>
      </c>
      <c r="T2380" s="1">
        <f>IF($E2380="",0,SUMPRODUCT((AY_SONU!$O$7:$O$42="Evet")*(AY_SONU!$B$7:$B$42=DATE(YEAR($E2380),MONTH($E2380),1))))</f>
        <v>0</v>
      </c>
    </row>
    <row r="2381" spans="1:20" ht="18" customHeight="1" x14ac:dyDescent="0.3">
      <c r="A2381" s="2"/>
      <c r="B2381" s="65" t="str">
        <f t="shared" si="185"/>
        <v/>
      </c>
      <c r="C2381" s="65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66"/>
      <c r="F2381" s="67"/>
      <c r="G2381" s="60"/>
      <c r="H2381" s="60"/>
      <c r="I2381" s="61"/>
      <c r="J2381" s="61"/>
      <c r="K2381" s="61"/>
      <c r="L2381" s="73" t="str">
        <f t="shared" si="186"/>
        <v/>
      </c>
      <c r="M2381" s="65" t="str">
        <f t="shared" ca="1" si="187"/>
        <v/>
      </c>
      <c r="N2381" s="74" t="str">
        <f>IF($C2381="","",IF($C2381="TANIMSIZ MÜŞTERİ","—",INDEX(MUSTERILER!$C$7:$C$156,MATCH($C2381,MUSTERILER!$B$7:$B$156,0))))</f>
        <v/>
      </c>
      <c r="O2381" s="2"/>
      <c r="P2381" s="2"/>
      <c r="Q2381" s="1" t="str">
        <f>IF($D2381="","",$C2381&amp;"|"&amp;COUNTIFS($C$7:$C2381,$C2381))</f>
        <v/>
      </c>
      <c r="R2381" s="1" t="str">
        <f t="shared" si="188"/>
        <v/>
      </c>
      <c r="S2381" s="1" t="str">
        <f t="shared" si="189"/>
        <v/>
      </c>
      <c r="T2381" s="1">
        <f>IF($E2381="",0,SUMPRODUCT((AY_SONU!$O$7:$O$42="Evet")*(AY_SONU!$B$7:$B$42=DATE(YEAR($E2381),MONTH($E2381),1))))</f>
        <v>0</v>
      </c>
    </row>
    <row r="2382" spans="1:20" ht="18" customHeight="1" x14ac:dyDescent="0.3">
      <c r="A2382" s="2"/>
      <c r="B2382" s="65" t="str">
        <f t="shared" si="185"/>
        <v/>
      </c>
      <c r="C2382" s="65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66"/>
      <c r="F2382" s="67"/>
      <c r="G2382" s="60"/>
      <c r="H2382" s="60"/>
      <c r="I2382" s="61"/>
      <c r="J2382" s="61"/>
      <c r="K2382" s="61"/>
      <c r="L2382" s="73" t="str">
        <f t="shared" si="186"/>
        <v/>
      </c>
      <c r="M2382" s="65" t="str">
        <f t="shared" ca="1" si="187"/>
        <v/>
      </c>
      <c r="N2382" s="74" t="str">
        <f>IF($C2382="","",IF($C2382="TANIMSIZ MÜŞTERİ","—",INDEX(MUSTERILER!$C$7:$C$156,MATCH($C2382,MUSTERILER!$B$7:$B$156,0))))</f>
        <v/>
      </c>
      <c r="O2382" s="2"/>
      <c r="P2382" s="2"/>
      <c r="Q2382" s="1" t="str">
        <f>IF($D2382="","",$C2382&amp;"|"&amp;COUNTIFS($C$7:$C2382,$C2382))</f>
        <v/>
      </c>
      <c r="R2382" s="1" t="str">
        <f t="shared" si="188"/>
        <v/>
      </c>
      <c r="S2382" s="1" t="str">
        <f t="shared" si="189"/>
        <v/>
      </c>
      <c r="T2382" s="1">
        <f>IF($E2382="",0,SUMPRODUCT((AY_SONU!$O$7:$O$42="Evet")*(AY_SONU!$B$7:$B$42=DATE(YEAR($E2382),MONTH($E2382),1))))</f>
        <v>0</v>
      </c>
    </row>
    <row r="2383" spans="1:20" ht="18" customHeight="1" x14ac:dyDescent="0.3">
      <c r="A2383" s="2"/>
      <c r="B2383" s="65" t="str">
        <f t="shared" si="185"/>
        <v/>
      </c>
      <c r="C2383" s="65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66"/>
      <c r="F2383" s="67"/>
      <c r="G2383" s="60"/>
      <c r="H2383" s="60"/>
      <c r="I2383" s="61"/>
      <c r="J2383" s="61"/>
      <c r="K2383" s="61"/>
      <c r="L2383" s="73" t="str">
        <f t="shared" si="186"/>
        <v/>
      </c>
      <c r="M2383" s="65" t="str">
        <f t="shared" ca="1" si="187"/>
        <v/>
      </c>
      <c r="N2383" s="74" t="str">
        <f>IF($C2383="","",IF($C2383="TANIMSIZ MÜŞTERİ","—",INDEX(MUSTERILER!$C$7:$C$156,MATCH($C2383,MUSTERILER!$B$7:$B$156,0))))</f>
        <v/>
      </c>
      <c r="O2383" s="2"/>
      <c r="P2383" s="2"/>
      <c r="Q2383" s="1" t="str">
        <f>IF($D2383="","",$C2383&amp;"|"&amp;COUNTIFS($C$7:$C2383,$C2383))</f>
        <v/>
      </c>
      <c r="R2383" s="1" t="str">
        <f t="shared" si="188"/>
        <v/>
      </c>
      <c r="S2383" s="1" t="str">
        <f t="shared" si="189"/>
        <v/>
      </c>
      <c r="T2383" s="1">
        <f>IF($E2383="",0,SUMPRODUCT((AY_SONU!$O$7:$O$42="Evet")*(AY_SONU!$B$7:$B$42=DATE(YEAR($E2383),MONTH($E2383),1))))</f>
        <v>0</v>
      </c>
    </row>
    <row r="2384" spans="1:20" ht="18" customHeight="1" x14ac:dyDescent="0.3">
      <c r="A2384" s="2"/>
      <c r="B2384" s="65" t="str">
        <f t="shared" si="185"/>
        <v/>
      </c>
      <c r="C2384" s="65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66"/>
      <c r="F2384" s="67"/>
      <c r="G2384" s="60"/>
      <c r="H2384" s="60"/>
      <c r="I2384" s="61"/>
      <c r="J2384" s="61"/>
      <c r="K2384" s="61"/>
      <c r="L2384" s="73" t="str">
        <f t="shared" si="186"/>
        <v/>
      </c>
      <c r="M2384" s="65" t="str">
        <f t="shared" ca="1" si="187"/>
        <v/>
      </c>
      <c r="N2384" s="74" t="str">
        <f>IF($C2384="","",IF($C2384="TANIMSIZ MÜŞTERİ","—",INDEX(MUSTERILER!$C$7:$C$156,MATCH($C2384,MUSTERILER!$B$7:$B$156,0))))</f>
        <v/>
      </c>
      <c r="O2384" s="2"/>
      <c r="P2384" s="2"/>
      <c r="Q2384" s="1" t="str">
        <f>IF($D2384="","",$C2384&amp;"|"&amp;COUNTIFS($C$7:$C2384,$C2384))</f>
        <v/>
      </c>
      <c r="R2384" s="1" t="str">
        <f t="shared" si="188"/>
        <v/>
      </c>
      <c r="S2384" s="1" t="str">
        <f t="shared" si="189"/>
        <v/>
      </c>
      <c r="T2384" s="1">
        <f>IF($E2384="",0,SUMPRODUCT((AY_SONU!$O$7:$O$42="Evet")*(AY_SONU!$B$7:$B$42=DATE(YEAR($E2384),MONTH($E2384),1))))</f>
        <v>0</v>
      </c>
    </row>
    <row r="2385" spans="1:20" ht="18" customHeight="1" x14ac:dyDescent="0.3">
      <c r="A2385" s="2"/>
      <c r="B2385" s="65" t="str">
        <f t="shared" si="185"/>
        <v/>
      </c>
      <c r="C2385" s="65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66"/>
      <c r="F2385" s="67"/>
      <c r="G2385" s="60"/>
      <c r="H2385" s="60"/>
      <c r="I2385" s="61"/>
      <c r="J2385" s="61"/>
      <c r="K2385" s="61"/>
      <c r="L2385" s="73" t="str">
        <f t="shared" si="186"/>
        <v/>
      </c>
      <c r="M2385" s="65" t="str">
        <f t="shared" ca="1" si="187"/>
        <v/>
      </c>
      <c r="N2385" s="74" t="str">
        <f>IF($C2385="","",IF($C2385="TANIMSIZ MÜŞTERİ","—",INDEX(MUSTERILER!$C$7:$C$156,MATCH($C2385,MUSTERILER!$B$7:$B$156,0))))</f>
        <v/>
      </c>
      <c r="O2385" s="2"/>
      <c r="P2385" s="2"/>
      <c r="Q2385" s="1" t="str">
        <f>IF($D2385="","",$C2385&amp;"|"&amp;COUNTIFS($C$7:$C2385,$C2385))</f>
        <v/>
      </c>
      <c r="R2385" s="1" t="str">
        <f t="shared" si="188"/>
        <v/>
      </c>
      <c r="S2385" s="1" t="str">
        <f t="shared" si="189"/>
        <v/>
      </c>
      <c r="T2385" s="1">
        <f>IF($E2385="",0,SUMPRODUCT((AY_SONU!$O$7:$O$42="Evet")*(AY_SONU!$B$7:$B$42=DATE(YEAR($E2385),MONTH($E2385),1))))</f>
        <v>0</v>
      </c>
    </row>
    <row r="2386" spans="1:20" ht="18" customHeight="1" x14ac:dyDescent="0.3">
      <c r="A2386" s="2"/>
      <c r="B2386" s="65" t="str">
        <f t="shared" si="185"/>
        <v/>
      </c>
      <c r="C2386" s="65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66"/>
      <c r="F2386" s="67"/>
      <c r="G2386" s="60"/>
      <c r="H2386" s="60"/>
      <c r="I2386" s="61"/>
      <c r="J2386" s="61"/>
      <c r="K2386" s="61"/>
      <c r="L2386" s="73" t="str">
        <f t="shared" si="186"/>
        <v/>
      </c>
      <c r="M2386" s="65" t="str">
        <f t="shared" ca="1" si="187"/>
        <v/>
      </c>
      <c r="N2386" s="74" t="str">
        <f>IF($C2386="","",IF($C2386="TANIMSIZ MÜŞTERİ","—",INDEX(MUSTERILER!$C$7:$C$156,MATCH($C2386,MUSTERILER!$B$7:$B$156,0))))</f>
        <v/>
      </c>
      <c r="O2386" s="2"/>
      <c r="P2386" s="2"/>
      <c r="Q2386" s="1" t="str">
        <f>IF($D2386="","",$C2386&amp;"|"&amp;COUNTIFS($C$7:$C2386,$C2386))</f>
        <v/>
      </c>
      <c r="R2386" s="1" t="str">
        <f t="shared" si="188"/>
        <v/>
      </c>
      <c r="S2386" s="1" t="str">
        <f t="shared" si="189"/>
        <v/>
      </c>
      <c r="T2386" s="1">
        <f>IF($E2386="",0,SUMPRODUCT((AY_SONU!$O$7:$O$42="Evet")*(AY_SONU!$B$7:$B$42=DATE(YEAR($E2386),MONTH($E2386),1))))</f>
        <v>0</v>
      </c>
    </row>
    <row r="2387" spans="1:20" ht="18" customHeight="1" x14ac:dyDescent="0.3">
      <c r="A2387" s="2"/>
      <c r="B2387" s="65" t="str">
        <f t="shared" si="185"/>
        <v/>
      </c>
      <c r="C2387" s="65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66"/>
      <c r="F2387" s="67"/>
      <c r="G2387" s="60"/>
      <c r="H2387" s="60"/>
      <c r="I2387" s="61"/>
      <c r="J2387" s="61"/>
      <c r="K2387" s="61"/>
      <c r="L2387" s="73" t="str">
        <f t="shared" si="186"/>
        <v/>
      </c>
      <c r="M2387" s="65" t="str">
        <f t="shared" ca="1" si="187"/>
        <v/>
      </c>
      <c r="N2387" s="74" t="str">
        <f>IF($C2387="","",IF($C2387="TANIMSIZ MÜŞTERİ","—",INDEX(MUSTERILER!$C$7:$C$156,MATCH($C2387,MUSTERILER!$B$7:$B$156,0))))</f>
        <v/>
      </c>
      <c r="O2387" s="2"/>
      <c r="P2387" s="2"/>
      <c r="Q2387" s="1" t="str">
        <f>IF($D2387="","",$C2387&amp;"|"&amp;COUNTIFS($C$7:$C2387,$C2387))</f>
        <v/>
      </c>
      <c r="R2387" s="1" t="str">
        <f t="shared" si="188"/>
        <v/>
      </c>
      <c r="S2387" s="1" t="str">
        <f t="shared" si="189"/>
        <v/>
      </c>
      <c r="T2387" s="1">
        <f>IF($E2387="",0,SUMPRODUCT((AY_SONU!$O$7:$O$42="Evet")*(AY_SONU!$B$7:$B$42=DATE(YEAR($E2387),MONTH($E2387),1))))</f>
        <v>0</v>
      </c>
    </row>
    <row r="2388" spans="1:20" ht="18" customHeight="1" x14ac:dyDescent="0.3">
      <c r="A2388" s="2"/>
      <c r="B2388" s="65" t="str">
        <f t="shared" si="185"/>
        <v/>
      </c>
      <c r="C2388" s="65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66"/>
      <c r="F2388" s="67"/>
      <c r="G2388" s="60"/>
      <c r="H2388" s="60"/>
      <c r="I2388" s="61"/>
      <c r="J2388" s="61"/>
      <c r="K2388" s="61"/>
      <c r="L2388" s="73" t="str">
        <f t="shared" si="186"/>
        <v/>
      </c>
      <c r="M2388" s="65" t="str">
        <f t="shared" ca="1" si="187"/>
        <v/>
      </c>
      <c r="N2388" s="74" t="str">
        <f>IF($C2388="","",IF($C2388="TANIMSIZ MÜŞTERİ","—",INDEX(MUSTERILER!$C$7:$C$156,MATCH($C2388,MUSTERILER!$B$7:$B$156,0))))</f>
        <v/>
      </c>
      <c r="O2388" s="2"/>
      <c r="P2388" s="2"/>
      <c r="Q2388" s="1" t="str">
        <f>IF($D2388="","",$C2388&amp;"|"&amp;COUNTIFS($C$7:$C2388,$C2388))</f>
        <v/>
      </c>
      <c r="R2388" s="1" t="str">
        <f t="shared" si="188"/>
        <v/>
      </c>
      <c r="S2388" s="1" t="str">
        <f t="shared" si="189"/>
        <v/>
      </c>
      <c r="T2388" s="1">
        <f>IF($E2388="",0,SUMPRODUCT((AY_SONU!$O$7:$O$42="Evet")*(AY_SONU!$B$7:$B$42=DATE(YEAR($E2388),MONTH($E2388),1))))</f>
        <v>0</v>
      </c>
    </row>
    <row r="2389" spans="1:20" ht="18" customHeight="1" x14ac:dyDescent="0.3">
      <c r="A2389" s="2"/>
      <c r="B2389" s="65" t="str">
        <f t="shared" si="185"/>
        <v/>
      </c>
      <c r="C2389" s="65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66"/>
      <c r="F2389" s="67"/>
      <c r="G2389" s="60"/>
      <c r="H2389" s="60"/>
      <c r="I2389" s="61"/>
      <c r="J2389" s="61"/>
      <c r="K2389" s="61"/>
      <c r="L2389" s="73" t="str">
        <f t="shared" si="186"/>
        <v/>
      </c>
      <c r="M2389" s="65" t="str">
        <f t="shared" ca="1" si="187"/>
        <v/>
      </c>
      <c r="N2389" s="74" t="str">
        <f>IF($C2389="","",IF($C2389="TANIMSIZ MÜŞTERİ","—",INDEX(MUSTERILER!$C$7:$C$156,MATCH($C2389,MUSTERILER!$B$7:$B$156,0))))</f>
        <v/>
      </c>
      <c r="O2389" s="2"/>
      <c r="P2389" s="2"/>
      <c r="Q2389" s="1" t="str">
        <f>IF($D2389="","",$C2389&amp;"|"&amp;COUNTIFS($C$7:$C2389,$C2389))</f>
        <v/>
      </c>
      <c r="R2389" s="1" t="str">
        <f t="shared" si="188"/>
        <v/>
      </c>
      <c r="S2389" s="1" t="str">
        <f t="shared" si="189"/>
        <v/>
      </c>
      <c r="T2389" s="1">
        <f>IF($E2389="",0,SUMPRODUCT((AY_SONU!$O$7:$O$42="Evet")*(AY_SONU!$B$7:$B$42=DATE(YEAR($E2389),MONTH($E2389),1))))</f>
        <v>0</v>
      </c>
    </row>
    <row r="2390" spans="1:20" ht="18" customHeight="1" x14ac:dyDescent="0.3">
      <c r="A2390" s="2"/>
      <c r="B2390" s="65" t="str">
        <f t="shared" si="185"/>
        <v/>
      </c>
      <c r="C2390" s="65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66"/>
      <c r="F2390" s="67"/>
      <c r="G2390" s="60"/>
      <c r="H2390" s="60"/>
      <c r="I2390" s="61"/>
      <c r="J2390" s="61"/>
      <c r="K2390" s="61"/>
      <c r="L2390" s="73" t="str">
        <f t="shared" si="186"/>
        <v/>
      </c>
      <c r="M2390" s="65" t="str">
        <f t="shared" ca="1" si="187"/>
        <v/>
      </c>
      <c r="N2390" s="74" t="str">
        <f>IF($C2390="","",IF($C2390="TANIMSIZ MÜŞTERİ","—",INDEX(MUSTERILER!$C$7:$C$156,MATCH($C2390,MUSTERILER!$B$7:$B$156,0))))</f>
        <v/>
      </c>
      <c r="O2390" s="2"/>
      <c r="P2390" s="2"/>
      <c r="Q2390" s="1" t="str">
        <f>IF($D2390="","",$C2390&amp;"|"&amp;COUNTIFS($C$7:$C2390,$C2390))</f>
        <v/>
      </c>
      <c r="R2390" s="1" t="str">
        <f t="shared" si="188"/>
        <v/>
      </c>
      <c r="S2390" s="1" t="str">
        <f t="shared" si="189"/>
        <v/>
      </c>
      <c r="T2390" s="1">
        <f>IF($E2390="",0,SUMPRODUCT((AY_SONU!$O$7:$O$42="Evet")*(AY_SONU!$B$7:$B$42=DATE(YEAR($E2390),MONTH($E2390),1))))</f>
        <v>0</v>
      </c>
    </row>
    <row r="2391" spans="1:20" ht="18" customHeight="1" x14ac:dyDescent="0.3">
      <c r="A2391" s="2"/>
      <c r="B2391" s="65" t="str">
        <f t="shared" si="185"/>
        <v/>
      </c>
      <c r="C2391" s="65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66"/>
      <c r="F2391" s="67"/>
      <c r="G2391" s="60"/>
      <c r="H2391" s="60"/>
      <c r="I2391" s="61"/>
      <c r="J2391" s="61"/>
      <c r="K2391" s="61"/>
      <c r="L2391" s="73" t="str">
        <f t="shared" si="186"/>
        <v/>
      </c>
      <c r="M2391" s="65" t="str">
        <f t="shared" ca="1" si="187"/>
        <v/>
      </c>
      <c r="N2391" s="74" t="str">
        <f>IF($C2391="","",IF($C2391="TANIMSIZ MÜŞTERİ","—",INDEX(MUSTERILER!$C$7:$C$156,MATCH($C2391,MUSTERILER!$B$7:$B$156,0))))</f>
        <v/>
      </c>
      <c r="O2391" s="2"/>
      <c r="P2391" s="2"/>
      <c r="Q2391" s="1" t="str">
        <f>IF($D2391="","",$C2391&amp;"|"&amp;COUNTIFS($C$7:$C2391,$C2391))</f>
        <v/>
      </c>
      <c r="R2391" s="1" t="str">
        <f t="shared" si="188"/>
        <v/>
      </c>
      <c r="S2391" s="1" t="str">
        <f t="shared" si="189"/>
        <v/>
      </c>
      <c r="T2391" s="1">
        <f>IF($E2391="",0,SUMPRODUCT((AY_SONU!$O$7:$O$42="Evet")*(AY_SONU!$B$7:$B$42=DATE(YEAR($E2391),MONTH($E2391),1))))</f>
        <v>0</v>
      </c>
    </row>
    <row r="2392" spans="1:20" ht="18" customHeight="1" x14ac:dyDescent="0.3">
      <c r="A2392" s="2"/>
      <c r="B2392" s="65" t="str">
        <f t="shared" si="185"/>
        <v/>
      </c>
      <c r="C2392" s="65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66"/>
      <c r="F2392" s="67"/>
      <c r="G2392" s="60"/>
      <c r="H2392" s="60"/>
      <c r="I2392" s="61"/>
      <c r="J2392" s="61"/>
      <c r="K2392" s="61"/>
      <c r="L2392" s="73" t="str">
        <f t="shared" si="186"/>
        <v/>
      </c>
      <c r="M2392" s="65" t="str">
        <f t="shared" ca="1" si="187"/>
        <v/>
      </c>
      <c r="N2392" s="74" t="str">
        <f>IF($C2392="","",IF($C2392="TANIMSIZ MÜŞTERİ","—",INDEX(MUSTERILER!$C$7:$C$156,MATCH($C2392,MUSTERILER!$B$7:$B$156,0))))</f>
        <v/>
      </c>
      <c r="O2392" s="2"/>
      <c r="P2392" s="2"/>
      <c r="Q2392" s="1" t="str">
        <f>IF($D2392="","",$C2392&amp;"|"&amp;COUNTIFS($C$7:$C2392,$C2392))</f>
        <v/>
      </c>
      <c r="R2392" s="1" t="str">
        <f t="shared" si="188"/>
        <v/>
      </c>
      <c r="S2392" s="1" t="str">
        <f t="shared" si="189"/>
        <v/>
      </c>
      <c r="T2392" s="1">
        <f>IF($E2392="",0,SUMPRODUCT((AY_SONU!$O$7:$O$42="Evet")*(AY_SONU!$B$7:$B$42=DATE(YEAR($E2392),MONTH($E2392),1))))</f>
        <v>0</v>
      </c>
    </row>
    <row r="2393" spans="1:20" ht="18" customHeight="1" x14ac:dyDescent="0.3">
      <c r="A2393" s="2"/>
      <c r="B2393" s="65" t="str">
        <f t="shared" si="185"/>
        <v/>
      </c>
      <c r="C2393" s="65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66"/>
      <c r="F2393" s="67"/>
      <c r="G2393" s="60"/>
      <c r="H2393" s="60"/>
      <c r="I2393" s="61"/>
      <c r="J2393" s="61"/>
      <c r="K2393" s="61"/>
      <c r="L2393" s="73" t="str">
        <f t="shared" si="186"/>
        <v/>
      </c>
      <c r="M2393" s="65" t="str">
        <f t="shared" ca="1" si="187"/>
        <v/>
      </c>
      <c r="N2393" s="74" t="str">
        <f>IF($C2393="","",IF($C2393="TANIMSIZ MÜŞTERİ","—",INDEX(MUSTERILER!$C$7:$C$156,MATCH($C2393,MUSTERILER!$B$7:$B$156,0))))</f>
        <v/>
      </c>
      <c r="O2393" s="2"/>
      <c r="P2393" s="2"/>
      <c r="Q2393" s="1" t="str">
        <f>IF($D2393="","",$C2393&amp;"|"&amp;COUNTIFS($C$7:$C2393,$C2393))</f>
        <v/>
      </c>
      <c r="R2393" s="1" t="str">
        <f t="shared" si="188"/>
        <v/>
      </c>
      <c r="S2393" s="1" t="str">
        <f t="shared" si="189"/>
        <v/>
      </c>
      <c r="T2393" s="1">
        <f>IF($E2393="",0,SUMPRODUCT((AY_SONU!$O$7:$O$42="Evet")*(AY_SONU!$B$7:$B$42=DATE(YEAR($E2393),MONTH($E2393),1))))</f>
        <v>0</v>
      </c>
    </row>
    <row r="2394" spans="1:20" ht="18" customHeight="1" x14ac:dyDescent="0.3">
      <c r="A2394" s="2"/>
      <c r="B2394" s="65" t="str">
        <f t="shared" si="185"/>
        <v/>
      </c>
      <c r="C2394" s="65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66"/>
      <c r="F2394" s="67"/>
      <c r="G2394" s="60"/>
      <c r="H2394" s="60"/>
      <c r="I2394" s="61"/>
      <c r="J2394" s="61"/>
      <c r="K2394" s="61"/>
      <c r="L2394" s="73" t="str">
        <f t="shared" si="186"/>
        <v/>
      </c>
      <c r="M2394" s="65" t="str">
        <f t="shared" ca="1" si="187"/>
        <v/>
      </c>
      <c r="N2394" s="74" t="str">
        <f>IF($C2394="","",IF($C2394="TANIMSIZ MÜŞTERİ","—",INDEX(MUSTERILER!$C$7:$C$156,MATCH($C2394,MUSTERILER!$B$7:$B$156,0))))</f>
        <v/>
      </c>
      <c r="O2394" s="2"/>
      <c r="P2394" s="2"/>
      <c r="Q2394" s="1" t="str">
        <f>IF($D2394="","",$C2394&amp;"|"&amp;COUNTIFS($C$7:$C2394,$C2394))</f>
        <v/>
      </c>
      <c r="R2394" s="1" t="str">
        <f t="shared" si="188"/>
        <v/>
      </c>
      <c r="S2394" s="1" t="str">
        <f t="shared" si="189"/>
        <v/>
      </c>
      <c r="T2394" s="1">
        <f>IF($E2394="",0,SUMPRODUCT((AY_SONU!$O$7:$O$42="Evet")*(AY_SONU!$B$7:$B$42=DATE(YEAR($E2394),MONTH($E2394),1))))</f>
        <v>0</v>
      </c>
    </row>
    <row r="2395" spans="1:20" ht="18" customHeight="1" x14ac:dyDescent="0.3">
      <c r="A2395" s="2"/>
      <c r="B2395" s="65" t="str">
        <f t="shared" si="185"/>
        <v/>
      </c>
      <c r="C2395" s="65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66"/>
      <c r="F2395" s="67"/>
      <c r="G2395" s="60"/>
      <c r="H2395" s="60"/>
      <c r="I2395" s="61"/>
      <c r="J2395" s="61"/>
      <c r="K2395" s="61"/>
      <c r="L2395" s="73" t="str">
        <f t="shared" si="186"/>
        <v/>
      </c>
      <c r="M2395" s="65" t="str">
        <f t="shared" ca="1" si="187"/>
        <v/>
      </c>
      <c r="N2395" s="74" t="str">
        <f>IF($C2395="","",IF($C2395="TANIMSIZ MÜŞTERİ","—",INDEX(MUSTERILER!$C$7:$C$156,MATCH($C2395,MUSTERILER!$B$7:$B$156,0))))</f>
        <v/>
      </c>
      <c r="O2395" s="2"/>
      <c r="P2395" s="2"/>
      <c r="Q2395" s="1" t="str">
        <f>IF($D2395="","",$C2395&amp;"|"&amp;COUNTIFS($C$7:$C2395,$C2395))</f>
        <v/>
      </c>
      <c r="R2395" s="1" t="str">
        <f t="shared" si="188"/>
        <v/>
      </c>
      <c r="S2395" s="1" t="str">
        <f t="shared" si="189"/>
        <v/>
      </c>
      <c r="T2395" s="1">
        <f>IF($E2395="",0,SUMPRODUCT((AY_SONU!$O$7:$O$42="Evet")*(AY_SONU!$B$7:$B$42=DATE(YEAR($E2395),MONTH($E2395),1))))</f>
        <v>0</v>
      </c>
    </row>
    <row r="2396" spans="1:20" ht="18" customHeight="1" x14ac:dyDescent="0.3">
      <c r="A2396" s="2"/>
      <c r="B2396" s="65" t="str">
        <f t="shared" si="185"/>
        <v/>
      </c>
      <c r="C2396" s="65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66"/>
      <c r="F2396" s="67"/>
      <c r="G2396" s="60"/>
      <c r="H2396" s="60"/>
      <c r="I2396" s="61"/>
      <c r="J2396" s="61"/>
      <c r="K2396" s="61"/>
      <c r="L2396" s="73" t="str">
        <f t="shared" si="186"/>
        <v/>
      </c>
      <c r="M2396" s="65" t="str">
        <f t="shared" ca="1" si="187"/>
        <v/>
      </c>
      <c r="N2396" s="74" t="str">
        <f>IF($C2396="","",IF($C2396="TANIMSIZ MÜŞTERİ","—",INDEX(MUSTERILER!$C$7:$C$156,MATCH($C2396,MUSTERILER!$B$7:$B$156,0))))</f>
        <v/>
      </c>
      <c r="O2396" s="2"/>
      <c r="P2396" s="2"/>
      <c r="Q2396" s="1" t="str">
        <f>IF($D2396="","",$C2396&amp;"|"&amp;COUNTIFS($C$7:$C2396,$C2396))</f>
        <v/>
      </c>
      <c r="R2396" s="1" t="str">
        <f t="shared" si="188"/>
        <v/>
      </c>
      <c r="S2396" s="1" t="str">
        <f t="shared" si="189"/>
        <v/>
      </c>
      <c r="T2396" s="1">
        <f>IF($E2396="",0,SUMPRODUCT((AY_SONU!$O$7:$O$42="Evet")*(AY_SONU!$B$7:$B$42=DATE(YEAR($E2396),MONTH($E2396),1))))</f>
        <v>0</v>
      </c>
    </row>
    <row r="2397" spans="1:20" ht="18" customHeight="1" x14ac:dyDescent="0.3">
      <c r="A2397" s="2"/>
      <c r="B2397" s="65" t="str">
        <f t="shared" si="185"/>
        <v/>
      </c>
      <c r="C2397" s="65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66"/>
      <c r="F2397" s="67"/>
      <c r="G2397" s="60"/>
      <c r="H2397" s="60"/>
      <c r="I2397" s="61"/>
      <c r="J2397" s="61"/>
      <c r="K2397" s="61"/>
      <c r="L2397" s="73" t="str">
        <f t="shared" si="186"/>
        <v/>
      </c>
      <c r="M2397" s="65" t="str">
        <f t="shared" ca="1" si="187"/>
        <v/>
      </c>
      <c r="N2397" s="74" t="str">
        <f>IF($C2397="","",IF($C2397="TANIMSIZ MÜŞTERİ","—",INDEX(MUSTERILER!$C$7:$C$156,MATCH($C2397,MUSTERILER!$B$7:$B$156,0))))</f>
        <v/>
      </c>
      <c r="O2397" s="2"/>
      <c r="P2397" s="2"/>
      <c r="Q2397" s="1" t="str">
        <f>IF($D2397="","",$C2397&amp;"|"&amp;COUNTIFS($C$7:$C2397,$C2397))</f>
        <v/>
      </c>
      <c r="R2397" s="1" t="str">
        <f t="shared" si="188"/>
        <v/>
      </c>
      <c r="S2397" s="1" t="str">
        <f t="shared" si="189"/>
        <v/>
      </c>
      <c r="T2397" s="1">
        <f>IF($E2397="",0,SUMPRODUCT((AY_SONU!$O$7:$O$42="Evet")*(AY_SONU!$B$7:$B$42=DATE(YEAR($E2397),MONTH($E2397),1))))</f>
        <v>0</v>
      </c>
    </row>
    <row r="2398" spans="1:20" ht="18" customHeight="1" x14ac:dyDescent="0.3">
      <c r="A2398" s="2"/>
      <c r="B2398" s="65" t="str">
        <f t="shared" si="185"/>
        <v/>
      </c>
      <c r="C2398" s="65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66"/>
      <c r="F2398" s="67"/>
      <c r="G2398" s="60"/>
      <c r="H2398" s="60"/>
      <c r="I2398" s="61"/>
      <c r="J2398" s="61"/>
      <c r="K2398" s="61"/>
      <c r="L2398" s="73" t="str">
        <f t="shared" si="186"/>
        <v/>
      </c>
      <c r="M2398" s="65" t="str">
        <f t="shared" ca="1" si="187"/>
        <v/>
      </c>
      <c r="N2398" s="74" t="str">
        <f>IF($C2398="","",IF($C2398="TANIMSIZ MÜŞTERİ","—",INDEX(MUSTERILER!$C$7:$C$156,MATCH($C2398,MUSTERILER!$B$7:$B$156,0))))</f>
        <v/>
      </c>
      <c r="O2398" s="2"/>
      <c r="P2398" s="2"/>
      <c r="Q2398" s="1" t="str">
        <f>IF($D2398="","",$C2398&amp;"|"&amp;COUNTIFS($C$7:$C2398,$C2398))</f>
        <v/>
      </c>
      <c r="R2398" s="1" t="str">
        <f t="shared" si="188"/>
        <v/>
      </c>
      <c r="S2398" s="1" t="str">
        <f t="shared" si="189"/>
        <v/>
      </c>
      <c r="T2398" s="1">
        <f>IF($E2398="",0,SUMPRODUCT((AY_SONU!$O$7:$O$42="Evet")*(AY_SONU!$B$7:$B$42=DATE(YEAR($E2398),MONTH($E2398),1))))</f>
        <v>0</v>
      </c>
    </row>
    <row r="2399" spans="1:20" ht="18" customHeight="1" x14ac:dyDescent="0.3">
      <c r="A2399" s="2"/>
      <c r="B2399" s="65" t="str">
        <f t="shared" si="185"/>
        <v/>
      </c>
      <c r="C2399" s="65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66"/>
      <c r="F2399" s="67"/>
      <c r="G2399" s="60"/>
      <c r="H2399" s="60"/>
      <c r="I2399" s="61"/>
      <c r="J2399" s="61"/>
      <c r="K2399" s="61"/>
      <c r="L2399" s="73" t="str">
        <f t="shared" si="186"/>
        <v/>
      </c>
      <c r="M2399" s="65" t="str">
        <f t="shared" ca="1" si="187"/>
        <v/>
      </c>
      <c r="N2399" s="74" t="str">
        <f>IF($C2399="","",IF($C2399="TANIMSIZ MÜŞTERİ","—",INDEX(MUSTERILER!$C$7:$C$156,MATCH($C2399,MUSTERILER!$B$7:$B$156,0))))</f>
        <v/>
      </c>
      <c r="O2399" s="2"/>
      <c r="P2399" s="2"/>
      <c r="Q2399" s="1" t="str">
        <f>IF($D2399="","",$C2399&amp;"|"&amp;COUNTIFS($C$7:$C2399,$C2399))</f>
        <v/>
      </c>
      <c r="R2399" s="1" t="str">
        <f t="shared" si="188"/>
        <v/>
      </c>
      <c r="S2399" s="1" t="str">
        <f t="shared" si="189"/>
        <v/>
      </c>
      <c r="T2399" s="1">
        <f>IF($E2399="",0,SUMPRODUCT((AY_SONU!$O$7:$O$42="Evet")*(AY_SONU!$B$7:$B$42=DATE(YEAR($E2399),MONTH($E2399),1))))</f>
        <v>0</v>
      </c>
    </row>
    <row r="2400" spans="1:20" ht="18" customHeight="1" x14ac:dyDescent="0.3">
      <c r="A2400" s="2"/>
      <c r="B2400" s="65" t="str">
        <f t="shared" si="185"/>
        <v/>
      </c>
      <c r="C2400" s="65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66"/>
      <c r="F2400" s="67"/>
      <c r="G2400" s="60"/>
      <c r="H2400" s="60"/>
      <c r="I2400" s="61"/>
      <c r="J2400" s="61"/>
      <c r="K2400" s="61"/>
      <c r="L2400" s="73" t="str">
        <f t="shared" si="186"/>
        <v/>
      </c>
      <c r="M2400" s="65" t="str">
        <f t="shared" ca="1" si="187"/>
        <v/>
      </c>
      <c r="N2400" s="74" t="str">
        <f>IF($C2400="","",IF($C2400="TANIMSIZ MÜŞTERİ","—",INDEX(MUSTERILER!$C$7:$C$156,MATCH($C2400,MUSTERILER!$B$7:$B$156,0))))</f>
        <v/>
      </c>
      <c r="O2400" s="2"/>
      <c r="P2400" s="2"/>
      <c r="Q2400" s="1" t="str">
        <f>IF($D2400="","",$C2400&amp;"|"&amp;COUNTIFS($C$7:$C2400,$C2400))</f>
        <v/>
      </c>
      <c r="R2400" s="1" t="str">
        <f t="shared" si="188"/>
        <v/>
      </c>
      <c r="S2400" s="1" t="str">
        <f t="shared" si="189"/>
        <v/>
      </c>
      <c r="T2400" s="1">
        <f>IF($E2400="",0,SUMPRODUCT((AY_SONU!$O$7:$O$42="Evet")*(AY_SONU!$B$7:$B$42=DATE(YEAR($E2400),MONTH($E2400),1))))</f>
        <v>0</v>
      </c>
    </row>
    <row r="2401" spans="1:20" ht="18" customHeight="1" x14ac:dyDescent="0.3">
      <c r="A2401" s="2"/>
      <c r="B2401" s="65" t="str">
        <f t="shared" si="185"/>
        <v/>
      </c>
      <c r="C2401" s="65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66"/>
      <c r="F2401" s="67"/>
      <c r="G2401" s="60"/>
      <c r="H2401" s="60"/>
      <c r="I2401" s="61"/>
      <c r="J2401" s="61"/>
      <c r="K2401" s="61"/>
      <c r="L2401" s="73" t="str">
        <f t="shared" si="186"/>
        <v/>
      </c>
      <c r="M2401" s="65" t="str">
        <f t="shared" ca="1" si="187"/>
        <v/>
      </c>
      <c r="N2401" s="74" t="str">
        <f>IF($C2401="","",IF($C2401="TANIMSIZ MÜŞTERİ","—",INDEX(MUSTERILER!$C$7:$C$156,MATCH($C2401,MUSTERILER!$B$7:$B$156,0))))</f>
        <v/>
      </c>
      <c r="O2401" s="2"/>
      <c r="P2401" s="2"/>
      <c r="Q2401" s="1" t="str">
        <f>IF($D2401="","",$C2401&amp;"|"&amp;COUNTIFS($C$7:$C2401,$C2401))</f>
        <v/>
      </c>
      <c r="R2401" s="1" t="str">
        <f t="shared" si="188"/>
        <v/>
      </c>
      <c r="S2401" s="1" t="str">
        <f t="shared" si="189"/>
        <v/>
      </c>
      <c r="T2401" s="1">
        <f>IF($E2401="",0,SUMPRODUCT((AY_SONU!$O$7:$O$42="Evet")*(AY_SONU!$B$7:$B$42=DATE(YEAR($E2401),MONTH($E2401),1))))</f>
        <v>0</v>
      </c>
    </row>
    <row r="2402" spans="1:20" ht="18" customHeight="1" x14ac:dyDescent="0.3">
      <c r="A2402" s="2"/>
      <c r="B2402" s="65" t="str">
        <f t="shared" si="185"/>
        <v/>
      </c>
      <c r="C2402" s="65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66"/>
      <c r="F2402" s="67"/>
      <c r="G2402" s="60"/>
      <c r="H2402" s="60"/>
      <c r="I2402" s="61"/>
      <c r="J2402" s="61"/>
      <c r="K2402" s="61"/>
      <c r="L2402" s="73" t="str">
        <f t="shared" si="186"/>
        <v/>
      </c>
      <c r="M2402" s="65" t="str">
        <f t="shared" ca="1" si="187"/>
        <v/>
      </c>
      <c r="N2402" s="74" t="str">
        <f>IF($C2402="","",IF($C2402="TANIMSIZ MÜŞTERİ","—",INDEX(MUSTERILER!$C$7:$C$156,MATCH($C2402,MUSTERILER!$B$7:$B$156,0))))</f>
        <v/>
      </c>
      <c r="O2402" s="2"/>
      <c r="P2402" s="2"/>
      <c r="Q2402" s="1" t="str">
        <f>IF($D2402="","",$C2402&amp;"|"&amp;COUNTIFS($C$7:$C2402,$C2402))</f>
        <v/>
      </c>
      <c r="R2402" s="1" t="str">
        <f t="shared" si="188"/>
        <v/>
      </c>
      <c r="S2402" s="1" t="str">
        <f t="shared" si="189"/>
        <v/>
      </c>
      <c r="T2402" s="1">
        <f>IF($E2402="",0,SUMPRODUCT((AY_SONU!$O$7:$O$42="Evet")*(AY_SONU!$B$7:$B$42=DATE(YEAR($E2402),MONTH($E2402),1))))</f>
        <v>0</v>
      </c>
    </row>
    <row r="2403" spans="1:20" ht="18" customHeight="1" x14ac:dyDescent="0.3">
      <c r="A2403" s="2"/>
      <c r="B2403" s="65" t="str">
        <f t="shared" si="185"/>
        <v/>
      </c>
      <c r="C2403" s="65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66"/>
      <c r="F2403" s="67"/>
      <c r="G2403" s="60"/>
      <c r="H2403" s="60"/>
      <c r="I2403" s="61"/>
      <c r="J2403" s="61"/>
      <c r="K2403" s="61"/>
      <c r="L2403" s="73" t="str">
        <f t="shared" si="186"/>
        <v/>
      </c>
      <c r="M2403" s="65" t="str">
        <f t="shared" ca="1" si="187"/>
        <v/>
      </c>
      <c r="N2403" s="74" t="str">
        <f>IF($C2403="","",IF($C2403="TANIMSIZ MÜŞTERİ","—",INDEX(MUSTERILER!$C$7:$C$156,MATCH($C2403,MUSTERILER!$B$7:$B$156,0))))</f>
        <v/>
      </c>
      <c r="O2403" s="2"/>
      <c r="P2403" s="2"/>
      <c r="Q2403" s="1" t="str">
        <f>IF($D2403="","",$C2403&amp;"|"&amp;COUNTIFS($C$7:$C2403,$C2403))</f>
        <v/>
      </c>
      <c r="R2403" s="1" t="str">
        <f t="shared" si="188"/>
        <v/>
      </c>
      <c r="S2403" s="1" t="str">
        <f t="shared" si="189"/>
        <v/>
      </c>
      <c r="T2403" s="1">
        <f>IF($E2403="",0,SUMPRODUCT((AY_SONU!$O$7:$O$42="Evet")*(AY_SONU!$B$7:$B$42=DATE(YEAR($E2403),MONTH($E2403),1))))</f>
        <v>0</v>
      </c>
    </row>
    <row r="2404" spans="1:20" ht="18" customHeight="1" x14ac:dyDescent="0.3">
      <c r="A2404" s="2"/>
      <c r="B2404" s="65" t="str">
        <f t="shared" si="185"/>
        <v/>
      </c>
      <c r="C2404" s="65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66"/>
      <c r="F2404" s="67"/>
      <c r="G2404" s="60"/>
      <c r="H2404" s="60"/>
      <c r="I2404" s="61"/>
      <c r="J2404" s="61"/>
      <c r="K2404" s="61"/>
      <c r="L2404" s="73" t="str">
        <f t="shared" si="186"/>
        <v/>
      </c>
      <c r="M2404" s="65" t="str">
        <f t="shared" ca="1" si="187"/>
        <v/>
      </c>
      <c r="N2404" s="74" t="str">
        <f>IF($C2404="","",IF($C2404="TANIMSIZ MÜŞTERİ","—",INDEX(MUSTERILER!$C$7:$C$156,MATCH($C2404,MUSTERILER!$B$7:$B$156,0))))</f>
        <v/>
      </c>
      <c r="O2404" s="2"/>
      <c r="P2404" s="2"/>
      <c r="Q2404" s="1" t="str">
        <f>IF($D2404="","",$C2404&amp;"|"&amp;COUNTIFS($C$7:$C2404,$C2404))</f>
        <v/>
      </c>
      <c r="R2404" s="1" t="str">
        <f t="shared" si="188"/>
        <v/>
      </c>
      <c r="S2404" s="1" t="str">
        <f t="shared" si="189"/>
        <v/>
      </c>
      <c r="T2404" s="1">
        <f>IF($E2404="",0,SUMPRODUCT((AY_SONU!$O$7:$O$42="Evet")*(AY_SONU!$B$7:$B$42=DATE(YEAR($E2404),MONTH($E2404),1))))</f>
        <v>0</v>
      </c>
    </row>
    <row r="2405" spans="1:20" ht="18" customHeight="1" x14ac:dyDescent="0.3">
      <c r="A2405" s="2"/>
      <c r="B2405" s="65" t="str">
        <f t="shared" si="185"/>
        <v/>
      </c>
      <c r="C2405" s="65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66"/>
      <c r="F2405" s="67"/>
      <c r="G2405" s="60"/>
      <c r="H2405" s="60"/>
      <c r="I2405" s="61"/>
      <c r="J2405" s="61"/>
      <c r="K2405" s="61"/>
      <c r="L2405" s="73" t="str">
        <f t="shared" si="186"/>
        <v/>
      </c>
      <c r="M2405" s="65" t="str">
        <f t="shared" ca="1" si="187"/>
        <v/>
      </c>
      <c r="N2405" s="74" t="str">
        <f>IF($C2405="","",IF($C2405="TANIMSIZ MÜŞTERİ","—",INDEX(MUSTERILER!$C$7:$C$156,MATCH($C2405,MUSTERILER!$B$7:$B$156,0))))</f>
        <v/>
      </c>
      <c r="O2405" s="2"/>
      <c r="P2405" s="2"/>
      <c r="Q2405" s="1" t="str">
        <f>IF($D2405="","",$C2405&amp;"|"&amp;COUNTIFS($C$7:$C2405,$C2405))</f>
        <v/>
      </c>
      <c r="R2405" s="1" t="str">
        <f t="shared" si="188"/>
        <v/>
      </c>
      <c r="S2405" s="1" t="str">
        <f t="shared" si="189"/>
        <v/>
      </c>
      <c r="T2405" s="1">
        <f>IF($E2405="",0,SUMPRODUCT((AY_SONU!$O$7:$O$42="Evet")*(AY_SONU!$B$7:$B$42=DATE(YEAR($E2405),MONTH($E2405),1))))</f>
        <v>0</v>
      </c>
    </row>
    <row r="2406" spans="1:20" ht="18" customHeight="1" x14ac:dyDescent="0.3">
      <c r="A2406" s="2"/>
      <c r="B2406" s="65" t="str">
        <f t="shared" si="185"/>
        <v/>
      </c>
      <c r="C2406" s="65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66"/>
      <c r="F2406" s="67"/>
      <c r="G2406" s="60"/>
      <c r="H2406" s="60"/>
      <c r="I2406" s="61"/>
      <c r="J2406" s="61"/>
      <c r="K2406" s="61"/>
      <c r="L2406" s="73" t="str">
        <f t="shared" si="186"/>
        <v/>
      </c>
      <c r="M2406" s="65" t="str">
        <f t="shared" ca="1" si="187"/>
        <v/>
      </c>
      <c r="N2406" s="74" t="str">
        <f>IF($C2406="","",IF($C2406="TANIMSIZ MÜŞTERİ","—",INDEX(MUSTERILER!$C$7:$C$156,MATCH($C2406,MUSTERILER!$B$7:$B$156,0))))</f>
        <v/>
      </c>
      <c r="O2406" s="2"/>
      <c r="P2406" s="2"/>
      <c r="Q2406" s="1" t="str">
        <f>IF($D2406="","",$C2406&amp;"|"&amp;COUNTIFS($C$7:$C2406,$C2406))</f>
        <v/>
      </c>
      <c r="R2406" s="1" t="str">
        <f t="shared" si="188"/>
        <v/>
      </c>
      <c r="S2406" s="1" t="str">
        <f t="shared" si="189"/>
        <v/>
      </c>
      <c r="T2406" s="1">
        <f>IF($E2406="",0,SUMPRODUCT((AY_SONU!$O$7:$O$42="Evet")*(AY_SONU!$B$7:$B$42=DATE(YEAR($E2406),MONTH($E2406),1))))</f>
        <v>0</v>
      </c>
    </row>
    <row r="2407" spans="1:20" ht="18" customHeight="1" x14ac:dyDescent="0.3">
      <c r="A2407" s="2"/>
      <c r="B2407" s="65" t="str">
        <f t="shared" si="185"/>
        <v/>
      </c>
      <c r="C2407" s="65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66"/>
      <c r="F2407" s="67"/>
      <c r="G2407" s="60"/>
      <c r="H2407" s="60"/>
      <c r="I2407" s="61"/>
      <c r="J2407" s="61"/>
      <c r="K2407" s="61"/>
      <c r="L2407" s="73" t="str">
        <f t="shared" si="186"/>
        <v/>
      </c>
      <c r="M2407" s="65" t="str">
        <f t="shared" ca="1" si="187"/>
        <v/>
      </c>
      <c r="N2407" s="74" t="str">
        <f>IF($C2407="","",IF($C2407="TANIMSIZ MÜŞTERİ","—",INDEX(MUSTERILER!$C$7:$C$156,MATCH($C2407,MUSTERILER!$B$7:$B$156,0))))</f>
        <v/>
      </c>
      <c r="O2407" s="2"/>
      <c r="P2407" s="2"/>
      <c r="Q2407" s="1" t="str">
        <f>IF($D2407="","",$C2407&amp;"|"&amp;COUNTIFS($C$7:$C2407,$C2407))</f>
        <v/>
      </c>
      <c r="R2407" s="1" t="str">
        <f t="shared" si="188"/>
        <v/>
      </c>
      <c r="S2407" s="1" t="str">
        <f t="shared" si="189"/>
        <v/>
      </c>
      <c r="T2407" s="1">
        <f>IF($E2407="",0,SUMPRODUCT((AY_SONU!$O$7:$O$42="Evet")*(AY_SONU!$B$7:$B$42=DATE(YEAR($E2407),MONTH($E2407),1))))</f>
        <v>0</v>
      </c>
    </row>
    <row r="2408" spans="1:20" ht="18" customHeight="1" x14ac:dyDescent="0.3">
      <c r="A2408" s="2"/>
      <c r="B2408" s="65" t="str">
        <f t="shared" si="185"/>
        <v/>
      </c>
      <c r="C2408" s="65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66"/>
      <c r="F2408" s="67"/>
      <c r="G2408" s="60"/>
      <c r="H2408" s="60"/>
      <c r="I2408" s="61"/>
      <c r="J2408" s="61"/>
      <c r="K2408" s="61"/>
      <c r="L2408" s="73" t="str">
        <f t="shared" si="186"/>
        <v/>
      </c>
      <c r="M2408" s="65" t="str">
        <f t="shared" ca="1" si="187"/>
        <v/>
      </c>
      <c r="N2408" s="74" t="str">
        <f>IF($C2408="","",IF($C2408="TANIMSIZ MÜŞTERİ","—",INDEX(MUSTERILER!$C$7:$C$156,MATCH($C2408,MUSTERILER!$B$7:$B$156,0))))</f>
        <v/>
      </c>
      <c r="O2408" s="2"/>
      <c r="P2408" s="2"/>
      <c r="Q2408" s="1" t="str">
        <f>IF($D2408="","",$C2408&amp;"|"&amp;COUNTIFS($C$7:$C2408,$C2408))</f>
        <v/>
      </c>
      <c r="R2408" s="1" t="str">
        <f t="shared" si="188"/>
        <v/>
      </c>
      <c r="S2408" s="1" t="str">
        <f t="shared" si="189"/>
        <v/>
      </c>
      <c r="T2408" s="1">
        <f>IF($E2408="",0,SUMPRODUCT((AY_SONU!$O$7:$O$42="Evet")*(AY_SONU!$B$7:$B$42=DATE(YEAR($E2408),MONTH($E2408),1))))</f>
        <v>0</v>
      </c>
    </row>
    <row r="2409" spans="1:20" ht="18" customHeight="1" x14ac:dyDescent="0.3">
      <c r="A2409" s="2"/>
      <c r="B2409" s="65" t="str">
        <f t="shared" si="185"/>
        <v/>
      </c>
      <c r="C2409" s="65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66"/>
      <c r="F2409" s="67"/>
      <c r="G2409" s="60"/>
      <c r="H2409" s="60"/>
      <c r="I2409" s="61"/>
      <c r="J2409" s="61"/>
      <c r="K2409" s="61"/>
      <c r="L2409" s="73" t="str">
        <f t="shared" si="186"/>
        <v/>
      </c>
      <c r="M2409" s="65" t="str">
        <f t="shared" ca="1" si="187"/>
        <v/>
      </c>
      <c r="N2409" s="74" t="str">
        <f>IF($C2409="","",IF($C2409="TANIMSIZ MÜŞTERİ","—",INDEX(MUSTERILER!$C$7:$C$156,MATCH($C2409,MUSTERILER!$B$7:$B$156,0))))</f>
        <v/>
      </c>
      <c r="O2409" s="2"/>
      <c r="P2409" s="2"/>
      <c r="Q2409" s="1" t="str">
        <f>IF($D2409="","",$C2409&amp;"|"&amp;COUNTIFS($C$7:$C2409,$C2409))</f>
        <v/>
      </c>
      <c r="R2409" s="1" t="str">
        <f t="shared" si="188"/>
        <v/>
      </c>
      <c r="S2409" s="1" t="str">
        <f t="shared" si="189"/>
        <v/>
      </c>
      <c r="T2409" s="1">
        <f>IF($E2409="",0,SUMPRODUCT((AY_SONU!$O$7:$O$42="Evet")*(AY_SONU!$B$7:$B$42=DATE(YEAR($E2409),MONTH($E2409),1))))</f>
        <v>0</v>
      </c>
    </row>
    <row r="2410" spans="1:20" ht="18" customHeight="1" x14ac:dyDescent="0.3">
      <c r="A2410" s="2"/>
      <c r="B2410" s="65" t="str">
        <f t="shared" si="185"/>
        <v/>
      </c>
      <c r="C2410" s="65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66"/>
      <c r="F2410" s="67"/>
      <c r="G2410" s="60"/>
      <c r="H2410" s="60"/>
      <c r="I2410" s="61"/>
      <c r="J2410" s="61"/>
      <c r="K2410" s="61"/>
      <c r="L2410" s="73" t="str">
        <f t="shared" si="186"/>
        <v/>
      </c>
      <c r="M2410" s="65" t="str">
        <f t="shared" ca="1" si="187"/>
        <v/>
      </c>
      <c r="N2410" s="74" t="str">
        <f>IF($C2410="","",IF($C2410="TANIMSIZ MÜŞTERİ","—",INDEX(MUSTERILER!$C$7:$C$156,MATCH($C2410,MUSTERILER!$B$7:$B$156,0))))</f>
        <v/>
      </c>
      <c r="O2410" s="2"/>
      <c r="P2410" s="2"/>
      <c r="Q2410" s="1" t="str">
        <f>IF($D2410="","",$C2410&amp;"|"&amp;COUNTIFS($C$7:$C2410,$C2410))</f>
        <v/>
      </c>
      <c r="R2410" s="1" t="str">
        <f t="shared" si="188"/>
        <v/>
      </c>
      <c r="S2410" s="1" t="str">
        <f t="shared" si="189"/>
        <v/>
      </c>
      <c r="T2410" s="1">
        <f>IF($E2410="",0,SUMPRODUCT((AY_SONU!$O$7:$O$42="Evet")*(AY_SONU!$B$7:$B$42=DATE(YEAR($E2410),MONTH($E2410),1))))</f>
        <v>0</v>
      </c>
    </row>
    <row r="2411" spans="1:20" ht="18" customHeight="1" x14ac:dyDescent="0.3">
      <c r="A2411" s="2"/>
      <c r="B2411" s="65" t="str">
        <f t="shared" si="185"/>
        <v/>
      </c>
      <c r="C2411" s="65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66"/>
      <c r="F2411" s="67"/>
      <c r="G2411" s="60"/>
      <c r="H2411" s="60"/>
      <c r="I2411" s="61"/>
      <c r="J2411" s="61"/>
      <c r="K2411" s="61"/>
      <c r="L2411" s="73" t="str">
        <f t="shared" si="186"/>
        <v/>
      </c>
      <c r="M2411" s="65" t="str">
        <f t="shared" ca="1" si="187"/>
        <v/>
      </c>
      <c r="N2411" s="74" t="str">
        <f>IF($C2411="","",IF($C2411="TANIMSIZ MÜŞTERİ","—",INDEX(MUSTERILER!$C$7:$C$156,MATCH($C2411,MUSTERILER!$B$7:$B$156,0))))</f>
        <v/>
      </c>
      <c r="O2411" s="2"/>
      <c r="P2411" s="2"/>
      <c r="Q2411" s="1" t="str">
        <f>IF($D2411="","",$C2411&amp;"|"&amp;COUNTIFS($C$7:$C2411,$C2411))</f>
        <v/>
      </c>
      <c r="R2411" s="1" t="str">
        <f t="shared" si="188"/>
        <v/>
      </c>
      <c r="S2411" s="1" t="str">
        <f t="shared" si="189"/>
        <v/>
      </c>
      <c r="T2411" s="1">
        <f>IF($E2411="",0,SUMPRODUCT((AY_SONU!$O$7:$O$42="Evet")*(AY_SONU!$B$7:$B$42=DATE(YEAR($E2411),MONTH($E2411),1))))</f>
        <v>0</v>
      </c>
    </row>
    <row r="2412" spans="1:20" ht="18" customHeight="1" x14ac:dyDescent="0.3">
      <c r="A2412" s="2"/>
      <c r="B2412" s="65" t="str">
        <f t="shared" si="185"/>
        <v/>
      </c>
      <c r="C2412" s="65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66"/>
      <c r="F2412" s="67"/>
      <c r="G2412" s="60"/>
      <c r="H2412" s="60"/>
      <c r="I2412" s="61"/>
      <c r="J2412" s="61"/>
      <c r="K2412" s="61"/>
      <c r="L2412" s="73" t="str">
        <f t="shared" si="186"/>
        <v/>
      </c>
      <c r="M2412" s="65" t="str">
        <f t="shared" ca="1" si="187"/>
        <v/>
      </c>
      <c r="N2412" s="74" t="str">
        <f>IF($C2412="","",IF($C2412="TANIMSIZ MÜŞTERİ","—",INDEX(MUSTERILER!$C$7:$C$156,MATCH($C2412,MUSTERILER!$B$7:$B$156,0))))</f>
        <v/>
      </c>
      <c r="O2412" s="2"/>
      <c r="P2412" s="2"/>
      <c r="Q2412" s="1" t="str">
        <f>IF($D2412="","",$C2412&amp;"|"&amp;COUNTIFS($C$7:$C2412,$C2412))</f>
        <v/>
      </c>
      <c r="R2412" s="1" t="str">
        <f t="shared" si="188"/>
        <v/>
      </c>
      <c r="S2412" s="1" t="str">
        <f t="shared" si="189"/>
        <v/>
      </c>
      <c r="T2412" s="1">
        <f>IF($E2412="",0,SUMPRODUCT((AY_SONU!$O$7:$O$42="Evet")*(AY_SONU!$B$7:$B$42=DATE(YEAR($E2412),MONTH($E2412),1))))</f>
        <v>0</v>
      </c>
    </row>
    <row r="2413" spans="1:20" ht="18" customHeight="1" x14ac:dyDescent="0.3">
      <c r="A2413" s="2"/>
      <c r="B2413" s="65" t="str">
        <f t="shared" si="185"/>
        <v/>
      </c>
      <c r="C2413" s="65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66"/>
      <c r="F2413" s="67"/>
      <c r="G2413" s="60"/>
      <c r="H2413" s="60"/>
      <c r="I2413" s="61"/>
      <c r="J2413" s="61"/>
      <c r="K2413" s="61"/>
      <c r="L2413" s="73" t="str">
        <f t="shared" si="186"/>
        <v/>
      </c>
      <c r="M2413" s="65" t="str">
        <f t="shared" ca="1" si="187"/>
        <v/>
      </c>
      <c r="N2413" s="74" t="str">
        <f>IF($C2413="","",IF($C2413="TANIMSIZ MÜŞTERİ","—",INDEX(MUSTERILER!$C$7:$C$156,MATCH($C2413,MUSTERILER!$B$7:$B$156,0))))</f>
        <v/>
      </c>
      <c r="O2413" s="2"/>
      <c r="P2413" s="2"/>
      <c r="Q2413" s="1" t="str">
        <f>IF($D2413="","",$C2413&amp;"|"&amp;COUNTIFS($C$7:$C2413,$C2413))</f>
        <v/>
      </c>
      <c r="R2413" s="1" t="str">
        <f t="shared" si="188"/>
        <v/>
      </c>
      <c r="S2413" s="1" t="str">
        <f t="shared" si="189"/>
        <v/>
      </c>
      <c r="T2413" s="1">
        <f>IF($E2413="",0,SUMPRODUCT((AY_SONU!$O$7:$O$42="Evet")*(AY_SONU!$B$7:$B$42=DATE(YEAR($E2413),MONTH($E2413),1))))</f>
        <v>0</v>
      </c>
    </row>
    <row r="2414" spans="1:20" ht="18" customHeight="1" x14ac:dyDescent="0.3">
      <c r="A2414" s="2"/>
      <c r="B2414" s="65" t="str">
        <f t="shared" si="185"/>
        <v/>
      </c>
      <c r="C2414" s="65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66"/>
      <c r="F2414" s="67"/>
      <c r="G2414" s="60"/>
      <c r="H2414" s="60"/>
      <c r="I2414" s="61"/>
      <c r="J2414" s="61"/>
      <c r="K2414" s="61"/>
      <c r="L2414" s="73" t="str">
        <f t="shared" si="186"/>
        <v/>
      </c>
      <c r="M2414" s="65" t="str">
        <f t="shared" ca="1" si="187"/>
        <v/>
      </c>
      <c r="N2414" s="74" t="str">
        <f>IF($C2414="","",IF($C2414="TANIMSIZ MÜŞTERİ","—",INDEX(MUSTERILER!$C$7:$C$156,MATCH($C2414,MUSTERILER!$B$7:$B$156,0))))</f>
        <v/>
      </c>
      <c r="O2414" s="2"/>
      <c r="P2414" s="2"/>
      <c r="Q2414" s="1" t="str">
        <f>IF($D2414="","",$C2414&amp;"|"&amp;COUNTIFS($C$7:$C2414,$C2414))</f>
        <v/>
      </c>
      <c r="R2414" s="1" t="str">
        <f t="shared" si="188"/>
        <v/>
      </c>
      <c r="S2414" s="1" t="str">
        <f t="shared" si="189"/>
        <v/>
      </c>
      <c r="T2414" s="1">
        <f>IF($E2414="",0,SUMPRODUCT((AY_SONU!$O$7:$O$42="Evet")*(AY_SONU!$B$7:$B$42=DATE(YEAR($E2414),MONTH($E2414),1))))</f>
        <v>0</v>
      </c>
    </row>
    <row r="2415" spans="1:20" ht="18" customHeight="1" x14ac:dyDescent="0.3">
      <c r="A2415" s="2"/>
      <c r="B2415" s="65" t="str">
        <f t="shared" si="185"/>
        <v/>
      </c>
      <c r="C2415" s="65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66"/>
      <c r="F2415" s="67"/>
      <c r="G2415" s="60"/>
      <c r="H2415" s="60"/>
      <c r="I2415" s="61"/>
      <c r="J2415" s="61"/>
      <c r="K2415" s="61"/>
      <c r="L2415" s="73" t="str">
        <f t="shared" si="186"/>
        <v/>
      </c>
      <c r="M2415" s="65" t="str">
        <f t="shared" ca="1" si="187"/>
        <v/>
      </c>
      <c r="N2415" s="74" t="str">
        <f>IF($C2415="","",IF($C2415="TANIMSIZ MÜŞTERİ","—",INDEX(MUSTERILER!$C$7:$C$156,MATCH($C2415,MUSTERILER!$B$7:$B$156,0))))</f>
        <v/>
      </c>
      <c r="O2415" s="2"/>
      <c r="P2415" s="2"/>
      <c r="Q2415" s="1" t="str">
        <f>IF($D2415="","",$C2415&amp;"|"&amp;COUNTIFS($C$7:$C2415,$C2415))</f>
        <v/>
      </c>
      <c r="R2415" s="1" t="str">
        <f t="shared" si="188"/>
        <v/>
      </c>
      <c r="S2415" s="1" t="str">
        <f t="shared" si="189"/>
        <v/>
      </c>
      <c r="T2415" s="1">
        <f>IF($E2415="",0,SUMPRODUCT((AY_SONU!$O$7:$O$42="Evet")*(AY_SONU!$B$7:$B$42=DATE(YEAR($E2415),MONTH($E2415),1))))</f>
        <v>0</v>
      </c>
    </row>
    <row r="2416" spans="1:20" ht="18" customHeight="1" x14ac:dyDescent="0.3">
      <c r="A2416" s="2"/>
      <c r="B2416" s="65" t="str">
        <f t="shared" si="185"/>
        <v/>
      </c>
      <c r="C2416" s="65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66"/>
      <c r="F2416" s="67"/>
      <c r="G2416" s="60"/>
      <c r="H2416" s="60"/>
      <c r="I2416" s="61"/>
      <c r="J2416" s="61"/>
      <c r="K2416" s="61"/>
      <c r="L2416" s="73" t="str">
        <f t="shared" si="186"/>
        <v/>
      </c>
      <c r="M2416" s="65" t="str">
        <f t="shared" ca="1" si="187"/>
        <v/>
      </c>
      <c r="N2416" s="74" t="str">
        <f>IF($C2416="","",IF($C2416="TANIMSIZ MÜŞTERİ","—",INDEX(MUSTERILER!$C$7:$C$156,MATCH($C2416,MUSTERILER!$B$7:$B$156,0))))</f>
        <v/>
      </c>
      <c r="O2416" s="2"/>
      <c r="P2416" s="2"/>
      <c r="Q2416" s="1" t="str">
        <f>IF($D2416="","",$C2416&amp;"|"&amp;COUNTIFS($C$7:$C2416,$C2416))</f>
        <v/>
      </c>
      <c r="R2416" s="1" t="str">
        <f t="shared" si="188"/>
        <v/>
      </c>
      <c r="S2416" s="1" t="str">
        <f t="shared" si="189"/>
        <v/>
      </c>
      <c r="T2416" s="1">
        <f>IF($E2416="",0,SUMPRODUCT((AY_SONU!$O$7:$O$42="Evet")*(AY_SONU!$B$7:$B$42=DATE(YEAR($E2416),MONTH($E2416),1))))</f>
        <v>0</v>
      </c>
    </row>
    <row r="2417" spans="1:20" ht="18" customHeight="1" x14ac:dyDescent="0.3">
      <c r="A2417" s="2"/>
      <c r="B2417" s="65" t="str">
        <f t="shared" si="185"/>
        <v/>
      </c>
      <c r="C2417" s="65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66"/>
      <c r="F2417" s="67"/>
      <c r="G2417" s="60"/>
      <c r="H2417" s="60"/>
      <c r="I2417" s="61"/>
      <c r="J2417" s="61"/>
      <c r="K2417" s="61"/>
      <c r="L2417" s="73" t="str">
        <f t="shared" si="186"/>
        <v/>
      </c>
      <c r="M2417" s="65" t="str">
        <f t="shared" ca="1" si="187"/>
        <v/>
      </c>
      <c r="N2417" s="74" t="str">
        <f>IF($C2417="","",IF($C2417="TANIMSIZ MÜŞTERİ","—",INDEX(MUSTERILER!$C$7:$C$156,MATCH($C2417,MUSTERILER!$B$7:$B$156,0))))</f>
        <v/>
      </c>
      <c r="O2417" s="2"/>
      <c r="P2417" s="2"/>
      <c r="Q2417" s="1" t="str">
        <f>IF($D2417="","",$C2417&amp;"|"&amp;COUNTIFS($C$7:$C2417,$C2417))</f>
        <v/>
      </c>
      <c r="R2417" s="1" t="str">
        <f t="shared" si="188"/>
        <v/>
      </c>
      <c r="S2417" s="1" t="str">
        <f t="shared" si="189"/>
        <v/>
      </c>
      <c r="T2417" s="1">
        <f>IF($E2417="",0,SUMPRODUCT((AY_SONU!$O$7:$O$42="Evet")*(AY_SONU!$B$7:$B$42=DATE(YEAR($E2417),MONTH($E2417),1))))</f>
        <v>0</v>
      </c>
    </row>
    <row r="2418" spans="1:20" ht="18" customHeight="1" x14ac:dyDescent="0.3">
      <c r="A2418" s="2"/>
      <c r="B2418" s="65" t="str">
        <f t="shared" si="185"/>
        <v/>
      </c>
      <c r="C2418" s="65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66"/>
      <c r="F2418" s="67"/>
      <c r="G2418" s="60"/>
      <c r="H2418" s="60"/>
      <c r="I2418" s="61"/>
      <c r="J2418" s="61"/>
      <c r="K2418" s="61"/>
      <c r="L2418" s="73" t="str">
        <f t="shared" si="186"/>
        <v/>
      </c>
      <c r="M2418" s="65" t="str">
        <f t="shared" ca="1" si="187"/>
        <v/>
      </c>
      <c r="N2418" s="74" t="str">
        <f>IF($C2418="","",IF($C2418="TANIMSIZ MÜŞTERİ","—",INDEX(MUSTERILER!$C$7:$C$156,MATCH($C2418,MUSTERILER!$B$7:$B$156,0))))</f>
        <v/>
      </c>
      <c r="O2418" s="2"/>
      <c r="P2418" s="2"/>
      <c r="Q2418" s="1" t="str">
        <f>IF($D2418="","",$C2418&amp;"|"&amp;COUNTIFS($C$7:$C2418,$C2418))</f>
        <v/>
      </c>
      <c r="R2418" s="1" t="str">
        <f t="shared" si="188"/>
        <v/>
      </c>
      <c r="S2418" s="1" t="str">
        <f t="shared" si="189"/>
        <v/>
      </c>
      <c r="T2418" s="1">
        <f>IF($E2418="",0,SUMPRODUCT((AY_SONU!$O$7:$O$42="Evet")*(AY_SONU!$B$7:$B$42=DATE(YEAR($E2418),MONTH($E2418),1))))</f>
        <v>0</v>
      </c>
    </row>
    <row r="2419" spans="1:20" ht="18" customHeight="1" x14ac:dyDescent="0.3">
      <c r="A2419" s="2"/>
      <c r="B2419" s="65" t="str">
        <f t="shared" si="185"/>
        <v/>
      </c>
      <c r="C2419" s="65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66"/>
      <c r="F2419" s="67"/>
      <c r="G2419" s="60"/>
      <c r="H2419" s="60"/>
      <c r="I2419" s="61"/>
      <c r="J2419" s="61"/>
      <c r="K2419" s="61"/>
      <c r="L2419" s="73" t="str">
        <f t="shared" si="186"/>
        <v/>
      </c>
      <c r="M2419" s="65" t="str">
        <f t="shared" ca="1" si="187"/>
        <v/>
      </c>
      <c r="N2419" s="74" t="str">
        <f>IF($C2419="","",IF($C2419="TANIMSIZ MÜŞTERİ","—",INDEX(MUSTERILER!$C$7:$C$156,MATCH($C2419,MUSTERILER!$B$7:$B$156,0))))</f>
        <v/>
      </c>
      <c r="O2419" s="2"/>
      <c r="P2419" s="2"/>
      <c r="Q2419" s="1" t="str">
        <f>IF($D2419="","",$C2419&amp;"|"&amp;COUNTIFS($C$7:$C2419,$C2419))</f>
        <v/>
      </c>
      <c r="R2419" s="1" t="str">
        <f t="shared" si="188"/>
        <v/>
      </c>
      <c r="S2419" s="1" t="str">
        <f t="shared" si="189"/>
        <v/>
      </c>
      <c r="T2419" s="1">
        <f>IF($E2419="",0,SUMPRODUCT((AY_SONU!$O$7:$O$42="Evet")*(AY_SONU!$B$7:$B$42=DATE(YEAR($E2419),MONTH($E2419),1))))</f>
        <v>0</v>
      </c>
    </row>
    <row r="2420" spans="1:20" ht="18" customHeight="1" x14ac:dyDescent="0.3">
      <c r="A2420" s="2"/>
      <c r="B2420" s="65" t="str">
        <f t="shared" si="185"/>
        <v/>
      </c>
      <c r="C2420" s="65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66"/>
      <c r="F2420" s="67"/>
      <c r="G2420" s="60"/>
      <c r="H2420" s="60"/>
      <c r="I2420" s="61"/>
      <c r="J2420" s="61"/>
      <c r="K2420" s="61"/>
      <c r="L2420" s="73" t="str">
        <f t="shared" si="186"/>
        <v/>
      </c>
      <c r="M2420" s="65" t="str">
        <f t="shared" ca="1" si="187"/>
        <v/>
      </c>
      <c r="N2420" s="74" t="str">
        <f>IF($C2420="","",IF($C2420="TANIMSIZ MÜŞTERİ","—",INDEX(MUSTERILER!$C$7:$C$156,MATCH($C2420,MUSTERILER!$B$7:$B$156,0))))</f>
        <v/>
      </c>
      <c r="O2420" s="2"/>
      <c r="P2420" s="2"/>
      <c r="Q2420" s="1" t="str">
        <f>IF($D2420="","",$C2420&amp;"|"&amp;COUNTIFS($C$7:$C2420,$C2420))</f>
        <v/>
      </c>
      <c r="R2420" s="1" t="str">
        <f t="shared" si="188"/>
        <v/>
      </c>
      <c r="S2420" s="1" t="str">
        <f t="shared" si="189"/>
        <v/>
      </c>
      <c r="T2420" s="1">
        <f>IF($E2420="",0,SUMPRODUCT((AY_SONU!$O$7:$O$42="Evet")*(AY_SONU!$B$7:$B$42=DATE(YEAR($E2420),MONTH($E2420),1))))</f>
        <v>0</v>
      </c>
    </row>
    <row r="2421" spans="1:20" ht="18" customHeight="1" x14ac:dyDescent="0.3">
      <c r="A2421" s="2"/>
      <c r="B2421" s="65" t="str">
        <f t="shared" si="185"/>
        <v/>
      </c>
      <c r="C2421" s="65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66"/>
      <c r="F2421" s="67"/>
      <c r="G2421" s="60"/>
      <c r="H2421" s="60"/>
      <c r="I2421" s="61"/>
      <c r="J2421" s="61"/>
      <c r="K2421" s="61"/>
      <c r="L2421" s="73" t="str">
        <f t="shared" si="186"/>
        <v/>
      </c>
      <c r="M2421" s="65" t="str">
        <f t="shared" ca="1" si="187"/>
        <v/>
      </c>
      <c r="N2421" s="74" t="str">
        <f>IF($C2421="","",IF($C2421="TANIMSIZ MÜŞTERİ","—",INDEX(MUSTERILER!$C$7:$C$156,MATCH($C2421,MUSTERILER!$B$7:$B$156,0))))</f>
        <v/>
      </c>
      <c r="O2421" s="2"/>
      <c r="P2421" s="2"/>
      <c r="Q2421" s="1" t="str">
        <f>IF($D2421="","",$C2421&amp;"|"&amp;COUNTIFS($C$7:$C2421,$C2421))</f>
        <v/>
      </c>
      <c r="R2421" s="1" t="str">
        <f t="shared" si="188"/>
        <v/>
      </c>
      <c r="S2421" s="1" t="str">
        <f t="shared" si="189"/>
        <v/>
      </c>
      <c r="T2421" s="1">
        <f>IF($E2421="",0,SUMPRODUCT((AY_SONU!$O$7:$O$42="Evet")*(AY_SONU!$B$7:$B$42=DATE(YEAR($E2421),MONTH($E2421),1))))</f>
        <v>0</v>
      </c>
    </row>
    <row r="2422" spans="1:20" ht="18" customHeight="1" x14ac:dyDescent="0.3">
      <c r="A2422" s="2"/>
      <c r="B2422" s="65" t="str">
        <f t="shared" si="185"/>
        <v/>
      </c>
      <c r="C2422" s="65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66"/>
      <c r="F2422" s="67"/>
      <c r="G2422" s="60"/>
      <c r="H2422" s="60"/>
      <c r="I2422" s="61"/>
      <c r="J2422" s="61"/>
      <c r="K2422" s="61"/>
      <c r="L2422" s="73" t="str">
        <f t="shared" si="186"/>
        <v/>
      </c>
      <c r="M2422" s="65" t="str">
        <f t="shared" ca="1" si="187"/>
        <v/>
      </c>
      <c r="N2422" s="74" t="str">
        <f>IF($C2422="","",IF($C2422="TANIMSIZ MÜŞTERİ","—",INDEX(MUSTERILER!$C$7:$C$156,MATCH($C2422,MUSTERILER!$B$7:$B$156,0))))</f>
        <v/>
      </c>
      <c r="O2422" s="2"/>
      <c r="P2422" s="2"/>
      <c r="Q2422" s="1" t="str">
        <f>IF($D2422="","",$C2422&amp;"|"&amp;COUNTIFS($C$7:$C2422,$C2422))</f>
        <v/>
      </c>
      <c r="R2422" s="1" t="str">
        <f t="shared" si="188"/>
        <v/>
      </c>
      <c r="S2422" s="1" t="str">
        <f t="shared" si="189"/>
        <v/>
      </c>
      <c r="T2422" s="1">
        <f>IF($E2422="",0,SUMPRODUCT((AY_SONU!$O$7:$O$42="Evet")*(AY_SONU!$B$7:$B$42=DATE(YEAR($E2422),MONTH($E2422),1))))</f>
        <v>0</v>
      </c>
    </row>
    <row r="2423" spans="1:20" ht="18" customHeight="1" x14ac:dyDescent="0.3">
      <c r="A2423" s="2"/>
      <c r="B2423" s="65" t="str">
        <f t="shared" si="185"/>
        <v/>
      </c>
      <c r="C2423" s="65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66"/>
      <c r="F2423" s="67"/>
      <c r="G2423" s="60"/>
      <c r="H2423" s="60"/>
      <c r="I2423" s="61"/>
      <c r="J2423" s="61"/>
      <c r="K2423" s="61"/>
      <c r="L2423" s="73" t="str">
        <f t="shared" si="186"/>
        <v/>
      </c>
      <c r="M2423" s="65" t="str">
        <f t="shared" ca="1" si="187"/>
        <v/>
      </c>
      <c r="N2423" s="74" t="str">
        <f>IF($C2423="","",IF($C2423="TANIMSIZ MÜŞTERİ","—",INDEX(MUSTERILER!$C$7:$C$156,MATCH($C2423,MUSTERILER!$B$7:$B$156,0))))</f>
        <v/>
      </c>
      <c r="O2423" s="2"/>
      <c r="P2423" s="2"/>
      <c r="Q2423" s="1" t="str">
        <f>IF($D2423="","",$C2423&amp;"|"&amp;COUNTIFS($C$7:$C2423,$C2423))</f>
        <v/>
      </c>
      <c r="R2423" s="1" t="str">
        <f t="shared" si="188"/>
        <v/>
      </c>
      <c r="S2423" s="1" t="str">
        <f t="shared" si="189"/>
        <v/>
      </c>
      <c r="T2423" s="1">
        <f>IF($E2423="",0,SUMPRODUCT((AY_SONU!$O$7:$O$42="Evet")*(AY_SONU!$B$7:$B$42=DATE(YEAR($E2423),MONTH($E2423),1))))</f>
        <v>0</v>
      </c>
    </row>
    <row r="2424" spans="1:20" ht="18" customHeight="1" x14ac:dyDescent="0.3">
      <c r="A2424" s="2"/>
      <c r="B2424" s="65" t="str">
        <f t="shared" si="185"/>
        <v/>
      </c>
      <c r="C2424" s="65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66"/>
      <c r="F2424" s="67"/>
      <c r="G2424" s="60"/>
      <c r="H2424" s="60"/>
      <c r="I2424" s="61"/>
      <c r="J2424" s="61"/>
      <c r="K2424" s="61"/>
      <c r="L2424" s="73" t="str">
        <f t="shared" si="186"/>
        <v/>
      </c>
      <c r="M2424" s="65" t="str">
        <f t="shared" ca="1" si="187"/>
        <v/>
      </c>
      <c r="N2424" s="74" t="str">
        <f>IF($C2424="","",IF($C2424="TANIMSIZ MÜŞTERİ","—",INDEX(MUSTERILER!$C$7:$C$156,MATCH($C2424,MUSTERILER!$B$7:$B$156,0))))</f>
        <v/>
      </c>
      <c r="O2424" s="2"/>
      <c r="P2424" s="2"/>
      <c r="Q2424" s="1" t="str">
        <f>IF($D2424="","",$C2424&amp;"|"&amp;COUNTIFS($C$7:$C2424,$C2424))</f>
        <v/>
      </c>
      <c r="R2424" s="1" t="str">
        <f t="shared" si="188"/>
        <v/>
      </c>
      <c r="S2424" s="1" t="str">
        <f t="shared" si="189"/>
        <v/>
      </c>
      <c r="T2424" s="1">
        <f>IF($E2424="",0,SUMPRODUCT((AY_SONU!$O$7:$O$42="Evet")*(AY_SONU!$B$7:$B$42=DATE(YEAR($E2424),MONTH($E2424),1))))</f>
        <v>0</v>
      </c>
    </row>
    <row r="2425" spans="1:20" ht="18" customHeight="1" x14ac:dyDescent="0.3">
      <c r="A2425" s="2"/>
      <c r="B2425" s="65" t="str">
        <f t="shared" si="185"/>
        <v/>
      </c>
      <c r="C2425" s="65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66"/>
      <c r="F2425" s="67"/>
      <c r="G2425" s="60"/>
      <c r="H2425" s="60"/>
      <c r="I2425" s="61"/>
      <c r="J2425" s="61"/>
      <c r="K2425" s="61"/>
      <c r="L2425" s="73" t="str">
        <f t="shared" si="186"/>
        <v/>
      </c>
      <c r="M2425" s="65" t="str">
        <f t="shared" ca="1" si="187"/>
        <v/>
      </c>
      <c r="N2425" s="74" t="str">
        <f>IF($C2425="","",IF($C2425="TANIMSIZ MÜŞTERİ","—",INDEX(MUSTERILER!$C$7:$C$156,MATCH($C2425,MUSTERILER!$B$7:$B$156,0))))</f>
        <v/>
      </c>
      <c r="O2425" s="2"/>
      <c r="P2425" s="2"/>
      <c r="Q2425" s="1" t="str">
        <f>IF($D2425="","",$C2425&amp;"|"&amp;COUNTIFS($C$7:$C2425,$C2425))</f>
        <v/>
      </c>
      <c r="R2425" s="1" t="str">
        <f t="shared" si="188"/>
        <v/>
      </c>
      <c r="S2425" s="1" t="str">
        <f t="shared" si="189"/>
        <v/>
      </c>
      <c r="T2425" s="1">
        <f>IF($E2425="",0,SUMPRODUCT((AY_SONU!$O$7:$O$42="Evet")*(AY_SONU!$B$7:$B$42=DATE(YEAR($E2425),MONTH($E2425),1))))</f>
        <v>0</v>
      </c>
    </row>
    <row r="2426" spans="1:20" ht="18" customHeight="1" x14ac:dyDescent="0.3">
      <c r="A2426" s="2"/>
      <c r="B2426" s="65" t="str">
        <f t="shared" si="185"/>
        <v/>
      </c>
      <c r="C2426" s="65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66"/>
      <c r="F2426" s="67"/>
      <c r="G2426" s="60"/>
      <c r="H2426" s="60"/>
      <c r="I2426" s="61"/>
      <c r="J2426" s="61"/>
      <c r="K2426" s="61"/>
      <c r="L2426" s="73" t="str">
        <f t="shared" si="186"/>
        <v/>
      </c>
      <c r="M2426" s="65" t="str">
        <f t="shared" ca="1" si="187"/>
        <v/>
      </c>
      <c r="N2426" s="74" t="str">
        <f>IF($C2426="","",IF($C2426="TANIMSIZ MÜŞTERİ","—",INDEX(MUSTERILER!$C$7:$C$156,MATCH($C2426,MUSTERILER!$B$7:$B$156,0))))</f>
        <v/>
      </c>
      <c r="O2426" s="2"/>
      <c r="P2426" s="2"/>
      <c r="Q2426" s="1" t="str">
        <f>IF($D2426="","",$C2426&amp;"|"&amp;COUNTIFS($C$7:$C2426,$C2426))</f>
        <v/>
      </c>
      <c r="R2426" s="1" t="str">
        <f t="shared" si="188"/>
        <v/>
      </c>
      <c r="S2426" s="1" t="str">
        <f t="shared" si="189"/>
        <v/>
      </c>
      <c r="T2426" s="1">
        <f>IF($E2426="",0,SUMPRODUCT((AY_SONU!$O$7:$O$42="Evet")*(AY_SONU!$B$7:$B$42=DATE(YEAR($E2426),MONTH($E2426),1))))</f>
        <v>0</v>
      </c>
    </row>
    <row r="2427" spans="1:20" ht="18" customHeight="1" x14ac:dyDescent="0.3">
      <c r="A2427" s="2"/>
      <c r="B2427" s="65" t="str">
        <f t="shared" si="185"/>
        <v/>
      </c>
      <c r="C2427" s="65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66"/>
      <c r="F2427" s="67"/>
      <c r="G2427" s="60"/>
      <c r="H2427" s="60"/>
      <c r="I2427" s="61"/>
      <c r="J2427" s="61"/>
      <c r="K2427" s="61"/>
      <c r="L2427" s="73" t="str">
        <f t="shared" si="186"/>
        <v/>
      </c>
      <c r="M2427" s="65" t="str">
        <f t="shared" ca="1" si="187"/>
        <v/>
      </c>
      <c r="N2427" s="74" t="str">
        <f>IF($C2427="","",IF($C2427="TANIMSIZ MÜŞTERİ","—",INDEX(MUSTERILER!$C$7:$C$156,MATCH($C2427,MUSTERILER!$B$7:$B$156,0))))</f>
        <v/>
      </c>
      <c r="O2427" s="2"/>
      <c r="P2427" s="2"/>
      <c r="Q2427" s="1" t="str">
        <f>IF($D2427="","",$C2427&amp;"|"&amp;COUNTIFS($C$7:$C2427,$C2427))</f>
        <v/>
      </c>
      <c r="R2427" s="1" t="str">
        <f t="shared" si="188"/>
        <v/>
      </c>
      <c r="S2427" s="1" t="str">
        <f t="shared" si="189"/>
        <v/>
      </c>
      <c r="T2427" s="1">
        <f>IF($E2427="",0,SUMPRODUCT((AY_SONU!$O$7:$O$42="Evet")*(AY_SONU!$B$7:$B$42=DATE(YEAR($E2427),MONTH($E2427),1))))</f>
        <v>0</v>
      </c>
    </row>
    <row r="2428" spans="1:20" ht="18" customHeight="1" x14ac:dyDescent="0.3">
      <c r="A2428" s="2"/>
      <c r="B2428" s="65" t="str">
        <f t="shared" si="185"/>
        <v/>
      </c>
      <c r="C2428" s="65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66"/>
      <c r="F2428" s="67"/>
      <c r="G2428" s="60"/>
      <c r="H2428" s="60"/>
      <c r="I2428" s="61"/>
      <c r="J2428" s="61"/>
      <c r="K2428" s="61"/>
      <c r="L2428" s="73" t="str">
        <f t="shared" si="186"/>
        <v/>
      </c>
      <c r="M2428" s="65" t="str">
        <f t="shared" ca="1" si="187"/>
        <v/>
      </c>
      <c r="N2428" s="74" t="str">
        <f>IF($C2428="","",IF($C2428="TANIMSIZ MÜŞTERİ","—",INDEX(MUSTERILER!$C$7:$C$156,MATCH($C2428,MUSTERILER!$B$7:$B$156,0))))</f>
        <v/>
      </c>
      <c r="O2428" s="2"/>
      <c r="P2428" s="2"/>
      <c r="Q2428" s="1" t="str">
        <f>IF($D2428="","",$C2428&amp;"|"&amp;COUNTIFS($C$7:$C2428,$C2428))</f>
        <v/>
      </c>
      <c r="R2428" s="1" t="str">
        <f t="shared" si="188"/>
        <v/>
      </c>
      <c r="S2428" s="1" t="str">
        <f t="shared" si="189"/>
        <v/>
      </c>
      <c r="T2428" s="1">
        <f>IF($E2428="",0,SUMPRODUCT((AY_SONU!$O$7:$O$42="Evet")*(AY_SONU!$B$7:$B$42=DATE(YEAR($E2428),MONTH($E2428),1))))</f>
        <v>0</v>
      </c>
    </row>
    <row r="2429" spans="1:20" ht="18" customHeight="1" x14ac:dyDescent="0.3">
      <c r="A2429" s="2"/>
      <c r="B2429" s="65" t="str">
        <f t="shared" si="185"/>
        <v/>
      </c>
      <c r="C2429" s="65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66"/>
      <c r="F2429" s="67"/>
      <c r="G2429" s="60"/>
      <c r="H2429" s="60"/>
      <c r="I2429" s="61"/>
      <c r="J2429" s="61"/>
      <c r="K2429" s="61"/>
      <c r="L2429" s="73" t="str">
        <f t="shared" si="186"/>
        <v/>
      </c>
      <c r="M2429" s="65" t="str">
        <f t="shared" ca="1" si="187"/>
        <v/>
      </c>
      <c r="N2429" s="74" t="str">
        <f>IF($C2429="","",IF($C2429="TANIMSIZ MÜŞTERİ","—",INDEX(MUSTERILER!$C$7:$C$156,MATCH($C2429,MUSTERILER!$B$7:$B$156,0))))</f>
        <v/>
      </c>
      <c r="O2429" s="2"/>
      <c r="P2429" s="2"/>
      <c r="Q2429" s="1" t="str">
        <f>IF($D2429="","",$C2429&amp;"|"&amp;COUNTIFS($C$7:$C2429,$C2429))</f>
        <v/>
      </c>
      <c r="R2429" s="1" t="str">
        <f t="shared" si="188"/>
        <v/>
      </c>
      <c r="S2429" s="1" t="str">
        <f t="shared" si="189"/>
        <v/>
      </c>
      <c r="T2429" s="1">
        <f>IF($E2429="",0,SUMPRODUCT((AY_SONU!$O$7:$O$42="Evet")*(AY_SONU!$B$7:$B$42=DATE(YEAR($E2429),MONTH($E2429),1))))</f>
        <v>0</v>
      </c>
    </row>
    <row r="2430" spans="1:20" ht="18" customHeight="1" x14ac:dyDescent="0.3">
      <c r="A2430" s="2"/>
      <c r="B2430" s="65" t="str">
        <f t="shared" si="185"/>
        <v/>
      </c>
      <c r="C2430" s="65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66"/>
      <c r="F2430" s="67"/>
      <c r="G2430" s="60"/>
      <c r="H2430" s="60"/>
      <c r="I2430" s="61"/>
      <c r="J2430" s="61"/>
      <c r="K2430" s="61"/>
      <c r="L2430" s="73" t="str">
        <f t="shared" si="186"/>
        <v/>
      </c>
      <c r="M2430" s="65" t="str">
        <f t="shared" ca="1" si="187"/>
        <v/>
      </c>
      <c r="N2430" s="74" t="str">
        <f>IF($C2430="","",IF($C2430="TANIMSIZ MÜŞTERİ","—",INDEX(MUSTERILER!$C$7:$C$156,MATCH($C2430,MUSTERILER!$B$7:$B$156,0))))</f>
        <v/>
      </c>
      <c r="O2430" s="2"/>
      <c r="P2430" s="2"/>
      <c r="Q2430" s="1" t="str">
        <f>IF($D2430="","",$C2430&amp;"|"&amp;COUNTIFS($C$7:$C2430,$C2430))</f>
        <v/>
      </c>
      <c r="R2430" s="1" t="str">
        <f t="shared" si="188"/>
        <v/>
      </c>
      <c r="S2430" s="1" t="str">
        <f t="shared" si="189"/>
        <v/>
      </c>
      <c r="T2430" s="1">
        <f>IF($E2430="",0,SUMPRODUCT((AY_SONU!$O$7:$O$42="Evet")*(AY_SONU!$B$7:$B$42=DATE(YEAR($E2430),MONTH($E2430),1))))</f>
        <v>0</v>
      </c>
    </row>
    <row r="2431" spans="1:20" ht="18" customHeight="1" x14ac:dyDescent="0.3">
      <c r="A2431" s="2"/>
      <c r="B2431" s="65" t="str">
        <f t="shared" si="185"/>
        <v/>
      </c>
      <c r="C2431" s="65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66"/>
      <c r="F2431" s="67"/>
      <c r="G2431" s="60"/>
      <c r="H2431" s="60"/>
      <c r="I2431" s="61"/>
      <c r="J2431" s="61"/>
      <c r="K2431" s="61"/>
      <c r="L2431" s="73" t="str">
        <f t="shared" si="186"/>
        <v/>
      </c>
      <c r="M2431" s="65" t="str">
        <f t="shared" ca="1" si="187"/>
        <v/>
      </c>
      <c r="N2431" s="74" t="str">
        <f>IF($C2431="","",IF($C2431="TANIMSIZ MÜŞTERİ","—",INDEX(MUSTERILER!$C$7:$C$156,MATCH($C2431,MUSTERILER!$B$7:$B$156,0))))</f>
        <v/>
      </c>
      <c r="O2431" s="2"/>
      <c r="P2431" s="2"/>
      <c r="Q2431" s="1" t="str">
        <f>IF($D2431="","",$C2431&amp;"|"&amp;COUNTIFS($C$7:$C2431,$C2431))</f>
        <v/>
      </c>
      <c r="R2431" s="1" t="str">
        <f t="shared" si="188"/>
        <v/>
      </c>
      <c r="S2431" s="1" t="str">
        <f t="shared" si="189"/>
        <v/>
      </c>
      <c r="T2431" s="1">
        <f>IF($E2431="",0,SUMPRODUCT((AY_SONU!$O$7:$O$42="Evet")*(AY_SONU!$B$7:$B$42=DATE(YEAR($E2431),MONTH($E2431),1))))</f>
        <v>0</v>
      </c>
    </row>
    <row r="2432" spans="1:20" ht="18" customHeight="1" x14ac:dyDescent="0.3">
      <c r="A2432" s="2"/>
      <c r="B2432" s="65" t="str">
        <f t="shared" si="185"/>
        <v/>
      </c>
      <c r="C2432" s="65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66"/>
      <c r="F2432" s="67"/>
      <c r="G2432" s="60"/>
      <c r="H2432" s="60"/>
      <c r="I2432" s="61"/>
      <c r="J2432" s="61"/>
      <c r="K2432" s="61"/>
      <c r="L2432" s="73" t="str">
        <f t="shared" si="186"/>
        <v/>
      </c>
      <c r="M2432" s="65" t="str">
        <f t="shared" ca="1" si="187"/>
        <v/>
      </c>
      <c r="N2432" s="74" t="str">
        <f>IF($C2432="","",IF($C2432="TANIMSIZ MÜŞTERİ","—",INDEX(MUSTERILER!$C$7:$C$156,MATCH($C2432,MUSTERILER!$B$7:$B$156,0))))</f>
        <v/>
      </c>
      <c r="O2432" s="2"/>
      <c r="P2432" s="2"/>
      <c r="Q2432" s="1" t="str">
        <f>IF($D2432="","",$C2432&amp;"|"&amp;COUNTIFS($C$7:$C2432,$C2432))</f>
        <v/>
      </c>
      <c r="R2432" s="1" t="str">
        <f t="shared" si="188"/>
        <v/>
      </c>
      <c r="S2432" s="1" t="str">
        <f t="shared" si="189"/>
        <v/>
      </c>
      <c r="T2432" s="1">
        <f>IF($E2432="",0,SUMPRODUCT((AY_SONU!$O$7:$O$42="Evet")*(AY_SONU!$B$7:$B$42=DATE(YEAR($E2432),MONTH($E2432),1))))</f>
        <v>0</v>
      </c>
    </row>
    <row r="2433" spans="1:20" ht="18" customHeight="1" x14ac:dyDescent="0.3">
      <c r="A2433" s="2"/>
      <c r="B2433" s="65" t="str">
        <f t="shared" si="185"/>
        <v/>
      </c>
      <c r="C2433" s="65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66"/>
      <c r="F2433" s="67"/>
      <c r="G2433" s="60"/>
      <c r="H2433" s="60"/>
      <c r="I2433" s="61"/>
      <c r="J2433" s="61"/>
      <c r="K2433" s="61"/>
      <c r="L2433" s="73" t="str">
        <f t="shared" si="186"/>
        <v/>
      </c>
      <c r="M2433" s="65" t="str">
        <f t="shared" ca="1" si="187"/>
        <v/>
      </c>
      <c r="N2433" s="74" t="str">
        <f>IF($C2433="","",IF($C2433="TANIMSIZ MÜŞTERİ","—",INDEX(MUSTERILER!$C$7:$C$156,MATCH($C2433,MUSTERILER!$B$7:$B$156,0))))</f>
        <v/>
      </c>
      <c r="O2433" s="2"/>
      <c r="P2433" s="2"/>
      <c r="Q2433" s="1" t="str">
        <f>IF($D2433="","",$C2433&amp;"|"&amp;COUNTIFS($C$7:$C2433,$C2433))</f>
        <v/>
      </c>
      <c r="R2433" s="1" t="str">
        <f t="shared" si="188"/>
        <v/>
      </c>
      <c r="S2433" s="1" t="str">
        <f t="shared" si="189"/>
        <v/>
      </c>
      <c r="T2433" s="1">
        <f>IF($E2433="",0,SUMPRODUCT((AY_SONU!$O$7:$O$42="Evet")*(AY_SONU!$B$7:$B$42=DATE(YEAR($E2433),MONTH($E2433),1))))</f>
        <v>0</v>
      </c>
    </row>
    <row r="2434" spans="1:20" ht="18" customHeight="1" x14ac:dyDescent="0.3">
      <c r="A2434" s="2"/>
      <c r="B2434" s="65" t="str">
        <f t="shared" si="185"/>
        <v/>
      </c>
      <c r="C2434" s="65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66"/>
      <c r="F2434" s="67"/>
      <c r="G2434" s="60"/>
      <c r="H2434" s="60"/>
      <c r="I2434" s="61"/>
      <c r="J2434" s="61"/>
      <c r="K2434" s="61"/>
      <c r="L2434" s="73" t="str">
        <f t="shared" si="186"/>
        <v/>
      </c>
      <c r="M2434" s="65" t="str">
        <f t="shared" ca="1" si="187"/>
        <v/>
      </c>
      <c r="N2434" s="74" t="str">
        <f>IF($C2434="","",IF($C2434="TANIMSIZ MÜŞTERİ","—",INDEX(MUSTERILER!$C$7:$C$156,MATCH($C2434,MUSTERILER!$B$7:$B$156,0))))</f>
        <v/>
      </c>
      <c r="O2434" s="2"/>
      <c r="P2434" s="2"/>
      <c r="Q2434" s="1" t="str">
        <f>IF($D2434="","",$C2434&amp;"|"&amp;COUNTIFS($C$7:$C2434,$C2434))</f>
        <v/>
      </c>
      <c r="R2434" s="1" t="str">
        <f t="shared" si="188"/>
        <v/>
      </c>
      <c r="S2434" s="1" t="str">
        <f t="shared" si="189"/>
        <v/>
      </c>
      <c r="T2434" s="1">
        <f>IF($E2434="",0,SUMPRODUCT((AY_SONU!$O$7:$O$42="Evet")*(AY_SONU!$B$7:$B$42=DATE(YEAR($E2434),MONTH($E2434),1))))</f>
        <v>0</v>
      </c>
    </row>
    <row r="2435" spans="1:20" ht="18" customHeight="1" x14ac:dyDescent="0.3">
      <c r="A2435" s="2"/>
      <c r="B2435" s="65" t="str">
        <f t="shared" si="185"/>
        <v/>
      </c>
      <c r="C2435" s="65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66"/>
      <c r="F2435" s="67"/>
      <c r="G2435" s="60"/>
      <c r="H2435" s="60"/>
      <c r="I2435" s="61"/>
      <c r="J2435" s="61"/>
      <c r="K2435" s="61"/>
      <c r="L2435" s="73" t="str">
        <f t="shared" si="186"/>
        <v/>
      </c>
      <c r="M2435" s="65" t="str">
        <f t="shared" ca="1" si="187"/>
        <v/>
      </c>
      <c r="N2435" s="74" t="str">
        <f>IF($C2435="","",IF($C2435="TANIMSIZ MÜŞTERİ","—",INDEX(MUSTERILER!$C$7:$C$156,MATCH($C2435,MUSTERILER!$B$7:$B$156,0))))</f>
        <v/>
      </c>
      <c r="O2435" s="2"/>
      <c r="P2435" s="2"/>
      <c r="Q2435" s="1" t="str">
        <f>IF($D2435="","",$C2435&amp;"|"&amp;COUNTIFS($C$7:$C2435,$C2435))</f>
        <v/>
      </c>
      <c r="R2435" s="1" t="str">
        <f t="shared" si="188"/>
        <v/>
      </c>
      <c r="S2435" s="1" t="str">
        <f t="shared" si="189"/>
        <v/>
      </c>
      <c r="T2435" s="1">
        <f>IF($E2435="",0,SUMPRODUCT((AY_SONU!$O$7:$O$42="Evet")*(AY_SONU!$B$7:$B$42=DATE(YEAR($E2435),MONTH($E2435),1))))</f>
        <v>0</v>
      </c>
    </row>
    <row r="2436" spans="1:20" ht="18" customHeight="1" x14ac:dyDescent="0.3">
      <c r="A2436" s="2"/>
      <c r="B2436" s="65" t="str">
        <f t="shared" si="185"/>
        <v/>
      </c>
      <c r="C2436" s="65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66"/>
      <c r="F2436" s="67"/>
      <c r="G2436" s="60"/>
      <c r="H2436" s="60"/>
      <c r="I2436" s="61"/>
      <c r="J2436" s="61"/>
      <c r="K2436" s="61"/>
      <c r="L2436" s="73" t="str">
        <f t="shared" si="186"/>
        <v/>
      </c>
      <c r="M2436" s="65" t="str">
        <f t="shared" ca="1" si="187"/>
        <v/>
      </c>
      <c r="N2436" s="74" t="str">
        <f>IF($C2436="","",IF($C2436="TANIMSIZ MÜŞTERİ","—",INDEX(MUSTERILER!$C$7:$C$156,MATCH($C2436,MUSTERILER!$B$7:$B$156,0))))</f>
        <v/>
      </c>
      <c r="O2436" s="2"/>
      <c r="P2436" s="2"/>
      <c r="Q2436" s="1" t="str">
        <f>IF($D2436="","",$C2436&amp;"|"&amp;COUNTIFS($C$7:$C2436,$C2436))</f>
        <v/>
      </c>
      <c r="R2436" s="1" t="str">
        <f t="shared" si="188"/>
        <v/>
      </c>
      <c r="S2436" s="1" t="str">
        <f t="shared" si="189"/>
        <v/>
      </c>
      <c r="T2436" s="1">
        <f>IF($E2436="",0,SUMPRODUCT((AY_SONU!$O$7:$O$42="Evet")*(AY_SONU!$B$7:$B$42=DATE(YEAR($E2436),MONTH($E2436),1))))</f>
        <v>0</v>
      </c>
    </row>
    <row r="2437" spans="1:20" ht="18" customHeight="1" x14ac:dyDescent="0.3">
      <c r="A2437" s="2"/>
      <c r="B2437" s="65" t="str">
        <f t="shared" si="185"/>
        <v/>
      </c>
      <c r="C2437" s="65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66"/>
      <c r="F2437" s="67"/>
      <c r="G2437" s="60"/>
      <c r="H2437" s="60"/>
      <c r="I2437" s="61"/>
      <c r="J2437" s="61"/>
      <c r="K2437" s="61"/>
      <c r="L2437" s="73" t="str">
        <f t="shared" si="186"/>
        <v/>
      </c>
      <c r="M2437" s="65" t="str">
        <f t="shared" ca="1" si="187"/>
        <v/>
      </c>
      <c r="N2437" s="74" t="str">
        <f>IF($C2437="","",IF($C2437="TANIMSIZ MÜŞTERİ","—",INDEX(MUSTERILER!$C$7:$C$156,MATCH($C2437,MUSTERILER!$B$7:$B$156,0))))</f>
        <v/>
      </c>
      <c r="O2437" s="2"/>
      <c r="P2437" s="2"/>
      <c r="Q2437" s="1" t="str">
        <f>IF($D2437="","",$C2437&amp;"|"&amp;COUNTIFS($C$7:$C2437,$C2437))</f>
        <v/>
      </c>
      <c r="R2437" s="1" t="str">
        <f t="shared" si="188"/>
        <v/>
      </c>
      <c r="S2437" s="1" t="str">
        <f t="shared" si="189"/>
        <v/>
      </c>
      <c r="T2437" s="1">
        <f>IF($E2437="",0,SUMPRODUCT((AY_SONU!$O$7:$O$42="Evet")*(AY_SONU!$B$7:$B$42=DATE(YEAR($E2437),MONTH($E2437),1))))</f>
        <v>0</v>
      </c>
    </row>
    <row r="2438" spans="1:20" ht="18" customHeight="1" x14ac:dyDescent="0.3">
      <c r="A2438" s="2"/>
      <c r="B2438" s="65" t="str">
        <f t="shared" si="185"/>
        <v/>
      </c>
      <c r="C2438" s="65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66"/>
      <c r="F2438" s="67"/>
      <c r="G2438" s="60"/>
      <c r="H2438" s="60"/>
      <c r="I2438" s="61"/>
      <c r="J2438" s="61"/>
      <c r="K2438" s="61"/>
      <c r="L2438" s="73" t="str">
        <f t="shared" si="186"/>
        <v/>
      </c>
      <c r="M2438" s="65" t="str">
        <f t="shared" ca="1" si="187"/>
        <v/>
      </c>
      <c r="N2438" s="74" t="str">
        <f>IF($C2438="","",IF($C2438="TANIMSIZ MÜŞTERİ","—",INDEX(MUSTERILER!$C$7:$C$156,MATCH($C2438,MUSTERILER!$B$7:$B$156,0))))</f>
        <v/>
      </c>
      <c r="O2438" s="2"/>
      <c r="P2438" s="2"/>
      <c r="Q2438" s="1" t="str">
        <f>IF($D2438="","",$C2438&amp;"|"&amp;COUNTIFS($C$7:$C2438,$C2438))</f>
        <v/>
      </c>
      <c r="R2438" s="1" t="str">
        <f t="shared" si="188"/>
        <v/>
      </c>
      <c r="S2438" s="1" t="str">
        <f t="shared" si="189"/>
        <v/>
      </c>
      <c r="T2438" s="1">
        <f>IF($E2438="",0,SUMPRODUCT((AY_SONU!$O$7:$O$42="Evet")*(AY_SONU!$B$7:$B$42=DATE(YEAR($E2438),MONTH($E2438),1))))</f>
        <v>0</v>
      </c>
    </row>
    <row r="2439" spans="1:20" ht="18" customHeight="1" x14ac:dyDescent="0.3">
      <c r="A2439" s="2"/>
      <c r="B2439" s="65" t="str">
        <f t="shared" ref="B2439:B2506" si="190">IF($D2439="","","T"&amp;TEXT(ROW()-6,"00000"))</f>
        <v/>
      </c>
      <c r="C2439" s="65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66"/>
      <c r="F2439" s="67"/>
      <c r="G2439" s="60"/>
      <c r="H2439" s="60"/>
      <c r="I2439" s="61"/>
      <c r="J2439" s="61"/>
      <c r="K2439" s="61"/>
      <c r="L2439" s="73" t="str">
        <f t="shared" ref="L2439:L2506" si="191">IF($E2439="","",DATE(YEAR($E2439),MONTH($E2439),1))</f>
        <v/>
      </c>
      <c r="M2439" s="65" t="str">
        <f t="shared" ref="M2439:M2506" ca="1" si="192">IF($D2439="","",IF($C2439="TANIMSIZ MÜŞTERİ","HATA",IF(OR($E2439="",$F2439&lt;=0,$G2439=""),"EKSİK",IF($E2439&gt;TODAY(),"İLERİ TARİH",IF(COUNTIF($S$7:$S$2506,$S2439)&gt;1,"MÜKERRER?",IF($T2439&gt;0,"KAPALI DÖNEM","UYGUN"))))))</f>
        <v/>
      </c>
      <c r="N2439" s="74" t="str">
        <f>IF($C2439="","",IF($C2439="TANIMSIZ MÜŞTERİ","—",INDEX(MUSTERILER!$C$7:$C$156,MATCH($C2439,MUSTERILER!$B$7:$B$156,0))))</f>
        <v/>
      </c>
      <c r="O2439" s="2"/>
      <c r="P2439" s="2"/>
      <c r="Q2439" s="1" t="str">
        <f>IF($D2439="","",$C2439&amp;"|"&amp;COUNTIFS($C$7:$C2439,$C2439))</f>
        <v/>
      </c>
      <c r="R2439" s="1" t="str">
        <f t="shared" ref="R2439:R2506" si="193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 t="str">
        <f t="shared" ref="S2439:S2506" si="194"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>0</v>
      </c>
    </row>
    <row r="2440" spans="1:20" ht="18" customHeight="1" x14ac:dyDescent="0.3">
      <c r="A2440" s="2"/>
      <c r="B2440" s="65" t="str">
        <f t="shared" si="190"/>
        <v/>
      </c>
      <c r="C2440" s="65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66"/>
      <c r="F2440" s="67"/>
      <c r="G2440" s="60"/>
      <c r="H2440" s="60"/>
      <c r="I2440" s="61"/>
      <c r="J2440" s="61"/>
      <c r="K2440" s="61"/>
      <c r="L2440" s="73" t="str">
        <f t="shared" si="191"/>
        <v/>
      </c>
      <c r="M2440" s="65" t="str">
        <f t="shared" ca="1" si="192"/>
        <v/>
      </c>
      <c r="N2440" s="74" t="str">
        <f>IF($C2440="","",IF($C2440="TANIMSIZ MÜŞTERİ","—",INDEX(MUSTERILER!$C$7:$C$156,MATCH($C2440,MUSTERILER!$B$7:$B$156,0))))</f>
        <v/>
      </c>
      <c r="O2440" s="2"/>
      <c r="P2440" s="2"/>
      <c r="Q2440" s="1" t="str">
        <f>IF($D2440="","",$C2440&amp;"|"&amp;COUNTIFS($C$7:$C2440,$C2440))</f>
        <v/>
      </c>
      <c r="R2440" s="1" t="str">
        <f t="shared" si="193"/>
        <v/>
      </c>
      <c r="S2440" s="1" t="str">
        <f t="shared" si="194"/>
        <v/>
      </c>
      <c r="T2440" s="1">
        <f>IF($E2440="",0,SUMPRODUCT((AY_SONU!$O$7:$O$42="Evet")*(AY_SONU!$B$7:$B$42=DATE(YEAR($E2440),MONTH($E2440),1))))</f>
        <v>0</v>
      </c>
    </row>
    <row r="2441" spans="1:20" ht="18" customHeight="1" x14ac:dyDescent="0.3">
      <c r="A2441" s="2"/>
      <c r="B2441" s="65" t="str">
        <f t="shared" si="190"/>
        <v/>
      </c>
      <c r="C2441" s="65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66"/>
      <c r="F2441" s="67"/>
      <c r="G2441" s="60"/>
      <c r="H2441" s="60"/>
      <c r="I2441" s="61"/>
      <c r="J2441" s="61"/>
      <c r="K2441" s="61"/>
      <c r="L2441" s="73" t="str">
        <f t="shared" si="191"/>
        <v/>
      </c>
      <c r="M2441" s="65" t="str">
        <f t="shared" ca="1" si="192"/>
        <v/>
      </c>
      <c r="N2441" s="74" t="str">
        <f>IF($C2441="","",IF($C2441="TANIMSIZ MÜŞTERİ","—",INDEX(MUSTERILER!$C$7:$C$156,MATCH($C2441,MUSTERILER!$B$7:$B$156,0))))</f>
        <v/>
      </c>
      <c r="O2441" s="2"/>
      <c r="P2441" s="2"/>
      <c r="Q2441" s="1" t="str">
        <f>IF($D2441="","",$C2441&amp;"|"&amp;COUNTIFS($C$7:$C2441,$C2441))</f>
        <v/>
      </c>
      <c r="R2441" s="1" t="str">
        <f t="shared" si="193"/>
        <v/>
      </c>
      <c r="S2441" s="1" t="str">
        <f t="shared" si="194"/>
        <v/>
      </c>
      <c r="T2441" s="1">
        <f>IF($E2441="",0,SUMPRODUCT((AY_SONU!$O$7:$O$42="Evet")*(AY_SONU!$B$7:$B$42=DATE(YEAR($E2441),MONTH($E2441),1))))</f>
        <v>0</v>
      </c>
    </row>
    <row r="2442" spans="1:20" ht="18" customHeight="1" x14ac:dyDescent="0.3">
      <c r="A2442" s="2"/>
      <c r="B2442" s="65" t="str">
        <f t="shared" si="190"/>
        <v/>
      </c>
      <c r="C2442" s="65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66"/>
      <c r="F2442" s="67"/>
      <c r="G2442" s="60"/>
      <c r="H2442" s="60"/>
      <c r="I2442" s="61"/>
      <c r="J2442" s="61"/>
      <c r="K2442" s="61"/>
      <c r="L2442" s="73" t="str">
        <f t="shared" si="191"/>
        <v/>
      </c>
      <c r="M2442" s="65" t="str">
        <f t="shared" ca="1" si="192"/>
        <v/>
      </c>
      <c r="N2442" s="74" t="str">
        <f>IF($C2442="","",IF($C2442="TANIMSIZ MÜŞTERİ","—",INDEX(MUSTERILER!$C$7:$C$156,MATCH($C2442,MUSTERILER!$B$7:$B$156,0))))</f>
        <v/>
      </c>
      <c r="O2442" s="2"/>
      <c r="P2442" s="2"/>
      <c r="Q2442" s="1" t="str">
        <f>IF($D2442="","",$C2442&amp;"|"&amp;COUNTIFS($C$7:$C2442,$C2442))</f>
        <v/>
      </c>
      <c r="R2442" s="1" t="str">
        <f t="shared" si="193"/>
        <v/>
      </c>
      <c r="S2442" s="1" t="str">
        <f t="shared" si="194"/>
        <v/>
      </c>
      <c r="T2442" s="1">
        <f>IF($E2442="",0,SUMPRODUCT((AY_SONU!$O$7:$O$42="Evet")*(AY_SONU!$B$7:$B$42=DATE(YEAR($E2442),MONTH($E2442),1))))</f>
        <v>0</v>
      </c>
    </row>
    <row r="2443" spans="1:20" ht="18" customHeight="1" x14ac:dyDescent="0.3">
      <c r="A2443" s="2"/>
      <c r="B2443" s="65" t="str">
        <f t="shared" si="190"/>
        <v/>
      </c>
      <c r="C2443" s="65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66"/>
      <c r="F2443" s="67"/>
      <c r="G2443" s="60"/>
      <c r="H2443" s="60"/>
      <c r="I2443" s="61"/>
      <c r="J2443" s="61"/>
      <c r="K2443" s="61"/>
      <c r="L2443" s="73" t="str">
        <f t="shared" si="191"/>
        <v/>
      </c>
      <c r="M2443" s="65" t="str">
        <f t="shared" ca="1" si="192"/>
        <v/>
      </c>
      <c r="N2443" s="74" t="str">
        <f>IF($C2443="","",IF($C2443="TANIMSIZ MÜŞTERİ","—",INDEX(MUSTERILER!$C$7:$C$156,MATCH($C2443,MUSTERILER!$B$7:$B$156,0))))</f>
        <v/>
      </c>
      <c r="O2443" s="2"/>
      <c r="P2443" s="2"/>
      <c r="Q2443" s="1" t="str">
        <f>IF($D2443="","",$C2443&amp;"|"&amp;COUNTIFS($C$7:$C2443,$C2443))</f>
        <v/>
      </c>
      <c r="R2443" s="1" t="str">
        <f t="shared" si="193"/>
        <v/>
      </c>
      <c r="S2443" s="1" t="str">
        <f t="shared" si="194"/>
        <v/>
      </c>
      <c r="T2443" s="1">
        <f>IF($E2443="",0,SUMPRODUCT((AY_SONU!$O$7:$O$42="Evet")*(AY_SONU!$B$7:$B$42=DATE(YEAR($E2443),MONTH($E2443),1))))</f>
        <v>0</v>
      </c>
    </row>
    <row r="2444" spans="1:20" ht="18" customHeight="1" x14ac:dyDescent="0.3">
      <c r="A2444" s="2"/>
      <c r="B2444" s="65" t="str">
        <f t="shared" si="190"/>
        <v/>
      </c>
      <c r="C2444" s="65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66"/>
      <c r="F2444" s="67"/>
      <c r="G2444" s="60"/>
      <c r="H2444" s="60"/>
      <c r="I2444" s="61"/>
      <c r="J2444" s="61"/>
      <c r="K2444" s="61"/>
      <c r="L2444" s="73" t="str">
        <f t="shared" si="191"/>
        <v/>
      </c>
      <c r="M2444" s="65" t="str">
        <f t="shared" ca="1" si="192"/>
        <v/>
      </c>
      <c r="N2444" s="74" t="str">
        <f>IF($C2444="","",IF($C2444="TANIMSIZ MÜŞTERİ","—",INDEX(MUSTERILER!$C$7:$C$156,MATCH($C2444,MUSTERILER!$B$7:$B$156,0))))</f>
        <v/>
      </c>
      <c r="O2444" s="2"/>
      <c r="P2444" s="2"/>
      <c r="Q2444" s="1" t="str">
        <f>IF($D2444="","",$C2444&amp;"|"&amp;COUNTIFS($C$7:$C2444,$C2444))</f>
        <v/>
      </c>
      <c r="R2444" s="1" t="str">
        <f t="shared" si="193"/>
        <v/>
      </c>
      <c r="S2444" s="1" t="str">
        <f t="shared" si="194"/>
        <v/>
      </c>
      <c r="T2444" s="1">
        <f>IF($E2444="",0,SUMPRODUCT((AY_SONU!$O$7:$O$42="Evet")*(AY_SONU!$B$7:$B$42=DATE(YEAR($E2444),MONTH($E2444),1))))</f>
        <v>0</v>
      </c>
    </row>
    <row r="2445" spans="1:20" ht="18" customHeight="1" x14ac:dyDescent="0.3">
      <c r="A2445" s="2"/>
      <c r="B2445" s="65" t="str">
        <f t="shared" si="190"/>
        <v/>
      </c>
      <c r="C2445" s="65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66"/>
      <c r="F2445" s="67"/>
      <c r="G2445" s="60"/>
      <c r="H2445" s="60"/>
      <c r="I2445" s="61"/>
      <c r="J2445" s="61"/>
      <c r="K2445" s="61"/>
      <c r="L2445" s="73" t="str">
        <f t="shared" si="191"/>
        <v/>
      </c>
      <c r="M2445" s="65" t="str">
        <f t="shared" ca="1" si="192"/>
        <v/>
      </c>
      <c r="N2445" s="74" t="str">
        <f>IF($C2445="","",IF($C2445="TANIMSIZ MÜŞTERİ","—",INDEX(MUSTERILER!$C$7:$C$156,MATCH($C2445,MUSTERILER!$B$7:$B$156,0))))</f>
        <v/>
      </c>
      <c r="O2445" s="2"/>
      <c r="P2445" s="2"/>
      <c r="Q2445" s="1" t="str">
        <f>IF($D2445="","",$C2445&amp;"|"&amp;COUNTIFS($C$7:$C2445,$C2445))</f>
        <v/>
      </c>
      <c r="R2445" s="1" t="str">
        <f t="shared" si="193"/>
        <v/>
      </c>
      <c r="S2445" s="1" t="str">
        <f t="shared" si="194"/>
        <v/>
      </c>
      <c r="T2445" s="1">
        <f>IF($E2445="",0,SUMPRODUCT((AY_SONU!$O$7:$O$42="Evet")*(AY_SONU!$B$7:$B$42=DATE(YEAR($E2445),MONTH($E2445),1))))</f>
        <v>0</v>
      </c>
    </row>
    <row r="2446" spans="1:20" ht="18" customHeight="1" x14ac:dyDescent="0.3">
      <c r="A2446" s="2"/>
      <c r="B2446" s="65" t="str">
        <f t="shared" si="190"/>
        <v/>
      </c>
      <c r="C2446" s="65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66"/>
      <c r="F2446" s="67"/>
      <c r="G2446" s="60"/>
      <c r="H2446" s="60"/>
      <c r="I2446" s="61"/>
      <c r="J2446" s="61"/>
      <c r="K2446" s="61"/>
      <c r="L2446" s="73" t="str">
        <f t="shared" si="191"/>
        <v/>
      </c>
      <c r="M2446" s="65" t="str">
        <f t="shared" ca="1" si="192"/>
        <v/>
      </c>
      <c r="N2446" s="74" t="str">
        <f>IF($C2446="","",IF($C2446="TANIMSIZ MÜŞTERİ","—",INDEX(MUSTERILER!$C$7:$C$156,MATCH($C2446,MUSTERILER!$B$7:$B$156,0))))</f>
        <v/>
      </c>
      <c r="O2446" s="2"/>
      <c r="P2446" s="2"/>
      <c r="Q2446" s="1" t="str">
        <f>IF($D2446="","",$C2446&amp;"|"&amp;COUNTIFS($C$7:$C2446,$C2446))</f>
        <v/>
      </c>
      <c r="R2446" s="1" t="str">
        <f t="shared" si="193"/>
        <v/>
      </c>
      <c r="S2446" s="1" t="str">
        <f t="shared" si="194"/>
        <v/>
      </c>
      <c r="T2446" s="1">
        <f>IF($E2446="",0,SUMPRODUCT((AY_SONU!$O$7:$O$42="Evet")*(AY_SONU!$B$7:$B$42=DATE(YEAR($E2446),MONTH($E2446),1))))</f>
        <v>0</v>
      </c>
    </row>
    <row r="2447" spans="1:20" ht="18" customHeight="1" x14ac:dyDescent="0.3">
      <c r="A2447" s="2"/>
      <c r="B2447" s="65" t="str">
        <f t="shared" si="190"/>
        <v/>
      </c>
      <c r="C2447" s="65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66"/>
      <c r="F2447" s="67"/>
      <c r="G2447" s="60"/>
      <c r="H2447" s="60"/>
      <c r="I2447" s="61"/>
      <c r="J2447" s="61"/>
      <c r="K2447" s="61"/>
      <c r="L2447" s="73" t="str">
        <f t="shared" si="191"/>
        <v/>
      </c>
      <c r="M2447" s="65" t="str">
        <f t="shared" ca="1" si="192"/>
        <v/>
      </c>
      <c r="N2447" s="74" t="str">
        <f>IF($C2447="","",IF($C2447="TANIMSIZ MÜŞTERİ","—",INDEX(MUSTERILER!$C$7:$C$156,MATCH($C2447,MUSTERILER!$B$7:$B$156,0))))</f>
        <v/>
      </c>
      <c r="O2447" s="2"/>
      <c r="P2447" s="2"/>
      <c r="Q2447" s="1" t="str">
        <f>IF($D2447="","",$C2447&amp;"|"&amp;COUNTIFS($C$7:$C2447,$C2447))</f>
        <v/>
      </c>
      <c r="R2447" s="1" t="str">
        <f t="shared" si="193"/>
        <v/>
      </c>
      <c r="S2447" s="1" t="str">
        <f t="shared" si="194"/>
        <v/>
      </c>
      <c r="T2447" s="1">
        <f>IF($E2447="",0,SUMPRODUCT((AY_SONU!$O$7:$O$42="Evet")*(AY_SONU!$B$7:$B$42=DATE(YEAR($E2447),MONTH($E2447),1))))</f>
        <v>0</v>
      </c>
    </row>
    <row r="2448" spans="1:20" ht="18" customHeight="1" x14ac:dyDescent="0.3">
      <c r="A2448" s="2"/>
      <c r="B2448" s="65" t="str">
        <f t="shared" si="190"/>
        <v/>
      </c>
      <c r="C2448" s="65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66"/>
      <c r="F2448" s="67"/>
      <c r="G2448" s="60"/>
      <c r="H2448" s="60"/>
      <c r="I2448" s="61"/>
      <c r="J2448" s="61"/>
      <c r="K2448" s="61"/>
      <c r="L2448" s="73" t="str">
        <f t="shared" si="191"/>
        <v/>
      </c>
      <c r="M2448" s="65" t="str">
        <f t="shared" ca="1" si="192"/>
        <v/>
      </c>
      <c r="N2448" s="74" t="str">
        <f>IF($C2448="","",IF($C2448="TANIMSIZ MÜŞTERİ","—",INDEX(MUSTERILER!$C$7:$C$156,MATCH($C2448,MUSTERILER!$B$7:$B$156,0))))</f>
        <v/>
      </c>
      <c r="O2448" s="2"/>
      <c r="P2448" s="2"/>
      <c r="Q2448" s="1" t="str">
        <f>IF($D2448="","",$C2448&amp;"|"&amp;COUNTIFS($C$7:$C2448,$C2448))</f>
        <v/>
      </c>
      <c r="R2448" s="1" t="str">
        <f t="shared" si="193"/>
        <v/>
      </c>
      <c r="S2448" s="1" t="str">
        <f t="shared" si="194"/>
        <v/>
      </c>
      <c r="T2448" s="1">
        <f>IF($E2448="",0,SUMPRODUCT((AY_SONU!$O$7:$O$42="Evet")*(AY_SONU!$B$7:$B$42=DATE(YEAR($E2448),MONTH($E2448),1))))</f>
        <v>0</v>
      </c>
    </row>
    <row r="2449" spans="1:20" ht="18" customHeight="1" x14ac:dyDescent="0.3">
      <c r="A2449" s="2"/>
      <c r="B2449" s="65" t="str">
        <f t="shared" si="190"/>
        <v/>
      </c>
      <c r="C2449" s="65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66"/>
      <c r="F2449" s="67"/>
      <c r="G2449" s="60"/>
      <c r="H2449" s="60"/>
      <c r="I2449" s="61"/>
      <c r="J2449" s="61"/>
      <c r="K2449" s="61"/>
      <c r="L2449" s="73" t="str">
        <f t="shared" si="191"/>
        <v/>
      </c>
      <c r="M2449" s="65" t="str">
        <f t="shared" ca="1" si="192"/>
        <v/>
      </c>
      <c r="N2449" s="74" t="str">
        <f>IF($C2449="","",IF($C2449="TANIMSIZ MÜŞTERİ","—",INDEX(MUSTERILER!$C$7:$C$156,MATCH($C2449,MUSTERILER!$B$7:$B$156,0))))</f>
        <v/>
      </c>
      <c r="O2449" s="2"/>
      <c r="P2449" s="2"/>
      <c r="Q2449" s="1" t="str">
        <f>IF($D2449="","",$C2449&amp;"|"&amp;COUNTIFS($C$7:$C2449,$C2449))</f>
        <v/>
      </c>
      <c r="R2449" s="1" t="str">
        <f t="shared" si="193"/>
        <v/>
      </c>
      <c r="S2449" s="1" t="str">
        <f t="shared" si="194"/>
        <v/>
      </c>
      <c r="T2449" s="1">
        <f>IF($E2449="",0,SUMPRODUCT((AY_SONU!$O$7:$O$42="Evet")*(AY_SONU!$B$7:$B$42=DATE(YEAR($E2449),MONTH($E2449),1))))</f>
        <v>0</v>
      </c>
    </row>
    <row r="2450" spans="1:20" ht="18" customHeight="1" x14ac:dyDescent="0.3">
      <c r="A2450" s="2"/>
      <c r="B2450" s="65" t="str">
        <f t="shared" si="190"/>
        <v/>
      </c>
      <c r="C2450" s="65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66"/>
      <c r="F2450" s="67"/>
      <c r="G2450" s="60"/>
      <c r="H2450" s="60"/>
      <c r="I2450" s="61"/>
      <c r="J2450" s="61"/>
      <c r="K2450" s="61"/>
      <c r="L2450" s="73" t="str">
        <f t="shared" si="191"/>
        <v/>
      </c>
      <c r="M2450" s="65" t="str">
        <f t="shared" ca="1" si="192"/>
        <v/>
      </c>
      <c r="N2450" s="74" t="str">
        <f>IF($C2450="","",IF($C2450="TANIMSIZ MÜŞTERİ","—",INDEX(MUSTERILER!$C$7:$C$156,MATCH($C2450,MUSTERILER!$B$7:$B$156,0))))</f>
        <v/>
      </c>
      <c r="O2450" s="2"/>
      <c r="P2450" s="2"/>
      <c r="Q2450" s="1" t="str">
        <f>IF($D2450="","",$C2450&amp;"|"&amp;COUNTIFS($C$7:$C2450,$C2450))</f>
        <v/>
      </c>
      <c r="R2450" s="1" t="str">
        <f t="shared" si="193"/>
        <v/>
      </c>
      <c r="S2450" s="1" t="str">
        <f t="shared" si="194"/>
        <v/>
      </c>
      <c r="T2450" s="1">
        <f>IF($E2450="",0,SUMPRODUCT((AY_SONU!$O$7:$O$42="Evet")*(AY_SONU!$B$7:$B$42=DATE(YEAR($E2450),MONTH($E2450),1))))</f>
        <v>0</v>
      </c>
    </row>
    <row r="2451" spans="1:20" ht="18" customHeight="1" x14ac:dyDescent="0.3">
      <c r="A2451" s="2"/>
      <c r="B2451" s="65" t="str">
        <f t="shared" si="190"/>
        <v/>
      </c>
      <c r="C2451" s="65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66"/>
      <c r="F2451" s="67"/>
      <c r="G2451" s="60"/>
      <c r="H2451" s="60"/>
      <c r="I2451" s="61"/>
      <c r="J2451" s="61"/>
      <c r="K2451" s="61"/>
      <c r="L2451" s="73" t="str">
        <f t="shared" si="191"/>
        <v/>
      </c>
      <c r="M2451" s="65" t="str">
        <f t="shared" ca="1" si="192"/>
        <v/>
      </c>
      <c r="N2451" s="74" t="str">
        <f>IF($C2451="","",IF($C2451="TANIMSIZ MÜŞTERİ","—",INDEX(MUSTERILER!$C$7:$C$156,MATCH($C2451,MUSTERILER!$B$7:$B$156,0))))</f>
        <v/>
      </c>
      <c r="O2451" s="2"/>
      <c r="P2451" s="2"/>
      <c r="Q2451" s="1" t="str">
        <f>IF($D2451="","",$C2451&amp;"|"&amp;COUNTIFS($C$7:$C2451,$C2451))</f>
        <v/>
      </c>
      <c r="R2451" s="1" t="str">
        <f t="shared" si="193"/>
        <v/>
      </c>
      <c r="S2451" s="1" t="str">
        <f t="shared" si="194"/>
        <v/>
      </c>
      <c r="T2451" s="1">
        <f>IF($E2451="",0,SUMPRODUCT((AY_SONU!$O$7:$O$42="Evet")*(AY_SONU!$B$7:$B$42=DATE(YEAR($E2451),MONTH($E2451),1))))</f>
        <v>0</v>
      </c>
    </row>
    <row r="2452" spans="1:20" ht="18" customHeight="1" x14ac:dyDescent="0.3">
      <c r="A2452" s="2"/>
      <c r="B2452" s="65" t="str">
        <f t="shared" si="190"/>
        <v/>
      </c>
      <c r="C2452" s="65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66"/>
      <c r="F2452" s="67"/>
      <c r="G2452" s="60"/>
      <c r="H2452" s="60"/>
      <c r="I2452" s="61"/>
      <c r="J2452" s="61"/>
      <c r="K2452" s="61"/>
      <c r="L2452" s="73" t="str">
        <f t="shared" si="191"/>
        <v/>
      </c>
      <c r="M2452" s="65" t="str">
        <f t="shared" ca="1" si="192"/>
        <v/>
      </c>
      <c r="N2452" s="74" t="str">
        <f>IF($C2452="","",IF($C2452="TANIMSIZ MÜŞTERİ","—",INDEX(MUSTERILER!$C$7:$C$156,MATCH($C2452,MUSTERILER!$B$7:$B$156,0))))</f>
        <v/>
      </c>
      <c r="O2452" s="2"/>
      <c r="P2452" s="2"/>
      <c r="Q2452" s="1" t="str">
        <f>IF($D2452="","",$C2452&amp;"|"&amp;COUNTIFS($C$7:$C2452,$C2452))</f>
        <v/>
      </c>
      <c r="R2452" s="1" t="str">
        <f t="shared" si="193"/>
        <v/>
      </c>
      <c r="S2452" s="1" t="str">
        <f t="shared" si="194"/>
        <v/>
      </c>
      <c r="T2452" s="1">
        <f>IF($E2452="",0,SUMPRODUCT((AY_SONU!$O$7:$O$42="Evet")*(AY_SONU!$B$7:$B$42=DATE(YEAR($E2452),MONTH($E2452),1))))</f>
        <v>0</v>
      </c>
    </row>
    <row r="2453" spans="1:20" ht="18" customHeight="1" x14ac:dyDescent="0.3">
      <c r="A2453" s="2"/>
      <c r="B2453" s="65" t="str">
        <f t="shared" si="190"/>
        <v/>
      </c>
      <c r="C2453" s="65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66"/>
      <c r="F2453" s="67"/>
      <c r="G2453" s="60"/>
      <c r="H2453" s="60"/>
      <c r="I2453" s="61"/>
      <c r="J2453" s="61"/>
      <c r="K2453" s="61"/>
      <c r="L2453" s="73" t="str">
        <f t="shared" si="191"/>
        <v/>
      </c>
      <c r="M2453" s="65" t="str">
        <f t="shared" ca="1" si="192"/>
        <v/>
      </c>
      <c r="N2453" s="74" t="str">
        <f>IF($C2453="","",IF($C2453="TANIMSIZ MÜŞTERİ","—",INDEX(MUSTERILER!$C$7:$C$156,MATCH($C2453,MUSTERILER!$B$7:$B$156,0))))</f>
        <v/>
      </c>
      <c r="O2453" s="2"/>
      <c r="P2453" s="2"/>
      <c r="Q2453" s="1" t="str">
        <f>IF($D2453="","",$C2453&amp;"|"&amp;COUNTIFS($C$7:$C2453,$C2453))</f>
        <v/>
      </c>
      <c r="R2453" s="1" t="str">
        <f t="shared" si="193"/>
        <v/>
      </c>
      <c r="S2453" s="1" t="str">
        <f t="shared" si="194"/>
        <v/>
      </c>
      <c r="T2453" s="1">
        <f>IF($E2453="",0,SUMPRODUCT((AY_SONU!$O$7:$O$42="Evet")*(AY_SONU!$B$7:$B$42=DATE(YEAR($E2453),MONTH($E2453),1))))</f>
        <v>0</v>
      </c>
    </row>
    <row r="2454" spans="1:20" ht="18" customHeight="1" x14ac:dyDescent="0.3">
      <c r="A2454" s="2"/>
      <c r="B2454" s="65" t="str">
        <f t="shared" si="190"/>
        <v/>
      </c>
      <c r="C2454" s="65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66"/>
      <c r="F2454" s="67"/>
      <c r="G2454" s="60"/>
      <c r="H2454" s="60"/>
      <c r="I2454" s="61"/>
      <c r="J2454" s="61"/>
      <c r="K2454" s="61"/>
      <c r="L2454" s="73" t="str">
        <f t="shared" si="191"/>
        <v/>
      </c>
      <c r="M2454" s="65" t="str">
        <f t="shared" ca="1" si="192"/>
        <v/>
      </c>
      <c r="N2454" s="74" t="str">
        <f>IF($C2454="","",IF($C2454="TANIMSIZ MÜŞTERİ","—",INDEX(MUSTERILER!$C$7:$C$156,MATCH($C2454,MUSTERILER!$B$7:$B$156,0))))</f>
        <v/>
      </c>
      <c r="O2454" s="2"/>
      <c r="P2454" s="2"/>
      <c r="Q2454" s="1" t="str">
        <f>IF($D2454="","",$C2454&amp;"|"&amp;COUNTIFS($C$7:$C2454,$C2454))</f>
        <v/>
      </c>
      <c r="R2454" s="1" t="str">
        <f t="shared" si="193"/>
        <v/>
      </c>
      <c r="S2454" s="1" t="str">
        <f t="shared" si="194"/>
        <v/>
      </c>
      <c r="T2454" s="1">
        <f>IF($E2454="",0,SUMPRODUCT((AY_SONU!$O$7:$O$42="Evet")*(AY_SONU!$B$7:$B$42=DATE(YEAR($E2454),MONTH($E2454),1))))</f>
        <v>0</v>
      </c>
    </row>
    <row r="2455" spans="1:20" ht="18" customHeight="1" x14ac:dyDescent="0.3">
      <c r="A2455" s="2"/>
      <c r="B2455" s="65" t="str">
        <f t="shared" si="190"/>
        <v/>
      </c>
      <c r="C2455" s="65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66"/>
      <c r="F2455" s="67"/>
      <c r="G2455" s="60"/>
      <c r="H2455" s="60"/>
      <c r="I2455" s="61"/>
      <c r="J2455" s="61"/>
      <c r="K2455" s="61"/>
      <c r="L2455" s="73" t="str">
        <f t="shared" si="191"/>
        <v/>
      </c>
      <c r="M2455" s="65" t="str">
        <f t="shared" ca="1" si="192"/>
        <v/>
      </c>
      <c r="N2455" s="74" t="str">
        <f>IF($C2455="","",IF($C2455="TANIMSIZ MÜŞTERİ","—",INDEX(MUSTERILER!$C$7:$C$156,MATCH($C2455,MUSTERILER!$B$7:$B$156,0))))</f>
        <v/>
      </c>
      <c r="O2455" s="2"/>
      <c r="P2455" s="2"/>
      <c r="Q2455" s="1" t="str">
        <f>IF($D2455="","",$C2455&amp;"|"&amp;COUNTIFS($C$7:$C2455,$C2455))</f>
        <v/>
      </c>
      <c r="R2455" s="1" t="str">
        <f t="shared" si="193"/>
        <v/>
      </c>
      <c r="S2455" s="1" t="str">
        <f t="shared" si="194"/>
        <v/>
      </c>
      <c r="T2455" s="1">
        <f>IF($E2455="",0,SUMPRODUCT((AY_SONU!$O$7:$O$42="Evet")*(AY_SONU!$B$7:$B$42=DATE(YEAR($E2455),MONTH($E2455),1))))</f>
        <v>0</v>
      </c>
    </row>
    <row r="2456" spans="1:20" ht="18" customHeight="1" x14ac:dyDescent="0.3">
      <c r="A2456" s="2"/>
      <c r="B2456" s="65" t="str">
        <f t="shared" si="190"/>
        <v/>
      </c>
      <c r="C2456" s="65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66"/>
      <c r="F2456" s="67"/>
      <c r="G2456" s="60"/>
      <c r="H2456" s="60"/>
      <c r="I2456" s="61"/>
      <c r="J2456" s="61"/>
      <c r="K2456" s="61"/>
      <c r="L2456" s="73" t="str">
        <f t="shared" si="191"/>
        <v/>
      </c>
      <c r="M2456" s="65" t="str">
        <f t="shared" ca="1" si="192"/>
        <v/>
      </c>
      <c r="N2456" s="74" t="str">
        <f>IF($C2456="","",IF($C2456="TANIMSIZ MÜŞTERİ","—",INDEX(MUSTERILER!$C$7:$C$156,MATCH($C2456,MUSTERILER!$B$7:$B$156,0))))</f>
        <v/>
      </c>
      <c r="O2456" s="2"/>
      <c r="P2456" s="2"/>
      <c r="Q2456" s="1" t="str">
        <f>IF($D2456="","",$C2456&amp;"|"&amp;COUNTIFS($C$7:$C2456,$C2456))</f>
        <v/>
      </c>
      <c r="R2456" s="1" t="str">
        <f t="shared" si="193"/>
        <v/>
      </c>
      <c r="S2456" s="1" t="str">
        <f t="shared" si="194"/>
        <v/>
      </c>
      <c r="T2456" s="1">
        <f>IF($E2456="",0,SUMPRODUCT((AY_SONU!$O$7:$O$42="Evet")*(AY_SONU!$B$7:$B$42=DATE(YEAR($E2456),MONTH($E2456),1))))</f>
        <v>0</v>
      </c>
    </row>
    <row r="2457" spans="1:20" ht="18" customHeight="1" x14ac:dyDescent="0.3">
      <c r="A2457" s="2"/>
      <c r="B2457" s="65" t="str">
        <f t="shared" si="190"/>
        <v/>
      </c>
      <c r="C2457" s="65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66"/>
      <c r="F2457" s="67"/>
      <c r="G2457" s="60"/>
      <c r="H2457" s="60"/>
      <c r="I2457" s="61"/>
      <c r="J2457" s="61"/>
      <c r="K2457" s="61"/>
      <c r="L2457" s="73" t="str">
        <f t="shared" si="191"/>
        <v/>
      </c>
      <c r="M2457" s="65" t="str">
        <f t="shared" ca="1" si="192"/>
        <v/>
      </c>
      <c r="N2457" s="74" t="str">
        <f>IF($C2457="","",IF($C2457="TANIMSIZ MÜŞTERİ","—",INDEX(MUSTERILER!$C$7:$C$156,MATCH($C2457,MUSTERILER!$B$7:$B$156,0))))</f>
        <v/>
      </c>
      <c r="O2457" s="2"/>
      <c r="P2457" s="2"/>
      <c r="Q2457" s="1" t="str">
        <f>IF($D2457="","",$C2457&amp;"|"&amp;COUNTIFS($C$7:$C2457,$C2457))</f>
        <v/>
      </c>
      <c r="R2457" s="1" t="str">
        <f t="shared" si="193"/>
        <v/>
      </c>
      <c r="S2457" s="1" t="str">
        <f t="shared" si="194"/>
        <v/>
      </c>
      <c r="T2457" s="1">
        <f>IF($E2457="",0,SUMPRODUCT((AY_SONU!$O$7:$O$42="Evet")*(AY_SONU!$B$7:$B$42=DATE(YEAR($E2457),MONTH($E2457),1))))</f>
        <v>0</v>
      </c>
    </row>
    <row r="2458" spans="1:20" ht="18" customHeight="1" x14ac:dyDescent="0.3">
      <c r="A2458" s="2"/>
      <c r="B2458" s="65" t="str">
        <f t="shared" si="190"/>
        <v/>
      </c>
      <c r="C2458" s="65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66"/>
      <c r="F2458" s="67"/>
      <c r="G2458" s="60"/>
      <c r="H2458" s="60"/>
      <c r="I2458" s="61"/>
      <c r="J2458" s="61"/>
      <c r="K2458" s="61"/>
      <c r="L2458" s="73" t="str">
        <f t="shared" si="191"/>
        <v/>
      </c>
      <c r="M2458" s="65" t="str">
        <f t="shared" ca="1" si="192"/>
        <v/>
      </c>
      <c r="N2458" s="74" t="str">
        <f>IF($C2458="","",IF($C2458="TANIMSIZ MÜŞTERİ","—",INDEX(MUSTERILER!$C$7:$C$156,MATCH($C2458,MUSTERILER!$B$7:$B$156,0))))</f>
        <v/>
      </c>
      <c r="O2458" s="2"/>
      <c r="P2458" s="2"/>
      <c r="Q2458" s="1" t="str">
        <f>IF($D2458="","",$C2458&amp;"|"&amp;COUNTIFS($C$7:$C2458,$C2458))</f>
        <v/>
      </c>
      <c r="R2458" s="1" t="str">
        <f t="shared" si="193"/>
        <v/>
      </c>
      <c r="S2458" s="1" t="str">
        <f t="shared" si="194"/>
        <v/>
      </c>
      <c r="T2458" s="1">
        <f>IF($E2458="",0,SUMPRODUCT((AY_SONU!$O$7:$O$42="Evet")*(AY_SONU!$B$7:$B$42=DATE(YEAR($E2458),MONTH($E2458),1))))</f>
        <v>0</v>
      </c>
    </row>
    <row r="2459" spans="1:20" ht="18" customHeight="1" x14ac:dyDescent="0.3">
      <c r="A2459" s="2"/>
      <c r="B2459" s="65" t="str">
        <f t="shared" si="190"/>
        <v/>
      </c>
      <c r="C2459" s="65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66"/>
      <c r="F2459" s="67"/>
      <c r="G2459" s="60"/>
      <c r="H2459" s="60"/>
      <c r="I2459" s="61"/>
      <c r="J2459" s="61"/>
      <c r="K2459" s="61"/>
      <c r="L2459" s="73" t="str">
        <f t="shared" si="191"/>
        <v/>
      </c>
      <c r="M2459" s="65" t="str">
        <f t="shared" ca="1" si="192"/>
        <v/>
      </c>
      <c r="N2459" s="74" t="str">
        <f>IF($C2459="","",IF($C2459="TANIMSIZ MÜŞTERİ","—",INDEX(MUSTERILER!$C$7:$C$156,MATCH($C2459,MUSTERILER!$B$7:$B$156,0))))</f>
        <v/>
      </c>
      <c r="O2459" s="2"/>
      <c r="P2459" s="2"/>
      <c r="Q2459" s="1" t="str">
        <f>IF($D2459="","",$C2459&amp;"|"&amp;COUNTIFS($C$7:$C2459,$C2459))</f>
        <v/>
      </c>
      <c r="R2459" s="1" t="str">
        <f t="shared" si="193"/>
        <v/>
      </c>
      <c r="S2459" s="1" t="str">
        <f t="shared" si="194"/>
        <v/>
      </c>
      <c r="T2459" s="1">
        <f>IF($E2459="",0,SUMPRODUCT((AY_SONU!$O$7:$O$42="Evet")*(AY_SONU!$B$7:$B$42=DATE(YEAR($E2459),MONTH($E2459),1))))</f>
        <v>0</v>
      </c>
    </row>
    <row r="2460" spans="1:20" ht="18" customHeight="1" x14ac:dyDescent="0.3">
      <c r="A2460" s="2"/>
      <c r="B2460" s="65" t="str">
        <f t="shared" si="190"/>
        <v/>
      </c>
      <c r="C2460" s="65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66"/>
      <c r="F2460" s="67"/>
      <c r="G2460" s="60"/>
      <c r="H2460" s="60"/>
      <c r="I2460" s="61"/>
      <c r="J2460" s="61"/>
      <c r="K2460" s="61"/>
      <c r="L2460" s="73" t="str">
        <f t="shared" si="191"/>
        <v/>
      </c>
      <c r="M2460" s="65" t="str">
        <f t="shared" ca="1" si="192"/>
        <v/>
      </c>
      <c r="N2460" s="74" t="str">
        <f>IF($C2460="","",IF($C2460="TANIMSIZ MÜŞTERİ","—",INDEX(MUSTERILER!$C$7:$C$156,MATCH($C2460,MUSTERILER!$B$7:$B$156,0))))</f>
        <v/>
      </c>
      <c r="O2460" s="2"/>
      <c r="P2460" s="2"/>
      <c r="Q2460" s="1" t="str">
        <f>IF($D2460="","",$C2460&amp;"|"&amp;COUNTIFS($C$7:$C2460,$C2460))</f>
        <v/>
      </c>
      <c r="R2460" s="1" t="str">
        <f t="shared" si="193"/>
        <v/>
      </c>
      <c r="S2460" s="1" t="str">
        <f t="shared" si="194"/>
        <v/>
      </c>
      <c r="T2460" s="1">
        <f>IF($E2460="",0,SUMPRODUCT((AY_SONU!$O$7:$O$42="Evet")*(AY_SONU!$B$7:$B$42=DATE(YEAR($E2460),MONTH($E2460),1))))</f>
        <v>0</v>
      </c>
    </row>
    <row r="2461" spans="1:20" ht="18" customHeight="1" x14ac:dyDescent="0.3">
      <c r="A2461" s="2"/>
      <c r="B2461" s="65" t="str">
        <f t="shared" si="190"/>
        <v/>
      </c>
      <c r="C2461" s="65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66"/>
      <c r="F2461" s="67"/>
      <c r="G2461" s="60"/>
      <c r="H2461" s="60"/>
      <c r="I2461" s="61"/>
      <c r="J2461" s="61"/>
      <c r="K2461" s="61"/>
      <c r="L2461" s="73" t="str">
        <f t="shared" si="191"/>
        <v/>
      </c>
      <c r="M2461" s="65" t="str">
        <f t="shared" ca="1" si="192"/>
        <v/>
      </c>
      <c r="N2461" s="74" t="str">
        <f>IF($C2461="","",IF($C2461="TANIMSIZ MÜŞTERİ","—",INDEX(MUSTERILER!$C$7:$C$156,MATCH($C2461,MUSTERILER!$B$7:$B$156,0))))</f>
        <v/>
      </c>
      <c r="O2461" s="2"/>
      <c r="P2461" s="2"/>
      <c r="Q2461" s="1" t="str">
        <f>IF($D2461="","",$C2461&amp;"|"&amp;COUNTIFS($C$7:$C2461,$C2461))</f>
        <v/>
      </c>
      <c r="R2461" s="1" t="str">
        <f t="shared" si="193"/>
        <v/>
      </c>
      <c r="S2461" s="1" t="str">
        <f t="shared" si="194"/>
        <v/>
      </c>
      <c r="T2461" s="1">
        <f>IF($E2461="",0,SUMPRODUCT((AY_SONU!$O$7:$O$42="Evet")*(AY_SONU!$B$7:$B$42=DATE(YEAR($E2461),MONTH($E2461),1))))</f>
        <v>0</v>
      </c>
    </row>
    <row r="2462" spans="1:20" ht="18" customHeight="1" x14ac:dyDescent="0.3">
      <c r="A2462" s="2"/>
      <c r="B2462" s="65" t="str">
        <f t="shared" si="190"/>
        <v/>
      </c>
      <c r="C2462" s="65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66"/>
      <c r="F2462" s="67"/>
      <c r="G2462" s="60"/>
      <c r="H2462" s="60"/>
      <c r="I2462" s="61"/>
      <c r="J2462" s="61"/>
      <c r="K2462" s="61"/>
      <c r="L2462" s="73" t="str">
        <f t="shared" si="191"/>
        <v/>
      </c>
      <c r="M2462" s="65" t="str">
        <f t="shared" ca="1" si="192"/>
        <v/>
      </c>
      <c r="N2462" s="74" t="str">
        <f>IF($C2462="","",IF($C2462="TANIMSIZ MÜŞTERİ","—",INDEX(MUSTERILER!$C$7:$C$156,MATCH($C2462,MUSTERILER!$B$7:$B$156,0))))</f>
        <v/>
      </c>
      <c r="O2462" s="2"/>
      <c r="P2462" s="2"/>
      <c r="Q2462" s="1" t="str">
        <f>IF($D2462="","",$C2462&amp;"|"&amp;COUNTIFS($C$7:$C2462,$C2462))</f>
        <v/>
      </c>
      <c r="R2462" s="1" t="str">
        <f t="shared" si="193"/>
        <v/>
      </c>
      <c r="S2462" s="1" t="str">
        <f t="shared" si="194"/>
        <v/>
      </c>
      <c r="T2462" s="1">
        <f>IF($E2462="",0,SUMPRODUCT((AY_SONU!$O$7:$O$42="Evet")*(AY_SONU!$B$7:$B$42=DATE(YEAR($E2462),MONTH($E2462),1))))</f>
        <v>0</v>
      </c>
    </row>
    <row r="2463" spans="1:20" ht="18" customHeight="1" x14ac:dyDescent="0.3">
      <c r="A2463" s="2"/>
      <c r="B2463" s="65" t="str">
        <f t="shared" si="190"/>
        <v/>
      </c>
      <c r="C2463" s="65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66"/>
      <c r="F2463" s="67"/>
      <c r="G2463" s="60"/>
      <c r="H2463" s="60"/>
      <c r="I2463" s="61"/>
      <c r="J2463" s="61"/>
      <c r="K2463" s="61"/>
      <c r="L2463" s="73" t="str">
        <f t="shared" si="191"/>
        <v/>
      </c>
      <c r="M2463" s="65" t="str">
        <f t="shared" ca="1" si="192"/>
        <v/>
      </c>
      <c r="N2463" s="74" t="str">
        <f>IF($C2463="","",IF($C2463="TANIMSIZ MÜŞTERİ","—",INDEX(MUSTERILER!$C$7:$C$156,MATCH($C2463,MUSTERILER!$B$7:$B$156,0))))</f>
        <v/>
      </c>
      <c r="O2463" s="2"/>
      <c r="P2463" s="2"/>
      <c r="Q2463" s="1" t="str">
        <f>IF($D2463="","",$C2463&amp;"|"&amp;COUNTIFS($C$7:$C2463,$C2463))</f>
        <v/>
      </c>
      <c r="R2463" s="1" t="str">
        <f t="shared" si="193"/>
        <v/>
      </c>
      <c r="S2463" s="1" t="str">
        <f t="shared" si="194"/>
        <v/>
      </c>
      <c r="T2463" s="1">
        <f>IF($E2463="",0,SUMPRODUCT((AY_SONU!$O$7:$O$42="Evet")*(AY_SONU!$B$7:$B$42=DATE(YEAR($E2463),MONTH($E2463),1))))</f>
        <v>0</v>
      </c>
    </row>
    <row r="2464" spans="1:20" ht="18" customHeight="1" x14ac:dyDescent="0.3">
      <c r="A2464" s="2"/>
      <c r="B2464" s="65" t="str">
        <f t="shared" si="190"/>
        <v/>
      </c>
      <c r="C2464" s="65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66"/>
      <c r="F2464" s="67"/>
      <c r="G2464" s="60"/>
      <c r="H2464" s="60"/>
      <c r="I2464" s="61"/>
      <c r="J2464" s="61"/>
      <c r="K2464" s="61"/>
      <c r="L2464" s="73" t="str">
        <f t="shared" si="191"/>
        <v/>
      </c>
      <c r="M2464" s="65" t="str">
        <f t="shared" ca="1" si="192"/>
        <v/>
      </c>
      <c r="N2464" s="74" t="str">
        <f>IF($C2464="","",IF($C2464="TANIMSIZ MÜŞTERİ","—",INDEX(MUSTERILER!$C$7:$C$156,MATCH($C2464,MUSTERILER!$B$7:$B$156,0))))</f>
        <v/>
      </c>
      <c r="O2464" s="2"/>
      <c r="P2464" s="2"/>
      <c r="Q2464" s="1" t="str">
        <f>IF($D2464="","",$C2464&amp;"|"&amp;COUNTIFS($C$7:$C2464,$C2464))</f>
        <v/>
      </c>
      <c r="R2464" s="1" t="str">
        <f t="shared" si="193"/>
        <v/>
      </c>
      <c r="S2464" s="1" t="str">
        <f t="shared" si="194"/>
        <v/>
      </c>
      <c r="T2464" s="1">
        <f>IF($E2464="",0,SUMPRODUCT((AY_SONU!$O$7:$O$42="Evet")*(AY_SONU!$B$7:$B$42=DATE(YEAR($E2464),MONTH($E2464),1))))</f>
        <v>0</v>
      </c>
    </row>
    <row r="2465" spans="1:20" ht="18" customHeight="1" x14ac:dyDescent="0.3">
      <c r="A2465" s="2"/>
      <c r="B2465" s="65" t="str">
        <f t="shared" si="190"/>
        <v/>
      </c>
      <c r="C2465" s="65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66"/>
      <c r="F2465" s="67"/>
      <c r="G2465" s="60"/>
      <c r="H2465" s="60"/>
      <c r="I2465" s="61"/>
      <c r="J2465" s="61"/>
      <c r="K2465" s="61"/>
      <c r="L2465" s="73" t="str">
        <f t="shared" si="191"/>
        <v/>
      </c>
      <c r="M2465" s="65" t="str">
        <f t="shared" ca="1" si="192"/>
        <v/>
      </c>
      <c r="N2465" s="74" t="str">
        <f>IF($C2465="","",IF($C2465="TANIMSIZ MÜŞTERİ","—",INDEX(MUSTERILER!$C$7:$C$156,MATCH($C2465,MUSTERILER!$B$7:$B$156,0))))</f>
        <v/>
      </c>
      <c r="O2465" s="2"/>
      <c r="P2465" s="2"/>
      <c r="Q2465" s="1" t="str">
        <f>IF($D2465="","",$C2465&amp;"|"&amp;COUNTIFS($C$7:$C2465,$C2465))</f>
        <v/>
      </c>
      <c r="R2465" s="1" t="str">
        <f t="shared" si="193"/>
        <v/>
      </c>
      <c r="S2465" s="1" t="str">
        <f t="shared" si="194"/>
        <v/>
      </c>
      <c r="T2465" s="1">
        <f>IF($E2465="",0,SUMPRODUCT((AY_SONU!$O$7:$O$42="Evet")*(AY_SONU!$B$7:$B$42=DATE(YEAR($E2465),MONTH($E2465),1))))</f>
        <v>0</v>
      </c>
    </row>
    <row r="2466" spans="1:20" ht="18" customHeight="1" x14ac:dyDescent="0.3">
      <c r="A2466" s="2"/>
      <c r="B2466" s="65" t="str">
        <f t="shared" si="190"/>
        <v/>
      </c>
      <c r="C2466" s="65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66"/>
      <c r="F2466" s="67"/>
      <c r="G2466" s="60"/>
      <c r="H2466" s="60"/>
      <c r="I2466" s="61"/>
      <c r="J2466" s="61"/>
      <c r="K2466" s="61"/>
      <c r="L2466" s="73" t="str">
        <f t="shared" si="191"/>
        <v/>
      </c>
      <c r="M2466" s="65" t="str">
        <f t="shared" ca="1" si="192"/>
        <v/>
      </c>
      <c r="N2466" s="74" t="str">
        <f>IF($C2466="","",IF($C2466="TANIMSIZ MÜŞTERİ","—",INDEX(MUSTERILER!$C$7:$C$156,MATCH($C2466,MUSTERILER!$B$7:$B$156,0))))</f>
        <v/>
      </c>
      <c r="O2466" s="2"/>
      <c r="P2466" s="2"/>
      <c r="Q2466" s="1" t="str">
        <f>IF($D2466="","",$C2466&amp;"|"&amp;COUNTIFS($C$7:$C2466,$C2466))</f>
        <v/>
      </c>
      <c r="R2466" s="1" t="str">
        <f t="shared" si="193"/>
        <v/>
      </c>
      <c r="S2466" s="1" t="str">
        <f t="shared" si="194"/>
        <v/>
      </c>
      <c r="T2466" s="1">
        <f>IF($E2466="",0,SUMPRODUCT((AY_SONU!$O$7:$O$42="Evet")*(AY_SONU!$B$7:$B$42=DATE(YEAR($E2466),MONTH($E2466),1))))</f>
        <v>0</v>
      </c>
    </row>
    <row r="2467" spans="1:20" ht="18" customHeight="1" x14ac:dyDescent="0.3">
      <c r="A2467" s="2"/>
      <c r="B2467" s="65" t="str">
        <f t="shared" si="190"/>
        <v/>
      </c>
      <c r="C2467" s="65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66"/>
      <c r="F2467" s="67"/>
      <c r="G2467" s="60"/>
      <c r="H2467" s="60"/>
      <c r="I2467" s="61"/>
      <c r="J2467" s="61"/>
      <c r="K2467" s="61"/>
      <c r="L2467" s="73" t="str">
        <f t="shared" si="191"/>
        <v/>
      </c>
      <c r="M2467" s="65" t="str">
        <f t="shared" ca="1" si="192"/>
        <v/>
      </c>
      <c r="N2467" s="74" t="str">
        <f>IF($C2467="","",IF($C2467="TANIMSIZ MÜŞTERİ","—",INDEX(MUSTERILER!$C$7:$C$156,MATCH($C2467,MUSTERILER!$B$7:$B$156,0))))</f>
        <v/>
      </c>
      <c r="O2467" s="2"/>
      <c r="P2467" s="2"/>
      <c r="Q2467" s="1" t="str">
        <f>IF($D2467="","",$C2467&amp;"|"&amp;COUNTIFS($C$7:$C2467,$C2467))</f>
        <v/>
      </c>
      <c r="R2467" s="1" t="str">
        <f t="shared" si="193"/>
        <v/>
      </c>
      <c r="S2467" s="1" t="str">
        <f t="shared" si="194"/>
        <v/>
      </c>
      <c r="T2467" s="1">
        <f>IF($E2467="",0,SUMPRODUCT((AY_SONU!$O$7:$O$42="Evet")*(AY_SONU!$B$7:$B$42=DATE(YEAR($E2467),MONTH($E2467),1))))</f>
        <v>0</v>
      </c>
    </row>
    <row r="2468" spans="1:20" ht="18" customHeight="1" x14ac:dyDescent="0.3">
      <c r="A2468" s="2"/>
      <c r="B2468" s="65" t="str">
        <f t="shared" si="190"/>
        <v/>
      </c>
      <c r="C2468" s="65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66"/>
      <c r="F2468" s="67"/>
      <c r="G2468" s="60"/>
      <c r="H2468" s="60"/>
      <c r="I2468" s="61"/>
      <c r="J2468" s="61"/>
      <c r="K2468" s="61"/>
      <c r="L2468" s="73" t="str">
        <f t="shared" si="191"/>
        <v/>
      </c>
      <c r="M2468" s="65" t="str">
        <f t="shared" ca="1" si="192"/>
        <v/>
      </c>
      <c r="N2468" s="74" t="str">
        <f>IF($C2468="","",IF($C2468="TANIMSIZ MÜŞTERİ","—",INDEX(MUSTERILER!$C$7:$C$156,MATCH($C2468,MUSTERILER!$B$7:$B$156,0))))</f>
        <v/>
      </c>
      <c r="O2468" s="2"/>
      <c r="P2468" s="2"/>
      <c r="Q2468" s="1" t="str">
        <f>IF($D2468="","",$C2468&amp;"|"&amp;COUNTIFS($C$7:$C2468,$C2468))</f>
        <v/>
      </c>
      <c r="R2468" s="1" t="str">
        <f t="shared" si="193"/>
        <v/>
      </c>
      <c r="S2468" s="1" t="str">
        <f t="shared" si="194"/>
        <v/>
      </c>
      <c r="T2468" s="1">
        <f>IF($E2468="",0,SUMPRODUCT((AY_SONU!$O$7:$O$42="Evet")*(AY_SONU!$B$7:$B$42=DATE(YEAR($E2468),MONTH($E2468),1))))</f>
        <v>0</v>
      </c>
    </row>
    <row r="2469" spans="1:20" ht="18" customHeight="1" x14ac:dyDescent="0.3">
      <c r="A2469" s="2"/>
      <c r="B2469" s="65" t="str">
        <f t="shared" si="190"/>
        <v/>
      </c>
      <c r="C2469" s="65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66"/>
      <c r="F2469" s="67"/>
      <c r="G2469" s="60"/>
      <c r="H2469" s="60"/>
      <c r="I2469" s="61"/>
      <c r="J2469" s="61"/>
      <c r="K2469" s="61"/>
      <c r="L2469" s="73" t="str">
        <f t="shared" si="191"/>
        <v/>
      </c>
      <c r="M2469" s="65" t="str">
        <f t="shared" ca="1" si="192"/>
        <v/>
      </c>
      <c r="N2469" s="74" t="str">
        <f>IF($C2469="","",IF($C2469="TANIMSIZ MÜŞTERİ","—",INDEX(MUSTERILER!$C$7:$C$156,MATCH($C2469,MUSTERILER!$B$7:$B$156,0))))</f>
        <v/>
      </c>
      <c r="O2469" s="2"/>
      <c r="P2469" s="2"/>
      <c r="Q2469" s="1" t="str">
        <f>IF($D2469="","",$C2469&amp;"|"&amp;COUNTIFS($C$7:$C2469,$C2469))</f>
        <v/>
      </c>
      <c r="R2469" s="1" t="str">
        <f t="shared" si="193"/>
        <v/>
      </c>
      <c r="S2469" s="1" t="str">
        <f t="shared" si="194"/>
        <v/>
      </c>
      <c r="T2469" s="1">
        <f>IF($E2469="",0,SUMPRODUCT((AY_SONU!$O$7:$O$42="Evet")*(AY_SONU!$B$7:$B$42=DATE(YEAR($E2469),MONTH($E2469),1))))</f>
        <v>0</v>
      </c>
    </row>
    <row r="2470" spans="1:20" ht="18" customHeight="1" x14ac:dyDescent="0.3">
      <c r="A2470" s="2"/>
      <c r="B2470" s="65" t="str">
        <f t="shared" si="190"/>
        <v/>
      </c>
      <c r="C2470" s="65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66"/>
      <c r="F2470" s="67"/>
      <c r="G2470" s="60"/>
      <c r="H2470" s="60"/>
      <c r="I2470" s="61"/>
      <c r="J2470" s="61"/>
      <c r="K2470" s="61"/>
      <c r="L2470" s="73" t="str">
        <f t="shared" si="191"/>
        <v/>
      </c>
      <c r="M2470" s="65" t="str">
        <f t="shared" ca="1" si="192"/>
        <v/>
      </c>
      <c r="N2470" s="74" t="str">
        <f>IF($C2470="","",IF($C2470="TANIMSIZ MÜŞTERİ","—",INDEX(MUSTERILER!$C$7:$C$156,MATCH($C2470,MUSTERILER!$B$7:$B$156,0))))</f>
        <v/>
      </c>
      <c r="O2470" s="2"/>
      <c r="P2470" s="2"/>
      <c r="Q2470" s="1" t="str">
        <f>IF($D2470="","",$C2470&amp;"|"&amp;COUNTIFS($C$7:$C2470,$C2470))</f>
        <v/>
      </c>
      <c r="R2470" s="1" t="str">
        <f t="shared" si="193"/>
        <v/>
      </c>
      <c r="S2470" s="1" t="str">
        <f t="shared" si="194"/>
        <v/>
      </c>
      <c r="T2470" s="1">
        <f>IF($E2470="",0,SUMPRODUCT((AY_SONU!$O$7:$O$42="Evet")*(AY_SONU!$B$7:$B$42=DATE(YEAR($E2470),MONTH($E2470),1))))</f>
        <v>0</v>
      </c>
    </row>
    <row r="2471" spans="1:20" ht="18" customHeight="1" x14ac:dyDescent="0.3">
      <c r="A2471" s="2"/>
      <c r="B2471" s="65" t="str">
        <f t="shared" si="190"/>
        <v/>
      </c>
      <c r="C2471" s="65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66"/>
      <c r="F2471" s="67"/>
      <c r="G2471" s="60"/>
      <c r="H2471" s="60"/>
      <c r="I2471" s="61"/>
      <c r="J2471" s="61"/>
      <c r="K2471" s="61"/>
      <c r="L2471" s="73" t="str">
        <f t="shared" si="191"/>
        <v/>
      </c>
      <c r="M2471" s="65" t="str">
        <f t="shared" ca="1" si="192"/>
        <v/>
      </c>
      <c r="N2471" s="74" t="str">
        <f>IF($C2471="","",IF($C2471="TANIMSIZ MÜŞTERİ","—",INDEX(MUSTERILER!$C$7:$C$156,MATCH($C2471,MUSTERILER!$B$7:$B$156,0))))</f>
        <v/>
      </c>
      <c r="O2471" s="2"/>
      <c r="P2471" s="2"/>
      <c r="Q2471" s="1" t="str">
        <f>IF($D2471="","",$C2471&amp;"|"&amp;COUNTIFS($C$7:$C2471,$C2471))</f>
        <v/>
      </c>
      <c r="R2471" s="1" t="str">
        <f t="shared" si="193"/>
        <v/>
      </c>
      <c r="S2471" s="1" t="str">
        <f t="shared" si="194"/>
        <v/>
      </c>
      <c r="T2471" s="1">
        <f>IF($E2471="",0,SUMPRODUCT((AY_SONU!$O$7:$O$42="Evet")*(AY_SONU!$B$7:$B$42=DATE(YEAR($E2471),MONTH($E2471),1))))</f>
        <v>0</v>
      </c>
    </row>
    <row r="2472" spans="1:20" ht="18" customHeight="1" x14ac:dyDescent="0.3">
      <c r="A2472" s="2"/>
      <c r="B2472" s="65" t="str">
        <f t="shared" si="190"/>
        <v/>
      </c>
      <c r="C2472" s="65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66"/>
      <c r="F2472" s="67"/>
      <c r="G2472" s="60"/>
      <c r="H2472" s="60"/>
      <c r="I2472" s="61"/>
      <c r="J2472" s="61"/>
      <c r="K2472" s="61"/>
      <c r="L2472" s="73" t="str">
        <f t="shared" si="191"/>
        <v/>
      </c>
      <c r="M2472" s="65" t="str">
        <f t="shared" ca="1" si="192"/>
        <v/>
      </c>
      <c r="N2472" s="74" t="str">
        <f>IF($C2472="","",IF($C2472="TANIMSIZ MÜŞTERİ","—",INDEX(MUSTERILER!$C$7:$C$156,MATCH($C2472,MUSTERILER!$B$7:$B$156,0))))</f>
        <v/>
      </c>
      <c r="O2472" s="2"/>
      <c r="P2472" s="2"/>
      <c r="Q2472" s="1" t="str">
        <f>IF($D2472="","",$C2472&amp;"|"&amp;COUNTIFS($C$7:$C2472,$C2472))</f>
        <v/>
      </c>
      <c r="R2472" s="1" t="str">
        <f t="shared" si="193"/>
        <v/>
      </c>
      <c r="S2472" s="1" t="str">
        <f t="shared" si="194"/>
        <v/>
      </c>
      <c r="T2472" s="1">
        <f>IF($E2472="",0,SUMPRODUCT((AY_SONU!$O$7:$O$42="Evet")*(AY_SONU!$B$7:$B$42=DATE(YEAR($E2472),MONTH($E2472),1))))</f>
        <v>0</v>
      </c>
    </row>
    <row r="2473" spans="1:20" ht="18" customHeight="1" x14ac:dyDescent="0.3">
      <c r="A2473" s="2"/>
      <c r="B2473" s="65" t="str">
        <f t="shared" si="190"/>
        <v/>
      </c>
      <c r="C2473" s="65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66"/>
      <c r="F2473" s="67"/>
      <c r="G2473" s="60"/>
      <c r="H2473" s="60"/>
      <c r="I2473" s="61"/>
      <c r="J2473" s="61"/>
      <c r="K2473" s="61"/>
      <c r="L2473" s="73" t="str">
        <f t="shared" si="191"/>
        <v/>
      </c>
      <c r="M2473" s="65" t="str">
        <f t="shared" ca="1" si="192"/>
        <v/>
      </c>
      <c r="N2473" s="74" t="str">
        <f>IF($C2473="","",IF($C2473="TANIMSIZ MÜŞTERİ","—",INDEX(MUSTERILER!$C$7:$C$156,MATCH($C2473,MUSTERILER!$B$7:$B$156,0))))</f>
        <v/>
      </c>
      <c r="O2473" s="2"/>
      <c r="P2473" s="2"/>
      <c r="Q2473" s="1" t="str">
        <f>IF($D2473="","",$C2473&amp;"|"&amp;COUNTIFS($C$7:$C2473,$C2473))</f>
        <v/>
      </c>
      <c r="R2473" s="1" t="str">
        <f t="shared" si="193"/>
        <v/>
      </c>
      <c r="S2473" s="1" t="str">
        <f t="shared" si="194"/>
        <v/>
      </c>
      <c r="T2473" s="1">
        <f>IF($E2473="",0,SUMPRODUCT((AY_SONU!$O$7:$O$42="Evet")*(AY_SONU!$B$7:$B$42=DATE(YEAR($E2473),MONTH($E2473),1))))</f>
        <v>0</v>
      </c>
    </row>
    <row r="2474" spans="1:20" ht="18" customHeight="1" x14ac:dyDescent="0.3">
      <c r="A2474" s="2"/>
      <c r="B2474" s="65" t="str">
        <f t="shared" si="190"/>
        <v/>
      </c>
      <c r="C2474" s="65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66"/>
      <c r="F2474" s="67"/>
      <c r="G2474" s="60"/>
      <c r="H2474" s="60"/>
      <c r="I2474" s="61"/>
      <c r="J2474" s="61"/>
      <c r="K2474" s="61"/>
      <c r="L2474" s="73" t="str">
        <f t="shared" si="191"/>
        <v/>
      </c>
      <c r="M2474" s="65" t="str">
        <f t="shared" ca="1" si="192"/>
        <v/>
      </c>
      <c r="N2474" s="74" t="str">
        <f>IF($C2474="","",IF($C2474="TANIMSIZ MÜŞTERİ","—",INDEX(MUSTERILER!$C$7:$C$156,MATCH($C2474,MUSTERILER!$B$7:$B$156,0))))</f>
        <v/>
      </c>
      <c r="O2474" s="2"/>
      <c r="P2474" s="2"/>
      <c r="Q2474" s="1" t="str">
        <f>IF($D2474="","",$C2474&amp;"|"&amp;COUNTIFS($C$7:$C2474,$C2474))</f>
        <v/>
      </c>
      <c r="R2474" s="1" t="str">
        <f t="shared" si="193"/>
        <v/>
      </c>
      <c r="S2474" s="1" t="str">
        <f t="shared" si="194"/>
        <v/>
      </c>
      <c r="T2474" s="1">
        <f>IF($E2474="",0,SUMPRODUCT((AY_SONU!$O$7:$O$42="Evet")*(AY_SONU!$B$7:$B$42=DATE(YEAR($E2474),MONTH($E2474),1))))</f>
        <v>0</v>
      </c>
    </row>
    <row r="2475" spans="1:20" ht="18" customHeight="1" x14ac:dyDescent="0.3">
      <c r="A2475" s="2"/>
      <c r="B2475" s="65" t="str">
        <f t="shared" si="190"/>
        <v/>
      </c>
      <c r="C2475" s="65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66"/>
      <c r="F2475" s="67"/>
      <c r="G2475" s="60"/>
      <c r="H2475" s="60"/>
      <c r="I2475" s="61"/>
      <c r="J2475" s="61"/>
      <c r="K2475" s="61"/>
      <c r="L2475" s="73" t="str">
        <f t="shared" si="191"/>
        <v/>
      </c>
      <c r="M2475" s="65" t="str">
        <f t="shared" ca="1" si="192"/>
        <v/>
      </c>
      <c r="N2475" s="74" t="str">
        <f>IF($C2475="","",IF($C2475="TANIMSIZ MÜŞTERİ","—",INDEX(MUSTERILER!$C$7:$C$156,MATCH($C2475,MUSTERILER!$B$7:$B$156,0))))</f>
        <v/>
      </c>
      <c r="O2475" s="2"/>
      <c r="P2475" s="2"/>
      <c r="Q2475" s="1" t="str">
        <f>IF($D2475="","",$C2475&amp;"|"&amp;COUNTIFS($C$7:$C2475,$C2475))</f>
        <v/>
      </c>
      <c r="R2475" s="1" t="str">
        <f t="shared" si="193"/>
        <v/>
      </c>
      <c r="S2475" s="1" t="str">
        <f t="shared" si="194"/>
        <v/>
      </c>
      <c r="T2475" s="1">
        <f>IF($E2475="",0,SUMPRODUCT((AY_SONU!$O$7:$O$42="Evet")*(AY_SONU!$B$7:$B$42=DATE(YEAR($E2475),MONTH($E2475),1))))</f>
        <v>0</v>
      </c>
    </row>
    <row r="2476" spans="1:20" ht="18" customHeight="1" x14ac:dyDescent="0.3">
      <c r="A2476" s="2"/>
      <c r="B2476" s="65" t="str">
        <f t="shared" si="190"/>
        <v/>
      </c>
      <c r="C2476" s="65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66"/>
      <c r="F2476" s="67"/>
      <c r="G2476" s="60"/>
      <c r="H2476" s="60"/>
      <c r="I2476" s="61"/>
      <c r="J2476" s="61"/>
      <c r="K2476" s="61"/>
      <c r="L2476" s="73" t="str">
        <f t="shared" si="191"/>
        <v/>
      </c>
      <c r="M2476" s="65" t="str">
        <f t="shared" ca="1" si="192"/>
        <v/>
      </c>
      <c r="N2476" s="74" t="str">
        <f>IF($C2476="","",IF($C2476="TANIMSIZ MÜŞTERİ","—",INDEX(MUSTERILER!$C$7:$C$156,MATCH($C2476,MUSTERILER!$B$7:$B$156,0))))</f>
        <v/>
      </c>
      <c r="O2476" s="2"/>
      <c r="P2476" s="2"/>
      <c r="Q2476" s="1" t="str">
        <f>IF($D2476="","",$C2476&amp;"|"&amp;COUNTIFS($C$7:$C2476,$C2476))</f>
        <v/>
      </c>
      <c r="R2476" s="1" t="str">
        <f t="shared" si="193"/>
        <v/>
      </c>
      <c r="S2476" s="1" t="str">
        <f t="shared" si="194"/>
        <v/>
      </c>
      <c r="T2476" s="1">
        <f>IF($E2476="",0,SUMPRODUCT((AY_SONU!$O$7:$O$42="Evet")*(AY_SONU!$B$7:$B$42=DATE(YEAR($E2476),MONTH($E2476),1))))</f>
        <v>0</v>
      </c>
    </row>
    <row r="2477" spans="1:20" ht="18" customHeight="1" x14ac:dyDescent="0.3">
      <c r="A2477" s="2"/>
      <c r="B2477" s="65" t="str">
        <f t="shared" si="190"/>
        <v/>
      </c>
      <c r="C2477" s="65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66"/>
      <c r="F2477" s="67"/>
      <c r="G2477" s="60"/>
      <c r="H2477" s="60"/>
      <c r="I2477" s="61"/>
      <c r="J2477" s="61"/>
      <c r="K2477" s="61"/>
      <c r="L2477" s="73" t="str">
        <f t="shared" si="191"/>
        <v/>
      </c>
      <c r="M2477" s="65" t="str">
        <f t="shared" ca="1" si="192"/>
        <v/>
      </c>
      <c r="N2477" s="74" t="str">
        <f>IF($C2477="","",IF($C2477="TANIMSIZ MÜŞTERİ","—",INDEX(MUSTERILER!$C$7:$C$156,MATCH($C2477,MUSTERILER!$B$7:$B$156,0))))</f>
        <v/>
      </c>
      <c r="O2477" s="2"/>
      <c r="P2477" s="2"/>
      <c r="Q2477" s="1" t="str">
        <f>IF($D2477="","",$C2477&amp;"|"&amp;COUNTIFS($C$7:$C2477,$C2477))</f>
        <v/>
      </c>
      <c r="R2477" s="1" t="str">
        <f t="shared" si="193"/>
        <v/>
      </c>
      <c r="S2477" s="1" t="str">
        <f t="shared" si="194"/>
        <v/>
      </c>
      <c r="T2477" s="1">
        <f>IF($E2477="",0,SUMPRODUCT((AY_SONU!$O$7:$O$42="Evet")*(AY_SONU!$B$7:$B$42=DATE(YEAR($E2477),MONTH($E2477),1))))</f>
        <v>0</v>
      </c>
    </row>
    <row r="2478" spans="1:20" ht="18" customHeight="1" x14ac:dyDescent="0.3">
      <c r="A2478" s="2"/>
      <c r="B2478" s="65" t="str">
        <f t="shared" si="190"/>
        <v/>
      </c>
      <c r="C2478" s="65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66"/>
      <c r="F2478" s="67"/>
      <c r="G2478" s="60"/>
      <c r="H2478" s="60"/>
      <c r="I2478" s="61"/>
      <c r="J2478" s="61"/>
      <c r="K2478" s="61"/>
      <c r="L2478" s="73" t="str">
        <f t="shared" si="191"/>
        <v/>
      </c>
      <c r="M2478" s="65" t="str">
        <f t="shared" ca="1" si="192"/>
        <v/>
      </c>
      <c r="N2478" s="74" t="str">
        <f>IF($C2478="","",IF($C2478="TANIMSIZ MÜŞTERİ","—",INDEX(MUSTERILER!$C$7:$C$156,MATCH($C2478,MUSTERILER!$B$7:$B$156,0))))</f>
        <v/>
      </c>
      <c r="O2478" s="2"/>
      <c r="P2478" s="2"/>
      <c r="Q2478" s="1" t="str">
        <f>IF($D2478="","",$C2478&amp;"|"&amp;COUNTIFS($C$7:$C2478,$C2478))</f>
        <v/>
      </c>
      <c r="R2478" s="1" t="str">
        <f t="shared" si="193"/>
        <v/>
      </c>
      <c r="S2478" s="1" t="str">
        <f t="shared" si="194"/>
        <v/>
      </c>
      <c r="T2478" s="1">
        <f>IF($E2478="",0,SUMPRODUCT((AY_SONU!$O$7:$O$42="Evet")*(AY_SONU!$B$7:$B$42=DATE(YEAR($E2478),MONTH($E2478),1))))</f>
        <v>0</v>
      </c>
    </row>
    <row r="2479" spans="1:20" ht="18" customHeight="1" x14ac:dyDescent="0.3">
      <c r="A2479" s="2"/>
      <c r="B2479" s="65" t="str">
        <f t="shared" si="190"/>
        <v/>
      </c>
      <c r="C2479" s="65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66"/>
      <c r="F2479" s="67"/>
      <c r="G2479" s="60"/>
      <c r="H2479" s="60"/>
      <c r="I2479" s="61"/>
      <c r="J2479" s="61"/>
      <c r="K2479" s="61"/>
      <c r="L2479" s="73" t="str">
        <f t="shared" si="191"/>
        <v/>
      </c>
      <c r="M2479" s="65" t="str">
        <f t="shared" ca="1" si="192"/>
        <v/>
      </c>
      <c r="N2479" s="74" t="str">
        <f>IF($C2479="","",IF($C2479="TANIMSIZ MÜŞTERİ","—",INDEX(MUSTERILER!$C$7:$C$156,MATCH($C2479,MUSTERILER!$B$7:$B$156,0))))</f>
        <v/>
      </c>
      <c r="O2479" s="2"/>
      <c r="P2479" s="2"/>
      <c r="Q2479" s="1" t="str">
        <f>IF($D2479="","",$C2479&amp;"|"&amp;COUNTIFS($C$7:$C2479,$C2479))</f>
        <v/>
      </c>
      <c r="R2479" s="1" t="str">
        <f t="shared" si="193"/>
        <v/>
      </c>
      <c r="S2479" s="1" t="str">
        <f t="shared" si="194"/>
        <v/>
      </c>
      <c r="T2479" s="1">
        <f>IF($E2479="",0,SUMPRODUCT((AY_SONU!$O$7:$O$42="Evet")*(AY_SONU!$B$7:$B$42=DATE(YEAR($E2479),MONTH($E2479),1))))</f>
        <v>0</v>
      </c>
    </row>
    <row r="2480" spans="1:20" ht="18" customHeight="1" x14ac:dyDescent="0.3">
      <c r="A2480" s="2"/>
      <c r="B2480" s="65" t="str">
        <f t="shared" si="190"/>
        <v/>
      </c>
      <c r="C2480" s="65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66"/>
      <c r="F2480" s="67"/>
      <c r="G2480" s="60"/>
      <c r="H2480" s="60"/>
      <c r="I2480" s="61"/>
      <c r="J2480" s="61"/>
      <c r="K2480" s="61"/>
      <c r="L2480" s="73" t="str">
        <f t="shared" si="191"/>
        <v/>
      </c>
      <c r="M2480" s="65" t="str">
        <f t="shared" ca="1" si="192"/>
        <v/>
      </c>
      <c r="N2480" s="74" t="str">
        <f>IF($C2480="","",IF($C2480="TANIMSIZ MÜŞTERİ","—",INDEX(MUSTERILER!$C$7:$C$156,MATCH($C2480,MUSTERILER!$B$7:$B$156,0))))</f>
        <v/>
      </c>
      <c r="O2480" s="2"/>
      <c r="P2480" s="2"/>
      <c r="Q2480" s="1" t="str">
        <f>IF($D2480="","",$C2480&amp;"|"&amp;COUNTIFS($C$7:$C2480,$C2480))</f>
        <v/>
      </c>
      <c r="R2480" s="1" t="str">
        <f t="shared" si="193"/>
        <v/>
      </c>
      <c r="S2480" s="1" t="str">
        <f t="shared" si="194"/>
        <v/>
      </c>
      <c r="T2480" s="1">
        <f>IF($E2480="",0,SUMPRODUCT((AY_SONU!$O$7:$O$42="Evet")*(AY_SONU!$B$7:$B$42=DATE(YEAR($E2480),MONTH($E2480),1))))</f>
        <v>0</v>
      </c>
    </row>
    <row r="2481" spans="1:20" ht="18" customHeight="1" x14ac:dyDescent="0.3">
      <c r="A2481" s="2"/>
      <c r="B2481" s="65" t="str">
        <f t="shared" si="190"/>
        <v/>
      </c>
      <c r="C2481" s="65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66"/>
      <c r="F2481" s="67"/>
      <c r="G2481" s="60"/>
      <c r="H2481" s="60"/>
      <c r="I2481" s="61"/>
      <c r="J2481" s="61"/>
      <c r="K2481" s="61"/>
      <c r="L2481" s="73" t="str">
        <f t="shared" si="191"/>
        <v/>
      </c>
      <c r="M2481" s="65" t="str">
        <f t="shared" ca="1" si="192"/>
        <v/>
      </c>
      <c r="N2481" s="74" t="str">
        <f>IF($C2481="","",IF($C2481="TANIMSIZ MÜŞTERİ","—",INDEX(MUSTERILER!$C$7:$C$156,MATCH($C2481,MUSTERILER!$B$7:$B$156,0))))</f>
        <v/>
      </c>
      <c r="O2481" s="2"/>
      <c r="P2481" s="2"/>
      <c r="Q2481" s="1" t="str">
        <f>IF($D2481="","",$C2481&amp;"|"&amp;COUNTIFS($C$7:$C2481,$C2481))</f>
        <v/>
      </c>
      <c r="R2481" s="1" t="str">
        <f t="shared" si="193"/>
        <v/>
      </c>
      <c r="S2481" s="1" t="str">
        <f t="shared" si="194"/>
        <v/>
      </c>
      <c r="T2481" s="1">
        <f>IF($E2481="",0,SUMPRODUCT((AY_SONU!$O$7:$O$42="Evet")*(AY_SONU!$B$7:$B$42=DATE(YEAR($E2481),MONTH($E2481),1))))</f>
        <v>0</v>
      </c>
    </row>
    <row r="2482" spans="1:20" ht="18" customHeight="1" x14ac:dyDescent="0.3">
      <c r="A2482" s="2"/>
      <c r="B2482" s="65" t="str">
        <f t="shared" si="190"/>
        <v/>
      </c>
      <c r="C2482" s="65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66"/>
      <c r="F2482" s="67"/>
      <c r="G2482" s="60"/>
      <c r="H2482" s="60"/>
      <c r="I2482" s="61"/>
      <c r="J2482" s="61"/>
      <c r="K2482" s="61"/>
      <c r="L2482" s="73" t="str">
        <f t="shared" si="191"/>
        <v/>
      </c>
      <c r="M2482" s="65" t="str">
        <f t="shared" ca="1" si="192"/>
        <v/>
      </c>
      <c r="N2482" s="74" t="str">
        <f>IF($C2482="","",IF($C2482="TANIMSIZ MÜŞTERİ","—",INDEX(MUSTERILER!$C$7:$C$156,MATCH($C2482,MUSTERILER!$B$7:$B$156,0))))</f>
        <v/>
      </c>
      <c r="O2482" s="2"/>
      <c r="P2482" s="2"/>
      <c r="Q2482" s="1" t="str">
        <f>IF($D2482="","",$C2482&amp;"|"&amp;COUNTIFS($C$7:$C2482,$C2482))</f>
        <v/>
      </c>
      <c r="R2482" s="1" t="str">
        <f t="shared" si="193"/>
        <v/>
      </c>
      <c r="S2482" s="1" t="str">
        <f t="shared" si="194"/>
        <v/>
      </c>
      <c r="T2482" s="1">
        <f>IF($E2482="",0,SUMPRODUCT((AY_SONU!$O$7:$O$42="Evet")*(AY_SONU!$B$7:$B$42=DATE(YEAR($E2482),MONTH($E2482),1))))</f>
        <v>0</v>
      </c>
    </row>
    <row r="2483" spans="1:20" ht="18" customHeight="1" x14ac:dyDescent="0.3">
      <c r="A2483" s="2"/>
      <c r="B2483" s="65" t="str">
        <f t="shared" si="190"/>
        <v/>
      </c>
      <c r="C2483" s="65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66"/>
      <c r="F2483" s="67"/>
      <c r="G2483" s="60"/>
      <c r="H2483" s="60"/>
      <c r="I2483" s="61"/>
      <c r="J2483" s="61"/>
      <c r="K2483" s="61"/>
      <c r="L2483" s="73" t="str">
        <f t="shared" si="191"/>
        <v/>
      </c>
      <c r="M2483" s="65" t="str">
        <f t="shared" ca="1" si="192"/>
        <v/>
      </c>
      <c r="N2483" s="74" t="str">
        <f>IF($C2483="","",IF($C2483="TANIMSIZ MÜŞTERİ","—",INDEX(MUSTERILER!$C$7:$C$156,MATCH($C2483,MUSTERILER!$B$7:$B$156,0))))</f>
        <v/>
      </c>
      <c r="O2483" s="2"/>
      <c r="P2483" s="2"/>
      <c r="Q2483" s="1" t="str">
        <f>IF($D2483="","",$C2483&amp;"|"&amp;COUNTIFS($C$7:$C2483,$C2483))</f>
        <v/>
      </c>
      <c r="R2483" s="1" t="str">
        <f t="shared" si="193"/>
        <v/>
      </c>
      <c r="S2483" s="1" t="str">
        <f t="shared" si="194"/>
        <v/>
      </c>
      <c r="T2483" s="1">
        <f>IF($E2483="",0,SUMPRODUCT((AY_SONU!$O$7:$O$42="Evet")*(AY_SONU!$B$7:$B$42=DATE(YEAR($E2483),MONTH($E2483),1))))</f>
        <v>0</v>
      </c>
    </row>
    <row r="2484" spans="1:20" ht="18" customHeight="1" x14ac:dyDescent="0.3">
      <c r="A2484" s="2"/>
      <c r="B2484" s="65" t="str">
        <f t="shared" si="190"/>
        <v/>
      </c>
      <c r="C2484" s="65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66"/>
      <c r="F2484" s="67"/>
      <c r="G2484" s="60"/>
      <c r="H2484" s="60"/>
      <c r="I2484" s="61"/>
      <c r="J2484" s="61"/>
      <c r="K2484" s="61"/>
      <c r="L2484" s="73" t="str">
        <f t="shared" si="191"/>
        <v/>
      </c>
      <c r="M2484" s="65" t="str">
        <f t="shared" ca="1" si="192"/>
        <v/>
      </c>
      <c r="N2484" s="74" t="str">
        <f>IF($C2484="","",IF($C2484="TANIMSIZ MÜŞTERİ","—",INDEX(MUSTERILER!$C$7:$C$156,MATCH($C2484,MUSTERILER!$B$7:$B$156,0))))</f>
        <v/>
      </c>
      <c r="O2484" s="2"/>
      <c r="P2484" s="2"/>
      <c r="Q2484" s="1" t="str">
        <f>IF($D2484="","",$C2484&amp;"|"&amp;COUNTIFS($C$7:$C2484,$C2484))</f>
        <v/>
      </c>
      <c r="R2484" s="1" t="str">
        <f t="shared" si="193"/>
        <v/>
      </c>
      <c r="S2484" s="1" t="str">
        <f t="shared" si="194"/>
        <v/>
      </c>
      <c r="T2484" s="1">
        <f>IF($E2484="",0,SUMPRODUCT((AY_SONU!$O$7:$O$42="Evet")*(AY_SONU!$B$7:$B$42=DATE(YEAR($E2484),MONTH($E2484),1))))</f>
        <v>0</v>
      </c>
    </row>
    <row r="2485" spans="1:20" ht="18" customHeight="1" x14ac:dyDescent="0.3">
      <c r="A2485" s="2"/>
      <c r="B2485" s="65" t="str">
        <f t="shared" si="190"/>
        <v/>
      </c>
      <c r="C2485" s="65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66"/>
      <c r="F2485" s="67"/>
      <c r="G2485" s="60"/>
      <c r="H2485" s="60"/>
      <c r="I2485" s="61"/>
      <c r="J2485" s="61"/>
      <c r="K2485" s="61"/>
      <c r="L2485" s="73" t="str">
        <f t="shared" si="191"/>
        <v/>
      </c>
      <c r="M2485" s="65" t="str">
        <f t="shared" ca="1" si="192"/>
        <v/>
      </c>
      <c r="N2485" s="74" t="str">
        <f>IF($C2485="","",IF($C2485="TANIMSIZ MÜŞTERİ","—",INDEX(MUSTERILER!$C$7:$C$156,MATCH($C2485,MUSTERILER!$B$7:$B$156,0))))</f>
        <v/>
      </c>
      <c r="O2485" s="2"/>
      <c r="P2485" s="2"/>
      <c r="Q2485" s="1" t="str">
        <f>IF($D2485="","",$C2485&amp;"|"&amp;COUNTIFS($C$7:$C2485,$C2485))</f>
        <v/>
      </c>
      <c r="R2485" s="1" t="str">
        <f t="shared" si="193"/>
        <v/>
      </c>
      <c r="S2485" s="1" t="str">
        <f t="shared" si="194"/>
        <v/>
      </c>
      <c r="T2485" s="1">
        <f>IF($E2485="",0,SUMPRODUCT((AY_SONU!$O$7:$O$42="Evet")*(AY_SONU!$B$7:$B$42=DATE(YEAR($E2485),MONTH($E2485),1))))</f>
        <v>0</v>
      </c>
    </row>
    <row r="2486" spans="1:20" ht="18" customHeight="1" x14ac:dyDescent="0.3">
      <c r="A2486" s="2"/>
      <c r="B2486" s="65" t="str">
        <f t="shared" si="190"/>
        <v/>
      </c>
      <c r="C2486" s="65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66"/>
      <c r="F2486" s="67"/>
      <c r="G2486" s="60"/>
      <c r="H2486" s="60"/>
      <c r="I2486" s="61"/>
      <c r="J2486" s="61"/>
      <c r="K2486" s="61"/>
      <c r="L2486" s="73" t="str">
        <f t="shared" si="191"/>
        <v/>
      </c>
      <c r="M2486" s="65" t="str">
        <f t="shared" ca="1" si="192"/>
        <v/>
      </c>
      <c r="N2486" s="74" t="str">
        <f>IF($C2486="","",IF($C2486="TANIMSIZ MÜŞTERİ","—",INDEX(MUSTERILER!$C$7:$C$156,MATCH($C2486,MUSTERILER!$B$7:$B$156,0))))</f>
        <v/>
      </c>
      <c r="O2486" s="2"/>
      <c r="P2486" s="2"/>
      <c r="Q2486" s="1" t="str">
        <f>IF($D2486="","",$C2486&amp;"|"&amp;COUNTIFS($C$7:$C2486,$C2486))</f>
        <v/>
      </c>
      <c r="R2486" s="1" t="str">
        <f t="shared" si="193"/>
        <v/>
      </c>
      <c r="S2486" s="1" t="str">
        <f t="shared" si="194"/>
        <v/>
      </c>
      <c r="T2486" s="1">
        <f>IF($E2486="",0,SUMPRODUCT((AY_SONU!$O$7:$O$42="Evet")*(AY_SONU!$B$7:$B$42=DATE(YEAR($E2486),MONTH($E2486),1))))</f>
        <v>0</v>
      </c>
    </row>
    <row r="2487" spans="1:20" ht="18" customHeight="1" x14ac:dyDescent="0.3">
      <c r="A2487" s="2"/>
      <c r="B2487" s="65" t="str">
        <f t="shared" si="190"/>
        <v/>
      </c>
      <c r="C2487" s="65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66"/>
      <c r="F2487" s="67"/>
      <c r="G2487" s="60"/>
      <c r="H2487" s="60"/>
      <c r="I2487" s="61"/>
      <c r="J2487" s="61"/>
      <c r="K2487" s="61"/>
      <c r="L2487" s="73" t="str">
        <f t="shared" si="191"/>
        <v/>
      </c>
      <c r="M2487" s="65" t="str">
        <f t="shared" ca="1" si="192"/>
        <v/>
      </c>
      <c r="N2487" s="74" t="str">
        <f>IF($C2487="","",IF($C2487="TANIMSIZ MÜŞTERİ","—",INDEX(MUSTERILER!$C$7:$C$156,MATCH($C2487,MUSTERILER!$B$7:$B$156,0))))</f>
        <v/>
      </c>
      <c r="O2487" s="2"/>
      <c r="P2487" s="2"/>
      <c r="Q2487" s="1" t="str">
        <f>IF($D2487="","",$C2487&amp;"|"&amp;COUNTIFS($C$7:$C2487,$C2487))</f>
        <v/>
      </c>
      <c r="R2487" s="1" t="str">
        <f t="shared" si="193"/>
        <v/>
      </c>
      <c r="S2487" s="1" t="str">
        <f t="shared" si="194"/>
        <v/>
      </c>
      <c r="T2487" s="1">
        <f>IF($E2487="",0,SUMPRODUCT((AY_SONU!$O$7:$O$42="Evet")*(AY_SONU!$B$7:$B$42=DATE(YEAR($E2487),MONTH($E2487),1))))</f>
        <v>0</v>
      </c>
    </row>
    <row r="2488" spans="1:20" ht="18" customHeight="1" x14ac:dyDescent="0.3">
      <c r="A2488" s="2"/>
      <c r="B2488" s="65" t="str">
        <f t="shared" si="190"/>
        <v/>
      </c>
      <c r="C2488" s="65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66"/>
      <c r="F2488" s="67"/>
      <c r="G2488" s="60"/>
      <c r="H2488" s="60"/>
      <c r="I2488" s="61"/>
      <c r="J2488" s="61"/>
      <c r="K2488" s="61"/>
      <c r="L2488" s="73" t="str">
        <f t="shared" si="191"/>
        <v/>
      </c>
      <c r="M2488" s="65" t="str">
        <f t="shared" ca="1" si="192"/>
        <v/>
      </c>
      <c r="N2488" s="74" t="str">
        <f>IF($C2488="","",IF($C2488="TANIMSIZ MÜŞTERİ","—",INDEX(MUSTERILER!$C$7:$C$156,MATCH($C2488,MUSTERILER!$B$7:$B$156,0))))</f>
        <v/>
      </c>
      <c r="O2488" s="2"/>
      <c r="P2488" s="2"/>
      <c r="Q2488" s="1" t="str">
        <f>IF($D2488="","",$C2488&amp;"|"&amp;COUNTIFS($C$7:$C2488,$C2488))</f>
        <v/>
      </c>
      <c r="R2488" s="1" t="str">
        <f t="shared" si="193"/>
        <v/>
      </c>
      <c r="S2488" s="1" t="str">
        <f t="shared" si="194"/>
        <v/>
      </c>
      <c r="T2488" s="1">
        <f>IF($E2488="",0,SUMPRODUCT((AY_SONU!$O$7:$O$42="Evet")*(AY_SONU!$B$7:$B$42=DATE(YEAR($E2488),MONTH($E2488),1))))</f>
        <v>0</v>
      </c>
    </row>
    <row r="2489" spans="1:20" ht="18" customHeight="1" x14ac:dyDescent="0.3">
      <c r="A2489" s="2"/>
      <c r="B2489" s="65" t="str">
        <f t="shared" si="190"/>
        <v/>
      </c>
      <c r="C2489" s="65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66"/>
      <c r="F2489" s="67"/>
      <c r="G2489" s="60"/>
      <c r="H2489" s="60"/>
      <c r="I2489" s="61"/>
      <c r="J2489" s="61"/>
      <c r="K2489" s="61"/>
      <c r="L2489" s="73" t="str">
        <f t="shared" si="191"/>
        <v/>
      </c>
      <c r="M2489" s="65" t="str">
        <f t="shared" ca="1" si="192"/>
        <v/>
      </c>
      <c r="N2489" s="74" t="str">
        <f>IF($C2489="","",IF($C2489="TANIMSIZ MÜŞTERİ","—",INDEX(MUSTERILER!$C$7:$C$156,MATCH($C2489,MUSTERILER!$B$7:$B$156,0))))</f>
        <v/>
      </c>
      <c r="O2489" s="2"/>
      <c r="P2489" s="2"/>
      <c r="Q2489" s="1" t="str">
        <f>IF($D2489="","",$C2489&amp;"|"&amp;COUNTIFS($C$7:$C2489,$C2489))</f>
        <v/>
      </c>
      <c r="R2489" s="1" t="str">
        <f t="shared" si="193"/>
        <v/>
      </c>
      <c r="S2489" s="1" t="str">
        <f t="shared" si="194"/>
        <v/>
      </c>
      <c r="T2489" s="1">
        <f>IF($E2489="",0,SUMPRODUCT((AY_SONU!$O$7:$O$42="Evet")*(AY_SONU!$B$7:$B$42=DATE(YEAR($E2489),MONTH($E2489),1))))</f>
        <v>0</v>
      </c>
    </row>
    <row r="2490" spans="1:20" ht="18" customHeight="1" x14ac:dyDescent="0.3">
      <c r="A2490" s="2"/>
      <c r="B2490" s="65" t="str">
        <f t="shared" si="190"/>
        <v/>
      </c>
      <c r="C2490" s="65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66"/>
      <c r="F2490" s="67"/>
      <c r="G2490" s="60"/>
      <c r="H2490" s="60"/>
      <c r="I2490" s="61"/>
      <c r="J2490" s="61"/>
      <c r="K2490" s="61"/>
      <c r="L2490" s="73" t="str">
        <f t="shared" si="191"/>
        <v/>
      </c>
      <c r="M2490" s="65" t="str">
        <f t="shared" ca="1" si="192"/>
        <v/>
      </c>
      <c r="N2490" s="74" t="str">
        <f>IF($C2490="","",IF($C2490="TANIMSIZ MÜŞTERİ","—",INDEX(MUSTERILER!$C$7:$C$156,MATCH($C2490,MUSTERILER!$B$7:$B$156,0))))</f>
        <v/>
      </c>
      <c r="O2490" s="2"/>
      <c r="P2490" s="2"/>
      <c r="Q2490" s="1" t="str">
        <f>IF($D2490="","",$C2490&amp;"|"&amp;COUNTIFS($C$7:$C2490,$C2490))</f>
        <v/>
      </c>
      <c r="R2490" s="1" t="str">
        <f t="shared" si="193"/>
        <v/>
      </c>
      <c r="S2490" s="1" t="str">
        <f t="shared" si="194"/>
        <v/>
      </c>
      <c r="T2490" s="1">
        <f>IF($E2490="",0,SUMPRODUCT((AY_SONU!$O$7:$O$42="Evet")*(AY_SONU!$B$7:$B$42=DATE(YEAR($E2490),MONTH($E2490),1))))</f>
        <v>0</v>
      </c>
    </row>
    <row r="2491" spans="1:20" ht="18" customHeight="1" x14ac:dyDescent="0.3">
      <c r="A2491" s="2"/>
      <c r="B2491" s="65" t="str">
        <f t="shared" si="190"/>
        <v/>
      </c>
      <c r="C2491" s="65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66"/>
      <c r="F2491" s="67"/>
      <c r="G2491" s="60"/>
      <c r="H2491" s="60"/>
      <c r="I2491" s="61"/>
      <c r="J2491" s="61"/>
      <c r="K2491" s="61"/>
      <c r="L2491" s="73" t="str">
        <f t="shared" si="191"/>
        <v/>
      </c>
      <c r="M2491" s="65" t="str">
        <f t="shared" ca="1" si="192"/>
        <v/>
      </c>
      <c r="N2491" s="74" t="str">
        <f>IF($C2491="","",IF($C2491="TANIMSIZ MÜŞTERİ","—",INDEX(MUSTERILER!$C$7:$C$156,MATCH($C2491,MUSTERILER!$B$7:$B$156,0))))</f>
        <v/>
      </c>
      <c r="O2491" s="2"/>
      <c r="P2491" s="2"/>
      <c r="Q2491" s="1" t="str">
        <f>IF($D2491="","",$C2491&amp;"|"&amp;COUNTIFS($C$7:$C2491,$C2491))</f>
        <v/>
      </c>
      <c r="R2491" s="1" t="str">
        <f t="shared" si="193"/>
        <v/>
      </c>
      <c r="S2491" s="1" t="str">
        <f t="shared" si="194"/>
        <v/>
      </c>
      <c r="T2491" s="1">
        <f>IF($E2491="",0,SUMPRODUCT((AY_SONU!$O$7:$O$42="Evet")*(AY_SONU!$B$7:$B$42=DATE(YEAR($E2491),MONTH($E2491),1))))</f>
        <v>0</v>
      </c>
    </row>
    <row r="2492" spans="1:20" ht="18" customHeight="1" x14ac:dyDescent="0.3">
      <c r="A2492" s="2"/>
      <c r="B2492" s="65" t="str">
        <f t="shared" si="190"/>
        <v/>
      </c>
      <c r="C2492" s="65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66"/>
      <c r="F2492" s="67"/>
      <c r="G2492" s="60"/>
      <c r="H2492" s="60"/>
      <c r="I2492" s="61"/>
      <c r="J2492" s="61"/>
      <c r="K2492" s="61"/>
      <c r="L2492" s="73" t="str">
        <f t="shared" si="191"/>
        <v/>
      </c>
      <c r="M2492" s="65" t="str">
        <f t="shared" ca="1" si="192"/>
        <v/>
      </c>
      <c r="N2492" s="74" t="str">
        <f>IF($C2492="","",IF($C2492="TANIMSIZ MÜŞTERİ","—",INDEX(MUSTERILER!$C$7:$C$156,MATCH($C2492,MUSTERILER!$B$7:$B$156,0))))</f>
        <v/>
      </c>
      <c r="O2492" s="2"/>
      <c r="P2492" s="2"/>
      <c r="Q2492" s="1" t="str">
        <f>IF($D2492="","",$C2492&amp;"|"&amp;COUNTIFS($C$7:$C2492,$C2492))</f>
        <v/>
      </c>
      <c r="R2492" s="1" t="str">
        <f t="shared" si="193"/>
        <v/>
      </c>
      <c r="S2492" s="1" t="str">
        <f t="shared" si="194"/>
        <v/>
      </c>
      <c r="T2492" s="1">
        <f>IF($E2492="",0,SUMPRODUCT((AY_SONU!$O$7:$O$42="Evet")*(AY_SONU!$B$7:$B$42=DATE(YEAR($E2492),MONTH($E2492),1))))</f>
        <v>0</v>
      </c>
    </row>
    <row r="2493" spans="1:20" ht="18" customHeight="1" x14ac:dyDescent="0.3">
      <c r="A2493" s="2"/>
      <c r="B2493" s="65" t="str">
        <f t="shared" si="190"/>
        <v/>
      </c>
      <c r="C2493" s="65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66"/>
      <c r="F2493" s="67"/>
      <c r="G2493" s="60"/>
      <c r="H2493" s="60"/>
      <c r="I2493" s="61"/>
      <c r="J2493" s="61"/>
      <c r="K2493" s="61"/>
      <c r="L2493" s="73" t="str">
        <f t="shared" si="191"/>
        <v/>
      </c>
      <c r="M2493" s="65" t="str">
        <f t="shared" ca="1" si="192"/>
        <v/>
      </c>
      <c r="N2493" s="74" t="str">
        <f>IF($C2493="","",IF($C2493="TANIMSIZ MÜŞTERİ","—",INDEX(MUSTERILER!$C$7:$C$156,MATCH($C2493,MUSTERILER!$B$7:$B$156,0))))</f>
        <v/>
      </c>
      <c r="O2493" s="2"/>
      <c r="P2493" s="2"/>
      <c r="Q2493" s="1" t="str">
        <f>IF($D2493="","",$C2493&amp;"|"&amp;COUNTIFS($C$7:$C2493,$C2493))</f>
        <v/>
      </c>
      <c r="R2493" s="1" t="str">
        <f t="shared" si="193"/>
        <v/>
      </c>
      <c r="S2493" s="1" t="str">
        <f t="shared" si="194"/>
        <v/>
      </c>
      <c r="T2493" s="1">
        <f>IF($E2493="",0,SUMPRODUCT((AY_SONU!$O$7:$O$42="Evet")*(AY_SONU!$B$7:$B$42=DATE(YEAR($E2493),MONTH($E2493),1))))</f>
        <v>0</v>
      </c>
    </row>
    <row r="2494" spans="1:20" ht="18" customHeight="1" x14ac:dyDescent="0.3">
      <c r="A2494" s="2"/>
      <c r="B2494" s="65" t="str">
        <f t="shared" si="190"/>
        <v/>
      </c>
      <c r="C2494" s="65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66"/>
      <c r="F2494" s="67"/>
      <c r="G2494" s="60"/>
      <c r="H2494" s="60"/>
      <c r="I2494" s="61"/>
      <c r="J2494" s="61"/>
      <c r="K2494" s="61"/>
      <c r="L2494" s="73" t="str">
        <f t="shared" si="191"/>
        <v/>
      </c>
      <c r="M2494" s="65" t="str">
        <f t="shared" ca="1" si="192"/>
        <v/>
      </c>
      <c r="N2494" s="74" t="str">
        <f>IF($C2494="","",IF($C2494="TANIMSIZ MÜŞTERİ","—",INDEX(MUSTERILER!$C$7:$C$156,MATCH($C2494,MUSTERILER!$B$7:$B$156,0))))</f>
        <v/>
      </c>
      <c r="O2494" s="2"/>
      <c r="P2494" s="2"/>
      <c r="Q2494" s="1" t="str">
        <f>IF($D2494="","",$C2494&amp;"|"&amp;COUNTIFS($C$7:$C2494,$C2494))</f>
        <v/>
      </c>
      <c r="R2494" s="1" t="str">
        <f t="shared" si="193"/>
        <v/>
      </c>
      <c r="S2494" s="1" t="str">
        <f t="shared" si="194"/>
        <v/>
      </c>
      <c r="T2494" s="1">
        <f>IF($E2494="",0,SUMPRODUCT((AY_SONU!$O$7:$O$42="Evet")*(AY_SONU!$B$7:$B$42=DATE(YEAR($E2494),MONTH($E2494),1))))</f>
        <v>0</v>
      </c>
    </row>
    <row r="2495" spans="1:20" ht="18" customHeight="1" x14ac:dyDescent="0.3">
      <c r="A2495" s="2"/>
      <c r="B2495" s="65" t="str">
        <f t="shared" si="190"/>
        <v/>
      </c>
      <c r="C2495" s="65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66"/>
      <c r="F2495" s="67"/>
      <c r="G2495" s="60"/>
      <c r="H2495" s="60"/>
      <c r="I2495" s="61"/>
      <c r="J2495" s="61"/>
      <c r="K2495" s="61"/>
      <c r="L2495" s="73" t="str">
        <f t="shared" si="191"/>
        <v/>
      </c>
      <c r="M2495" s="65" t="str">
        <f t="shared" ca="1" si="192"/>
        <v/>
      </c>
      <c r="N2495" s="74" t="str">
        <f>IF($C2495="","",IF($C2495="TANIMSIZ MÜŞTERİ","—",INDEX(MUSTERILER!$C$7:$C$156,MATCH($C2495,MUSTERILER!$B$7:$B$156,0))))</f>
        <v/>
      </c>
      <c r="O2495" s="2"/>
      <c r="P2495" s="2"/>
      <c r="Q2495" s="1" t="str">
        <f>IF($D2495="","",$C2495&amp;"|"&amp;COUNTIFS($C$7:$C2495,$C2495))</f>
        <v/>
      </c>
      <c r="R2495" s="1" t="str">
        <f t="shared" si="193"/>
        <v/>
      </c>
      <c r="S2495" s="1" t="str">
        <f t="shared" si="194"/>
        <v/>
      </c>
      <c r="T2495" s="1">
        <f>IF($E2495="",0,SUMPRODUCT((AY_SONU!$O$7:$O$42="Evet")*(AY_SONU!$B$7:$B$42=DATE(YEAR($E2495),MONTH($E2495),1))))</f>
        <v>0</v>
      </c>
    </row>
    <row r="2496" spans="1:20" ht="18" customHeight="1" x14ac:dyDescent="0.3">
      <c r="A2496" s="2"/>
      <c r="B2496" s="65" t="str">
        <f t="shared" si="190"/>
        <v/>
      </c>
      <c r="C2496" s="65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66"/>
      <c r="F2496" s="67"/>
      <c r="G2496" s="60"/>
      <c r="H2496" s="60"/>
      <c r="I2496" s="61"/>
      <c r="J2496" s="61"/>
      <c r="K2496" s="61"/>
      <c r="L2496" s="73" t="str">
        <f t="shared" si="191"/>
        <v/>
      </c>
      <c r="M2496" s="65" t="str">
        <f t="shared" ca="1" si="192"/>
        <v/>
      </c>
      <c r="N2496" s="74" t="str">
        <f>IF($C2496="","",IF($C2496="TANIMSIZ MÜŞTERİ","—",INDEX(MUSTERILER!$C$7:$C$156,MATCH($C2496,MUSTERILER!$B$7:$B$156,0))))</f>
        <v/>
      </c>
      <c r="O2496" s="2"/>
      <c r="P2496" s="2"/>
      <c r="Q2496" s="1" t="str">
        <f>IF($D2496="","",$C2496&amp;"|"&amp;COUNTIFS($C$7:$C2496,$C2496))</f>
        <v/>
      </c>
      <c r="R2496" s="1" t="str">
        <f t="shared" si="193"/>
        <v/>
      </c>
      <c r="S2496" s="1" t="str">
        <f t="shared" si="194"/>
        <v/>
      </c>
      <c r="T2496" s="1">
        <f>IF($E2496="",0,SUMPRODUCT((AY_SONU!$O$7:$O$42="Evet")*(AY_SONU!$B$7:$B$42=DATE(YEAR($E2496),MONTH($E2496),1))))</f>
        <v>0</v>
      </c>
    </row>
    <row r="2497" spans="1:20" ht="18" customHeight="1" x14ac:dyDescent="0.3">
      <c r="A2497" s="2"/>
      <c r="B2497" s="65" t="str">
        <f t="shared" si="190"/>
        <v/>
      </c>
      <c r="C2497" s="65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66"/>
      <c r="F2497" s="67"/>
      <c r="G2497" s="60"/>
      <c r="H2497" s="60"/>
      <c r="I2497" s="61"/>
      <c r="J2497" s="61"/>
      <c r="K2497" s="61"/>
      <c r="L2497" s="73" t="str">
        <f t="shared" si="191"/>
        <v/>
      </c>
      <c r="M2497" s="65" t="str">
        <f t="shared" ca="1" si="192"/>
        <v/>
      </c>
      <c r="N2497" s="74" t="str">
        <f>IF($C2497="","",IF($C2497="TANIMSIZ MÜŞTERİ","—",INDEX(MUSTERILER!$C$7:$C$156,MATCH($C2497,MUSTERILER!$B$7:$B$156,0))))</f>
        <v/>
      </c>
      <c r="O2497" s="2"/>
      <c r="P2497" s="2"/>
      <c r="Q2497" s="1" t="str">
        <f>IF($D2497="","",$C2497&amp;"|"&amp;COUNTIFS($C$7:$C2497,$C2497))</f>
        <v/>
      </c>
      <c r="R2497" s="1" t="str">
        <f t="shared" si="193"/>
        <v/>
      </c>
      <c r="S2497" s="1" t="str">
        <f t="shared" si="194"/>
        <v/>
      </c>
      <c r="T2497" s="1">
        <f>IF($E2497="",0,SUMPRODUCT((AY_SONU!$O$7:$O$42="Evet")*(AY_SONU!$B$7:$B$42=DATE(YEAR($E2497),MONTH($E2497),1))))</f>
        <v>0</v>
      </c>
    </row>
    <row r="2498" spans="1:20" ht="18" customHeight="1" x14ac:dyDescent="0.3">
      <c r="A2498" s="2"/>
      <c r="B2498" s="65" t="str">
        <f t="shared" si="190"/>
        <v/>
      </c>
      <c r="C2498" s="65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66"/>
      <c r="F2498" s="67"/>
      <c r="G2498" s="60"/>
      <c r="H2498" s="60"/>
      <c r="I2498" s="61"/>
      <c r="J2498" s="61"/>
      <c r="K2498" s="61"/>
      <c r="L2498" s="73" t="str">
        <f t="shared" si="191"/>
        <v/>
      </c>
      <c r="M2498" s="65" t="str">
        <f t="shared" ca="1" si="192"/>
        <v/>
      </c>
      <c r="N2498" s="74" t="str">
        <f>IF($C2498="","",IF($C2498="TANIMSIZ MÜŞTERİ","—",INDEX(MUSTERILER!$C$7:$C$156,MATCH($C2498,MUSTERILER!$B$7:$B$156,0))))</f>
        <v/>
      </c>
      <c r="O2498" s="2"/>
      <c r="P2498" s="2"/>
      <c r="Q2498" s="1" t="str">
        <f>IF($D2498="","",$C2498&amp;"|"&amp;COUNTIFS($C$7:$C2498,$C2498))</f>
        <v/>
      </c>
      <c r="R2498" s="1" t="str">
        <f t="shared" si="193"/>
        <v/>
      </c>
      <c r="S2498" s="1" t="str">
        <f t="shared" si="194"/>
        <v/>
      </c>
      <c r="T2498" s="1">
        <f>IF($E2498="",0,SUMPRODUCT((AY_SONU!$O$7:$O$42="Evet")*(AY_SONU!$B$7:$B$42=DATE(YEAR($E2498),MONTH($E2498),1))))</f>
        <v>0</v>
      </c>
    </row>
    <row r="2499" spans="1:20" ht="18" customHeight="1" x14ac:dyDescent="0.3">
      <c r="A2499" s="2"/>
      <c r="B2499" s="65" t="str">
        <f t="shared" si="190"/>
        <v/>
      </c>
      <c r="C2499" s="65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66"/>
      <c r="F2499" s="67"/>
      <c r="G2499" s="60"/>
      <c r="H2499" s="60"/>
      <c r="I2499" s="61"/>
      <c r="J2499" s="61"/>
      <c r="K2499" s="61"/>
      <c r="L2499" s="73" t="str">
        <f t="shared" si="191"/>
        <v/>
      </c>
      <c r="M2499" s="65" t="str">
        <f t="shared" ca="1" si="192"/>
        <v/>
      </c>
      <c r="N2499" s="74" t="str">
        <f>IF($C2499="","",IF($C2499="TANIMSIZ MÜŞTERİ","—",INDEX(MUSTERILER!$C$7:$C$156,MATCH($C2499,MUSTERILER!$B$7:$B$156,0))))</f>
        <v/>
      </c>
      <c r="O2499" s="2"/>
      <c r="P2499" s="2"/>
      <c r="Q2499" s="1" t="str">
        <f>IF($D2499="","",$C2499&amp;"|"&amp;COUNTIFS($C$7:$C2499,$C2499))</f>
        <v/>
      </c>
      <c r="R2499" s="1" t="str">
        <f t="shared" si="193"/>
        <v/>
      </c>
      <c r="S2499" s="1" t="str">
        <f t="shared" si="194"/>
        <v/>
      </c>
      <c r="T2499" s="1">
        <f>IF($E2499="",0,SUMPRODUCT((AY_SONU!$O$7:$O$42="Evet")*(AY_SONU!$B$7:$B$42=DATE(YEAR($E2499),MONTH($E2499),1))))</f>
        <v>0</v>
      </c>
    </row>
    <row r="2500" spans="1:20" ht="18" customHeight="1" x14ac:dyDescent="0.3">
      <c r="A2500" s="2"/>
      <c r="B2500" s="65" t="str">
        <f t="shared" si="190"/>
        <v/>
      </c>
      <c r="C2500" s="65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66"/>
      <c r="F2500" s="67"/>
      <c r="G2500" s="60"/>
      <c r="H2500" s="60"/>
      <c r="I2500" s="61"/>
      <c r="J2500" s="61"/>
      <c r="K2500" s="61"/>
      <c r="L2500" s="73" t="str">
        <f t="shared" si="191"/>
        <v/>
      </c>
      <c r="M2500" s="65" t="str">
        <f t="shared" ca="1" si="192"/>
        <v/>
      </c>
      <c r="N2500" s="74" t="str">
        <f>IF($C2500="","",IF($C2500="TANIMSIZ MÜŞTERİ","—",INDEX(MUSTERILER!$C$7:$C$156,MATCH($C2500,MUSTERILER!$B$7:$B$156,0))))</f>
        <v/>
      </c>
      <c r="O2500" s="2"/>
      <c r="P2500" s="2"/>
      <c r="Q2500" s="1" t="str">
        <f>IF($D2500="","",$C2500&amp;"|"&amp;COUNTIFS($C$7:$C2500,$C2500))</f>
        <v/>
      </c>
      <c r="R2500" s="1" t="str">
        <f t="shared" si="193"/>
        <v/>
      </c>
      <c r="S2500" s="1" t="str">
        <f t="shared" si="194"/>
        <v/>
      </c>
      <c r="T2500" s="1">
        <f>IF($E2500="",0,SUMPRODUCT((AY_SONU!$O$7:$O$42="Evet")*(AY_SONU!$B$7:$B$42=DATE(YEAR($E2500),MONTH($E2500),1))))</f>
        <v>0</v>
      </c>
    </row>
    <row r="2501" spans="1:20" ht="18" customHeight="1" x14ac:dyDescent="0.3">
      <c r="A2501" s="2"/>
      <c r="B2501" s="65" t="str">
        <f t="shared" si="190"/>
        <v/>
      </c>
      <c r="C2501" s="65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66"/>
      <c r="F2501" s="67"/>
      <c r="G2501" s="60"/>
      <c r="H2501" s="60"/>
      <c r="I2501" s="61"/>
      <c r="J2501" s="61"/>
      <c r="K2501" s="61"/>
      <c r="L2501" s="73" t="str">
        <f t="shared" si="191"/>
        <v/>
      </c>
      <c r="M2501" s="65" t="str">
        <f t="shared" ca="1" si="192"/>
        <v/>
      </c>
      <c r="N2501" s="74" t="str">
        <f>IF($C2501="","",IF($C2501="TANIMSIZ MÜŞTERİ","—",INDEX(MUSTERILER!$C$7:$C$156,MATCH($C2501,MUSTERILER!$B$7:$B$156,0))))</f>
        <v/>
      </c>
      <c r="O2501" s="2"/>
      <c r="P2501" s="2"/>
      <c r="Q2501" s="1" t="str">
        <f>IF($D2501="","",$C2501&amp;"|"&amp;COUNTIFS($C$7:$C2501,$C2501))</f>
        <v/>
      </c>
      <c r="R2501" s="1" t="str">
        <f t="shared" si="193"/>
        <v/>
      </c>
      <c r="S2501" s="1" t="str">
        <f t="shared" si="194"/>
        <v/>
      </c>
      <c r="T2501" s="1">
        <f>IF($E2501="",0,SUMPRODUCT((AY_SONU!$O$7:$O$42="Evet")*(AY_SONU!$B$7:$B$42=DATE(YEAR($E2501),MONTH($E2501),1))))</f>
        <v>0</v>
      </c>
    </row>
    <row r="2502" spans="1:20" ht="18" customHeight="1" x14ac:dyDescent="0.3">
      <c r="A2502" s="2"/>
      <c r="B2502" s="65" t="str">
        <f t="shared" si="190"/>
        <v/>
      </c>
      <c r="C2502" s="65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66"/>
      <c r="F2502" s="67"/>
      <c r="G2502" s="60"/>
      <c r="H2502" s="60"/>
      <c r="I2502" s="61"/>
      <c r="J2502" s="61"/>
      <c r="K2502" s="61"/>
      <c r="L2502" s="73" t="str">
        <f t="shared" si="191"/>
        <v/>
      </c>
      <c r="M2502" s="65" t="str">
        <f t="shared" ca="1" si="192"/>
        <v/>
      </c>
      <c r="N2502" s="74" t="str">
        <f>IF($C2502="","",IF($C2502="TANIMSIZ MÜŞTERİ","—",INDEX(MUSTERILER!$C$7:$C$156,MATCH($C2502,MUSTERILER!$B$7:$B$156,0))))</f>
        <v/>
      </c>
      <c r="O2502" s="2"/>
      <c r="P2502" s="2"/>
      <c r="Q2502" s="1" t="str">
        <f>IF($D2502="","",$C2502&amp;"|"&amp;COUNTIFS($C$7:$C2502,$C2502))</f>
        <v/>
      </c>
      <c r="R2502" s="1" t="str">
        <f t="shared" si="193"/>
        <v/>
      </c>
      <c r="S2502" s="1" t="str">
        <f t="shared" si="194"/>
        <v/>
      </c>
      <c r="T2502" s="1">
        <f>IF($E2502="",0,SUMPRODUCT((AY_SONU!$O$7:$O$42="Evet")*(AY_SONU!$B$7:$B$42=DATE(YEAR($E2502),MONTH($E2502),1))))</f>
        <v>0</v>
      </c>
    </row>
    <row r="2503" spans="1:20" ht="18" customHeight="1" x14ac:dyDescent="0.3">
      <c r="A2503" s="2"/>
      <c r="B2503" s="65" t="str">
        <f t="shared" si="190"/>
        <v/>
      </c>
      <c r="C2503" s="65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66"/>
      <c r="F2503" s="67"/>
      <c r="G2503" s="60"/>
      <c r="H2503" s="60"/>
      <c r="I2503" s="61"/>
      <c r="J2503" s="61"/>
      <c r="K2503" s="61"/>
      <c r="L2503" s="73" t="str">
        <f t="shared" si="191"/>
        <v/>
      </c>
      <c r="M2503" s="65" t="str">
        <f t="shared" ca="1" si="192"/>
        <v/>
      </c>
      <c r="N2503" s="74" t="str">
        <f>IF($C2503="","",IF($C2503="TANIMSIZ MÜŞTERİ","—",INDEX(MUSTERILER!$C$7:$C$156,MATCH($C2503,MUSTERILER!$B$7:$B$156,0))))</f>
        <v/>
      </c>
      <c r="O2503" s="2"/>
      <c r="P2503" s="2"/>
      <c r="Q2503" s="1" t="str">
        <f>IF($D2503="","",$C2503&amp;"|"&amp;COUNTIFS($C$7:$C2503,$C2503))</f>
        <v/>
      </c>
      <c r="R2503" s="1" t="str">
        <f t="shared" si="193"/>
        <v/>
      </c>
      <c r="S2503" s="1" t="str">
        <f t="shared" si="194"/>
        <v/>
      </c>
      <c r="T2503" s="1">
        <f>IF($E2503="",0,SUMPRODUCT((AY_SONU!$O$7:$O$42="Evet")*(AY_SONU!$B$7:$B$42=DATE(YEAR($E2503),MONTH($E2503),1))))</f>
        <v>0</v>
      </c>
    </row>
    <row r="2504" spans="1:20" ht="18" customHeight="1" x14ac:dyDescent="0.3">
      <c r="A2504" s="2"/>
      <c r="B2504" s="65" t="str">
        <f t="shared" si="190"/>
        <v/>
      </c>
      <c r="C2504" s="65" t="str">
        <f>IF($D2504="","",IFERROR(INDEX(MUSTERILER!$B$7:$B$156,MATCH($R2504,MUSTERILER!$T$7:$T$156,0)),IFERROR(INDEX(MUSTERILER!$B$7:$B$156,MATCH($D2504,MUSTERILER!$B$7:$B$156,0)),IFERROR(INDEX(MUSTERILER!$B$7:$B$156,MATCH($R2504&amp;"*",MUSTERILER!$T$7:$T$156,0)),"TANIMSIZ MÜŞTERİ"))))</f>
        <v/>
      </c>
      <c r="D2504" s="61"/>
      <c r="E2504" s="66"/>
      <c r="F2504" s="67"/>
      <c r="G2504" s="60"/>
      <c r="H2504" s="60"/>
      <c r="I2504" s="61"/>
      <c r="J2504" s="61"/>
      <c r="K2504" s="61"/>
      <c r="L2504" s="73" t="str">
        <f t="shared" si="191"/>
        <v/>
      </c>
      <c r="M2504" s="65" t="str">
        <f t="shared" ca="1" si="192"/>
        <v/>
      </c>
      <c r="N2504" s="74" t="str">
        <f>IF($C2504="","",IF($C2504="TANIMSIZ MÜŞTERİ","—",INDEX(MUSTERILER!$C$7:$C$156,MATCH($C2504,MUSTERILER!$B$7:$B$156,0))))</f>
        <v/>
      </c>
      <c r="O2504" s="2"/>
      <c r="P2504" s="2"/>
      <c r="Q2504" s="1" t="str">
        <f>IF($D2504="","",$C2504&amp;"|"&amp;COUNTIFS($C$7:$C2504,$C2504))</f>
        <v/>
      </c>
      <c r="R2504" s="1" t="str">
        <f t="shared" si="193"/>
        <v/>
      </c>
      <c r="S2504" s="1" t="str">
        <f t="shared" si="194"/>
        <v/>
      </c>
      <c r="T2504" s="1">
        <f>IF($E2504="",0,SUMPRODUCT((AY_SONU!$O$7:$O$42="Evet")*(AY_SONU!$B$7:$B$42=DATE(YEAR($E2504),MONTH($E2504),1))))</f>
        <v>0</v>
      </c>
    </row>
    <row r="2505" spans="1:20" ht="18" customHeight="1" x14ac:dyDescent="0.3">
      <c r="A2505" s="2"/>
      <c r="B2505" s="65" t="str">
        <f t="shared" si="190"/>
        <v/>
      </c>
      <c r="C2505" s="65" t="str">
        <f>IF($D2505="","",IFERROR(INDEX(MUSTERILER!$B$7:$B$156,MATCH($R2505,MUSTERILER!$T$7:$T$156,0)),IFERROR(INDEX(MUSTERILER!$B$7:$B$156,MATCH($D2505,MUSTERILER!$B$7:$B$156,0)),IFERROR(INDEX(MUSTERILER!$B$7:$B$156,MATCH($R2505&amp;"*",MUSTERILER!$T$7:$T$156,0)),"TANIMSIZ MÜŞTERİ"))))</f>
        <v/>
      </c>
      <c r="D2505" s="61"/>
      <c r="E2505" s="66"/>
      <c r="F2505" s="67"/>
      <c r="G2505" s="60"/>
      <c r="H2505" s="60"/>
      <c r="I2505" s="61"/>
      <c r="J2505" s="61"/>
      <c r="K2505" s="61"/>
      <c r="L2505" s="73" t="str">
        <f t="shared" si="191"/>
        <v/>
      </c>
      <c r="M2505" s="65" t="str">
        <f t="shared" ca="1" si="192"/>
        <v/>
      </c>
      <c r="N2505" s="74" t="str">
        <f>IF($C2505="","",IF($C2505="TANIMSIZ MÜŞTERİ","—",INDEX(MUSTERILER!$C$7:$C$156,MATCH($C2505,MUSTERILER!$B$7:$B$156,0))))</f>
        <v/>
      </c>
      <c r="O2505" s="2"/>
      <c r="P2505" s="2"/>
      <c r="Q2505" s="1" t="str">
        <f>IF($D2505="","",$C2505&amp;"|"&amp;COUNTIFS($C$7:$C2505,$C2505))</f>
        <v/>
      </c>
      <c r="R2505" s="1" t="str">
        <f t="shared" si="193"/>
        <v/>
      </c>
      <c r="S2505" s="1" t="str">
        <f t="shared" si="194"/>
        <v/>
      </c>
      <c r="T2505" s="1">
        <f>IF($E2505="",0,SUMPRODUCT((AY_SONU!$O$7:$O$42="Evet")*(AY_SONU!$B$7:$B$42=DATE(YEAR($E2505),MONTH($E2505),1))))</f>
        <v>0</v>
      </c>
    </row>
    <row r="2506" spans="1:20" ht="18" customHeight="1" x14ac:dyDescent="0.3">
      <c r="A2506" s="2"/>
      <c r="B2506" s="65" t="str">
        <f t="shared" si="190"/>
        <v/>
      </c>
      <c r="C2506" s="65" t="str">
        <f>IF($D2506="","",IFERROR(INDEX(MUSTERILER!$B$7:$B$156,MATCH($R2506,MUSTERILER!$T$7:$T$156,0)),IFERROR(INDEX(MUSTERILER!$B$7:$B$156,MATCH($D2506,MUSTERILER!$B$7:$B$156,0)),IFERROR(INDEX(MUSTERILER!$B$7:$B$156,MATCH($R2506&amp;"*",MUSTERILER!$T$7:$T$156,0)),"TANIMSIZ MÜŞTERİ"))))</f>
        <v/>
      </c>
      <c r="D2506" s="61"/>
      <c r="E2506" s="66"/>
      <c r="F2506" s="67"/>
      <c r="G2506" s="60"/>
      <c r="H2506" s="60"/>
      <c r="I2506" s="61"/>
      <c r="J2506" s="61"/>
      <c r="K2506" s="61"/>
      <c r="L2506" s="73" t="str">
        <f t="shared" si="191"/>
        <v/>
      </c>
      <c r="M2506" s="65" t="str">
        <f t="shared" ca="1" si="192"/>
        <v/>
      </c>
      <c r="N2506" s="74" t="str">
        <f>IF($C2506="","",IF($C2506="TANIMSIZ MÜŞTERİ","—",INDEX(MUSTERILER!$C$7:$C$156,MATCH($C2506,MUSTERILER!$B$7:$B$156,0))))</f>
        <v/>
      </c>
      <c r="O2506" s="2"/>
      <c r="P2506" s="2"/>
      <c r="Q2506" s="1" t="str">
        <f>IF($D2506="","",$C2506&amp;"|"&amp;COUNTIFS($C$7:$C2506,$C2506))</f>
        <v/>
      </c>
      <c r="R2506" s="1" t="str">
        <f t="shared" si="193"/>
        <v/>
      </c>
      <c r="S2506" s="1" t="str">
        <f t="shared" si="194"/>
        <v/>
      </c>
      <c r="T2506" s="1">
        <f>IF($E2506="",0,SUMPRODUCT((AY_SONU!$O$7:$O$42="Evet")*(AY_SONU!$B$7:$B$42=DATE(YEAR($E2506),MONTH($E2506),1))))</f>
        <v>0</v>
      </c>
    </row>
    <row r="2507" spans="1:20" ht="18" customHeight="1" x14ac:dyDescent="0.3">
      <c r="A2507" s="2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2"/>
      <c r="P2507" s="2"/>
      <c r="Q2507" s="1"/>
      <c r="R2507" s="1"/>
      <c r="S2507" s="1"/>
      <c r="T2507" s="1"/>
    </row>
    <row r="2508" spans="1:20" ht="18" customHeight="1" x14ac:dyDescent="0.3">
      <c r="A2508" s="2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2"/>
      <c r="P2508" s="2"/>
      <c r="Q2508" s="1"/>
      <c r="R2508" s="1"/>
      <c r="S2508" s="1"/>
      <c r="T2508" s="1"/>
    </row>
  </sheetData>
  <sheetProtection password="CC3D" sheet="1" formatCells="0" formatColumns="0" formatRows="0" sort="0" autoFilter="0"/>
  <autoFilter ref="B6:N2506" xr:uid="{00000000-0009-0000-0000-000004000000}"/>
  <mergeCells count="3">
    <mergeCell ref="A1:E1"/>
    <mergeCell ref="F1:O1"/>
    <mergeCell ref="A2:O2"/>
  </mergeCells>
  <conditionalFormatting sqref="M7:M2506">
    <cfRule type="expression" dxfId="67" priority="2">
      <formula>EXACT($M7,"UYGUN")</formula>
    </cfRule>
    <cfRule type="expression" dxfId="66" priority="3">
      <formula>EXACT($M7,"EKSİK")</formula>
    </cfRule>
    <cfRule type="expression" dxfId="65" priority="4">
      <formula>EXACT($M7,"HATA")</formula>
    </cfRule>
    <cfRule type="expression" dxfId="64" priority="5">
      <formula>EXACT($M7,"İLERİ TARİH")</formula>
    </cfRule>
    <cfRule type="expression" dxfId="63" priority="6">
      <formula>EXACT($M7,"MÜKERRER?")</formula>
    </cfRule>
    <cfRule type="expression" dxfId="62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6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6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6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  <pageSetUpPr fitToPage="1"/>
  </sheetPr>
  <dimension ref="A1:AE3008"/>
  <sheetViews>
    <sheetView showGridLines="0" tabSelected="1" zoomScaleNormal="100" workbookViewId="0">
      <pane xSplit="3" ySplit="6" topLeftCell="D156" activePane="bottomRight" state="frozen"/>
      <selection pane="topRight" activeCell="D1" sqref="D1"/>
      <selection pane="bottomLeft" activeCell="A7" sqref="A7"/>
      <selection pane="bottomRight" activeCell="G176" sqref="G176"/>
    </sheetView>
  </sheetViews>
  <sheetFormatPr defaultColWidth="8.5703125" defaultRowHeight="14.25" x14ac:dyDescent="0.25"/>
  <cols>
    <col min="1" max="1" width="2.42578125" customWidth="1"/>
    <col min="2" max="2" width="12" customWidth="1"/>
    <col min="3" max="3" width="13" customWidth="1"/>
    <col min="4" max="4" width="12" customWidth="1"/>
    <col min="5" max="6" width="30" customWidth="1"/>
    <col min="7" max="7" width="17.42578125" bestFit="1" customWidth="1"/>
    <col min="8" max="8" width="18" customWidth="1"/>
    <col min="9" max="9" width="13" customWidth="1"/>
    <col min="10" max="10" width="14" customWidth="1"/>
    <col min="11" max="11" width="15" customWidth="1"/>
    <col min="12" max="12" width="30" customWidth="1"/>
    <col min="13" max="14" width="26" customWidth="1"/>
    <col min="15" max="15" width="14" customWidth="1"/>
    <col min="16" max="16" width="17" customWidth="1"/>
    <col min="17" max="18" width="2.42578125" customWidth="1"/>
    <col min="19" max="23" width="13" hidden="1" customWidth="1"/>
    <col min="24" max="24" width="15" customWidth="1"/>
    <col min="25" max="25" width="26" customWidth="1"/>
    <col min="26" max="26" width="28" customWidth="1"/>
    <col min="27" max="28" width="16" customWidth="1"/>
    <col min="29" max="29" width="17" customWidth="1"/>
    <col min="30" max="31" width="13" hidden="1" customWidth="1"/>
  </cols>
  <sheetData>
    <row r="1" spans="1:31" ht="37.5" customHeight="1" x14ac:dyDescent="0.3">
      <c r="A1" s="150" t="s">
        <v>546</v>
      </c>
      <c r="B1" s="150"/>
      <c r="C1" s="150"/>
      <c r="D1" s="150"/>
      <c r="E1" s="150"/>
      <c r="F1" s="151" t="s">
        <v>742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3"/>
      <c r="R1" s="1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3">
      <c r="A2" s="152" t="s">
        <v>743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3">
      <c r="A3" s="2"/>
      <c r="B3" s="50" t="s">
        <v>744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HYPERLINK("#VIRMAN!A1","Virman")</f>
        <v>Virman</v>
      </c>
      <c r="E4" s="2"/>
      <c r="F4" s="51" t="str">
        <f>HYPERLINK("#AY_SONU!A1","Ay Sonu")</f>
        <v>Ay Sonu</v>
      </c>
      <c r="G4" s="2"/>
      <c r="H4" s="52" t="s">
        <v>745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5.5" customHeight="1" x14ac:dyDescent="0.3">
      <c r="A5" s="2"/>
      <c r="B5" s="53"/>
      <c r="C5" s="54" t="s">
        <v>746</v>
      </c>
      <c r="D5" s="53"/>
      <c r="E5" s="53"/>
      <c r="F5" s="53"/>
      <c r="G5" s="56">
        <f>SUMIFS($G$7:$G$3006,$D$7:$D$3006,"Gelir",$I$7:$I$3006,"Evet")-SUMIFS($G$7:$G$3006,$D$7:$D$3006,"Gider",$I$7:$I$3006,"Evet")</f>
        <v>-1125387.98</v>
      </c>
      <c r="H5" s="53"/>
      <c r="I5" s="53"/>
      <c r="J5" s="53"/>
      <c r="K5" s="53"/>
      <c r="L5" s="56">
        <f>SUMIFS($G$7:$G$3006,$V$7:$V$3006,1)</f>
        <v>252150</v>
      </c>
      <c r="M5" s="53"/>
      <c r="N5" s="56">
        <f>SUMIFS($G$7:$G$3006,$D$7:$D$3006,"Gider",$I$7:$I$3006,"Hayır")</f>
        <v>0</v>
      </c>
      <c r="O5" s="53"/>
      <c r="P5" s="53"/>
      <c r="Q5" s="2"/>
      <c r="R5" s="2"/>
      <c r="S5" s="1"/>
      <c r="T5" s="1"/>
      <c r="U5" s="1"/>
      <c r="V5" s="1"/>
      <c r="W5" s="1"/>
      <c r="X5" s="153" t="s">
        <v>747</v>
      </c>
      <c r="Y5" s="153"/>
      <c r="Z5" s="153"/>
      <c r="AA5" s="153"/>
      <c r="AB5" s="153"/>
      <c r="AC5" s="153"/>
      <c r="AD5" s="1"/>
      <c r="AE5" s="1"/>
    </row>
    <row r="6" spans="1:31" ht="39.75" customHeight="1" x14ac:dyDescent="0.3">
      <c r="A6" s="2"/>
      <c r="B6" s="57" t="s">
        <v>748</v>
      </c>
      <c r="C6" s="57" t="s">
        <v>705</v>
      </c>
      <c r="D6" s="57" t="s">
        <v>749</v>
      </c>
      <c r="E6" s="58" t="s">
        <v>750</v>
      </c>
      <c r="F6" s="58" t="s">
        <v>54</v>
      </c>
      <c r="G6" s="59" t="s">
        <v>706</v>
      </c>
      <c r="H6" s="57" t="s">
        <v>707</v>
      </c>
      <c r="I6" s="57" t="s">
        <v>751</v>
      </c>
      <c r="J6" s="58" t="s">
        <v>709</v>
      </c>
      <c r="K6" s="58" t="s">
        <v>752</v>
      </c>
      <c r="L6" s="57" t="s">
        <v>753</v>
      </c>
      <c r="M6" s="58" t="s">
        <v>754</v>
      </c>
      <c r="N6" s="58" t="s">
        <v>755</v>
      </c>
      <c r="O6" s="57" t="s">
        <v>711</v>
      </c>
      <c r="P6" s="57" t="s">
        <v>564</v>
      </c>
      <c r="Q6" s="2"/>
      <c r="R6" s="2"/>
      <c r="S6" s="1"/>
      <c r="T6" s="1"/>
      <c r="U6" s="1"/>
      <c r="V6" s="1"/>
      <c r="W6" s="1"/>
      <c r="X6" s="75" t="s">
        <v>711</v>
      </c>
      <c r="Y6" s="75" t="s">
        <v>754</v>
      </c>
      <c r="Z6" s="75" t="s">
        <v>755</v>
      </c>
      <c r="AA6" s="75" t="s">
        <v>756</v>
      </c>
      <c r="AB6" s="75" t="s">
        <v>757</v>
      </c>
      <c r="AC6" s="75" t="s">
        <v>758</v>
      </c>
      <c r="AD6" s="1"/>
      <c r="AE6" s="1"/>
    </row>
    <row r="7" spans="1:31" ht="18" customHeight="1" x14ac:dyDescent="0.3">
      <c r="A7" s="2"/>
      <c r="B7" s="65" t="str">
        <f t="shared" ref="B7:B70" si="0">IF($C7="","","GG"&amp;TEXT(ROW()-6,"00000"))</f>
        <v>GG00001</v>
      </c>
      <c r="C7" s="66">
        <v>46023</v>
      </c>
      <c r="D7" s="60" t="s">
        <v>759</v>
      </c>
      <c r="E7" s="61" t="s">
        <v>760</v>
      </c>
      <c r="F7" s="61" t="s">
        <v>761</v>
      </c>
      <c r="G7" s="67">
        <v>27000</v>
      </c>
      <c r="H7" s="60" t="s">
        <v>762</v>
      </c>
      <c r="I7" s="60" t="s">
        <v>763</v>
      </c>
      <c r="J7" s="61"/>
      <c r="K7" s="61"/>
      <c r="L7" s="60"/>
      <c r="M7" s="74" t="str">
        <f t="shared" ref="M7:M70" si="1">IF($C7="","",IF($D7="Gider",$E7,IF($L7&lt;&gt;"",$L7,$H7)))</f>
        <v>Diğer Gider</v>
      </c>
      <c r="N7" s="74" t="str">
        <f t="shared" ref="N7:N70" si="2">IF($C7="","",IF($D7="Gider",$H7,$E7))</f>
        <v>Merkez Kasa</v>
      </c>
      <c r="O7" s="73">
        <f t="shared" ref="O7:O70" si="3">IF($C7="","",DATE(YEAR($C7),MONTH($C7),1))</f>
        <v>46023</v>
      </c>
      <c r="P7" s="65" t="str">
        <f t="shared" ref="P7:P70" ca="1" si="4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TARİH",IF(COUNTIF($W$7:$W$3006,$W7)&gt;1,"MÜKERRER?",IF($AD7&gt;0,"KAPALI DÖNEM",IF($I7="Hayır","ÖDENECEK","UYGUN")))),"EKSİK"))))</f>
        <v>UYGUN</v>
      </c>
      <c r="Q7" s="2"/>
      <c r="R7" s="2"/>
      <c r="S7" s="1" t="str">
        <f t="shared" ref="S7:S70" si="5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 t="str">
        <f>IF(OR($C7="",$D7&lt;&gt;"Gelir",$L7=""),"",IFERROR(INDEX(MUSTERILER!$B$7:$B$156,MATCH($S7,MUSTERILER!$T$7:$T$156,0)),""))</f>
        <v/>
      </c>
      <c r="U7" s="1" t="str">
        <f>IF($T7="","",$T7&amp;"|"&amp;COUNTIFS($T$7:$T7,$T7))</f>
        <v/>
      </c>
      <c r="V7" s="1">
        <f t="shared" ref="V7:V70" si="6">IF($T7="",0,1)</f>
        <v>0</v>
      </c>
      <c r="W7" s="1" t="str">
        <f t="shared" ref="W7:W70" si="7">IF($C7="","",$D7&amp;"|"&amp;$E7&amp;"|"&amp;TEXT($C7,"0")&amp;"|"&amp;TEXT($G7,"0")&amp;"|"&amp;$J7)</f>
        <v>Gider|Diğer Gider|46023|27000|</v>
      </c>
      <c r="X7" s="73">
        <f>AY_SONU!$B7</f>
        <v>46023</v>
      </c>
      <c r="Y7" s="74" t="str">
        <f t="shared" ref="Y7:Y42" si="8">"Müşteri Carisi  (MÜŞTERİ 360)"</f>
        <v>Müşteri Carisi  (MÜŞTERİ 360)</v>
      </c>
      <c r="Z7" s="74" t="str">
        <f t="shared" ref="Z7:Z42" si="9">"600 Muhasebe Hizmet Geliri  (sözleşme)"</f>
        <v>600 Muhasebe Hizmet Geliri  (sözleşme)</v>
      </c>
      <c r="AA7" s="68">
        <f>AY_SONU!$C7</f>
        <v>452250</v>
      </c>
      <c r="AB7" s="68">
        <f>AY_SONU!$D7</f>
        <v>317150</v>
      </c>
      <c r="AC7" s="68">
        <f>AY_SONU!$C7-AY_SONU!$D7</f>
        <v>135100</v>
      </c>
      <c r="AD7" s="1">
        <f>IF($C7="",0,SUMPRODUCT((AY_SONU!$O$7:$O$42="Evet")*(AY_SONU!$B$7:$B$42=DATE(YEAR($C7),MONTH($C7),1))))</f>
        <v>0</v>
      </c>
      <c r="AE7" s="1" t="str">
        <f>IF($E7="","",$E7&amp;"|"&amp;COUNTIFS($E$7:$E7,$E7))</f>
        <v>Diğer Gider|1</v>
      </c>
    </row>
    <row r="8" spans="1:31" ht="18" customHeight="1" x14ac:dyDescent="0.3">
      <c r="A8" s="2"/>
      <c r="B8" s="65" t="str">
        <f t="shared" si="0"/>
        <v>GG00002</v>
      </c>
      <c r="C8" s="66">
        <v>46023</v>
      </c>
      <c r="D8" s="60" t="s">
        <v>759</v>
      </c>
      <c r="E8" s="61" t="s">
        <v>760</v>
      </c>
      <c r="F8" s="61" t="s">
        <v>764</v>
      </c>
      <c r="G8" s="67">
        <v>17200</v>
      </c>
      <c r="H8" s="60" t="s">
        <v>762</v>
      </c>
      <c r="I8" s="60" t="s">
        <v>763</v>
      </c>
      <c r="J8" s="61"/>
      <c r="K8" s="61"/>
      <c r="L8" s="60"/>
      <c r="M8" s="74" t="str">
        <f t="shared" si="1"/>
        <v>Diğer Gider</v>
      </c>
      <c r="N8" s="74" t="str">
        <f t="shared" si="2"/>
        <v>Merkez Kasa</v>
      </c>
      <c r="O8" s="73">
        <f t="shared" si="3"/>
        <v>46023</v>
      </c>
      <c r="P8" s="65" t="str">
        <f t="shared" ca="1" si="4"/>
        <v>UYGUN</v>
      </c>
      <c r="Q8" s="2"/>
      <c r="R8" s="2"/>
      <c r="S8" s="1" t="str">
        <f t="shared" si="5"/>
        <v/>
      </c>
      <c r="T8" s="1" t="str">
        <f>IF(OR($C8="",$D8&lt;&gt;"Gelir",$L8=""),"",IFERROR(INDEX(MUSTERILER!$B$7:$B$156,MATCH($S8,MUSTERILER!$T$7:$T$156,0)),""))</f>
        <v/>
      </c>
      <c r="U8" s="1" t="str">
        <f>IF($T8="","",$T8&amp;"|"&amp;COUNTIFS($T$7:$T8,$T8))</f>
        <v/>
      </c>
      <c r="V8" s="1">
        <f t="shared" si="6"/>
        <v>0</v>
      </c>
      <c r="W8" s="1" t="str">
        <f t="shared" si="7"/>
        <v>Gider|Diğer Gider|46023|17200|</v>
      </c>
      <c r="X8" s="73">
        <f>AY_SONU!$B8</f>
        <v>46054</v>
      </c>
      <c r="Y8" s="74" t="str">
        <f t="shared" si="8"/>
        <v>Müşteri Carisi  (MÜŞTERİ 360)</v>
      </c>
      <c r="Z8" s="74" t="str">
        <f t="shared" si="9"/>
        <v>600 Muhasebe Hizmet Geliri  (sözleşme)</v>
      </c>
      <c r="AA8" s="68">
        <f>AY_SONU!$C8</f>
        <v>430500</v>
      </c>
      <c r="AB8" s="68">
        <f>AY_SONU!$D8</f>
        <v>159500</v>
      </c>
      <c r="AC8" s="68">
        <f>AY_SONU!$C8-AY_SONU!$D8</f>
        <v>271000</v>
      </c>
      <c r="AD8" s="1">
        <f>IF($C8="",0,SUMPRODUCT((AY_SONU!$O$7:$O$42="Evet")*(AY_SONU!$B$7:$B$42=DATE(YEAR($C8),MONTH($C8),1))))</f>
        <v>0</v>
      </c>
      <c r="AE8" s="1" t="str">
        <f>IF($E8="","",$E8&amp;"|"&amp;COUNTIFS($E$7:$E8,$E8))</f>
        <v>Diğer Gider|2</v>
      </c>
    </row>
    <row r="9" spans="1:31" ht="18" customHeight="1" x14ac:dyDescent="0.3">
      <c r="A9" s="2"/>
      <c r="B9" s="65" t="str">
        <f t="shared" si="0"/>
        <v>GG00003</v>
      </c>
      <c r="C9" s="66">
        <v>46035</v>
      </c>
      <c r="D9" s="60" t="s">
        <v>759</v>
      </c>
      <c r="E9" s="61" t="s">
        <v>765</v>
      </c>
      <c r="F9" s="61" t="s">
        <v>766</v>
      </c>
      <c r="G9" s="67">
        <v>1060</v>
      </c>
      <c r="H9" s="60" t="s">
        <v>762</v>
      </c>
      <c r="I9" s="60" t="s">
        <v>763</v>
      </c>
      <c r="J9" s="61"/>
      <c r="K9" s="61"/>
      <c r="L9" s="60"/>
      <c r="M9" s="74" t="str">
        <f t="shared" si="1"/>
        <v>Kırtasiye</v>
      </c>
      <c r="N9" s="74" t="str">
        <f t="shared" si="2"/>
        <v>Merkez Kasa</v>
      </c>
      <c r="O9" s="73">
        <f t="shared" si="3"/>
        <v>46023</v>
      </c>
      <c r="P9" s="65" t="str">
        <f t="shared" ca="1" si="4"/>
        <v>UYGUN</v>
      </c>
      <c r="Q9" s="2"/>
      <c r="R9" s="2"/>
      <c r="S9" s="1" t="str">
        <f t="shared" si="5"/>
        <v/>
      </c>
      <c r="T9" s="1" t="str">
        <f>IF(OR($C9="",$D9&lt;&gt;"Gelir",$L9=""),"",IFERROR(INDEX(MUSTERILER!$B$7:$B$156,MATCH($S9,MUSTERILER!$T$7:$T$156,0)),""))</f>
        <v/>
      </c>
      <c r="U9" s="1" t="str">
        <f>IF($T9="","",$T9&amp;"|"&amp;COUNTIFS($T$7:$T9,$T9))</f>
        <v/>
      </c>
      <c r="V9" s="1">
        <f t="shared" si="6"/>
        <v>0</v>
      </c>
      <c r="W9" s="1" t="str">
        <f t="shared" si="7"/>
        <v>Gider|Kırtasiye|46035|1060|</v>
      </c>
      <c r="X9" s="73">
        <f>AY_SONU!$B9</f>
        <v>46082</v>
      </c>
      <c r="Y9" s="74" t="str">
        <f t="shared" si="8"/>
        <v>Müşteri Carisi  (MÜŞTERİ 360)</v>
      </c>
      <c r="Z9" s="74" t="str">
        <f t="shared" si="9"/>
        <v>600 Muhasebe Hizmet Geliri  (sözleşme)</v>
      </c>
      <c r="AA9" s="68">
        <f>AY_SONU!$C9</f>
        <v>448500</v>
      </c>
      <c r="AB9" s="68">
        <f>AY_SONU!$D9</f>
        <v>262750</v>
      </c>
      <c r="AC9" s="68">
        <f>AY_SONU!$C9-AY_SONU!$D9</f>
        <v>185750</v>
      </c>
      <c r="AD9" s="1">
        <f>IF($C9="",0,SUMPRODUCT((AY_SONU!$O$7:$O$42="Evet")*(AY_SONU!$B$7:$B$42=DATE(YEAR($C9),MONTH($C9),1))))</f>
        <v>0</v>
      </c>
      <c r="AE9" s="1" t="str">
        <f>IF($E9="","",$E9&amp;"|"&amp;COUNTIFS($E$7:$E9,$E9))</f>
        <v>Kırtasiye|1</v>
      </c>
    </row>
    <row r="10" spans="1:31" ht="18" customHeight="1" x14ac:dyDescent="0.3">
      <c r="A10" s="2"/>
      <c r="B10" s="65" t="str">
        <f t="shared" si="0"/>
        <v>GG00004</v>
      </c>
      <c r="C10" s="66">
        <v>46036</v>
      </c>
      <c r="D10" s="60" t="s">
        <v>759</v>
      </c>
      <c r="E10" s="61" t="s">
        <v>767</v>
      </c>
      <c r="F10" s="61" t="s">
        <v>768</v>
      </c>
      <c r="G10" s="67">
        <v>800</v>
      </c>
      <c r="H10" s="60" t="s">
        <v>762</v>
      </c>
      <c r="I10" s="60" t="s">
        <v>763</v>
      </c>
      <c r="J10" s="61"/>
      <c r="K10" s="61"/>
      <c r="L10" s="60"/>
      <c r="M10" s="74" t="str">
        <f t="shared" si="1"/>
        <v>Telefon / İnternet</v>
      </c>
      <c r="N10" s="74" t="str">
        <f t="shared" si="2"/>
        <v>Merkez Kasa</v>
      </c>
      <c r="O10" s="73">
        <f t="shared" si="3"/>
        <v>46023</v>
      </c>
      <c r="P10" s="65" t="str">
        <f t="shared" ca="1" si="4"/>
        <v>UYGUN</v>
      </c>
      <c r="Q10" s="2"/>
      <c r="R10" s="2"/>
      <c r="S10" s="1" t="str">
        <f t="shared" si="5"/>
        <v/>
      </c>
      <c r="T10" s="1" t="str">
        <f>IF(OR($C10="",$D10&lt;&gt;"Gelir",$L10=""),"",IFERROR(INDEX(MUSTERILER!$B$7:$B$156,MATCH($S10,MUSTERILER!$T$7:$T$156,0)),""))</f>
        <v/>
      </c>
      <c r="U10" s="1" t="str">
        <f>IF($T10="","",$T10&amp;"|"&amp;COUNTIFS($T$7:$T10,$T10))</f>
        <v/>
      </c>
      <c r="V10" s="1">
        <f t="shared" si="6"/>
        <v>0</v>
      </c>
      <c r="W10" s="1" t="str">
        <f t="shared" si="7"/>
        <v>Gider|Telefon / İnternet|46036|800|</v>
      </c>
      <c r="X10" s="73">
        <f>AY_SONU!$B10</f>
        <v>46113</v>
      </c>
      <c r="Y10" s="74" t="str">
        <f t="shared" si="8"/>
        <v>Müşteri Carisi  (MÜŞTERİ 360)</v>
      </c>
      <c r="Z10" s="74" t="str">
        <f t="shared" si="9"/>
        <v>600 Muhasebe Hizmet Geliri  (sözleşme)</v>
      </c>
      <c r="AA10" s="68">
        <f>AY_SONU!$C10</f>
        <v>530500</v>
      </c>
      <c r="AB10" s="68">
        <f>AY_SONU!$D10</f>
        <v>278200</v>
      </c>
      <c r="AC10" s="68">
        <f>AY_SONU!$C10-AY_SONU!$D10</f>
        <v>252300</v>
      </c>
      <c r="AD10" s="1">
        <f>IF($C10="",0,SUMPRODUCT((AY_SONU!$O$7:$O$42="Evet")*(AY_SONU!$B$7:$B$42=DATE(YEAR($C10),MONTH($C10),1))))</f>
        <v>0</v>
      </c>
      <c r="AE10" s="1" t="str">
        <f>IF($E10="","",$E10&amp;"|"&amp;COUNTIFS($E$7:$E10,$E10))</f>
        <v>Telefon / İnternet|1</v>
      </c>
    </row>
    <row r="11" spans="1:31" ht="18" customHeight="1" x14ac:dyDescent="0.3">
      <c r="A11" s="2"/>
      <c r="B11" s="65" t="str">
        <f t="shared" si="0"/>
        <v>GG00005</v>
      </c>
      <c r="C11" s="66">
        <v>46044</v>
      </c>
      <c r="D11" s="60" t="s">
        <v>759</v>
      </c>
      <c r="E11" s="61" t="s">
        <v>760</v>
      </c>
      <c r="F11" s="61" t="s">
        <v>769</v>
      </c>
      <c r="G11" s="67">
        <v>3000</v>
      </c>
      <c r="H11" s="60" t="s">
        <v>762</v>
      </c>
      <c r="I11" s="60" t="s">
        <v>763</v>
      </c>
      <c r="J11" s="61"/>
      <c r="K11" s="61"/>
      <c r="L11" s="60"/>
      <c r="M11" s="74" t="str">
        <f t="shared" si="1"/>
        <v>Diğer Gider</v>
      </c>
      <c r="N11" s="74" t="str">
        <f t="shared" si="2"/>
        <v>Merkez Kasa</v>
      </c>
      <c r="O11" s="73">
        <f t="shared" si="3"/>
        <v>46023</v>
      </c>
      <c r="P11" s="65" t="str">
        <f t="shared" ca="1" si="4"/>
        <v>UYGUN</v>
      </c>
      <c r="Q11" s="2"/>
      <c r="R11" s="2"/>
      <c r="S11" s="1" t="str">
        <f t="shared" si="5"/>
        <v/>
      </c>
      <c r="T11" s="1" t="str">
        <f>IF(OR($C11="",$D11&lt;&gt;"Gelir",$L11=""),"",IFERROR(INDEX(MUSTERILER!$B$7:$B$156,MATCH($S11,MUSTERILER!$T$7:$T$156,0)),""))</f>
        <v/>
      </c>
      <c r="U11" s="1" t="str">
        <f>IF($T11="","",$T11&amp;"|"&amp;COUNTIFS($T$7:$T11,$T11))</f>
        <v/>
      </c>
      <c r="V11" s="1">
        <f t="shared" si="6"/>
        <v>0</v>
      </c>
      <c r="W11" s="1" t="str">
        <f t="shared" si="7"/>
        <v>Gider|Diğer Gider|46044|3000|</v>
      </c>
      <c r="X11" s="73">
        <f>AY_SONU!$B11</f>
        <v>46143</v>
      </c>
      <c r="Y11" s="74" t="str">
        <f t="shared" si="8"/>
        <v>Müşteri Carisi  (MÜŞTERİ 360)</v>
      </c>
      <c r="Z11" s="74" t="str">
        <f t="shared" si="9"/>
        <v>600 Muhasebe Hizmet Geliri  (sözleşme)</v>
      </c>
      <c r="AA11" s="68">
        <f>AY_SONU!$C11</f>
        <v>547400</v>
      </c>
      <c r="AB11" s="68">
        <f>AY_SONU!$D11</f>
        <v>342650</v>
      </c>
      <c r="AC11" s="68">
        <f>AY_SONU!$C11-AY_SONU!$D11</f>
        <v>204750</v>
      </c>
      <c r="AD11" s="1">
        <f>IF($C11="",0,SUMPRODUCT((AY_SONU!$O$7:$O$42="Evet")*(AY_SONU!$B$7:$B$42=DATE(YEAR($C11),MONTH($C11),1))))</f>
        <v>0</v>
      </c>
      <c r="AE11" s="1" t="str">
        <f>IF($E11="","",$E11&amp;"|"&amp;COUNTIFS($E$7:$E11,$E11))</f>
        <v>Diğer Gider|3</v>
      </c>
    </row>
    <row r="12" spans="1:31" ht="18" customHeight="1" x14ac:dyDescent="0.3">
      <c r="A12" s="2"/>
      <c r="B12" s="65" t="str">
        <f t="shared" si="0"/>
        <v>GG00006</v>
      </c>
      <c r="C12" s="66">
        <v>46049</v>
      </c>
      <c r="D12" s="60" t="s">
        <v>759</v>
      </c>
      <c r="E12" s="61" t="s">
        <v>770</v>
      </c>
      <c r="F12" s="61" t="s">
        <v>771</v>
      </c>
      <c r="G12" s="67">
        <v>1035</v>
      </c>
      <c r="H12" s="60" t="s">
        <v>762</v>
      </c>
      <c r="I12" s="60" t="s">
        <v>763</v>
      </c>
      <c r="J12" s="61"/>
      <c r="K12" s="61"/>
      <c r="L12" s="60"/>
      <c r="M12" s="74" t="str">
        <f t="shared" si="1"/>
        <v>Elektrik / Su / Doğalgaz</v>
      </c>
      <c r="N12" s="74" t="str">
        <f t="shared" si="2"/>
        <v>Merkez Kasa</v>
      </c>
      <c r="O12" s="73">
        <f t="shared" si="3"/>
        <v>46023</v>
      </c>
      <c r="P12" s="65" t="str">
        <f t="shared" ca="1" si="4"/>
        <v>UYGUN</v>
      </c>
      <c r="Q12" s="2"/>
      <c r="R12" s="2"/>
      <c r="S12" s="1" t="str">
        <f t="shared" si="5"/>
        <v/>
      </c>
      <c r="T12" s="1" t="str">
        <f>IF(OR($C12="",$D12&lt;&gt;"Gelir",$L12=""),"",IFERROR(INDEX(MUSTERILER!$B$7:$B$156,MATCH($S12,MUSTERILER!$T$7:$T$156,0)),""))</f>
        <v/>
      </c>
      <c r="U12" s="1" t="str">
        <f>IF($T12="","",$T12&amp;"|"&amp;COUNTIFS($T$7:$T12,$T12))</f>
        <v/>
      </c>
      <c r="V12" s="1">
        <f t="shared" si="6"/>
        <v>0</v>
      </c>
      <c r="W12" s="1" t="str">
        <f t="shared" si="7"/>
        <v>Gider|Elektrik / Su / Doğalgaz|46049|1035|</v>
      </c>
      <c r="X12" s="73">
        <f>AY_SONU!$B12</f>
        <v>46174</v>
      </c>
      <c r="Y12" s="74" t="str">
        <f t="shared" si="8"/>
        <v>Müşteri Carisi  (MÜŞTERİ 360)</v>
      </c>
      <c r="Z12" s="74" t="str">
        <f t="shared" si="9"/>
        <v>600 Muhasebe Hizmet Geliri  (sözleşme)</v>
      </c>
      <c r="AA12" s="68">
        <f>AY_SONU!$C12</f>
        <v>424000</v>
      </c>
      <c r="AB12" s="68">
        <f>AY_SONU!$D12</f>
        <v>305350</v>
      </c>
      <c r="AC12" s="68">
        <f>AY_SONU!$C12-AY_SONU!$D12</f>
        <v>118650</v>
      </c>
      <c r="AD12" s="1">
        <f>IF($C12="",0,SUMPRODUCT((AY_SONU!$O$7:$O$42="Evet")*(AY_SONU!$B$7:$B$42=DATE(YEAR($C12),MONTH($C12),1))))</f>
        <v>0</v>
      </c>
      <c r="AE12" s="1" t="str">
        <f>IF($E12="","",$E12&amp;"|"&amp;COUNTIFS($E$7:$E12,$E12))</f>
        <v>Elektrik / Su / Doğalgaz|1</v>
      </c>
    </row>
    <row r="13" spans="1:31" ht="18" customHeight="1" x14ac:dyDescent="0.3">
      <c r="A13" s="2"/>
      <c r="B13" s="65" t="str">
        <f t="shared" si="0"/>
        <v>GG00007</v>
      </c>
      <c r="C13" s="66">
        <v>46049</v>
      </c>
      <c r="D13" s="60" t="s">
        <v>759</v>
      </c>
      <c r="E13" s="61" t="s">
        <v>770</v>
      </c>
      <c r="F13" s="61" t="s">
        <v>771</v>
      </c>
      <c r="G13" s="67">
        <v>949.97</v>
      </c>
      <c r="H13" s="60" t="s">
        <v>762</v>
      </c>
      <c r="I13" s="60" t="s">
        <v>763</v>
      </c>
      <c r="J13" s="61"/>
      <c r="K13" s="61"/>
      <c r="L13" s="60"/>
      <c r="M13" s="74" t="str">
        <f t="shared" si="1"/>
        <v>Elektrik / Su / Doğalgaz</v>
      </c>
      <c r="N13" s="74" t="str">
        <f t="shared" si="2"/>
        <v>Merkez Kasa</v>
      </c>
      <c r="O13" s="73">
        <f t="shared" si="3"/>
        <v>46023</v>
      </c>
      <c r="P13" s="65" t="str">
        <f t="shared" ca="1" si="4"/>
        <v>UYGUN</v>
      </c>
      <c r="Q13" s="2"/>
      <c r="R13" s="2"/>
      <c r="S13" s="1" t="str">
        <f t="shared" si="5"/>
        <v/>
      </c>
      <c r="T13" s="1" t="str">
        <f>IF(OR($C13="",$D13&lt;&gt;"Gelir",$L13=""),"",IFERROR(INDEX(MUSTERILER!$B$7:$B$156,MATCH($S13,MUSTERILER!$T$7:$T$156,0)),""))</f>
        <v/>
      </c>
      <c r="U13" s="1" t="str">
        <f>IF($T13="","",$T13&amp;"|"&amp;COUNTIFS($T$7:$T13,$T13))</f>
        <v/>
      </c>
      <c r="V13" s="1">
        <f t="shared" si="6"/>
        <v>0</v>
      </c>
      <c r="W13" s="1" t="str">
        <f t="shared" si="7"/>
        <v>Gider|Elektrik / Su / Doğalgaz|46049|950|</v>
      </c>
      <c r="X13" s="73">
        <f>AY_SONU!$B13</f>
        <v>46204</v>
      </c>
      <c r="Y13" s="74" t="str">
        <f t="shared" si="8"/>
        <v>Müşteri Carisi  (MÜŞTERİ 360)</v>
      </c>
      <c r="Z13" s="74" t="str">
        <f t="shared" si="9"/>
        <v>600 Muhasebe Hizmet Geliri  (sözleşme)</v>
      </c>
      <c r="AA13" s="68">
        <f>AY_SONU!$C13</f>
        <v>418000</v>
      </c>
      <c r="AB13" s="68">
        <f>AY_SONU!$D13</f>
        <v>203250</v>
      </c>
      <c r="AC13" s="68">
        <f>AY_SONU!$C13-AY_SONU!$D13</f>
        <v>214750</v>
      </c>
      <c r="AD13" s="1">
        <f>IF($C13="",0,SUMPRODUCT((AY_SONU!$O$7:$O$42="Evet")*(AY_SONU!$B$7:$B$42=DATE(YEAR($C13),MONTH($C13),1))))</f>
        <v>0</v>
      </c>
      <c r="AE13" s="1" t="str">
        <f>IF($E13="","",$E13&amp;"|"&amp;COUNTIFS($E$7:$E13,$E13))</f>
        <v>Elektrik / Su / Doğalgaz|2</v>
      </c>
    </row>
    <row r="14" spans="1:31" ht="18" customHeight="1" x14ac:dyDescent="0.3">
      <c r="A14" s="2"/>
      <c r="B14" s="65" t="str">
        <f t="shared" si="0"/>
        <v>GG00008</v>
      </c>
      <c r="C14" s="66">
        <v>46049</v>
      </c>
      <c r="D14" s="60" t="s">
        <v>759</v>
      </c>
      <c r="E14" s="61" t="s">
        <v>770</v>
      </c>
      <c r="F14" s="61" t="s">
        <v>772</v>
      </c>
      <c r="G14" s="67">
        <v>469.9</v>
      </c>
      <c r="H14" s="60" t="s">
        <v>762</v>
      </c>
      <c r="I14" s="60" t="s">
        <v>763</v>
      </c>
      <c r="J14" s="61"/>
      <c r="K14" s="61"/>
      <c r="L14" s="60"/>
      <c r="M14" s="74" t="str">
        <f t="shared" si="1"/>
        <v>Elektrik / Su / Doğalgaz</v>
      </c>
      <c r="N14" s="74" t="str">
        <f t="shared" si="2"/>
        <v>Merkez Kasa</v>
      </c>
      <c r="O14" s="73">
        <f t="shared" si="3"/>
        <v>46023</v>
      </c>
      <c r="P14" s="65" t="str">
        <f t="shared" ca="1" si="4"/>
        <v>UYGUN</v>
      </c>
      <c r="Q14" s="2"/>
      <c r="R14" s="2"/>
      <c r="S14" s="1" t="str">
        <f t="shared" si="5"/>
        <v/>
      </c>
      <c r="T14" s="1" t="str">
        <f>IF(OR($C14="",$D14&lt;&gt;"Gelir",$L14=""),"",IFERROR(INDEX(MUSTERILER!$B$7:$B$156,MATCH($S14,MUSTERILER!$T$7:$T$156,0)),""))</f>
        <v/>
      </c>
      <c r="U14" s="1" t="str">
        <f>IF($T14="","",$T14&amp;"|"&amp;COUNTIFS($T$7:$T14,$T14))</f>
        <v/>
      </c>
      <c r="V14" s="1">
        <f t="shared" si="6"/>
        <v>0</v>
      </c>
      <c r="W14" s="1" t="str">
        <f t="shared" si="7"/>
        <v>Gider|Elektrik / Su / Doğalgaz|46049|470|</v>
      </c>
      <c r="X14" s="73">
        <f>AY_SONU!$B14</f>
        <v>46235</v>
      </c>
      <c r="Y14" s="74" t="str">
        <f t="shared" si="8"/>
        <v>Müşteri Carisi  (MÜŞTERİ 360)</v>
      </c>
      <c r="Z14" s="74" t="str">
        <f t="shared" si="9"/>
        <v>600 Muhasebe Hizmet Geliri  (sözleşme)</v>
      </c>
      <c r="AA14" s="68">
        <f>AY_SONU!$C14</f>
        <v>511750</v>
      </c>
      <c r="AB14" s="68">
        <f>AY_SONU!$D14</f>
        <v>277150</v>
      </c>
      <c r="AC14" s="68">
        <f>AY_SONU!$C14-AY_SONU!$D14</f>
        <v>234600</v>
      </c>
      <c r="AD14" s="1">
        <f>IF($C14="",0,SUMPRODUCT((AY_SONU!$O$7:$O$42="Evet")*(AY_SONU!$B$7:$B$42=DATE(YEAR($C14),MONTH($C14),1))))</f>
        <v>0</v>
      </c>
      <c r="AE14" s="1" t="str">
        <f>IF($E14="","",$E14&amp;"|"&amp;COUNTIFS($E$7:$E14,$E14))</f>
        <v>Elektrik / Su / Doğalgaz|3</v>
      </c>
    </row>
    <row r="15" spans="1:31" ht="18" customHeight="1" x14ac:dyDescent="0.3">
      <c r="A15" s="2"/>
      <c r="B15" s="65" t="str">
        <f t="shared" si="0"/>
        <v>GG00009</v>
      </c>
      <c r="C15" s="66">
        <v>46049</v>
      </c>
      <c r="D15" s="60" t="s">
        <v>759</v>
      </c>
      <c r="E15" s="61" t="s">
        <v>770</v>
      </c>
      <c r="F15" s="61" t="s">
        <v>772</v>
      </c>
      <c r="G15" s="67">
        <v>249.5</v>
      </c>
      <c r="H15" s="60" t="s">
        <v>762</v>
      </c>
      <c r="I15" s="60" t="s">
        <v>763</v>
      </c>
      <c r="J15" s="61"/>
      <c r="K15" s="61"/>
      <c r="L15" s="60"/>
      <c r="M15" s="74" t="str">
        <f t="shared" si="1"/>
        <v>Elektrik / Su / Doğalgaz</v>
      </c>
      <c r="N15" s="74" t="str">
        <f t="shared" si="2"/>
        <v>Merkez Kasa</v>
      </c>
      <c r="O15" s="73">
        <f t="shared" si="3"/>
        <v>46023</v>
      </c>
      <c r="P15" s="65" t="str">
        <f t="shared" ca="1" si="4"/>
        <v>UYGUN</v>
      </c>
      <c r="Q15" s="2"/>
      <c r="R15" s="2"/>
      <c r="S15" s="1" t="str">
        <f t="shared" si="5"/>
        <v/>
      </c>
      <c r="T15" s="1" t="str">
        <f>IF(OR($C15="",$D15&lt;&gt;"Gelir",$L15=""),"",IFERROR(INDEX(MUSTERILER!$B$7:$B$156,MATCH($S15,MUSTERILER!$T$7:$T$156,0)),""))</f>
        <v/>
      </c>
      <c r="U15" s="1" t="str">
        <f>IF($T15="","",$T15&amp;"|"&amp;COUNTIFS($T$7:$T15,$T15))</f>
        <v/>
      </c>
      <c r="V15" s="1">
        <f t="shared" si="6"/>
        <v>0</v>
      </c>
      <c r="W15" s="1" t="str">
        <f t="shared" si="7"/>
        <v>Gider|Elektrik / Su / Doğalgaz|46049|250|</v>
      </c>
      <c r="X15" s="73">
        <f>AY_SONU!$B15</f>
        <v>46266</v>
      </c>
      <c r="Y15" s="74" t="str">
        <f t="shared" si="8"/>
        <v>Müşteri Carisi  (MÜŞTERİ 360)</v>
      </c>
      <c r="Z15" s="74" t="str">
        <f t="shared" si="9"/>
        <v>600 Muhasebe Hizmet Geliri  (sözleşme)</v>
      </c>
      <c r="AA15" s="68">
        <f>AY_SONU!$C15</f>
        <v>446000</v>
      </c>
      <c r="AB15" s="68">
        <f>AY_SONU!$D15</f>
        <v>0</v>
      </c>
      <c r="AC15" s="68">
        <f>AY_SONU!$C15-AY_SONU!$D15</f>
        <v>446000</v>
      </c>
      <c r="AD15" s="1">
        <f>IF($C15="",0,SUMPRODUCT((AY_SONU!$O$7:$O$42="Evet")*(AY_SONU!$B$7:$B$42=DATE(YEAR($C15),MONTH($C15),1))))</f>
        <v>0</v>
      </c>
      <c r="AE15" s="1" t="str">
        <f>IF($E15="","",$E15&amp;"|"&amp;COUNTIFS($E$7:$E15,$E15))</f>
        <v>Elektrik / Su / Doğalgaz|4</v>
      </c>
    </row>
    <row r="16" spans="1:31" ht="18" customHeight="1" x14ac:dyDescent="0.3">
      <c r="A16" s="2"/>
      <c r="B16" s="65" t="str">
        <f t="shared" si="0"/>
        <v>GG00010</v>
      </c>
      <c r="C16" s="66">
        <v>46049</v>
      </c>
      <c r="D16" s="60" t="s">
        <v>759</v>
      </c>
      <c r="E16" s="61" t="s">
        <v>770</v>
      </c>
      <c r="F16" s="61" t="s">
        <v>772</v>
      </c>
      <c r="G16" s="67">
        <v>167.45</v>
      </c>
      <c r="H16" s="60" t="s">
        <v>762</v>
      </c>
      <c r="I16" s="60" t="s">
        <v>763</v>
      </c>
      <c r="J16" s="61"/>
      <c r="K16" s="61"/>
      <c r="L16" s="60"/>
      <c r="M16" s="74" t="str">
        <f t="shared" si="1"/>
        <v>Elektrik / Su / Doğalgaz</v>
      </c>
      <c r="N16" s="74" t="str">
        <f t="shared" si="2"/>
        <v>Merkez Kasa</v>
      </c>
      <c r="O16" s="73">
        <f t="shared" si="3"/>
        <v>46023</v>
      </c>
      <c r="P16" s="65" t="str">
        <f t="shared" ca="1" si="4"/>
        <v>UYGUN</v>
      </c>
      <c r="Q16" s="2"/>
      <c r="R16" s="2"/>
      <c r="S16" s="1" t="str">
        <f t="shared" si="5"/>
        <v/>
      </c>
      <c r="T16" s="1" t="str">
        <f>IF(OR($C16="",$D16&lt;&gt;"Gelir",$L16=""),"",IFERROR(INDEX(MUSTERILER!$B$7:$B$156,MATCH($S16,MUSTERILER!$T$7:$T$156,0)),""))</f>
        <v/>
      </c>
      <c r="U16" s="1" t="str">
        <f>IF($T16="","",$T16&amp;"|"&amp;COUNTIFS($T$7:$T16,$T16))</f>
        <v/>
      </c>
      <c r="V16" s="1">
        <f t="shared" si="6"/>
        <v>0</v>
      </c>
      <c r="W16" s="1" t="str">
        <f t="shared" si="7"/>
        <v>Gider|Elektrik / Su / Doğalgaz|46049|167|</v>
      </c>
      <c r="X16" s="73">
        <f>AY_SONU!$B16</f>
        <v>46296</v>
      </c>
      <c r="Y16" s="74" t="str">
        <f t="shared" si="8"/>
        <v>Müşteri Carisi  (MÜŞTERİ 360)</v>
      </c>
      <c r="Z16" s="74" t="str">
        <f t="shared" si="9"/>
        <v>600 Muhasebe Hizmet Geliri  (sözleşme)</v>
      </c>
      <c r="AA16" s="68">
        <f>AY_SONU!$C16</f>
        <v>524750</v>
      </c>
      <c r="AB16" s="68">
        <f>AY_SONU!$D16</f>
        <v>0</v>
      </c>
      <c r="AC16" s="68">
        <f>AY_SONU!$C16-AY_SONU!$D16</f>
        <v>524750</v>
      </c>
      <c r="AD16" s="1">
        <f>IF($C16="",0,SUMPRODUCT((AY_SONU!$O$7:$O$42="Evet")*(AY_SONU!$B$7:$B$42=DATE(YEAR($C16),MONTH($C16),1))))</f>
        <v>0</v>
      </c>
      <c r="AE16" s="1" t="str">
        <f>IF($E16="","",$E16&amp;"|"&amp;COUNTIFS($E$7:$E16,$E16))</f>
        <v>Elektrik / Su / Doğalgaz|5</v>
      </c>
    </row>
    <row r="17" spans="1:31" ht="18" customHeight="1" x14ac:dyDescent="0.3">
      <c r="A17" s="2"/>
      <c r="B17" s="65" t="str">
        <f t="shared" si="0"/>
        <v>GG00011</v>
      </c>
      <c r="C17" s="66">
        <v>46049</v>
      </c>
      <c r="D17" s="60" t="s">
        <v>759</v>
      </c>
      <c r="E17" s="61" t="s">
        <v>767</v>
      </c>
      <c r="F17" s="61" t="s">
        <v>773</v>
      </c>
      <c r="G17" s="67">
        <v>602</v>
      </c>
      <c r="H17" s="60" t="s">
        <v>762</v>
      </c>
      <c r="I17" s="60" t="s">
        <v>763</v>
      </c>
      <c r="J17" s="61"/>
      <c r="K17" s="61"/>
      <c r="L17" s="60"/>
      <c r="M17" s="74" t="str">
        <f t="shared" si="1"/>
        <v>Telefon / İnternet</v>
      </c>
      <c r="N17" s="74" t="str">
        <f t="shared" si="2"/>
        <v>Merkez Kasa</v>
      </c>
      <c r="O17" s="73">
        <f t="shared" si="3"/>
        <v>46023</v>
      </c>
      <c r="P17" s="65" t="str">
        <f t="shared" ca="1" si="4"/>
        <v>UYGUN</v>
      </c>
      <c r="Q17" s="2"/>
      <c r="R17" s="2"/>
      <c r="S17" s="1" t="str">
        <f t="shared" si="5"/>
        <v/>
      </c>
      <c r="T17" s="1" t="str">
        <f>IF(OR($C17="",$D17&lt;&gt;"Gelir",$L17=""),"",IFERROR(INDEX(MUSTERILER!$B$7:$B$156,MATCH($S17,MUSTERILER!$T$7:$T$156,0)),""))</f>
        <v/>
      </c>
      <c r="U17" s="1" t="str">
        <f>IF($T17="","",$T17&amp;"|"&amp;COUNTIFS($T$7:$T17,$T17))</f>
        <v/>
      </c>
      <c r="V17" s="1">
        <f t="shared" si="6"/>
        <v>0</v>
      </c>
      <c r="W17" s="1" t="str">
        <f t="shared" si="7"/>
        <v>Gider|Telefon / İnternet|46049|602|</v>
      </c>
      <c r="X17" s="73">
        <f>AY_SONU!$B17</f>
        <v>46327</v>
      </c>
      <c r="Y17" s="74" t="str">
        <f t="shared" si="8"/>
        <v>Müşteri Carisi  (MÜŞTERİ 360)</v>
      </c>
      <c r="Z17" s="74" t="str">
        <f t="shared" si="9"/>
        <v>600 Muhasebe Hizmet Geliri  (sözleşme)</v>
      </c>
      <c r="AA17" s="68">
        <f>AY_SONU!$C17</f>
        <v>446000</v>
      </c>
      <c r="AB17" s="68">
        <f>AY_SONU!$D17</f>
        <v>0</v>
      </c>
      <c r="AC17" s="68">
        <f>AY_SONU!$C17-AY_SONU!$D17</f>
        <v>446000</v>
      </c>
      <c r="AD17" s="1">
        <f>IF($C17="",0,SUMPRODUCT((AY_SONU!$O$7:$O$42="Evet")*(AY_SONU!$B$7:$B$42=DATE(YEAR($C17),MONTH($C17),1))))</f>
        <v>0</v>
      </c>
      <c r="AE17" s="1" t="str">
        <f>IF($E17="","",$E17&amp;"|"&amp;COUNTIFS($E$7:$E17,$E17))</f>
        <v>Telefon / İnternet|2</v>
      </c>
    </row>
    <row r="18" spans="1:31" ht="18" customHeight="1" x14ac:dyDescent="0.3">
      <c r="A18" s="2"/>
      <c r="B18" s="65" t="str">
        <f t="shared" si="0"/>
        <v>GG00012</v>
      </c>
      <c r="C18" s="66">
        <v>46053</v>
      </c>
      <c r="D18" s="60" t="s">
        <v>759</v>
      </c>
      <c r="E18" s="61" t="s">
        <v>774</v>
      </c>
      <c r="F18" s="61" t="s">
        <v>775</v>
      </c>
      <c r="G18" s="67">
        <v>1750</v>
      </c>
      <c r="H18" s="60" t="s">
        <v>762</v>
      </c>
      <c r="I18" s="60" t="s">
        <v>763</v>
      </c>
      <c r="J18" s="61"/>
      <c r="K18" s="61"/>
      <c r="L18" s="60"/>
      <c r="M18" s="74" t="str">
        <f t="shared" si="1"/>
        <v>Ulaşım</v>
      </c>
      <c r="N18" s="74" t="str">
        <f t="shared" si="2"/>
        <v>Merkez Kasa</v>
      </c>
      <c r="O18" s="73">
        <f t="shared" si="3"/>
        <v>46023</v>
      </c>
      <c r="P18" s="65" t="str">
        <f t="shared" ca="1" si="4"/>
        <v>UYGUN</v>
      </c>
      <c r="Q18" s="2"/>
      <c r="R18" s="2"/>
      <c r="S18" s="1" t="str">
        <f t="shared" si="5"/>
        <v/>
      </c>
      <c r="T18" s="1" t="str">
        <f>IF(OR($C18="",$D18&lt;&gt;"Gelir",$L18=""),"",IFERROR(INDEX(MUSTERILER!$B$7:$B$156,MATCH($S18,MUSTERILER!$T$7:$T$156,0)),""))</f>
        <v/>
      </c>
      <c r="U18" s="1" t="str">
        <f>IF($T18="","",$T18&amp;"|"&amp;COUNTIFS($T$7:$T18,$T18))</f>
        <v/>
      </c>
      <c r="V18" s="1">
        <f t="shared" si="6"/>
        <v>0</v>
      </c>
      <c r="W18" s="1" t="str">
        <f t="shared" si="7"/>
        <v>Gider|Ulaşım|46053|1750|</v>
      </c>
      <c r="X18" s="73">
        <f>AY_SONU!$B18</f>
        <v>46357</v>
      </c>
      <c r="Y18" s="74" t="str">
        <f t="shared" si="8"/>
        <v>Müşteri Carisi  (MÜŞTERİ 360)</v>
      </c>
      <c r="Z18" s="74" t="str">
        <f t="shared" si="9"/>
        <v>600 Muhasebe Hizmet Geliri  (sözleşme)</v>
      </c>
      <c r="AA18" s="68">
        <f>AY_SONU!$C18</f>
        <v>446000</v>
      </c>
      <c r="AB18" s="68">
        <f>AY_SONU!$D18</f>
        <v>0</v>
      </c>
      <c r="AC18" s="68">
        <f>AY_SONU!$C18-AY_SONU!$D18</f>
        <v>446000</v>
      </c>
      <c r="AD18" s="1">
        <f>IF($C18="",0,SUMPRODUCT((AY_SONU!$O$7:$O$42="Evet")*(AY_SONU!$B$7:$B$42=DATE(YEAR($C18),MONTH($C18),1))))</f>
        <v>0</v>
      </c>
      <c r="AE18" s="1" t="str">
        <f>IF($E18="","",$E18&amp;"|"&amp;COUNTIFS($E$7:$E18,$E18))</f>
        <v>Ulaşım|1</v>
      </c>
    </row>
    <row r="19" spans="1:31" ht="18" customHeight="1" x14ac:dyDescent="0.3">
      <c r="A19" s="2"/>
      <c r="B19" s="65" t="str">
        <f t="shared" si="0"/>
        <v>GG00013</v>
      </c>
      <c r="C19" s="66">
        <v>46053</v>
      </c>
      <c r="D19" s="60" t="s">
        <v>759</v>
      </c>
      <c r="E19" s="61" t="s">
        <v>776</v>
      </c>
      <c r="F19" s="61" t="s">
        <v>777</v>
      </c>
      <c r="G19" s="67">
        <v>2000</v>
      </c>
      <c r="H19" s="60" t="s">
        <v>762</v>
      </c>
      <c r="I19" s="60" t="s">
        <v>763</v>
      </c>
      <c r="J19" s="61"/>
      <c r="K19" s="61"/>
      <c r="L19" s="60"/>
      <c r="M19" s="74" t="str">
        <f t="shared" si="1"/>
        <v>Temsil / Ağırlama</v>
      </c>
      <c r="N19" s="74" t="str">
        <f t="shared" si="2"/>
        <v>Merkez Kasa</v>
      </c>
      <c r="O19" s="73">
        <f t="shared" si="3"/>
        <v>46023</v>
      </c>
      <c r="P19" s="65" t="str">
        <f t="shared" ca="1" si="4"/>
        <v>UYGUN</v>
      </c>
      <c r="Q19" s="2"/>
      <c r="R19" s="2"/>
      <c r="S19" s="1" t="str">
        <f t="shared" si="5"/>
        <v/>
      </c>
      <c r="T19" s="1" t="str">
        <f>IF(OR($C19="",$D19&lt;&gt;"Gelir",$L19=""),"",IFERROR(INDEX(MUSTERILER!$B$7:$B$156,MATCH($S19,MUSTERILER!$T$7:$T$156,0)),""))</f>
        <v/>
      </c>
      <c r="U19" s="1" t="str">
        <f>IF($T19="","",$T19&amp;"|"&amp;COUNTIFS($T$7:$T19,$T19))</f>
        <v/>
      </c>
      <c r="V19" s="1">
        <f t="shared" si="6"/>
        <v>0</v>
      </c>
      <c r="W19" s="1" t="str">
        <f t="shared" si="7"/>
        <v>Gider|Temsil / Ağırlama|46053|2000|</v>
      </c>
      <c r="X19" s="73">
        <f>AY_SONU!$B19</f>
        <v>46388</v>
      </c>
      <c r="Y19" s="74" t="str">
        <f t="shared" si="8"/>
        <v>Müşteri Carisi  (MÜŞTERİ 360)</v>
      </c>
      <c r="Z19" s="74" t="str">
        <f t="shared" si="9"/>
        <v>600 Muhasebe Hizmet Geliri  (sözleşme)</v>
      </c>
      <c r="AA19" s="68">
        <f>AY_SONU!$C19</f>
        <v>524750</v>
      </c>
      <c r="AB19" s="68">
        <f>AY_SONU!$D19</f>
        <v>0</v>
      </c>
      <c r="AC19" s="68">
        <f>AY_SONU!$C19-AY_SONU!$D19</f>
        <v>524750</v>
      </c>
      <c r="AD19" s="1">
        <f>IF($C19="",0,SUMPRODUCT((AY_SONU!$O$7:$O$42="Evet")*(AY_SONU!$B$7:$B$42=DATE(YEAR($C19),MONTH($C19),1))))</f>
        <v>0</v>
      </c>
      <c r="AE19" s="1" t="str">
        <f>IF($E19="","",$E19&amp;"|"&amp;COUNTIFS($E$7:$E19,$E19))</f>
        <v>Temsil / Ağırlama|1</v>
      </c>
    </row>
    <row r="20" spans="1:31" ht="18" customHeight="1" x14ac:dyDescent="0.3">
      <c r="A20" s="2"/>
      <c r="B20" s="65" t="str">
        <f t="shared" si="0"/>
        <v>GG00014</v>
      </c>
      <c r="C20" s="66">
        <v>46053</v>
      </c>
      <c r="D20" s="60" t="s">
        <v>759</v>
      </c>
      <c r="E20" s="61" t="s">
        <v>760</v>
      </c>
      <c r="F20" s="61" t="s">
        <v>778</v>
      </c>
      <c r="G20" s="67">
        <v>31000</v>
      </c>
      <c r="H20" s="60" t="s">
        <v>762</v>
      </c>
      <c r="I20" s="60" t="s">
        <v>763</v>
      </c>
      <c r="J20" s="61"/>
      <c r="K20" s="61"/>
      <c r="L20" s="60"/>
      <c r="M20" s="74" t="str">
        <f t="shared" si="1"/>
        <v>Diğer Gider</v>
      </c>
      <c r="N20" s="74" t="str">
        <f t="shared" si="2"/>
        <v>Merkez Kasa</v>
      </c>
      <c r="O20" s="73">
        <f t="shared" si="3"/>
        <v>46023</v>
      </c>
      <c r="P20" s="65" t="str">
        <f t="shared" ca="1" si="4"/>
        <v>UYGUN</v>
      </c>
      <c r="Q20" s="2"/>
      <c r="R20" s="2"/>
      <c r="S20" s="1" t="str">
        <f t="shared" si="5"/>
        <v/>
      </c>
      <c r="T20" s="1" t="str">
        <f>IF(OR($C20="",$D20&lt;&gt;"Gelir",$L20=""),"",IFERROR(INDEX(MUSTERILER!$B$7:$B$156,MATCH($S20,MUSTERILER!$T$7:$T$156,0)),""))</f>
        <v/>
      </c>
      <c r="U20" s="1" t="str">
        <f>IF($T20="","",$T20&amp;"|"&amp;COUNTIFS($T$7:$T20,$T20))</f>
        <v/>
      </c>
      <c r="V20" s="1">
        <f t="shared" si="6"/>
        <v>0</v>
      </c>
      <c r="W20" s="1" t="str">
        <f t="shared" si="7"/>
        <v>Gider|Diğer Gider|46053|31000|</v>
      </c>
      <c r="X20" s="73">
        <f>AY_SONU!$B20</f>
        <v>46419</v>
      </c>
      <c r="Y20" s="74" t="str">
        <f t="shared" si="8"/>
        <v>Müşteri Carisi  (MÜŞTERİ 360)</v>
      </c>
      <c r="Z20" s="74" t="str">
        <f t="shared" si="9"/>
        <v>600 Muhasebe Hizmet Geliri  (sözleşme)</v>
      </c>
      <c r="AA20" s="68">
        <f>AY_SONU!$C20</f>
        <v>446000</v>
      </c>
      <c r="AB20" s="68">
        <f>AY_SONU!$D20</f>
        <v>0</v>
      </c>
      <c r="AC20" s="68">
        <f>AY_SONU!$C20-AY_SONU!$D20</f>
        <v>446000</v>
      </c>
      <c r="AD20" s="1">
        <f>IF($C20="",0,SUMPRODUCT((AY_SONU!$O$7:$O$42="Evet")*(AY_SONU!$B$7:$B$42=DATE(YEAR($C20),MONTH($C20),1))))</f>
        <v>0</v>
      </c>
      <c r="AE20" s="1" t="str">
        <f>IF($E20="","",$E20&amp;"|"&amp;COUNTIFS($E$7:$E20,$E20))</f>
        <v>Diğer Gider|4</v>
      </c>
    </row>
    <row r="21" spans="1:31" ht="18" customHeight="1" x14ac:dyDescent="0.3">
      <c r="A21" s="2"/>
      <c r="B21" s="65" t="str">
        <f t="shared" si="0"/>
        <v>GG00015</v>
      </c>
      <c r="C21" s="66">
        <v>46053</v>
      </c>
      <c r="D21" s="60" t="s">
        <v>759</v>
      </c>
      <c r="E21" s="61" t="s">
        <v>779</v>
      </c>
      <c r="F21" s="61" t="s">
        <v>780</v>
      </c>
      <c r="G21" s="67">
        <v>1000</v>
      </c>
      <c r="H21" s="60" t="s">
        <v>762</v>
      </c>
      <c r="I21" s="60" t="s">
        <v>763</v>
      </c>
      <c r="J21" s="61"/>
      <c r="K21" s="61"/>
      <c r="L21" s="60"/>
      <c r="M21" s="74" t="str">
        <f t="shared" si="1"/>
        <v>Mehmet Ali Kartal</v>
      </c>
      <c r="N21" s="74" t="str">
        <f t="shared" si="2"/>
        <v>Merkez Kasa</v>
      </c>
      <c r="O21" s="73">
        <f t="shared" si="3"/>
        <v>46023</v>
      </c>
      <c r="P21" s="65" t="str">
        <f t="shared" ca="1" si="4"/>
        <v>UYGUN</v>
      </c>
      <c r="Q21" s="2"/>
      <c r="R21" s="2"/>
      <c r="S21" s="1" t="str">
        <f t="shared" si="5"/>
        <v/>
      </c>
      <c r="T21" s="1" t="str">
        <f>IF(OR($C21="",$D21&lt;&gt;"Gelir",$L21=""),"",IFERROR(INDEX(MUSTERILER!$B$7:$B$156,MATCH($S21,MUSTERILER!$T$7:$T$156,0)),""))</f>
        <v/>
      </c>
      <c r="U21" s="1" t="str">
        <f>IF($T21="","",$T21&amp;"|"&amp;COUNTIFS($T$7:$T21,$T21))</f>
        <v/>
      </c>
      <c r="V21" s="1">
        <f t="shared" si="6"/>
        <v>0</v>
      </c>
      <c r="W21" s="1" t="str">
        <f t="shared" si="7"/>
        <v>Gider|Mehmet Ali Kartal|46053|1000|</v>
      </c>
      <c r="X21" s="73">
        <f>AY_SONU!$B21</f>
        <v>46447</v>
      </c>
      <c r="Y21" s="74" t="str">
        <f t="shared" si="8"/>
        <v>Müşteri Carisi  (MÜŞTERİ 360)</v>
      </c>
      <c r="Z21" s="74" t="str">
        <f t="shared" si="9"/>
        <v>600 Muhasebe Hizmet Geliri  (sözleşme)</v>
      </c>
      <c r="AA21" s="68">
        <f>AY_SONU!$C21</f>
        <v>446000</v>
      </c>
      <c r="AB21" s="68">
        <f>AY_SONU!$D21</f>
        <v>0</v>
      </c>
      <c r="AC21" s="68">
        <f>AY_SONU!$C21-AY_SONU!$D21</f>
        <v>446000</v>
      </c>
      <c r="AD21" s="1">
        <f>IF($C21="",0,SUMPRODUCT((AY_SONU!$O$7:$O$42="Evet")*(AY_SONU!$B$7:$B$42=DATE(YEAR($C21),MONTH($C21),1))))</f>
        <v>0</v>
      </c>
      <c r="AE21" s="1" t="str">
        <f>IF($E21="","",$E21&amp;"|"&amp;COUNTIFS($E$7:$E21,$E21))</f>
        <v>Mehmet Ali Kartal|1</v>
      </c>
    </row>
    <row r="22" spans="1:31" ht="18" customHeight="1" x14ac:dyDescent="0.3">
      <c r="A22" s="2"/>
      <c r="B22" s="65" t="str">
        <f t="shared" si="0"/>
        <v>GG00016</v>
      </c>
      <c r="C22" s="66">
        <v>46056</v>
      </c>
      <c r="D22" s="60" t="s">
        <v>759</v>
      </c>
      <c r="E22" s="61" t="s">
        <v>781</v>
      </c>
      <c r="F22" s="61" t="s">
        <v>782</v>
      </c>
      <c r="G22" s="67">
        <v>40000</v>
      </c>
      <c r="H22" s="60" t="s">
        <v>762</v>
      </c>
      <c r="I22" s="60" t="s">
        <v>763</v>
      </c>
      <c r="J22" s="61"/>
      <c r="K22" s="61"/>
      <c r="L22" s="60"/>
      <c r="M22" s="74" t="str">
        <f t="shared" si="1"/>
        <v>Personel</v>
      </c>
      <c r="N22" s="74" t="str">
        <f t="shared" si="2"/>
        <v>Merkez Kasa</v>
      </c>
      <c r="O22" s="73">
        <f t="shared" si="3"/>
        <v>46054</v>
      </c>
      <c r="P22" s="65" t="str">
        <f t="shared" ca="1" si="4"/>
        <v>UYGUN</v>
      </c>
      <c r="Q22" s="2"/>
      <c r="R22" s="2"/>
      <c r="S22" s="1" t="str">
        <f t="shared" si="5"/>
        <v/>
      </c>
      <c r="T22" s="1" t="str">
        <f>IF(OR($C22="",$D22&lt;&gt;"Gelir",$L22=""),"",IFERROR(INDEX(MUSTERILER!$B$7:$B$156,MATCH($S22,MUSTERILER!$T$7:$T$156,0)),""))</f>
        <v/>
      </c>
      <c r="U22" s="1" t="str">
        <f>IF($T22="","",$T22&amp;"|"&amp;COUNTIFS($T$7:$T22,$T22))</f>
        <v/>
      </c>
      <c r="V22" s="1">
        <f t="shared" si="6"/>
        <v>0</v>
      </c>
      <c r="W22" s="1" t="str">
        <f t="shared" si="7"/>
        <v>Gider|Personel|46056|40000|</v>
      </c>
      <c r="X22" s="73">
        <f>AY_SONU!$B22</f>
        <v>46478</v>
      </c>
      <c r="Y22" s="74" t="str">
        <f t="shared" si="8"/>
        <v>Müşteri Carisi  (MÜŞTERİ 360)</v>
      </c>
      <c r="Z22" s="74" t="str">
        <f t="shared" si="9"/>
        <v>600 Muhasebe Hizmet Geliri  (sözleşme)</v>
      </c>
      <c r="AA22" s="68">
        <f>AY_SONU!$C22</f>
        <v>446000</v>
      </c>
      <c r="AB22" s="68">
        <f>AY_SONU!$D22</f>
        <v>0</v>
      </c>
      <c r="AC22" s="68">
        <f>AY_SONU!$C22-AY_SONU!$D22</f>
        <v>446000</v>
      </c>
      <c r="AD22" s="1">
        <f>IF($C22="",0,SUMPRODUCT((AY_SONU!$O$7:$O$42="Evet")*(AY_SONU!$B$7:$B$42=DATE(YEAR($C22),MONTH($C22),1))))</f>
        <v>0</v>
      </c>
      <c r="AE22" s="1" t="str">
        <f>IF($E22="","",$E22&amp;"|"&amp;COUNTIFS($E$7:$E22,$E22))</f>
        <v>Personel|1</v>
      </c>
    </row>
    <row r="23" spans="1:31" ht="18" customHeight="1" x14ac:dyDescent="0.3">
      <c r="A23" s="2"/>
      <c r="B23" s="65" t="str">
        <f t="shared" si="0"/>
        <v>GG00017</v>
      </c>
      <c r="C23" s="66">
        <v>46056</v>
      </c>
      <c r="D23" s="60" t="s">
        <v>759</v>
      </c>
      <c r="E23" s="61" t="s">
        <v>781</v>
      </c>
      <c r="F23" s="61" t="s">
        <v>783</v>
      </c>
      <c r="G23" s="67">
        <v>5000</v>
      </c>
      <c r="H23" s="60" t="s">
        <v>762</v>
      </c>
      <c r="I23" s="60" t="s">
        <v>763</v>
      </c>
      <c r="J23" s="61"/>
      <c r="K23" s="61"/>
      <c r="L23" s="60"/>
      <c r="M23" s="74" t="str">
        <f t="shared" si="1"/>
        <v>Personel</v>
      </c>
      <c r="N23" s="74" t="str">
        <f t="shared" si="2"/>
        <v>Merkez Kasa</v>
      </c>
      <c r="O23" s="73">
        <f t="shared" si="3"/>
        <v>46054</v>
      </c>
      <c r="P23" s="65" t="str">
        <f t="shared" ca="1" si="4"/>
        <v>UYGUN</v>
      </c>
      <c r="Q23" s="2"/>
      <c r="R23" s="2"/>
      <c r="S23" s="1" t="str">
        <f t="shared" si="5"/>
        <v/>
      </c>
      <c r="T23" s="1" t="str">
        <f>IF(OR($C23="",$D23&lt;&gt;"Gelir",$L23=""),"",IFERROR(INDEX(MUSTERILER!$B$7:$B$156,MATCH($S23,MUSTERILER!$T$7:$T$156,0)),""))</f>
        <v/>
      </c>
      <c r="U23" s="1" t="str">
        <f>IF($T23="","",$T23&amp;"|"&amp;COUNTIFS($T$7:$T23,$T23))</f>
        <v/>
      </c>
      <c r="V23" s="1">
        <f t="shared" si="6"/>
        <v>0</v>
      </c>
      <c r="W23" s="1" t="str">
        <f t="shared" si="7"/>
        <v>Gider|Personel|46056|5000|</v>
      </c>
      <c r="X23" s="73">
        <f>AY_SONU!$B23</f>
        <v>46508</v>
      </c>
      <c r="Y23" s="74" t="str">
        <f t="shared" si="8"/>
        <v>Müşteri Carisi  (MÜŞTERİ 360)</v>
      </c>
      <c r="Z23" s="74" t="str">
        <f t="shared" si="9"/>
        <v>600 Muhasebe Hizmet Geliri  (sözleşme)</v>
      </c>
      <c r="AA23" s="68">
        <f>AY_SONU!$C23</f>
        <v>524750</v>
      </c>
      <c r="AB23" s="68">
        <f>AY_SONU!$D23</f>
        <v>0</v>
      </c>
      <c r="AC23" s="68">
        <f>AY_SONU!$C23-AY_SONU!$D23</f>
        <v>524750</v>
      </c>
      <c r="AD23" s="1">
        <f>IF($C23="",0,SUMPRODUCT((AY_SONU!$O$7:$O$42="Evet")*(AY_SONU!$B$7:$B$42=DATE(YEAR($C23),MONTH($C23),1))))</f>
        <v>0</v>
      </c>
      <c r="AE23" s="1" t="str">
        <f>IF($E23="","",$E23&amp;"|"&amp;COUNTIFS($E$7:$E23,$E23))</f>
        <v>Personel|2</v>
      </c>
    </row>
    <row r="24" spans="1:31" ht="18" customHeight="1" x14ac:dyDescent="0.3">
      <c r="A24" s="2"/>
      <c r="B24" s="65" t="str">
        <f t="shared" si="0"/>
        <v>GG00018</v>
      </c>
      <c r="C24" s="66">
        <v>46056</v>
      </c>
      <c r="D24" s="60" t="s">
        <v>759</v>
      </c>
      <c r="E24" s="61" t="s">
        <v>784</v>
      </c>
      <c r="F24" s="61" t="s">
        <v>785</v>
      </c>
      <c r="G24" s="67">
        <v>9000</v>
      </c>
      <c r="H24" s="60" t="s">
        <v>762</v>
      </c>
      <c r="I24" s="60" t="s">
        <v>763</v>
      </c>
      <c r="J24" s="61"/>
      <c r="K24" s="61"/>
      <c r="L24" s="60"/>
      <c r="M24" s="74" t="str">
        <f t="shared" si="1"/>
        <v>Vergi / Harç</v>
      </c>
      <c r="N24" s="74" t="str">
        <f t="shared" si="2"/>
        <v>Merkez Kasa</v>
      </c>
      <c r="O24" s="73">
        <f t="shared" si="3"/>
        <v>46054</v>
      </c>
      <c r="P24" s="65" t="str">
        <f t="shared" ca="1" si="4"/>
        <v>UYGUN</v>
      </c>
      <c r="Q24" s="2"/>
      <c r="R24" s="2"/>
      <c r="S24" s="1" t="str">
        <f t="shared" si="5"/>
        <v/>
      </c>
      <c r="T24" s="1" t="str">
        <f>IF(OR($C24="",$D24&lt;&gt;"Gelir",$L24=""),"",IFERROR(INDEX(MUSTERILER!$B$7:$B$156,MATCH($S24,MUSTERILER!$T$7:$T$156,0)),""))</f>
        <v/>
      </c>
      <c r="U24" s="1" t="str">
        <f>IF($T24="","",$T24&amp;"|"&amp;COUNTIFS($T$7:$T24,$T24))</f>
        <v/>
      </c>
      <c r="V24" s="1">
        <f t="shared" si="6"/>
        <v>0</v>
      </c>
      <c r="W24" s="1" t="str">
        <f t="shared" si="7"/>
        <v>Gider|Vergi / Harç|46056|9000|</v>
      </c>
      <c r="X24" s="73">
        <f>AY_SONU!$B24</f>
        <v>46539</v>
      </c>
      <c r="Y24" s="74" t="str">
        <f t="shared" si="8"/>
        <v>Müşteri Carisi  (MÜŞTERİ 360)</v>
      </c>
      <c r="Z24" s="74" t="str">
        <f t="shared" si="9"/>
        <v>600 Muhasebe Hizmet Geliri  (sözleşme)</v>
      </c>
      <c r="AA24" s="68">
        <f>AY_SONU!$C24</f>
        <v>446000</v>
      </c>
      <c r="AB24" s="68">
        <f>AY_SONU!$D24</f>
        <v>0</v>
      </c>
      <c r="AC24" s="68">
        <f>AY_SONU!$C24-AY_SONU!$D24</f>
        <v>446000</v>
      </c>
      <c r="AD24" s="1">
        <f>IF($C24="",0,SUMPRODUCT((AY_SONU!$O$7:$O$42="Evet")*(AY_SONU!$B$7:$B$42=DATE(YEAR($C24),MONTH($C24),1))))</f>
        <v>0</v>
      </c>
      <c r="AE24" s="1" t="str">
        <f>IF($E24="","",$E24&amp;"|"&amp;COUNTIFS($E$7:$E24,$E24))</f>
        <v>Vergi / Harç|1</v>
      </c>
    </row>
    <row r="25" spans="1:31" ht="18" customHeight="1" x14ac:dyDescent="0.3">
      <c r="A25" s="2"/>
      <c r="B25" s="65" t="str">
        <f t="shared" si="0"/>
        <v>GG00019</v>
      </c>
      <c r="C25" s="66">
        <v>46056</v>
      </c>
      <c r="D25" s="60" t="s">
        <v>759</v>
      </c>
      <c r="E25" s="61" t="s">
        <v>784</v>
      </c>
      <c r="F25" s="61" t="s">
        <v>786</v>
      </c>
      <c r="G25" s="67">
        <v>11810</v>
      </c>
      <c r="H25" s="60" t="s">
        <v>762</v>
      </c>
      <c r="I25" s="60" t="s">
        <v>763</v>
      </c>
      <c r="J25" s="61"/>
      <c r="K25" s="61"/>
      <c r="L25" s="60"/>
      <c r="M25" s="74" t="str">
        <f t="shared" si="1"/>
        <v>Vergi / Harç</v>
      </c>
      <c r="N25" s="74" t="str">
        <f t="shared" si="2"/>
        <v>Merkez Kasa</v>
      </c>
      <c r="O25" s="73">
        <f t="shared" si="3"/>
        <v>46054</v>
      </c>
      <c r="P25" s="65" t="str">
        <f t="shared" ca="1" si="4"/>
        <v>UYGUN</v>
      </c>
      <c r="Q25" s="2"/>
      <c r="R25" s="2"/>
      <c r="S25" s="1" t="str">
        <f t="shared" si="5"/>
        <v/>
      </c>
      <c r="T25" s="1" t="str">
        <f>IF(OR($C25="",$D25&lt;&gt;"Gelir",$L25=""),"",IFERROR(INDEX(MUSTERILER!$B$7:$B$156,MATCH($S25,MUSTERILER!$T$7:$T$156,0)),""))</f>
        <v/>
      </c>
      <c r="U25" s="1" t="str">
        <f>IF($T25="","",$T25&amp;"|"&amp;COUNTIFS($T$7:$T25,$T25))</f>
        <v/>
      </c>
      <c r="V25" s="1">
        <f t="shared" si="6"/>
        <v>0</v>
      </c>
      <c r="W25" s="1" t="str">
        <f t="shared" si="7"/>
        <v>Gider|Vergi / Harç|46056|11810|</v>
      </c>
      <c r="X25" s="73">
        <f>AY_SONU!$B25</f>
        <v>46569</v>
      </c>
      <c r="Y25" s="74" t="str">
        <f t="shared" si="8"/>
        <v>Müşteri Carisi  (MÜŞTERİ 360)</v>
      </c>
      <c r="Z25" s="74" t="str">
        <f t="shared" si="9"/>
        <v>600 Muhasebe Hizmet Geliri  (sözleşme)</v>
      </c>
      <c r="AA25" s="68">
        <f>AY_SONU!$C25</f>
        <v>524750</v>
      </c>
      <c r="AB25" s="68">
        <f>AY_SONU!$D25</f>
        <v>0</v>
      </c>
      <c r="AC25" s="68">
        <f>AY_SONU!$C25-AY_SONU!$D25</f>
        <v>524750</v>
      </c>
      <c r="AD25" s="1">
        <f>IF($C25="",0,SUMPRODUCT((AY_SONU!$O$7:$O$42="Evet")*(AY_SONU!$B$7:$B$42=DATE(YEAR($C25),MONTH($C25),1))))</f>
        <v>0</v>
      </c>
      <c r="AE25" s="1" t="str">
        <f>IF($E25="","",$E25&amp;"|"&amp;COUNTIFS($E$7:$E25,$E25))</f>
        <v>Vergi / Harç|2</v>
      </c>
    </row>
    <row r="26" spans="1:31" ht="18" customHeight="1" x14ac:dyDescent="0.3">
      <c r="A26" s="2"/>
      <c r="B26" s="65" t="str">
        <f t="shared" si="0"/>
        <v>GG00020</v>
      </c>
      <c r="C26" s="66">
        <v>46056</v>
      </c>
      <c r="D26" s="60" t="s">
        <v>759</v>
      </c>
      <c r="E26" s="61" t="s">
        <v>784</v>
      </c>
      <c r="F26" s="61" t="s">
        <v>787</v>
      </c>
      <c r="G26" s="67">
        <v>6011</v>
      </c>
      <c r="H26" s="60" t="s">
        <v>762</v>
      </c>
      <c r="I26" s="60" t="s">
        <v>763</v>
      </c>
      <c r="J26" s="61"/>
      <c r="K26" s="61"/>
      <c r="L26" s="60"/>
      <c r="M26" s="74" t="str">
        <f t="shared" si="1"/>
        <v>Vergi / Harç</v>
      </c>
      <c r="N26" s="74" t="str">
        <f t="shared" si="2"/>
        <v>Merkez Kasa</v>
      </c>
      <c r="O26" s="73">
        <f t="shared" si="3"/>
        <v>46054</v>
      </c>
      <c r="P26" s="65" t="str">
        <f t="shared" ca="1" si="4"/>
        <v>UYGUN</v>
      </c>
      <c r="Q26" s="2"/>
      <c r="R26" s="2"/>
      <c r="S26" s="1" t="str">
        <f t="shared" si="5"/>
        <v/>
      </c>
      <c r="T26" s="1" t="str">
        <f>IF(OR($C26="",$D26&lt;&gt;"Gelir",$L26=""),"",IFERROR(INDEX(MUSTERILER!$B$7:$B$156,MATCH($S26,MUSTERILER!$T$7:$T$156,0)),""))</f>
        <v/>
      </c>
      <c r="U26" s="1" t="str">
        <f>IF($T26="","",$T26&amp;"|"&amp;COUNTIFS($T$7:$T26,$T26))</f>
        <v/>
      </c>
      <c r="V26" s="1">
        <f t="shared" si="6"/>
        <v>0</v>
      </c>
      <c r="W26" s="1" t="str">
        <f t="shared" si="7"/>
        <v>Gider|Vergi / Harç|46056|6011|</v>
      </c>
      <c r="X26" s="73">
        <f>AY_SONU!$B26</f>
        <v>46600</v>
      </c>
      <c r="Y26" s="74" t="str">
        <f t="shared" si="8"/>
        <v>Müşteri Carisi  (MÜŞTERİ 360)</v>
      </c>
      <c r="Z26" s="74" t="str">
        <f t="shared" si="9"/>
        <v>600 Muhasebe Hizmet Geliri  (sözleşme)</v>
      </c>
      <c r="AA26" s="68">
        <f>AY_SONU!$C26</f>
        <v>446000</v>
      </c>
      <c r="AB26" s="68">
        <f>AY_SONU!$D26</f>
        <v>0</v>
      </c>
      <c r="AC26" s="68">
        <f>AY_SONU!$C26-AY_SONU!$D26</f>
        <v>446000</v>
      </c>
      <c r="AD26" s="1">
        <f>IF($C26="",0,SUMPRODUCT((AY_SONU!$O$7:$O$42="Evet")*(AY_SONU!$B$7:$B$42=DATE(YEAR($C26),MONTH($C26),1))))</f>
        <v>0</v>
      </c>
      <c r="AE26" s="1" t="str">
        <f>IF($E26="","",$E26&amp;"|"&amp;COUNTIFS($E$7:$E26,$E26))</f>
        <v>Vergi / Harç|3</v>
      </c>
    </row>
    <row r="27" spans="1:31" ht="18" customHeight="1" x14ac:dyDescent="0.3">
      <c r="A27" s="2"/>
      <c r="B27" s="65" t="str">
        <f t="shared" si="0"/>
        <v>GG00021</v>
      </c>
      <c r="C27" s="66">
        <v>46056</v>
      </c>
      <c r="D27" s="60" t="s">
        <v>759</v>
      </c>
      <c r="E27" s="61" t="s">
        <v>788</v>
      </c>
      <c r="F27" s="61" t="s">
        <v>789</v>
      </c>
      <c r="G27" s="67">
        <v>14000</v>
      </c>
      <c r="H27" s="60" t="s">
        <v>762</v>
      </c>
      <c r="I27" s="60" t="s">
        <v>763</v>
      </c>
      <c r="J27" s="61"/>
      <c r="K27" s="61"/>
      <c r="L27" s="60"/>
      <c r="M27" s="74" t="str">
        <f t="shared" si="1"/>
        <v>Ofis Kirası</v>
      </c>
      <c r="N27" s="74" t="str">
        <f t="shared" si="2"/>
        <v>Merkez Kasa</v>
      </c>
      <c r="O27" s="73">
        <f t="shared" si="3"/>
        <v>46054</v>
      </c>
      <c r="P27" s="65" t="str">
        <f t="shared" ca="1" si="4"/>
        <v>MÜKERRER?</v>
      </c>
      <c r="Q27" s="2"/>
      <c r="R27" s="2"/>
      <c r="S27" s="1" t="str">
        <f t="shared" si="5"/>
        <v/>
      </c>
      <c r="T27" s="1" t="str">
        <f>IF(OR($C27="",$D27&lt;&gt;"Gelir",$L27=""),"",IFERROR(INDEX(MUSTERILER!$B$7:$B$156,MATCH($S27,MUSTERILER!$T$7:$T$156,0)),""))</f>
        <v/>
      </c>
      <c r="U27" s="1" t="str">
        <f>IF($T27="","",$T27&amp;"|"&amp;COUNTIFS($T$7:$T27,$T27))</f>
        <v/>
      </c>
      <c r="V27" s="1">
        <f t="shared" si="6"/>
        <v>0</v>
      </c>
      <c r="W27" s="1" t="str">
        <f t="shared" si="7"/>
        <v>Gider|Ofis Kirası|46056|14000|</v>
      </c>
      <c r="X27" s="73">
        <f>AY_SONU!$B27</f>
        <v>46631</v>
      </c>
      <c r="Y27" s="74" t="str">
        <f t="shared" si="8"/>
        <v>Müşteri Carisi  (MÜŞTERİ 360)</v>
      </c>
      <c r="Z27" s="74" t="str">
        <f t="shared" si="9"/>
        <v>600 Muhasebe Hizmet Geliri  (sözleşme)</v>
      </c>
      <c r="AA27" s="68">
        <f>AY_SONU!$C27</f>
        <v>446000</v>
      </c>
      <c r="AB27" s="68">
        <f>AY_SONU!$D27</f>
        <v>0</v>
      </c>
      <c r="AC27" s="68">
        <f>AY_SONU!$C27-AY_SONU!$D27</f>
        <v>446000</v>
      </c>
      <c r="AD27" s="1">
        <f>IF($C27="",0,SUMPRODUCT((AY_SONU!$O$7:$O$42="Evet")*(AY_SONU!$B$7:$B$42=DATE(YEAR($C27),MONTH($C27),1))))</f>
        <v>0</v>
      </c>
      <c r="AE27" s="1" t="str">
        <f>IF($E27="","",$E27&amp;"|"&amp;COUNTIFS($E$7:$E27,$E27))</f>
        <v>Ofis Kirası|1</v>
      </c>
    </row>
    <row r="28" spans="1:31" ht="18" customHeight="1" x14ac:dyDescent="0.3">
      <c r="A28" s="2"/>
      <c r="B28" s="65" t="str">
        <f t="shared" si="0"/>
        <v>GG00022</v>
      </c>
      <c r="C28" s="66">
        <v>46056</v>
      </c>
      <c r="D28" s="60" t="s">
        <v>759</v>
      </c>
      <c r="E28" s="61" t="s">
        <v>788</v>
      </c>
      <c r="F28" s="61" t="s">
        <v>790</v>
      </c>
      <c r="G28" s="67">
        <v>14000</v>
      </c>
      <c r="H28" s="60" t="s">
        <v>762</v>
      </c>
      <c r="I28" s="60" t="s">
        <v>763</v>
      </c>
      <c r="J28" s="61"/>
      <c r="K28" s="61"/>
      <c r="L28" s="60"/>
      <c r="M28" s="74" t="str">
        <f t="shared" si="1"/>
        <v>Ofis Kirası</v>
      </c>
      <c r="N28" s="74" t="str">
        <f t="shared" si="2"/>
        <v>Merkez Kasa</v>
      </c>
      <c r="O28" s="73">
        <f t="shared" si="3"/>
        <v>46054</v>
      </c>
      <c r="P28" s="65" t="str">
        <f t="shared" ca="1" si="4"/>
        <v>MÜKERRER?</v>
      </c>
      <c r="Q28" s="2"/>
      <c r="R28" s="2"/>
      <c r="S28" s="1" t="str">
        <f t="shared" si="5"/>
        <v/>
      </c>
      <c r="T28" s="1" t="str">
        <f>IF(OR($C28="",$D28&lt;&gt;"Gelir",$L28=""),"",IFERROR(INDEX(MUSTERILER!$B$7:$B$156,MATCH($S28,MUSTERILER!$T$7:$T$156,0)),""))</f>
        <v/>
      </c>
      <c r="U28" s="1" t="str">
        <f>IF($T28="","",$T28&amp;"|"&amp;COUNTIFS($T$7:$T28,$T28))</f>
        <v/>
      </c>
      <c r="V28" s="1">
        <f t="shared" si="6"/>
        <v>0</v>
      </c>
      <c r="W28" s="1" t="str">
        <f t="shared" si="7"/>
        <v>Gider|Ofis Kirası|46056|14000|</v>
      </c>
      <c r="X28" s="73">
        <f>AY_SONU!$B28</f>
        <v>46661</v>
      </c>
      <c r="Y28" s="74" t="str">
        <f t="shared" si="8"/>
        <v>Müşteri Carisi  (MÜŞTERİ 360)</v>
      </c>
      <c r="Z28" s="74" t="str">
        <f t="shared" si="9"/>
        <v>600 Muhasebe Hizmet Geliri  (sözleşme)</v>
      </c>
      <c r="AA28" s="68">
        <f>AY_SONU!$C28</f>
        <v>524750</v>
      </c>
      <c r="AB28" s="68">
        <f>AY_SONU!$D28</f>
        <v>0</v>
      </c>
      <c r="AC28" s="68">
        <f>AY_SONU!$C28-AY_SONU!$D28</f>
        <v>524750</v>
      </c>
      <c r="AD28" s="1">
        <f>IF($C28="",0,SUMPRODUCT((AY_SONU!$O$7:$O$42="Evet")*(AY_SONU!$B$7:$B$42=DATE(YEAR($C28),MONTH($C28),1))))</f>
        <v>0</v>
      </c>
      <c r="AE28" s="1" t="str">
        <f>IF($E28="","",$E28&amp;"|"&amp;COUNTIFS($E$7:$E28,$E28))</f>
        <v>Ofis Kirası|2</v>
      </c>
    </row>
    <row r="29" spans="1:31" ht="18" customHeight="1" x14ac:dyDescent="0.3">
      <c r="A29" s="2"/>
      <c r="B29" s="65" t="str">
        <f t="shared" si="0"/>
        <v>GG00023</v>
      </c>
      <c r="C29" s="66">
        <v>46056</v>
      </c>
      <c r="D29" s="60" t="s">
        <v>759</v>
      </c>
      <c r="E29" s="61" t="s">
        <v>784</v>
      </c>
      <c r="F29" s="61" t="s">
        <v>791</v>
      </c>
      <c r="G29" s="67">
        <v>10260.16</v>
      </c>
      <c r="H29" s="60" t="s">
        <v>762</v>
      </c>
      <c r="I29" s="60" t="s">
        <v>763</v>
      </c>
      <c r="J29" s="61"/>
      <c r="K29" s="61"/>
      <c r="L29" s="60"/>
      <c r="M29" s="74" t="str">
        <f t="shared" si="1"/>
        <v>Vergi / Harç</v>
      </c>
      <c r="N29" s="74" t="str">
        <f t="shared" si="2"/>
        <v>Merkez Kasa</v>
      </c>
      <c r="O29" s="73">
        <f t="shared" si="3"/>
        <v>46054</v>
      </c>
      <c r="P29" s="65" t="str">
        <f t="shared" ca="1" si="4"/>
        <v>UYGUN</v>
      </c>
      <c r="Q29" s="2"/>
      <c r="R29" s="2"/>
      <c r="S29" s="1" t="str">
        <f t="shared" si="5"/>
        <v/>
      </c>
      <c r="T29" s="1" t="str">
        <f>IF(OR($C29="",$D29&lt;&gt;"Gelir",$L29=""),"",IFERROR(INDEX(MUSTERILER!$B$7:$B$156,MATCH($S29,MUSTERILER!$T$7:$T$156,0)),""))</f>
        <v/>
      </c>
      <c r="U29" s="1" t="str">
        <f>IF($T29="","",$T29&amp;"|"&amp;COUNTIFS($T$7:$T29,$T29))</f>
        <v/>
      </c>
      <c r="V29" s="1">
        <f t="shared" si="6"/>
        <v>0</v>
      </c>
      <c r="W29" s="1" t="str">
        <f t="shared" si="7"/>
        <v>Gider|Vergi / Harç|46056|10260|</v>
      </c>
      <c r="X29" s="73">
        <f>AY_SONU!$B29</f>
        <v>46692</v>
      </c>
      <c r="Y29" s="74" t="str">
        <f t="shared" si="8"/>
        <v>Müşteri Carisi  (MÜŞTERİ 360)</v>
      </c>
      <c r="Z29" s="74" t="str">
        <f t="shared" si="9"/>
        <v>600 Muhasebe Hizmet Geliri  (sözleşme)</v>
      </c>
      <c r="AA29" s="68">
        <f>AY_SONU!$C29</f>
        <v>446000</v>
      </c>
      <c r="AB29" s="68">
        <f>AY_SONU!$D29</f>
        <v>0</v>
      </c>
      <c r="AC29" s="68">
        <f>AY_SONU!$C29-AY_SONU!$D29</f>
        <v>446000</v>
      </c>
      <c r="AD29" s="1">
        <f>IF($C29="",0,SUMPRODUCT((AY_SONU!$O$7:$O$42="Evet")*(AY_SONU!$B$7:$B$42=DATE(YEAR($C29),MONTH($C29),1))))</f>
        <v>0</v>
      </c>
      <c r="AE29" s="1" t="str">
        <f>IF($E29="","",$E29&amp;"|"&amp;COUNTIFS($E$7:$E29,$E29))</f>
        <v>Vergi / Harç|4</v>
      </c>
    </row>
    <row r="30" spans="1:31" ht="18" customHeight="1" x14ac:dyDescent="0.3">
      <c r="A30" s="2"/>
      <c r="B30" s="65" t="str">
        <f t="shared" si="0"/>
        <v>GG00024</v>
      </c>
      <c r="C30" s="66">
        <v>46056</v>
      </c>
      <c r="D30" s="60" t="s">
        <v>759</v>
      </c>
      <c r="E30" s="61" t="s">
        <v>788</v>
      </c>
      <c r="F30" s="61" t="s">
        <v>792</v>
      </c>
      <c r="G30" s="67">
        <v>2000</v>
      </c>
      <c r="H30" s="60" t="s">
        <v>762</v>
      </c>
      <c r="I30" s="60" t="s">
        <v>763</v>
      </c>
      <c r="J30" s="61"/>
      <c r="K30" s="61"/>
      <c r="L30" s="60"/>
      <c r="M30" s="74" t="str">
        <f t="shared" si="1"/>
        <v>Ofis Kirası</v>
      </c>
      <c r="N30" s="74" t="str">
        <f t="shared" si="2"/>
        <v>Merkez Kasa</v>
      </c>
      <c r="O30" s="73">
        <f t="shared" si="3"/>
        <v>46054</v>
      </c>
      <c r="P30" s="65" t="str">
        <f t="shared" ca="1" si="4"/>
        <v>MÜKERRER?</v>
      </c>
      <c r="Q30" s="2"/>
      <c r="R30" s="2"/>
      <c r="S30" s="1" t="str">
        <f t="shared" si="5"/>
        <v/>
      </c>
      <c r="T30" s="1" t="str">
        <f>IF(OR($C30="",$D30&lt;&gt;"Gelir",$L30=""),"",IFERROR(INDEX(MUSTERILER!$B$7:$B$156,MATCH($S30,MUSTERILER!$T$7:$T$156,0)),""))</f>
        <v/>
      </c>
      <c r="U30" s="1" t="str">
        <f>IF($T30="","",$T30&amp;"|"&amp;COUNTIFS($T$7:$T30,$T30))</f>
        <v/>
      </c>
      <c r="V30" s="1">
        <f t="shared" si="6"/>
        <v>0</v>
      </c>
      <c r="W30" s="1" t="str">
        <f t="shared" si="7"/>
        <v>Gider|Ofis Kirası|46056|2000|</v>
      </c>
      <c r="X30" s="73">
        <f>AY_SONU!$B30</f>
        <v>46722</v>
      </c>
      <c r="Y30" s="74" t="str">
        <f t="shared" si="8"/>
        <v>Müşteri Carisi  (MÜŞTERİ 360)</v>
      </c>
      <c r="Z30" s="74" t="str">
        <f t="shared" si="9"/>
        <v>600 Muhasebe Hizmet Geliri  (sözleşme)</v>
      </c>
      <c r="AA30" s="68">
        <f>AY_SONU!$C30</f>
        <v>446000</v>
      </c>
      <c r="AB30" s="68">
        <f>AY_SONU!$D30</f>
        <v>0</v>
      </c>
      <c r="AC30" s="68">
        <f>AY_SONU!$C30-AY_SONU!$D30</f>
        <v>446000</v>
      </c>
      <c r="AD30" s="1">
        <f>IF($C30="",0,SUMPRODUCT((AY_SONU!$O$7:$O$42="Evet")*(AY_SONU!$B$7:$B$42=DATE(YEAR($C30),MONTH($C30),1))))</f>
        <v>0</v>
      </c>
      <c r="AE30" s="1" t="str">
        <f>IF($E30="","",$E30&amp;"|"&amp;COUNTIFS($E$7:$E30,$E30))</f>
        <v>Ofis Kirası|3</v>
      </c>
    </row>
    <row r="31" spans="1:31" ht="18" customHeight="1" x14ac:dyDescent="0.3">
      <c r="A31" s="2"/>
      <c r="B31" s="65" t="str">
        <f t="shared" si="0"/>
        <v>GG00025</v>
      </c>
      <c r="C31" s="66">
        <v>46056</v>
      </c>
      <c r="D31" s="60" t="s">
        <v>759</v>
      </c>
      <c r="E31" s="61" t="s">
        <v>788</v>
      </c>
      <c r="F31" s="61" t="s">
        <v>793</v>
      </c>
      <c r="G31" s="67">
        <v>2000</v>
      </c>
      <c r="H31" s="60" t="s">
        <v>762</v>
      </c>
      <c r="I31" s="60" t="s">
        <v>763</v>
      </c>
      <c r="J31" s="61"/>
      <c r="K31" s="61"/>
      <c r="L31" s="60"/>
      <c r="M31" s="74" t="str">
        <f t="shared" si="1"/>
        <v>Ofis Kirası</v>
      </c>
      <c r="N31" s="74" t="str">
        <f t="shared" si="2"/>
        <v>Merkez Kasa</v>
      </c>
      <c r="O31" s="73">
        <f t="shared" si="3"/>
        <v>46054</v>
      </c>
      <c r="P31" s="65" t="str">
        <f t="shared" ca="1" si="4"/>
        <v>MÜKERRER?</v>
      </c>
      <c r="Q31" s="2"/>
      <c r="R31" s="2"/>
      <c r="S31" s="1" t="str">
        <f t="shared" si="5"/>
        <v/>
      </c>
      <c r="T31" s="1" t="str">
        <f>IF(OR($C31="",$D31&lt;&gt;"Gelir",$L31=""),"",IFERROR(INDEX(MUSTERILER!$B$7:$B$156,MATCH($S31,MUSTERILER!$T$7:$T$156,0)),""))</f>
        <v/>
      </c>
      <c r="U31" s="1" t="str">
        <f>IF($T31="","",$T31&amp;"|"&amp;COUNTIFS($T$7:$T31,$T31))</f>
        <v/>
      </c>
      <c r="V31" s="1">
        <f t="shared" si="6"/>
        <v>0</v>
      </c>
      <c r="W31" s="1" t="str">
        <f t="shared" si="7"/>
        <v>Gider|Ofis Kirası|46056|2000|</v>
      </c>
      <c r="X31" s="73">
        <f>AY_SONU!$B31</f>
        <v>46753</v>
      </c>
      <c r="Y31" s="74" t="str">
        <f t="shared" si="8"/>
        <v>Müşteri Carisi  (MÜŞTERİ 360)</v>
      </c>
      <c r="Z31" s="74" t="str">
        <f t="shared" si="9"/>
        <v>600 Muhasebe Hizmet Geliri  (sözleşme)</v>
      </c>
      <c r="AA31" s="68">
        <f>AY_SONU!$C31</f>
        <v>524750</v>
      </c>
      <c r="AB31" s="68">
        <f>AY_SONU!$D31</f>
        <v>0</v>
      </c>
      <c r="AC31" s="68">
        <f>AY_SONU!$C31-AY_SONU!$D31</f>
        <v>524750</v>
      </c>
      <c r="AD31" s="1">
        <f>IF($C31="",0,SUMPRODUCT((AY_SONU!$O$7:$O$42="Evet")*(AY_SONU!$B$7:$B$42=DATE(YEAR($C31),MONTH($C31),1))))</f>
        <v>0</v>
      </c>
      <c r="AE31" s="1" t="str">
        <f>IF($E31="","",$E31&amp;"|"&amp;COUNTIFS($E$7:$E31,$E31))</f>
        <v>Ofis Kirası|4</v>
      </c>
    </row>
    <row r="32" spans="1:31" ht="18" customHeight="1" x14ac:dyDescent="0.3">
      <c r="A32" s="2"/>
      <c r="B32" s="65" t="str">
        <f t="shared" si="0"/>
        <v>GG00026</v>
      </c>
      <c r="C32" s="66">
        <v>46056</v>
      </c>
      <c r="D32" s="60" t="s">
        <v>759</v>
      </c>
      <c r="E32" s="61" t="s">
        <v>781</v>
      </c>
      <c r="F32" s="61" t="s">
        <v>794</v>
      </c>
      <c r="G32" s="67">
        <v>4000</v>
      </c>
      <c r="H32" s="60" t="s">
        <v>762</v>
      </c>
      <c r="I32" s="60" t="s">
        <v>763</v>
      </c>
      <c r="J32" s="61"/>
      <c r="K32" s="61"/>
      <c r="L32" s="60"/>
      <c r="M32" s="74" t="str">
        <f t="shared" si="1"/>
        <v>Personel</v>
      </c>
      <c r="N32" s="74" t="str">
        <f t="shared" si="2"/>
        <v>Merkez Kasa</v>
      </c>
      <c r="O32" s="73">
        <f t="shared" si="3"/>
        <v>46054</v>
      </c>
      <c r="P32" s="65" t="str">
        <f t="shared" ca="1" si="4"/>
        <v>UYGUN</v>
      </c>
      <c r="Q32" s="2"/>
      <c r="R32" s="2"/>
      <c r="S32" s="1" t="str">
        <f t="shared" si="5"/>
        <v/>
      </c>
      <c r="T32" s="1" t="str">
        <f>IF(OR($C32="",$D32&lt;&gt;"Gelir",$L32=""),"",IFERROR(INDEX(MUSTERILER!$B$7:$B$156,MATCH($S32,MUSTERILER!$T$7:$T$156,0)),""))</f>
        <v/>
      </c>
      <c r="U32" s="1" t="str">
        <f>IF($T32="","",$T32&amp;"|"&amp;COUNTIFS($T$7:$T32,$T32))</f>
        <v/>
      </c>
      <c r="V32" s="1">
        <f t="shared" si="6"/>
        <v>0</v>
      </c>
      <c r="W32" s="1" t="str">
        <f t="shared" si="7"/>
        <v>Gider|Personel|46056|4000|</v>
      </c>
      <c r="X32" s="73">
        <f>AY_SONU!$B32</f>
        <v>46784</v>
      </c>
      <c r="Y32" s="74" t="str">
        <f t="shared" si="8"/>
        <v>Müşteri Carisi  (MÜŞTERİ 360)</v>
      </c>
      <c r="Z32" s="74" t="str">
        <f t="shared" si="9"/>
        <v>600 Muhasebe Hizmet Geliri  (sözleşme)</v>
      </c>
      <c r="AA32" s="68">
        <f>AY_SONU!$C32</f>
        <v>446000</v>
      </c>
      <c r="AB32" s="68">
        <f>AY_SONU!$D32</f>
        <v>0</v>
      </c>
      <c r="AC32" s="68">
        <f>AY_SONU!$C32-AY_SONU!$D32</f>
        <v>446000</v>
      </c>
      <c r="AD32" s="1">
        <f>IF($C32="",0,SUMPRODUCT((AY_SONU!$O$7:$O$42="Evet")*(AY_SONU!$B$7:$B$42=DATE(YEAR($C32),MONTH($C32),1))))</f>
        <v>0</v>
      </c>
      <c r="AE32" s="1" t="str">
        <f>IF($E32="","",$E32&amp;"|"&amp;COUNTIFS($E$7:$E32,$E32))</f>
        <v>Personel|3</v>
      </c>
    </row>
    <row r="33" spans="1:31" ht="18" customHeight="1" x14ac:dyDescent="0.3">
      <c r="A33" s="2"/>
      <c r="B33" s="65" t="str">
        <f t="shared" si="0"/>
        <v>GG00027</v>
      </c>
      <c r="C33" s="66">
        <v>46060</v>
      </c>
      <c r="D33" s="60" t="s">
        <v>759</v>
      </c>
      <c r="E33" s="61" t="s">
        <v>774</v>
      </c>
      <c r="F33" s="61" t="s">
        <v>775</v>
      </c>
      <c r="G33" s="67">
        <v>2400</v>
      </c>
      <c r="H33" s="60" t="s">
        <v>762</v>
      </c>
      <c r="I33" s="60" t="s">
        <v>763</v>
      </c>
      <c r="J33" s="61"/>
      <c r="K33" s="61"/>
      <c r="L33" s="60"/>
      <c r="M33" s="74" t="str">
        <f t="shared" si="1"/>
        <v>Ulaşım</v>
      </c>
      <c r="N33" s="74" t="str">
        <f t="shared" si="2"/>
        <v>Merkez Kasa</v>
      </c>
      <c r="O33" s="73">
        <f t="shared" si="3"/>
        <v>46054</v>
      </c>
      <c r="P33" s="65" t="str">
        <f t="shared" ca="1" si="4"/>
        <v>UYGUN</v>
      </c>
      <c r="Q33" s="2"/>
      <c r="R33" s="2"/>
      <c r="S33" s="1" t="str">
        <f t="shared" si="5"/>
        <v/>
      </c>
      <c r="T33" s="1" t="str">
        <f>IF(OR($C33="",$D33&lt;&gt;"Gelir",$L33=""),"",IFERROR(INDEX(MUSTERILER!$B$7:$B$156,MATCH($S33,MUSTERILER!$T$7:$T$156,0)),""))</f>
        <v/>
      </c>
      <c r="U33" s="1" t="str">
        <f>IF($T33="","",$T33&amp;"|"&amp;COUNTIFS($T$7:$T33,$T33))</f>
        <v/>
      </c>
      <c r="V33" s="1">
        <f t="shared" si="6"/>
        <v>0</v>
      </c>
      <c r="W33" s="1" t="str">
        <f t="shared" si="7"/>
        <v>Gider|Ulaşım|46060|2400|</v>
      </c>
      <c r="X33" s="73">
        <f>AY_SONU!$B33</f>
        <v>46813</v>
      </c>
      <c r="Y33" s="74" t="str">
        <f t="shared" si="8"/>
        <v>Müşteri Carisi  (MÜŞTERİ 360)</v>
      </c>
      <c r="Z33" s="74" t="str">
        <f t="shared" si="9"/>
        <v>600 Muhasebe Hizmet Geliri  (sözleşme)</v>
      </c>
      <c r="AA33" s="68">
        <f>AY_SONU!$C33</f>
        <v>446000</v>
      </c>
      <c r="AB33" s="68">
        <f>AY_SONU!$D33</f>
        <v>0</v>
      </c>
      <c r="AC33" s="68">
        <f>AY_SONU!$C33-AY_SONU!$D33</f>
        <v>446000</v>
      </c>
      <c r="AD33" s="1">
        <f>IF($C33="",0,SUMPRODUCT((AY_SONU!$O$7:$O$42="Evet")*(AY_SONU!$B$7:$B$42=DATE(YEAR($C33),MONTH($C33),1))))</f>
        <v>0</v>
      </c>
      <c r="AE33" s="1" t="str">
        <f>IF($E33="","",$E33&amp;"|"&amp;COUNTIFS($E$7:$E33,$E33))</f>
        <v>Ulaşım|2</v>
      </c>
    </row>
    <row r="34" spans="1:31" ht="18" customHeight="1" x14ac:dyDescent="0.3">
      <c r="A34" s="2"/>
      <c r="B34" s="65" t="str">
        <f t="shared" si="0"/>
        <v>GG00028</v>
      </c>
      <c r="C34" s="66">
        <v>46062</v>
      </c>
      <c r="D34" s="60" t="s">
        <v>759</v>
      </c>
      <c r="E34" s="61" t="s">
        <v>776</v>
      </c>
      <c r="F34" s="61" t="s">
        <v>795</v>
      </c>
      <c r="G34" s="67">
        <v>499.3</v>
      </c>
      <c r="H34" s="60" t="s">
        <v>762</v>
      </c>
      <c r="I34" s="60" t="s">
        <v>763</v>
      </c>
      <c r="J34" s="61"/>
      <c r="K34" s="61"/>
      <c r="L34" s="60"/>
      <c r="M34" s="74" t="str">
        <f t="shared" si="1"/>
        <v>Temsil / Ağırlama</v>
      </c>
      <c r="N34" s="74" t="str">
        <f t="shared" si="2"/>
        <v>Merkez Kasa</v>
      </c>
      <c r="O34" s="73">
        <f t="shared" si="3"/>
        <v>46054</v>
      </c>
      <c r="P34" s="65" t="str">
        <f t="shared" ca="1" si="4"/>
        <v>UYGUN</v>
      </c>
      <c r="Q34" s="2"/>
      <c r="R34" s="2"/>
      <c r="S34" s="1" t="str">
        <f t="shared" si="5"/>
        <v/>
      </c>
      <c r="T34" s="1" t="str">
        <f>IF(OR($C34="",$D34&lt;&gt;"Gelir",$L34=""),"",IFERROR(INDEX(MUSTERILER!$B$7:$B$156,MATCH($S34,MUSTERILER!$T$7:$T$156,0)),""))</f>
        <v/>
      </c>
      <c r="U34" s="1" t="str">
        <f>IF($T34="","",$T34&amp;"|"&amp;COUNTIFS($T$7:$T34,$T34))</f>
        <v/>
      </c>
      <c r="V34" s="1">
        <f t="shared" si="6"/>
        <v>0</v>
      </c>
      <c r="W34" s="1" t="str">
        <f t="shared" si="7"/>
        <v>Gider|Temsil / Ağırlama|46062|499|</v>
      </c>
      <c r="X34" s="73">
        <f>AY_SONU!$B34</f>
        <v>46844</v>
      </c>
      <c r="Y34" s="74" t="str">
        <f t="shared" si="8"/>
        <v>Müşteri Carisi  (MÜŞTERİ 360)</v>
      </c>
      <c r="Z34" s="74" t="str">
        <f t="shared" si="9"/>
        <v>600 Muhasebe Hizmet Geliri  (sözleşme)</v>
      </c>
      <c r="AA34" s="68">
        <f>AY_SONU!$C34</f>
        <v>524750</v>
      </c>
      <c r="AB34" s="68">
        <f>AY_SONU!$D34</f>
        <v>0</v>
      </c>
      <c r="AC34" s="68">
        <f>AY_SONU!$C34-AY_SONU!$D34</f>
        <v>524750</v>
      </c>
      <c r="AD34" s="1">
        <f>IF($C34="",0,SUMPRODUCT((AY_SONU!$O$7:$O$42="Evet")*(AY_SONU!$B$7:$B$42=DATE(YEAR($C34),MONTH($C34),1))))</f>
        <v>0</v>
      </c>
      <c r="AE34" s="1" t="str">
        <f>IF($E34="","",$E34&amp;"|"&amp;COUNTIFS($E$7:$E34,$E34))</f>
        <v>Temsil / Ağırlama|2</v>
      </c>
    </row>
    <row r="35" spans="1:31" ht="18" customHeight="1" x14ac:dyDescent="0.3">
      <c r="A35" s="2"/>
      <c r="B35" s="65" t="str">
        <f t="shared" si="0"/>
        <v>GG00029</v>
      </c>
      <c r="C35" s="66">
        <v>46064</v>
      </c>
      <c r="D35" s="60" t="s">
        <v>759</v>
      </c>
      <c r="E35" s="61" t="s">
        <v>776</v>
      </c>
      <c r="F35" s="61" t="s">
        <v>796</v>
      </c>
      <c r="G35" s="67">
        <v>300</v>
      </c>
      <c r="H35" s="60" t="s">
        <v>762</v>
      </c>
      <c r="I35" s="60" t="s">
        <v>763</v>
      </c>
      <c r="J35" s="61"/>
      <c r="K35" s="61"/>
      <c r="L35" s="60"/>
      <c r="M35" s="74" t="str">
        <f t="shared" si="1"/>
        <v>Temsil / Ağırlama</v>
      </c>
      <c r="N35" s="74" t="str">
        <f t="shared" si="2"/>
        <v>Merkez Kasa</v>
      </c>
      <c r="O35" s="73">
        <f t="shared" si="3"/>
        <v>46054</v>
      </c>
      <c r="P35" s="65" t="str">
        <f t="shared" ca="1" si="4"/>
        <v>UYGUN</v>
      </c>
      <c r="Q35" s="2"/>
      <c r="R35" s="2"/>
      <c r="S35" s="1" t="str">
        <f t="shared" si="5"/>
        <v/>
      </c>
      <c r="T35" s="1" t="str">
        <f>IF(OR($C35="",$D35&lt;&gt;"Gelir",$L35=""),"",IFERROR(INDEX(MUSTERILER!$B$7:$B$156,MATCH($S35,MUSTERILER!$T$7:$T$156,0)),""))</f>
        <v/>
      </c>
      <c r="U35" s="1" t="str">
        <f>IF($T35="","",$T35&amp;"|"&amp;COUNTIFS($T$7:$T35,$T35))</f>
        <v/>
      </c>
      <c r="V35" s="1">
        <f t="shared" si="6"/>
        <v>0</v>
      </c>
      <c r="W35" s="1" t="str">
        <f t="shared" si="7"/>
        <v>Gider|Temsil / Ağırlama|46064|300|</v>
      </c>
      <c r="X35" s="73">
        <f>AY_SONU!$B35</f>
        <v>46874</v>
      </c>
      <c r="Y35" s="74" t="str">
        <f t="shared" si="8"/>
        <v>Müşteri Carisi  (MÜŞTERİ 360)</v>
      </c>
      <c r="Z35" s="74" t="str">
        <f t="shared" si="9"/>
        <v>600 Muhasebe Hizmet Geliri  (sözleşme)</v>
      </c>
      <c r="AA35" s="68">
        <f>AY_SONU!$C35</f>
        <v>446000</v>
      </c>
      <c r="AB35" s="68">
        <f>AY_SONU!$D35</f>
        <v>0</v>
      </c>
      <c r="AC35" s="68">
        <f>AY_SONU!$C35-AY_SONU!$D35</f>
        <v>446000</v>
      </c>
      <c r="AD35" s="1">
        <f>IF($C35="",0,SUMPRODUCT((AY_SONU!$O$7:$O$42="Evet")*(AY_SONU!$B$7:$B$42=DATE(YEAR($C35),MONTH($C35),1))))</f>
        <v>0</v>
      </c>
      <c r="AE35" s="1" t="str">
        <f>IF($E35="","",$E35&amp;"|"&amp;COUNTIFS($E$7:$E35,$E35))</f>
        <v>Temsil / Ağırlama|3</v>
      </c>
    </row>
    <row r="36" spans="1:31" ht="18" customHeight="1" x14ac:dyDescent="0.3">
      <c r="A36" s="2"/>
      <c r="B36" s="65" t="str">
        <f t="shared" si="0"/>
        <v>GG00030</v>
      </c>
      <c r="C36" s="66">
        <v>46064</v>
      </c>
      <c r="D36" s="60" t="s">
        <v>759</v>
      </c>
      <c r="E36" s="61" t="s">
        <v>776</v>
      </c>
      <c r="F36" s="61" t="s">
        <v>797</v>
      </c>
      <c r="G36" s="67">
        <v>1530</v>
      </c>
      <c r="H36" s="60" t="s">
        <v>762</v>
      </c>
      <c r="I36" s="60" t="s">
        <v>763</v>
      </c>
      <c r="J36" s="61"/>
      <c r="K36" s="61"/>
      <c r="L36" s="60"/>
      <c r="M36" s="74" t="str">
        <f t="shared" si="1"/>
        <v>Temsil / Ağırlama</v>
      </c>
      <c r="N36" s="74" t="str">
        <f t="shared" si="2"/>
        <v>Merkez Kasa</v>
      </c>
      <c r="O36" s="73">
        <f t="shared" si="3"/>
        <v>46054</v>
      </c>
      <c r="P36" s="65" t="str">
        <f t="shared" ca="1" si="4"/>
        <v>UYGUN</v>
      </c>
      <c r="Q36" s="2"/>
      <c r="R36" s="2"/>
      <c r="S36" s="1" t="str">
        <f t="shared" si="5"/>
        <v/>
      </c>
      <c r="T36" s="1" t="str">
        <f>IF(OR($C36="",$D36&lt;&gt;"Gelir",$L36=""),"",IFERROR(INDEX(MUSTERILER!$B$7:$B$156,MATCH($S36,MUSTERILER!$T$7:$T$156,0)),""))</f>
        <v/>
      </c>
      <c r="U36" s="1" t="str">
        <f>IF($T36="","",$T36&amp;"|"&amp;COUNTIFS($T$7:$T36,$T36))</f>
        <v/>
      </c>
      <c r="V36" s="1">
        <f t="shared" si="6"/>
        <v>0</v>
      </c>
      <c r="W36" s="1" t="str">
        <f t="shared" si="7"/>
        <v>Gider|Temsil / Ağırlama|46064|1530|</v>
      </c>
      <c r="X36" s="73">
        <f>AY_SONU!$B36</f>
        <v>46905</v>
      </c>
      <c r="Y36" s="74" t="str">
        <f t="shared" si="8"/>
        <v>Müşteri Carisi  (MÜŞTERİ 360)</v>
      </c>
      <c r="Z36" s="74" t="str">
        <f t="shared" si="9"/>
        <v>600 Muhasebe Hizmet Geliri  (sözleşme)</v>
      </c>
      <c r="AA36" s="68">
        <f>AY_SONU!$C36</f>
        <v>446000</v>
      </c>
      <c r="AB36" s="68">
        <f>AY_SONU!$D36</f>
        <v>0</v>
      </c>
      <c r="AC36" s="68">
        <f>AY_SONU!$C36-AY_SONU!$D36</f>
        <v>446000</v>
      </c>
      <c r="AD36" s="1">
        <f>IF($C36="",0,SUMPRODUCT((AY_SONU!$O$7:$O$42="Evet")*(AY_SONU!$B$7:$B$42=DATE(YEAR($C36),MONTH($C36),1))))</f>
        <v>0</v>
      </c>
      <c r="AE36" s="1" t="str">
        <f>IF($E36="","",$E36&amp;"|"&amp;COUNTIFS($E$7:$E36,$E36))</f>
        <v>Temsil / Ağırlama|4</v>
      </c>
    </row>
    <row r="37" spans="1:31" ht="18" customHeight="1" x14ac:dyDescent="0.3">
      <c r="A37" s="2"/>
      <c r="B37" s="65" t="str">
        <f t="shared" si="0"/>
        <v>GG00031</v>
      </c>
      <c r="C37" s="66">
        <v>46067</v>
      </c>
      <c r="D37" s="60" t="s">
        <v>759</v>
      </c>
      <c r="E37" s="61" t="s">
        <v>776</v>
      </c>
      <c r="F37" s="61" t="s">
        <v>798</v>
      </c>
      <c r="G37" s="67">
        <v>930</v>
      </c>
      <c r="H37" s="60" t="s">
        <v>762</v>
      </c>
      <c r="I37" s="60" t="s">
        <v>763</v>
      </c>
      <c r="J37" s="61"/>
      <c r="K37" s="61"/>
      <c r="L37" s="60"/>
      <c r="M37" s="74" t="str">
        <f t="shared" si="1"/>
        <v>Temsil / Ağırlama</v>
      </c>
      <c r="N37" s="74" t="str">
        <f t="shared" si="2"/>
        <v>Merkez Kasa</v>
      </c>
      <c r="O37" s="73">
        <f t="shared" si="3"/>
        <v>46054</v>
      </c>
      <c r="P37" s="65" t="str">
        <f t="shared" ca="1" si="4"/>
        <v>UYGUN</v>
      </c>
      <c r="Q37" s="2"/>
      <c r="R37" s="2"/>
      <c r="S37" s="1" t="str">
        <f t="shared" si="5"/>
        <v/>
      </c>
      <c r="T37" s="1" t="str">
        <f>IF(OR($C37="",$D37&lt;&gt;"Gelir",$L37=""),"",IFERROR(INDEX(MUSTERILER!$B$7:$B$156,MATCH($S37,MUSTERILER!$T$7:$T$156,0)),""))</f>
        <v/>
      </c>
      <c r="U37" s="1" t="str">
        <f>IF($T37="","",$T37&amp;"|"&amp;COUNTIFS($T$7:$T37,$T37))</f>
        <v/>
      </c>
      <c r="V37" s="1">
        <f t="shared" si="6"/>
        <v>0</v>
      </c>
      <c r="W37" s="1" t="str">
        <f t="shared" si="7"/>
        <v>Gider|Temsil / Ağırlama|46067|930|</v>
      </c>
      <c r="X37" s="73">
        <f>AY_SONU!$B37</f>
        <v>46935</v>
      </c>
      <c r="Y37" s="74" t="str">
        <f t="shared" si="8"/>
        <v>Müşteri Carisi  (MÜŞTERİ 360)</v>
      </c>
      <c r="Z37" s="74" t="str">
        <f t="shared" si="9"/>
        <v>600 Muhasebe Hizmet Geliri  (sözleşme)</v>
      </c>
      <c r="AA37" s="68">
        <f>AY_SONU!$C37</f>
        <v>524750</v>
      </c>
      <c r="AB37" s="68">
        <f>AY_SONU!$D37</f>
        <v>0</v>
      </c>
      <c r="AC37" s="68">
        <f>AY_SONU!$C37-AY_SONU!$D37</f>
        <v>524750</v>
      </c>
      <c r="AD37" s="1">
        <f>IF($C37="",0,SUMPRODUCT((AY_SONU!$O$7:$O$42="Evet")*(AY_SONU!$B$7:$B$42=DATE(YEAR($C37),MONTH($C37),1))))</f>
        <v>0</v>
      </c>
      <c r="AE37" s="1" t="str">
        <f>IF($E37="","",$E37&amp;"|"&amp;COUNTIFS($E$7:$E37,$E37))</f>
        <v>Temsil / Ağırlama|5</v>
      </c>
    </row>
    <row r="38" spans="1:31" ht="18" customHeight="1" x14ac:dyDescent="0.3">
      <c r="A38" s="2"/>
      <c r="B38" s="65" t="str">
        <f t="shared" si="0"/>
        <v>GG00032</v>
      </c>
      <c r="C38" s="66">
        <v>46067</v>
      </c>
      <c r="D38" s="60" t="s">
        <v>759</v>
      </c>
      <c r="E38" s="61" t="s">
        <v>774</v>
      </c>
      <c r="F38" s="61" t="s">
        <v>799</v>
      </c>
      <c r="G38" s="67">
        <v>800</v>
      </c>
      <c r="H38" s="60" t="s">
        <v>762</v>
      </c>
      <c r="I38" s="60" t="s">
        <v>763</v>
      </c>
      <c r="J38" s="61"/>
      <c r="K38" s="61"/>
      <c r="L38" s="60"/>
      <c r="M38" s="74" t="str">
        <f t="shared" si="1"/>
        <v>Ulaşım</v>
      </c>
      <c r="N38" s="74" t="str">
        <f t="shared" si="2"/>
        <v>Merkez Kasa</v>
      </c>
      <c r="O38" s="73">
        <f t="shared" si="3"/>
        <v>46054</v>
      </c>
      <c r="P38" s="65" t="str">
        <f t="shared" ca="1" si="4"/>
        <v>UYGUN</v>
      </c>
      <c r="Q38" s="2"/>
      <c r="R38" s="2"/>
      <c r="S38" s="1" t="str">
        <f t="shared" si="5"/>
        <v/>
      </c>
      <c r="T38" s="1" t="str">
        <f>IF(OR($C38="",$D38&lt;&gt;"Gelir",$L38=""),"",IFERROR(INDEX(MUSTERILER!$B$7:$B$156,MATCH($S38,MUSTERILER!$T$7:$T$156,0)),""))</f>
        <v/>
      </c>
      <c r="U38" s="1" t="str">
        <f>IF($T38="","",$T38&amp;"|"&amp;COUNTIFS($T$7:$T38,$T38))</f>
        <v/>
      </c>
      <c r="V38" s="1">
        <f t="shared" si="6"/>
        <v>0</v>
      </c>
      <c r="W38" s="1" t="str">
        <f t="shared" si="7"/>
        <v>Gider|Ulaşım|46067|800|</v>
      </c>
      <c r="X38" s="73">
        <f>AY_SONU!$B38</f>
        <v>46966</v>
      </c>
      <c r="Y38" s="74" t="str">
        <f t="shared" si="8"/>
        <v>Müşteri Carisi  (MÜŞTERİ 360)</v>
      </c>
      <c r="Z38" s="74" t="str">
        <f t="shared" si="9"/>
        <v>600 Muhasebe Hizmet Geliri  (sözleşme)</v>
      </c>
      <c r="AA38" s="68">
        <f>AY_SONU!$C38</f>
        <v>446000</v>
      </c>
      <c r="AB38" s="68">
        <f>AY_SONU!$D38</f>
        <v>0</v>
      </c>
      <c r="AC38" s="68">
        <f>AY_SONU!$C38-AY_SONU!$D38</f>
        <v>446000</v>
      </c>
      <c r="AD38" s="1">
        <f>IF($C38="",0,SUMPRODUCT((AY_SONU!$O$7:$O$42="Evet")*(AY_SONU!$B$7:$B$42=DATE(YEAR($C38),MONTH($C38),1))))</f>
        <v>0</v>
      </c>
      <c r="AE38" s="1" t="str">
        <f>IF($E38="","",$E38&amp;"|"&amp;COUNTIFS($E$7:$E38,$E38))</f>
        <v>Ulaşım|3</v>
      </c>
    </row>
    <row r="39" spans="1:31" ht="18" customHeight="1" x14ac:dyDescent="0.3">
      <c r="A39" s="2"/>
      <c r="B39" s="65" t="str">
        <f t="shared" si="0"/>
        <v>GG00033</v>
      </c>
      <c r="C39" s="66">
        <v>46069</v>
      </c>
      <c r="D39" s="60" t="s">
        <v>759</v>
      </c>
      <c r="E39" s="61" t="s">
        <v>767</v>
      </c>
      <c r="F39" s="61" t="s">
        <v>800</v>
      </c>
      <c r="G39" s="67">
        <v>800</v>
      </c>
      <c r="H39" s="60" t="s">
        <v>762</v>
      </c>
      <c r="I39" s="60" t="s">
        <v>763</v>
      </c>
      <c r="J39" s="61"/>
      <c r="K39" s="61"/>
      <c r="L39" s="60"/>
      <c r="M39" s="74" t="str">
        <f t="shared" si="1"/>
        <v>Telefon / İnternet</v>
      </c>
      <c r="N39" s="74" t="str">
        <f t="shared" si="2"/>
        <v>Merkez Kasa</v>
      </c>
      <c r="O39" s="73">
        <f t="shared" si="3"/>
        <v>46054</v>
      </c>
      <c r="P39" s="65" t="str">
        <f t="shared" ca="1" si="4"/>
        <v>UYGUN</v>
      </c>
      <c r="Q39" s="2"/>
      <c r="R39" s="2"/>
      <c r="S39" s="1" t="str">
        <f t="shared" si="5"/>
        <v/>
      </c>
      <c r="T39" s="1" t="str">
        <f>IF(OR($C39="",$D39&lt;&gt;"Gelir",$L39=""),"",IFERROR(INDEX(MUSTERILER!$B$7:$B$156,MATCH($S39,MUSTERILER!$T$7:$T$156,0)),""))</f>
        <v/>
      </c>
      <c r="U39" s="1" t="str">
        <f>IF($T39="","",$T39&amp;"|"&amp;COUNTIFS($T$7:$T39,$T39))</f>
        <v/>
      </c>
      <c r="V39" s="1">
        <f t="shared" si="6"/>
        <v>0</v>
      </c>
      <c r="W39" s="1" t="str">
        <f t="shared" si="7"/>
        <v>Gider|Telefon / İnternet|46069|800|</v>
      </c>
      <c r="X39" s="73">
        <f>AY_SONU!$B39</f>
        <v>46997</v>
      </c>
      <c r="Y39" s="74" t="str">
        <f t="shared" si="8"/>
        <v>Müşteri Carisi  (MÜŞTERİ 360)</v>
      </c>
      <c r="Z39" s="74" t="str">
        <f t="shared" si="9"/>
        <v>600 Muhasebe Hizmet Geliri  (sözleşme)</v>
      </c>
      <c r="AA39" s="68">
        <f>AY_SONU!$C39</f>
        <v>524750</v>
      </c>
      <c r="AB39" s="68">
        <f>AY_SONU!$D39</f>
        <v>0</v>
      </c>
      <c r="AC39" s="68">
        <f>AY_SONU!$C39-AY_SONU!$D39</f>
        <v>524750</v>
      </c>
      <c r="AD39" s="1">
        <f>IF($C39="",0,SUMPRODUCT((AY_SONU!$O$7:$O$42="Evet")*(AY_SONU!$B$7:$B$42=DATE(YEAR($C39),MONTH($C39),1))))</f>
        <v>0</v>
      </c>
      <c r="AE39" s="1" t="str">
        <f>IF($E39="","",$E39&amp;"|"&amp;COUNTIFS($E$7:$E39,$E39))</f>
        <v>Telefon / İnternet|3</v>
      </c>
    </row>
    <row r="40" spans="1:31" ht="18" customHeight="1" x14ac:dyDescent="0.3">
      <c r="A40" s="2"/>
      <c r="B40" s="65" t="str">
        <f t="shared" si="0"/>
        <v>GG00034</v>
      </c>
      <c r="C40" s="66">
        <v>46070</v>
      </c>
      <c r="D40" s="60" t="s">
        <v>759</v>
      </c>
      <c r="E40" s="61" t="s">
        <v>776</v>
      </c>
      <c r="F40" s="61" t="s">
        <v>801</v>
      </c>
      <c r="G40" s="67">
        <v>2400</v>
      </c>
      <c r="H40" s="60" t="s">
        <v>762</v>
      </c>
      <c r="I40" s="60" t="s">
        <v>763</v>
      </c>
      <c r="J40" s="61"/>
      <c r="K40" s="61"/>
      <c r="L40" s="60"/>
      <c r="M40" s="74" t="str">
        <f t="shared" si="1"/>
        <v>Temsil / Ağırlama</v>
      </c>
      <c r="N40" s="74" t="str">
        <f t="shared" si="2"/>
        <v>Merkez Kasa</v>
      </c>
      <c r="O40" s="73">
        <f t="shared" si="3"/>
        <v>46054</v>
      </c>
      <c r="P40" s="65" t="str">
        <f t="shared" ca="1" si="4"/>
        <v>UYGUN</v>
      </c>
      <c r="Q40" s="2"/>
      <c r="R40" s="2"/>
      <c r="S40" s="1" t="str">
        <f t="shared" si="5"/>
        <v/>
      </c>
      <c r="T40" s="1" t="str">
        <f>IF(OR($C40="",$D40&lt;&gt;"Gelir",$L40=""),"",IFERROR(INDEX(MUSTERILER!$B$7:$B$156,MATCH($S40,MUSTERILER!$T$7:$T$156,0)),""))</f>
        <v/>
      </c>
      <c r="U40" s="1" t="str">
        <f>IF($T40="","",$T40&amp;"|"&amp;COUNTIFS($T$7:$T40,$T40))</f>
        <v/>
      </c>
      <c r="V40" s="1">
        <f t="shared" si="6"/>
        <v>0</v>
      </c>
      <c r="W40" s="1" t="str">
        <f t="shared" si="7"/>
        <v>Gider|Temsil / Ağırlama|46070|2400|</v>
      </c>
      <c r="X40" s="73">
        <f>AY_SONU!$B40</f>
        <v>47027</v>
      </c>
      <c r="Y40" s="74" t="str">
        <f t="shared" si="8"/>
        <v>Müşteri Carisi  (MÜŞTERİ 360)</v>
      </c>
      <c r="Z40" s="74" t="str">
        <f t="shared" si="9"/>
        <v>600 Muhasebe Hizmet Geliri  (sözleşme)</v>
      </c>
      <c r="AA40" s="68">
        <f>AY_SONU!$C40</f>
        <v>446000</v>
      </c>
      <c r="AB40" s="68">
        <f>AY_SONU!$D40</f>
        <v>0</v>
      </c>
      <c r="AC40" s="68">
        <f>AY_SONU!$C40-AY_SONU!$D40</f>
        <v>446000</v>
      </c>
      <c r="AD40" s="1">
        <f>IF($C40="",0,SUMPRODUCT((AY_SONU!$O$7:$O$42="Evet")*(AY_SONU!$B$7:$B$42=DATE(YEAR($C40),MONTH($C40),1))))</f>
        <v>0</v>
      </c>
      <c r="AE40" s="1" t="str">
        <f>IF($E40="","",$E40&amp;"|"&amp;COUNTIFS($E$7:$E40,$E40))</f>
        <v>Temsil / Ağırlama|6</v>
      </c>
    </row>
    <row r="41" spans="1:31" ht="18" customHeight="1" x14ac:dyDescent="0.3">
      <c r="A41" s="2"/>
      <c r="B41" s="65" t="str">
        <f t="shared" si="0"/>
        <v>GG00035</v>
      </c>
      <c r="C41" s="66">
        <v>46071</v>
      </c>
      <c r="D41" s="60" t="s">
        <v>759</v>
      </c>
      <c r="E41" s="61" t="s">
        <v>781</v>
      </c>
      <c r="F41" s="61" t="s">
        <v>802</v>
      </c>
      <c r="G41" s="67">
        <v>5000</v>
      </c>
      <c r="H41" s="60" t="s">
        <v>762</v>
      </c>
      <c r="I41" s="60" t="s">
        <v>763</v>
      </c>
      <c r="J41" s="61"/>
      <c r="K41" s="61"/>
      <c r="L41" s="60"/>
      <c r="M41" s="74" t="str">
        <f t="shared" si="1"/>
        <v>Personel</v>
      </c>
      <c r="N41" s="74" t="str">
        <f t="shared" si="2"/>
        <v>Merkez Kasa</v>
      </c>
      <c r="O41" s="73">
        <f t="shared" si="3"/>
        <v>46054</v>
      </c>
      <c r="P41" s="65" t="str">
        <f t="shared" ca="1" si="4"/>
        <v>UYGUN</v>
      </c>
      <c r="Q41" s="2"/>
      <c r="R41" s="2"/>
      <c r="S41" s="1" t="str">
        <f t="shared" si="5"/>
        <v/>
      </c>
      <c r="T41" s="1" t="str">
        <f>IF(OR($C41="",$D41&lt;&gt;"Gelir",$L41=""),"",IFERROR(INDEX(MUSTERILER!$B$7:$B$156,MATCH($S41,MUSTERILER!$T$7:$T$156,0)),""))</f>
        <v/>
      </c>
      <c r="U41" s="1" t="str">
        <f>IF($T41="","",$T41&amp;"|"&amp;COUNTIFS($T$7:$T41,$T41))</f>
        <v/>
      </c>
      <c r="V41" s="1">
        <f t="shared" si="6"/>
        <v>0</v>
      </c>
      <c r="W41" s="1" t="str">
        <f t="shared" si="7"/>
        <v>Gider|Personel|46071|5000|</v>
      </c>
      <c r="X41" s="73">
        <f>AY_SONU!$B41</f>
        <v>47058</v>
      </c>
      <c r="Y41" s="74" t="str">
        <f t="shared" si="8"/>
        <v>Müşteri Carisi  (MÜŞTERİ 360)</v>
      </c>
      <c r="Z41" s="74" t="str">
        <f t="shared" si="9"/>
        <v>600 Muhasebe Hizmet Geliri  (sözleşme)</v>
      </c>
      <c r="AA41" s="68">
        <f>AY_SONU!$C41</f>
        <v>446000</v>
      </c>
      <c r="AB41" s="68">
        <f>AY_SONU!$D41</f>
        <v>0</v>
      </c>
      <c r="AC41" s="68">
        <f>AY_SONU!$C41-AY_SONU!$D41</f>
        <v>446000</v>
      </c>
      <c r="AD41" s="1">
        <f>IF($C41="",0,SUMPRODUCT((AY_SONU!$O$7:$O$42="Evet")*(AY_SONU!$B$7:$B$42=DATE(YEAR($C41),MONTH($C41),1))))</f>
        <v>0</v>
      </c>
      <c r="AE41" s="1" t="str">
        <f>IF($E41="","",$E41&amp;"|"&amp;COUNTIFS($E$7:$E41,$E41))</f>
        <v>Personel|4</v>
      </c>
    </row>
    <row r="42" spans="1:31" ht="18" customHeight="1" x14ac:dyDescent="0.3">
      <c r="A42" s="2"/>
      <c r="B42" s="65" t="str">
        <f t="shared" si="0"/>
        <v>GG00036</v>
      </c>
      <c r="C42" s="66">
        <v>46072</v>
      </c>
      <c r="D42" s="60" t="s">
        <v>759</v>
      </c>
      <c r="E42" s="61" t="s">
        <v>784</v>
      </c>
      <c r="F42" s="61" t="s">
        <v>803</v>
      </c>
      <c r="G42" s="67">
        <v>136439.57999999999</v>
      </c>
      <c r="H42" s="60" t="s">
        <v>762</v>
      </c>
      <c r="I42" s="60" t="s">
        <v>763</v>
      </c>
      <c r="J42" s="61"/>
      <c r="K42" s="61"/>
      <c r="L42" s="60"/>
      <c r="M42" s="74" t="str">
        <f t="shared" si="1"/>
        <v>Vergi / Harç</v>
      </c>
      <c r="N42" s="74" t="str">
        <f t="shared" si="2"/>
        <v>Merkez Kasa</v>
      </c>
      <c r="O42" s="73">
        <f t="shared" si="3"/>
        <v>46054</v>
      </c>
      <c r="P42" s="65" t="str">
        <f t="shared" ca="1" si="4"/>
        <v>UYGUN</v>
      </c>
      <c r="Q42" s="2"/>
      <c r="R42" s="2"/>
      <c r="S42" s="1" t="str">
        <f t="shared" si="5"/>
        <v/>
      </c>
      <c r="T42" s="1" t="str">
        <f>IF(OR($C42="",$D42&lt;&gt;"Gelir",$L42=""),"",IFERROR(INDEX(MUSTERILER!$B$7:$B$156,MATCH($S42,MUSTERILER!$T$7:$T$156,0)),""))</f>
        <v/>
      </c>
      <c r="U42" s="1" t="str">
        <f>IF($T42="","",$T42&amp;"|"&amp;COUNTIFS($T$7:$T42,$T42))</f>
        <v/>
      </c>
      <c r="V42" s="1">
        <f t="shared" si="6"/>
        <v>0</v>
      </c>
      <c r="W42" s="1" t="str">
        <f t="shared" si="7"/>
        <v>Gider|Vergi / Harç|46072|136440|</v>
      </c>
      <c r="X42" s="73">
        <f>AY_SONU!$B42</f>
        <v>47088</v>
      </c>
      <c r="Y42" s="74" t="str">
        <f t="shared" si="8"/>
        <v>Müşteri Carisi  (MÜŞTERİ 360)</v>
      </c>
      <c r="Z42" s="74" t="str">
        <f t="shared" si="9"/>
        <v>600 Muhasebe Hizmet Geliri  (sözleşme)</v>
      </c>
      <c r="AA42" s="68">
        <f>AY_SONU!$C42</f>
        <v>524750</v>
      </c>
      <c r="AB42" s="68">
        <f>AY_SONU!$D42</f>
        <v>0</v>
      </c>
      <c r="AC42" s="68">
        <f>AY_SONU!$C42-AY_SONU!$D42</f>
        <v>524750</v>
      </c>
      <c r="AD42" s="1">
        <f>IF($C42="",0,SUMPRODUCT((AY_SONU!$O$7:$O$42="Evet")*(AY_SONU!$B$7:$B$42=DATE(YEAR($C42),MONTH($C42),1))))</f>
        <v>0</v>
      </c>
      <c r="AE42" s="1" t="str">
        <f>IF($E42="","",$E42&amp;"|"&amp;COUNTIFS($E$7:$E42,$E42))</f>
        <v>Vergi / Harç|5</v>
      </c>
    </row>
    <row r="43" spans="1:31" ht="18" customHeight="1" x14ac:dyDescent="0.3">
      <c r="A43" s="2"/>
      <c r="B43" s="65" t="str">
        <f t="shared" si="0"/>
        <v>GG00037</v>
      </c>
      <c r="C43" s="66">
        <v>46072</v>
      </c>
      <c r="D43" s="60" t="s">
        <v>759</v>
      </c>
      <c r="E43" s="61" t="s">
        <v>784</v>
      </c>
      <c r="F43" s="61" t="s">
        <v>804</v>
      </c>
      <c r="G43" s="67">
        <v>1088.1500000000001</v>
      </c>
      <c r="H43" s="60" t="s">
        <v>762</v>
      </c>
      <c r="I43" s="60" t="s">
        <v>763</v>
      </c>
      <c r="J43" s="61"/>
      <c r="K43" s="61"/>
      <c r="L43" s="60"/>
      <c r="M43" s="74" t="str">
        <f t="shared" si="1"/>
        <v>Vergi / Harç</v>
      </c>
      <c r="N43" s="74" t="str">
        <f t="shared" si="2"/>
        <v>Merkez Kasa</v>
      </c>
      <c r="O43" s="73">
        <f t="shared" si="3"/>
        <v>46054</v>
      </c>
      <c r="P43" s="65" t="str">
        <f t="shared" ca="1" si="4"/>
        <v>UYGUN</v>
      </c>
      <c r="Q43" s="2"/>
      <c r="R43" s="2"/>
      <c r="S43" s="1" t="str">
        <f t="shared" si="5"/>
        <v/>
      </c>
      <c r="T43" s="1" t="str">
        <f>IF(OR($C43="",$D43&lt;&gt;"Gelir",$L43=""),"",IFERROR(INDEX(MUSTERILER!$B$7:$B$156,MATCH($S43,MUSTERILER!$T$7:$T$156,0)),""))</f>
        <v/>
      </c>
      <c r="U43" s="1" t="str">
        <f>IF($T43="","",$T43&amp;"|"&amp;COUNTIFS($T$7:$T43,$T43))</f>
        <v/>
      </c>
      <c r="V43" s="1">
        <f t="shared" si="6"/>
        <v>0</v>
      </c>
      <c r="W43" s="1" t="str">
        <f t="shared" si="7"/>
        <v>Gider|Vergi / Harç|46072|1088|</v>
      </c>
      <c r="X43" s="1"/>
      <c r="Y43" s="1"/>
      <c r="Z43" s="1"/>
      <c r="AA43" s="1"/>
      <c r="AB43" s="1"/>
      <c r="AC43" s="1"/>
      <c r="AD43" s="1">
        <f>IF($C43="",0,SUMPRODUCT((AY_SONU!$O$7:$O$42="Evet")*(AY_SONU!$B$7:$B$42=DATE(YEAR($C43),MONTH($C43),1))))</f>
        <v>0</v>
      </c>
      <c r="AE43" s="1" t="str">
        <f>IF($E43="","",$E43&amp;"|"&amp;COUNTIFS($E$7:$E43,$E43))</f>
        <v>Vergi / Harç|6</v>
      </c>
    </row>
    <row r="44" spans="1:31" ht="18" customHeight="1" x14ac:dyDescent="0.3">
      <c r="A44" s="2"/>
      <c r="B44" s="65" t="str">
        <f t="shared" si="0"/>
        <v>GG00038</v>
      </c>
      <c r="C44" s="66">
        <v>46081</v>
      </c>
      <c r="D44" s="60" t="s">
        <v>759</v>
      </c>
      <c r="E44" s="61" t="s">
        <v>784</v>
      </c>
      <c r="F44" s="61" t="s">
        <v>805</v>
      </c>
      <c r="G44" s="67">
        <v>11810</v>
      </c>
      <c r="H44" s="60" t="s">
        <v>762</v>
      </c>
      <c r="I44" s="60" t="s">
        <v>763</v>
      </c>
      <c r="J44" s="61"/>
      <c r="K44" s="61"/>
      <c r="L44" s="60"/>
      <c r="M44" s="74" t="str">
        <f t="shared" si="1"/>
        <v>Vergi / Harç</v>
      </c>
      <c r="N44" s="74" t="str">
        <f t="shared" si="2"/>
        <v>Merkez Kasa</v>
      </c>
      <c r="O44" s="73">
        <f t="shared" si="3"/>
        <v>46054</v>
      </c>
      <c r="P44" s="65" t="str">
        <f t="shared" ca="1" si="4"/>
        <v>UYGUN</v>
      </c>
      <c r="Q44" s="2"/>
      <c r="R44" s="2"/>
      <c r="S44" s="1" t="str">
        <f t="shared" si="5"/>
        <v/>
      </c>
      <c r="T44" s="1" t="str">
        <f>IF(OR($C44="",$D44&lt;&gt;"Gelir",$L44=""),"",IFERROR(INDEX(MUSTERILER!$B$7:$B$156,MATCH($S44,MUSTERILER!$T$7:$T$156,0)),""))</f>
        <v/>
      </c>
      <c r="U44" s="1" t="str">
        <f>IF($T44="","",$T44&amp;"|"&amp;COUNTIFS($T$7:$T44,$T44))</f>
        <v/>
      </c>
      <c r="V44" s="1">
        <f t="shared" si="6"/>
        <v>0</v>
      </c>
      <c r="W44" s="1" t="str">
        <f t="shared" si="7"/>
        <v>Gider|Vergi / Harç|46081|11810|</v>
      </c>
      <c r="X44" s="1"/>
      <c r="Y44" s="1"/>
      <c r="Z44" s="1"/>
      <c r="AA44" s="1"/>
      <c r="AB44" s="1"/>
      <c r="AC44" s="1"/>
      <c r="AD44" s="1">
        <f>IF($C44="",0,SUMPRODUCT((AY_SONU!$O$7:$O$42="Evet")*(AY_SONU!$B$7:$B$42=DATE(YEAR($C44),MONTH($C44),1))))</f>
        <v>0</v>
      </c>
      <c r="AE44" s="1" t="str">
        <f>IF($E44="","",$E44&amp;"|"&amp;COUNTIFS($E$7:$E44,$E44))</f>
        <v>Vergi / Harç|7</v>
      </c>
    </row>
    <row r="45" spans="1:31" ht="18" customHeight="1" x14ac:dyDescent="0.3">
      <c r="A45" s="2"/>
      <c r="B45" s="65" t="str">
        <f t="shared" si="0"/>
        <v>GG00039</v>
      </c>
      <c r="C45" s="66">
        <v>46083</v>
      </c>
      <c r="D45" s="60" t="s">
        <v>759</v>
      </c>
      <c r="E45" s="61" t="s">
        <v>781</v>
      </c>
      <c r="F45" s="61" t="s">
        <v>806</v>
      </c>
      <c r="G45" s="67">
        <v>10000</v>
      </c>
      <c r="H45" s="60" t="s">
        <v>762</v>
      </c>
      <c r="I45" s="60" t="s">
        <v>763</v>
      </c>
      <c r="J45" s="61"/>
      <c r="K45" s="61"/>
      <c r="L45" s="60"/>
      <c r="M45" s="74" t="str">
        <f t="shared" si="1"/>
        <v>Personel</v>
      </c>
      <c r="N45" s="74" t="str">
        <f t="shared" si="2"/>
        <v>Merkez Kasa</v>
      </c>
      <c r="O45" s="73">
        <f t="shared" si="3"/>
        <v>46082</v>
      </c>
      <c r="P45" s="65" t="str">
        <f t="shared" ca="1" si="4"/>
        <v>UYGUN</v>
      </c>
      <c r="Q45" s="2"/>
      <c r="R45" s="2"/>
      <c r="S45" s="1" t="str">
        <f t="shared" si="5"/>
        <v/>
      </c>
      <c r="T45" s="1" t="str">
        <f>IF(OR($C45="",$D45&lt;&gt;"Gelir",$L45=""),"",IFERROR(INDEX(MUSTERILER!$B$7:$B$156,MATCH($S45,MUSTERILER!$T$7:$T$156,0)),""))</f>
        <v/>
      </c>
      <c r="U45" s="1" t="str">
        <f>IF($T45="","",$T45&amp;"|"&amp;COUNTIFS($T$7:$T45,$T45))</f>
        <v/>
      </c>
      <c r="V45" s="1">
        <f t="shared" si="6"/>
        <v>0</v>
      </c>
      <c r="W45" s="1" t="str">
        <f t="shared" si="7"/>
        <v>Gider|Personel|46083|10000|</v>
      </c>
      <c r="X45" s="1"/>
      <c r="Y45" s="1"/>
      <c r="Z45" s="1"/>
      <c r="AA45" s="1"/>
      <c r="AB45" s="1"/>
      <c r="AC45" s="1"/>
      <c r="AD45" s="1">
        <f>IF($C45="",0,SUMPRODUCT((AY_SONU!$O$7:$O$42="Evet")*(AY_SONU!$B$7:$B$42=DATE(YEAR($C45),MONTH($C45),1))))</f>
        <v>0</v>
      </c>
      <c r="AE45" s="1" t="str">
        <f>IF($E45="","",$E45&amp;"|"&amp;COUNTIFS($E$7:$E45,$E45))</f>
        <v>Personel|5</v>
      </c>
    </row>
    <row r="46" spans="1:31" ht="18" customHeight="1" x14ac:dyDescent="0.3">
      <c r="A46" s="2"/>
      <c r="B46" s="65" t="str">
        <f t="shared" si="0"/>
        <v>GG00040</v>
      </c>
      <c r="C46" s="66">
        <v>46083</v>
      </c>
      <c r="D46" s="60" t="s">
        <v>759</v>
      </c>
      <c r="E46" s="61" t="s">
        <v>776</v>
      </c>
      <c r="F46" s="61" t="s">
        <v>807</v>
      </c>
      <c r="G46" s="67">
        <v>1500</v>
      </c>
      <c r="H46" s="60" t="s">
        <v>762</v>
      </c>
      <c r="I46" s="60" t="s">
        <v>763</v>
      </c>
      <c r="J46" s="61"/>
      <c r="K46" s="61"/>
      <c r="L46" s="60"/>
      <c r="M46" s="74" t="str">
        <f t="shared" si="1"/>
        <v>Temsil / Ağırlama</v>
      </c>
      <c r="N46" s="74" t="str">
        <f t="shared" si="2"/>
        <v>Merkez Kasa</v>
      </c>
      <c r="O46" s="73">
        <f t="shared" si="3"/>
        <v>46082</v>
      </c>
      <c r="P46" s="65" t="str">
        <f t="shared" ca="1" si="4"/>
        <v>UYGUN</v>
      </c>
      <c r="Q46" s="2"/>
      <c r="R46" s="2"/>
      <c r="S46" s="1" t="str">
        <f t="shared" si="5"/>
        <v/>
      </c>
      <c r="T46" s="1" t="str">
        <f>IF(OR($C46="",$D46&lt;&gt;"Gelir",$L46=""),"",IFERROR(INDEX(MUSTERILER!$B$7:$B$156,MATCH($S46,MUSTERILER!$T$7:$T$156,0)),""))</f>
        <v/>
      </c>
      <c r="U46" s="1" t="str">
        <f>IF($T46="","",$T46&amp;"|"&amp;COUNTIFS($T$7:$T46,$T46))</f>
        <v/>
      </c>
      <c r="V46" s="1">
        <f t="shared" si="6"/>
        <v>0</v>
      </c>
      <c r="W46" s="1" t="str">
        <f t="shared" si="7"/>
        <v>Gider|Temsil / Ağırlama|46083|1500|</v>
      </c>
      <c r="X46" s="1"/>
      <c r="Y46" s="1"/>
      <c r="Z46" s="1"/>
      <c r="AA46" s="1"/>
      <c r="AB46" s="1"/>
      <c r="AC46" s="1"/>
      <c r="AD46" s="1">
        <f>IF($C46="",0,SUMPRODUCT((AY_SONU!$O$7:$O$42="Evet")*(AY_SONU!$B$7:$B$42=DATE(YEAR($C46),MONTH($C46),1))))</f>
        <v>0</v>
      </c>
      <c r="AE46" s="1" t="str">
        <f>IF($E46="","",$E46&amp;"|"&amp;COUNTIFS($E$7:$E46,$E46))</f>
        <v>Temsil / Ağırlama|7</v>
      </c>
    </row>
    <row r="47" spans="1:31" ht="18" customHeight="1" x14ac:dyDescent="0.3">
      <c r="A47" s="2"/>
      <c r="B47" s="65" t="str">
        <f t="shared" si="0"/>
        <v>GG00041</v>
      </c>
      <c r="C47" s="66">
        <v>46083</v>
      </c>
      <c r="D47" s="60" t="s">
        <v>759</v>
      </c>
      <c r="E47" s="61" t="s">
        <v>765</v>
      </c>
      <c r="F47" s="61" t="s">
        <v>765</v>
      </c>
      <c r="G47" s="67">
        <v>100</v>
      </c>
      <c r="H47" s="60" t="s">
        <v>762</v>
      </c>
      <c r="I47" s="60" t="s">
        <v>763</v>
      </c>
      <c r="J47" s="61"/>
      <c r="K47" s="61"/>
      <c r="L47" s="60"/>
      <c r="M47" s="74" t="str">
        <f t="shared" si="1"/>
        <v>Kırtasiye</v>
      </c>
      <c r="N47" s="74" t="str">
        <f t="shared" si="2"/>
        <v>Merkez Kasa</v>
      </c>
      <c r="O47" s="73">
        <f t="shared" si="3"/>
        <v>46082</v>
      </c>
      <c r="P47" s="65" t="str">
        <f t="shared" ca="1" si="4"/>
        <v>UYGUN</v>
      </c>
      <c r="Q47" s="2"/>
      <c r="R47" s="2"/>
      <c r="S47" s="1" t="str">
        <f t="shared" si="5"/>
        <v/>
      </c>
      <c r="T47" s="1" t="str">
        <f>IF(OR($C47="",$D47&lt;&gt;"Gelir",$L47=""),"",IFERROR(INDEX(MUSTERILER!$B$7:$B$156,MATCH($S47,MUSTERILER!$T$7:$T$156,0)),""))</f>
        <v/>
      </c>
      <c r="U47" s="1" t="str">
        <f>IF($T47="","",$T47&amp;"|"&amp;COUNTIFS($T$7:$T47,$T47))</f>
        <v/>
      </c>
      <c r="V47" s="1">
        <f t="shared" si="6"/>
        <v>0</v>
      </c>
      <c r="W47" s="1" t="str">
        <f t="shared" si="7"/>
        <v>Gider|Kırtasiye|46083|100|</v>
      </c>
      <c r="X47" s="1"/>
      <c r="Y47" s="1"/>
      <c r="Z47" s="1"/>
      <c r="AA47" s="1"/>
      <c r="AB47" s="1"/>
      <c r="AC47" s="1"/>
      <c r="AD47" s="1">
        <f>IF($C47="",0,SUMPRODUCT((AY_SONU!$O$7:$O$42="Evet")*(AY_SONU!$B$7:$B$42=DATE(YEAR($C47),MONTH($C47),1))))</f>
        <v>0</v>
      </c>
      <c r="AE47" s="1" t="str">
        <f>IF($E47="","",$E47&amp;"|"&amp;COUNTIFS($E$7:$E47,$E47))</f>
        <v>Kırtasiye|2</v>
      </c>
    </row>
    <row r="48" spans="1:31" ht="18" customHeight="1" x14ac:dyDescent="0.3">
      <c r="A48" s="2"/>
      <c r="B48" s="65" t="str">
        <f t="shared" si="0"/>
        <v>GG00042</v>
      </c>
      <c r="C48" s="66">
        <v>46083</v>
      </c>
      <c r="D48" s="60" t="s">
        <v>759</v>
      </c>
      <c r="E48" s="61" t="s">
        <v>776</v>
      </c>
      <c r="F48" s="61" t="s">
        <v>808</v>
      </c>
      <c r="G48" s="67">
        <v>860</v>
      </c>
      <c r="H48" s="60" t="s">
        <v>762</v>
      </c>
      <c r="I48" s="60" t="s">
        <v>763</v>
      </c>
      <c r="J48" s="61"/>
      <c r="K48" s="61"/>
      <c r="L48" s="60"/>
      <c r="M48" s="74" t="str">
        <f t="shared" si="1"/>
        <v>Temsil / Ağırlama</v>
      </c>
      <c r="N48" s="74" t="str">
        <f t="shared" si="2"/>
        <v>Merkez Kasa</v>
      </c>
      <c r="O48" s="73">
        <f t="shared" si="3"/>
        <v>46082</v>
      </c>
      <c r="P48" s="65" t="str">
        <f t="shared" ca="1" si="4"/>
        <v>UYGUN</v>
      </c>
      <c r="Q48" s="2"/>
      <c r="R48" s="2"/>
      <c r="S48" s="1" t="str">
        <f t="shared" si="5"/>
        <v/>
      </c>
      <c r="T48" s="1" t="str">
        <f>IF(OR($C48="",$D48&lt;&gt;"Gelir",$L48=""),"",IFERROR(INDEX(MUSTERILER!$B$7:$B$156,MATCH($S48,MUSTERILER!$T$7:$T$156,0)),""))</f>
        <v/>
      </c>
      <c r="U48" s="1" t="str">
        <f>IF($T48="","",$T48&amp;"|"&amp;COUNTIFS($T$7:$T48,$T48))</f>
        <v/>
      </c>
      <c r="V48" s="1">
        <f t="shared" si="6"/>
        <v>0</v>
      </c>
      <c r="W48" s="1" t="str">
        <f t="shared" si="7"/>
        <v>Gider|Temsil / Ağırlama|46083|860|</v>
      </c>
      <c r="X48" s="1"/>
      <c r="Y48" s="1"/>
      <c r="Z48" s="1"/>
      <c r="AA48" s="1"/>
      <c r="AB48" s="1"/>
      <c r="AC48" s="1"/>
      <c r="AD48" s="1">
        <f>IF($C48="",0,SUMPRODUCT((AY_SONU!$O$7:$O$42="Evet")*(AY_SONU!$B$7:$B$42=DATE(YEAR($C48),MONTH($C48),1))))</f>
        <v>0</v>
      </c>
      <c r="AE48" s="1" t="str">
        <f>IF($E48="","",$E48&amp;"|"&amp;COUNTIFS($E$7:$E48,$E48))</f>
        <v>Temsil / Ağırlama|8</v>
      </c>
    </row>
    <row r="49" spans="1:31" ht="18" customHeight="1" x14ac:dyDescent="0.3">
      <c r="A49" s="2"/>
      <c r="B49" s="65" t="str">
        <f t="shared" si="0"/>
        <v>GG00043</v>
      </c>
      <c r="C49" s="66">
        <v>46083</v>
      </c>
      <c r="D49" s="60" t="s">
        <v>759</v>
      </c>
      <c r="E49" s="61" t="s">
        <v>776</v>
      </c>
      <c r="F49" s="61" t="s">
        <v>809</v>
      </c>
      <c r="G49" s="67">
        <v>380</v>
      </c>
      <c r="H49" s="60" t="s">
        <v>762</v>
      </c>
      <c r="I49" s="60" t="s">
        <v>763</v>
      </c>
      <c r="J49" s="61"/>
      <c r="K49" s="61"/>
      <c r="L49" s="60"/>
      <c r="M49" s="74" t="str">
        <f t="shared" si="1"/>
        <v>Temsil / Ağırlama</v>
      </c>
      <c r="N49" s="74" t="str">
        <f t="shared" si="2"/>
        <v>Merkez Kasa</v>
      </c>
      <c r="O49" s="73">
        <f t="shared" si="3"/>
        <v>46082</v>
      </c>
      <c r="P49" s="65" t="str">
        <f t="shared" ca="1" si="4"/>
        <v>UYGUN</v>
      </c>
      <c r="Q49" s="2"/>
      <c r="R49" s="2"/>
      <c r="S49" s="1" t="str">
        <f t="shared" si="5"/>
        <v/>
      </c>
      <c r="T49" s="1" t="str">
        <f>IF(OR($C49="",$D49&lt;&gt;"Gelir",$L49=""),"",IFERROR(INDEX(MUSTERILER!$B$7:$B$156,MATCH($S49,MUSTERILER!$T$7:$T$156,0)),""))</f>
        <v/>
      </c>
      <c r="U49" s="1" t="str">
        <f>IF($T49="","",$T49&amp;"|"&amp;COUNTIFS($T$7:$T49,$T49))</f>
        <v/>
      </c>
      <c r="V49" s="1">
        <f t="shared" si="6"/>
        <v>0</v>
      </c>
      <c r="W49" s="1" t="str">
        <f t="shared" si="7"/>
        <v>Gider|Temsil / Ağırlama|46083|380|</v>
      </c>
      <c r="X49" s="1"/>
      <c r="Y49" s="1"/>
      <c r="Z49" s="1"/>
      <c r="AA49" s="1"/>
      <c r="AB49" s="1"/>
      <c r="AC49" s="1"/>
      <c r="AD49" s="1">
        <f>IF($C49="",0,SUMPRODUCT((AY_SONU!$O$7:$O$42="Evet")*(AY_SONU!$B$7:$B$42=DATE(YEAR($C49),MONTH($C49),1))))</f>
        <v>0</v>
      </c>
      <c r="AE49" s="1" t="str">
        <f>IF($E49="","",$E49&amp;"|"&amp;COUNTIFS($E$7:$E49,$E49))</f>
        <v>Temsil / Ağırlama|9</v>
      </c>
    </row>
    <row r="50" spans="1:31" ht="18" customHeight="1" x14ac:dyDescent="0.3">
      <c r="A50" s="2"/>
      <c r="B50" s="65" t="str">
        <f t="shared" si="0"/>
        <v>GG00044</v>
      </c>
      <c r="C50" s="66">
        <v>46083</v>
      </c>
      <c r="D50" s="60" t="s">
        <v>759</v>
      </c>
      <c r="E50" s="61" t="s">
        <v>776</v>
      </c>
      <c r="F50" s="61" t="s">
        <v>810</v>
      </c>
      <c r="G50" s="67">
        <v>250</v>
      </c>
      <c r="H50" s="60" t="s">
        <v>762</v>
      </c>
      <c r="I50" s="60" t="s">
        <v>763</v>
      </c>
      <c r="J50" s="61"/>
      <c r="K50" s="61"/>
      <c r="L50" s="60"/>
      <c r="M50" s="74" t="str">
        <f t="shared" si="1"/>
        <v>Temsil / Ağırlama</v>
      </c>
      <c r="N50" s="74" t="str">
        <f t="shared" si="2"/>
        <v>Merkez Kasa</v>
      </c>
      <c r="O50" s="73">
        <f t="shared" si="3"/>
        <v>46082</v>
      </c>
      <c r="P50" s="65" t="str">
        <f t="shared" ca="1" si="4"/>
        <v>UYGUN</v>
      </c>
      <c r="Q50" s="2"/>
      <c r="R50" s="2"/>
      <c r="S50" s="1" t="str">
        <f t="shared" si="5"/>
        <v/>
      </c>
      <c r="T50" s="1" t="str">
        <f>IF(OR($C50="",$D50&lt;&gt;"Gelir",$L50=""),"",IFERROR(INDEX(MUSTERILER!$B$7:$B$156,MATCH($S50,MUSTERILER!$T$7:$T$156,0)),""))</f>
        <v/>
      </c>
      <c r="U50" s="1" t="str">
        <f>IF($T50="","",$T50&amp;"|"&amp;COUNTIFS($T$7:$T50,$T50))</f>
        <v/>
      </c>
      <c r="V50" s="1">
        <f t="shared" si="6"/>
        <v>0</v>
      </c>
      <c r="W50" s="1" t="str">
        <f t="shared" si="7"/>
        <v>Gider|Temsil / Ağırlama|46083|250|</v>
      </c>
      <c r="X50" s="1"/>
      <c r="Y50" s="1"/>
      <c r="Z50" s="1"/>
      <c r="AA50" s="1"/>
      <c r="AB50" s="1"/>
      <c r="AC50" s="1"/>
      <c r="AD50" s="1">
        <f>IF($C50="",0,SUMPRODUCT((AY_SONU!$O$7:$O$42="Evet")*(AY_SONU!$B$7:$B$42=DATE(YEAR($C50),MONTH($C50),1))))</f>
        <v>0</v>
      </c>
      <c r="AE50" s="1" t="str">
        <f>IF($E50="","",$E50&amp;"|"&amp;COUNTIFS($E$7:$E50,$E50))</f>
        <v>Temsil / Ağırlama|10</v>
      </c>
    </row>
    <row r="51" spans="1:31" ht="18" customHeight="1" x14ac:dyDescent="0.3">
      <c r="A51" s="2"/>
      <c r="B51" s="65" t="str">
        <f t="shared" si="0"/>
        <v>GG00045</v>
      </c>
      <c r="C51" s="66">
        <v>46083</v>
      </c>
      <c r="D51" s="60" t="s">
        <v>759</v>
      </c>
      <c r="E51" s="61" t="s">
        <v>767</v>
      </c>
      <c r="F51" s="61" t="s">
        <v>811</v>
      </c>
      <c r="G51" s="67">
        <v>610</v>
      </c>
      <c r="H51" s="60" t="s">
        <v>762</v>
      </c>
      <c r="I51" s="60" t="s">
        <v>763</v>
      </c>
      <c r="J51" s="61"/>
      <c r="K51" s="61"/>
      <c r="L51" s="60"/>
      <c r="M51" s="74" t="str">
        <f t="shared" si="1"/>
        <v>Telefon / İnternet</v>
      </c>
      <c r="N51" s="74" t="str">
        <f t="shared" si="2"/>
        <v>Merkez Kasa</v>
      </c>
      <c r="O51" s="73">
        <f t="shared" si="3"/>
        <v>46082</v>
      </c>
      <c r="P51" s="65" t="str">
        <f t="shared" ca="1" si="4"/>
        <v>UYGUN</v>
      </c>
      <c r="Q51" s="2"/>
      <c r="R51" s="2"/>
      <c r="S51" s="1" t="str">
        <f t="shared" si="5"/>
        <v/>
      </c>
      <c r="T51" s="1" t="str">
        <f>IF(OR($C51="",$D51&lt;&gt;"Gelir",$L51=""),"",IFERROR(INDEX(MUSTERILER!$B$7:$B$156,MATCH($S51,MUSTERILER!$T$7:$T$156,0)),""))</f>
        <v/>
      </c>
      <c r="U51" s="1" t="str">
        <f>IF($T51="","",$T51&amp;"|"&amp;COUNTIFS($T$7:$T51,$T51))</f>
        <v/>
      </c>
      <c r="V51" s="1">
        <f t="shared" si="6"/>
        <v>0</v>
      </c>
      <c r="W51" s="1" t="str">
        <f t="shared" si="7"/>
        <v>Gider|Telefon / İnternet|46083|610|</v>
      </c>
      <c r="X51" s="1"/>
      <c r="Y51" s="1"/>
      <c r="Z51" s="1"/>
      <c r="AA51" s="1"/>
      <c r="AB51" s="1"/>
      <c r="AC51" s="1"/>
      <c r="AD51" s="1">
        <f>IF($C51="",0,SUMPRODUCT((AY_SONU!$O$7:$O$42="Evet")*(AY_SONU!$B$7:$B$42=DATE(YEAR($C51),MONTH($C51),1))))</f>
        <v>0</v>
      </c>
      <c r="AE51" s="1" t="str">
        <f>IF($E51="","",$E51&amp;"|"&amp;COUNTIFS($E$7:$E51,$E51))</f>
        <v>Telefon / İnternet|4</v>
      </c>
    </row>
    <row r="52" spans="1:31" ht="18" customHeight="1" x14ac:dyDescent="0.3">
      <c r="A52" s="2"/>
      <c r="B52" s="65" t="str">
        <f t="shared" si="0"/>
        <v>GG00046</v>
      </c>
      <c r="C52" s="66">
        <v>46088</v>
      </c>
      <c r="D52" s="60" t="s">
        <v>759</v>
      </c>
      <c r="E52" s="61" t="s">
        <v>774</v>
      </c>
      <c r="F52" s="61" t="s">
        <v>775</v>
      </c>
      <c r="G52" s="67">
        <v>2000</v>
      </c>
      <c r="H52" s="60" t="s">
        <v>762</v>
      </c>
      <c r="I52" s="60" t="s">
        <v>763</v>
      </c>
      <c r="J52" s="61"/>
      <c r="K52" s="61"/>
      <c r="L52" s="60"/>
      <c r="M52" s="74" t="str">
        <f t="shared" si="1"/>
        <v>Ulaşım</v>
      </c>
      <c r="N52" s="74" t="str">
        <f t="shared" si="2"/>
        <v>Merkez Kasa</v>
      </c>
      <c r="O52" s="73">
        <f t="shared" si="3"/>
        <v>46082</v>
      </c>
      <c r="P52" s="65" t="str">
        <f t="shared" ca="1" si="4"/>
        <v>UYGUN</v>
      </c>
      <c r="Q52" s="2"/>
      <c r="R52" s="2"/>
      <c r="S52" s="1" t="str">
        <f t="shared" si="5"/>
        <v/>
      </c>
      <c r="T52" s="1" t="str">
        <f>IF(OR($C52="",$D52&lt;&gt;"Gelir",$L52=""),"",IFERROR(INDEX(MUSTERILER!$B$7:$B$156,MATCH($S52,MUSTERILER!$T$7:$T$156,0)),""))</f>
        <v/>
      </c>
      <c r="U52" s="1" t="str">
        <f>IF($T52="","",$T52&amp;"|"&amp;COUNTIFS($T$7:$T52,$T52))</f>
        <v/>
      </c>
      <c r="V52" s="1">
        <f t="shared" si="6"/>
        <v>0</v>
      </c>
      <c r="W52" s="1" t="str">
        <f t="shared" si="7"/>
        <v>Gider|Ulaşım|46088|2000|</v>
      </c>
      <c r="X52" s="1"/>
      <c r="Y52" s="1"/>
      <c r="Z52" s="1"/>
      <c r="AA52" s="1"/>
      <c r="AB52" s="1"/>
      <c r="AC52" s="1"/>
      <c r="AD52" s="1">
        <f>IF($C52="",0,SUMPRODUCT((AY_SONU!$O$7:$O$42="Evet")*(AY_SONU!$B$7:$B$42=DATE(YEAR($C52),MONTH($C52),1))))</f>
        <v>0</v>
      </c>
      <c r="AE52" s="1" t="str">
        <f>IF($E52="","",$E52&amp;"|"&amp;COUNTIFS($E$7:$E52,$E52))</f>
        <v>Ulaşım|4</v>
      </c>
    </row>
    <row r="53" spans="1:31" ht="18" customHeight="1" x14ac:dyDescent="0.3">
      <c r="A53" s="2"/>
      <c r="B53" s="65" t="str">
        <f t="shared" si="0"/>
        <v>GG00047</v>
      </c>
      <c r="C53" s="66">
        <v>46090</v>
      </c>
      <c r="D53" s="60" t="s">
        <v>759</v>
      </c>
      <c r="E53" s="61" t="s">
        <v>781</v>
      </c>
      <c r="F53" s="61" t="s">
        <v>812</v>
      </c>
      <c r="G53" s="67">
        <v>5000</v>
      </c>
      <c r="H53" s="60" t="s">
        <v>762</v>
      </c>
      <c r="I53" s="60" t="s">
        <v>763</v>
      </c>
      <c r="J53" s="61"/>
      <c r="K53" s="61"/>
      <c r="L53" s="60"/>
      <c r="M53" s="74" t="str">
        <f t="shared" si="1"/>
        <v>Personel</v>
      </c>
      <c r="N53" s="74" t="str">
        <f t="shared" si="2"/>
        <v>Merkez Kasa</v>
      </c>
      <c r="O53" s="73">
        <f t="shared" si="3"/>
        <v>46082</v>
      </c>
      <c r="P53" s="65" t="str">
        <f t="shared" ca="1" si="4"/>
        <v>MÜKERRER?</v>
      </c>
      <c r="Q53" s="2"/>
      <c r="R53" s="2"/>
      <c r="S53" s="1" t="str">
        <f t="shared" si="5"/>
        <v/>
      </c>
      <c r="T53" s="1" t="str">
        <f>IF(OR($C53="",$D53&lt;&gt;"Gelir",$L53=""),"",IFERROR(INDEX(MUSTERILER!$B$7:$B$156,MATCH($S53,MUSTERILER!$T$7:$T$156,0)),""))</f>
        <v/>
      </c>
      <c r="U53" s="1" t="str">
        <f>IF($T53="","",$T53&amp;"|"&amp;COUNTIFS($T$7:$T53,$T53))</f>
        <v/>
      </c>
      <c r="V53" s="1">
        <f t="shared" si="6"/>
        <v>0</v>
      </c>
      <c r="W53" s="1" t="str">
        <f t="shared" si="7"/>
        <v>Gider|Personel|46090|5000|</v>
      </c>
      <c r="X53" s="1"/>
      <c r="Y53" s="1"/>
      <c r="Z53" s="1"/>
      <c r="AA53" s="1"/>
      <c r="AB53" s="1"/>
      <c r="AC53" s="1"/>
      <c r="AD53" s="1">
        <f>IF($C53="",0,SUMPRODUCT((AY_SONU!$O$7:$O$42="Evet")*(AY_SONU!$B$7:$B$42=DATE(YEAR($C53),MONTH($C53),1))))</f>
        <v>0</v>
      </c>
      <c r="AE53" s="1" t="str">
        <f>IF($E53="","",$E53&amp;"|"&amp;COUNTIFS($E$7:$E53,$E53))</f>
        <v>Personel|6</v>
      </c>
    </row>
    <row r="54" spans="1:31" ht="18" customHeight="1" x14ac:dyDescent="0.3">
      <c r="A54" s="2"/>
      <c r="B54" s="65" t="str">
        <f t="shared" si="0"/>
        <v>GG00048</v>
      </c>
      <c r="C54" s="66">
        <v>46090</v>
      </c>
      <c r="D54" s="60" t="s">
        <v>759</v>
      </c>
      <c r="E54" s="61" t="s">
        <v>788</v>
      </c>
      <c r="F54" s="61" t="s">
        <v>813</v>
      </c>
      <c r="G54" s="67">
        <v>14000</v>
      </c>
      <c r="H54" s="60" t="s">
        <v>762</v>
      </c>
      <c r="I54" s="60" t="s">
        <v>763</v>
      </c>
      <c r="J54" s="61"/>
      <c r="K54" s="61"/>
      <c r="L54" s="60"/>
      <c r="M54" s="74" t="str">
        <f t="shared" si="1"/>
        <v>Ofis Kirası</v>
      </c>
      <c r="N54" s="74" t="str">
        <f t="shared" si="2"/>
        <v>Merkez Kasa</v>
      </c>
      <c r="O54" s="73">
        <f t="shared" si="3"/>
        <v>46082</v>
      </c>
      <c r="P54" s="65" t="str">
        <f t="shared" ca="1" si="4"/>
        <v>UYGUN</v>
      </c>
      <c r="Q54" s="2"/>
      <c r="R54" s="2"/>
      <c r="S54" s="1" t="str">
        <f t="shared" si="5"/>
        <v/>
      </c>
      <c r="T54" s="1" t="str">
        <f>IF(OR($C54="",$D54&lt;&gt;"Gelir",$L54=""),"",IFERROR(INDEX(MUSTERILER!$B$7:$B$156,MATCH($S54,MUSTERILER!$T$7:$T$156,0)),""))</f>
        <v/>
      </c>
      <c r="U54" s="1" t="str">
        <f>IF($T54="","",$T54&amp;"|"&amp;COUNTIFS($T$7:$T54,$T54))</f>
        <v/>
      </c>
      <c r="V54" s="1">
        <f t="shared" si="6"/>
        <v>0</v>
      </c>
      <c r="W54" s="1" t="str">
        <f t="shared" si="7"/>
        <v>Gider|Ofis Kirası|46090|14000|</v>
      </c>
      <c r="X54" s="1"/>
      <c r="Y54" s="1"/>
      <c r="Z54" s="1"/>
      <c r="AA54" s="1"/>
      <c r="AB54" s="1"/>
      <c r="AC54" s="1"/>
      <c r="AD54" s="1">
        <f>IF($C54="",0,SUMPRODUCT((AY_SONU!$O$7:$O$42="Evet")*(AY_SONU!$B$7:$B$42=DATE(YEAR($C54),MONTH($C54),1))))</f>
        <v>0</v>
      </c>
      <c r="AE54" s="1" t="str">
        <f>IF($E54="","",$E54&amp;"|"&amp;COUNTIFS($E$7:$E54,$E54))</f>
        <v>Ofis Kirası|5</v>
      </c>
    </row>
    <row r="55" spans="1:31" ht="18" customHeight="1" x14ac:dyDescent="0.3">
      <c r="A55" s="2"/>
      <c r="B55" s="65" t="str">
        <f t="shared" si="0"/>
        <v>GG00049</v>
      </c>
      <c r="C55" s="66">
        <v>46090</v>
      </c>
      <c r="D55" s="60" t="s">
        <v>759</v>
      </c>
      <c r="E55" s="61" t="s">
        <v>788</v>
      </c>
      <c r="F55" s="61" t="s">
        <v>814</v>
      </c>
      <c r="G55" s="67">
        <v>2000</v>
      </c>
      <c r="H55" s="60" t="s">
        <v>762</v>
      </c>
      <c r="I55" s="60" t="s">
        <v>763</v>
      </c>
      <c r="J55" s="61"/>
      <c r="K55" s="61"/>
      <c r="L55" s="60"/>
      <c r="M55" s="74" t="str">
        <f t="shared" si="1"/>
        <v>Ofis Kirası</v>
      </c>
      <c r="N55" s="74" t="str">
        <f t="shared" si="2"/>
        <v>Merkez Kasa</v>
      </c>
      <c r="O55" s="73">
        <f t="shared" si="3"/>
        <v>46082</v>
      </c>
      <c r="P55" s="65" t="str">
        <f t="shared" ca="1" si="4"/>
        <v>UYGUN</v>
      </c>
      <c r="Q55" s="2"/>
      <c r="R55" s="2"/>
      <c r="S55" s="1" t="str">
        <f t="shared" si="5"/>
        <v/>
      </c>
      <c r="T55" s="1" t="str">
        <f>IF(OR($C55="",$D55&lt;&gt;"Gelir",$L55=""),"",IFERROR(INDEX(MUSTERILER!$B$7:$B$156,MATCH($S55,MUSTERILER!$T$7:$T$156,0)),""))</f>
        <v/>
      </c>
      <c r="U55" s="1" t="str">
        <f>IF($T55="","",$T55&amp;"|"&amp;COUNTIFS($T$7:$T55,$T55))</f>
        <v/>
      </c>
      <c r="V55" s="1">
        <f t="shared" si="6"/>
        <v>0</v>
      </c>
      <c r="W55" s="1" t="str">
        <f t="shared" si="7"/>
        <v>Gider|Ofis Kirası|46090|2000|</v>
      </c>
      <c r="X55" s="1"/>
      <c r="Y55" s="1"/>
      <c r="Z55" s="1"/>
      <c r="AA55" s="1"/>
      <c r="AB55" s="1"/>
      <c r="AC55" s="1"/>
      <c r="AD55" s="1">
        <f>IF($C55="",0,SUMPRODUCT((AY_SONU!$O$7:$O$42="Evet")*(AY_SONU!$B$7:$B$42=DATE(YEAR($C55),MONTH($C55),1))))</f>
        <v>0</v>
      </c>
      <c r="AE55" s="1" t="str">
        <f>IF($E55="","",$E55&amp;"|"&amp;COUNTIFS($E$7:$E55,$E55))</f>
        <v>Ofis Kirası|6</v>
      </c>
    </row>
    <row r="56" spans="1:31" ht="18" customHeight="1" x14ac:dyDescent="0.3">
      <c r="A56" s="2"/>
      <c r="B56" s="65" t="str">
        <f t="shared" si="0"/>
        <v>GG00050</v>
      </c>
      <c r="C56" s="66">
        <v>46090</v>
      </c>
      <c r="D56" s="60" t="s">
        <v>759</v>
      </c>
      <c r="E56" s="61" t="s">
        <v>767</v>
      </c>
      <c r="F56" s="61" t="s">
        <v>815</v>
      </c>
      <c r="G56" s="67">
        <v>764</v>
      </c>
      <c r="H56" s="60" t="s">
        <v>762</v>
      </c>
      <c r="I56" s="60" t="s">
        <v>763</v>
      </c>
      <c r="J56" s="61"/>
      <c r="K56" s="61"/>
      <c r="L56" s="60"/>
      <c r="M56" s="74" t="str">
        <f t="shared" si="1"/>
        <v>Telefon / İnternet</v>
      </c>
      <c r="N56" s="74" t="str">
        <f t="shared" si="2"/>
        <v>Merkez Kasa</v>
      </c>
      <c r="O56" s="73">
        <f t="shared" si="3"/>
        <v>46082</v>
      </c>
      <c r="P56" s="65" t="str">
        <f t="shared" ca="1" si="4"/>
        <v>UYGUN</v>
      </c>
      <c r="Q56" s="2"/>
      <c r="R56" s="2"/>
      <c r="S56" s="1" t="str">
        <f t="shared" si="5"/>
        <v/>
      </c>
      <c r="T56" s="1" t="str">
        <f>IF(OR($C56="",$D56&lt;&gt;"Gelir",$L56=""),"",IFERROR(INDEX(MUSTERILER!$B$7:$B$156,MATCH($S56,MUSTERILER!$T$7:$T$156,0)),""))</f>
        <v/>
      </c>
      <c r="U56" s="1" t="str">
        <f>IF($T56="","",$T56&amp;"|"&amp;COUNTIFS($T$7:$T56,$T56))</f>
        <v/>
      </c>
      <c r="V56" s="1">
        <f t="shared" si="6"/>
        <v>0</v>
      </c>
      <c r="W56" s="1" t="str">
        <f t="shared" si="7"/>
        <v>Gider|Telefon / İnternet|46090|764|</v>
      </c>
      <c r="X56" s="1"/>
      <c r="Y56" s="1"/>
      <c r="Z56" s="1"/>
      <c r="AA56" s="1"/>
      <c r="AB56" s="1"/>
      <c r="AC56" s="1"/>
      <c r="AD56" s="1">
        <f>IF($C56="",0,SUMPRODUCT((AY_SONU!$O$7:$O$42="Evet")*(AY_SONU!$B$7:$B$42=DATE(YEAR($C56),MONTH($C56),1))))</f>
        <v>0</v>
      </c>
      <c r="AE56" s="1" t="str">
        <f>IF($E56="","",$E56&amp;"|"&amp;COUNTIFS($E$7:$E56,$E56))</f>
        <v>Telefon / İnternet|5</v>
      </c>
    </row>
    <row r="57" spans="1:31" ht="18" customHeight="1" x14ac:dyDescent="0.3">
      <c r="A57" s="2"/>
      <c r="B57" s="65" t="str">
        <f t="shared" si="0"/>
        <v>GG00051</v>
      </c>
      <c r="C57" s="66">
        <v>46090</v>
      </c>
      <c r="D57" s="60" t="s">
        <v>759</v>
      </c>
      <c r="E57" s="61" t="s">
        <v>816</v>
      </c>
      <c r="F57" s="61" t="s">
        <v>817</v>
      </c>
      <c r="G57" s="67">
        <v>20000</v>
      </c>
      <c r="H57" s="60" t="s">
        <v>762</v>
      </c>
      <c r="I57" s="60" t="s">
        <v>763</v>
      </c>
      <c r="J57" s="61"/>
      <c r="K57" s="61"/>
      <c r="L57" s="60"/>
      <c r="M57" s="74" t="str">
        <f t="shared" si="1"/>
        <v>Demirbaş</v>
      </c>
      <c r="N57" s="74" t="str">
        <f t="shared" si="2"/>
        <v>Merkez Kasa</v>
      </c>
      <c r="O57" s="73">
        <f t="shared" si="3"/>
        <v>46082</v>
      </c>
      <c r="P57" s="65" t="str">
        <f t="shared" ca="1" si="4"/>
        <v>UYGUN</v>
      </c>
      <c r="Q57" s="2"/>
      <c r="R57" s="2"/>
      <c r="S57" s="1" t="str">
        <f t="shared" si="5"/>
        <v/>
      </c>
      <c r="T57" s="1" t="str">
        <f>IF(OR($C57="",$D57&lt;&gt;"Gelir",$L57=""),"",IFERROR(INDEX(MUSTERILER!$B$7:$B$156,MATCH($S57,MUSTERILER!$T$7:$T$156,0)),""))</f>
        <v/>
      </c>
      <c r="U57" s="1" t="str">
        <f>IF($T57="","",$T57&amp;"|"&amp;COUNTIFS($T$7:$T57,$T57))</f>
        <v/>
      </c>
      <c r="V57" s="1">
        <f t="shared" si="6"/>
        <v>0</v>
      </c>
      <c r="W57" s="1" t="str">
        <f t="shared" si="7"/>
        <v>Gider|Demirbaş|46090|20000|</v>
      </c>
      <c r="X57" s="1"/>
      <c r="Y57" s="1"/>
      <c r="Z57" s="1"/>
      <c r="AA57" s="1"/>
      <c r="AB57" s="1"/>
      <c r="AC57" s="1"/>
      <c r="AD57" s="1">
        <f>IF($C57="",0,SUMPRODUCT((AY_SONU!$O$7:$O$42="Evet")*(AY_SONU!$B$7:$B$42=DATE(YEAR($C57),MONTH($C57),1))))</f>
        <v>0</v>
      </c>
      <c r="AE57" s="1" t="str">
        <f>IF($E57="","",$E57&amp;"|"&amp;COUNTIFS($E$7:$E57,$E57))</f>
        <v>Demirbaş|1</v>
      </c>
    </row>
    <row r="58" spans="1:31" ht="18" customHeight="1" x14ac:dyDescent="0.3">
      <c r="A58" s="2"/>
      <c r="B58" s="65" t="str">
        <f t="shared" si="0"/>
        <v>GG00052</v>
      </c>
      <c r="C58" s="66">
        <v>46090</v>
      </c>
      <c r="D58" s="60" t="s">
        <v>759</v>
      </c>
      <c r="E58" s="61" t="s">
        <v>781</v>
      </c>
      <c r="F58" s="61" t="s">
        <v>818</v>
      </c>
      <c r="G58" s="67">
        <v>5000</v>
      </c>
      <c r="H58" s="60" t="s">
        <v>762</v>
      </c>
      <c r="I58" s="60" t="s">
        <v>763</v>
      </c>
      <c r="J58" s="61"/>
      <c r="K58" s="61"/>
      <c r="L58" s="60"/>
      <c r="M58" s="74" t="str">
        <f t="shared" si="1"/>
        <v>Personel</v>
      </c>
      <c r="N58" s="74" t="str">
        <f t="shared" si="2"/>
        <v>Merkez Kasa</v>
      </c>
      <c r="O58" s="73">
        <f t="shared" si="3"/>
        <v>46082</v>
      </c>
      <c r="P58" s="65" t="str">
        <f t="shared" ca="1" si="4"/>
        <v>MÜKERRER?</v>
      </c>
      <c r="Q58" s="2"/>
      <c r="R58" s="2"/>
      <c r="S58" s="1" t="str">
        <f t="shared" si="5"/>
        <v/>
      </c>
      <c r="T58" s="1" t="str">
        <f>IF(OR($C58="",$D58&lt;&gt;"Gelir",$L58=""),"",IFERROR(INDEX(MUSTERILER!$B$7:$B$156,MATCH($S58,MUSTERILER!$T$7:$T$156,0)),""))</f>
        <v/>
      </c>
      <c r="U58" s="1" t="str">
        <f>IF($T58="","",$T58&amp;"|"&amp;COUNTIFS($T$7:$T58,$T58))</f>
        <v/>
      </c>
      <c r="V58" s="1">
        <f t="shared" si="6"/>
        <v>0</v>
      </c>
      <c r="W58" s="1" t="str">
        <f t="shared" si="7"/>
        <v>Gider|Personel|46090|5000|</v>
      </c>
      <c r="X58" s="1"/>
      <c r="Y58" s="1"/>
      <c r="Z58" s="1"/>
      <c r="AA58" s="1"/>
      <c r="AB58" s="1"/>
      <c r="AC58" s="1"/>
      <c r="AD58" s="1">
        <f>IF($C58="",0,SUMPRODUCT((AY_SONU!$O$7:$O$42="Evet")*(AY_SONU!$B$7:$B$42=DATE(YEAR($C58),MONTH($C58),1))))</f>
        <v>0</v>
      </c>
      <c r="AE58" s="1" t="str">
        <f>IF($E58="","",$E58&amp;"|"&amp;COUNTIFS($E$7:$E58,$E58))</f>
        <v>Personel|7</v>
      </c>
    </row>
    <row r="59" spans="1:31" ht="18" customHeight="1" x14ac:dyDescent="0.3">
      <c r="A59" s="2"/>
      <c r="B59" s="65" t="str">
        <f t="shared" si="0"/>
        <v>GG00053</v>
      </c>
      <c r="C59" s="66">
        <v>46096</v>
      </c>
      <c r="D59" s="60" t="s">
        <v>759</v>
      </c>
      <c r="E59" s="61" t="s">
        <v>774</v>
      </c>
      <c r="F59" s="61" t="s">
        <v>819</v>
      </c>
      <c r="G59" s="67">
        <v>4000</v>
      </c>
      <c r="H59" s="60" t="s">
        <v>762</v>
      </c>
      <c r="I59" s="60" t="s">
        <v>763</v>
      </c>
      <c r="J59" s="61"/>
      <c r="K59" s="61"/>
      <c r="L59" s="60"/>
      <c r="M59" s="74" t="str">
        <f t="shared" si="1"/>
        <v>Ulaşım</v>
      </c>
      <c r="N59" s="74" t="str">
        <f t="shared" si="2"/>
        <v>Merkez Kasa</v>
      </c>
      <c r="O59" s="73">
        <f t="shared" si="3"/>
        <v>46082</v>
      </c>
      <c r="P59" s="65" t="str">
        <f t="shared" ca="1" si="4"/>
        <v>UYGUN</v>
      </c>
      <c r="Q59" s="2"/>
      <c r="R59" s="2"/>
      <c r="S59" s="1" t="str">
        <f t="shared" si="5"/>
        <v/>
      </c>
      <c r="T59" s="1" t="str">
        <f>IF(OR($C59="",$D59&lt;&gt;"Gelir",$L59=""),"",IFERROR(INDEX(MUSTERILER!$B$7:$B$156,MATCH($S59,MUSTERILER!$T$7:$T$156,0)),""))</f>
        <v/>
      </c>
      <c r="U59" s="1" t="str">
        <f>IF($T59="","",$T59&amp;"|"&amp;COUNTIFS($T$7:$T59,$T59))</f>
        <v/>
      </c>
      <c r="V59" s="1">
        <f t="shared" si="6"/>
        <v>0</v>
      </c>
      <c r="W59" s="1" t="str">
        <f t="shared" si="7"/>
        <v>Gider|Ulaşım|46096|4000|</v>
      </c>
      <c r="X59" s="1"/>
      <c r="Y59" s="1"/>
      <c r="Z59" s="1"/>
      <c r="AA59" s="1"/>
      <c r="AB59" s="1"/>
      <c r="AC59" s="1"/>
      <c r="AD59" s="1">
        <f>IF($C59="",0,SUMPRODUCT((AY_SONU!$O$7:$O$42="Evet")*(AY_SONU!$B$7:$B$42=DATE(YEAR($C59),MONTH($C59),1))))</f>
        <v>0</v>
      </c>
      <c r="AE59" s="1" t="str">
        <f>IF($E59="","",$E59&amp;"|"&amp;COUNTIFS($E$7:$E59,$E59))</f>
        <v>Ulaşım|5</v>
      </c>
    </row>
    <row r="60" spans="1:31" ht="18" customHeight="1" x14ac:dyDescent="0.3">
      <c r="A60" s="2"/>
      <c r="B60" s="65" t="str">
        <f t="shared" si="0"/>
        <v>GG00054</v>
      </c>
      <c r="C60" s="66">
        <v>46096</v>
      </c>
      <c r="D60" s="60" t="s">
        <v>759</v>
      </c>
      <c r="E60" s="61" t="s">
        <v>767</v>
      </c>
      <c r="F60" s="61" t="s">
        <v>820</v>
      </c>
      <c r="G60" s="67">
        <v>800</v>
      </c>
      <c r="H60" s="60" t="s">
        <v>762</v>
      </c>
      <c r="I60" s="60" t="s">
        <v>763</v>
      </c>
      <c r="J60" s="61"/>
      <c r="K60" s="61"/>
      <c r="L60" s="60"/>
      <c r="M60" s="74" t="str">
        <f t="shared" si="1"/>
        <v>Telefon / İnternet</v>
      </c>
      <c r="N60" s="74" t="str">
        <f t="shared" si="2"/>
        <v>Merkez Kasa</v>
      </c>
      <c r="O60" s="73">
        <f t="shared" si="3"/>
        <v>46082</v>
      </c>
      <c r="P60" s="65" t="str">
        <f t="shared" ca="1" si="4"/>
        <v>UYGUN</v>
      </c>
      <c r="Q60" s="2"/>
      <c r="R60" s="2"/>
      <c r="S60" s="1" t="str">
        <f t="shared" si="5"/>
        <v/>
      </c>
      <c r="T60" s="1" t="str">
        <f>IF(OR($C60="",$D60&lt;&gt;"Gelir",$L60=""),"",IFERROR(INDEX(MUSTERILER!$B$7:$B$156,MATCH($S60,MUSTERILER!$T$7:$T$156,0)),""))</f>
        <v/>
      </c>
      <c r="U60" s="1" t="str">
        <f>IF($T60="","",$T60&amp;"|"&amp;COUNTIFS($T$7:$T60,$T60))</f>
        <v/>
      </c>
      <c r="V60" s="1">
        <f t="shared" si="6"/>
        <v>0</v>
      </c>
      <c r="W60" s="1" t="str">
        <f t="shared" si="7"/>
        <v>Gider|Telefon / İnternet|46096|800|</v>
      </c>
      <c r="X60" s="1"/>
      <c r="Y60" s="1"/>
      <c r="Z60" s="1"/>
      <c r="AA60" s="1"/>
      <c r="AB60" s="1"/>
      <c r="AC60" s="1"/>
      <c r="AD60" s="1">
        <f>IF($C60="",0,SUMPRODUCT((AY_SONU!$O$7:$O$42="Evet")*(AY_SONU!$B$7:$B$42=DATE(YEAR($C60),MONTH($C60),1))))</f>
        <v>0</v>
      </c>
      <c r="AE60" s="1" t="str">
        <f>IF($E60="","",$E60&amp;"|"&amp;COUNTIFS($E$7:$E60,$E60))</f>
        <v>Telefon / İnternet|6</v>
      </c>
    </row>
    <row r="61" spans="1:31" ht="18" customHeight="1" x14ac:dyDescent="0.3">
      <c r="A61" s="2"/>
      <c r="B61" s="65" t="str">
        <f t="shared" si="0"/>
        <v>GG00055</v>
      </c>
      <c r="C61" s="66">
        <v>46103</v>
      </c>
      <c r="D61" s="60" t="s">
        <v>759</v>
      </c>
      <c r="E61" s="61" t="s">
        <v>774</v>
      </c>
      <c r="F61" s="61" t="s">
        <v>821</v>
      </c>
      <c r="G61" s="67">
        <v>4000</v>
      </c>
      <c r="H61" s="60" t="s">
        <v>762</v>
      </c>
      <c r="I61" s="60" t="s">
        <v>763</v>
      </c>
      <c r="J61" s="61"/>
      <c r="K61" s="61"/>
      <c r="L61" s="60"/>
      <c r="M61" s="74" t="str">
        <f t="shared" si="1"/>
        <v>Ulaşım</v>
      </c>
      <c r="N61" s="74" t="str">
        <f t="shared" si="2"/>
        <v>Merkez Kasa</v>
      </c>
      <c r="O61" s="73">
        <f t="shared" si="3"/>
        <v>46082</v>
      </c>
      <c r="P61" s="65" t="str">
        <f t="shared" ca="1" si="4"/>
        <v>UYGUN</v>
      </c>
      <c r="Q61" s="2"/>
      <c r="R61" s="2"/>
      <c r="S61" s="1" t="str">
        <f t="shared" si="5"/>
        <v/>
      </c>
      <c r="T61" s="1" t="str">
        <f>IF(OR($C61="",$D61&lt;&gt;"Gelir",$L61=""),"",IFERROR(INDEX(MUSTERILER!$B$7:$B$156,MATCH($S61,MUSTERILER!$T$7:$T$156,0)),""))</f>
        <v/>
      </c>
      <c r="U61" s="1" t="str">
        <f>IF($T61="","",$T61&amp;"|"&amp;COUNTIFS($T$7:$T61,$T61))</f>
        <v/>
      </c>
      <c r="V61" s="1">
        <f t="shared" si="6"/>
        <v>0</v>
      </c>
      <c r="W61" s="1" t="str">
        <f t="shared" si="7"/>
        <v>Gider|Ulaşım|46103|4000|</v>
      </c>
      <c r="X61" s="1"/>
      <c r="Y61" s="1"/>
      <c r="Z61" s="1"/>
      <c r="AA61" s="1"/>
      <c r="AB61" s="1"/>
      <c r="AC61" s="1"/>
      <c r="AD61" s="1">
        <f>IF($C61="",0,SUMPRODUCT((AY_SONU!$O$7:$O$42="Evet")*(AY_SONU!$B$7:$B$42=DATE(YEAR($C61),MONTH($C61),1))))</f>
        <v>0</v>
      </c>
      <c r="AE61" s="1" t="str">
        <f>IF($E61="","",$E61&amp;"|"&amp;COUNTIFS($E$7:$E61,$E61))</f>
        <v>Ulaşım|6</v>
      </c>
    </row>
    <row r="62" spans="1:31" ht="18" customHeight="1" x14ac:dyDescent="0.3">
      <c r="A62" s="2"/>
      <c r="B62" s="65" t="str">
        <f t="shared" si="0"/>
        <v>GG00056</v>
      </c>
      <c r="C62" s="66">
        <v>46106</v>
      </c>
      <c r="D62" s="60" t="s">
        <v>759</v>
      </c>
      <c r="E62" s="61" t="s">
        <v>776</v>
      </c>
      <c r="F62" s="61" t="s">
        <v>822</v>
      </c>
      <c r="G62" s="67">
        <v>420</v>
      </c>
      <c r="H62" s="60" t="s">
        <v>762</v>
      </c>
      <c r="I62" s="60" t="s">
        <v>763</v>
      </c>
      <c r="J62" s="61"/>
      <c r="K62" s="61"/>
      <c r="L62" s="60"/>
      <c r="M62" s="74" t="str">
        <f t="shared" si="1"/>
        <v>Temsil / Ağırlama</v>
      </c>
      <c r="N62" s="74" t="str">
        <f t="shared" si="2"/>
        <v>Merkez Kasa</v>
      </c>
      <c r="O62" s="73">
        <f t="shared" si="3"/>
        <v>46082</v>
      </c>
      <c r="P62" s="65" t="str">
        <f t="shared" ca="1" si="4"/>
        <v>UYGUN</v>
      </c>
      <c r="Q62" s="2"/>
      <c r="R62" s="2"/>
      <c r="S62" s="1" t="str">
        <f t="shared" si="5"/>
        <v/>
      </c>
      <c r="T62" s="1" t="str">
        <f>IF(OR($C62="",$D62&lt;&gt;"Gelir",$L62=""),"",IFERROR(INDEX(MUSTERILER!$B$7:$B$156,MATCH($S62,MUSTERILER!$T$7:$T$156,0)),""))</f>
        <v/>
      </c>
      <c r="U62" s="1" t="str">
        <f>IF($T62="","",$T62&amp;"|"&amp;COUNTIFS($T$7:$T62,$T62))</f>
        <v/>
      </c>
      <c r="V62" s="1">
        <f t="shared" si="6"/>
        <v>0</v>
      </c>
      <c r="W62" s="1" t="str">
        <f t="shared" si="7"/>
        <v>Gider|Temsil / Ağırlama|46106|420|</v>
      </c>
      <c r="X62" s="1"/>
      <c r="Y62" s="1"/>
      <c r="Z62" s="1"/>
      <c r="AA62" s="1"/>
      <c r="AB62" s="1"/>
      <c r="AC62" s="1"/>
      <c r="AD62" s="1">
        <f>IF($C62="",0,SUMPRODUCT((AY_SONU!$O$7:$O$42="Evet")*(AY_SONU!$B$7:$B$42=DATE(YEAR($C62),MONTH($C62),1))))</f>
        <v>0</v>
      </c>
      <c r="AE62" s="1" t="str">
        <f>IF($E62="","",$E62&amp;"|"&amp;COUNTIFS($E$7:$E62,$E62))</f>
        <v>Temsil / Ağırlama|11</v>
      </c>
    </row>
    <row r="63" spans="1:31" ht="18" customHeight="1" x14ac:dyDescent="0.3">
      <c r="A63" s="2"/>
      <c r="B63" s="65" t="str">
        <f t="shared" si="0"/>
        <v>GG00057</v>
      </c>
      <c r="C63" s="66">
        <v>46107</v>
      </c>
      <c r="D63" s="60" t="s">
        <v>759</v>
      </c>
      <c r="E63" s="61" t="s">
        <v>776</v>
      </c>
      <c r="F63" s="61" t="s">
        <v>823</v>
      </c>
      <c r="G63" s="67">
        <v>450</v>
      </c>
      <c r="H63" s="60" t="s">
        <v>762</v>
      </c>
      <c r="I63" s="60" t="s">
        <v>763</v>
      </c>
      <c r="J63" s="61"/>
      <c r="K63" s="61"/>
      <c r="L63" s="60"/>
      <c r="M63" s="74" t="str">
        <f t="shared" si="1"/>
        <v>Temsil / Ağırlama</v>
      </c>
      <c r="N63" s="74" t="str">
        <f t="shared" si="2"/>
        <v>Merkez Kasa</v>
      </c>
      <c r="O63" s="73">
        <f t="shared" si="3"/>
        <v>46082</v>
      </c>
      <c r="P63" s="65" t="str">
        <f t="shared" ca="1" si="4"/>
        <v>UYGUN</v>
      </c>
      <c r="Q63" s="2"/>
      <c r="R63" s="2"/>
      <c r="S63" s="1" t="str">
        <f t="shared" si="5"/>
        <v/>
      </c>
      <c r="T63" s="1" t="str">
        <f>IF(OR($C63="",$D63&lt;&gt;"Gelir",$L63=""),"",IFERROR(INDEX(MUSTERILER!$B$7:$B$156,MATCH($S63,MUSTERILER!$T$7:$T$156,0)),""))</f>
        <v/>
      </c>
      <c r="U63" s="1" t="str">
        <f>IF($T63="","",$T63&amp;"|"&amp;COUNTIFS($T$7:$T63,$T63))</f>
        <v/>
      </c>
      <c r="V63" s="1">
        <f t="shared" si="6"/>
        <v>0</v>
      </c>
      <c r="W63" s="1" t="str">
        <f t="shared" si="7"/>
        <v>Gider|Temsil / Ağırlama|46107|450|</v>
      </c>
      <c r="X63" s="1"/>
      <c r="Y63" s="1"/>
      <c r="Z63" s="1"/>
      <c r="AA63" s="1"/>
      <c r="AB63" s="1"/>
      <c r="AC63" s="1"/>
      <c r="AD63" s="1">
        <f>IF($C63="",0,SUMPRODUCT((AY_SONU!$O$7:$O$42="Evet")*(AY_SONU!$B$7:$B$42=DATE(YEAR($C63),MONTH($C63),1))))</f>
        <v>0</v>
      </c>
      <c r="AE63" s="1" t="str">
        <f>IF($E63="","",$E63&amp;"|"&amp;COUNTIFS($E$7:$E63,$E63))</f>
        <v>Temsil / Ağırlama|12</v>
      </c>
    </row>
    <row r="64" spans="1:31" ht="18" customHeight="1" x14ac:dyDescent="0.3">
      <c r="A64" s="2"/>
      <c r="B64" s="65" t="str">
        <f t="shared" si="0"/>
        <v>GG00058</v>
      </c>
      <c r="C64" s="66">
        <v>46111</v>
      </c>
      <c r="D64" s="60" t="s">
        <v>759</v>
      </c>
      <c r="E64" s="61" t="s">
        <v>781</v>
      </c>
      <c r="F64" s="61" t="s">
        <v>824</v>
      </c>
      <c r="G64" s="67">
        <v>45000</v>
      </c>
      <c r="H64" s="60" t="s">
        <v>762</v>
      </c>
      <c r="I64" s="60" t="s">
        <v>763</v>
      </c>
      <c r="J64" s="61"/>
      <c r="K64" s="61"/>
      <c r="L64" s="60"/>
      <c r="M64" s="74" t="str">
        <f t="shared" si="1"/>
        <v>Personel</v>
      </c>
      <c r="N64" s="74" t="str">
        <f t="shared" si="2"/>
        <v>Merkez Kasa</v>
      </c>
      <c r="O64" s="73">
        <f t="shared" si="3"/>
        <v>46082</v>
      </c>
      <c r="P64" s="65" t="str">
        <f t="shared" ca="1" si="4"/>
        <v>UYGUN</v>
      </c>
      <c r="Q64" s="2"/>
      <c r="R64" s="2"/>
      <c r="S64" s="1" t="str">
        <f t="shared" si="5"/>
        <v/>
      </c>
      <c r="T64" s="1" t="str">
        <f>IF(OR($C64="",$D64&lt;&gt;"Gelir",$L64=""),"",IFERROR(INDEX(MUSTERILER!$B$7:$B$156,MATCH($S64,MUSTERILER!$T$7:$T$156,0)),""))</f>
        <v/>
      </c>
      <c r="U64" s="1" t="str">
        <f>IF($T64="","",$T64&amp;"|"&amp;COUNTIFS($T$7:$T64,$T64))</f>
        <v/>
      </c>
      <c r="V64" s="1">
        <f t="shared" si="6"/>
        <v>0</v>
      </c>
      <c r="W64" s="1" t="str">
        <f t="shared" si="7"/>
        <v>Gider|Personel|46111|45000|</v>
      </c>
      <c r="X64" s="1"/>
      <c r="Y64" s="1"/>
      <c r="Z64" s="1"/>
      <c r="AA64" s="1"/>
      <c r="AB64" s="1"/>
      <c r="AC64" s="1"/>
      <c r="AD64" s="1">
        <f>IF($C64="",0,SUMPRODUCT((AY_SONU!$O$7:$O$42="Evet")*(AY_SONU!$B$7:$B$42=DATE(YEAR($C64),MONTH($C64),1))))</f>
        <v>0</v>
      </c>
      <c r="AE64" s="1" t="str">
        <f>IF($E64="","",$E64&amp;"|"&amp;COUNTIFS($E$7:$E64,$E64))</f>
        <v>Personel|8</v>
      </c>
    </row>
    <row r="65" spans="1:31" ht="18" customHeight="1" x14ac:dyDescent="0.3">
      <c r="A65" s="2"/>
      <c r="B65" s="65" t="str">
        <f t="shared" si="0"/>
        <v>GG00059</v>
      </c>
      <c r="C65" s="66">
        <v>46111</v>
      </c>
      <c r="D65" s="60" t="s">
        <v>759</v>
      </c>
      <c r="E65" s="61" t="s">
        <v>784</v>
      </c>
      <c r="F65" s="61" t="s">
        <v>825</v>
      </c>
      <c r="G65" s="67">
        <v>11810</v>
      </c>
      <c r="H65" s="60" t="s">
        <v>762</v>
      </c>
      <c r="I65" s="60" t="s">
        <v>763</v>
      </c>
      <c r="J65" s="61"/>
      <c r="K65" s="61"/>
      <c r="L65" s="60"/>
      <c r="M65" s="74" t="str">
        <f t="shared" si="1"/>
        <v>Vergi / Harç</v>
      </c>
      <c r="N65" s="74" t="str">
        <f t="shared" si="2"/>
        <v>Merkez Kasa</v>
      </c>
      <c r="O65" s="73">
        <f t="shared" si="3"/>
        <v>46082</v>
      </c>
      <c r="P65" s="65" t="str">
        <f t="shared" ca="1" si="4"/>
        <v>UYGUN</v>
      </c>
      <c r="Q65" s="2"/>
      <c r="R65" s="2"/>
      <c r="S65" s="1" t="str">
        <f t="shared" si="5"/>
        <v/>
      </c>
      <c r="T65" s="1" t="str">
        <f>IF(OR($C65="",$D65&lt;&gt;"Gelir",$L65=""),"",IFERROR(INDEX(MUSTERILER!$B$7:$B$156,MATCH($S65,MUSTERILER!$T$7:$T$156,0)),""))</f>
        <v/>
      </c>
      <c r="U65" s="1" t="str">
        <f>IF($T65="","",$T65&amp;"|"&amp;COUNTIFS($T$7:$T65,$T65))</f>
        <v/>
      </c>
      <c r="V65" s="1">
        <f t="shared" si="6"/>
        <v>0</v>
      </c>
      <c r="W65" s="1" t="str">
        <f t="shared" si="7"/>
        <v>Gider|Vergi / Harç|46111|11810|</v>
      </c>
      <c r="X65" s="1"/>
      <c r="Y65" s="1"/>
      <c r="Z65" s="1"/>
      <c r="AA65" s="1"/>
      <c r="AB65" s="1"/>
      <c r="AC65" s="1"/>
      <c r="AD65" s="1">
        <f>IF($C65="",0,SUMPRODUCT((AY_SONU!$O$7:$O$42="Evet")*(AY_SONU!$B$7:$B$42=DATE(YEAR($C65),MONTH($C65),1))))</f>
        <v>0</v>
      </c>
      <c r="AE65" s="1" t="str">
        <f>IF($E65="","",$E65&amp;"|"&amp;COUNTIFS($E$7:$E65,$E65))</f>
        <v>Vergi / Harç|8</v>
      </c>
    </row>
    <row r="66" spans="1:31" ht="18" customHeight="1" x14ac:dyDescent="0.3">
      <c r="A66" s="2"/>
      <c r="B66" s="65" t="str">
        <f t="shared" si="0"/>
        <v>GG00060</v>
      </c>
      <c r="C66" s="66">
        <v>46111</v>
      </c>
      <c r="D66" s="60" t="s">
        <v>759</v>
      </c>
      <c r="E66" s="61" t="s">
        <v>826</v>
      </c>
      <c r="F66" s="61" t="s">
        <v>827</v>
      </c>
      <c r="G66" s="67">
        <v>11900</v>
      </c>
      <c r="H66" s="60" t="s">
        <v>762</v>
      </c>
      <c r="I66" s="60" t="s">
        <v>763</v>
      </c>
      <c r="J66" s="61"/>
      <c r="K66" s="61"/>
      <c r="L66" s="60"/>
      <c r="M66" s="74" t="str">
        <f t="shared" si="1"/>
        <v>Yazılım / Abonelik</v>
      </c>
      <c r="N66" s="74" t="str">
        <f t="shared" si="2"/>
        <v>Merkez Kasa</v>
      </c>
      <c r="O66" s="73">
        <f t="shared" si="3"/>
        <v>46082</v>
      </c>
      <c r="P66" s="65" t="str">
        <f t="shared" ca="1" si="4"/>
        <v>UYGUN</v>
      </c>
      <c r="Q66" s="2"/>
      <c r="R66" s="2"/>
      <c r="S66" s="1" t="str">
        <f t="shared" si="5"/>
        <v/>
      </c>
      <c r="T66" s="1" t="str">
        <f>IF(OR($C66="",$D66&lt;&gt;"Gelir",$L66=""),"",IFERROR(INDEX(MUSTERILER!$B$7:$B$156,MATCH($S66,MUSTERILER!$T$7:$T$156,0)),""))</f>
        <v/>
      </c>
      <c r="U66" s="1" t="str">
        <f>IF($T66="","",$T66&amp;"|"&amp;COUNTIFS($T$7:$T66,$T66))</f>
        <v/>
      </c>
      <c r="V66" s="1">
        <f t="shared" si="6"/>
        <v>0</v>
      </c>
      <c r="W66" s="1" t="str">
        <f t="shared" si="7"/>
        <v>Gider|Yazılım / Abonelik|46111|11900|</v>
      </c>
      <c r="X66" s="1"/>
      <c r="Y66" s="1"/>
      <c r="Z66" s="1"/>
      <c r="AA66" s="1"/>
      <c r="AB66" s="1"/>
      <c r="AC66" s="1"/>
      <c r="AD66" s="1">
        <f>IF($C66="",0,SUMPRODUCT((AY_SONU!$O$7:$O$42="Evet")*(AY_SONU!$B$7:$B$42=DATE(YEAR($C66),MONTH($C66),1))))</f>
        <v>0</v>
      </c>
      <c r="AE66" s="1" t="str">
        <f>IF($E66="","",$E66&amp;"|"&amp;COUNTIFS($E$7:$E66,$E66))</f>
        <v>Yazılım / Abonelik|1</v>
      </c>
    </row>
    <row r="67" spans="1:31" ht="18" customHeight="1" x14ac:dyDescent="0.3">
      <c r="A67" s="2"/>
      <c r="B67" s="65" t="str">
        <f t="shared" si="0"/>
        <v>GG00061</v>
      </c>
      <c r="C67" s="66">
        <v>46111</v>
      </c>
      <c r="D67" s="60" t="s">
        <v>759</v>
      </c>
      <c r="E67" s="61" t="s">
        <v>767</v>
      </c>
      <c r="F67" s="61" t="s">
        <v>773</v>
      </c>
      <c r="G67" s="67">
        <v>610</v>
      </c>
      <c r="H67" s="60" t="s">
        <v>762</v>
      </c>
      <c r="I67" s="60" t="s">
        <v>763</v>
      </c>
      <c r="J67" s="61"/>
      <c r="K67" s="61"/>
      <c r="L67" s="60"/>
      <c r="M67" s="74" t="str">
        <f t="shared" si="1"/>
        <v>Telefon / İnternet</v>
      </c>
      <c r="N67" s="74" t="str">
        <f t="shared" si="2"/>
        <v>Merkez Kasa</v>
      </c>
      <c r="O67" s="73">
        <f t="shared" si="3"/>
        <v>46082</v>
      </c>
      <c r="P67" s="65" t="str">
        <f t="shared" ca="1" si="4"/>
        <v>UYGUN</v>
      </c>
      <c r="Q67" s="2"/>
      <c r="R67" s="2"/>
      <c r="S67" s="1" t="str">
        <f t="shared" si="5"/>
        <v/>
      </c>
      <c r="T67" s="1" t="str">
        <f>IF(OR($C67="",$D67&lt;&gt;"Gelir",$L67=""),"",IFERROR(INDEX(MUSTERILER!$B$7:$B$156,MATCH($S67,MUSTERILER!$T$7:$T$156,0)),""))</f>
        <v/>
      </c>
      <c r="U67" s="1" t="str">
        <f>IF($T67="","",$T67&amp;"|"&amp;COUNTIFS($T$7:$T67,$T67))</f>
        <v/>
      </c>
      <c r="V67" s="1">
        <f t="shared" si="6"/>
        <v>0</v>
      </c>
      <c r="W67" s="1" t="str">
        <f t="shared" si="7"/>
        <v>Gider|Telefon / İnternet|46111|610|</v>
      </c>
      <c r="X67" s="1"/>
      <c r="Y67" s="1"/>
      <c r="Z67" s="1"/>
      <c r="AA67" s="1"/>
      <c r="AB67" s="1"/>
      <c r="AC67" s="1"/>
      <c r="AD67" s="1">
        <f>IF($C67="",0,SUMPRODUCT((AY_SONU!$O$7:$O$42="Evet")*(AY_SONU!$B$7:$B$42=DATE(YEAR($C67),MONTH($C67),1))))</f>
        <v>0</v>
      </c>
      <c r="AE67" s="1" t="str">
        <f>IF($E67="","",$E67&amp;"|"&amp;COUNTIFS($E$7:$E67,$E67))</f>
        <v>Telefon / İnternet|7</v>
      </c>
    </row>
    <row r="68" spans="1:31" ht="18" customHeight="1" x14ac:dyDescent="0.3">
      <c r="A68" s="2"/>
      <c r="B68" s="65" t="str">
        <f t="shared" si="0"/>
        <v>GG00062</v>
      </c>
      <c r="C68" s="66">
        <v>46111</v>
      </c>
      <c r="D68" s="60" t="s">
        <v>759</v>
      </c>
      <c r="E68" s="61" t="s">
        <v>774</v>
      </c>
      <c r="F68" s="61" t="s">
        <v>828</v>
      </c>
      <c r="G68" s="67">
        <v>4900</v>
      </c>
      <c r="H68" s="60" t="s">
        <v>762</v>
      </c>
      <c r="I68" s="60" t="s">
        <v>763</v>
      </c>
      <c r="J68" s="61"/>
      <c r="K68" s="61"/>
      <c r="L68" s="60"/>
      <c r="M68" s="74" t="str">
        <f t="shared" si="1"/>
        <v>Ulaşım</v>
      </c>
      <c r="N68" s="74" t="str">
        <f t="shared" si="2"/>
        <v>Merkez Kasa</v>
      </c>
      <c r="O68" s="73">
        <f t="shared" si="3"/>
        <v>46082</v>
      </c>
      <c r="P68" s="65" t="str">
        <f t="shared" ca="1" si="4"/>
        <v>UYGUN</v>
      </c>
      <c r="Q68" s="2"/>
      <c r="R68" s="2"/>
      <c r="S68" s="1" t="str">
        <f t="shared" si="5"/>
        <v/>
      </c>
      <c r="T68" s="1" t="str">
        <f>IF(OR($C68="",$D68&lt;&gt;"Gelir",$L68=""),"",IFERROR(INDEX(MUSTERILER!$B$7:$B$156,MATCH($S68,MUSTERILER!$T$7:$T$156,0)),""))</f>
        <v/>
      </c>
      <c r="U68" s="1" t="str">
        <f>IF($T68="","",$T68&amp;"|"&amp;COUNTIFS($T$7:$T68,$T68))</f>
        <v/>
      </c>
      <c r="V68" s="1">
        <f t="shared" si="6"/>
        <v>0</v>
      </c>
      <c r="W68" s="1" t="str">
        <f t="shared" si="7"/>
        <v>Gider|Ulaşım|46111|4900|</v>
      </c>
      <c r="X68" s="1"/>
      <c r="Y68" s="1"/>
      <c r="Z68" s="1"/>
      <c r="AA68" s="1"/>
      <c r="AB68" s="1"/>
      <c r="AC68" s="1"/>
      <c r="AD68" s="1">
        <f>IF($C68="",0,SUMPRODUCT((AY_SONU!$O$7:$O$42="Evet")*(AY_SONU!$B$7:$B$42=DATE(YEAR($C68),MONTH($C68),1))))</f>
        <v>0</v>
      </c>
      <c r="AE68" s="1" t="str">
        <f>IF($E68="","",$E68&amp;"|"&amp;COUNTIFS($E$7:$E68,$E68))</f>
        <v>Ulaşım|7</v>
      </c>
    </row>
    <row r="69" spans="1:31" ht="18" customHeight="1" x14ac:dyDescent="0.3">
      <c r="A69" s="2"/>
      <c r="B69" s="65" t="str">
        <f t="shared" si="0"/>
        <v>GG00063</v>
      </c>
      <c r="C69" s="66">
        <v>46111</v>
      </c>
      <c r="D69" s="60" t="s">
        <v>759</v>
      </c>
      <c r="E69" s="61" t="s">
        <v>784</v>
      </c>
      <c r="F69" s="61" t="s">
        <v>829</v>
      </c>
      <c r="G69" s="67">
        <v>12303.97</v>
      </c>
      <c r="H69" s="60" t="s">
        <v>762</v>
      </c>
      <c r="I69" s="60" t="s">
        <v>763</v>
      </c>
      <c r="J69" s="61"/>
      <c r="K69" s="61"/>
      <c r="L69" s="60"/>
      <c r="M69" s="74" t="str">
        <f t="shared" si="1"/>
        <v>Vergi / Harç</v>
      </c>
      <c r="N69" s="74" t="str">
        <f t="shared" si="2"/>
        <v>Merkez Kasa</v>
      </c>
      <c r="O69" s="73">
        <f t="shared" si="3"/>
        <v>46082</v>
      </c>
      <c r="P69" s="65" t="str">
        <f t="shared" ca="1" si="4"/>
        <v>UYGUN</v>
      </c>
      <c r="Q69" s="2"/>
      <c r="R69" s="2"/>
      <c r="S69" s="1" t="str">
        <f t="shared" si="5"/>
        <v/>
      </c>
      <c r="T69" s="1" t="str">
        <f>IF(OR($C69="",$D69&lt;&gt;"Gelir",$L69=""),"",IFERROR(INDEX(MUSTERILER!$B$7:$B$156,MATCH($S69,MUSTERILER!$T$7:$T$156,0)),""))</f>
        <v/>
      </c>
      <c r="U69" s="1" t="str">
        <f>IF($T69="","",$T69&amp;"|"&amp;COUNTIFS($T$7:$T69,$T69))</f>
        <v/>
      </c>
      <c r="V69" s="1">
        <f t="shared" si="6"/>
        <v>0</v>
      </c>
      <c r="W69" s="1" t="str">
        <f t="shared" si="7"/>
        <v>Gider|Vergi / Harç|46111|12304|</v>
      </c>
      <c r="X69" s="1"/>
      <c r="Y69" s="1"/>
      <c r="Z69" s="1"/>
      <c r="AA69" s="1"/>
      <c r="AB69" s="1"/>
      <c r="AC69" s="1"/>
      <c r="AD69" s="1">
        <f>IF($C69="",0,SUMPRODUCT((AY_SONU!$O$7:$O$42="Evet")*(AY_SONU!$B$7:$B$42=DATE(YEAR($C69),MONTH($C69),1))))</f>
        <v>0</v>
      </c>
      <c r="AE69" s="1" t="str">
        <f>IF($E69="","",$E69&amp;"|"&amp;COUNTIFS($E$7:$E69,$E69))</f>
        <v>Vergi / Harç|9</v>
      </c>
    </row>
    <row r="70" spans="1:31" ht="18" customHeight="1" x14ac:dyDescent="0.3">
      <c r="A70" s="2"/>
      <c r="B70" s="65" t="str">
        <f t="shared" si="0"/>
        <v>GG00064</v>
      </c>
      <c r="C70" s="66">
        <v>46118</v>
      </c>
      <c r="D70" s="60" t="s">
        <v>759</v>
      </c>
      <c r="E70" s="61" t="s">
        <v>788</v>
      </c>
      <c r="F70" s="61" t="s">
        <v>830</v>
      </c>
      <c r="G70" s="67">
        <v>2000</v>
      </c>
      <c r="H70" s="60" t="s">
        <v>762</v>
      </c>
      <c r="I70" s="60" t="s">
        <v>763</v>
      </c>
      <c r="J70" s="61"/>
      <c r="K70" s="61"/>
      <c r="L70" s="60"/>
      <c r="M70" s="74" t="str">
        <f t="shared" si="1"/>
        <v>Ofis Kirası</v>
      </c>
      <c r="N70" s="74" t="str">
        <f t="shared" si="2"/>
        <v>Merkez Kasa</v>
      </c>
      <c r="O70" s="73">
        <f t="shared" si="3"/>
        <v>46113</v>
      </c>
      <c r="P70" s="65" t="str">
        <f t="shared" ca="1" si="4"/>
        <v>UYGUN</v>
      </c>
      <c r="Q70" s="2"/>
      <c r="R70" s="2"/>
      <c r="S70" s="1" t="str">
        <f t="shared" si="5"/>
        <v/>
      </c>
      <c r="T70" s="1" t="str">
        <f>IF(OR($C70="",$D70&lt;&gt;"Gelir",$L70=""),"",IFERROR(INDEX(MUSTERILER!$B$7:$B$156,MATCH($S70,MUSTERILER!$T$7:$T$156,0)),""))</f>
        <v/>
      </c>
      <c r="U70" s="1" t="str">
        <f>IF($T70="","",$T70&amp;"|"&amp;COUNTIFS($T$7:$T70,$T70))</f>
        <v/>
      </c>
      <c r="V70" s="1">
        <f t="shared" si="6"/>
        <v>0</v>
      </c>
      <c r="W70" s="1" t="str">
        <f t="shared" si="7"/>
        <v>Gider|Ofis Kirası|46118|2000|</v>
      </c>
      <c r="X70" s="1"/>
      <c r="Y70" s="1"/>
      <c r="Z70" s="1"/>
      <c r="AA70" s="1"/>
      <c r="AB70" s="1"/>
      <c r="AC70" s="1"/>
      <c r="AD70" s="1">
        <f>IF($C70="",0,SUMPRODUCT((AY_SONU!$O$7:$O$42="Evet")*(AY_SONU!$B$7:$B$42=DATE(YEAR($C70),MONTH($C70),1))))</f>
        <v>0</v>
      </c>
      <c r="AE70" s="1" t="str">
        <f>IF($E70="","",$E70&amp;"|"&amp;COUNTIFS($E$7:$E70,$E70))</f>
        <v>Ofis Kirası|7</v>
      </c>
    </row>
    <row r="71" spans="1:31" ht="18" customHeight="1" x14ac:dyDescent="0.3">
      <c r="A71" s="2"/>
      <c r="B71" s="65" t="str">
        <f t="shared" ref="B71:B134" si="10">IF($C71="","","GG"&amp;TEXT(ROW()-6,"00000"))</f>
        <v>GG00065</v>
      </c>
      <c r="C71" s="66">
        <v>46118</v>
      </c>
      <c r="D71" s="60" t="s">
        <v>759</v>
      </c>
      <c r="E71" s="61" t="s">
        <v>774</v>
      </c>
      <c r="F71" s="61" t="s">
        <v>819</v>
      </c>
      <c r="G71" s="67">
        <v>2000</v>
      </c>
      <c r="H71" s="60" t="s">
        <v>762</v>
      </c>
      <c r="I71" s="60" t="s">
        <v>763</v>
      </c>
      <c r="J71" s="61"/>
      <c r="K71" s="61"/>
      <c r="L71" s="60"/>
      <c r="M71" s="74" t="str">
        <f t="shared" ref="M71:M134" si="11">IF($C71="","",IF($D71="Gider",$E71,IF($L71&lt;&gt;"",$L71,$H71)))</f>
        <v>Ulaşım</v>
      </c>
      <c r="N71" s="74" t="str">
        <f t="shared" ref="N71:N134" si="12">IF($C71="","",IF($D71="Gider",$H71,$E71))</f>
        <v>Merkez Kasa</v>
      </c>
      <c r="O71" s="73">
        <f t="shared" ref="O71:O134" si="13">IF($C71="","",DATE(YEAR($C71),MONTH($C71),1))</f>
        <v>46113</v>
      </c>
      <c r="P71" s="65" t="str">
        <f t="shared" ref="P71:P134" ca="1" si="14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TARİH",IF(COUNTIF($W$7:$W$3006,$W71)&gt;1,"MÜKERRER?",IF($AD71&gt;0,"KAPALI DÖNEM",IF($I71="Hayır","ÖDENECEK","UYGUN")))),"EKSİK"))))</f>
        <v>UYGUN</v>
      </c>
      <c r="Q71" s="2"/>
      <c r="R71" s="2"/>
      <c r="S71" s="1" t="str">
        <f t="shared" ref="S71:S134" si="1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 t="str">
        <f>IF(OR($C71="",$D71&lt;&gt;"Gelir",$L71=""),"",IFERROR(INDEX(MUSTERILER!$B$7:$B$156,MATCH($S71,MUSTERILER!$T$7:$T$156,0)),""))</f>
        <v/>
      </c>
      <c r="U71" s="1" t="str">
        <f>IF($T71="","",$T71&amp;"|"&amp;COUNTIFS($T$7:$T71,$T71))</f>
        <v/>
      </c>
      <c r="V71" s="1">
        <f t="shared" ref="V71:V134" si="16">IF($T71="",0,1)</f>
        <v>0</v>
      </c>
      <c r="W71" s="1" t="str">
        <f t="shared" ref="W71:W134" si="17">IF($C71="","",$D71&amp;"|"&amp;$E71&amp;"|"&amp;TEXT($C71,"0")&amp;"|"&amp;TEXT($G71,"0")&amp;"|"&amp;$J71)</f>
        <v>Gider|Ulaşım|46118|2000|</v>
      </c>
      <c r="X71" s="1"/>
      <c r="Y71" s="1"/>
      <c r="Z71" s="1"/>
      <c r="AA71" s="1"/>
      <c r="AB71" s="1"/>
      <c r="AC71" s="1"/>
      <c r="AD71" s="1">
        <f>IF($C71="",0,SUMPRODUCT((AY_SONU!$O$7:$O$42="Evet")*(AY_SONU!$B$7:$B$42=DATE(YEAR($C71),MONTH($C71),1))))</f>
        <v>0</v>
      </c>
      <c r="AE71" s="1" t="str">
        <f>IF($E71="","",$E71&amp;"|"&amp;COUNTIFS($E$7:$E71,$E71))</f>
        <v>Ulaşım|8</v>
      </c>
    </row>
    <row r="72" spans="1:31" ht="18" customHeight="1" x14ac:dyDescent="0.3">
      <c r="A72" s="2"/>
      <c r="B72" s="65" t="str">
        <f t="shared" si="10"/>
        <v>GG00066</v>
      </c>
      <c r="C72" s="66">
        <v>46118</v>
      </c>
      <c r="D72" s="60" t="s">
        <v>759</v>
      </c>
      <c r="E72" s="61" t="s">
        <v>774</v>
      </c>
      <c r="F72" s="61" t="s">
        <v>819</v>
      </c>
      <c r="G72" s="67">
        <v>1000</v>
      </c>
      <c r="H72" s="60" t="s">
        <v>762</v>
      </c>
      <c r="I72" s="60" t="s">
        <v>763</v>
      </c>
      <c r="J72" s="61"/>
      <c r="K72" s="61"/>
      <c r="L72" s="60"/>
      <c r="M72" s="74" t="str">
        <f t="shared" si="11"/>
        <v>Ulaşım</v>
      </c>
      <c r="N72" s="74" t="str">
        <f t="shared" si="12"/>
        <v>Merkez Kasa</v>
      </c>
      <c r="O72" s="73">
        <f t="shared" si="13"/>
        <v>46113</v>
      </c>
      <c r="P72" s="65" t="str">
        <f t="shared" ca="1" si="14"/>
        <v>UYGUN</v>
      </c>
      <c r="Q72" s="2"/>
      <c r="R72" s="2"/>
      <c r="S72" s="1" t="str">
        <f t="shared" si="15"/>
        <v/>
      </c>
      <c r="T72" s="1" t="str">
        <f>IF(OR($C72="",$D72&lt;&gt;"Gelir",$L72=""),"",IFERROR(INDEX(MUSTERILER!$B$7:$B$156,MATCH($S72,MUSTERILER!$T$7:$T$156,0)),""))</f>
        <v/>
      </c>
      <c r="U72" s="1" t="str">
        <f>IF($T72="","",$T72&amp;"|"&amp;COUNTIFS($T$7:$T72,$T72))</f>
        <v/>
      </c>
      <c r="V72" s="1">
        <f t="shared" si="16"/>
        <v>0</v>
      </c>
      <c r="W72" s="1" t="str">
        <f t="shared" si="17"/>
        <v>Gider|Ulaşım|46118|1000|</v>
      </c>
      <c r="X72" s="1"/>
      <c r="Y72" s="1"/>
      <c r="Z72" s="1"/>
      <c r="AA72" s="1"/>
      <c r="AB72" s="1"/>
      <c r="AC72" s="1"/>
      <c r="AD72" s="1">
        <f>IF($C72="",0,SUMPRODUCT((AY_SONU!$O$7:$O$42="Evet")*(AY_SONU!$B$7:$B$42=DATE(YEAR($C72),MONTH($C72),1))))</f>
        <v>0</v>
      </c>
      <c r="AE72" s="1" t="str">
        <f>IF($E72="","",$E72&amp;"|"&amp;COUNTIFS($E$7:$E72,$E72))</f>
        <v>Ulaşım|9</v>
      </c>
    </row>
    <row r="73" spans="1:31" ht="18" customHeight="1" x14ac:dyDescent="0.3">
      <c r="A73" s="2"/>
      <c r="B73" s="65" t="str">
        <f t="shared" si="10"/>
        <v>GG00067</v>
      </c>
      <c r="C73" s="66">
        <v>46123</v>
      </c>
      <c r="D73" s="60" t="s">
        <v>759</v>
      </c>
      <c r="E73" s="61" t="s">
        <v>816</v>
      </c>
      <c r="F73" s="61" t="s">
        <v>831</v>
      </c>
      <c r="G73" s="67">
        <v>9500</v>
      </c>
      <c r="H73" s="60" t="s">
        <v>762</v>
      </c>
      <c r="I73" s="60" t="s">
        <v>763</v>
      </c>
      <c r="J73" s="61"/>
      <c r="K73" s="61"/>
      <c r="L73" s="60"/>
      <c r="M73" s="74" t="str">
        <f t="shared" si="11"/>
        <v>Demirbaş</v>
      </c>
      <c r="N73" s="74" t="str">
        <f t="shared" si="12"/>
        <v>Merkez Kasa</v>
      </c>
      <c r="O73" s="73">
        <f t="shared" si="13"/>
        <v>46113</v>
      </c>
      <c r="P73" s="65" t="str">
        <f t="shared" ca="1" si="14"/>
        <v>UYGUN</v>
      </c>
      <c r="Q73" s="2"/>
      <c r="R73" s="2"/>
      <c r="S73" s="1" t="str">
        <f t="shared" si="15"/>
        <v/>
      </c>
      <c r="T73" s="1" t="str">
        <f>IF(OR($C73="",$D73&lt;&gt;"Gelir",$L73=""),"",IFERROR(INDEX(MUSTERILER!$B$7:$B$156,MATCH($S73,MUSTERILER!$T$7:$T$156,0)),""))</f>
        <v/>
      </c>
      <c r="U73" s="1" t="str">
        <f>IF($T73="","",$T73&amp;"|"&amp;COUNTIFS($T$7:$T73,$T73))</f>
        <v/>
      </c>
      <c r="V73" s="1">
        <f t="shared" si="16"/>
        <v>0</v>
      </c>
      <c r="W73" s="1" t="str">
        <f t="shared" si="17"/>
        <v>Gider|Demirbaş|46123|9500|</v>
      </c>
      <c r="X73" s="1"/>
      <c r="Y73" s="1"/>
      <c r="Z73" s="1"/>
      <c r="AA73" s="1"/>
      <c r="AB73" s="1"/>
      <c r="AC73" s="1"/>
      <c r="AD73" s="1">
        <f>IF($C73="",0,SUMPRODUCT((AY_SONU!$O$7:$O$42="Evet")*(AY_SONU!$B$7:$B$42=DATE(YEAR($C73),MONTH($C73),1))))</f>
        <v>0</v>
      </c>
      <c r="AE73" s="1" t="str">
        <f>IF($E73="","",$E73&amp;"|"&amp;COUNTIFS($E$7:$E73,$E73))</f>
        <v>Demirbaş|2</v>
      </c>
    </row>
    <row r="74" spans="1:31" ht="18" customHeight="1" x14ac:dyDescent="0.3">
      <c r="A74" s="2"/>
      <c r="B74" s="65" t="str">
        <f t="shared" si="10"/>
        <v>GG00068</v>
      </c>
      <c r="C74" s="66">
        <v>46123</v>
      </c>
      <c r="D74" s="60" t="s">
        <v>759</v>
      </c>
      <c r="E74" s="61" t="s">
        <v>788</v>
      </c>
      <c r="F74" s="61" t="s">
        <v>832</v>
      </c>
      <c r="G74" s="67">
        <v>14000</v>
      </c>
      <c r="H74" s="60" t="s">
        <v>762</v>
      </c>
      <c r="I74" s="60" t="s">
        <v>763</v>
      </c>
      <c r="J74" s="61"/>
      <c r="K74" s="61"/>
      <c r="L74" s="60"/>
      <c r="M74" s="74" t="str">
        <f t="shared" si="11"/>
        <v>Ofis Kirası</v>
      </c>
      <c r="N74" s="74" t="str">
        <f t="shared" si="12"/>
        <v>Merkez Kasa</v>
      </c>
      <c r="O74" s="73">
        <f t="shared" si="13"/>
        <v>46113</v>
      </c>
      <c r="P74" s="65" t="str">
        <f t="shared" ca="1" si="14"/>
        <v>UYGUN</v>
      </c>
      <c r="Q74" s="2"/>
      <c r="R74" s="2"/>
      <c r="S74" s="1" t="str">
        <f t="shared" si="15"/>
        <v/>
      </c>
      <c r="T74" s="1" t="str">
        <f>IF(OR($C74="",$D74&lt;&gt;"Gelir",$L74=""),"",IFERROR(INDEX(MUSTERILER!$B$7:$B$156,MATCH($S74,MUSTERILER!$T$7:$T$156,0)),""))</f>
        <v/>
      </c>
      <c r="U74" s="1" t="str">
        <f>IF($T74="","",$T74&amp;"|"&amp;COUNTIFS($T$7:$T74,$T74))</f>
        <v/>
      </c>
      <c r="V74" s="1">
        <f t="shared" si="16"/>
        <v>0</v>
      </c>
      <c r="W74" s="1" t="str">
        <f t="shared" si="17"/>
        <v>Gider|Ofis Kirası|46123|14000|</v>
      </c>
      <c r="X74" s="1"/>
      <c r="Y74" s="1"/>
      <c r="Z74" s="1"/>
      <c r="AA74" s="1"/>
      <c r="AB74" s="1"/>
      <c r="AC74" s="1"/>
      <c r="AD74" s="1">
        <f>IF($C74="",0,SUMPRODUCT((AY_SONU!$O$7:$O$42="Evet")*(AY_SONU!$B$7:$B$42=DATE(YEAR($C74),MONTH($C74),1))))</f>
        <v>0</v>
      </c>
      <c r="AE74" s="1" t="str">
        <f>IF($E74="","",$E74&amp;"|"&amp;COUNTIFS($E$7:$E74,$E74))</f>
        <v>Ofis Kirası|8</v>
      </c>
    </row>
    <row r="75" spans="1:31" ht="18" customHeight="1" x14ac:dyDescent="0.3">
      <c r="A75" s="2"/>
      <c r="B75" s="65" t="str">
        <f t="shared" si="10"/>
        <v>GG00069</v>
      </c>
      <c r="C75" s="66">
        <v>46123</v>
      </c>
      <c r="D75" s="60" t="s">
        <v>759</v>
      </c>
      <c r="E75" s="61" t="s">
        <v>788</v>
      </c>
      <c r="F75" s="61" t="s">
        <v>833</v>
      </c>
      <c r="G75" s="67">
        <v>2000</v>
      </c>
      <c r="H75" s="60" t="s">
        <v>762</v>
      </c>
      <c r="I75" s="60" t="s">
        <v>763</v>
      </c>
      <c r="J75" s="61"/>
      <c r="K75" s="61"/>
      <c r="L75" s="60"/>
      <c r="M75" s="74" t="str">
        <f t="shared" si="11"/>
        <v>Ofis Kirası</v>
      </c>
      <c r="N75" s="74" t="str">
        <f t="shared" si="12"/>
        <v>Merkez Kasa</v>
      </c>
      <c r="O75" s="73">
        <f t="shared" si="13"/>
        <v>46113</v>
      </c>
      <c r="P75" s="65" t="str">
        <f t="shared" ca="1" si="14"/>
        <v>UYGUN</v>
      </c>
      <c r="Q75" s="2"/>
      <c r="R75" s="2"/>
      <c r="S75" s="1" t="str">
        <f t="shared" si="15"/>
        <v/>
      </c>
      <c r="T75" s="1" t="str">
        <f>IF(OR($C75="",$D75&lt;&gt;"Gelir",$L75=""),"",IFERROR(INDEX(MUSTERILER!$B$7:$B$156,MATCH($S75,MUSTERILER!$T$7:$T$156,0)),""))</f>
        <v/>
      </c>
      <c r="U75" s="1" t="str">
        <f>IF($T75="","",$T75&amp;"|"&amp;COUNTIFS($T$7:$T75,$T75))</f>
        <v/>
      </c>
      <c r="V75" s="1">
        <f t="shared" si="16"/>
        <v>0</v>
      </c>
      <c r="W75" s="1" t="str">
        <f t="shared" si="17"/>
        <v>Gider|Ofis Kirası|46123|2000|</v>
      </c>
      <c r="X75" s="1"/>
      <c r="Y75" s="1"/>
      <c r="Z75" s="1"/>
      <c r="AA75" s="1"/>
      <c r="AB75" s="1"/>
      <c r="AC75" s="1"/>
      <c r="AD75" s="1">
        <f>IF($C75="",0,SUMPRODUCT((AY_SONU!$O$7:$O$42="Evet")*(AY_SONU!$B$7:$B$42=DATE(YEAR($C75),MONTH($C75),1))))</f>
        <v>0</v>
      </c>
      <c r="AE75" s="1" t="str">
        <f>IF($E75="","",$E75&amp;"|"&amp;COUNTIFS($E$7:$E75,$E75))</f>
        <v>Ofis Kirası|9</v>
      </c>
    </row>
    <row r="76" spans="1:31" ht="18" customHeight="1" x14ac:dyDescent="0.3">
      <c r="A76" s="2"/>
      <c r="B76" s="65" t="str">
        <f t="shared" si="10"/>
        <v>GG00070</v>
      </c>
      <c r="C76" s="66">
        <v>46123</v>
      </c>
      <c r="D76" s="60" t="s">
        <v>759</v>
      </c>
      <c r="E76" s="61" t="s">
        <v>781</v>
      </c>
      <c r="F76" s="61" t="s">
        <v>834</v>
      </c>
      <c r="G76" s="67">
        <v>1000</v>
      </c>
      <c r="H76" s="60" t="s">
        <v>762</v>
      </c>
      <c r="I76" s="60" t="s">
        <v>763</v>
      </c>
      <c r="J76" s="61"/>
      <c r="K76" s="61"/>
      <c r="L76" s="60"/>
      <c r="M76" s="74" t="str">
        <f t="shared" si="11"/>
        <v>Personel</v>
      </c>
      <c r="N76" s="74" t="str">
        <f t="shared" si="12"/>
        <v>Merkez Kasa</v>
      </c>
      <c r="O76" s="73">
        <f t="shared" si="13"/>
        <v>46113</v>
      </c>
      <c r="P76" s="65" t="str">
        <f t="shared" ca="1" si="14"/>
        <v>UYGUN</v>
      </c>
      <c r="Q76" s="2"/>
      <c r="R76" s="2"/>
      <c r="S76" s="1" t="str">
        <f t="shared" si="15"/>
        <v/>
      </c>
      <c r="T76" s="1" t="str">
        <f>IF(OR($C76="",$D76&lt;&gt;"Gelir",$L76=""),"",IFERROR(INDEX(MUSTERILER!$B$7:$B$156,MATCH($S76,MUSTERILER!$T$7:$T$156,0)),""))</f>
        <v/>
      </c>
      <c r="U76" s="1" t="str">
        <f>IF($T76="","",$T76&amp;"|"&amp;COUNTIFS($T$7:$T76,$T76))</f>
        <v/>
      </c>
      <c r="V76" s="1">
        <f t="shared" si="16"/>
        <v>0</v>
      </c>
      <c r="W76" s="1" t="str">
        <f t="shared" si="17"/>
        <v>Gider|Personel|46123|1000|</v>
      </c>
      <c r="X76" s="1"/>
      <c r="Y76" s="1"/>
      <c r="Z76" s="1"/>
      <c r="AA76" s="1"/>
      <c r="AB76" s="1"/>
      <c r="AC76" s="1"/>
      <c r="AD76" s="1">
        <f>IF($C76="",0,SUMPRODUCT((AY_SONU!$O$7:$O$42="Evet")*(AY_SONU!$B$7:$B$42=DATE(YEAR($C76),MONTH($C76),1))))</f>
        <v>0</v>
      </c>
      <c r="AE76" s="1" t="str">
        <f>IF($E76="","",$E76&amp;"|"&amp;COUNTIFS($E$7:$E76,$E76))</f>
        <v>Personel|9</v>
      </c>
    </row>
    <row r="77" spans="1:31" ht="18" customHeight="1" x14ac:dyDescent="0.3">
      <c r="A77" s="2"/>
      <c r="B77" s="65" t="str">
        <f t="shared" si="10"/>
        <v>GG00071</v>
      </c>
      <c r="C77" s="66">
        <v>46123</v>
      </c>
      <c r="D77" s="60" t="s">
        <v>759</v>
      </c>
      <c r="E77" s="61" t="s">
        <v>767</v>
      </c>
      <c r="F77" s="61" t="s">
        <v>835</v>
      </c>
      <c r="G77" s="67">
        <v>800</v>
      </c>
      <c r="H77" s="60" t="s">
        <v>762</v>
      </c>
      <c r="I77" s="60" t="s">
        <v>763</v>
      </c>
      <c r="J77" s="61"/>
      <c r="K77" s="61"/>
      <c r="L77" s="60"/>
      <c r="M77" s="74" t="str">
        <f t="shared" si="11"/>
        <v>Telefon / İnternet</v>
      </c>
      <c r="N77" s="74" t="str">
        <f t="shared" si="12"/>
        <v>Merkez Kasa</v>
      </c>
      <c r="O77" s="73">
        <f t="shared" si="13"/>
        <v>46113</v>
      </c>
      <c r="P77" s="65" t="str">
        <f t="shared" ca="1" si="14"/>
        <v>UYGUN</v>
      </c>
      <c r="Q77" s="2"/>
      <c r="R77" s="2"/>
      <c r="S77" s="1" t="str">
        <f t="shared" si="15"/>
        <v/>
      </c>
      <c r="T77" s="1" t="str">
        <f>IF(OR($C77="",$D77&lt;&gt;"Gelir",$L77=""),"",IFERROR(INDEX(MUSTERILER!$B$7:$B$156,MATCH($S77,MUSTERILER!$T$7:$T$156,0)),""))</f>
        <v/>
      </c>
      <c r="U77" s="1" t="str">
        <f>IF($T77="","",$T77&amp;"|"&amp;COUNTIFS($T$7:$T77,$T77))</f>
        <v/>
      </c>
      <c r="V77" s="1">
        <f t="shared" si="16"/>
        <v>0</v>
      </c>
      <c r="W77" s="1" t="str">
        <f t="shared" si="17"/>
        <v>Gider|Telefon / İnternet|46123|800|</v>
      </c>
      <c r="X77" s="1"/>
      <c r="Y77" s="1"/>
      <c r="Z77" s="1"/>
      <c r="AA77" s="1"/>
      <c r="AB77" s="1"/>
      <c r="AC77" s="1"/>
      <c r="AD77" s="1">
        <f>IF($C77="",0,SUMPRODUCT((AY_SONU!$O$7:$O$42="Evet")*(AY_SONU!$B$7:$B$42=DATE(YEAR($C77),MONTH($C77),1))))</f>
        <v>0</v>
      </c>
      <c r="AE77" s="1" t="str">
        <f>IF($E77="","",$E77&amp;"|"&amp;COUNTIFS($E$7:$E77,$E77))</f>
        <v>Telefon / İnternet|8</v>
      </c>
    </row>
    <row r="78" spans="1:31" ht="18" customHeight="1" x14ac:dyDescent="0.3">
      <c r="A78" s="2"/>
      <c r="B78" s="65" t="str">
        <f t="shared" si="10"/>
        <v>GG00072</v>
      </c>
      <c r="C78" s="66">
        <v>46127</v>
      </c>
      <c r="D78" s="60" t="s">
        <v>759</v>
      </c>
      <c r="E78" s="61" t="s">
        <v>774</v>
      </c>
      <c r="F78" s="61" t="s">
        <v>775</v>
      </c>
      <c r="G78" s="67">
        <v>2000</v>
      </c>
      <c r="H78" s="60" t="s">
        <v>762</v>
      </c>
      <c r="I78" s="60" t="s">
        <v>763</v>
      </c>
      <c r="J78" s="61"/>
      <c r="K78" s="61"/>
      <c r="L78" s="60"/>
      <c r="M78" s="74" t="str">
        <f t="shared" si="11"/>
        <v>Ulaşım</v>
      </c>
      <c r="N78" s="74" t="str">
        <f t="shared" si="12"/>
        <v>Merkez Kasa</v>
      </c>
      <c r="O78" s="73">
        <f t="shared" si="13"/>
        <v>46113</v>
      </c>
      <c r="P78" s="65" t="str">
        <f t="shared" ca="1" si="14"/>
        <v>UYGUN</v>
      </c>
      <c r="Q78" s="2"/>
      <c r="R78" s="2"/>
      <c r="S78" s="1" t="str">
        <f t="shared" si="15"/>
        <v/>
      </c>
      <c r="T78" s="1" t="str">
        <f>IF(OR($C78="",$D78&lt;&gt;"Gelir",$L78=""),"",IFERROR(INDEX(MUSTERILER!$B$7:$B$156,MATCH($S78,MUSTERILER!$T$7:$T$156,0)),""))</f>
        <v/>
      </c>
      <c r="U78" s="1" t="str">
        <f>IF($T78="","",$T78&amp;"|"&amp;COUNTIFS($T$7:$T78,$T78))</f>
        <v/>
      </c>
      <c r="V78" s="1">
        <f t="shared" si="16"/>
        <v>0</v>
      </c>
      <c r="W78" s="1" t="str">
        <f t="shared" si="17"/>
        <v>Gider|Ulaşım|46127|2000|</v>
      </c>
      <c r="X78" s="1"/>
      <c r="Y78" s="1"/>
      <c r="Z78" s="1"/>
      <c r="AA78" s="1"/>
      <c r="AB78" s="1"/>
      <c r="AC78" s="1"/>
      <c r="AD78" s="1">
        <f>IF($C78="",0,SUMPRODUCT((AY_SONU!$O$7:$O$42="Evet")*(AY_SONU!$B$7:$B$42=DATE(YEAR($C78),MONTH($C78),1))))</f>
        <v>0</v>
      </c>
      <c r="AE78" s="1" t="str">
        <f>IF($E78="","",$E78&amp;"|"&amp;COUNTIFS($E$7:$E78,$E78))</f>
        <v>Ulaşım|10</v>
      </c>
    </row>
    <row r="79" spans="1:31" ht="18" customHeight="1" x14ac:dyDescent="0.3">
      <c r="A79" s="2"/>
      <c r="B79" s="65" t="str">
        <f t="shared" si="10"/>
        <v>GG00073</v>
      </c>
      <c r="C79" s="66">
        <v>46127</v>
      </c>
      <c r="D79" s="60" t="s">
        <v>759</v>
      </c>
      <c r="E79" s="61" t="s">
        <v>779</v>
      </c>
      <c r="F79" s="61" t="s">
        <v>836</v>
      </c>
      <c r="G79" s="67">
        <v>7500</v>
      </c>
      <c r="H79" s="60" t="s">
        <v>762</v>
      </c>
      <c r="I79" s="60" t="s">
        <v>763</v>
      </c>
      <c r="J79" s="61"/>
      <c r="K79" s="61"/>
      <c r="L79" s="60"/>
      <c r="M79" s="74" t="str">
        <f t="shared" si="11"/>
        <v>Mehmet Ali Kartal</v>
      </c>
      <c r="N79" s="74" t="str">
        <f t="shared" si="12"/>
        <v>Merkez Kasa</v>
      </c>
      <c r="O79" s="73">
        <f t="shared" si="13"/>
        <v>46113</v>
      </c>
      <c r="P79" s="65" t="str">
        <f t="shared" ca="1" si="14"/>
        <v>UYGUN</v>
      </c>
      <c r="Q79" s="2"/>
      <c r="R79" s="2"/>
      <c r="S79" s="1" t="str">
        <f t="shared" si="15"/>
        <v/>
      </c>
      <c r="T79" s="1" t="str">
        <f>IF(OR($C79="",$D79&lt;&gt;"Gelir",$L79=""),"",IFERROR(INDEX(MUSTERILER!$B$7:$B$156,MATCH($S79,MUSTERILER!$T$7:$T$156,0)),""))</f>
        <v/>
      </c>
      <c r="U79" s="1" t="str">
        <f>IF($T79="","",$T79&amp;"|"&amp;COUNTIFS($T$7:$T79,$T79))</f>
        <v/>
      </c>
      <c r="V79" s="1">
        <f t="shared" si="16"/>
        <v>0</v>
      </c>
      <c r="W79" s="1" t="str">
        <f t="shared" si="17"/>
        <v>Gider|Mehmet Ali Kartal|46127|7500|</v>
      </c>
      <c r="X79" s="1"/>
      <c r="Y79" s="1"/>
      <c r="Z79" s="1"/>
      <c r="AA79" s="1"/>
      <c r="AB79" s="1"/>
      <c r="AC79" s="1"/>
      <c r="AD79" s="1">
        <f>IF($C79="",0,SUMPRODUCT((AY_SONU!$O$7:$O$42="Evet")*(AY_SONU!$B$7:$B$42=DATE(YEAR($C79),MONTH($C79),1))))</f>
        <v>0</v>
      </c>
      <c r="AE79" s="1" t="str">
        <f>IF($E79="","",$E79&amp;"|"&amp;COUNTIFS($E$7:$E79,$E79))</f>
        <v>Mehmet Ali Kartal|2</v>
      </c>
    </row>
    <row r="80" spans="1:31" ht="18" customHeight="1" x14ac:dyDescent="0.3">
      <c r="A80" s="2"/>
      <c r="B80" s="65" t="str">
        <f t="shared" si="10"/>
        <v>GG00074</v>
      </c>
      <c r="C80" s="66">
        <v>46130</v>
      </c>
      <c r="D80" s="60" t="s">
        <v>759</v>
      </c>
      <c r="E80" s="61" t="s">
        <v>776</v>
      </c>
      <c r="F80" s="61" t="s">
        <v>837</v>
      </c>
      <c r="G80" s="67">
        <v>784</v>
      </c>
      <c r="H80" s="60" t="s">
        <v>762</v>
      </c>
      <c r="I80" s="60" t="s">
        <v>763</v>
      </c>
      <c r="J80" s="61"/>
      <c r="K80" s="61"/>
      <c r="L80" s="60"/>
      <c r="M80" s="74" t="str">
        <f t="shared" si="11"/>
        <v>Temsil / Ağırlama</v>
      </c>
      <c r="N80" s="74" t="str">
        <f t="shared" si="12"/>
        <v>Merkez Kasa</v>
      </c>
      <c r="O80" s="73">
        <f t="shared" si="13"/>
        <v>46113</v>
      </c>
      <c r="P80" s="65" t="str">
        <f t="shared" ca="1" si="14"/>
        <v>UYGUN</v>
      </c>
      <c r="Q80" s="2"/>
      <c r="R80" s="2"/>
      <c r="S80" s="1" t="str">
        <f t="shared" si="15"/>
        <v/>
      </c>
      <c r="T80" s="1" t="str">
        <f>IF(OR($C80="",$D80&lt;&gt;"Gelir",$L80=""),"",IFERROR(INDEX(MUSTERILER!$B$7:$B$156,MATCH($S80,MUSTERILER!$T$7:$T$156,0)),""))</f>
        <v/>
      </c>
      <c r="U80" s="1" t="str">
        <f>IF($T80="","",$T80&amp;"|"&amp;COUNTIFS($T$7:$T80,$T80))</f>
        <v/>
      </c>
      <c r="V80" s="1">
        <f t="shared" si="16"/>
        <v>0</v>
      </c>
      <c r="W80" s="1" t="str">
        <f t="shared" si="17"/>
        <v>Gider|Temsil / Ağırlama|46130|784|</v>
      </c>
      <c r="X80" s="1"/>
      <c r="Y80" s="1"/>
      <c r="Z80" s="1"/>
      <c r="AA80" s="1"/>
      <c r="AB80" s="1"/>
      <c r="AC80" s="1"/>
      <c r="AD80" s="1">
        <f>IF($C80="",0,SUMPRODUCT((AY_SONU!$O$7:$O$42="Evet")*(AY_SONU!$B$7:$B$42=DATE(YEAR($C80),MONTH($C80),1))))</f>
        <v>0</v>
      </c>
      <c r="AE80" s="1" t="str">
        <f>IF($E80="","",$E80&amp;"|"&amp;COUNTIFS($E$7:$E80,$E80))</f>
        <v>Temsil / Ağırlama|13</v>
      </c>
    </row>
    <row r="81" spans="1:31" ht="18" customHeight="1" x14ac:dyDescent="0.3">
      <c r="A81" s="2"/>
      <c r="B81" s="65" t="str">
        <f t="shared" si="10"/>
        <v>GG00075</v>
      </c>
      <c r="C81" s="66">
        <v>46132</v>
      </c>
      <c r="D81" s="60" t="s">
        <v>759</v>
      </c>
      <c r="E81" s="61" t="s">
        <v>816</v>
      </c>
      <c r="F81" s="61" t="s">
        <v>838</v>
      </c>
      <c r="G81" s="67">
        <v>4500</v>
      </c>
      <c r="H81" s="60" t="s">
        <v>762</v>
      </c>
      <c r="I81" s="60" t="s">
        <v>763</v>
      </c>
      <c r="J81" s="61"/>
      <c r="K81" s="61"/>
      <c r="L81" s="60"/>
      <c r="M81" s="74" t="str">
        <f t="shared" si="11"/>
        <v>Demirbaş</v>
      </c>
      <c r="N81" s="74" t="str">
        <f t="shared" si="12"/>
        <v>Merkez Kasa</v>
      </c>
      <c r="O81" s="73">
        <f t="shared" si="13"/>
        <v>46113</v>
      </c>
      <c r="P81" s="65" t="str">
        <f t="shared" ca="1" si="14"/>
        <v>UYGUN</v>
      </c>
      <c r="Q81" s="2"/>
      <c r="R81" s="2"/>
      <c r="S81" s="1" t="str">
        <f t="shared" si="15"/>
        <v/>
      </c>
      <c r="T81" s="1" t="str">
        <f>IF(OR($C81="",$D81&lt;&gt;"Gelir",$L81=""),"",IFERROR(INDEX(MUSTERILER!$B$7:$B$156,MATCH($S81,MUSTERILER!$T$7:$T$156,0)),""))</f>
        <v/>
      </c>
      <c r="U81" s="1" t="str">
        <f>IF($T81="","",$T81&amp;"|"&amp;COUNTIFS($T$7:$T81,$T81))</f>
        <v/>
      </c>
      <c r="V81" s="1">
        <f t="shared" si="16"/>
        <v>0</v>
      </c>
      <c r="W81" s="1" t="str">
        <f t="shared" si="17"/>
        <v>Gider|Demirbaş|46132|4500|</v>
      </c>
      <c r="X81" s="1"/>
      <c r="Y81" s="1"/>
      <c r="Z81" s="1"/>
      <c r="AA81" s="1"/>
      <c r="AB81" s="1"/>
      <c r="AC81" s="1"/>
      <c r="AD81" s="1">
        <f>IF($C81="",0,SUMPRODUCT((AY_SONU!$O$7:$O$42="Evet")*(AY_SONU!$B$7:$B$42=DATE(YEAR($C81),MONTH($C81),1))))</f>
        <v>0</v>
      </c>
      <c r="AE81" s="1" t="str">
        <f>IF($E81="","",$E81&amp;"|"&amp;COUNTIFS($E$7:$E81,$E81))</f>
        <v>Demirbaş|3</v>
      </c>
    </row>
    <row r="82" spans="1:31" ht="18" customHeight="1" x14ac:dyDescent="0.3">
      <c r="A82" s="2"/>
      <c r="B82" s="65" t="str">
        <f t="shared" si="10"/>
        <v>GG00076</v>
      </c>
      <c r="C82" s="66">
        <v>46132</v>
      </c>
      <c r="D82" s="60" t="s">
        <v>759</v>
      </c>
      <c r="E82" s="61" t="s">
        <v>765</v>
      </c>
      <c r="F82" s="61" t="s">
        <v>839</v>
      </c>
      <c r="G82" s="67">
        <v>5200</v>
      </c>
      <c r="H82" s="60" t="s">
        <v>762</v>
      </c>
      <c r="I82" s="60" t="s">
        <v>763</v>
      </c>
      <c r="J82" s="61"/>
      <c r="K82" s="61"/>
      <c r="L82" s="60"/>
      <c r="M82" s="74" t="str">
        <f t="shared" si="11"/>
        <v>Kırtasiye</v>
      </c>
      <c r="N82" s="74" t="str">
        <f t="shared" si="12"/>
        <v>Merkez Kasa</v>
      </c>
      <c r="O82" s="73">
        <f t="shared" si="13"/>
        <v>46113</v>
      </c>
      <c r="P82" s="65" t="str">
        <f t="shared" ca="1" si="14"/>
        <v>UYGUN</v>
      </c>
      <c r="Q82" s="2"/>
      <c r="R82" s="2"/>
      <c r="S82" s="1" t="str">
        <f t="shared" si="15"/>
        <v/>
      </c>
      <c r="T82" s="1" t="str">
        <f>IF(OR($C82="",$D82&lt;&gt;"Gelir",$L82=""),"",IFERROR(INDEX(MUSTERILER!$B$7:$B$156,MATCH($S82,MUSTERILER!$T$7:$T$156,0)),""))</f>
        <v/>
      </c>
      <c r="U82" s="1" t="str">
        <f>IF($T82="","",$T82&amp;"|"&amp;COUNTIFS($T$7:$T82,$T82))</f>
        <v/>
      </c>
      <c r="V82" s="1">
        <f t="shared" si="16"/>
        <v>0</v>
      </c>
      <c r="W82" s="1" t="str">
        <f t="shared" si="17"/>
        <v>Gider|Kırtasiye|46132|5200|</v>
      </c>
      <c r="X82" s="1"/>
      <c r="Y82" s="1"/>
      <c r="Z82" s="1"/>
      <c r="AA82" s="1"/>
      <c r="AB82" s="1"/>
      <c r="AC82" s="1"/>
      <c r="AD82" s="1">
        <f>IF($C82="",0,SUMPRODUCT((AY_SONU!$O$7:$O$42="Evet")*(AY_SONU!$B$7:$B$42=DATE(YEAR($C82),MONTH($C82),1))))</f>
        <v>0</v>
      </c>
      <c r="AE82" s="1" t="str">
        <f>IF($E82="","",$E82&amp;"|"&amp;COUNTIFS($E$7:$E82,$E82))</f>
        <v>Kırtasiye|3</v>
      </c>
    </row>
    <row r="83" spans="1:31" ht="18" customHeight="1" x14ac:dyDescent="0.3">
      <c r="A83" s="2"/>
      <c r="B83" s="65" t="str">
        <f t="shared" si="10"/>
        <v>GG00077</v>
      </c>
      <c r="C83" s="66">
        <v>46132</v>
      </c>
      <c r="D83" s="60" t="s">
        <v>759</v>
      </c>
      <c r="E83" s="61" t="s">
        <v>767</v>
      </c>
      <c r="F83" s="61" t="s">
        <v>840</v>
      </c>
      <c r="G83" s="67">
        <v>2100</v>
      </c>
      <c r="H83" s="60" t="s">
        <v>762</v>
      </c>
      <c r="I83" s="60" t="s">
        <v>763</v>
      </c>
      <c r="J83" s="61"/>
      <c r="K83" s="61"/>
      <c r="L83" s="60"/>
      <c r="M83" s="74" t="str">
        <f t="shared" si="11"/>
        <v>Telefon / İnternet</v>
      </c>
      <c r="N83" s="74" t="str">
        <f t="shared" si="12"/>
        <v>Merkez Kasa</v>
      </c>
      <c r="O83" s="73">
        <f t="shared" si="13"/>
        <v>46113</v>
      </c>
      <c r="P83" s="65" t="str">
        <f t="shared" ca="1" si="14"/>
        <v>UYGUN</v>
      </c>
      <c r="Q83" s="2"/>
      <c r="R83" s="2"/>
      <c r="S83" s="1" t="str">
        <f t="shared" si="15"/>
        <v/>
      </c>
      <c r="T83" s="1" t="str">
        <f>IF(OR($C83="",$D83&lt;&gt;"Gelir",$L83=""),"",IFERROR(INDEX(MUSTERILER!$B$7:$B$156,MATCH($S83,MUSTERILER!$T$7:$T$156,0)),""))</f>
        <v/>
      </c>
      <c r="U83" s="1" t="str">
        <f>IF($T83="","",$T83&amp;"|"&amp;COUNTIFS($T$7:$T83,$T83))</f>
        <v/>
      </c>
      <c r="V83" s="1">
        <f t="shared" si="16"/>
        <v>0</v>
      </c>
      <c r="W83" s="1" t="str">
        <f t="shared" si="17"/>
        <v>Gider|Telefon / İnternet|46132|2100|</v>
      </c>
      <c r="X83" s="1"/>
      <c r="Y83" s="1"/>
      <c r="Z83" s="1"/>
      <c r="AA83" s="1"/>
      <c r="AB83" s="1"/>
      <c r="AC83" s="1"/>
      <c r="AD83" s="1">
        <f>IF($C83="",0,SUMPRODUCT((AY_SONU!$O$7:$O$42="Evet")*(AY_SONU!$B$7:$B$42=DATE(YEAR($C83),MONTH($C83),1))))</f>
        <v>0</v>
      </c>
      <c r="AE83" s="1" t="str">
        <f>IF($E83="","",$E83&amp;"|"&amp;COUNTIFS($E$7:$E83,$E83))</f>
        <v>Telefon / İnternet|9</v>
      </c>
    </row>
    <row r="84" spans="1:31" ht="18" customHeight="1" x14ac:dyDescent="0.3">
      <c r="A84" s="2"/>
      <c r="B84" s="65" t="str">
        <f t="shared" si="10"/>
        <v>GG00078</v>
      </c>
      <c r="C84" s="66">
        <v>46132</v>
      </c>
      <c r="D84" s="60" t="s">
        <v>759</v>
      </c>
      <c r="E84" s="61" t="s">
        <v>776</v>
      </c>
      <c r="F84" s="61" t="s">
        <v>841</v>
      </c>
      <c r="G84" s="67">
        <v>2000</v>
      </c>
      <c r="H84" s="60" t="s">
        <v>762</v>
      </c>
      <c r="I84" s="60" t="s">
        <v>763</v>
      </c>
      <c r="J84" s="61"/>
      <c r="K84" s="61"/>
      <c r="L84" s="60"/>
      <c r="M84" s="74" t="str">
        <f t="shared" si="11"/>
        <v>Temsil / Ağırlama</v>
      </c>
      <c r="N84" s="74" t="str">
        <f t="shared" si="12"/>
        <v>Merkez Kasa</v>
      </c>
      <c r="O84" s="73">
        <f t="shared" si="13"/>
        <v>46113</v>
      </c>
      <c r="P84" s="65" t="str">
        <f t="shared" ca="1" si="14"/>
        <v>UYGUN</v>
      </c>
      <c r="Q84" s="2"/>
      <c r="R84" s="2"/>
      <c r="S84" s="1" t="str">
        <f t="shared" si="15"/>
        <v/>
      </c>
      <c r="T84" s="1" t="str">
        <f>IF(OR($C84="",$D84&lt;&gt;"Gelir",$L84=""),"",IFERROR(INDEX(MUSTERILER!$B$7:$B$156,MATCH($S84,MUSTERILER!$T$7:$T$156,0)),""))</f>
        <v/>
      </c>
      <c r="U84" s="1" t="str">
        <f>IF($T84="","",$T84&amp;"|"&amp;COUNTIFS($T$7:$T84,$T84))</f>
        <v/>
      </c>
      <c r="V84" s="1">
        <f t="shared" si="16"/>
        <v>0</v>
      </c>
      <c r="W84" s="1" t="str">
        <f t="shared" si="17"/>
        <v>Gider|Temsil / Ağırlama|46132|2000|</v>
      </c>
      <c r="X84" s="1"/>
      <c r="Y84" s="1"/>
      <c r="Z84" s="1"/>
      <c r="AA84" s="1"/>
      <c r="AB84" s="1"/>
      <c r="AC84" s="1"/>
      <c r="AD84" s="1">
        <f>IF($C84="",0,SUMPRODUCT((AY_SONU!$O$7:$O$42="Evet")*(AY_SONU!$B$7:$B$42=DATE(YEAR($C84),MONTH($C84),1))))</f>
        <v>0</v>
      </c>
      <c r="AE84" s="1" t="str">
        <f>IF($E84="","",$E84&amp;"|"&amp;COUNTIFS($E$7:$E84,$E84))</f>
        <v>Temsil / Ağırlama|14</v>
      </c>
    </row>
    <row r="85" spans="1:31" ht="18" customHeight="1" x14ac:dyDescent="0.3">
      <c r="A85" s="2"/>
      <c r="B85" s="65" t="str">
        <f t="shared" si="10"/>
        <v>GG00079</v>
      </c>
      <c r="C85" s="66">
        <v>46132</v>
      </c>
      <c r="D85" s="60" t="s">
        <v>759</v>
      </c>
      <c r="E85" s="61" t="s">
        <v>776</v>
      </c>
      <c r="F85" s="61" t="s">
        <v>842</v>
      </c>
      <c r="G85" s="67">
        <v>600</v>
      </c>
      <c r="H85" s="60" t="s">
        <v>762</v>
      </c>
      <c r="I85" s="60" t="s">
        <v>763</v>
      </c>
      <c r="J85" s="61"/>
      <c r="K85" s="61"/>
      <c r="L85" s="60"/>
      <c r="M85" s="74" t="str">
        <f t="shared" si="11"/>
        <v>Temsil / Ağırlama</v>
      </c>
      <c r="N85" s="74" t="str">
        <f t="shared" si="12"/>
        <v>Merkez Kasa</v>
      </c>
      <c r="O85" s="73">
        <f t="shared" si="13"/>
        <v>46113</v>
      </c>
      <c r="P85" s="65" t="str">
        <f t="shared" ca="1" si="14"/>
        <v>UYGUN</v>
      </c>
      <c r="Q85" s="2"/>
      <c r="R85" s="2"/>
      <c r="S85" s="1" t="str">
        <f t="shared" si="15"/>
        <v/>
      </c>
      <c r="T85" s="1" t="str">
        <f>IF(OR($C85="",$D85&lt;&gt;"Gelir",$L85=""),"",IFERROR(INDEX(MUSTERILER!$B$7:$B$156,MATCH($S85,MUSTERILER!$T$7:$T$156,0)),""))</f>
        <v/>
      </c>
      <c r="U85" s="1" t="str">
        <f>IF($T85="","",$T85&amp;"|"&amp;COUNTIFS($T$7:$T85,$T85))</f>
        <v/>
      </c>
      <c r="V85" s="1">
        <f t="shared" si="16"/>
        <v>0</v>
      </c>
      <c r="W85" s="1" t="str">
        <f t="shared" si="17"/>
        <v>Gider|Temsil / Ağırlama|46132|600|</v>
      </c>
      <c r="X85" s="1"/>
      <c r="Y85" s="1"/>
      <c r="Z85" s="1"/>
      <c r="AA85" s="1"/>
      <c r="AB85" s="1"/>
      <c r="AC85" s="1"/>
      <c r="AD85" s="1">
        <f>IF($C85="",0,SUMPRODUCT((AY_SONU!$O$7:$O$42="Evet")*(AY_SONU!$B$7:$B$42=DATE(YEAR($C85),MONTH($C85),1))))</f>
        <v>0</v>
      </c>
      <c r="AE85" s="1" t="str">
        <f>IF($E85="","",$E85&amp;"|"&amp;COUNTIFS($E$7:$E85,$E85))</f>
        <v>Temsil / Ağırlama|15</v>
      </c>
    </row>
    <row r="86" spans="1:31" ht="18" customHeight="1" x14ac:dyDescent="0.3">
      <c r="A86" s="2"/>
      <c r="B86" s="65" t="str">
        <f t="shared" si="10"/>
        <v>GG00080</v>
      </c>
      <c r="C86" s="66">
        <v>46132</v>
      </c>
      <c r="D86" s="60" t="s">
        <v>759</v>
      </c>
      <c r="E86" s="61" t="s">
        <v>776</v>
      </c>
      <c r="F86" s="61" t="s">
        <v>807</v>
      </c>
      <c r="G86" s="67">
        <v>400</v>
      </c>
      <c r="H86" s="60" t="s">
        <v>762</v>
      </c>
      <c r="I86" s="60" t="s">
        <v>763</v>
      </c>
      <c r="J86" s="61"/>
      <c r="K86" s="61"/>
      <c r="L86" s="60"/>
      <c r="M86" s="74" t="str">
        <f t="shared" si="11"/>
        <v>Temsil / Ağırlama</v>
      </c>
      <c r="N86" s="74" t="str">
        <f t="shared" si="12"/>
        <v>Merkez Kasa</v>
      </c>
      <c r="O86" s="73">
        <f t="shared" si="13"/>
        <v>46113</v>
      </c>
      <c r="P86" s="65" t="str">
        <f t="shared" ca="1" si="14"/>
        <v>UYGUN</v>
      </c>
      <c r="Q86" s="2"/>
      <c r="R86" s="2"/>
      <c r="S86" s="1" t="str">
        <f t="shared" si="15"/>
        <v/>
      </c>
      <c r="T86" s="1" t="str">
        <f>IF(OR($C86="",$D86&lt;&gt;"Gelir",$L86=""),"",IFERROR(INDEX(MUSTERILER!$B$7:$B$156,MATCH($S86,MUSTERILER!$T$7:$T$156,0)),""))</f>
        <v/>
      </c>
      <c r="U86" s="1" t="str">
        <f>IF($T86="","",$T86&amp;"|"&amp;COUNTIFS($T$7:$T86,$T86))</f>
        <v/>
      </c>
      <c r="V86" s="1">
        <f t="shared" si="16"/>
        <v>0</v>
      </c>
      <c r="W86" s="1" t="str">
        <f t="shared" si="17"/>
        <v>Gider|Temsil / Ağırlama|46132|400|</v>
      </c>
      <c r="X86" s="1"/>
      <c r="Y86" s="1"/>
      <c r="Z86" s="1"/>
      <c r="AA86" s="1"/>
      <c r="AB86" s="1"/>
      <c r="AC86" s="1"/>
      <c r="AD86" s="1">
        <f>IF($C86="",0,SUMPRODUCT((AY_SONU!$O$7:$O$42="Evet")*(AY_SONU!$B$7:$B$42=DATE(YEAR($C86),MONTH($C86),1))))</f>
        <v>0</v>
      </c>
      <c r="AE86" s="1" t="str">
        <f>IF($E86="","",$E86&amp;"|"&amp;COUNTIFS($E$7:$E86,$E86))</f>
        <v>Temsil / Ağırlama|16</v>
      </c>
    </row>
    <row r="87" spans="1:31" ht="18" customHeight="1" x14ac:dyDescent="0.3">
      <c r="A87" s="2"/>
      <c r="B87" s="65" t="str">
        <f t="shared" si="10"/>
        <v>GG00081</v>
      </c>
      <c r="C87" s="66">
        <v>46132</v>
      </c>
      <c r="D87" s="60" t="s">
        <v>759</v>
      </c>
      <c r="E87" s="61" t="s">
        <v>767</v>
      </c>
      <c r="F87" s="61" t="s">
        <v>773</v>
      </c>
      <c r="G87" s="67">
        <v>630</v>
      </c>
      <c r="H87" s="60" t="s">
        <v>762</v>
      </c>
      <c r="I87" s="60" t="s">
        <v>763</v>
      </c>
      <c r="J87" s="61"/>
      <c r="K87" s="61"/>
      <c r="L87" s="60"/>
      <c r="M87" s="74" t="str">
        <f t="shared" si="11"/>
        <v>Telefon / İnternet</v>
      </c>
      <c r="N87" s="74" t="str">
        <f t="shared" si="12"/>
        <v>Merkez Kasa</v>
      </c>
      <c r="O87" s="73">
        <f t="shared" si="13"/>
        <v>46113</v>
      </c>
      <c r="P87" s="65" t="str">
        <f t="shared" ca="1" si="14"/>
        <v>UYGUN</v>
      </c>
      <c r="Q87" s="2"/>
      <c r="R87" s="2"/>
      <c r="S87" s="1" t="str">
        <f t="shared" si="15"/>
        <v/>
      </c>
      <c r="T87" s="1" t="str">
        <f>IF(OR($C87="",$D87&lt;&gt;"Gelir",$L87=""),"",IFERROR(INDEX(MUSTERILER!$B$7:$B$156,MATCH($S87,MUSTERILER!$T$7:$T$156,0)),""))</f>
        <v/>
      </c>
      <c r="U87" s="1" t="str">
        <f>IF($T87="","",$T87&amp;"|"&amp;COUNTIFS($T$7:$T87,$T87))</f>
        <v/>
      </c>
      <c r="V87" s="1">
        <f t="shared" si="16"/>
        <v>0</v>
      </c>
      <c r="W87" s="1" t="str">
        <f t="shared" si="17"/>
        <v>Gider|Telefon / İnternet|46132|630|</v>
      </c>
      <c r="X87" s="1"/>
      <c r="Y87" s="1"/>
      <c r="Z87" s="1"/>
      <c r="AA87" s="1"/>
      <c r="AB87" s="1"/>
      <c r="AC87" s="1"/>
      <c r="AD87" s="1">
        <f>IF($C87="",0,SUMPRODUCT((AY_SONU!$O$7:$O$42="Evet")*(AY_SONU!$B$7:$B$42=DATE(YEAR($C87),MONTH($C87),1))))</f>
        <v>0</v>
      </c>
      <c r="AE87" s="1" t="str">
        <f>IF($E87="","",$E87&amp;"|"&amp;COUNTIFS($E$7:$E87,$E87))</f>
        <v>Telefon / İnternet|10</v>
      </c>
    </row>
    <row r="88" spans="1:31" ht="18" customHeight="1" x14ac:dyDescent="0.3">
      <c r="A88" s="2"/>
      <c r="B88" s="65" t="str">
        <f t="shared" si="10"/>
        <v>GG00082</v>
      </c>
      <c r="C88" s="66">
        <v>46132</v>
      </c>
      <c r="D88" s="60" t="s">
        <v>759</v>
      </c>
      <c r="E88" s="61" t="s">
        <v>774</v>
      </c>
      <c r="F88" s="61" t="s">
        <v>775</v>
      </c>
      <c r="G88" s="67">
        <v>2000</v>
      </c>
      <c r="H88" s="60" t="s">
        <v>762</v>
      </c>
      <c r="I88" s="60" t="s">
        <v>763</v>
      </c>
      <c r="J88" s="61"/>
      <c r="K88" s="61"/>
      <c r="L88" s="60"/>
      <c r="M88" s="74" t="str">
        <f t="shared" si="11"/>
        <v>Ulaşım</v>
      </c>
      <c r="N88" s="74" t="str">
        <f t="shared" si="12"/>
        <v>Merkez Kasa</v>
      </c>
      <c r="O88" s="73">
        <f t="shared" si="13"/>
        <v>46113</v>
      </c>
      <c r="P88" s="65" t="str">
        <f t="shared" ca="1" si="14"/>
        <v>UYGUN</v>
      </c>
      <c r="Q88" s="2"/>
      <c r="R88" s="2"/>
      <c r="S88" s="1" t="str">
        <f t="shared" si="15"/>
        <v/>
      </c>
      <c r="T88" s="1" t="str">
        <f>IF(OR($C88="",$D88&lt;&gt;"Gelir",$L88=""),"",IFERROR(INDEX(MUSTERILER!$B$7:$B$156,MATCH($S88,MUSTERILER!$T$7:$T$156,0)),""))</f>
        <v/>
      </c>
      <c r="U88" s="1" t="str">
        <f>IF($T88="","",$T88&amp;"|"&amp;COUNTIFS($T$7:$T88,$T88))</f>
        <v/>
      </c>
      <c r="V88" s="1">
        <f t="shared" si="16"/>
        <v>0</v>
      </c>
      <c r="W88" s="1" t="str">
        <f t="shared" si="17"/>
        <v>Gider|Ulaşım|46132|2000|</v>
      </c>
      <c r="X88" s="1"/>
      <c r="Y88" s="1"/>
      <c r="Z88" s="1"/>
      <c r="AA88" s="1"/>
      <c r="AB88" s="1"/>
      <c r="AC88" s="1"/>
      <c r="AD88" s="1">
        <f>IF($C88="",0,SUMPRODUCT((AY_SONU!$O$7:$O$42="Evet")*(AY_SONU!$B$7:$B$42=DATE(YEAR($C88),MONTH($C88),1))))</f>
        <v>0</v>
      </c>
      <c r="AE88" s="1" t="str">
        <f>IF($E88="","",$E88&amp;"|"&amp;COUNTIFS($E$7:$E88,$E88))</f>
        <v>Ulaşım|11</v>
      </c>
    </row>
    <row r="89" spans="1:31" ht="18" customHeight="1" x14ac:dyDescent="0.3">
      <c r="A89" s="2"/>
      <c r="B89" s="65" t="str">
        <f t="shared" si="10"/>
        <v>GG00083</v>
      </c>
      <c r="C89" s="66">
        <v>46137</v>
      </c>
      <c r="D89" s="60" t="s">
        <v>759</v>
      </c>
      <c r="E89" s="61" t="s">
        <v>776</v>
      </c>
      <c r="F89" s="61" t="s">
        <v>843</v>
      </c>
      <c r="G89" s="67">
        <v>270</v>
      </c>
      <c r="H89" s="60" t="s">
        <v>762</v>
      </c>
      <c r="I89" s="60" t="s">
        <v>763</v>
      </c>
      <c r="J89" s="61"/>
      <c r="K89" s="61"/>
      <c r="L89" s="60"/>
      <c r="M89" s="74" t="str">
        <f t="shared" si="11"/>
        <v>Temsil / Ağırlama</v>
      </c>
      <c r="N89" s="74" t="str">
        <f t="shared" si="12"/>
        <v>Merkez Kasa</v>
      </c>
      <c r="O89" s="73">
        <f t="shared" si="13"/>
        <v>46113</v>
      </c>
      <c r="P89" s="65" t="str">
        <f t="shared" ca="1" si="14"/>
        <v>UYGUN</v>
      </c>
      <c r="Q89" s="2"/>
      <c r="R89" s="2"/>
      <c r="S89" s="1" t="str">
        <f t="shared" si="15"/>
        <v/>
      </c>
      <c r="T89" s="1" t="str">
        <f>IF(OR($C89="",$D89&lt;&gt;"Gelir",$L89=""),"",IFERROR(INDEX(MUSTERILER!$B$7:$B$156,MATCH($S89,MUSTERILER!$T$7:$T$156,0)),""))</f>
        <v/>
      </c>
      <c r="U89" s="1" t="str">
        <f>IF($T89="","",$T89&amp;"|"&amp;COUNTIFS($T$7:$T89,$T89))</f>
        <v/>
      </c>
      <c r="V89" s="1">
        <f t="shared" si="16"/>
        <v>0</v>
      </c>
      <c r="W89" s="1" t="str">
        <f t="shared" si="17"/>
        <v>Gider|Temsil / Ağırlama|46137|270|</v>
      </c>
      <c r="X89" s="1"/>
      <c r="Y89" s="1"/>
      <c r="Z89" s="1"/>
      <c r="AA89" s="1"/>
      <c r="AB89" s="1"/>
      <c r="AC89" s="1"/>
      <c r="AD89" s="1">
        <f>IF($C89="",0,SUMPRODUCT((AY_SONU!$O$7:$O$42="Evet")*(AY_SONU!$B$7:$B$42=DATE(YEAR($C89),MONTH($C89),1))))</f>
        <v>0</v>
      </c>
      <c r="AE89" s="1" t="str">
        <f>IF($E89="","",$E89&amp;"|"&amp;COUNTIFS($E$7:$E89,$E89))</f>
        <v>Temsil / Ağırlama|17</v>
      </c>
    </row>
    <row r="90" spans="1:31" ht="18" customHeight="1" x14ac:dyDescent="0.3">
      <c r="A90" s="2"/>
      <c r="B90" s="65" t="str">
        <f t="shared" si="10"/>
        <v>GG00084</v>
      </c>
      <c r="C90" s="66">
        <v>46139</v>
      </c>
      <c r="D90" s="60" t="s">
        <v>759</v>
      </c>
      <c r="E90" s="61" t="s">
        <v>781</v>
      </c>
      <c r="F90" s="61" t="s">
        <v>844</v>
      </c>
      <c r="G90" s="67">
        <v>20000</v>
      </c>
      <c r="H90" s="60" t="s">
        <v>762</v>
      </c>
      <c r="I90" s="60" t="s">
        <v>763</v>
      </c>
      <c r="J90" s="61"/>
      <c r="K90" s="61"/>
      <c r="L90" s="60"/>
      <c r="M90" s="74" t="str">
        <f t="shared" si="11"/>
        <v>Personel</v>
      </c>
      <c r="N90" s="74" t="str">
        <f t="shared" si="12"/>
        <v>Merkez Kasa</v>
      </c>
      <c r="O90" s="73">
        <f t="shared" si="13"/>
        <v>46113</v>
      </c>
      <c r="P90" s="65" t="str">
        <f t="shared" ca="1" si="14"/>
        <v>UYGUN</v>
      </c>
      <c r="Q90" s="2"/>
      <c r="R90" s="2"/>
      <c r="S90" s="1" t="str">
        <f t="shared" si="15"/>
        <v/>
      </c>
      <c r="T90" s="1" t="str">
        <f>IF(OR($C90="",$D90&lt;&gt;"Gelir",$L90=""),"",IFERROR(INDEX(MUSTERILER!$B$7:$B$156,MATCH($S90,MUSTERILER!$T$7:$T$156,0)),""))</f>
        <v/>
      </c>
      <c r="U90" s="1" t="str">
        <f>IF($T90="","",$T90&amp;"|"&amp;COUNTIFS($T$7:$T90,$T90))</f>
        <v/>
      </c>
      <c r="V90" s="1">
        <f t="shared" si="16"/>
        <v>0</v>
      </c>
      <c r="W90" s="1" t="str">
        <f t="shared" si="17"/>
        <v>Gider|Personel|46139|20000|</v>
      </c>
      <c r="X90" s="1"/>
      <c r="Y90" s="1"/>
      <c r="Z90" s="1"/>
      <c r="AA90" s="1"/>
      <c r="AB90" s="1"/>
      <c r="AC90" s="1"/>
      <c r="AD90" s="1">
        <f>IF($C90="",0,SUMPRODUCT((AY_SONU!$O$7:$O$42="Evet")*(AY_SONU!$B$7:$B$42=DATE(YEAR($C90),MONTH($C90),1))))</f>
        <v>0</v>
      </c>
      <c r="AE90" s="1" t="str">
        <f>IF($E90="","",$E90&amp;"|"&amp;COUNTIFS($E$7:$E90,$E90))</f>
        <v>Personel|10</v>
      </c>
    </row>
    <row r="91" spans="1:31" ht="18" customHeight="1" x14ac:dyDescent="0.3">
      <c r="A91" s="2"/>
      <c r="B91" s="65" t="str">
        <f t="shared" si="10"/>
        <v>GG00085</v>
      </c>
      <c r="C91" s="66">
        <v>46139</v>
      </c>
      <c r="D91" s="60" t="s">
        <v>759</v>
      </c>
      <c r="E91" s="61" t="s">
        <v>784</v>
      </c>
      <c r="F91" s="61" t="s">
        <v>825</v>
      </c>
      <c r="G91" s="67">
        <v>11810</v>
      </c>
      <c r="H91" s="60" t="s">
        <v>762</v>
      </c>
      <c r="I91" s="60" t="s">
        <v>763</v>
      </c>
      <c r="J91" s="61"/>
      <c r="K91" s="61"/>
      <c r="L91" s="60"/>
      <c r="M91" s="74" t="str">
        <f t="shared" si="11"/>
        <v>Vergi / Harç</v>
      </c>
      <c r="N91" s="74" t="str">
        <f t="shared" si="12"/>
        <v>Merkez Kasa</v>
      </c>
      <c r="O91" s="73">
        <f t="shared" si="13"/>
        <v>46113</v>
      </c>
      <c r="P91" s="65" t="str">
        <f t="shared" ca="1" si="14"/>
        <v>UYGUN</v>
      </c>
      <c r="Q91" s="2"/>
      <c r="R91" s="2"/>
      <c r="S91" s="1" t="str">
        <f t="shared" si="15"/>
        <v/>
      </c>
      <c r="T91" s="1" t="str">
        <f>IF(OR($C91="",$D91&lt;&gt;"Gelir",$L91=""),"",IFERROR(INDEX(MUSTERILER!$B$7:$B$156,MATCH($S91,MUSTERILER!$T$7:$T$156,0)),""))</f>
        <v/>
      </c>
      <c r="U91" s="1" t="str">
        <f>IF($T91="","",$T91&amp;"|"&amp;COUNTIFS($T$7:$T91,$T91))</f>
        <v/>
      </c>
      <c r="V91" s="1">
        <f t="shared" si="16"/>
        <v>0</v>
      </c>
      <c r="W91" s="1" t="str">
        <f t="shared" si="17"/>
        <v>Gider|Vergi / Harç|46139|11810|</v>
      </c>
      <c r="X91" s="1"/>
      <c r="Y91" s="1"/>
      <c r="Z91" s="1"/>
      <c r="AA91" s="1"/>
      <c r="AB91" s="1"/>
      <c r="AC91" s="1"/>
      <c r="AD91" s="1">
        <f>IF($C91="",0,SUMPRODUCT((AY_SONU!$O$7:$O$42="Evet")*(AY_SONU!$B$7:$B$42=DATE(YEAR($C91),MONTH($C91),1))))</f>
        <v>0</v>
      </c>
      <c r="AE91" s="1" t="str">
        <f>IF($E91="","",$E91&amp;"|"&amp;COUNTIFS($E$7:$E91,$E91))</f>
        <v>Vergi / Harç|10</v>
      </c>
    </row>
    <row r="92" spans="1:31" ht="18" customHeight="1" x14ac:dyDescent="0.3">
      <c r="A92" s="2"/>
      <c r="B92" s="65" t="str">
        <f t="shared" si="10"/>
        <v>GG00086</v>
      </c>
      <c r="C92" s="66">
        <v>46142</v>
      </c>
      <c r="D92" s="60" t="s">
        <v>759</v>
      </c>
      <c r="E92" s="61" t="s">
        <v>781</v>
      </c>
      <c r="F92" s="61" t="s">
        <v>845</v>
      </c>
      <c r="G92" s="67">
        <v>60000</v>
      </c>
      <c r="H92" s="60" t="s">
        <v>762</v>
      </c>
      <c r="I92" s="60" t="s">
        <v>763</v>
      </c>
      <c r="J92" s="61"/>
      <c r="K92" s="61"/>
      <c r="L92" s="60"/>
      <c r="M92" s="74" t="str">
        <f t="shared" si="11"/>
        <v>Personel</v>
      </c>
      <c r="N92" s="74" t="str">
        <f t="shared" si="12"/>
        <v>Merkez Kasa</v>
      </c>
      <c r="O92" s="73">
        <f t="shared" si="13"/>
        <v>46113</v>
      </c>
      <c r="P92" s="65" t="str">
        <f t="shared" ca="1" si="14"/>
        <v>UYGUN</v>
      </c>
      <c r="Q92" s="2"/>
      <c r="R92" s="2"/>
      <c r="S92" s="1" t="str">
        <f t="shared" si="15"/>
        <v/>
      </c>
      <c r="T92" s="1" t="str">
        <f>IF(OR($C92="",$D92&lt;&gt;"Gelir",$L92=""),"",IFERROR(INDEX(MUSTERILER!$B$7:$B$156,MATCH($S92,MUSTERILER!$T$7:$T$156,0)),""))</f>
        <v/>
      </c>
      <c r="U92" s="1" t="str">
        <f>IF($T92="","",$T92&amp;"|"&amp;COUNTIFS($T$7:$T92,$T92))</f>
        <v/>
      </c>
      <c r="V92" s="1">
        <f t="shared" si="16"/>
        <v>0</v>
      </c>
      <c r="W92" s="1" t="str">
        <f t="shared" si="17"/>
        <v>Gider|Personel|46142|60000|</v>
      </c>
      <c r="X92" s="1"/>
      <c r="Y92" s="1"/>
      <c r="Z92" s="1"/>
      <c r="AA92" s="1"/>
      <c r="AB92" s="1"/>
      <c r="AC92" s="1"/>
      <c r="AD92" s="1">
        <f>IF($C92="",0,SUMPRODUCT((AY_SONU!$O$7:$O$42="Evet")*(AY_SONU!$B$7:$B$42=DATE(YEAR($C92),MONTH($C92),1))))</f>
        <v>0</v>
      </c>
      <c r="AE92" s="1" t="str">
        <f>IF($E92="","",$E92&amp;"|"&amp;COUNTIFS($E$7:$E92,$E92))</f>
        <v>Personel|11</v>
      </c>
    </row>
    <row r="93" spans="1:31" ht="18" customHeight="1" x14ac:dyDescent="0.3">
      <c r="A93" s="2"/>
      <c r="B93" s="65" t="str">
        <f t="shared" si="10"/>
        <v>GG00087</v>
      </c>
      <c r="C93" s="66">
        <v>46142</v>
      </c>
      <c r="D93" s="60" t="s">
        <v>759</v>
      </c>
      <c r="E93" s="61" t="s">
        <v>774</v>
      </c>
      <c r="F93" s="61" t="s">
        <v>846</v>
      </c>
      <c r="G93" s="67">
        <v>2000</v>
      </c>
      <c r="H93" s="60" t="s">
        <v>762</v>
      </c>
      <c r="I93" s="60" t="s">
        <v>763</v>
      </c>
      <c r="J93" s="61"/>
      <c r="K93" s="61"/>
      <c r="L93" s="60"/>
      <c r="M93" s="74" t="str">
        <f t="shared" si="11"/>
        <v>Ulaşım</v>
      </c>
      <c r="N93" s="74" t="str">
        <f t="shared" si="12"/>
        <v>Merkez Kasa</v>
      </c>
      <c r="O93" s="73">
        <f t="shared" si="13"/>
        <v>46113</v>
      </c>
      <c r="P93" s="65" t="str">
        <f t="shared" ca="1" si="14"/>
        <v>UYGUN</v>
      </c>
      <c r="Q93" s="2"/>
      <c r="R93" s="2"/>
      <c r="S93" s="1" t="str">
        <f t="shared" si="15"/>
        <v/>
      </c>
      <c r="T93" s="1" t="str">
        <f>IF(OR($C93="",$D93&lt;&gt;"Gelir",$L93=""),"",IFERROR(INDEX(MUSTERILER!$B$7:$B$156,MATCH($S93,MUSTERILER!$T$7:$T$156,0)),""))</f>
        <v/>
      </c>
      <c r="U93" s="1" t="str">
        <f>IF($T93="","",$T93&amp;"|"&amp;COUNTIFS($T$7:$T93,$T93))</f>
        <v/>
      </c>
      <c r="V93" s="1">
        <f t="shared" si="16"/>
        <v>0</v>
      </c>
      <c r="W93" s="1" t="str">
        <f t="shared" si="17"/>
        <v>Gider|Ulaşım|46142|2000|</v>
      </c>
      <c r="X93" s="1"/>
      <c r="Y93" s="1"/>
      <c r="Z93" s="1"/>
      <c r="AA93" s="1"/>
      <c r="AB93" s="1"/>
      <c r="AC93" s="1"/>
      <c r="AD93" s="1">
        <f>IF($C93="",0,SUMPRODUCT((AY_SONU!$O$7:$O$42="Evet")*(AY_SONU!$B$7:$B$42=DATE(YEAR($C93),MONTH($C93),1))))</f>
        <v>0</v>
      </c>
      <c r="AE93" s="1" t="str">
        <f>IF($E93="","",$E93&amp;"|"&amp;COUNTIFS($E$7:$E93,$E93))</f>
        <v>Ulaşım|12</v>
      </c>
    </row>
    <row r="94" spans="1:31" ht="18" customHeight="1" x14ac:dyDescent="0.3">
      <c r="A94" s="2"/>
      <c r="B94" s="65" t="str">
        <f t="shared" si="10"/>
        <v>GG00088</v>
      </c>
      <c r="C94" s="66">
        <v>46144</v>
      </c>
      <c r="D94" s="60" t="s">
        <v>759</v>
      </c>
      <c r="E94" s="61" t="s">
        <v>774</v>
      </c>
      <c r="F94" s="61" t="s">
        <v>847</v>
      </c>
      <c r="G94" s="67">
        <v>1000</v>
      </c>
      <c r="H94" s="60" t="s">
        <v>762</v>
      </c>
      <c r="I94" s="60" t="s">
        <v>763</v>
      </c>
      <c r="J94" s="61"/>
      <c r="K94" s="61"/>
      <c r="L94" s="60"/>
      <c r="M94" s="74" t="str">
        <f t="shared" si="11"/>
        <v>Ulaşım</v>
      </c>
      <c r="N94" s="74" t="str">
        <f t="shared" si="12"/>
        <v>Merkez Kasa</v>
      </c>
      <c r="O94" s="73">
        <f t="shared" si="13"/>
        <v>46143</v>
      </c>
      <c r="P94" s="65" t="str">
        <f t="shared" ca="1" si="14"/>
        <v>UYGUN</v>
      </c>
      <c r="Q94" s="2"/>
      <c r="R94" s="2"/>
      <c r="S94" s="1" t="str">
        <f t="shared" si="15"/>
        <v/>
      </c>
      <c r="T94" s="1" t="str">
        <f>IF(OR($C94="",$D94&lt;&gt;"Gelir",$L94=""),"",IFERROR(INDEX(MUSTERILER!$B$7:$B$156,MATCH($S94,MUSTERILER!$T$7:$T$156,0)),""))</f>
        <v/>
      </c>
      <c r="U94" s="1" t="str">
        <f>IF($T94="","",$T94&amp;"|"&amp;COUNTIFS($T$7:$T94,$T94))</f>
        <v/>
      </c>
      <c r="V94" s="1">
        <f t="shared" si="16"/>
        <v>0</v>
      </c>
      <c r="W94" s="1" t="str">
        <f t="shared" si="17"/>
        <v>Gider|Ulaşım|46144|1000|</v>
      </c>
      <c r="X94" s="1"/>
      <c r="Y94" s="1"/>
      <c r="Z94" s="1"/>
      <c r="AA94" s="1"/>
      <c r="AB94" s="1"/>
      <c r="AC94" s="1"/>
      <c r="AD94" s="1">
        <f>IF($C94="",0,SUMPRODUCT((AY_SONU!$O$7:$O$42="Evet")*(AY_SONU!$B$7:$B$42=DATE(YEAR($C94),MONTH($C94),1))))</f>
        <v>0</v>
      </c>
      <c r="AE94" s="1" t="str">
        <f>IF($E94="","",$E94&amp;"|"&amp;COUNTIFS($E$7:$E94,$E94))</f>
        <v>Ulaşım|13</v>
      </c>
    </row>
    <row r="95" spans="1:31" ht="18" customHeight="1" x14ac:dyDescent="0.3">
      <c r="A95" s="2"/>
      <c r="B95" s="65" t="str">
        <f t="shared" si="10"/>
        <v>GG00089</v>
      </c>
      <c r="C95" s="66">
        <v>46144</v>
      </c>
      <c r="D95" s="60" t="s">
        <v>759</v>
      </c>
      <c r="E95" s="61" t="s">
        <v>788</v>
      </c>
      <c r="F95" s="61" t="s">
        <v>848</v>
      </c>
      <c r="G95" s="67">
        <v>14000</v>
      </c>
      <c r="H95" s="60" t="s">
        <v>762</v>
      </c>
      <c r="I95" s="60" t="s">
        <v>763</v>
      </c>
      <c r="J95" s="61"/>
      <c r="K95" s="61"/>
      <c r="L95" s="60"/>
      <c r="M95" s="74" t="str">
        <f t="shared" si="11"/>
        <v>Ofis Kirası</v>
      </c>
      <c r="N95" s="74" t="str">
        <f t="shared" si="12"/>
        <v>Merkez Kasa</v>
      </c>
      <c r="O95" s="73">
        <f t="shared" si="13"/>
        <v>46143</v>
      </c>
      <c r="P95" s="65" t="str">
        <f t="shared" ca="1" si="14"/>
        <v>UYGUN</v>
      </c>
      <c r="Q95" s="2"/>
      <c r="R95" s="2"/>
      <c r="S95" s="1" t="str">
        <f t="shared" si="15"/>
        <v/>
      </c>
      <c r="T95" s="1" t="str">
        <f>IF(OR($C95="",$D95&lt;&gt;"Gelir",$L95=""),"",IFERROR(INDEX(MUSTERILER!$B$7:$B$156,MATCH($S95,MUSTERILER!$T$7:$T$156,0)),""))</f>
        <v/>
      </c>
      <c r="U95" s="1" t="str">
        <f>IF($T95="","",$T95&amp;"|"&amp;COUNTIFS($T$7:$T95,$T95))</f>
        <v/>
      </c>
      <c r="V95" s="1">
        <f t="shared" si="16"/>
        <v>0</v>
      </c>
      <c r="W95" s="1" t="str">
        <f t="shared" si="17"/>
        <v>Gider|Ofis Kirası|46144|14000|</v>
      </c>
      <c r="X95" s="1"/>
      <c r="Y95" s="1"/>
      <c r="Z95" s="1"/>
      <c r="AA95" s="1"/>
      <c r="AB95" s="1"/>
      <c r="AC95" s="1"/>
      <c r="AD95" s="1">
        <f>IF($C95="",0,SUMPRODUCT((AY_SONU!$O$7:$O$42="Evet")*(AY_SONU!$B$7:$B$42=DATE(YEAR($C95),MONTH($C95),1))))</f>
        <v>0</v>
      </c>
      <c r="AE95" s="1" t="str">
        <f>IF($E95="","",$E95&amp;"|"&amp;COUNTIFS($E$7:$E95,$E95))</f>
        <v>Ofis Kirası|10</v>
      </c>
    </row>
    <row r="96" spans="1:31" ht="18" customHeight="1" x14ac:dyDescent="0.3">
      <c r="A96" s="2"/>
      <c r="B96" s="65" t="str">
        <f t="shared" si="10"/>
        <v>GG00090</v>
      </c>
      <c r="C96" s="66">
        <v>46144</v>
      </c>
      <c r="D96" s="60" t="s">
        <v>759</v>
      </c>
      <c r="E96" s="61" t="s">
        <v>788</v>
      </c>
      <c r="F96" s="61" t="s">
        <v>849</v>
      </c>
      <c r="G96" s="67">
        <v>2000</v>
      </c>
      <c r="H96" s="60" t="s">
        <v>762</v>
      </c>
      <c r="I96" s="60" t="s">
        <v>763</v>
      </c>
      <c r="J96" s="61"/>
      <c r="K96" s="61"/>
      <c r="L96" s="60"/>
      <c r="M96" s="74" t="str">
        <f t="shared" si="11"/>
        <v>Ofis Kirası</v>
      </c>
      <c r="N96" s="74" t="str">
        <f t="shared" si="12"/>
        <v>Merkez Kasa</v>
      </c>
      <c r="O96" s="73">
        <f t="shared" si="13"/>
        <v>46143</v>
      </c>
      <c r="P96" s="65" t="str">
        <f t="shared" ca="1" si="14"/>
        <v>UYGUN</v>
      </c>
      <c r="Q96" s="2"/>
      <c r="R96" s="2"/>
      <c r="S96" s="1" t="str">
        <f t="shared" si="15"/>
        <v/>
      </c>
      <c r="T96" s="1" t="str">
        <f>IF(OR($C96="",$D96&lt;&gt;"Gelir",$L96=""),"",IFERROR(INDEX(MUSTERILER!$B$7:$B$156,MATCH($S96,MUSTERILER!$T$7:$T$156,0)),""))</f>
        <v/>
      </c>
      <c r="U96" s="1" t="str">
        <f>IF($T96="","",$T96&amp;"|"&amp;COUNTIFS($T$7:$T96,$T96))</f>
        <v/>
      </c>
      <c r="V96" s="1">
        <f t="shared" si="16"/>
        <v>0</v>
      </c>
      <c r="W96" s="1" t="str">
        <f t="shared" si="17"/>
        <v>Gider|Ofis Kirası|46144|2000|</v>
      </c>
      <c r="X96" s="1"/>
      <c r="Y96" s="1"/>
      <c r="Z96" s="1"/>
      <c r="AA96" s="1"/>
      <c r="AB96" s="1"/>
      <c r="AC96" s="1"/>
      <c r="AD96" s="1">
        <f>IF($C96="",0,SUMPRODUCT((AY_SONU!$O$7:$O$42="Evet")*(AY_SONU!$B$7:$B$42=DATE(YEAR($C96),MONTH($C96),1))))</f>
        <v>0</v>
      </c>
      <c r="AE96" s="1" t="str">
        <f>IF($E96="","",$E96&amp;"|"&amp;COUNTIFS($E$7:$E96,$E96))</f>
        <v>Ofis Kirası|11</v>
      </c>
    </row>
    <row r="97" spans="1:31" ht="18" customHeight="1" x14ac:dyDescent="0.3">
      <c r="A97" s="2"/>
      <c r="B97" s="65" t="str">
        <f t="shared" si="10"/>
        <v>GG00091</v>
      </c>
      <c r="C97" s="66">
        <v>46144</v>
      </c>
      <c r="D97" s="60" t="s">
        <v>759</v>
      </c>
      <c r="E97" s="61" t="s">
        <v>774</v>
      </c>
      <c r="F97" s="61" t="s">
        <v>775</v>
      </c>
      <c r="G97" s="67">
        <v>2000</v>
      </c>
      <c r="H97" s="60" t="s">
        <v>762</v>
      </c>
      <c r="I97" s="60" t="s">
        <v>763</v>
      </c>
      <c r="J97" s="61"/>
      <c r="K97" s="61"/>
      <c r="L97" s="60"/>
      <c r="M97" s="74" t="str">
        <f t="shared" si="11"/>
        <v>Ulaşım</v>
      </c>
      <c r="N97" s="74" t="str">
        <f t="shared" si="12"/>
        <v>Merkez Kasa</v>
      </c>
      <c r="O97" s="73">
        <f t="shared" si="13"/>
        <v>46143</v>
      </c>
      <c r="P97" s="65" t="str">
        <f t="shared" ca="1" si="14"/>
        <v>UYGUN</v>
      </c>
      <c r="Q97" s="2"/>
      <c r="R97" s="2"/>
      <c r="S97" s="1" t="str">
        <f t="shared" si="15"/>
        <v/>
      </c>
      <c r="T97" s="1" t="str">
        <f>IF(OR($C97="",$D97&lt;&gt;"Gelir",$L97=""),"",IFERROR(INDEX(MUSTERILER!$B$7:$B$156,MATCH($S97,MUSTERILER!$T$7:$T$156,0)),""))</f>
        <v/>
      </c>
      <c r="U97" s="1" t="str">
        <f>IF($T97="","",$T97&amp;"|"&amp;COUNTIFS($T$7:$T97,$T97))</f>
        <v/>
      </c>
      <c r="V97" s="1">
        <f t="shared" si="16"/>
        <v>0</v>
      </c>
      <c r="W97" s="1" t="str">
        <f t="shared" si="17"/>
        <v>Gider|Ulaşım|46144|2000|</v>
      </c>
      <c r="X97" s="1"/>
      <c r="Y97" s="1"/>
      <c r="Z97" s="1"/>
      <c r="AA97" s="1"/>
      <c r="AB97" s="1"/>
      <c r="AC97" s="1"/>
      <c r="AD97" s="1">
        <f>IF($C97="",0,SUMPRODUCT((AY_SONU!$O$7:$O$42="Evet")*(AY_SONU!$B$7:$B$42=DATE(YEAR($C97),MONTH($C97),1))))</f>
        <v>0</v>
      </c>
      <c r="AE97" s="1" t="str">
        <f>IF($E97="","",$E97&amp;"|"&amp;COUNTIFS($E$7:$E97,$E97))</f>
        <v>Ulaşım|14</v>
      </c>
    </row>
    <row r="98" spans="1:31" ht="18" customHeight="1" x14ac:dyDescent="0.3">
      <c r="A98" s="2"/>
      <c r="B98" s="65" t="str">
        <f t="shared" si="10"/>
        <v>GG00092</v>
      </c>
      <c r="C98" s="66">
        <v>46146</v>
      </c>
      <c r="D98" s="60" t="s">
        <v>759</v>
      </c>
      <c r="E98" s="61" t="s">
        <v>774</v>
      </c>
      <c r="F98" s="61" t="s">
        <v>850</v>
      </c>
      <c r="G98" s="67">
        <v>600</v>
      </c>
      <c r="H98" s="60" t="s">
        <v>762</v>
      </c>
      <c r="I98" s="60" t="s">
        <v>763</v>
      </c>
      <c r="J98" s="61"/>
      <c r="K98" s="61"/>
      <c r="L98" s="60"/>
      <c r="M98" s="74" t="str">
        <f t="shared" si="11"/>
        <v>Ulaşım</v>
      </c>
      <c r="N98" s="74" t="str">
        <f t="shared" si="12"/>
        <v>Merkez Kasa</v>
      </c>
      <c r="O98" s="73">
        <f t="shared" si="13"/>
        <v>46143</v>
      </c>
      <c r="P98" s="65" t="str">
        <f t="shared" ca="1" si="14"/>
        <v>UYGUN</v>
      </c>
      <c r="Q98" s="2"/>
      <c r="R98" s="2"/>
      <c r="S98" s="1" t="str">
        <f t="shared" si="15"/>
        <v/>
      </c>
      <c r="T98" s="1" t="str">
        <f>IF(OR($C98="",$D98&lt;&gt;"Gelir",$L98=""),"",IFERROR(INDEX(MUSTERILER!$B$7:$B$156,MATCH($S98,MUSTERILER!$T$7:$T$156,0)),""))</f>
        <v/>
      </c>
      <c r="U98" s="1" t="str">
        <f>IF($T98="","",$T98&amp;"|"&amp;COUNTIFS($T$7:$T98,$T98))</f>
        <v/>
      </c>
      <c r="V98" s="1">
        <f t="shared" si="16"/>
        <v>0</v>
      </c>
      <c r="W98" s="1" t="str">
        <f t="shared" si="17"/>
        <v>Gider|Ulaşım|46146|600|</v>
      </c>
      <c r="X98" s="1"/>
      <c r="Y98" s="1"/>
      <c r="Z98" s="1"/>
      <c r="AA98" s="1"/>
      <c r="AB98" s="1"/>
      <c r="AC98" s="1"/>
      <c r="AD98" s="1">
        <f>IF($C98="",0,SUMPRODUCT((AY_SONU!$O$7:$O$42="Evet")*(AY_SONU!$B$7:$B$42=DATE(YEAR($C98),MONTH($C98),1))))</f>
        <v>0</v>
      </c>
      <c r="AE98" s="1" t="str">
        <f>IF($E98="","",$E98&amp;"|"&amp;COUNTIFS($E$7:$E98,$E98))</f>
        <v>Ulaşım|15</v>
      </c>
    </row>
    <row r="99" spans="1:31" ht="18" customHeight="1" x14ac:dyDescent="0.3">
      <c r="A99" s="2"/>
      <c r="B99" s="65" t="str">
        <f t="shared" si="10"/>
        <v>GG00093</v>
      </c>
      <c r="C99" s="66">
        <v>46147</v>
      </c>
      <c r="D99" s="60" t="s">
        <v>759</v>
      </c>
      <c r="E99" s="61" t="s">
        <v>781</v>
      </c>
      <c r="F99" s="61" t="s">
        <v>834</v>
      </c>
      <c r="G99" s="67">
        <v>10000</v>
      </c>
      <c r="H99" s="60" t="s">
        <v>762</v>
      </c>
      <c r="I99" s="60" t="s">
        <v>763</v>
      </c>
      <c r="J99" s="61"/>
      <c r="K99" s="61"/>
      <c r="L99" s="60"/>
      <c r="M99" s="74" t="str">
        <f t="shared" si="11"/>
        <v>Personel</v>
      </c>
      <c r="N99" s="74" t="str">
        <f t="shared" si="12"/>
        <v>Merkez Kasa</v>
      </c>
      <c r="O99" s="73">
        <f t="shared" si="13"/>
        <v>46143</v>
      </c>
      <c r="P99" s="65" t="str">
        <f t="shared" ca="1" si="14"/>
        <v>UYGUN</v>
      </c>
      <c r="Q99" s="2"/>
      <c r="R99" s="2"/>
      <c r="S99" s="1" t="str">
        <f t="shared" si="15"/>
        <v/>
      </c>
      <c r="T99" s="1" t="str">
        <f>IF(OR($C99="",$D99&lt;&gt;"Gelir",$L99=""),"",IFERROR(INDEX(MUSTERILER!$B$7:$B$156,MATCH($S99,MUSTERILER!$T$7:$T$156,0)),""))</f>
        <v/>
      </c>
      <c r="U99" s="1" t="str">
        <f>IF($T99="","",$T99&amp;"|"&amp;COUNTIFS($T$7:$T99,$T99))</f>
        <v/>
      </c>
      <c r="V99" s="1">
        <f t="shared" si="16"/>
        <v>0</v>
      </c>
      <c r="W99" s="1" t="str">
        <f t="shared" si="17"/>
        <v>Gider|Personel|46147|10000|</v>
      </c>
      <c r="X99" s="1"/>
      <c r="Y99" s="1"/>
      <c r="Z99" s="1"/>
      <c r="AA99" s="1"/>
      <c r="AB99" s="1"/>
      <c r="AC99" s="1"/>
      <c r="AD99" s="1">
        <f>IF($C99="",0,SUMPRODUCT((AY_SONU!$O$7:$O$42="Evet")*(AY_SONU!$B$7:$B$42=DATE(YEAR($C99),MONTH($C99),1))))</f>
        <v>0</v>
      </c>
      <c r="AE99" s="1" t="str">
        <f>IF($E99="","",$E99&amp;"|"&amp;COUNTIFS($E$7:$E99,$E99))</f>
        <v>Personel|12</v>
      </c>
    </row>
    <row r="100" spans="1:31" ht="18" customHeight="1" x14ac:dyDescent="0.3">
      <c r="A100" s="2"/>
      <c r="B100" s="65" t="str">
        <f t="shared" si="10"/>
        <v>GG00094</v>
      </c>
      <c r="C100" s="66">
        <v>46151</v>
      </c>
      <c r="D100" s="60" t="s">
        <v>759</v>
      </c>
      <c r="E100" s="61" t="s">
        <v>767</v>
      </c>
      <c r="F100" s="61" t="s">
        <v>555</v>
      </c>
      <c r="G100" s="67">
        <v>964</v>
      </c>
      <c r="H100" s="60" t="s">
        <v>762</v>
      </c>
      <c r="I100" s="60" t="s">
        <v>763</v>
      </c>
      <c r="J100" s="61"/>
      <c r="K100" s="61"/>
      <c r="L100" s="60"/>
      <c r="M100" s="74" t="str">
        <f t="shared" si="11"/>
        <v>Telefon / İnternet</v>
      </c>
      <c r="N100" s="74" t="str">
        <f t="shared" si="12"/>
        <v>Merkez Kasa</v>
      </c>
      <c r="O100" s="73">
        <f t="shared" si="13"/>
        <v>46143</v>
      </c>
      <c r="P100" s="65" t="str">
        <f t="shared" ca="1" si="14"/>
        <v>UYGUN</v>
      </c>
      <c r="Q100" s="2"/>
      <c r="R100" s="2"/>
      <c r="S100" s="1" t="str">
        <f t="shared" si="15"/>
        <v/>
      </c>
      <c r="T100" s="1" t="str">
        <f>IF(OR($C100="",$D100&lt;&gt;"Gelir",$L100=""),"",IFERROR(INDEX(MUSTERILER!$B$7:$B$156,MATCH($S100,MUSTERILER!$T$7:$T$156,0)),""))</f>
        <v/>
      </c>
      <c r="U100" s="1" t="str">
        <f>IF($T100="","",$T100&amp;"|"&amp;COUNTIFS($T$7:$T100,$T100))</f>
        <v/>
      </c>
      <c r="V100" s="1">
        <f t="shared" si="16"/>
        <v>0</v>
      </c>
      <c r="W100" s="1" t="str">
        <f t="shared" si="17"/>
        <v>Gider|Telefon / İnternet|46151|964|</v>
      </c>
      <c r="X100" s="1"/>
      <c r="Y100" s="1"/>
      <c r="Z100" s="1"/>
      <c r="AA100" s="1"/>
      <c r="AB100" s="1"/>
      <c r="AC100" s="1"/>
      <c r="AD100" s="1">
        <f>IF($C100="",0,SUMPRODUCT((AY_SONU!$O$7:$O$42="Evet")*(AY_SONU!$B$7:$B$42=DATE(YEAR($C100),MONTH($C100),1))))</f>
        <v>0</v>
      </c>
      <c r="AE100" s="1" t="str">
        <f>IF($E100="","",$E100&amp;"|"&amp;COUNTIFS($E$7:$E100,$E100))</f>
        <v>Telefon / İnternet|11</v>
      </c>
    </row>
    <row r="101" spans="1:31" ht="18" customHeight="1" x14ac:dyDescent="0.3">
      <c r="A101" s="2"/>
      <c r="B101" s="65" t="str">
        <f t="shared" si="10"/>
        <v>GG00095</v>
      </c>
      <c r="C101" s="66">
        <v>46151</v>
      </c>
      <c r="D101" s="60" t="s">
        <v>759</v>
      </c>
      <c r="E101" s="61" t="s">
        <v>767</v>
      </c>
      <c r="F101" s="61" t="s">
        <v>851</v>
      </c>
      <c r="G101" s="67">
        <v>800</v>
      </c>
      <c r="H101" s="60" t="s">
        <v>762</v>
      </c>
      <c r="I101" s="60" t="s">
        <v>763</v>
      </c>
      <c r="J101" s="61"/>
      <c r="K101" s="61"/>
      <c r="L101" s="60"/>
      <c r="M101" s="74" t="str">
        <f t="shared" si="11"/>
        <v>Telefon / İnternet</v>
      </c>
      <c r="N101" s="74" t="str">
        <f t="shared" si="12"/>
        <v>Merkez Kasa</v>
      </c>
      <c r="O101" s="73">
        <f t="shared" si="13"/>
        <v>46143</v>
      </c>
      <c r="P101" s="65" t="str">
        <f t="shared" ca="1" si="14"/>
        <v>UYGUN</v>
      </c>
      <c r="Q101" s="2"/>
      <c r="R101" s="2"/>
      <c r="S101" s="1" t="str">
        <f t="shared" si="15"/>
        <v/>
      </c>
      <c r="T101" s="1" t="str">
        <f>IF(OR($C101="",$D101&lt;&gt;"Gelir",$L101=""),"",IFERROR(INDEX(MUSTERILER!$B$7:$B$156,MATCH($S101,MUSTERILER!$T$7:$T$156,0)),""))</f>
        <v/>
      </c>
      <c r="U101" s="1" t="str">
        <f>IF($T101="","",$T101&amp;"|"&amp;COUNTIFS($T$7:$T101,$T101))</f>
        <v/>
      </c>
      <c r="V101" s="1">
        <f t="shared" si="16"/>
        <v>0</v>
      </c>
      <c r="W101" s="1" t="str">
        <f t="shared" si="17"/>
        <v>Gider|Telefon / İnternet|46151|800|</v>
      </c>
      <c r="X101" s="1"/>
      <c r="Y101" s="1"/>
      <c r="Z101" s="1"/>
      <c r="AA101" s="1"/>
      <c r="AB101" s="1"/>
      <c r="AC101" s="1"/>
      <c r="AD101" s="1">
        <f>IF($C101="",0,SUMPRODUCT((AY_SONU!$O$7:$O$42="Evet")*(AY_SONU!$B$7:$B$42=DATE(YEAR($C101),MONTH($C101),1))))</f>
        <v>0</v>
      </c>
      <c r="AE101" s="1" t="str">
        <f>IF($E101="","",$E101&amp;"|"&amp;COUNTIFS($E$7:$E101,$E101))</f>
        <v>Telefon / İnternet|12</v>
      </c>
    </row>
    <row r="102" spans="1:31" ht="18" customHeight="1" x14ac:dyDescent="0.3">
      <c r="A102" s="2"/>
      <c r="B102" s="65" t="str">
        <f t="shared" si="10"/>
        <v>GG00096</v>
      </c>
      <c r="C102" s="66">
        <v>46151</v>
      </c>
      <c r="D102" s="60" t="s">
        <v>759</v>
      </c>
      <c r="E102" s="61" t="s">
        <v>779</v>
      </c>
      <c r="F102" s="61" t="s">
        <v>852</v>
      </c>
      <c r="G102" s="67">
        <v>51500</v>
      </c>
      <c r="H102" s="60" t="s">
        <v>762</v>
      </c>
      <c r="I102" s="60" t="s">
        <v>763</v>
      </c>
      <c r="J102" s="61"/>
      <c r="K102" s="61"/>
      <c r="L102" s="60"/>
      <c r="M102" s="74" t="str">
        <f t="shared" si="11"/>
        <v>Mehmet Ali Kartal</v>
      </c>
      <c r="N102" s="74" t="str">
        <f t="shared" si="12"/>
        <v>Merkez Kasa</v>
      </c>
      <c r="O102" s="73">
        <f t="shared" si="13"/>
        <v>46143</v>
      </c>
      <c r="P102" s="65" t="str">
        <f t="shared" ca="1" si="14"/>
        <v>UYGUN</v>
      </c>
      <c r="Q102" s="2"/>
      <c r="R102" s="2"/>
      <c r="S102" s="1" t="str">
        <f t="shared" si="15"/>
        <v/>
      </c>
      <c r="T102" s="1" t="str">
        <f>IF(OR($C102="",$D102&lt;&gt;"Gelir",$L102=""),"",IFERROR(INDEX(MUSTERILER!$B$7:$B$156,MATCH($S102,MUSTERILER!$T$7:$T$156,0)),""))</f>
        <v/>
      </c>
      <c r="U102" s="1" t="str">
        <f>IF($T102="","",$T102&amp;"|"&amp;COUNTIFS($T$7:$T102,$T102))</f>
        <v/>
      </c>
      <c r="V102" s="1">
        <f t="shared" si="16"/>
        <v>0</v>
      </c>
      <c r="W102" s="1" t="str">
        <f t="shared" si="17"/>
        <v>Gider|Mehmet Ali Kartal|46151|51500|</v>
      </c>
      <c r="X102" s="1"/>
      <c r="Y102" s="1"/>
      <c r="Z102" s="1"/>
      <c r="AA102" s="1"/>
      <c r="AB102" s="1"/>
      <c r="AC102" s="1"/>
      <c r="AD102" s="1">
        <f>IF($C102="",0,SUMPRODUCT((AY_SONU!$O$7:$O$42="Evet")*(AY_SONU!$B$7:$B$42=DATE(YEAR($C102),MONTH($C102),1))))</f>
        <v>0</v>
      </c>
      <c r="AE102" s="1" t="str">
        <f>IF($E102="","",$E102&amp;"|"&amp;COUNTIFS($E$7:$E102,$E102))</f>
        <v>Mehmet Ali Kartal|3</v>
      </c>
    </row>
    <row r="103" spans="1:31" ht="18" customHeight="1" x14ac:dyDescent="0.3">
      <c r="A103" s="2"/>
      <c r="B103" s="65" t="str">
        <f t="shared" si="10"/>
        <v>GG00097</v>
      </c>
      <c r="C103" s="66">
        <v>46151</v>
      </c>
      <c r="D103" s="60" t="s">
        <v>759</v>
      </c>
      <c r="E103" s="61" t="s">
        <v>774</v>
      </c>
      <c r="F103" s="61" t="s">
        <v>775</v>
      </c>
      <c r="G103" s="67">
        <v>2000</v>
      </c>
      <c r="H103" s="60" t="s">
        <v>762</v>
      </c>
      <c r="I103" s="60" t="s">
        <v>763</v>
      </c>
      <c r="J103" s="61"/>
      <c r="K103" s="61"/>
      <c r="L103" s="60"/>
      <c r="M103" s="74" t="str">
        <f t="shared" si="11"/>
        <v>Ulaşım</v>
      </c>
      <c r="N103" s="74" t="str">
        <f t="shared" si="12"/>
        <v>Merkez Kasa</v>
      </c>
      <c r="O103" s="73">
        <f t="shared" si="13"/>
        <v>46143</v>
      </c>
      <c r="P103" s="65" t="str">
        <f t="shared" ca="1" si="14"/>
        <v>UYGUN</v>
      </c>
      <c r="Q103" s="2"/>
      <c r="R103" s="2"/>
      <c r="S103" s="1" t="str">
        <f t="shared" si="15"/>
        <v/>
      </c>
      <c r="T103" s="1" t="str">
        <f>IF(OR($C103="",$D103&lt;&gt;"Gelir",$L103=""),"",IFERROR(INDEX(MUSTERILER!$B$7:$B$156,MATCH($S103,MUSTERILER!$T$7:$T$156,0)),""))</f>
        <v/>
      </c>
      <c r="U103" s="1" t="str">
        <f>IF($T103="","",$T103&amp;"|"&amp;COUNTIFS($T$7:$T103,$T103))</f>
        <v/>
      </c>
      <c r="V103" s="1">
        <f t="shared" si="16"/>
        <v>0</v>
      </c>
      <c r="W103" s="1" t="str">
        <f t="shared" si="17"/>
        <v>Gider|Ulaşım|46151|2000|</v>
      </c>
      <c r="X103" s="1"/>
      <c r="Y103" s="1"/>
      <c r="Z103" s="1"/>
      <c r="AA103" s="1"/>
      <c r="AB103" s="1"/>
      <c r="AC103" s="1"/>
      <c r="AD103" s="1">
        <f>IF($C103="",0,SUMPRODUCT((AY_SONU!$O$7:$O$42="Evet")*(AY_SONU!$B$7:$B$42=DATE(YEAR($C103),MONTH($C103),1))))</f>
        <v>0</v>
      </c>
      <c r="AE103" s="1" t="str">
        <f>IF($E103="","",$E103&amp;"|"&amp;COUNTIFS($E$7:$E103,$E103))</f>
        <v>Ulaşım|16</v>
      </c>
    </row>
    <row r="104" spans="1:31" ht="18" customHeight="1" x14ac:dyDescent="0.3">
      <c r="A104" s="2"/>
      <c r="B104" s="65" t="str">
        <f t="shared" si="10"/>
        <v>GG00098</v>
      </c>
      <c r="C104" s="66">
        <v>46157</v>
      </c>
      <c r="D104" s="60" t="s">
        <v>759</v>
      </c>
      <c r="E104" s="61" t="s">
        <v>765</v>
      </c>
      <c r="F104" s="61" t="s">
        <v>853</v>
      </c>
      <c r="G104" s="67">
        <v>80</v>
      </c>
      <c r="H104" s="60" t="s">
        <v>762</v>
      </c>
      <c r="I104" s="60" t="s">
        <v>763</v>
      </c>
      <c r="J104" s="61"/>
      <c r="K104" s="61"/>
      <c r="L104" s="60"/>
      <c r="M104" s="74" t="str">
        <f t="shared" si="11"/>
        <v>Kırtasiye</v>
      </c>
      <c r="N104" s="74" t="str">
        <f t="shared" si="12"/>
        <v>Merkez Kasa</v>
      </c>
      <c r="O104" s="73">
        <f t="shared" si="13"/>
        <v>46143</v>
      </c>
      <c r="P104" s="65" t="str">
        <f t="shared" ca="1" si="14"/>
        <v>UYGUN</v>
      </c>
      <c r="Q104" s="2"/>
      <c r="R104" s="2"/>
      <c r="S104" s="1" t="str">
        <f t="shared" si="15"/>
        <v/>
      </c>
      <c r="T104" s="1" t="str">
        <f>IF(OR($C104="",$D104&lt;&gt;"Gelir",$L104=""),"",IFERROR(INDEX(MUSTERILER!$B$7:$B$156,MATCH($S104,MUSTERILER!$T$7:$T$156,0)),""))</f>
        <v/>
      </c>
      <c r="U104" s="1" t="str">
        <f>IF($T104="","",$T104&amp;"|"&amp;COUNTIFS($T$7:$T104,$T104))</f>
        <v/>
      </c>
      <c r="V104" s="1">
        <f t="shared" si="16"/>
        <v>0</v>
      </c>
      <c r="W104" s="1" t="str">
        <f t="shared" si="17"/>
        <v>Gider|Kırtasiye|46157|80|</v>
      </c>
      <c r="X104" s="1"/>
      <c r="Y104" s="1"/>
      <c r="Z104" s="1"/>
      <c r="AA104" s="1"/>
      <c r="AB104" s="1"/>
      <c r="AC104" s="1"/>
      <c r="AD104" s="1">
        <f>IF($C104="",0,SUMPRODUCT((AY_SONU!$O$7:$O$42="Evet")*(AY_SONU!$B$7:$B$42=DATE(YEAR($C104),MONTH($C104),1))))</f>
        <v>0</v>
      </c>
      <c r="AE104" s="1" t="str">
        <f>IF($E104="","",$E104&amp;"|"&amp;COUNTIFS($E$7:$E104,$E104))</f>
        <v>Kırtasiye|4</v>
      </c>
    </row>
    <row r="105" spans="1:31" ht="18" customHeight="1" x14ac:dyDescent="0.3">
      <c r="A105" s="2"/>
      <c r="B105" s="65" t="str">
        <f t="shared" si="10"/>
        <v>GG00099</v>
      </c>
      <c r="C105" s="66">
        <v>46158</v>
      </c>
      <c r="D105" s="60" t="s">
        <v>759</v>
      </c>
      <c r="E105" s="61" t="s">
        <v>774</v>
      </c>
      <c r="F105" s="61" t="s">
        <v>799</v>
      </c>
      <c r="G105" s="67">
        <v>600</v>
      </c>
      <c r="H105" s="60" t="s">
        <v>762</v>
      </c>
      <c r="I105" s="60" t="s">
        <v>763</v>
      </c>
      <c r="J105" s="61"/>
      <c r="K105" s="61"/>
      <c r="L105" s="60"/>
      <c r="M105" s="74" t="str">
        <f t="shared" si="11"/>
        <v>Ulaşım</v>
      </c>
      <c r="N105" s="74" t="str">
        <f t="shared" si="12"/>
        <v>Merkez Kasa</v>
      </c>
      <c r="O105" s="73">
        <f t="shared" si="13"/>
        <v>46143</v>
      </c>
      <c r="P105" s="65" t="str">
        <f t="shared" ca="1" si="14"/>
        <v>UYGUN</v>
      </c>
      <c r="Q105" s="2"/>
      <c r="R105" s="2"/>
      <c r="S105" s="1" t="str">
        <f t="shared" si="15"/>
        <v/>
      </c>
      <c r="T105" s="1" t="str">
        <f>IF(OR($C105="",$D105&lt;&gt;"Gelir",$L105=""),"",IFERROR(INDEX(MUSTERILER!$B$7:$B$156,MATCH($S105,MUSTERILER!$T$7:$T$156,0)),""))</f>
        <v/>
      </c>
      <c r="U105" s="1" t="str">
        <f>IF($T105="","",$T105&amp;"|"&amp;COUNTIFS($T$7:$T105,$T105))</f>
        <v/>
      </c>
      <c r="V105" s="1">
        <f t="shared" si="16"/>
        <v>0</v>
      </c>
      <c r="W105" s="1" t="str">
        <f t="shared" si="17"/>
        <v>Gider|Ulaşım|46158|600|</v>
      </c>
      <c r="X105" s="1"/>
      <c r="Y105" s="1"/>
      <c r="Z105" s="1"/>
      <c r="AA105" s="1"/>
      <c r="AB105" s="1"/>
      <c r="AC105" s="1"/>
      <c r="AD105" s="1">
        <f>IF($C105="",0,SUMPRODUCT((AY_SONU!$O$7:$O$42="Evet")*(AY_SONU!$B$7:$B$42=DATE(YEAR($C105),MONTH($C105),1))))</f>
        <v>0</v>
      </c>
      <c r="AE105" s="1" t="str">
        <f>IF($E105="","",$E105&amp;"|"&amp;COUNTIFS($E$7:$E105,$E105))</f>
        <v>Ulaşım|17</v>
      </c>
    </row>
    <row r="106" spans="1:31" ht="18" customHeight="1" x14ac:dyDescent="0.3">
      <c r="A106" s="2"/>
      <c r="B106" s="65" t="str">
        <f t="shared" si="10"/>
        <v>GG00100</v>
      </c>
      <c r="C106" s="66">
        <v>46158</v>
      </c>
      <c r="D106" s="60" t="s">
        <v>759</v>
      </c>
      <c r="E106" s="61" t="s">
        <v>781</v>
      </c>
      <c r="F106" s="61" t="s">
        <v>854</v>
      </c>
      <c r="G106" s="67">
        <v>60000</v>
      </c>
      <c r="H106" s="60" t="s">
        <v>762</v>
      </c>
      <c r="I106" s="60" t="s">
        <v>763</v>
      </c>
      <c r="J106" s="61"/>
      <c r="K106" s="61"/>
      <c r="L106" s="60"/>
      <c r="M106" s="74" t="str">
        <f t="shared" si="11"/>
        <v>Personel</v>
      </c>
      <c r="N106" s="74" t="str">
        <f t="shared" si="12"/>
        <v>Merkez Kasa</v>
      </c>
      <c r="O106" s="73">
        <f t="shared" si="13"/>
        <v>46143</v>
      </c>
      <c r="P106" s="65" t="str">
        <f t="shared" ca="1" si="14"/>
        <v>UYGUN</v>
      </c>
      <c r="Q106" s="2"/>
      <c r="R106" s="2"/>
      <c r="S106" s="1" t="str">
        <f t="shared" si="15"/>
        <v/>
      </c>
      <c r="T106" s="1" t="str">
        <f>IF(OR($C106="",$D106&lt;&gt;"Gelir",$L106=""),"",IFERROR(INDEX(MUSTERILER!$B$7:$B$156,MATCH($S106,MUSTERILER!$T$7:$T$156,0)),""))</f>
        <v/>
      </c>
      <c r="U106" s="1" t="str">
        <f>IF($T106="","",$T106&amp;"|"&amp;COUNTIFS($T$7:$T106,$T106))</f>
        <v/>
      </c>
      <c r="V106" s="1">
        <f t="shared" si="16"/>
        <v>0</v>
      </c>
      <c r="W106" s="1" t="str">
        <f t="shared" si="17"/>
        <v>Gider|Personel|46158|60000|</v>
      </c>
      <c r="X106" s="1"/>
      <c r="Y106" s="1"/>
      <c r="Z106" s="1"/>
      <c r="AA106" s="1"/>
      <c r="AB106" s="1"/>
      <c r="AC106" s="1"/>
      <c r="AD106" s="1">
        <f>IF($C106="",0,SUMPRODUCT((AY_SONU!$O$7:$O$42="Evet")*(AY_SONU!$B$7:$B$42=DATE(YEAR($C106),MONTH($C106),1))))</f>
        <v>0</v>
      </c>
      <c r="AE106" s="1" t="str">
        <f>IF($E106="","",$E106&amp;"|"&amp;COUNTIFS($E$7:$E106,$E106))</f>
        <v>Personel|13</v>
      </c>
    </row>
    <row r="107" spans="1:31" ht="18" customHeight="1" x14ac:dyDescent="0.3">
      <c r="A107" s="2"/>
      <c r="B107" s="65" t="str">
        <f t="shared" si="10"/>
        <v>GG00101</v>
      </c>
      <c r="C107" s="66">
        <v>46165</v>
      </c>
      <c r="D107" s="60" t="s">
        <v>759</v>
      </c>
      <c r="E107" s="61" t="s">
        <v>774</v>
      </c>
      <c r="F107" s="61" t="s">
        <v>855</v>
      </c>
      <c r="G107" s="67">
        <v>2000</v>
      </c>
      <c r="H107" s="60" t="s">
        <v>762</v>
      </c>
      <c r="I107" s="60" t="s">
        <v>763</v>
      </c>
      <c r="J107" s="61"/>
      <c r="K107" s="61"/>
      <c r="L107" s="60"/>
      <c r="M107" s="74" t="str">
        <f t="shared" si="11"/>
        <v>Ulaşım</v>
      </c>
      <c r="N107" s="74" t="str">
        <f t="shared" si="12"/>
        <v>Merkez Kasa</v>
      </c>
      <c r="O107" s="73">
        <f t="shared" si="13"/>
        <v>46143</v>
      </c>
      <c r="P107" s="65" t="str">
        <f t="shared" ca="1" si="14"/>
        <v>MÜKERRER?</v>
      </c>
      <c r="Q107" s="2"/>
      <c r="R107" s="2"/>
      <c r="S107" s="1" t="str">
        <f t="shared" si="15"/>
        <v/>
      </c>
      <c r="T107" s="1" t="str">
        <f>IF(OR($C107="",$D107&lt;&gt;"Gelir",$L107=""),"",IFERROR(INDEX(MUSTERILER!$B$7:$B$156,MATCH($S107,MUSTERILER!$T$7:$T$156,0)),""))</f>
        <v/>
      </c>
      <c r="U107" s="1" t="str">
        <f>IF($T107="","",$T107&amp;"|"&amp;COUNTIFS($T$7:$T107,$T107))</f>
        <v/>
      </c>
      <c r="V107" s="1">
        <f t="shared" si="16"/>
        <v>0</v>
      </c>
      <c r="W107" s="1" t="str">
        <f t="shared" si="17"/>
        <v>Gider|Ulaşım|46165|2000|</v>
      </c>
      <c r="X107" s="1"/>
      <c r="Y107" s="1"/>
      <c r="Z107" s="1"/>
      <c r="AA107" s="1"/>
      <c r="AB107" s="1"/>
      <c r="AC107" s="1"/>
      <c r="AD107" s="1">
        <f>IF($C107="",0,SUMPRODUCT((AY_SONU!$O$7:$O$42="Evet")*(AY_SONU!$B$7:$B$42=DATE(YEAR($C107),MONTH($C107),1))))</f>
        <v>0</v>
      </c>
      <c r="AE107" s="1" t="str">
        <f>IF($E107="","",$E107&amp;"|"&amp;COUNTIFS($E$7:$E107,$E107))</f>
        <v>Ulaşım|18</v>
      </c>
    </row>
    <row r="108" spans="1:31" ht="18" customHeight="1" x14ac:dyDescent="0.3">
      <c r="A108" s="2"/>
      <c r="B108" s="65" t="str">
        <f t="shared" si="10"/>
        <v>GG00102</v>
      </c>
      <c r="C108" s="66">
        <v>46165</v>
      </c>
      <c r="D108" s="60" t="s">
        <v>759</v>
      </c>
      <c r="E108" s="61" t="s">
        <v>784</v>
      </c>
      <c r="F108" s="61" t="s">
        <v>825</v>
      </c>
      <c r="G108" s="67">
        <v>11810</v>
      </c>
      <c r="H108" s="60" t="s">
        <v>762</v>
      </c>
      <c r="I108" s="60" t="s">
        <v>763</v>
      </c>
      <c r="J108" s="61"/>
      <c r="K108" s="61"/>
      <c r="L108" s="60"/>
      <c r="M108" s="74" t="str">
        <f t="shared" si="11"/>
        <v>Vergi / Harç</v>
      </c>
      <c r="N108" s="74" t="str">
        <f t="shared" si="12"/>
        <v>Merkez Kasa</v>
      </c>
      <c r="O108" s="73">
        <f t="shared" si="13"/>
        <v>46143</v>
      </c>
      <c r="P108" s="65" t="str">
        <f t="shared" ca="1" si="14"/>
        <v>UYGUN</v>
      </c>
      <c r="Q108" s="2"/>
      <c r="R108" s="2"/>
      <c r="S108" s="1" t="str">
        <f t="shared" si="15"/>
        <v/>
      </c>
      <c r="T108" s="1" t="str">
        <f>IF(OR($C108="",$D108&lt;&gt;"Gelir",$L108=""),"",IFERROR(INDEX(MUSTERILER!$B$7:$B$156,MATCH($S108,MUSTERILER!$T$7:$T$156,0)),""))</f>
        <v/>
      </c>
      <c r="U108" s="1" t="str">
        <f>IF($T108="","",$T108&amp;"|"&amp;COUNTIFS($T$7:$T108,$T108))</f>
        <v/>
      </c>
      <c r="V108" s="1">
        <f t="shared" si="16"/>
        <v>0</v>
      </c>
      <c r="W108" s="1" t="str">
        <f t="shared" si="17"/>
        <v>Gider|Vergi / Harç|46165|11810|</v>
      </c>
      <c r="X108" s="1"/>
      <c r="Y108" s="1"/>
      <c r="Z108" s="1"/>
      <c r="AA108" s="1"/>
      <c r="AB108" s="1"/>
      <c r="AC108" s="1"/>
      <c r="AD108" s="1">
        <f>IF($C108="",0,SUMPRODUCT((AY_SONU!$O$7:$O$42="Evet")*(AY_SONU!$B$7:$B$42=DATE(YEAR($C108),MONTH($C108),1))))</f>
        <v>0</v>
      </c>
      <c r="AE108" s="1" t="str">
        <f>IF($E108="","",$E108&amp;"|"&amp;COUNTIFS($E$7:$E108,$E108))</f>
        <v>Vergi / Harç|11</v>
      </c>
    </row>
    <row r="109" spans="1:31" ht="18" customHeight="1" x14ac:dyDescent="0.3">
      <c r="A109" s="2"/>
      <c r="B109" s="65" t="str">
        <f t="shared" si="10"/>
        <v>GG00103</v>
      </c>
      <c r="C109" s="66">
        <v>46165</v>
      </c>
      <c r="D109" s="60" t="s">
        <v>759</v>
      </c>
      <c r="E109" s="61" t="s">
        <v>774</v>
      </c>
      <c r="F109" s="61" t="s">
        <v>775</v>
      </c>
      <c r="G109" s="67">
        <v>2000</v>
      </c>
      <c r="H109" s="60" t="s">
        <v>762</v>
      </c>
      <c r="I109" s="60" t="s">
        <v>763</v>
      </c>
      <c r="J109" s="61"/>
      <c r="K109" s="61"/>
      <c r="L109" s="60"/>
      <c r="M109" s="74" t="str">
        <f t="shared" si="11"/>
        <v>Ulaşım</v>
      </c>
      <c r="N109" s="74" t="str">
        <f t="shared" si="12"/>
        <v>Merkez Kasa</v>
      </c>
      <c r="O109" s="73">
        <f t="shared" si="13"/>
        <v>46143</v>
      </c>
      <c r="P109" s="65" t="str">
        <f t="shared" ca="1" si="14"/>
        <v>MÜKERRER?</v>
      </c>
      <c r="Q109" s="2"/>
      <c r="R109" s="2"/>
      <c r="S109" s="1" t="str">
        <f t="shared" si="15"/>
        <v/>
      </c>
      <c r="T109" s="1" t="str">
        <f>IF(OR($C109="",$D109&lt;&gt;"Gelir",$L109=""),"",IFERROR(INDEX(MUSTERILER!$B$7:$B$156,MATCH($S109,MUSTERILER!$T$7:$T$156,0)),""))</f>
        <v/>
      </c>
      <c r="U109" s="1" t="str">
        <f>IF($T109="","",$T109&amp;"|"&amp;COUNTIFS($T$7:$T109,$T109))</f>
        <v/>
      </c>
      <c r="V109" s="1">
        <f t="shared" si="16"/>
        <v>0</v>
      </c>
      <c r="W109" s="1" t="str">
        <f t="shared" si="17"/>
        <v>Gider|Ulaşım|46165|2000|</v>
      </c>
      <c r="X109" s="1"/>
      <c r="Y109" s="1"/>
      <c r="Z109" s="1"/>
      <c r="AA109" s="1"/>
      <c r="AB109" s="1"/>
      <c r="AC109" s="1"/>
      <c r="AD109" s="1">
        <f>IF($C109="",0,SUMPRODUCT((AY_SONU!$O$7:$O$42="Evet")*(AY_SONU!$B$7:$B$42=DATE(YEAR($C109),MONTH($C109),1))))</f>
        <v>0</v>
      </c>
      <c r="AE109" s="1" t="str">
        <f>IF($E109="","",$E109&amp;"|"&amp;COUNTIFS($E$7:$E109,$E109))</f>
        <v>Ulaşım|19</v>
      </c>
    </row>
    <row r="110" spans="1:31" ht="18" customHeight="1" x14ac:dyDescent="0.3">
      <c r="A110" s="2"/>
      <c r="B110" s="65" t="str">
        <f t="shared" si="10"/>
        <v>GG00104</v>
      </c>
      <c r="C110" s="66">
        <v>46169</v>
      </c>
      <c r="D110" s="60" t="s">
        <v>759</v>
      </c>
      <c r="E110" s="61" t="s">
        <v>779</v>
      </c>
      <c r="F110" s="61" t="s">
        <v>856</v>
      </c>
      <c r="G110" s="67">
        <v>30000</v>
      </c>
      <c r="H110" s="60" t="s">
        <v>762</v>
      </c>
      <c r="I110" s="60" t="s">
        <v>763</v>
      </c>
      <c r="J110" s="61"/>
      <c r="K110" s="61"/>
      <c r="L110" s="60"/>
      <c r="M110" s="74" t="str">
        <f t="shared" si="11"/>
        <v>Mehmet Ali Kartal</v>
      </c>
      <c r="N110" s="74" t="str">
        <f t="shared" si="12"/>
        <v>Merkez Kasa</v>
      </c>
      <c r="O110" s="73">
        <f t="shared" si="13"/>
        <v>46143</v>
      </c>
      <c r="P110" s="65" t="str">
        <f t="shared" ca="1" si="14"/>
        <v>UYGUN</v>
      </c>
      <c r="Q110" s="2"/>
      <c r="R110" s="2"/>
      <c r="S110" s="1" t="str">
        <f t="shared" si="15"/>
        <v/>
      </c>
      <c r="T110" s="1" t="str">
        <f>IF(OR($C110="",$D110&lt;&gt;"Gelir",$L110=""),"",IFERROR(INDEX(MUSTERILER!$B$7:$B$156,MATCH($S110,MUSTERILER!$T$7:$T$156,0)),""))</f>
        <v/>
      </c>
      <c r="U110" s="1" t="str">
        <f>IF($T110="","",$T110&amp;"|"&amp;COUNTIFS($T$7:$T110,$T110))</f>
        <v/>
      </c>
      <c r="V110" s="1">
        <f t="shared" si="16"/>
        <v>0</v>
      </c>
      <c r="W110" s="1" t="str">
        <f t="shared" si="17"/>
        <v>Gider|Mehmet Ali Kartal|46169|30000|</v>
      </c>
      <c r="X110" s="1"/>
      <c r="Y110" s="1"/>
      <c r="Z110" s="1"/>
      <c r="AA110" s="1"/>
      <c r="AB110" s="1"/>
      <c r="AC110" s="1"/>
      <c r="AD110" s="1">
        <f>IF($C110="",0,SUMPRODUCT((AY_SONU!$O$7:$O$42="Evet")*(AY_SONU!$B$7:$B$42=DATE(YEAR($C110),MONTH($C110),1))))</f>
        <v>0</v>
      </c>
      <c r="AE110" s="1" t="str">
        <f>IF($E110="","",$E110&amp;"|"&amp;COUNTIFS($E$7:$E110,$E110))</f>
        <v>Mehmet Ali Kartal|4</v>
      </c>
    </row>
    <row r="111" spans="1:31" ht="18" customHeight="1" x14ac:dyDescent="0.3">
      <c r="A111" s="2"/>
      <c r="B111" s="65" t="str">
        <f t="shared" si="10"/>
        <v>GG00105</v>
      </c>
      <c r="C111" s="66">
        <v>46173</v>
      </c>
      <c r="D111" s="60" t="s">
        <v>759</v>
      </c>
      <c r="E111" s="61" t="s">
        <v>774</v>
      </c>
      <c r="F111" s="61" t="s">
        <v>857</v>
      </c>
      <c r="G111" s="67">
        <v>2000</v>
      </c>
      <c r="H111" s="60" t="s">
        <v>762</v>
      </c>
      <c r="I111" s="60" t="s">
        <v>763</v>
      </c>
      <c r="J111" s="61"/>
      <c r="K111" s="61"/>
      <c r="L111" s="60"/>
      <c r="M111" s="74" t="str">
        <f t="shared" si="11"/>
        <v>Ulaşım</v>
      </c>
      <c r="N111" s="74" t="str">
        <f t="shared" si="12"/>
        <v>Merkez Kasa</v>
      </c>
      <c r="O111" s="73">
        <f t="shared" si="13"/>
        <v>46143</v>
      </c>
      <c r="P111" s="65" t="str">
        <f t="shared" ca="1" si="14"/>
        <v>MÜKERRER?</v>
      </c>
      <c r="Q111" s="2"/>
      <c r="R111" s="2"/>
      <c r="S111" s="1" t="str">
        <f t="shared" si="15"/>
        <v/>
      </c>
      <c r="T111" s="1" t="str">
        <f>IF(OR($C111="",$D111&lt;&gt;"Gelir",$L111=""),"",IFERROR(INDEX(MUSTERILER!$B$7:$B$156,MATCH($S111,MUSTERILER!$T$7:$T$156,0)),""))</f>
        <v/>
      </c>
      <c r="U111" s="1" t="str">
        <f>IF($T111="","",$T111&amp;"|"&amp;COUNTIFS($T$7:$T111,$T111))</f>
        <v/>
      </c>
      <c r="V111" s="1">
        <f t="shared" si="16"/>
        <v>0</v>
      </c>
      <c r="W111" s="1" t="str">
        <f t="shared" si="17"/>
        <v>Gider|Ulaşım|46173|2000|</v>
      </c>
      <c r="X111" s="1"/>
      <c r="Y111" s="1"/>
      <c r="Z111" s="1"/>
      <c r="AA111" s="1"/>
      <c r="AB111" s="1"/>
      <c r="AC111" s="1"/>
      <c r="AD111" s="1">
        <f>IF($C111="",0,SUMPRODUCT((AY_SONU!$O$7:$O$42="Evet")*(AY_SONU!$B$7:$B$42=DATE(YEAR($C111),MONTH($C111),1))))</f>
        <v>0</v>
      </c>
      <c r="AE111" s="1" t="str">
        <f>IF($E111="","",$E111&amp;"|"&amp;COUNTIFS($E$7:$E111,$E111))</f>
        <v>Ulaşım|20</v>
      </c>
    </row>
    <row r="112" spans="1:31" ht="18" customHeight="1" x14ac:dyDescent="0.3">
      <c r="A112" s="2"/>
      <c r="B112" s="65" t="str">
        <f t="shared" si="10"/>
        <v>GG00106</v>
      </c>
      <c r="C112" s="66">
        <v>46173</v>
      </c>
      <c r="D112" s="60" t="s">
        <v>759</v>
      </c>
      <c r="E112" s="61" t="s">
        <v>774</v>
      </c>
      <c r="F112" s="61" t="s">
        <v>775</v>
      </c>
      <c r="G112" s="67">
        <v>2000</v>
      </c>
      <c r="H112" s="60" t="s">
        <v>762</v>
      </c>
      <c r="I112" s="60" t="s">
        <v>763</v>
      </c>
      <c r="J112" s="61"/>
      <c r="K112" s="61"/>
      <c r="L112" s="60"/>
      <c r="M112" s="74" t="str">
        <f t="shared" si="11"/>
        <v>Ulaşım</v>
      </c>
      <c r="N112" s="74" t="str">
        <f t="shared" si="12"/>
        <v>Merkez Kasa</v>
      </c>
      <c r="O112" s="73">
        <f t="shared" si="13"/>
        <v>46143</v>
      </c>
      <c r="P112" s="65" t="str">
        <f t="shared" ca="1" si="14"/>
        <v>MÜKERRER?</v>
      </c>
      <c r="Q112" s="2"/>
      <c r="R112" s="2"/>
      <c r="S112" s="1" t="str">
        <f t="shared" si="15"/>
        <v/>
      </c>
      <c r="T112" s="1" t="str">
        <f>IF(OR($C112="",$D112&lt;&gt;"Gelir",$L112=""),"",IFERROR(INDEX(MUSTERILER!$B$7:$B$156,MATCH($S112,MUSTERILER!$T$7:$T$156,0)),""))</f>
        <v/>
      </c>
      <c r="U112" s="1" t="str">
        <f>IF($T112="","",$T112&amp;"|"&amp;COUNTIFS($T$7:$T112,$T112))</f>
        <v/>
      </c>
      <c r="V112" s="1">
        <f t="shared" si="16"/>
        <v>0</v>
      </c>
      <c r="W112" s="1" t="str">
        <f t="shared" si="17"/>
        <v>Gider|Ulaşım|46173|2000|</v>
      </c>
      <c r="X112" s="1"/>
      <c r="Y112" s="1"/>
      <c r="Z112" s="1"/>
      <c r="AA112" s="1"/>
      <c r="AB112" s="1"/>
      <c r="AC112" s="1"/>
      <c r="AD112" s="1">
        <f>IF($C112="",0,SUMPRODUCT((AY_SONU!$O$7:$O$42="Evet")*(AY_SONU!$B$7:$B$42=DATE(YEAR($C112),MONTH($C112),1))))</f>
        <v>0</v>
      </c>
      <c r="AE112" s="1" t="str">
        <f>IF($E112="","",$E112&amp;"|"&amp;COUNTIFS($E$7:$E112,$E112))</f>
        <v>Ulaşım|21</v>
      </c>
    </row>
    <row r="113" spans="1:31" ht="18" customHeight="1" x14ac:dyDescent="0.3">
      <c r="A113" s="2"/>
      <c r="B113" s="65" t="str">
        <f t="shared" si="10"/>
        <v>GG00107</v>
      </c>
      <c r="C113" s="66">
        <v>46179</v>
      </c>
      <c r="D113" s="60" t="s">
        <v>759</v>
      </c>
      <c r="E113" s="61" t="s">
        <v>767</v>
      </c>
      <c r="F113" s="61" t="s">
        <v>858</v>
      </c>
      <c r="G113" s="67">
        <v>800</v>
      </c>
      <c r="H113" s="60" t="s">
        <v>762</v>
      </c>
      <c r="I113" s="60" t="s">
        <v>763</v>
      </c>
      <c r="J113" s="61"/>
      <c r="K113" s="61"/>
      <c r="L113" s="60"/>
      <c r="M113" s="74" t="str">
        <f t="shared" si="11"/>
        <v>Telefon / İnternet</v>
      </c>
      <c r="N113" s="74" t="str">
        <f t="shared" si="12"/>
        <v>Merkez Kasa</v>
      </c>
      <c r="O113" s="73">
        <f t="shared" si="13"/>
        <v>46174</v>
      </c>
      <c r="P113" s="65" t="str">
        <f t="shared" ca="1" si="14"/>
        <v>UYGUN</v>
      </c>
      <c r="Q113" s="2"/>
      <c r="R113" s="2"/>
      <c r="S113" s="1" t="str">
        <f t="shared" si="15"/>
        <v/>
      </c>
      <c r="T113" s="1" t="str">
        <f>IF(OR($C113="",$D113&lt;&gt;"Gelir",$L113=""),"",IFERROR(INDEX(MUSTERILER!$B$7:$B$156,MATCH($S113,MUSTERILER!$T$7:$T$156,0)),""))</f>
        <v/>
      </c>
      <c r="U113" s="1" t="str">
        <f>IF($T113="","",$T113&amp;"|"&amp;COUNTIFS($T$7:$T113,$T113))</f>
        <v/>
      </c>
      <c r="V113" s="1">
        <f t="shared" si="16"/>
        <v>0</v>
      </c>
      <c r="W113" s="1" t="str">
        <f t="shared" si="17"/>
        <v>Gider|Telefon / İnternet|46179|800|</v>
      </c>
      <c r="X113" s="1"/>
      <c r="Y113" s="1"/>
      <c r="Z113" s="1"/>
      <c r="AA113" s="1"/>
      <c r="AB113" s="1"/>
      <c r="AC113" s="1"/>
      <c r="AD113" s="1">
        <f>IF($C113="",0,SUMPRODUCT((AY_SONU!$O$7:$O$42="Evet")*(AY_SONU!$B$7:$B$42=DATE(YEAR($C113),MONTH($C113),1))))</f>
        <v>0</v>
      </c>
      <c r="AE113" s="1" t="str">
        <f>IF($E113="","",$E113&amp;"|"&amp;COUNTIFS($E$7:$E113,$E113))</f>
        <v>Telefon / İnternet|13</v>
      </c>
    </row>
    <row r="114" spans="1:31" ht="18" customHeight="1" x14ac:dyDescent="0.3">
      <c r="A114" s="2"/>
      <c r="B114" s="65" t="str">
        <f t="shared" si="10"/>
        <v>GG00108</v>
      </c>
      <c r="C114" s="66">
        <v>46179</v>
      </c>
      <c r="D114" s="60" t="s">
        <v>759</v>
      </c>
      <c r="E114" s="61" t="s">
        <v>774</v>
      </c>
      <c r="F114" s="61" t="s">
        <v>775</v>
      </c>
      <c r="G114" s="67">
        <v>2000</v>
      </c>
      <c r="H114" s="60" t="s">
        <v>762</v>
      </c>
      <c r="I114" s="60" t="s">
        <v>763</v>
      </c>
      <c r="J114" s="61"/>
      <c r="K114" s="61"/>
      <c r="L114" s="60"/>
      <c r="M114" s="74" t="str">
        <f t="shared" si="11"/>
        <v>Ulaşım</v>
      </c>
      <c r="N114" s="74" t="str">
        <f t="shared" si="12"/>
        <v>Merkez Kasa</v>
      </c>
      <c r="O114" s="73">
        <f t="shared" si="13"/>
        <v>46174</v>
      </c>
      <c r="P114" s="65" t="str">
        <f t="shared" ca="1" si="14"/>
        <v>MÜKERRER?</v>
      </c>
      <c r="Q114" s="2"/>
      <c r="R114" s="2"/>
      <c r="S114" s="1" t="str">
        <f t="shared" si="15"/>
        <v/>
      </c>
      <c r="T114" s="1" t="str">
        <f>IF(OR($C114="",$D114&lt;&gt;"Gelir",$L114=""),"",IFERROR(INDEX(MUSTERILER!$B$7:$B$156,MATCH($S114,MUSTERILER!$T$7:$T$156,0)),""))</f>
        <v/>
      </c>
      <c r="U114" s="1" t="str">
        <f>IF($T114="","",$T114&amp;"|"&amp;COUNTIFS($T$7:$T114,$T114))</f>
        <v/>
      </c>
      <c r="V114" s="1">
        <f t="shared" si="16"/>
        <v>0</v>
      </c>
      <c r="W114" s="1" t="str">
        <f t="shared" si="17"/>
        <v>Gider|Ulaşım|46179|2000|</v>
      </c>
      <c r="X114" s="1"/>
      <c r="Y114" s="1"/>
      <c r="Z114" s="1"/>
      <c r="AA114" s="1"/>
      <c r="AB114" s="1"/>
      <c r="AC114" s="1"/>
      <c r="AD114" s="1">
        <f>IF($C114="",0,SUMPRODUCT((AY_SONU!$O$7:$O$42="Evet")*(AY_SONU!$B$7:$B$42=DATE(YEAR($C114),MONTH($C114),1))))</f>
        <v>0</v>
      </c>
      <c r="AE114" s="1" t="str">
        <f>IF($E114="","",$E114&amp;"|"&amp;COUNTIFS($E$7:$E114,$E114))</f>
        <v>Ulaşım|22</v>
      </c>
    </row>
    <row r="115" spans="1:31" ht="18" customHeight="1" x14ac:dyDescent="0.3">
      <c r="A115" s="2"/>
      <c r="B115" s="65" t="str">
        <f t="shared" si="10"/>
        <v>GG00109</v>
      </c>
      <c r="C115" s="66">
        <v>46179</v>
      </c>
      <c r="D115" s="60" t="s">
        <v>759</v>
      </c>
      <c r="E115" s="61" t="s">
        <v>774</v>
      </c>
      <c r="F115" s="61" t="s">
        <v>859</v>
      </c>
      <c r="G115" s="67">
        <v>2000</v>
      </c>
      <c r="H115" s="60" t="s">
        <v>762</v>
      </c>
      <c r="I115" s="60" t="s">
        <v>763</v>
      </c>
      <c r="J115" s="61"/>
      <c r="K115" s="61"/>
      <c r="L115" s="60"/>
      <c r="M115" s="74" t="str">
        <f t="shared" si="11"/>
        <v>Ulaşım</v>
      </c>
      <c r="N115" s="74" t="str">
        <f t="shared" si="12"/>
        <v>Merkez Kasa</v>
      </c>
      <c r="O115" s="73">
        <f t="shared" si="13"/>
        <v>46174</v>
      </c>
      <c r="P115" s="65" t="str">
        <f t="shared" ca="1" si="14"/>
        <v>MÜKERRER?</v>
      </c>
      <c r="Q115" s="2"/>
      <c r="R115" s="2"/>
      <c r="S115" s="1" t="str">
        <f t="shared" si="15"/>
        <v/>
      </c>
      <c r="T115" s="1" t="str">
        <f>IF(OR($C115="",$D115&lt;&gt;"Gelir",$L115=""),"",IFERROR(INDEX(MUSTERILER!$B$7:$B$156,MATCH($S115,MUSTERILER!$T$7:$T$156,0)),""))</f>
        <v/>
      </c>
      <c r="U115" s="1" t="str">
        <f>IF($T115="","",$T115&amp;"|"&amp;COUNTIFS($T$7:$T115,$T115))</f>
        <v/>
      </c>
      <c r="V115" s="1">
        <f t="shared" si="16"/>
        <v>0</v>
      </c>
      <c r="W115" s="1" t="str">
        <f t="shared" si="17"/>
        <v>Gider|Ulaşım|46179|2000|</v>
      </c>
      <c r="X115" s="1"/>
      <c r="Y115" s="1"/>
      <c r="Z115" s="1"/>
      <c r="AA115" s="1"/>
      <c r="AB115" s="1"/>
      <c r="AC115" s="1"/>
      <c r="AD115" s="1">
        <f>IF($C115="",0,SUMPRODUCT((AY_SONU!$O$7:$O$42="Evet")*(AY_SONU!$B$7:$B$42=DATE(YEAR($C115),MONTH($C115),1))))</f>
        <v>0</v>
      </c>
      <c r="AE115" s="1" t="str">
        <f>IF($E115="","",$E115&amp;"|"&amp;COUNTIFS($E$7:$E115,$E115))</f>
        <v>Ulaşım|23</v>
      </c>
    </row>
    <row r="116" spans="1:31" ht="18" customHeight="1" x14ac:dyDescent="0.3">
      <c r="A116" s="2"/>
      <c r="B116" s="65" t="str">
        <f t="shared" si="10"/>
        <v>GG00110</v>
      </c>
      <c r="C116" s="66">
        <v>46186</v>
      </c>
      <c r="D116" s="60" t="s">
        <v>759</v>
      </c>
      <c r="E116" s="61" t="s">
        <v>781</v>
      </c>
      <c r="F116" s="61" t="s">
        <v>834</v>
      </c>
      <c r="G116" s="67">
        <v>10000</v>
      </c>
      <c r="H116" s="60" t="s">
        <v>762</v>
      </c>
      <c r="I116" s="60" t="s">
        <v>763</v>
      </c>
      <c r="J116" s="61"/>
      <c r="K116" s="61"/>
      <c r="L116" s="60"/>
      <c r="M116" s="74" t="str">
        <f t="shared" si="11"/>
        <v>Personel</v>
      </c>
      <c r="N116" s="74" t="str">
        <f t="shared" si="12"/>
        <v>Merkez Kasa</v>
      </c>
      <c r="O116" s="73">
        <f t="shared" si="13"/>
        <v>46174</v>
      </c>
      <c r="P116" s="65" t="str">
        <f t="shared" ca="1" si="14"/>
        <v>UYGUN</v>
      </c>
      <c r="Q116" s="2"/>
      <c r="R116" s="2"/>
      <c r="S116" s="1" t="str">
        <f t="shared" si="15"/>
        <v/>
      </c>
      <c r="T116" s="1" t="str">
        <f>IF(OR($C116="",$D116&lt;&gt;"Gelir",$L116=""),"",IFERROR(INDEX(MUSTERILER!$B$7:$B$156,MATCH($S116,MUSTERILER!$T$7:$T$156,0)),""))</f>
        <v/>
      </c>
      <c r="U116" s="1" t="str">
        <f>IF($T116="","",$T116&amp;"|"&amp;COUNTIFS($T$7:$T116,$T116))</f>
        <v/>
      </c>
      <c r="V116" s="1">
        <f t="shared" si="16"/>
        <v>0</v>
      </c>
      <c r="W116" s="1" t="str">
        <f t="shared" si="17"/>
        <v>Gider|Personel|46186|10000|</v>
      </c>
      <c r="X116" s="1"/>
      <c r="Y116" s="1"/>
      <c r="Z116" s="1"/>
      <c r="AA116" s="1"/>
      <c r="AB116" s="1"/>
      <c r="AC116" s="1"/>
      <c r="AD116" s="1">
        <f>IF($C116="",0,SUMPRODUCT((AY_SONU!$O$7:$O$42="Evet")*(AY_SONU!$B$7:$B$42=DATE(YEAR($C116),MONTH($C116),1))))</f>
        <v>0</v>
      </c>
      <c r="AE116" s="1" t="str">
        <f>IF($E116="","",$E116&amp;"|"&amp;COUNTIFS($E$7:$E116,$E116))</f>
        <v>Personel|14</v>
      </c>
    </row>
    <row r="117" spans="1:31" ht="18" customHeight="1" x14ac:dyDescent="0.3">
      <c r="A117" s="2"/>
      <c r="B117" s="65" t="str">
        <f t="shared" si="10"/>
        <v>GG00111</v>
      </c>
      <c r="C117" s="66">
        <v>46188</v>
      </c>
      <c r="D117" s="60" t="s">
        <v>759</v>
      </c>
      <c r="E117" s="61" t="s">
        <v>781</v>
      </c>
      <c r="F117" s="61" t="s">
        <v>844</v>
      </c>
      <c r="G117" s="67">
        <v>10000</v>
      </c>
      <c r="H117" s="60" t="s">
        <v>762</v>
      </c>
      <c r="I117" s="60" t="s">
        <v>763</v>
      </c>
      <c r="J117" s="61"/>
      <c r="K117" s="61"/>
      <c r="L117" s="60"/>
      <c r="M117" s="74" t="str">
        <f t="shared" si="11"/>
        <v>Personel</v>
      </c>
      <c r="N117" s="74" t="str">
        <f t="shared" si="12"/>
        <v>Merkez Kasa</v>
      </c>
      <c r="O117" s="73">
        <f t="shared" si="13"/>
        <v>46174</v>
      </c>
      <c r="P117" s="65" t="str">
        <f t="shared" ca="1" si="14"/>
        <v>UYGUN</v>
      </c>
      <c r="Q117" s="2"/>
      <c r="R117" s="2"/>
      <c r="S117" s="1" t="str">
        <f t="shared" si="15"/>
        <v/>
      </c>
      <c r="T117" s="1" t="str">
        <f>IF(OR($C117="",$D117&lt;&gt;"Gelir",$L117=""),"",IFERROR(INDEX(MUSTERILER!$B$7:$B$156,MATCH($S117,MUSTERILER!$T$7:$T$156,0)),""))</f>
        <v/>
      </c>
      <c r="U117" s="1" t="str">
        <f>IF($T117="","",$T117&amp;"|"&amp;COUNTIFS($T$7:$T117,$T117))</f>
        <v/>
      </c>
      <c r="V117" s="1">
        <f t="shared" si="16"/>
        <v>0</v>
      </c>
      <c r="W117" s="1" t="str">
        <f t="shared" si="17"/>
        <v>Gider|Personel|46188|10000|</v>
      </c>
      <c r="X117" s="1"/>
      <c r="Y117" s="1"/>
      <c r="Z117" s="1"/>
      <c r="AA117" s="1"/>
      <c r="AB117" s="1"/>
      <c r="AC117" s="1"/>
      <c r="AD117" s="1">
        <f>IF($C117="",0,SUMPRODUCT((AY_SONU!$O$7:$O$42="Evet")*(AY_SONU!$B$7:$B$42=DATE(YEAR($C117),MONTH($C117),1))))</f>
        <v>0</v>
      </c>
      <c r="AE117" s="1" t="str">
        <f>IF($E117="","",$E117&amp;"|"&amp;COUNTIFS($E$7:$E117,$E117))</f>
        <v>Personel|15</v>
      </c>
    </row>
    <row r="118" spans="1:31" ht="18" customHeight="1" x14ac:dyDescent="0.3">
      <c r="A118" s="2"/>
      <c r="B118" s="65" t="str">
        <f t="shared" si="10"/>
        <v>GG00112</v>
      </c>
      <c r="C118" s="66">
        <v>46194</v>
      </c>
      <c r="D118" s="60" t="s">
        <v>759</v>
      </c>
      <c r="E118" s="61" t="s">
        <v>784</v>
      </c>
      <c r="F118" s="61" t="s">
        <v>825</v>
      </c>
      <c r="G118" s="67">
        <v>11810</v>
      </c>
      <c r="H118" s="60" t="s">
        <v>762</v>
      </c>
      <c r="I118" s="60" t="s">
        <v>763</v>
      </c>
      <c r="J118" s="61"/>
      <c r="K118" s="61"/>
      <c r="L118" s="60"/>
      <c r="M118" s="74" t="str">
        <f t="shared" si="11"/>
        <v>Vergi / Harç</v>
      </c>
      <c r="N118" s="74" t="str">
        <f t="shared" si="12"/>
        <v>Merkez Kasa</v>
      </c>
      <c r="O118" s="73">
        <f t="shared" si="13"/>
        <v>46174</v>
      </c>
      <c r="P118" s="65" t="str">
        <f t="shared" ca="1" si="14"/>
        <v>UYGUN</v>
      </c>
      <c r="Q118" s="2"/>
      <c r="R118" s="2"/>
      <c r="S118" s="1" t="str">
        <f t="shared" si="15"/>
        <v/>
      </c>
      <c r="T118" s="1" t="str">
        <f>IF(OR($C118="",$D118&lt;&gt;"Gelir",$L118=""),"",IFERROR(INDEX(MUSTERILER!$B$7:$B$156,MATCH($S118,MUSTERILER!$T$7:$T$156,0)),""))</f>
        <v/>
      </c>
      <c r="U118" s="1" t="str">
        <f>IF($T118="","",$T118&amp;"|"&amp;COUNTIFS($T$7:$T118,$T118))</f>
        <v/>
      </c>
      <c r="V118" s="1">
        <f t="shared" si="16"/>
        <v>0</v>
      </c>
      <c r="W118" s="1" t="str">
        <f t="shared" si="17"/>
        <v>Gider|Vergi / Harç|46194|11810|</v>
      </c>
      <c r="X118" s="1"/>
      <c r="Y118" s="1"/>
      <c r="Z118" s="1"/>
      <c r="AA118" s="1"/>
      <c r="AB118" s="1"/>
      <c r="AC118" s="1"/>
      <c r="AD118" s="1">
        <f>IF($C118="",0,SUMPRODUCT((AY_SONU!$O$7:$O$42="Evet")*(AY_SONU!$B$7:$B$42=DATE(YEAR($C118),MONTH($C118),1))))</f>
        <v>0</v>
      </c>
      <c r="AE118" s="1" t="str">
        <f>IF($E118="","",$E118&amp;"|"&amp;COUNTIFS($E$7:$E118,$E118))</f>
        <v>Vergi / Harç|12</v>
      </c>
    </row>
    <row r="119" spans="1:31" ht="18" customHeight="1" x14ac:dyDescent="0.3">
      <c r="A119" s="2"/>
      <c r="B119" s="65" t="str">
        <f t="shared" si="10"/>
        <v>GG00113</v>
      </c>
      <c r="C119" s="66">
        <v>46194</v>
      </c>
      <c r="D119" s="60" t="s">
        <v>759</v>
      </c>
      <c r="E119" s="61" t="s">
        <v>781</v>
      </c>
      <c r="F119" s="61" t="s">
        <v>844</v>
      </c>
      <c r="G119" s="67">
        <v>9700</v>
      </c>
      <c r="H119" s="60" t="s">
        <v>762</v>
      </c>
      <c r="I119" s="60" t="s">
        <v>763</v>
      </c>
      <c r="J119" s="61"/>
      <c r="K119" s="61"/>
      <c r="L119" s="60"/>
      <c r="M119" s="74" t="str">
        <f t="shared" si="11"/>
        <v>Personel</v>
      </c>
      <c r="N119" s="74" t="str">
        <f t="shared" si="12"/>
        <v>Merkez Kasa</v>
      </c>
      <c r="O119" s="73">
        <f t="shared" si="13"/>
        <v>46174</v>
      </c>
      <c r="P119" s="65" t="str">
        <f t="shared" ca="1" si="14"/>
        <v>UYGUN</v>
      </c>
      <c r="Q119" s="2"/>
      <c r="R119" s="2"/>
      <c r="S119" s="1" t="str">
        <f t="shared" si="15"/>
        <v/>
      </c>
      <c r="T119" s="1" t="str">
        <f>IF(OR($C119="",$D119&lt;&gt;"Gelir",$L119=""),"",IFERROR(INDEX(MUSTERILER!$B$7:$B$156,MATCH($S119,MUSTERILER!$T$7:$T$156,0)),""))</f>
        <v/>
      </c>
      <c r="U119" s="1" t="str">
        <f>IF($T119="","",$T119&amp;"|"&amp;COUNTIFS($T$7:$T119,$T119))</f>
        <v/>
      </c>
      <c r="V119" s="1">
        <f t="shared" si="16"/>
        <v>0</v>
      </c>
      <c r="W119" s="1" t="str">
        <f t="shared" si="17"/>
        <v>Gider|Personel|46194|9700|</v>
      </c>
      <c r="X119" s="1"/>
      <c r="Y119" s="1"/>
      <c r="Z119" s="1"/>
      <c r="AA119" s="1"/>
      <c r="AB119" s="1"/>
      <c r="AC119" s="1"/>
      <c r="AD119" s="1">
        <f>IF($C119="",0,SUMPRODUCT((AY_SONU!$O$7:$O$42="Evet")*(AY_SONU!$B$7:$B$42=DATE(YEAR($C119),MONTH($C119),1))))</f>
        <v>0</v>
      </c>
      <c r="AE119" s="1" t="str">
        <f>IF($E119="","",$E119&amp;"|"&amp;COUNTIFS($E$7:$E119,$E119))</f>
        <v>Personel|16</v>
      </c>
    </row>
    <row r="120" spans="1:31" ht="18" customHeight="1" x14ac:dyDescent="0.3">
      <c r="A120" s="2"/>
      <c r="B120" s="65" t="str">
        <f t="shared" si="10"/>
        <v>GG00114</v>
      </c>
      <c r="C120" s="66">
        <v>46195</v>
      </c>
      <c r="D120" s="60" t="s">
        <v>759</v>
      </c>
      <c r="E120" s="61" t="s">
        <v>767</v>
      </c>
      <c r="F120" s="61" t="s">
        <v>860</v>
      </c>
      <c r="G120" s="67">
        <v>800</v>
      </c>
      <c r="H120" s="60" t="s">
        <v>762</v>
      </c>
      <c r="I120" s="60" t="s">
        <v>763</v>
      </c>
      <c r="J120" s="61"/>
      <c r="K120" s="61"/>
      <c r="L120" s="60"/>
      <c r="M120" s="74" t="str">
        <f t="shared" si="11"/>
        <v>Telefon / İnternet</v>
      </c>
      <c r="N120" s="74" t="str">
        <f t="shared" si="12"/>
        <v>Merkez Kasa</v>
      </c>
      <c r="O120" s="73">
        <f t="shared" si="13"/>
        <v>46174</v>
      </c>
      <c r="P120" s="65" t="str">
        <f t="shared" ca="1" si="14"/>
        <v>UYGUN</v>
      </c>
      <c r="Q120" s="2"/>
      <c r="R120" s="2"/>
      <c r="S120" s="1" t="str">
        <f t="shared" si="15"/>
        <v/>
      </c>
      <c r="T120" s="1" t="str">
        <f>IF(OR($C120="",$D120&lt;&gt;"Gelir",$L120=""),"",IFERROR(INDEX(MUSTERILER!$B$7:$B$156,MATCH($S120,MUSTERILER!$T$7:$T$156,0)),""))</f>
        <v/>
      </c>
      <c r="U120" s="1" t="str">
        <f>IF($T120="","",$T120&amp;"|"&amp;COUNTIFS($T$7:$T120,$T120))</f>
        <v/>
      </c>
      <c r="V120" s="1">
        <f t="shared" si="16"/>
        <v>0</v>
      </c>
      <c r="W120" s="1" t="str">
        <f t="shared" si="17"/>
        <v>Gider|Telefon / İnternet|46195|800|</v>
      </c>
      <c r="X120" s="1"/>
      <c r="Y120" s="1"/>
      <c r="Z120" s="1"/>
      <c r="AA120" s="1"/>
      <c r="AB120" s="1"/>
      <c r="AC120" s="1"/>
      <c r="AD120" s="1">
        <f>IF($C120="",0,SUMPRODUCT((AY_SONU!$O$7:$O$42="Evet")*(AY_SONU!$B$7:$B$42=DATE(YEAR($C120),MONTH($C120),1))))</f>
        <v>0</v>
      </c>
      <c r="AE120" s="1" t="str">
        <f>IF($E120="","",$E120&amp;"|"&amp;COUNTIFS($E$7:$E120,$E120))</f>
        <v>Telefon / İnternet|14</v>
      </c>
    </row>
    <row r="121" spans="1:31" ht="18" customHeight="1" x14ac:dyDescent="0.3">
      <c r="A121" s="2"/>
      <c r="B121" s="65" t="str">
        <f t="shared" si="10"/>
        <v>GG00115</v>
      </c>
      <c r="C121" s="66">
        <v>46203</v>
      </c>
      <c r="D121" s="60" t="s">
        <v>759</v>
      </c>
      <c r="E121" s="61" t="s">
        <v>781</v>
      </c>
      <c r="F121" s="61" t="s">
        <v>861</v>
      </c>
      <c r="G121" s="67">
        <v>50000</v>
      </c>
      <c r="H121" s="60" t="s">
        <v>762</v>
      </c>
      <c r="I121" s="60" t="s">
        <v>763</v>
      </c>
      <c r="J121" s="61"/>
      <c r="K121" s="61"/>
      <c r="L121" s="60"/>
      <c r="M121" s="74" t="str">
        <f t="shared" si="11"/>
        <v>Personel</v>
      </c>
      <c r="N121" s="74" t="str">
        <f t="shared" si="12"/>
        <v>Merkez Kasa</v>
      </c>
      <c r="O121" s="73">
        <f t="shared" si="13"/>
        <v>46174</v>
      </c>
      <c r="P121" s="65" t="str">
        <f t="shared" ca="1" si="14"/>
        <v>UYGUN</v>
      </c>
      <c r="Q121" s="2"/>
      <c r="R121" s="2"/>
      <c r="S121" s="1" t="str">
        <f t="shared" si="15"/>
        <v/>
      </c>
      <c r="T121" s="1" t="str">
        <f>IF(OR($C121="",$D121&lt;&gt;"Gelir",$L121=""),"",IFERROR(INDEX(MUSTERILER!$B$7:$B$156,MATCH($S121,MUSTERILER!$T$7:$T$156,0)),""))</f>
        <v/>
      </c>
      <c r="U121" s="1" t="str">
        <f>IF($T121="","",$T121&amp;"|"&amp;COUNTIFS($T$7:$T121,$T121))</f>
        <v/>
      </c>
      <c r="V121" s="1">
        <f t="shared" si="16"/>
        <v>0</v>
      </c>
      <c r="W121" s="1" t="str">
        <f t="shared" si="17"/>
        <v>Gider|Personel|46203|50000|</v>
      </c>
      <c r="X121" s="1"/>
      <c r="Y121" s="1"/>
      <c r="Z121" s="1"/>
      <c r="AA121" s="1"/>
      <c r="AB121" s="1"/>
      <c r="AC121" s="1"/>
      <c r="AD121" s="1">
        <f>IF($C121="",0,SUMPRODUCT((AY_SONU!$O$7:$O$42="Evet")*(AY_SONU!$B$7:$B$42=DATE(YEAR($C121),MONTH($C121),1))))</f>
        <v>0</v>
      </c>
      <c r="AE121" s="1" t="str">
        <f>IF($E121="","",$E121&amp;"|"&amp;COUNTIFS($E$7:$E121,$E121))</f>
        <v>Personel|17</v>
      </c>
    </row>
    <row r="122" spans="1:31" ht="18" customHeight="1" x14ac:dyDescent="0.3">
      <c r="A122" s="2"/>
      <c r="B122" s="65" t="str">
        <f t="shared" si="10"/>
        <v>GG00116</v>
      </c>
      <c r="C122" s="66">
        <v>46203</v>
      </c>
      <c r="D122" s="60" t="s">
        <v>759</v>
      </c>
      <c r="E122" s="61" t="s">
        <v>774</v>
      </c>
      <c r="F122" s="61" t="s">
        <v>862</v>
      </c>
      <c r="G122" s="67">
        <v>2000</v>
      </c>
      <c r="H122" s="60" t="s">
        <v>762</v>
      </c>
      <c r="I122" s="60" t="s">
        <v>763</v>
      </c>
      <c r="J122" s="61"/>
      <c r="K122" s="61"/>
      <c r="L122" s="60"/>
      <c r="M122" s="74" t="str">
        <f t="shared" si="11"/>
        <v>Ulaşım</v>
      </c>
      <c r="N122" s="74" t="str">
        <f t="shared" si="12"/>
        <v>Merkez Kasa</v>
      </c>
      <c r="O122" s="73">
        <f t="shared" si="13"/>
        <v>46174</v>
      </c>
      <c r="P122" s="65" t="str">
        <f t="shared" ca="1" si="14"/>
        <v>UYGUN</v>
      </c>
      <c r="Q122" s="2"/>
      <c r="R122" s="2"/>
      <c r="S122" s="1" t="str">
        <f t="shared" si="15"/>
        <v/>
      </c>
      <c r="T122" s="1" t="str">
        <f>IF(OR($C122="",$D122&lt;&gt;"Gelir",$L122=""),"",IFERROR(INDEX(MUSTERILER!$B$7:$B$156,MATCH($S122,MUSTERILER!$T$7:$T$156,0)),""))</f>
        <v/>
      </c>
      <c r="U122" s="1" t="str">
        <f>IF($T122="","",$T122&amp;"|"&amp;COUNTIFS($T$7:$T122,$T122))</f>
        <v/>
      </c>
      <c r="V122" s="1">
        <f t="shared" si="16"/>
        <v>0</v>
      </c>
      <c r="W122" s="1" t="str">
        <f t="shared" si="17"/>
        <v>Gider|Ulaşım|46203|2000|</v>
      </c>
      <c r="X122" s="1"/>
      <c r="Y122" s="1"/>
      <c r="Z122" s="1"/>
      <c r="AA122" s="1"/>
      <c r="AB122" s="1"/>
      <c r="AC122" s="1"/>
      <c r="AD122" s="1">
        <f>IF($C122="",0,SUMPRODUCT((AY_SONU!$O$7:$O$42="Evet")*(AY_SONU!$B$7:$B$42=DATE(YEAR($C122),MONTH($C122),1))))</f>
        <v>0</v>
      </c>
      <c r="AE122" s="1" t="str">
        <f>IF($E122="","",$E122&amp;"|"&amp;COUNTIFS($E$7:$E122,$E122))</f>
        <v>Ulaşım|24</v>
      </c>
    </row>
    <row r="123" spans="1:31" ht="18" customHeight="1" x14ac:dyDescent="0.3">
      <c r="A123" s="2"/>
      <c r="B123" s="65" t="str">
        <f t="shared" si="10"/>
        <v>GG00117</v>
      </c>
      <c r="C123" s="66">
        <v>46216</v>
      </c>
      <c r="D123" s="60" t="s">
        <v>759</v>
      </c>
      <c r="E123" s="61" t="s">
        <v>781</v>
      </c>
      <c r="F123" s="61" t="s">
        <v>863</v>
      </c>
      <c r="G123" s="67">
        <v>10000</v>
      </c>
      <c r="H123" s="60" t="s">
        <v>762</v>
      </c>
      <c r="I123" s="60" t="s">
        <v>763</v>
      </c>
      <c r="J123" s="61"/>
      <c r="K123" s="61"/>
      <c r="L123" s="60"/>
      <c r="M123" s="74" t="str">
        <f t="shared" si="11"/>
        <v>Personel</v>
      </c>
      <c r="N123" s="74" t="str">
        <f t="shared" si="12"/>
        <v>Merkez Kasa</v>
      </c>
      <c r="O123" s="73">
        <f t="shared" si="13"/>
        <v>46204</v>
      </c>
      <c r="P123" s="65" t="str">
        <f t="shared" ca="1" si="14"/>
        <v>UYGUN</v>
      </c>
      <c r="Q123" s="2"/>
      <c r="R123" s="2"/>
      <c r="S123" s="1" t="str">
        <f t="shared" si="15"/>
        <v/>
      </c>
      <c r="T123" s="1" t="str">
        <f>IF(OR($C123="",$D123&lt;&gt;"Gelir",$L123=""),"",IFERROR(INDEX(MUSTERILER!$B$7:$B$156,MATCH($S123,MUSTERILER!$T$7:$T$156,0)),""))</f>
        <v/>
      </c>
      <c r="U123" s="1" t="str">
        <f>IF($T123="","",$T123&amp;"|"&amp;COUNTIFS($T$7:$T123,$T123))</f>
        <v/>
      </c>
      <c r="V123" s="1">
        <f t="shared" si="16"/>
        <v>0</v>
      </c>
      <c r="W123" s="1" t="str">
        <f t="shared" si="17"/>
        <v>Gider|Personel|46216|10000|</v>
      </c>
      <c r="X123" s="1"/>
      <c r="Y123" s="1"/>
      <c r="Z123" s="1"/>
      <c r="AA123" s="1"/>
      <c r="AB123" s="1"/>
      <c r="AC123" s="1"/>
      <c r="AD123" s="1">
        <f>IF($C123="",0,SUMPRODUCT((AY_SONU!$O$7:$O$42="Evet")*(AY_SONU!$B$7:$B$42=DATE(YEAR($C123),MONTH($C123),1))))</f>
        <v>0</v>
      </c>
      <c r="AE123" s="1" t="str">
        <f>IF($E123="","",$E123&amp;"|"&amp;COUNTIFS($E$7:$E123,$E123))</f>
        <v>Personel|18</v>
      </c>
    </row>
    <row r="124" spans="1:31" ht="18" customHeight="1" x14ac:dyDescent="0.3">
      <c r="A124" s="2"/>
      <c r="B124" s="65" t="str">
        <f t="shared" si="10"/>
        <v>GG00118</v>
      </c>
      <c r="C124" s="66">
        <v>46218</v>
      </c>
      <c r="D124" s="60" t="s">
        <v>759</v>
      </c>
      <c r="E124" s="61" t="s">
        <v>770</v>
      </c>
      <c r="F124" s="61" t="s">
        <v>864</v>
      </c>
      <c r="G124" s="67">
        <v>2200</v>
      </c>
      <c r="H124" s="60" t="s">
        <v>762</v>
      </c>
      <c r="I124" s="60" t="s">
        <v>763</v>
      </c>
      <c r="J124" s="61"/>
      <c r="K124" s="61"/>
      <c r="L124" s="60"/>
      <c r="M124" s="74" t="str">
        <f t="shared" si="11"/>
        <v>Elektrik / Su / Doğalgaz</v>
      </c>
      <c r="N124" s="74" t="str">
        <f t="shared" si="12"/>
        <v>Merkez Kasa</v>
      </c>
      <c r="O124" s="73">
        <f t="shared" si="13"/>
        <v>46204</v>
      </c>
      <c r="P124" s="65" t="str">
        <f t="shared" ca="1" si="14"/>
        <v>UYGUN</v>
      </c>
      <c r="Q124" s="2"/>
      <c r="R124" s="2"/>
      <c r="S124" s="1" t="str">
        <f t="shared" si="15"/>
        <v/>
      </c>
      <c r="T124" s="1" t="str">
        <f>IF(OR($C124="",$D124&lt;&gt;"Gelir",$L124=""),"",IFERROR(INDEX(MUSTERILER!$B$7:$B$156,MATCH($S124,MUSTERILER!$T$7:$T$156,0)),""))</f>
        <v/>
      </c>
      <c r="U124" s="1" t="str">
        <f>IF($T124="","",$T124&amp;"|"&amp;COUNTIFS($T$7:$T124,$T124))</f>
        <v/>
      </c>
      <c r="V124" s="1">
        <f t="shared" si="16"/>
        <v>0</v>
      </c>
      <c r="W124" s="1" t="str">
        <f t="shared" si="17"/>
        <v>Gider|Elektrik / Su / Doğalgaz|46218|2200|</v>
      </c>
      <c r="X124" s="1"/>
      <c r="Y124" s="1"/>
      <c r="Z124" s="1"/>
      <c r="AA124" s="1"/>
      <c r="AB124" s="1"/>
      <c r="AC124" s="1"/>
      <c r="AD124" s="1">
        <f>IF($C124="",0,SUMPRODUCT((AY_SONU!$O$7:$O$42="Evet")*(AY_SONU!$B$7:$B$42=DATE(YEAR($C124),MONTH($C124),1))))</f>
        <v>0</v>
      </c>
      <c r="AE124" s="1" t="str">
        <f>IF($E124="","",$E124&amp;"|"&amp;COUNTIFS($E$7:$E124,$E124))</f>
        <v>Elektrik / Su / Doğalgaz|6</v>
      </c>
    </row>
    <row r="125" spans="1:31" ht="18" customHeight="1" x14ac:dyDescent="0.3">
      <c r="A125" s="2"/>
      <c r="B125" s="65" t="str">
        <f t="shared" si="10"/>
        <v>GG00119</v>
      </c>
      <c r="C125" s="66">
        <v>46222</v>
      </c>
      <c r="D125" s="60" t="s">
        <v>759</v>
      </c>
      <c r="E125" s="61" t="s">
        <v>765</v>
      </c>
      <c r="F125" s="61" t="s">
        <v>865</v>
      </c>
      <c r="G125" s="67">
        <v>3500</v>
      </c>
      <c r="H125" s="60" t="s">
        <v>762</v>
      </c>
      <c r="I125" s="60" t="s">
        <v>763</v>
      </c>
      <c r="J125" s="61"/>
      <c r="K125" s="61"/>
      <c r="L125" s="60"/>
      <c r="M125" s="74" t="str">
        <f t="shared" si="11"/>
        <v>Kırtasiye</v>
      </c>
      <c r="N125" s="74" t="str">
        <f t="shared" si="12"/>
        <v>Merkez Kasa</v>
      </c>
      <c r="O125" s="73">
        <f t="shared" si="13"/>
        <v>46204</v>
      </c>
      <c r="P125" s="65" t="str">
        <f t="shared" ca="1" si="14"/>
        <v>UYGUN</v>
      </c>
      <c r="Q125" s="2"/>
      <c r="R125" s="2"/>
      <c r="S125" s="1" t="str">
        <f t="shared" si="15"/>
        <v/>
      </c>
      <c r="T125" s="1" t="str">
        <f>IF(OR($C125="",$D125&lt;&gt;"Gelir",$L125=""),"",IFERROR(INDEX(MUSTERILER!$B$7:$B$156,MATCH($S125,MUSTERILER!$T$7:$T$156,0)),""))</f>
        <v/>
      </c>
      <c r="U125" s="1" t="str">
        <f>IF($T125="","",$T125&amp;"|"&amp;COUNTIFS($T$7:$T125,$T125))</f>
        <v/>
      </c>
      <c r="V125" s="1">
        <f t="shared" si="16"/>
        <v>0</v>
      </c>
      <c r="W125" s="1" t="str">
        <f t="shared" si="17"/>
        <v>Gider|Kırtasiye|46222|3500|</v>
      </c>
      <c r="X125" s="1"/>
      <c r="Y125" s="1"/>
      <c r="Z125" s="1"/>
      <c r="AA125" s="1"/>
      <c r="AB125" s="1"/>
      <c r="AC125" s="1"/>
      <c r="AD125" s="1">
        <f>IF($C125="",0,SUMPRODUCT((AY_SONU!$O$7:$O$42="Evet")*(AY_SONU!$B$7:$B$42=DATE(YEAR($C125),MONTH($C125),1))))</f>
        <v>0</v>
      </c>
      <c r="AE125" s="1" t="str">
        <f>IF($E125="","",$E125&amp;"|"&amp;COUNTIFS($E$7:$E125,$E125))</f>
        <v>Kırtasiye|5</v>
      </c>
    </row>
    <row r="126" spans="1:31" ht="18" customHeight="1" x14ac:dyDescent="0.3">
      <c r="A126" s="2"/>
      <c r="B126" s="65" t="str">
        <f t="shared" si="10"/>
        <v>GG00120</v>
      </c>
      <c r="C126" s="66">
        <v>46222</v>
      </c>
      <c r="D126" s="60" t="s">
        <v>759</v>
      </c>
      <c r="E126" s="61" t="s">
        <v>774</v>
      </c>
      <c r="F126" s="61" t="s">
        <v>862</v>
      </c>
      <c r="G126" s="67">
        <v>2000</v>
      </c>
      <c r="H126" s="60" t="s">
        <v>762</v>
      </c>
      <c r="I126" s="60" t="s">
        <v>763</v>
      </c>
      <c r="J126" s="61"/>
      <c r="K126" s="61"/>
      <c r="L126" s="60"/>
      <c r="M126" s="74" t="str">
        <f t="shared" si="11"/>
        <v>Ulaşım</v>
      </c>
      <c r="N126" s="74" t="str">
        <f t="shared" si="12"/>
        <v>Merkez Kasa</v>
      </c>
      <c r="O126" s="73">
        <f t="shared" si="13"/>
        <v>46204</v>
      </c>
      <c r="P126" s="65" t="str">
        <f t="shared" ca="1" si="14"/>
        <v>UYGUN</v>
      </c>
      <c r="Q126" s="2"/>
      <c r="R126" s="2"/>
      <c r="S126" s="1" t="str">
        <f t="shared" si="15"/>
        <v/>
      </c>
      <c r="T126" s="1" t="str">
        <f>IF(OR($C126="",$D126&lt;&gt;"Gelir",$L126=""),"",IFERROR(INDEX(MUSTERILER!$B$7:$B$156,MATCH($S126,MUSTERILER!$T$7:$T$156,0)),""))</f>
        <v/>
      </c>
      <c r="U126" s="1" t="str">
        <f>IF($T126="","",$T126&amp;"|"&amp;COUNTIFS($T$7:$T126,$T126))</f>
        <v/>
      </c>
      <c r="V126" s="1">
        <f t="shared" si="16"/>
        <v>0</v>
      </c>
      <c r="W126" s="1" t="str">
        <f t="shared" si="17"/>
        <v>Gider|Ulaşım|46222|2000|</v>
      </c>
      <c r="X126" s="1"/>
      <c r="Y126" s="1"/>
      <c r="Z126" s="1"/>
      <c r="AA126" s="1"/>
      <c r="AB126" s="1"/>
      <c r="AC126" s="1"/>
      <c r="AD126" s="1">
        <f>IF($C126="",0,SUMPRODUCT((AY_SONU!$O$7:$O$42="Evet")*(AY_SONU!$B$7:$B$42=DATE(YEAR($C126),MONTH($C126),1))))</f>
        <v>0</v>
      </c>
      <c r="AE126" s="1" t="str">
        <f>IF($E126="","",$E126&amp;"|"&amp;COUNTIFS($E$7:$E126,$E126))</f>
        <v>Ulaşım|25</v>
      </c>
    </row>
    <row r="127" spans="1:31" ht="18" customHeight="1" x14ac:dyDescent="0.3">
      <c r="A127" s="2"/>
      <c r="B127" s="65" t="str">
        <f t="shared" si="10"/>
        <v>GG00121</v>
      </c>
      <c r="C127" s="66">
        <v>46224</v>
      </c>
      <c r="D127" s="60" t="s">
        <v>759</v>
      </c>
      <c r="E127" s="61" t="s">
        <v>784</v>
      </c>
      <c r="F127" s="61" t="s">
        <v>825</v>
      </c>
      <c r="G127" s="67">
        <v>11810</v>
      </c>
      <c r="H127" s="60" t="s">
        <v>762</v>
      </c>
      <c r="I127" s="60" t="s">
        <v>763</v>
      </c>
      <c r="J127" s="61"/>
      <c r="K127" s="61"/>
      <c r="L127" s="60"/>
      <c r="M127" s="74" t="str">
        <f t="shared" si="11"/>
        <v>Vergi / Harç</v>
      </c>
      <c r="N127" s="74" t="str">
        <f t="shared" si="12"/>
        <v>Merkez Kasa</v>
      </c>
      <c r="O127" s="73">
        <f t="shared" si="13"/>
        <v>46204</v>
      </c>
      <c r="P127" s="65" t="str">
        <f t="shared" ca="1" si="14"/>
        <v>UYGUN</v>
      </c>
      <c r="Q127" s="2"/>
      <c r="R127" s="2"/>
      <c r="S127" s="1" t="str">
        <f t="shared" si="15"/>
        <v/>
      </c>
      <c r="T127" s="1" t="str">
        <f>IF(OR($C127="",$D127&lt;&gt;"Gelir",$L127=""),"",IFERROR(INDEX(MUSTERILER!$B$7:$B$156,MATCH($S127,MUSTERILER!$T$7:$T$156,0)),""))</f>
        <v/>
      </c>
      <c r="U127" s="1" t="str">
        <f>IF($T127="","",$T127&amp;"|"&amp;COUNTIFS($T$7:$T127,$T127))</f>
        <v/>
      </c>
      <c r="V127" s="1">
        <f t="shared" si="16"/>
        <v>0</v>
      </c>
      <c r="W127" s="1" t="str">
        <f t="shared" si="17"/>
        <v>Gider|Vergi / Harç|46224|11810|</v>
      </c>
      <c r="X127" s="1"/>
      <c r="Y127" s="1"/>
      <c r="Z127" s="1"/>
      <c r="AA127" s="1"/>
      <c r="AB127" s="1"/>
      <c r="AC127" s="1"/>
      <c r="AD127" s="1">
        <f>IF($C127="",0,SUMPRODUCT((AY_SONU!$O$7:$O$42="Evet")*(AY_SONU!$B$7:$B$42=DATE(YEAR($C127),MONTH($C127),1))))</f>
        <v>0</v>
      </c>
      <c r="AE127" s="1" t="str">
        <f>IF($E127="","",$E127&amp;"|"&amp;COUNTIFS($E$7:$E127,$E127))</f>
        <v>Vergi / Harç|13</v>
      </c>
    </row>
    <row r="128" spans="1:31" ht="18" customHeight="1" x14ac:dyDescent="0.3">
      <c r="A128" s="2"/>
      <c r="B128" s="65" t="str">
        <f t="shared" si="10"/>
        <v>GG00122</v>
      </c>
      <c r="C128" s="66">
        <v>46226</v>
      </c>
      <c r="D128" s="60" t="s">
        <v>759</v>
      </c>
      <c r="E128" s="61" t="s">
        <v>774</v>
      </c>
      <c r="F128" s="61" t="s">
        <v>862</v>
      </c>
      <c r="G128" s="67">
        <v>2000</v>
      </c>
      <c r="H128" s="60" t="s">
        <v>762</v>
      </c>
      <c r="I128" s="60" t="s">
        <v>763</v>
      </c>
      <c r="J128" s="61"/>
      <c r="K128" s="61"/>
      <c r="L128" s="60"/>
      <c r="M128" s="74" t="str">
        <f t="shared" si="11"/>
        <v>Ulaşım</v>
      </c>
      <c r="N128" s="74" t="str">
        <f t="shared" si="12"/>
        <v>Merkez Kasa</v>
      </c>
      <c r="O128" s="73">
        <f t="shared" si="13"/>
        <v>46204</v>
      </c>
      <c r="P128" s="65" t="str">
        <f t="shared" ca="1" si="14"/>
        <v>UYGUN</v>
      </c>
      <c r="Q128" s="2"/>
      <c r="R128" s="2"/>
      <c r="S128" s="1" t="str">
        <f t="shared" si="15"/>
        <v/>
      </c>
      <c r="T128" s="1" t="str">
        <f>IF(OR($C128="",$D128&lt;&gt;"Gelir",$L128=""),"",IFERROR(INDEX(MUSTERILER!$B$7:$B$156,MATCH($S128,MUSTERILER!$T$7:$T$156,0)),""))</f>
        <v/>
      </c>
      <c r="U128" s="1" t="str">
        <f>IF($T128="","",$T128&amp;"|"&amp;COUNTIFS($T$7:$T128,$T128))</f>
        <v/>
      </c>
      <c r="V128" s="1">
        <f t="shared" si="16"/>
        <v>0</v>
      </c>
      <c r="W128" s="1" t="str">
        <f t="shared" si="17"/>
        <v>Gider|Ulaşım|46226|2000|</v>
      </c>
      <c r="X128" s="1"/>
      <c r="Y128" s="1"/>
      <c r="Z128" s="1"/>
      <c r="AA128" s="1"/>
      <c r="AB128" s="1"/>
      <c r="AC128" s="1"/>
      <c r="AD128" s="1">
        <f>IF($C128="",0,SUMPRODUCT((AY_SONU!$O$7:$O$42="Evet")*(AY_SONU!$B$7:$B$42=DATE(YEAR($C128),MONTH($C128),1))))</f>
        <v>0</v>
      </c>
      <c r="AE128" s="1" t="str">
        <f>IF($E128="","",$E128&amp;"|"&amp;COUNTIFS($E$7:$E128,$E128))</f>
        <v>Ulaşım|26</v>
      </c>
    </row>
    <row r="129" spans="1:31" ht="18" customHeight="1" x14ac:dyDescent="0.3">
      <c r="A129" s="2"/>
      <c r="B129" s="65" t="str">
        <f t="shared" si="10"/>
        <v>GG00123</v>
      </c>
      <c r="C129" s="66">
        <v>46230</v>
      </c>
      <c r="D129" s="60" t="s">
        <v>759</v>
      </c>
      <c r="E129" s="61" t="s">
        <v>781</v>
      </c>
      <c r="F129" s="61" t="s">
        <v>782</v>
      </c>
      <c r="G129" s="67">
        <v>60000</v>
      </c>
      <c r="H129" s="60" t="s">
        <v>762</v>
      </c>
      <c r="I129" s="60" t="s">
        <v>763</v>
      </c>
      <c r="J129" s="61"/>
      <c r="K129" s="61"/>
      <c r="L129" s="60"/>
      <c r="M129" s="74" t="str">
        <f t="shared" si="11"/>
        <v>Personel</v>
      </c>
      <c r="N129" s="74" t="str">
        <f t="shared" si="12"/>
        <v>Merkez Kasa</v>
      </c>
      <c r="O129" s="73">
        <f t="shared" si="13"/>
        <v>46204</v>
      </c>
      <c r="P129" s="65" t="str">
        <f t="shared" ca="1" si="14"/>
        <v>UYGUN</v>
      </c>
      <c r="Q129" s="2"/>
      <c r="R129" s="2"/>
      <c r="S129" s="1" t="str">
        <f t="shared" si="15"/>
        <v/>
      </c>
      <c r="T129" s="1" t="str">
        <f>IF(OR($C129="",$D129&lt;&gt;"Gelir",$L129=""),"",IFERROR(INDEX(MUSTERILER!$B$7:$B$156,MATCH($S129,MUSTERILER!$T$7:$T$156,0)),""))</f>
        <v/>
      </c>
      <c r="U129" s="1" t="str">
        <f>IF($T129="","",$T129&amp;"|"&amp;COUNTIFS($T$7:$T129,$T129))</f>
        <v/>
      </c>
      <c r="V129" s="1">
        <f t="shared" si="16"/>
        <v>0</v>
      </c>
      <c r="W129" s="1" t="str">
        <f t="shared" si="17"/>
        <v>Gider|Personel|46230|60000|</v>
      </c>
      <c r="X129" s="1"/>
      <c r="Y129" s="1"/>
      <c r="Z129" s="1"/>
      <c r="AA129" s="1"/>
      <c r="AB129" s="1"/>
      <c r="AC129" s="1"/>
      <c r="AD129" s="1">
        <f>IF($C129="",0,SUMPRODUCT((AY_SONU!$O$7:$O$42="Evet")*(AY_SONU!$B$7:$B$42=DATE(YEAR($C129),MONTH($C129),1))))</f>
        <v>0</v>
      </c>
      <c r="AE129" s="1" t="str">
        <f>IF($E129="","",$E129&amp;"|"&amp;COUNTIFS($E$7:$E129,$E129))</f>
        <v>Personel|19</v>
      </c>
    </row>
    <row r="130" spans="1:31" ht="18" customHeight="1" x14ac:dyDescent="0.3">
      <c r="A130" s="2"/>
      <c r="B130" s="65" t="str">
        <f t="shared" si="10"/>
        <v>GG00124</v>
      </c>
      <c r="C130" s="66">
        <v>46230</v>
      </c>
      <c r="D130" s="60" t="s">
        <v>759</v>
      </c>
      <c r="E130" s="61" t="s">
        <v>774</v>
      </c>
      <c r="F130" s="61" t="s">
        <v>862</v>
      </c>
      <c r="G130" s="67">
        <v>2000</v>
      </c>
      <c r="H130" s="60" t="s">
        <v>762</v>
      </c>
      <c r="I130" s="60" t="s">
        <v>763</v>
      </c>
      <c r="J130" s="61"/>
      <c r="K130" s="61"/>
      <c r="L130" s="60"/>
      <c r="M130" s="74" t="str">
        <f t="shared" si="11"/>
        <v>Ulaşım</v>
      </c>
      <c r="N130" s="74" t="str">
        <f t="shared" si="12"/>
        <v>Merkez Kasa</v>
      </c>
      <c r="O130" s="73">
        <f t="shared" si="13"/>
        <v>46204</v>
      </c>
      <c r="P130" s="65" t="str">
        <f t="shared" ca="1" si="14"/>
        <v>UYGUN</v>
      </c>
      <c r="Q130" s="2"/>
      <c r="R130" s="2"/>
      <c r="S130" s="1" t="str">
        <f t="shared" si="15"/>
        <v/>
      </c>
      <c r="T130" s="1" t="str">
        <f>IF(OR($C130="",$D130&lt;&gt;"Gelir",$L130=""),"",IFERROR(INDEX(MUSTERILER!$B$7:$B$156,MATCH($S130,MUSTERILER!$T$7:$T$156,0)),""))</f>
        <v/>
      </c>
      <c r="U130" s="1" t="str">
        <f>IF($T130="","",$T130&amp;"|"&amp;COUNTIFS($T$7:$T130,$T130))</f>
        <v/>
      </c>
      <c r="V130" s="1">
        <f t="shared" si="16"/>
        <v>0</v>
      </c>
      <c r="W130" s="1" t="str">
        <f t="shared" si="17"/>
        <v>Gider|Ulaşım|46230|2000|</v>
      </c>
      <c r="X130" s="1"/>
      <c r="Y130" s="1"/>
      <c r="Z130" s="1"/>
      <c r="AA130" s="1"/>
      <c r="AB130" s="1"/>
      <c r="AC130" s="1"/>
      <c r="AD130" s="1">
        <f>IF($C130="",0,SUMPRODUCT((AY_SONU!$O$7:$O$42="Evet")*(AY_SONU!$B$7:$B$42=DATE(YEAR($C130),MONTH($C130),1))))</f>
        <v>0</v>
      </c>
      <c r="AE130" s="1" t="str">
        <f>IF($E130="","",$E130&amp;"|"&amp;COUNTIFS($E$7:$E130,$E130))</f>
        <v>Ulaşım|27</v>
      </c>
    </row>
    <row r="131" spans="1:31" ht="18" customHeight="1" x14ac:dyDescent="0.3">
      <c r="A131" s="2"/>
      <c r="B131" s="65" t="str">
        <f t="shared" si="10"/>
        <v>GG00125</v>
      </c>
      <c r="C131" s="66">
        <v>46234</v>
      </c>
      <c r="D131" s="60" t="s">
        <v>759</v>
      </c>
      <c r="E131" s="61" t="s">
        <v>788</v>
      </c>
      <c r="F131" s="61" t="s">
        <v>866</v>
      </c>
      <c r="G131" s="67">
        <v>14000</v>
      </c>
      <c r="H131" s="60" t="s">
        <v>762</v>
      </c>
      <c r="I131" s="60" t="s">
        <v>763</v>
      </c>
      <c r="J131" s="61"/>
      <c r="K131" s="61"/>
      <c r="L131" s="60"/>
      <c r="M131" s="74" t="str">
        <f t="shared" si="11"/>
        <v>Ofis Kirası</v>
      </c>
      <c r="N131" s="74" t="str">
        <f t="shared" si="12"/>
        <v>Merkez Kasa</v>
      </c>
      <c r="O131" s="73">
        <f t="shared" si="13"/>
        <v>46204</v>
      </c>
      <c r="P131" s="65" t="str">
        <f t="shared" ca="1" si="14"/>
        <v>UYGUN</v>
      </c>
      <c r="Q131" s="2"/>
      <c r="R131" s="2"/>
      <c r="S131" s="1" t="str">
        <f t="shared" si="15"/>
        <v/>
      </c>
      <c r="T131" s="1" t="str">
        <f>IF(OR($C131="",$D131&lt;&gt;"Gelir",$L131=""),"",IFERROR(INDEX(MUSTERILER!$B$7:$B$156,MATCH($S131,MUSTERILER!$T$7:$T$156,0)),""))</f>
        <v/>
      </c>
      <c r="U131" s="1" t="str">
        <f>IF($T131="","",$T131&amp;"|"&amp;COUNTIFS($T$7:$T131,$T131))</f>
        <v/>
      </c>
      <c r="V131" s="1">
        <f t="shared" si="16"/>
        <v>0</v>
      </c>
      <c r="W131" s="1" t="str">
        <f t="shared" si="17"/>
        <v>Gider|Ofis Kirası|46234|14000|</v>
      </c>
      <c r="X131" s="1"/>
      <c r="Y131" s="1"/>
      <c r="Z131" s="1"/>
      <c r="AA131" s="1"/>
      <c r="AB131" s="1"/>
      <c r="AC131" s="1"/>
      <c r="AD131" s="1">
        <f>IF($C131="",0,SUMPRODUCT((AY_SONU!$O$7:$O$42="Evet")*(AY_SONU!$B$7:$B$42=DATE(YEAR($C131),MONTH($C131),1))))</f>
        <v>0</v>
      </c>
      <c r="AE131" s="1" t="str">
        <f>IF($E131="","",$E131&amp;"|"&amp;COUNTIFS($E$7:$E131,$E131))</f>
        <v>Ofis Kirası|12</v>
      </c>
    </row>
    <row r="132" spans="1:31" ht="18" customHeight="1" x14ac:dyDescent="0.3">
      <c r="A132" s="2"/>
      <c r="B132" s="65" t="str">
        <f t="shared" si="10"/>
        <v>GG00126</v>
      </c>
      <c r="C132" s="66">
        <v>46235</v>
      </c>
      <c r="D132" s="60" t="s">
        <v>759</v>
      </c>
      <c r="E132" s="61" t="s">
        <v>788</v>
      </c>
      <c r="F132" s="61" t="s">
        <v>867</v>
      </c>
      <c r="G132" s="67">
        <v>14000</v>
      </c>
      <c r="H132" s="60" t="s">
        <v>762</v>
      </c>
      <c r="I132" s="60" t="s">
        <v>763</v>
      </c>
      <c r="J132" s="61"/>
      <c r="K132" s="61"/>
      <c r="L132" s="60"/>
      <c r="M132" s="74" t="str">
        <f t="shared" si="11"/>
        <v>Ofis Kirası</v>
      </c>
      <c r="N132" s="74" t="str">
        <f t="shared" si="12"/>
        <v>Merkez Kasa</v>
      </c>
      <c r="O132" s="73">
        <f t="shared" si="13"/>
        <v>46235</v>
      </c>
      <c r="P132" s="65" t="str">
        <f t="shared" ca="1" si="14"/>
        <v>MÜKERRER?</v>
      </c>
      <c r="Q132" s="2"/>
      <c r="R132" s="2"/>
      <c r="S132" s="1" t="str">
        <f t="shared" si="15"/>
        <v/>
      </c>
      <c r="T132" s="1" t="str">
        <f>IF(OR($C132="",$D132&lt;&gt;"Gelir",$L132=""),"",IFERROR(INDEX(MUSTERILER!$B$7:$B$156,MATCH($S132,MUSTERILER!$T$7:$T$156,0)),""))</f>
        <v/>
      </c>
      <c r="U132" s="1" t="str">
        <f>IF($T132="","",$T132&amp;"|"&amp;COUNTIFS($T$7:$T132,$T132))</f>
        <v/>
      </c>
      <c r="V132" s="1">
        <f t="shared" si="16"/>
        <v>0</v>
      </c>
      <c r="W132" s="1" t="str">
        <f t="shared" si="17"/>
        <v>Gider|Ofis Kirası|46235|14000|</v>
      </c>
      <c r="X132" s="1"/>
      <c r="Y132" s="1"/>
      <c r="Z132" s="1"/>
      <c r="AA132" s="1"/>
      <c r="AB132" s="1"/>
      <c r="AC132" s="1"/>
      <c r="AD132" s="1">
        <f>IF($C132="",0,SUMPRODUCT((AY_SONU!$O$7:$O$42="Evet")*(AY_SONU!$B$7:$B$42=DATE(YEAR($C132),MONTH($C132),1))))</f>
        <v>0</v>
      </c>
      <c r="AE132" s="1" t="str">
        <f>IF($E132="","",$E132&amp;"|"&amp;COUNTIFS($E$7:$E132,$E132))</f>
        <v>Ofis Kirası|13</v>
      </c>
    </row>
    <row r="133" spans="1:31" ht="18" customHeight="1" x14ac:dyDescent="0.3">
      <c r="A133" s="2"/>
      <c r="B133" s="65" t="str">
        <f t="shared" si="10"/>
        <v>GG00127</v>
      </c>
      <c r="C133" s="66">
        <v>46235</v>
      </c>
      <c r="D133" s="60" t="s">
        <v>759</v>
      </c>
      <c r="E133" s="61" t="s">
        <v>788</v>
      </c>
      <c r="F133" s="61" t="s">
        <v>868</v>
      </c>
      <c r="G133" s="67">
        <v>14000</v>
      </c>
      <c r="H133" s="60" t="s">
        <v>762</v>
      </c>
      <c r="I133" s="60" t="s">
        <v>763</v>
      </c>
      <c r="J133" s="61"/>
      <c r="K133" s="61"/>
      <c r="L133" s="60"/>
      <c r="M133" s="74" t="str">
        <f t="shared" si="11"/>
        <v>Ofis Kirası</v>
      </c>
      <c r="N133" s="74" t="str">
        <f t="shared" si="12"/>
        <v>Merkez Kasa</v>
      </c>
      <c r="O133" s="73">
        <f t="shared" si="13"/>
        <v>46235</v>
      </c>
      <c r="P133" s="65" t="str">
        <f t="shared" ca="1" si="14"/>
        <v>MÜKERRER?</v>
      </c>
      <c r="Q133" s="2"/>
      <c r="R133" s="2"/>
      <c r="S133" s="1" t="str">
        <f t="shared" si="15"/>
        <v/>
      </c>
      <c r="T133" s="1" t="str">
        <f>IF(OR($C133="",$D133&lt;&gt;"Gelir",$L133=""),"",IFERROR(INDEX(MUSTERILER!$B$7:$B$156,MATCH($S133,MUSTERILER!$T$7:$T$156,0)),""))</f>
        <v/>
      </c>
      <c r="U133" s="1" t="str">
        <f>IF($T133="","",$T133&amp;"|"&amp;COUNTIFS($T$7:$T133,$T133))</f>
        <v/>
      </c>
      <c r="V133" s="1">
        <f t="shared" si="16"/>
        <v>0</v>
      </c>
      <c r="W133" s="1" t="str">
        <f t="shared" si="17"/>
        <v>Gider|Ofis Kirası|46235|14000|</v>
      </c>
      <c r="X133" s="1"/>
      <c r="Y133" s="1"/>
      <c r="Z133" s="1"/>
      <c r="AA133" s="1"/>
      <c r="AB133" s="1"/>
      <c r="AC133" s="1"/>
      <c r="AD133" s="1">
        <f>IF($C133="",0,SUMPRODUCT((AY_SONU!$O$7:$O$42="Evet")*(AY_SONU!$B$7:$B$42=DATE(YEAR($C133),MONTH($C133),1))))</f>
        <v>0</v>
      </c>
      <c r="AE133" s="1" t="str">
        <f>IF($E133="","",$E133&amp;"|"&amp;COUNTIFS($E$7:$E133,$E133))</f>
        <v>Ofis Kirası|14</v>
      </c>
    </row>
    <row r="134" spans="1:31" ht="18" customHeight="1" x14ac:dyDescent="0.3">
      <c r="A134" s="2"/>
      <c r="B134" s="65" t="str">
        <f t="shared" si="10"/>
        <v>GG00128</v>
      </c>
      <c r="C134" s="66">
        <v>46243</v>
      </c>
      <c r="D134" s="60" t="s">
        <v>759</v>
      </c>
      <c r="E134" s="61" t="s">
        <v>788</v>
      </c>
      <c r="F134" s="61" t="s">
        <v>869</v>
      </c>
      <c r="G134" s="67">
        <v>6000</v>
      </c>
      <c r="H134" s="60" t="s">
        <v>762</v>
      </c>
      <c r="I134" s="60" t="s">
        <v>763</v>
      </c>
      <c r="J134" s="61"/>
      <c r="K134" s="61"/>
      <c r="L134" s="60"/>
      <c r="M134" s="74" t="str">
        <f t="shared" si="11"/>
        <v>Ofis Kirası</v>
      </c>
      <c r="N134" s="74" t="str">
        <f t="shared" si="12"/>
        <v>Merkez Kasa</v>
      </c>
      <c r="O134" s="73">
        <f t="shared" si="13"/>
        <v>46235</v>
      </c>
      <c r="P134" s="65" t="str">
        <f t="shared" ca="1" si="14"/>
        <v>UYGUN</v>
      </c>
      <c r="Q134" s="2"/>
      <c r="R134" s="2"/>
      <c r="S134" s="1" t="str">
        <f t="shared" si="15"/>
        <v/>
      </c>
      <c r="T134" s="1" t="str">
        <f>IF(OR($C134="",$D134&lt;&gt;"Gelir",$L134=""),"",IFERROR(INDEX(MUSTERILER!$B$7:$B$156,MATCH($S134,MUSTERILER!$T$7:$T$156,0)),""))</f>
        <v/>
      </c>
      <c r="U134" s="1" t="str">
        <f>IF($T134="","",$T134&amp;"|"&amp;COUNTIFS($T$7:$T134,$T134))</f>
        <v/>
      </c>
      <c r="V134" s="1">
        <f t="shared" si="16"/>
        <v>0</v>
      </c>
      <c r="W134" s="1" t="str">
        <f t="shared" si="17"/>
        <v>Gider|Ofis Kirası|46243|6000|</v>
      </c>
      <c r="X134" s="1"/>
      <c r="Y134" s="1"/>
      <c r="Z134" s="1"/>
      <c r="AA134" s="1"/>
      <c r="AB134" s="1"/>
      <c r="AC134" s="1"/>
      <c r="AD134" s="1">
        <f>IF($C134="",0,SUMPRODUCT((AY_SONU!$O$7:$O$42="Evet")*(AY_SONU!$B$7:$B$42=DATE(YEAR($C134),MONTH($C134),1))))</f>
        <v>0</v>
      </c>
      <c r="AE134" s="1" t="str">
        <f>IF($E134="","",$E134&amp;"|"&amp;COUNTIFS($E$7:$E134,$E134))</f>
        <v>Ofis Kirası|15</v>
      </c>
    </row>
    <row r="135" spans="1:31" ht="18" customHeight="1" x14ac:dyDescent="0.3">
      <c r="A135" s="2"/>
      <c r="B135" s="65" t="str">
        <f t="shared" ref="B135:B198" si="18">IF($C135="","","GG"&amp;TEXT(ROW()-6,"00000"))</f>
        <v>GG00129</v>
      </c>
      <c r="C135" s="66">
        <v>46245</v>
      </c>
      <c r="D135" s="60" t="s">
        <v>759</v>
      </c>
      <c r="E135" s="61" t="s">
        <v>767</v>
      </c>
      <c r="F135" s="61" t="s">
        <v>870</v>
      </c>
      <c r="G135" s="67">
        <v>800</v>
      </c>
      <c r="H135" s="60" t="s">
        <v>762</v>
      </c>
      <c r="I135" s="60" t="s">
        <v>763</v>
      </c>
      <c r="J135" s="61"/>
      <c r="K135" s="61"/>
      <c r="L135" s="60"/>
      <c r="M135" s="74" t="str">
        <f t="shared" ref="M135:M198" si="19">IF($C135="","",IF($D135="Gider",$E135,IF($L135&lt;&gt;"",$L135,$H135)))</f>
        <v>Telefon / İnternet</v>
      </c>
      <c r="N135" s="74" t="str">
        <f t="shared" ref="N135:N198" si="20">IF($C135="","",IF($D135="Gider",$H135,$E135))</f>
        <v>Merkez Kasa</v>
      </c>
      <c r="O135" s="73">
        <f t="shared" ref="O135:O198" si="21">IF($C135="","",DATE(YEAR($C135),MONTH($C135),1))</f>
        <v>46235</v>
      </c>
      <c r="P135" s="65" t="str">
        <f t="shared" ref="P135:P198" ca="1" si="22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TARİH",IF(COUNTIF($W$7:$W$3006,$W135)&gt;1,"MÜKERRER?",IF($AD135&gt;0,"KAPALI DÖNEM",IF($I135="Hayır","ÖDENECEK","UYGUN")))),"EKSİK"))))</f>
        <v>UYGUN</v>
      </c>
      <c r="Q135" s="2"/>
      <c r="R135" s="2"/>
      <c r="S135" s="1" t="str">
        <f t="shared" ref="S135:S198" si="23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 t="str">
        <f>IF(OR($C135="",$D135&lt;&gt;"Gelir",$L135=""),"",IFERROR(INDEX(MUSTERILER!$B$7:$B$156,MATCH($S135,MUSTERILER!$T$7:$T$156,0)),""))</f>
        <v/>
      </c>
      <c r="U135" s="1" t="str">
        <f>IF($T135="","",$T135&amp;"|"&amp;COUNTIFS($T$7:$T135,$T135))</f>
        <v/>
      </c>
      <c r="V135" s="1">
        <f t="shared" ref="V135:V198" si="24">IF($T135="",0,1)</f>
        <v>0</v>
      </c>
      <c r="W135" s="1" t="str">
        <f t="shared" ref="W135:W198" si="25">IF($C135="","",$D135&amp;"|"&amp;$E135&amp;"|"&amp;TEXT($C135,"0")&amp;"|"&amp;TEXT($G135,"0")&amp;"|"&amp;$J135)</f>
        <v>Gider|Telefon / İnternet|46245|800|</v>
      </c>
      <c r="X135" s="1"/>
      <c r="Y135" s="1"/>
      <c r="Z135" s="1"/>
      <c r="AA135" s="1"/>
      <c r="AB135" s="1"/>
      <c r="AC135" s="1"/>
      <c r="AD135" s="1">
        <f>IF($C135="",0,SUMPRODUCT((AY_SONU!$O$7:$O$42="Evet")*(AY_SONU!$B$7:$B$42=DATE(YEAR($C135),MONTH($C135),1))))</f>
        <v>0</v>
      </c>
      <c r="AE135" s="1" t="str">
        <f>IF($E135="","",$E135&amp;"|"&amp;COUNTIFS($E$7:$E135,$E135))</f>
        <v>Telefon / İnternet|15</v>
      </c>
    </row>
    <row r="136" spans="1:31" ht="18" customHeight="1" x14ac:dyDescent="0.3">
      <c r="A136" s="2"/>
      <c r="B136" s="65" t="str">
        <f t="shared" si="18"/>
        <v>GG00130</v>
      </c>
      <c r="C136" s="66">
        <v>46245</v>
      </c>
      <c r="D136" s="60" t="s">
        <v>759</v>
      </c>
      <c r="E136" s="61" t="s">
        <v>760</v>
      </c>
      <c r="F136" s="61" t="s">
        <v>871</v>
      </c>
      <c r="G136" s="67">
        <v>23000</v>
      </c>
      <c r="H136" s="60" t="s">
        <v>762</v>
      </c>
      <c r="I136" s="60" t="s">
        <v>763</v>
      </c>
      <c r="J136" s="61"/>
      <c r="K136" s="61"/>
      <c r="L136" s="60"/>
      <c r="M136" s="74" t="str">
        <f t="shared" si="19"/>
        <v>Diğer Gider</v>
      </c>
      <c r="N136" s="74" t="str">
        <f t="shared" si="20"/>
        <v>Merkez Kasa</v>
      </c>
      <c r="O136" s="73">
        <f t="shared" si="21"/>
        <v>46235</v>
      </c>
      <c r="P136" s="65" t="str">
        <f t="shared" ca="1" si="22"/>
        <v>UYGUN</v>
      </c>
      <c r="Q136" s="2"/>
      <c r="R136" s="2"/>
      <c r="S136" s="1" t="str">
        <f t="shared" si="23"/>
        <v/>
      </c>
      <c r="T136" s="1" t="str">
        <f>IF(OR($C136="",$D136&lt;&gt;"Gelir",$L136=""),"",IFERROR(INDEX(MUSTERILER!$B$7:$B$156,MATCH($S136,MUSTERILER!$T$7:$T$156,0)),""))</f>
        <v/>
      </c>
      <c r="U136" s="1" t="str">
        <f>IF($T136="","",$T136&amp;"|"&amp;COUNTIFS($T$7:$T136,$T136))</f>
        <v/>
      </c>
      <c r="V136" s="1">
        <f t="shared" si="24"/>
        <v>0</v>
      </c>
      <c r="W136" s="1" t="str">
        <f t="shared" si="25"/>
        <v>Gider|Diğer Gider|46245|23000|</v>
      </c>
      <c r="X136" s="1"/>
      <c r="Y136" s="1"/>
      <c r="Z136" s="1"/>
      <c r="AA136" s="1"/>
      <c r="AB136" s="1"/>
      <c r="AC136" s="1"/>
      <c r="AD136" s="1">
        <f>IF($C136="",0,SUMPRODUCT((AY_SONU!$O$7:$O$42="Evet")*(AY_SONU!$B$7:$B$42=DATE(YEAR($C136),MONTH($C136),1))))</f>
        <v>0</v>
      </c>
      <c r="AE136" s="1" t="str">
        <f>IF($E136="","",$E136&amp;"|"&amp;COUNTIFS($E$7:$E136,$E136))</f>
        <v>Diğer Gider|5</v>
      </c>
    </row>
    <row r="137" spans="1:31" ht="18" customHeight="1" x14ac:dyDescent="0.3">
      <c r="A137" s="2"/>
      <c r="B137" s="65" t="str">
        <f t="shared" si="18"/>
        <v>GG00131</v>
      </c>
      <c r="C137" s="66">
        <v>46249</v>
      </c>
      <c r="D137" s="60" t="s">
        <v>759</v>
      </c>
      <c r="E137" s="61" t="s">
        <v>774</v>
      </c>
      <c r="F137" s="61" t="s">
        <v>862</v>
      </c>
      <c r="G137" s="67">
        <v>2000</v>
      </c>
      <c r="H137" s="60" t="s">
        <v>762</v>
      </c>
      <c r="I137" s="60" t="s">
        <v>763</v>
      </c>
      <c r="J137" s="61"/>
      <c r="K137" s="61"/>
      <c r="L137" s="60"/>
      <c r="M137" s="74" t="str">
        <f t="shared" si="19"/>
        <v>Ulaşım</v>
      </c>
      <c r="N137" s="74" t="str">
        <f t="shared" si="20"/>
        <v>Merkez Kasa</v>
      </c>
      <c r="O137" s="73">
        <f t="shared" si="21"/>
        <v>46235</v>
      </c>
      <c r="P137" s="65" t="str">
        <f t="shared" ca="1" si="22"/>
        <v>UYGUN</v>
      </c>
      <c r="Q137" s="2"/>
      <c r="R137" s="2"/>
      <c r="S137" s="1" t="str">
        <f t="shared" si="23"/>
        <v/>
      </c>
      <c r="T137" s="1" t="str">
        <f>IF(OR($C137="",$D137&lt;&gt;"Gelir",$L137=""),"",IFERROR(INDEX(MUSTERILER!$B$7:$B$156,MATCH($S137,MUSTERILER!$T$7:$T$156,0)),""))</f>
        <v/>
      </c>
      <c r="U137" s="1" t="str">
        <f>IF($T137="","",$T137&amp;"|"&amp;COUNTIFS($T$7:$T137,$T137))</f>
        <v/>
      </c>
      <c r="V137" s="1">
        <f t="shared" si="24"/>
        <v>0</v>
      </c>
      <c r="W137" s="1" t="str">
        <f t="shared" si="25"/>
        <v>Gider|Ulaşım|46249|2000|</v>
      </c>
      <c r="X137" s="1"/>
      <c r="Y137" s="1"/>
      <c r="Z137" s="1"/>
      <c r="AA137" s="1"/>
      <c r="AB137" s="1"/>
      <c r="AC137" s="1"/>
      <c r="AD137" s="1">
        <f>IF($C137="",0,SUMPRODUCT((AY_SONU!$O$7:$O$42="Evet")*(AY_SONU!$B$7:$B$42=DATE(YEAR($C137),MONTH($C137),1))))</f>
        <v>0</v>
      </c>
      <c r="AE137" s="1" t="str">
        <f>IF($E137="","",$E137&amp;"|"&amp;COUNTIFS($E$7:$E137,$E137))</f>
        <v>Ulaşım|28</v>
      </c>
    </row>
    <row r="138" spans="1:31" ht="18" customHeight="1" x14ac:dyDescent="0.3">
      <c r="A138" s="2"/>
      <c r="B138" s="65" t="str">
        <f t="shared" si="18"/>
        <v>GG00132</v>
      </c>
      <c r="C138" s="66">
        <v>46258</v>
      </c>
      <c r="D138" s="60" t="s">
        <v>759</v>
      </c>
      <c r="E138" s="61" t="s">
        <v>779</v>
      </c>
      <c r="F138" s="61" t="s">
        <v>1152</v>
      </c>
      <c r="G138" s="67">
        <v>30000</v>
      </c>
      <c r="H138" s="60" t="s">
        <v>762</v>
      </c>
      <c r="I138" s="60" t="s">
        <v>763</v>
      </c>
      <c r="J138" s="61"/>
      <c r="K138" s="61"/>
      <c r="L138" s="60"/>
      <c r="M138" s="74" t="str">
        <f t="shared" si="19"/>
        <v>Mehmet Ali Kartal</v>
      </c>
      <c r="N138" s="74" t="str">
        <f t="shared" si="20"/>
        <v>Merkez Kasa</v>
      </c>
      <c r="O138" s="73">
        <f t="shared" si="21"/>
        <v>46235</v>
      </c>
      <c r="P138" s="65" t="str">
        <f t="shared" ca="1" si="22"/>
        <v>UYGUN</v>
      </c>
      <c r="Q138" s="2"/>
      <c r="R138" s="2"/>
      <c r="S138" s="1" t="str">
        <f t="shared" si="23"/>
        <v/>
      </c>
      <c r="T138" s="1" t="str">
        <f>IF(OR($C138="",$D138&lt;&gt;"Gelir",$L138=""),"",IFERROR(INDEX(MUSTERILER!$B$7:$B$156,MATCH($S138,MUSTERILER!$T$7:$T$156,0)),""))</f>
        <v/>
      </c>
      <c r="U138" s="1" t="str">
        <f>IF($T138="","",$T138&amp;"|"&amp;COUNTIFS($T$7:$T138,$T138))</f>
        <v/>
      </c>
      <c r="V138" s="1">
        <f t="shared" si="24"/>
        <v>0</v>
      </c>
      <c r="W138" s="1" t="str">
        <f t="shared" si="25"/>
        <v>Gider|Mehmet Ali Kartal|46258|30000|</v>
      </c>
      <c r="X138" s="1"/>
      <c r="Y138" s="1"/>
      <c r="Z138" s="1"/>
      <c r="AA138" s="1"/>
      <c r="AB138" s="1"/>
      <c r="AC138" s="1"/>
      <c r="AD138" s="1">
        <f>IF($C138="",0,SUMPRODUCT((AY_SONU!$O$7:$O$42="Evet")*(AY_SONU!$B$7:$B$42=DATE(YEAR($C138),MONTH($C138),1))))</f>
        <v>0</v>
      </c>
      <c r="AE138" s="1" t="str">
        <f>IF($E138="","",$E138&amp;"|"&amp;COUNTIFS($E$7:$E138,$E138))</f>
        <v>Mehmet Ali Kartal|5</v>
      </c>
    </row>
    <row r="139" spans="1:31" ht="18" customHeight="1" x14ac:dyDescent="0.3">
      <c r="A139" s="2"/>
      <c r="B139" s="65" t="str">
        <f t="shared" si="18"/>
        <v>GG00133</v>
      </c>
      <c r="C139" s="66">
        <v>46060</v>
      </c>
      <c r="D139" s="60" t="s">
        <v>1153</v>
      </c>
      <c r="E139" s="61" t="s">
        <v>1085</v>
      </c>
      <c r="F139" s="61" t="s">
        <v>1154</v>
      </c>
      <c r="G139" s="67">
        <v>4200</v>
      </c>
      <c r="H139" s="60"/>
      <c r="I139" s="60"/>
      <c r="J139" s="61"/>
      <c r="K139" s="61"/>
      <c r="L139" s="60" t="s">
        <v>653</v>
      </c>
      <c r="M139" s="74" t="str">
        <f t="shared" si="19"/>
        <v>RİX ŞOW LTD.ŞTİ.</v>
      </c>
      <c r="N139" s="74" t="str">
        <f t="shared" si="20"/>
        <v>Geçici Vergi Damga</v>
      </c>
      <c r="O139" s="73">
        <f t="shared" si="21"/>
        <v>46054</v>
      </c>
      <c r="P139" s="65" t="str">
        <f t="shared" ca="1" si="22"/>
        <v>TAHAKKUK</v>
      </c>
      <c r="Q139" s="2"/>
      <c r="R139" s="2"/>
      <c r="S139" s="1" t="str">
        <f t="shared" si="23"/>
        <v>RIXSOWLTDSTI</v>
      </c>
      <c r="T139" s="1" t="str">
        <f>IF(OR($C139="",$D139&lt;&gt;"Gelir",$L139=""),"",IFERROR(INDEX(MUSTERILER!$B$7:$B$156,MATCH($S139,MUSTERILER!$T$7:$T$156,0)),""))</f>
        <v>M016</v>
      </c>
      <c r="U139" s="1" t="str">
        <f>IF($T139="","",$T139&amp;"|"&amp;COUNTIFS($T$7:$T139,$T139))</f>
        <v>M016|1</v>
      </c>
      <c r="V139" s="1">
        <f t="shared" si="24"/>
        <v>1</v>
      </c>
      <c r="W139" s="1" t="str">
        <f t="shared" si="25"/>
        <v>Gelir|Geçici Vergi Damga|46060|4200|</v>
      </c>
      <c r="X139" s="1"/>
      <c r="Y139" s="1"/>
      <c r="Z139" s="1"/>
      <c r="AA139" s="1"/>
      <c r="AB139" s="1"/>
      <c r="AC139" s="1"/>
      <c r="AD139" s="1">
        <f>IF($C139="",0,SUMPRODUCT((AY_SONU!$O$7:$O$42="Evet")*(AY_SONU!$B$7:$B$42=DATE(YEAR($C139),MONTH($C139),1))))</f>
        <v>0</v>
      </c>
      <c r="AE139" s="1" t="str">
        <f>IF($E139="","",$E139&amp;"|"&amp;COUNTIFS($E$7:$E139,$E139))</f>
        <v>Geçici Vergi Damga|1</v>
      </c>
    </row>
    <row r="140" spans="1:31" ht="18" customHeight="1" x14ac:dyDescent="0.3">
      <c r="A140" s="2"/>
      <c r="B140" s="65" t="str">
        <f t="shared" si="18"/>
        <v>GG00134</v>
      </c>
      <c r="C140" s="66">
        <v>46060</v>
      </c>
      <c r="D140" s="60" t="s">
        <v>1153</v>
      </c>
      <c r="E140" s="61" t="s">
        <v>1085</v>
      </c>
      <c r="F140" s="61" t="s">
        <v>1154</v>
      </c>
      <c r="G140" s="67">
        <v>4200</v>
      </c>
      <c r="H140" s="60"/>
      <c r="I140" s="60"/>
      <c r="J140" s="61"/>
      <c r="K140" s="61"/>
      <c r="L140" s="60" t="s">
        <v>609</v>
      </c>
      <c r="M140" s="74" t="str">
        <f t="shared" si="19"/>
        <v>İLDEŞ LTD.ŞTİ.</v>
      </c>
      <c r="N140" s="74" t="str">
        <f t="shared" si="20"/>
        <v>Geçici Vergi Damga</v>
      </c>
      <c r="O140" s="73">
        <f t="shared" si="21"/>
        <v>46054</v>
      </c>
      <c r="P140" s="65" t="str">
        <f t="shared" ca="1" si="22"/>
        <v>TAHAKKUK</v>
      </c>
      <c r="Q140" s="2"/>
      <c r="R140" s="2"/>
      <c r="S140" s="1" t="str">
        <f t="shared" si="23"/>
        <v>ILDESLTDSTI</v>
      </c>
      <c r="T140" s="1" t="str">
        <f>IF(OR($C140="",$D140&lt;&gt;"Gelir",$L140=""),"",IFERROR(INDEX(MUSTERILER!$B$7:$B$156,MATCH($S140,MUSTERILER!$T$7:$T$156,0)),""))</f>
        <v>M012</v>
      </c>
      <c r="U140" s="1" t="str">
        <f>IF($T140="","",$T140&amp;"|"&amp;COUNTIFS($T$7:$T140,$T140))</f>
        <v>M012|1</v>
      </c>
      <c r="V140" s="1">
        <f t="shared" si="24"/>
        <v>1</v>
      </c>
      <c r="W140" s="1" t="str">
        <f t="shared" si="25"/>
        <v>Gelir|Geçici Vergi Damga|46060|4200|</v>
      </c>
      <c r="X140" s="1"/>
      <c r="Y140" s="1"/>
      <c r="Z140" s="1"/>
      <c r="AA140" s="1"/>
      <c r="AB140" s="1"/>
      <c r="AC140" s="1"/>
      <c r="AD140" s="1">
        <f>IF($C140="",0,SUMPRODUCT((AY_SONU!$O$7:$O$42="Evet")*(AY_SONU!$B$7:$B$42=DATE(YEAR($C140),MONTH($C140),1))))</f>
        <v>0</v>
      </c>
      <c r="AE140" s="1" t="str">
        <f>IF($E140="","",$E140&amp;"|"&amp;COUNTIFS($E$7:$E140,$E140))</f>
        <v>Geçici Vergi Damga|2</v>
      </c>
    </row>
    <row r="141" spans="1:31" ht="18" customHeight="1" x14ac:dyDescent="0.3">
      <c r="A141" s="2"/>
      <c r="B141" s="65" t="str">
        <f t="shared" si="18"/>
        <v>GG00135</v>
      </c>
      <c r="C141" s="66">
        <v>46060</v>
      </c>
      <c r="D141" s="60" t="s">
        <v>1153</v>
      </c>
      <c r="E141" s="61" t="s">
        <v>1085</v>
      </c>
      <c r="F141" s="61" t="s">
        <v>1154</v>
      </c>
      <c r="G141" s="67">
        <v>4200</v>
      </c>
      <c r="H141" s="60"/>
      <c r="I141" s="60"/>
      <c r="J141" s="61"/>
      <c r="K141" s="61"/>
      <c r="L141" s="60" t="s">
        <v>619</v>
      </c>
      <c r="M141" s="74" t="str">
        <f t="shared" si="19"/>
        <v>KRİSTAL LTD.ŞTİ.</v>
      </c>
      <c r="N141" s="74" t="str">
        <f t="shared" si="20"/>
        <v>Geçici Vergi Damga</v>
      </c>
      <c r="O141" s="73">
        <f t="shared" si="21"/>
        <v>46054</v>
      </c>
      <c r="P141" s="65" t="str">
        <f t="shared" ca="1" si="22"/>
        <v>TAHAKKUK</v>
      </c>
      <c r="Q141" s="2"/>
      <c r="R141" s="2"/>
      <c r="S141" s="1" t="str">
        <f t="shared" si="23"/>
        <v>KRISTALLTDSTI</v>
      </c>
      <c r="T141" s="1" t="str">
        <f>IF(OR($C141="",$D141&lt;&gt;"Gelir",$L141=""),"",IFERROR(INDEX(MUSTERILER!$B$7:$B$156,MATCH($S141,MUSTERILER!$T$7:$T$156,0)),""))</f>
        <v>M020</v>
      </c>
      <c r="U141" s="1" t="str">
        <f>IF($T141="","",$T141&amp;"|"&amp;COUNTIFS($T$7:$T141,$T141))</f>
        <v>M020|1</v>
      </c>
      <c r="V141" s="1">
        <f t="shared" si="24"/>
        <v>1</v>
      </c>
      <c r="W141" s="1" t="str">
        <f t="shared" si="25"/>
        <v>Gelir|Geçici Vergi Damga|46060|4200|</v>
      </c>
      <c r="X141" s="1"/>
      <c r="Y141" s="1"/>
      <c r="Z141" s="1"/>
      <c r="AA141" s="1"/>
      <c r="AB141" s="1"/>
      <c r="AC141" s="1"/>
      <c r="AD141" s="1">
        <f>IF($C141="",0,SUMPRODUCT((AY_SONU!$O$7:$O$42="Evet")*(AY_SONU!$B$7:$B$42=DATE(YEAR($C141),MONTH($C141),1))))</f>
        <v>0</v>
      </c>
      <c r="AE141" s="1" t="str">
        <f>IF($E141="","",$E141&amp;"|"&amp;COUNTIFS($E$7:$E141,$E141))</f>
        <v>Geçici Vergi Damga|3</v>
      </c>
    </row>
    <row r="142" spans="1:31" ht="18" customHeight="1" x14ac:dyDescent="0.3">
      <c r="A142" s="2"/>
      <c r="B142" s="65" t="str">
        <f t="shared" si="18"/>
        <v>GG00136</v>
      </c>
      <c r="C142" s="66">
        <v>46060</v>
      </c>
      <c r="D142" s="60" t="s">
        <v>1153</v>
      </c>
      <c r="E142" s="61" t="s">
        <v>1085</v>
      </c>
      <c r="F142" s="61" t="s">
        <v>1154</v>
      </c>
      <c r="G142" s="67">
        <v>4200</v>
      </c>
      <c r="H142" s="60"/>
      <c r="I142" s="60"/>
      <c r="J142" s="61"/>
      <c r="K142" s="61"/>
      <c r="L142" s="60" t="s">
        <v>601</v>
      </c>
      <c r="M142" s="74" t="str">
        <f t="shared" si="19"/>
        <v>FİNAL SİYAH BEYAZ LTD.ŞTİ.</v>
      </c>
      <c r="N142" s="74" t="str">
        <f t="shared" si="20"/>
        <v>Geçici Vergi Damga</v>
      </c>
      <c r="O142" s="73">
        <f t="shared" si="21"/>
        <v>46054</v>
      </c>
      <c r="P142" s="65" t="str">
        <f t="shared" ca="1" si="22"/>
        <v>TAHAKKUK</v>
      </c>
      <c r="Q142" s="2"/>
      <c r="R142" s="2"/>
      <c r="S142" s="1" t="str">
        <f t="shared" si="23"/>
        <v>FINALSIYAHBEYAZLTDSTI</v>
      </c>
      <c r="T142" s="1" t="str">
        <f>IF(OR($C142="",$D142&lt;&gt;"Gelir",$L142=""),"",IFERROR(INDEX(MUSTERILER!$B$7:$B$156,MATCH($S142,MUSTERILER!$T$7:$T$156,0)),""))</f>
        <v>M014</v>
      </c>
      <c r="U142" s="1" t="str">
        <f>IF($T142="","",$T142&amp;"|"&amp;COUNTIFS($T$7:$T142,$T142))</f>
        <v>M014|1</v>
      </c>
      <c r="V142" s="1">
        <f t="shared" si="24"/>
        <v>1</v>
      </c>
      <c r="W142" s="1" t="str">
        <f t="shared" si="25"/>
        <v>Gelir|Geçici Vergi Damga|46060|4200|</v>
      </c>
      <c r="X142" s="1"/>
      <c r="Y142" s="1"/>
      <c r="Z142" s="1"/>
      <c r="AA142" s="1"/>
      <c r="AB142" s="1"/>
      <c r="AC142" s="1"/>
      <c r="AD142" s="1">
        <f>IF($C142="",0,SUMPRODUCT((AY_SONU!$O$7:$O$42="Evet")*(AY_SONU!$B$7:$B$42=DATE(YEAR($C142),MONTH($C142),1))))</f>
        <v>0</v>
      </c>
      <c r="AE142" s="1" t="str">
        <f>IF($E142="","",$E142&amp;"|"&amp;COUNTIFS($E$7:$E142,$E142))</f>
        <v>Geçici Vergi Damga|4</v>
      </c>
    </row>
    <row r="143" spans="1:31" ht="18" customHeight="1" x14ac:dyDescent="0.3">
      <c r="A143" s="2"/>
      <c r="B143" s="65" t="str">
        <f t="shared" si="18"/>
        <v>GG00137</v>
      </c>
      <c r="C143" s="66">
        <v>46060</v>
      </c>
      <c r="D143" s="60" t="s">
        <v>1153</v>
      </c>
      <c r="E143" s="61" t="s">
        <v>1085</v>
      </c>
      <c r="F143" s="61" t="s">
        <v>1154</v>
      </c>
      <c r="G143" s="67">
        <v>4200</v>
      </c>
      <c r="H143" s="60"/>
      <c r="I143" s="60"/>
      <c r="J143" s="61"/>
      <c r="K143" s="61"/>
      <c r="L143" s="60" t="s">
        <v>675</v>
      </c>
      <c r="M143" s="74" t="str">
        <f t="shared" si="19"/>
        <v>ZÜMRÜT GRUP LTD.ŞTİ.</v>
      </c>
      <c r="N143" s="74" t="str">
        <f t="shared" si="20"/>
        <v>Geçici Vergi Damga</v>
      </c>
      <c r="O143" s="73">
        <f t="shared" si="21"/>
        <v>46054</v>
      </c>
      <c r="P143" s="65" t="str">
        <f t="shared" ca="1" si="22"/>
        <v>TAHAKKUK</v>
      </c>
      <c r="Q143" s="2"/>
      <c r="R143" s="2"/>
      <c r="S143" s="1" t="str">
        <f t="shared" si="23"/>
        <v>ZUMRUTGRUPLTDSTI</v>
      </c>
      <c r="T143" s="1" t="str">
        <f>IF(OR($C143="",$D143&lt;&gt;"Gelir",$L143=""),"",IFERROR(INDEX(MUSTERILER!$B$7:$B$156,MATCH($S143,MUSTERILER!$T$7:$T$156,0)),""))</f>
        <v>M005</v>
      </c>
      <c r="U143" s="1" t="str">
        <f>IF($T143="","",$T143&amp;"|"&amp;COUNTIFS($T$7:$T143,$T143))</f>
        <v>M005|1</v>
      </c>
      <c r="V143" s="1">
        <f t="shared" si="24"/>
        <v>1</v>
      </c>
      <c r="W143" s="1" t="str">
        <f t="shared" si="25"/>
        <v>Gelir|Geçici Vergi Damga|46060|4200|</v>
      </c>
      <c r="X143" s="1"/>
      <c r="Y143" s="1"/>
      <c r="Z143" s="1"/>
      <c r="AA143" s="1"/>
      <c r="AB143" s="1"/>
      <c r="AC143" s="1"/>
      <c r="AD143" s="1">
        <f>IF($C143="",0,SUMPRODUCT((AY_SONU!$O$7:$O$42="Evet")*(AY_SONU!$B$7:$B$42=DATE(YEAR($C143),MONTH($C143),1))))</f>
        <v>0</v>
      </c>
      <c r="AE143" s="1" t="str">
        <f>IF($E143="","",$E143&amp;"|"&amp;COUNTIFS($E$7:$E143,$E143))</f>
        <v>Geçici Vergi Damga|5</v>
      </c>
    </row>
    <row r="144" spans="1:31" ht="18" customHeight="1" x14ac:dyDescent="0.3">
      <c r="A144" s="2"/>
      <c r="B144" s="65" t="str">
        <f t="shared" si="18"/>
        <v>GG00138</v>
      </c>
      <c r="C144" s="66">
        <v>46060</v>
      </c>
      <c r="D144" s="60" t="s">
        <v>1153</v>
      </c>
      <c r="E144" s="61" t="s">
        <v>1085</v>
      </c>
      <c r="F144" s="61" t="s">
        <v>1154</v>
      </c>
      <c r="G144" s="67">
        <v>4200</v>
      </c>
      <c r="H144" s="60"/>
      <c r="I144" s="60"/>
      <c r="J144" s="61"/>
      <c r="K144" s="61"/>
      <c r="L144" s="60" t="s">
        <v>17</v>
      </c>
      <c r="M144" s="74" t="str">
        <f t="shared" si="19"/>
        <v>ANKARA HAVANA LTD.ŞTİ.</v>
      </c>
      <c r="N144" s="74" t="str">
        <f t="shared" si="20"/>
        <v>Geçici Vergi Damga</v>
      </c>
      <c r="O144" s="73">
        <f t="shared" si="21"/>
        <v>46054</v>
      </c>
      <c r="P144" s="65" t="str">
        <f t="shared" ca="1" si="22"/>
        <v>TAHAKKUK</v>
      </c>
      <c r="Q144" s="2"/>
      <c r="R144" s="2"/>
      <c r="S144" s="1" t="str">
        <f t="shared" si="23"/>
        <v>ANKARAHAVANALTDSTI</v>
      </c>
      <c r="T144" s="1" t="str">
        <f>IF(OR($C144="",$D144&lt;&gt;"Gelir",$L144=""),"",IFERROR(INDEX(MUSTERILER!$B$7:$B$156,MATCH($S144,MUSTERILER!$T$7:$T$156,0)),""))</f>
        <v>M001</v>
      </c>
      <c r="U144" s="1" t="str">
        <f>IF($T144="","",$T144&amp;"|"&amp;COUNTIFS($T$7:$T144,$T144))</f>
        <v>M001|1</v>
      </c>
      <c r="V144" s="1">
        <f t="shared" si="24"/>
        <v>1</v>
      </c>
      <c r="W144" s="1" t="str">
        <f t="shared" si="25"/>
        <v>Gelir|Geçici Vergi Damga|46060|4200|</v>
      </c>
      <c r="X144" s="1"/>
      <c r="Y144" s="1"/>
      <c r="Z144" s="1"/>
      <c r="AA144" s="1"/>
      <c r="AB144" s="1"/>
      <c r="AC144" s="1"/>
      <c r="AD144" s="1">
        <f>IF($C144="",0,SUMPRODUCT((AY_SONU!$O$7:$O$42="Evet")*(AY_SONU!$B$7:$B$42=DATE(YEAR($C144),MONTH($C144),1))))</f>
        <v>0</v>
      </c>
      <c r="AE144" s="1" t="str">
        <f>IF($E144="","",$E144&amp;"|"&amp;COUNTIFS($E$7:$E144,$E144))</f>
        <v>Geçici Vergi Damga|6</v>
      </c>
    </row>
    <row r="145" spans="1:31" ht="18" customHeight="1" x14ac:dyDescent="0.3">
      <c r="A145" s="2"/>
      <c r="B145" s="65" t="str">
        <f t="shared" si="18"/>
        <v>GG00139</v>
      </c>
      <c r="C145" s="66">
        <v>46060</v>
      </c>
      <c r="D145" s="60" t="s">
        <v>1153</v>
      </c>
      <c r="E145" s="61" t="s">
        <v>1085</v>
      </c>
      <c r="F145" s="61" t="s">
        <v>1154</v>
      </c>
      <c r="G145" s="67">
        <v>4200</v>
      </c>
      <c r="H145" s="60"/>
      <c r="I145" s="60"/>
      <c r="J145" s="61"/>
      <c r="K145" s="61"/>
      <c r="L145" s="60" t="s">
        <v>581</v>
      </c>
      <c r="M145" s="74" t="str">
        <f t="shared" si="19"/>
        <v>ASM EĞLENCE LTD.ŞTİ.</v>
      </c>
      <c r="N145" s="74" t="str">
        <f t="shared" si="20"/>
        <v>Geçici Vergi Damga</v>
      </c>
      <c r="O145" s="73">
        <f t="shared" si="21"/>
        <v>46054</v>
      </c>
      <c r="P145" s="65" t="str">
        <f t="shared" ca="1" si="22"/>
        <v>TAHAKKUK</v>
      </c>
      <c r="Q145" s="2"/>
      <c r="R145" s="2"/>
      <c r="S145" s="1" t="str">
        <f t="shared" si="23"/>
        <v>ASMEGLENCELTDSTI</v>
      </c>
      <c r="T145" s="1" t="str">
        <f>IF(OR($C145="",$D145&lt;&gt;"Gelir",$L145=""),"",IFERROR(INDEX(MUSTERILER!$B$7:$B$156,MATCH($S145,MUSTERILER!$T$7:$T$156,0)),""))</f>
        <v>M017</v>
      </c>
      <c r="U145" s="1" t="str">
        <f>IF($T145="","",$T145&amp;"|"&amp;COUNTIFS($T$7:$T145,$T145))</f>
        <v>M017|1</v>
      </c>
      <c r="V145" s="1">
        <f t="shared" si="24"/>
        <v>1</v>
      </c>
      <c r="W145" s="1" t="str">
        <f t="shared" si="25"/>
        <v>Gelir|Geçici Vergi Damga|46060|4200|</v>
      </c>
      <c r="X145" s="1"/>
      <c r="Y145" s="1"/>
      <c r="Z145" s="1"/>
      <c r="AA145" s="1"/>
      <c r="AB145" s="1"/>
      <c r="AC145" s="1"/>
      <c r="AD145" s="1">
        <f>IF($C145="",0,SUMPRODUCT((AY_SONU!$O$7:$O$42="Evet")*(AY_SONU!$B$7:$B$42=DATE(YEAR($C145),MONTH($C145),1))))</f>
        <v>0</v>
      </c>
      <c r="AE145" s="1" t="str">
        <f>IF($E145="","",$E145&amp;"|"&amp;COUNTIFS($E$7:$E145,$E145))</f>
        <v>Geçici Vergi Damga|7</v>
      </c>
    </row>
    <row r="146" spans="1:31" ht="18" customHeight="1" x14ac:dyDescent="0.3">
      <c r="A146" s="2"/>
      <c r="B146" s="65" t="str">
        <f t="shared" si="18"/>
        <v>GG00140</v>
      </c>
      <c r="C146" s="66">
        <v>46060</v>
      </c>
      <c r="D146" s="60" t="s">
        <v>1153</v>
      </c>
      <c r="E146" s="61" t="s">
        <v>1085</v>
      </c>
      <c r="F146" s="61" t="s">
        <v>1154</v>
      </c>
      <c r="G146" s="67">
        <v>4200</v>
      </c>
      <c r="H146" s="60"/>
      <c r="I146" s="60"/>
      <c r="J146" s="61"/>
      <c r="K146" s="61"/>
      <c r="L146" s="60" t="s">
        <v>631</v>
      </c>
      <c r="M146" s="74" t="str">
        <f t="shared" si="19"/>
        <v>MONAMOUR LTD.ŞTİ.</v>
      </c>
      <c r="N146" s="74" t="str">
        <f t="shared" si="20"/>
        <v>Geçici Vergi Damga</v>
      </c>
      <c r="O146" s="73">
        <f t="shared" si="21"/>
        <v>46054</v>
      </c>
      <c r="P146" s="65" t="str">
        <f t="shared" ca="1" si="22"/>
        <v>TAHAKKUK</v>
      </c>
      <c r="Q146" s="2"/>
      <c r="R146" s="2"/>
      <c r="S146" s="1" t="str">
        <f t="shared" si="23"/>
        <v>MONAMOURLTDSTI</v>
      </c>
      <c r="T146" s="1" t="str">
        <f>IF(OR($C146="",$D146&lt;&gt;"Gelir",$L146=""),"",IFERROR(INDEX(MUSTERILER!$B$7:$B$156,MATCH($S146,MUSTERILER!$T$7:$T$156,0)),""))</f>
        <v>M007</v>
      </c>
      <c r="U146" s="1" t="str">
        <f>IF($T146="","",$T146&amp;"|"&amp;COUNTIFS($T$7:$T146,$T146))</f>
        <v>M007|1</v>
      </c>
      <c r="V146" s="1">
        <f t="shared" si="24"/>
        <v>1</v>
      </c>
      <c r="W146" s="1" t="str">
        <f t="shared" si="25"/>
        <v>Gelir|Geçici Vergi Damga|46060|4200|</v>
      </c>
      <c r="X146" s="1"/>
      <c r="Y146" s="1"/>
      <c r="Z146" s="1"/>
      <c r="AA146" s="1"/>
      <c r="AB146" s="1"/>
      <c r="AC146" s="1"/>
      <c r="AD146" s="1">
        <f>IF($C146="",0,SUMPRODUCT((AY_SONU!$O$7:$O$42="Evet")*(AY_SONU!$B$7:$B$42=DATE(YEAR($C146),MONTH($C146),1))))</f>
        <v>0</v>
      </c>
      <c r="AE146" s="1" t="str">
        <f>IF($E146="","",$E146&amp;"|"&amp;COUNTIFS($E$7:$E146,$E146))</f>
        <v>Geçici Vergi Damga|8</v>
      </c>
    </row>
    <row r="147" spans="1:31" ht="18" customHeight="1" x14ac:dyDescent="0.3">
      <c r="A147" s="2"/>
      <c r="B147" s="65" t="str">
        <f t="shared" si="18"/>
        <v>GG00141</v>
      </c>
      <c r="C147" s="66">
        <v>46060</v>
      </c>
      <c r="D147" s="60" t="s">
        <v>1153</v>
      </c>
      <c r="E147" s="61" t="s">
        <v>1085</v>
      </c>
      <c r="F147" s="61" t="s">
        <v>1154</v>
      </c>
      <c r="G147" s="67">
        <v>4200</v>
      </c>
      <c r="H147" s="60"/>
      <c r="I147" s="60"/>
      <c r="J147" s="61"/>
      <c r="K147" s="61"/>
      <c r="L147" s="60" t="s">
        <v>639</v>
      </c>
      <c r="M147" s="74" t="str">
        <f t="shared" si="19"/>
        <v>NAZ 1 GIDA LTD.ŞTİ.</v>
      </c>
      <c r="N147" s="74" t="str">
        <f t="shared" si="20"/>
        <v>Geçici Vergi Damga</v>
      </c>
      <c r="O147" s="73">
        <f t="shared" si="21"/>
        <v>46054</v>
      </c>
      <c r="P147" s="65" t="str">
        <f t="shared" ca="1" si="22"/>
        <v>TAHAKKUK</v>
      </c>
      <c r="Q147" s="2"/>
      <c r="R147" s="2"/>
      <c r="S147" s="1" t="str">
        <f t="shared" si="23"/>
        <v>NAZ1GIDALTDSTI</v>
      </c>
      <c r="T147" s="1" t="str">
        <f>IF(OR($C147="",$D147&lt;&gt;"Gelir",$L147=""),"",IFERROR(INDEX(MUSTERILER!$B$7:$B$156,MATCH($S147,MUSTERILER!$T$7:$T$156,0)),""))</f>
        <v>M013</v>
      </c>
      <c r="U147" s="1" t="str">
        <f>IF($T147="","",$T147&amp;"|"&amp;COUNTIFS($T$7:$T147,$T147))</f>
        <v>M013|1</v>
      </c>
      <c r="V147" s="1">
        <f t="shared" si="24"/>
        <v>1</v>
      </c>
      <c r="W147" s="1" t="str">
        <f t="shared" si="25"/>
        <v>Gelir|Geçici Vergi Damga|46060|4200|</v>
      </c>
      <c r="X147" s="1"/>
      <c r="Y147" s="1"/>
      <c r="Z147" s="1"/>
      <c r="AA147" s="1"/>
      <c r="AB147" s="1"/>
      <c r="AC147" s="1"/>
      <c r="AD147" s="1">
        <f>IF($C147="",0,SUMPRODUCT((AY_SONU!$O$7:$O$42="Evet")*(AY_SONU!$B$7:$B$42=DATE(YEAR($C147),MONTH($C147),1))))</f>
        <v>0</v>
      </c>
      <c r="AE147" s="1" t="str">
        <f>IF($E147="","",$E147&amp;"|"&amp;COUNTIFS($E$7:$E147,$E147))</f>
        <v>Geçici Vergi Damga|9</v>
      </c>
    </row>
    <row r="148" spans="1:31" ht="18" customHeight="1" x14ac:dyDescent="0.3">
      <c r="A148" s="2"/>
      <c r="B148" s="65" t="str">
        <f t="shared" si="18"/>
        <v>GG00142</v>
      </c>
      <c r="C148" s="66">
        <v>46060</v>
      </c>
      <c r="D148" s="60" t="s">
        <v>1153</v>
      </c>
      <c r="E148" s="61" t="s">
        <v>1085</v>
      </c>
      <c r="F148" s="61" t="s">
        <v>1154</v>
      </c>
      <c r="G148" s="67">
        <v>4200</v>
      </c>
      <c r="H148" s="60"/>
      <c r="I148" s="60"/>
      <c r="J148" s="61"/>
      <c r="K148" s="61"/>
      <c r="L148" s="60" t="s">
        <v>589</v>
      </c>
      <c r="M148" s="74" t="str">
        <f t="shared" si="19"/>
        <v>ÇINARHAN LTD.ŞTİ.</v>
      </c>
      <c r="N148" s="74" t="str">
        <f t="shared" si="20"/>
        <v>Geçici Vergi Damga</v>
      </c>
      <c r="O148" s="73">
        <f t="shared" si="21"/>
        <v>46054</v>
      </c>
      <c r="P148" s="65" t="str">
        <f t="shared" ca="1" si="22"/>
        <v>TAHAKKUK</v>
      </c>
      <c r="Q148" s="2"/>
      <c r="R148" s="2"/>
      <c r="S148" s="1" t="str">
        <f t="shared" si="23"/>
        <v>CINARHANLTDSTI</v>
      </c>
      <c r="T148" s="1" t="str">
        <f>IF(OR($C148="",$D148&lt;&gt;"Gelir",$L148=""),"",IFERROR(INDEX(MUSTERILER!$B$7:$B$156,MATCH($S148,MUSTERILER!$T$7:$T$156,0)),""))</f>
        <v>M018</v>
      </c>
      <c r="U148" s="1" t="str">
        <f>IF($T148="","",$T148&amp;"|"&amp;COUNTIFS($T$7:$T148,$T148))</f>
        <v>M018|1</v>
      </c>
      <c r="V148" s="1">
        <f t="shared" si="24"/>
        <v>1</v>
      </c>
      <c r="W148" s="1" t="str">
        <f t="shared" si="25"/>
        <v>Gelir|Geçici Vergi Damga|46060|4200|</v>
      </c>
      <c r="X148" s="1"/>
      <c r="Y148" s="1"/>
      <c r="Z148" s="1"/>
      <c r="AA148" s="1"/>
      <c r="AB148" s="1"/>
      <c r="AC148" s="1"/>
      <c r="AD148" s="1">
        <f>IF($C148="",0,SUMPRODUCT((AY_SONU!$O$7:$O$42="Evet")*(AY_SONU!$B$7:$B$42=DATE(YEAR($C148),MONTH($C148),1))))</f>
        <v>0</v>
      </c>
      <c r="AE148" s="1" t="str">
        <f>IF($E148="","",$E148&amp;"|"&amp;COUNTIFS($E$7:$E148,$E148))</f>
        <v>Geçici Vergi Damga|10</v>
      </c>
    </row>
    <row r="149" spans="1:31" ht="18" customHeight="1" x14ac:dyDescent="0.3">
      <c r="A149" s="2"/>
      <c r="B149" s="65" t="str">
        <f t="shared" si="18"/>
        <v>GG00143</v>
      </c>
      <c r="C149" s="66">
        <v>46088</v>
      </c>
      <c r="D149" s="60" t="s">
        <v>1153</v>
      </c>
      <c r="E149" s="61" t="s">
        <v>1064</v>
      </c>
      <c r="F149" s="61" t="s">
        <v>1155</v>
      </c>
      <c r="G149" s="67">
        <v>20000</v>
      </c>
      <c r="H149" s="60"/>
      <c r="I149" s="60"/>
      <c r="J149" s="61"/>
      <c r="K149" s="61"/>
      <c r="L149" s="60" t="s">
        <v>577</v>
      </c>
      <c r="M149" s="74" t="str">
        <f t="shared" si="19"/>
        <v>ARON TOPTAN LTD.ŞTİ.</v>
      </c>
      <c r="N149" s="74" t="str">
        <f t="shared" si="20"/>
        <v>Defter Tasdik Geliri</v>
      </c>
      <c r="O149" s="73">
        <f t="shared" si="21"/>
        <v>46082</v>
      </c>
      <c r="P149" s="65" t="str">
        <f t="shared" ca="1" si="22"/>
        <v>TAHAKKUK</v>
      </c>
      <c r="Q149" s="2"/>
      <c r="R149" s="2"/>
      <c r="S149" s="1" t="str">
        <f t="shared" si="23"/>
        <v>ARONTOPTANLTDSTI</v>
      </c>
      <c r="T149" s="1" t="str">
        <f>IF(OR($C149="",$D149&lt;&gt;"Gelir",$L149=""),"",IFERROR(INDEX(MUSTERILER!$B$7:$B$156,MATCH($S149,MUSTERILER!$T$7:$T$156,0)),""))</f>
        <v>M021</v>
      </c>
      <c r="U149" s="1" t="str">
        <f>IF($T149="","",$T149&amp;"|"&amp;COUNTIFS($T$7:$T149,$T149))</f>
        <v>M021|1</v>
      </c>
      <c r="V149" s="1">
        <f t="shared" si="24"/>
        <v>1</v>
      </c>
      <c r="W149" s="1" t="str">
        <f t="shared" si="25"/>
        <v>Gelir|Defter Tasdik Geliri|46088|20000|</v>
      </c>
      <c r="X149" s="1"/>
      <c r="Y149" s="1"/>
      <c r="Z149" s="1"/>
      <c r="AA149" s="1"/>
      <c r="AB149" s="1"/>
      <c r="AC149" s="1"/>
      <c r="AD149" s="1">
        <f>IF($C149="",0,SUMPRODUCT((AY_SONU!$O$7:$O$42="Evet")*(AY_SONU!$B$7:$B$42=DATE(YEAR($C149),MONTH($C149),1))))</f>
        <v>0</v>
      </c>
      <c r="AE149" s="1" t="str">
        <f>IF($E149="","",$E149&amp;"|"&amp;COUNTIFS($E$7:$E149,$E149))</f>
        <v>Defter Tasdik Geliri|1</v>
      </c>
    </row>
    <row r="150" spans="1:31" ht="18" customHeight="1" x14ac:dyDescent="0.3">
      <c r="A150" s="2"/>
      <c r="B150" s="65" t="str">
        <f t="shared" si="18"/>
        <v>GG00144</v>
      </c>
      <c r="C150" s="66">
        <v>46095</v>
      </c>
      <c r="D150" s="60" t="s">
        <v>1153</v>
      </c>
      <c r="E150" s="61" t="s">
        <v>1074</v>
      </c>
      <c r="F150" s="61" t="s">
        <v>1156</v>
      </c>
      <c r="G150" s="67">
        <v>30000</v>
      </c>
      <c r="H150" s="60"/>
      <c r="I150" s="60"/>
      <c r="J150" s="61"/>
      <c r="K150" s="61"/>
      <c r="L150" s="60" t="s">
        <v>593</v>
      </c>
      <c r="M150" s="74" t="str">
        <f t="shared" si="19"/>
        <v>EĞLENGÖR LTD.ŞTİ.</v>
      </c>
      <c r="N150" s="74" t="str">
        <f t="shared" si="20"/>
        <v>Danışmanlık Hizmet Geliri</v>
      </c>
      <c r="O150" s="73">
        <f t="shared" si="21"/>
        <v>46082</v>
      </c>
      <c r="P150" s="65" t="str">
        <f t="shared" ca="1" si="22"/>
        <v>TAHAKKUK</v>
      </c>
      <c r="Q150" s="2"/>
      <c r="R150" s="2"/>
      <c r="S150" s="1" t="str">
        <f t="shared" si="23"/>
        <v>EGLENGORLTDSTI</v>
      </c>
      <c r="T150" s="1" t="str">
        <f>IF(OR($C150="",$D150&lt;&gt;"Gelir",$L150=""),"",IFERROR(INDEX(MUSTERILER!$B$7:$B$156,MATCH($S150,MUSTERILER!$T$7:$T$156,0)),""))</f>
        <v>M011</v>
      </c>
      <c r="U150" s="1" t="str">
        <f>IF($T150="","",$T150&amp;"|"&amp;COUNTIFS($T$7:$T150,$T150))</f>
        <v>M011|1</v>
      </c>
      <c r="V150" s="1">
        <f t="shared" si="24"/>
        <v>1</v>
      </c>
      <c r="W150" s="1" t="str">
        <f t="shared" si="25"/>
        <v>Gelir|Danışmanlık Hizmet Geliri|46095|30000|</v>
      </c>
      <c r="X150" s="1"/>
      <c r="Y150" s="1"/>
      <c r="Z150" s="1"/>
      <c r="AA150" s="1"/>
      <c r="AB150" s="1"/>
      <c r="AC150" s="1"/>
      <c r="AD150" s="1">
        <f>IF($C150="",0,SUMPRODUCT((AY_SONU!$O$7:$O$42="Evet")*(AY_SONU!$B$7:$B$42=DATE(YEAR($C150),MONTH($C150),1))))</f>
        <v>0</v>
      </c>
      <c r="AE150" s="1" t="str">
        <f>IF($E150="","",$E150&amp;"|"&amp;COUNTIFS($E$7:$E150,$E150))</f>
        <v>Danışmanlık Hizmet Geliri|1</v>
      </c>
    </row>
    <row r="151" spans="1:31" ht="18" customHeight="1" x14ac:dyDescent="0.3">
      <c r="A151" s="2"/>
      <c r="B151" s="65" t="str">
        <f t="shared" si="18"/>
        <v>GG00145</v>
      </c>
      <c r="C151" s="66">
        <v>46115</v>
      </c>
      <c r="D151" s="60" t="s">
        <v>1153</v>
      </c>
      <c r="E151" s="61" t="s">
        <v>1074</v>
      </c>
      <c r="F151" s="61" t="s">
        <v>1156</v>
      </c>
      <c r="G151" s="67">
        <v>30000</v>
      </c>
      <c r="H151" s="60"/>
      <c r="I151" s="60"/>
      <c r="J151" s="61"/>
      <c r="K151" s="61"/>
      <c r="L151" s="60" t="s">
        <v>675</v>
      </c>
      <c r="M151" s="74" t="str">
        <f t="shared" si="19"/>
        <v>ZÜMRÜT GRUP LTD.ŞTİ.</v>
      </c>
      <c r="N151" s="74" t="str">
        <f t="shared" si="20"/>
        <v>Danışmanlık Hizmet Geliri</v>
      </c>
      <c r="O151" s="73">
        <f t="shared" si="21"/>
        <v>46113</v>
      </c>
      <c r="P151" s="65" t="str">
        <f t="shared" ca="1" si="22"/>
        <v>TAHAKKUK</v>
      </c>
      <c r="Q151" s="2"/>
      <c r="R151" s="2"/>
      <c r="S151" s="1" t="str">
        <f t="shared" si="23"/>
        <v>ZUMRUTGRUPLTDSTI</v>
      </c>
      <c r="T151" s="1" t="str">
        <f>IF(OR($C151="",$D151&lt;&gt;"Gelir",$L151=""),"",IFERROR(INDEX(MUSTERILER!$B$7:$B$156,MATCH($S151,MUSTERILER!$T$7:$T$156,0)),""))</f>
        <v>M005</v>
      </c>
      <c r="U151" s="1" t="str">
        <f>IF($T151="","",$T151&amp;"|"&amp;COUNTIFS($T$7:$T151,$T151))</f>
        <v>M005|2</v>
      </c>
      <c r="V151" s="1">
        <f t="shared" si="24"/>
        <v>1</v>
      </c>
      <c r="W151" s="1" t="str">
        <f t="shared" si="25"/>
        <v>Gelir|Danışmanlık Hizmet Geliri|46115|30000|</v>
      </c>
      <c r="X151" s="1"/>
      <c r="Y151" s="1"/>
      <c r="Z151" s="1"/>
      <c r="AA151" s="1"/>
      <c r="AB151" s="1"/>
      <c r="AC151" s="1"/>
      <c r="AD151" s="1">
        <f>IF($C151="",0,SUMPRODUCT((AY_SONU!$O$7:$O$42="Evet")*(AY_SONU!$B$7:$B$42=DATE(YEAR($C151),MONTH($C151),1))))</f>
        <v>0</v>
      </c>
      <c r="AE151" s="1" t="str">
        <f>IF($E151="","",$E151&amp;"|"&amp;COUNTIFS($E$7:$E151,$E151))</f>
        <v>Danışmanlık Hizmet Geliri|2</v>
      </c>
    </row>
    <row r="152" spans="1:31" ht="18" customHeight="1" x14ac:dyDescent="0.3">
      <c r="A152" s="2"/>
      <c r="B152" s="65" t="str">
        <f t="shared" si="18"/>
        <v>GG00146</v>
      </c>
      <c r="C152" s="66">
        <v>46119</v>
      </c>
      <c r="D152" s="60" t="s">
        <v>1153</v>
      </c>
      <c r="E152" s="61" t="s">
        <v>1074</v>
      </c>
      <c r="F152" s="61" t="s">
        <v>1156</v>
      </c>
      <c r="G152" s="67">
        <v>30000</v>
      </c>
      <c r="H152" s="60"/>
      <c r="I152" s="60"/>
      <c r="J152" s="61"/>
      <c r="K152" s="61"/>
      <c r="L152" s="60" t="s">
        <v>675</v>
      </c>
      <c r="M152" s="74" t="str">
        <f t="shared" si="19"/>
        <v>ZÜMRÜT GRUP LTD.ŞTİ.</v>
      </c>
      <c r="N152" s="74" t="str">
        <f t="shared" si="20"/>
        <v>Danışmanlık Hizmet Geliri</v>
      </c>
      <c r="O152" s="73">
        <f t="shared" si="21"/>
        <v>46113</v>
      </c>
      <c r="P152" s="65" t="str">
        <f t="shared" ca="1" si="22"/>
        <v>TAHAKKUK</v>
      </c>
      <c r="Q152" s="2"/>
      <c r="R152" s="2"/>
      <c r="S152" s="1" t="str">
        <f t="shared" si="23"/>
        <v>ZUMRUTGRUPLTDSTI</v>
      </c>
      <c r="T152" s="1" t="str">
        <f>IF(OR($C152="",$D152&lt;&gt;"Gelir",$L152=""),"",IFERROR(INDEX(MUSTERILER!$B$7:$B$156,MATCH($S152,MUSTERILER!$T$7:$T$156,0)),""))</f>
        <v>M005</v>
      </c>
      <c r="U152" s="1" t="str">
        <f>IF($T152="","",$T152&amp;"|"&amp;COUNTIFS($T$7:$T152,$T152))</f>
        <v>M005|3</v>
      </c>
      <c r="V152" s="1">
        <f t="shared" si="24"/>
        <v>1</v>
      </c>
      <c r="W152" s="1" t="str">
        <f t="shared" si="25"/>
        <v>Gelir|Danışmanlık Hizmet Geliri|46119|30000|</v>
      </c>
      <c r="X152" s="1"/>
      <c r="Y152" s="1"/>
      <c r="Z152" s="1"/>
      <c r="AA152" s="1"/>
      <c r="AB152" s="1"/>
      <c r="AC152" s="1"/>
      <c r="AD152" s="1">
        <f>IF($C152="",0,SUMPRODUCT((AY_SONU!$O$7:$O$42="Evet")*(AY_SONU!$B$7:$B$42=DATE(YEAR($C152),MONTH($C152),1))))</f>
        <v>0</v>
      </c>
      <c r="AE152" s="1" t="str">
        <f>IF($E152="","",$E152&amp;"|"&amp;COUNTIFS($E$7:$E152,$E152))</f>
        <v>Danışmanlık Hizmet Geliri|3</v>
      </c>
    </row>
    <row r="153" spans="1:31" ht="18" customHeight="1" x14ac:dyDescent="0.3">
      <c r="A153" s="2"/>
      <c r="B153" s="65" t="str">
        <f t="shared" si="18"/>
        <v>GG00147</v>
      </c>
      <c r="C153" s="66">
        <v>46123</v>
      </c>
      <c r="D153" s="60" t="s">
        <v>1153</v>
      </c>
      <c r="E153" s="61" t="s">
        <v>1080</v>
      </c>
      <c r="F153" s="61" t="s">
        <v>1157</v>
      </c>
      <c r="G153" s="67">
        <v>5200</v>
      </c>
      <c r="H153" s="60"/>
      <c r="I153" s="60"/>
      <c r="J153" s="61"/>
      <c r="K153" s="61"/>
      <c r="L153" s="60" t="s">
        <v>601</v>
      </c>
      <c r="M153" s="74" t="str">
        <f t="shared" si="19"/>
        <v>FİNAL SİYAH BEYAZ LTD.ŞTİ.</v>
      </c>
      <c r="N153" s="74" t="str">
        <f t="shared" si="20"/>
        <v>Kurumlar Vergisi Damga</v>
      </c>
      <c r="O153" s="73">
        <f t="shared" si="21"/>
        <v>46113</v>
      </c>
      <c r="P153" s="65" t="str">
        <f t="shared" ca="1" si="22"/>
        <v>TAHAKKUK</v>
      </c>
      <c r="Q153" s="2"/>
      <c r="R153" s="2"/>
      <c r="S153" s="1" t="str">
        <f t="shared" si="23"/>
        <v>FINALSIYAHBEYAZLTDSTI</v>
      </c>
      <c r="T153" s="1" t="str">
        <f>IF(OR($C153="",$D153&lt;&gt;"Gelir",$L153=""),"",IFERROR(INDEX(MUSTERILER!$B$7:$B$156,MATCH($S153,MUSTERILER!$T$7:$T$156,0)),""))</f>
        <v>M014</v>
      </c>
      <c r="U153" s="1" t="str">
        <f>IF($T153="","",$T153&amp;"|"&amp;COUNTIFS($T$7:$T153,$T153))</f>
        <v>M014|2</v>
      </c>
      <c r="V153" s="1">
        <f t="shared" si="24"/>
        <v>1</v>
      </c>
      <c r="W153" s="1" t="str">
        <f t="shared" si="25"/>
        <v>Gelir|Kurumlar Vergisi Damga|46123|5200|</v>
      </c>
      <c r="X153" s="1"/>
      <c r="Y153" s="1"/>
      <c r="Z153" s="1"/>
      <c r="AA153" s="1"/>
      <c r="AB153" s="1"/>
      <c r="AC153" s="1"/>
      <c r="AD153" s="1">
        <f>IF($C153="",0,SUMPRODUCT((AY_SONU!$O$7:$O$42="Evet")*(AY_SONU!$B$7:$B$42=DATE(YEAR($C153),MONTH($C153),1))))</f>
        <v>0</v>
      </c>
      <c r="AE153" s="1" t="str">
        <f>IF($E153="","",$E153&amp;"|"&amp;COUNTIFS($E$7:$E153,$E153))</f>
        <v>Kurumlar Vergisi Damga|1</v>
      </c>
    </row>
    <row r="154" spans="1:31" ht="18" customHeight="1" x14ac:dyDescent="0.3">
      <c r="A154" s="2"/>
      <c r="B154" s="65" t="str">
        <f t="shared" si="18"/>
        <v>GG00148</v>
      </c>
      <c r="C154" s="66">
        <v>46123</v>
      </c>
      <c r="D154" s="60" t="s">
        <v>1153</v>
      </c>
      <c r="E154" s="61" t="s">
        <v>1080</v>
      </c>
      <c r="F154" s="61" t="s">
        <v>1157</v>
      </c>
      <c r="G154" s="67">
        <v>5200</v>
      </c>
      <c r="H154" s="60"/>
      <c r="I154" s="60"/>
      <c r="J154" s="61"/>
      <c r="K154" s="61"/>
      <c r="L154" s="60" t="s">
        <v>609</v>
      </c>
      <c r="M154" s="74" t="str">
        <f t="shared" si="19"/>
        <v>İLDEŞ LTD.ŞTİ.</v>
      </c>
      <c r="N154" s="74" t="str">
        <f t="shared" si="20"/>
        <v>Kurumlar Vergisi Damga</v>
      </c>
      <c r="O154" s="73">
        <f t="shared" si="21"/>
        <v>46113</v>
      </c>
      <c r="P154" s="65" t="str">
        <f t="shared" ca="1" si="22"/>
        <v>TAHAKKUK</v>
      </c>
      <c r="Q154" s="2"/>
      <c r="R154" s="2"/>
      <c r="S154" s="1" t="str">
        <f t="shared" si="23"/>
        <v>ILDESLTDSTI</v>
      </c>
      <c r="T154" s="1" t="str">
        <f>IF(OR($C154="",$D154&lt;&gt;"Gelir",$L154=""),"",IFERROR(INDEX(MUSTERILER!$B$7:$B$156,MATCH($S154,MUSTERILER!$T$7:$T$156,0)),""))</f>
        <v>M012</v>
      </c>
      <c r="U154" s="1" t="str">
        <f>IF($T154="","",$T154&amp;"|"&amp;COUNTIFS($T$7:$T154,$T154))</f>
        <v>M012|2</v>
      </c>
      <c r="V154" s="1">
        <f t="shared" si="24"/>
        <v>1</v>
      </c>
      <c r="W154" s="1" t="str">
        <f t="shared" si="25"/>
        <v>Gelir|Kurumlar Vergisi Damga|46123|5200|</v>
      </c>
      <c r="X154" s="1"/>
      <c r="Y154" s="1"/>
      <c r="Z154" s="1"/>
      <c r="AA154" s="1"/>
      <c r="AB154" s="1"/>
      <c r="AC154" s="1"/>
      <c r="AD154" s="1">
        <f>IF($C154="",0,SUMPRODUCT((AY_SONU!$O$7:$O$42="Evet")*(AY_SONU!$B$7:$B$42=DATE(YEAR($C154),MONTH($C154),1))))</f>
        <v>0</v>
      </c>
      <c r="AE154" s="1" t="str">
        <f>IF($E154="","",$E154&amp;"|"&amp;COUNTIFS($E$7:$E154,$E154))</f>
        <v>Kurumlar Vergisi Damga|2</v>
      </c>
    </row>
    <row r="155" spans="1:31" ht="18" customHeight="1" x14ac:dyDescent="0.3">
      <c r="A155" s="2"/>
      <c r="B155" s="65" t="str">
        <f t="shared" si="18"/>
        <v>GG00149</v>
      </c>
      <c r="C155" s="66">
        <v>46123</v>
      </c>
      <c r="D155" s="60" t="s">
        <v>1153</v>
      </c>
      <c r="E155" s="61" t="s">
        <v>1080</v>
      </c>
      <c r="F155" s="61" t="s">
        <v>1157</v>
      </c>
      <c r="G155" s="67">
        <v>5200</v>
      </c>
      <c r="H155" s="60"/>
      <c r="I155" s="60"/>
      <c r="J155" s="61"/>
      <c r="K155" s="61"/>
      <c r="L155" s="60" t="s">
        <v>581</v>
      </c>
      <c r="M155" s="74" t="str">
        <f t="shared" si="19"/>
        <v>ASM EĞLENCE LTD.ŞTİ.</v>
      </c>
      <c r="N155" s="74" t="str">
        <f t="shared" si="20"/>
        <v>Kurumlar Vergisi Damga</v>
      </c>
      <c r="O155" s="73">
        <f t="shared" si="21"/>
        <v>46113</v>
      </c>
      <c r="P155" s="65" t="str">
        <f t="shared" ca="1" si="22"/>
        <v>TAHAKKUK</v>
      </c>
      <c r="Q155" s="2"/>
      <c r="R155" s="2"/>
      <c r="S155" s="1" t="str">
        <f t="shared" si="23"/>
        <v>ASMEGLENCELTDSTI</v>
      </c>
      <c r="T155" s="1" t="str">
        <f>IF(OR($C155="",$D155&lt;&gt;"Gelir",$L155=""),"",IFERROR(INDEX(MUSTERILER!$B$7:$B$156,MATCH($S155,MUSTERILER!$T$7:$T$156,0)),""))</f>
        <v>M017</v>
      </c>
      <c r="U155" s="1" t="str">
        <f>IF($T155="","",$T155&amp;"|"&amp;COUNTIFS($T$7:$T155,$T155))</f>
        <v>M017|2</v>
      </c>
      <c r="V155" s="1">
        <f t="shared" si="24"/>
        <v>1</v>
      </c>
      <c r="W155" s="1" t="str">
        <f t="shared" si="25"/>
        <v>Gelir|Kurumlar Vergisi Damga|46123|5200|</v>
      </c>
      <c r="X155" s="1"/>
      <c r="Y155" s="1"/>
      <c r="Z155" s="1"/>
      <c r="AA155" s="1"/>
      <c r="AB155" s="1"/>
      <c r="AC155" s="1"/>
      <c r="AD155" s="1">
        <f>IF($C155="",0,SUMPRODUCT((AY_SONU!$O$7:$O$42="Evet")*(AY_SONU!$B$7:$B$42=DATE(YEAR($C155),MONTH($C155),1))))</f>
        <v>0</v>
      </c>
      <c r="AE155" s="1" t="str">
        <f>IF($E155="","",$E155&amp;"|"&amp;COUNTIFS($E$7:$E155,$E155))</f>
        <v>Kurumlar Vergisi Damga|3</v>
      </c>
    </row>
    <row r="156" spans="1:31" ht="18" customHeight="1" x14ac:dyDescent="0.3">
      <c r="A156" s="2"/>
      <c r="B156" s="65" t="str">
        <f t="shared" si="18"/>
        <v>GG00150</v>
      </c>
      <c r="C156" s="66">
        <v>46123</v>
      </c>
      <c r="D156" s="60" t="s">
        <v>1153</v>
      </c>
      <c r="E156" s="61" t="s">
        <v>1080</v>
      </c>
      <c r="F156" s="61" t="s">
        <v>1157</v>
      </c>
      <c r="G156" s="67">
        <v>5200</v>
      </c>
      <c r="H156" s="60"/>
      <c r="I156" s="60"/>
      <c r="J156" s="61"/>
      <c r="K156" s="61"/>
      <c r="L156" s="60" t="s">
        <v>653</v>
      </c>
      <c r="M156" s="74" t="str">
        <f t="shared" si="19"/>
        <v>RİX ŞOW LTD.ŞTİ.</v>
      </c>
      <c r="N156" s="74" t="str">
        <f t="shared" si="20"/>
        <v>Kurumlar Vergisi Damga</v>
      </c>
      <c r="O156" s="73">
        <f t="shared" si="21"/>
        <v>46113</v>
      </c>
      <c r="P156" s="65" t="str">
        <f t="shared" ca="1" si="22"/>
        <v>TAHAKKUK</v>
      </c>
      <c r="Q156" s="2"/>
      <c r="R156" s="2"/>
      <c r="S156" s="1" t="str">
        <f t="shared" si="23"/>
        <v>RIXSOWLTDSTI</v>
      </c>
      <c r="T156" s="1" t="str">
        <f>IF(OR($C156="",$D156&lt;&gt;"Gelir",$L156=""),"",IFERROR(INDEX(MUSTERILER!$B$7:$B$156,MATCH($S156,MUSTERILER!$T$7:$T$156,0)),""))</f>
        <v>M016</v>
      </c>
      <c r="U156" s="1" t="str">
        <f>IF($T156="","",$T156&amp;"|"&amp;COUNTIFS($T$7:$T156,$T156))</f>
        <v>M016|2</v>
      </c>
      <c r="V156" s="1">
        <f t="shared" si="24"/>
        <v>1</v>
      </c>
      <c r="W156" s="1" t="str">
        <f t="shared" si="25"/>
        <v>Gelir|Kurumlar Vergisi Damga|46123|5200|</v>
      </c>
      <c r="X156" s="1"/>
      <c r="Y156" s="1"/>
      <c r="Z156" s="1"/>
      <c r="AA156" s="1"/>
      <c r="AB156" s="1"/>
      <c r="AC156" s="1"/>
      <c r="AD156" s="1">
        <f>IF($C156="",0,SUMPRODUCT((AY_SONU!$O$7:$O$42="Evet")*(AY_SONU!$B$7:$B$42=DATE(YEAR($C156),MONTH($C156),1))))</f>
        <v>0</v>
      </c>
      <c r="AE156" s="1" t="str">
        <f>IF($E156="","",$E156&amp;"|"&amp;COUNTIFS($E$7:$E156,$E156))</f>
        <v>Kurumlar Vergisi Damga|4</v>
      </c>
    </row>
    <row r="157" spans="1:31" ht="18" customHeight="1" x14ac:dyDescent="0.3">
      <c r="A157" s="2"/>
      <c r="B157" s="65" t="str">
        <f t="shared" si="18"/>
        <v>GG00151</v>
      </c>
      <c r="C157" s="66">
        <v>46123</v>
      </c>
      <c r="D157" s="60" t="s">
        <v>1153</v>
      </c>
      <c r="E157" s="61" t="s">
        <v>1080</v>
      </c>
      <c r="F157" s="61" t="s">
        <v>1157</v>
      </c>
      <c r="G157" s="67">
        <v>5200</v>
      </c>
      <c r="H157" s="60"/>
      <c r="I157" s="60"/>
      <c r="J157" s="61"/>
      <c r="K157" s="61"/>
      <c r="L157" s="60" t="s">
        <v>585</v>
      </c>
      <c r="M157" s="74" t="str">
        <f t="shared" si="19"/>
        <v>ÇAYIRALAN LTD.ŞTİ.</v>
      </c>
      <c r="N157" s="74" t="str">
        <f t="shared" si="20"/>
        <v>Kurumlar Vergisi Damga</v>
      </c>
      <c r="O157" s="73">
        <f t="shared" si="21"/>
        <v>46113</v>
      </c>
      <c r="P157" s="65" t="str">
        <f t="shared" ca="1" si="22"/>
        <v>TAHAKKUK</v>
      </c>
      <c r="Q157" s="2"/>
      <c r="R157" s="2"/>
      <c r="S157" s="1" t="str">
        <f t="shared" si="23"/>
        <v>CAYIRALANLTDSTI</v>
      </c>
      <c r="T157" s="1" t="str">
        <f>IF(OR($C157="",$D157&lt;&gt;"Gelir",$L157=""),"",IFERROR(INDEX(MUSTERILER!$B$7:$B$156,MATCH($S157,MUSTERILER!$T$7:$T$156,0)),""))</f>
        <v>M015</v>
      </c>
      <c r="U157" s="1" t="str">
        <f>IF($T157="","",$T157&amp;"|"&amp;COUNTIFS($T$7:$T157,$T157))</f>
        <v>M015|1</v>
      </c>
      <c r="V157" s="1">
        <f t="shared" si="24"/>
        <v>1</v>
      </c>
      <c r="W157" s="1" t="str">
        <f t="shared" si="25"/>
        <v>Gelir|Kurumlar Vergisi Damga|46123|5200|</v>
      </c>
      <c r="X157" s="1"/>
      <c r="Y157" s="1"/>
      <c r="Z157" s="1"/>
      <c r="AA157" s="1"/>
      <c r="AB157" s="1"/>
      <c r="AC157" s="1"/>
      <c r="AD157" s="1">
        <f>IF($C157="",0,SUMPRODUCT((AY_SONU!$O$7:$O$42="Evet")*(AY_SONU!$B$7:$B$42=DATE(YEAR($C157),MONTH($C157),1))))</f>
        <v>0</v>
      </c>
      <c r="AE157" s="1" t="str">
        <f>IF($E157="","",$E157&amp;"|"&amp;COUNTIFS($E$7:$E157,$E157))</f>
        <v>Kurumlar Vergisi Damga|5</v>
      </c>
    </row>
    <row r="158" spans="1:31" ht="18" customHeight="1" x14ac:dyDescent="0.3">
      <c r="A158" s="2"/>
      <c r="B158" s="65" t="str">
        <f t="shared" si="18"/>
        <v>GG00152</v>
      </c>
      <c r="C158" s="66">
        <v>46123</v>
      </c>
      <c r="D158" s="60" t="s">
        <v>1153</v>
      </c>
      <c r="E158" s="61" t="s">
        <v>1080</v>
      </c>
      <c r="F158" s="61" t="s">
        <v>1157</v>
      </c>
      <c r="G158" s="67">
        <v>5200</v>
      </c>
      <c r="H158" s="60"/>
      <c r="I158" s="60"/>
      <c r="J158" s="61"/>
      <c r="K158" s="61"/>
      <c r="L158" s="60" t="s">
        <v>607</v>
      </c>
      <c r="M158" s="74" t="str">
        <f t="shared" si="19"/>
        <v>İBRAHİM MALDAN</v>
      </c>
      <c r="N158" s="74" t="str">
        <f t="shared" si="20"/>
        <v>Kurumlar Vergisi Damga</v>
      </c>
      <c r="O158" s="73">
        <f t="shared" si="21"/>
        <v>46113</v>
      </c>
      <c r="P158" s="65" t="str">
        <f t="shared" ca="1" si="22"/>
        <v>TAHAKKUK</v>
      </c>
      <c r="Q158" s="2"/>
      <c r="R158" s="2"/>
      <c r="S158" s="1" t="str">
        <f t="shared" si="23"/>
        <v>IBRAHIMMALDAN</v>
      </c>
      <c r="T158" s="1" t="str">
        <f>IF(OR($C158="",$D158&lt;&gt;"Gelir",$L158=""),"",IFERROR(INDEX(MUSTERILER!$B$7:$B$156,MATCH($S158,MUSTERILER!$T$7:$T$156,0)),""))</f>
        <v>M034</v>
      </c>
      <c r="U158" s="1" t="str">
        <f>IF($T158="","",$T158&amp;"|"&amp;COUNTIFS($T$7:$T158,$T158))</f>
        <v>M034|1</v>
      </c>
      <c r="V158" s="1">
        <f t="shared" si="24"/>
        <v>1</v>
      </c>
      <c r="W158" s="1" t="str">
        <f t="shared" si="25"/>
        <v>Gelir|Kurumlar Vergisi Damga|46123|5200|</v>
      </c>
      <c r="X158" s="1"/>
      <c r="Y158" s="1"/>
      <c r="Z158" s="1"/>
      <c r="AA158" s="1"/>
      <c r="AB158" s="1"/>
      <c r="AC158" s="1"/>
      <c r="AD158" s="1">
        <f>IF($C158="",0,SUMPRODUCT((AY_SONU!$O$7:$O$42="Evet")*(AY_SONU!$B$7:$B$42=DATE(YEAR($C158),MONTH($C158),1))))</f>
        <v>0</v>
      </c>
      <c r="AE158" s="1" t="str">
        <f>IF($E158="","",$E158&amp;"|"&amp;COUNTIFS($E$7:$E158,$E158))</f>
        <v>Kurumlar Vergisi Damga|6</v>
      </c>
    </row>
    <row r="159" spans="1:31" ht="18" customHeight="1" x14ac:dyDescent="0.3">
      <c r="A159" s="2"/>
      <c r="B159" s="65" t="str">
        <f t="shared" si="18"/>
        <v>GG00153</v>
      </c>
      <c r="C159" s="66">
        <v>46123</v>
      </c>
      <c r="D159" s="60" t="s">
        <v>1153</v>
      </c>
      <c r="E159" s="61" t="s">
        <v>1080</v>
      </c>
      <c r="F159" s="61" t="s">
        <v>1157</v>
      </c>
      <c r="G159" s="67">
        <v>5200</v>
      </c>
      <c r="H159" s="60"/>
      <c r="I159" s="60"/>
      <c r="J159" s="61"/>
      <c r="K159" s="61"/>
      <c r="L159" s="60" t="s">
        <v>579</v>
      </c>
      <c r="M159" s="74" t="str">
        <f t="shared" si="19"/>
        <v>ASIM AÇIKGÖZ</v>
      </c>
      <c r="N159" s="74" t="str">
        <f t="shared" si="20"/>
        <v>Kurumlar Vergisi Damga</v>
      </c>
      <c r="O159" s="73">
        <f t="shared" si="21"/>
        <v>46113</v>
      </c>
      <c r="P159" s="65" t="str">
        <f t="shared" ca="1" si="22"/>
        <v>TAHAKKUK</v>
      </c>
      <c r="Q159" s="2"/>
      <c r="R159" s="2"/>
      <c r="S159" s="1" t="str">
        <f t="shared" si="23"/>
        <v>ASIMACIKGOZ</v>
      </c>
      <c r="T159" s="1" t="str">
        <f>IF(OR($C159="",$D159&lt;&gt;"Gelir",$L159=""),"",IFERROR(INDEX(MUSTERILER!$B$7:$B$156,MATCH($S159,MUSTERILER!$T$7:$T$156,0)),""))</f>
        <v>M025</v>
      </c>
      <c r="U159" s="1" t="str">
        <f>IF($T159="","",$T159&amp;"|"&amp;COUNTIFS($T$7:$T159,$T159))</f>
        <v>M025|1</v>
      </c>
      <c r="V159" s="1">
        <f t="shared" si="24"/>
        <v>1</v>
      </c>
      <c r="W159" s="1" t="str">
        <f t="shared" si="25"/>
        <v>Gelir|Kurumlar Vergisi Damga|46123|5200|</v>
      </c>
      <c r="X159" s="1"/>
      <c r="Y159" s="1"/>
      <c r="Z159" s="1"/>
      <c r="AA159" s="1"/>
      <c r="AB159" s="1"/>
      <c r="AC159" s="1"/>
      <c r="AD159" s="1">
        <f>IF($C159="",0,SUMPRODUCT((AY_SONU!$O$7:$O$42="Evet")*(AY_SONU!$B$7:$B$42=DATE(YEAR($C159),MONTH($C159),1))))</f>
        <v>0</v>
      </c>
      <c r="AE159" s="1" t="str">
        <f>IF($E159="","",$E159&amp;"|"&amp;COUNTIFS($E$7:$E159,$E159))</f>
        <v>Kurumlar Vergisi Damga|7</v>
      </c>
    </row>
    <row r="160" spans="1:31" ht="18" customHeight="1" x14ac:dyDescent="0.3">
      <c r="A160" s="2"/>
      <c r="B160" s="65" t="str">
        <f t="shared" si="18"/>
        <v>GG00154</v>
      </c>
      <c r="C160" s="66">
        <v>46123</v>
      </c>
      <c r="D160" s="60" t="s">
        <v>1153</v>
      </c>
      <c r="E160" s="61" t="s">
        <v>1080</v>
      </c>
      <c r="F160" s="61" t="s">
        <v>1157</v>
      </c>
      <c r="G160" s="67">
        <v>5200</v>
      </c>
      <c r="H160" s="60"/>
      <c r="I160" s="60"/>
      <c r="J160" s="61"/>
      <c r="K160" s="61"/>
      <c r="L160" s="60" t="s">
        <v>619</v>
      </c>
      <c r="M160" s="74" t="str">
        <f t="shared" si="19"/>
        <v>KRİSTAL LTD.ŞTİ.</v>
      </c>
      <c r="N160" s="74" t="str">
        <f t="shared" si="20"/>
        <v>Kurumlar Vergisi Damga</v>
      </c>
      <c r="O160" s="73">
        <f t="shared" si="21"/>
        <v>46113</v>
      </c>
      <c r="P160" s="65" t="str">
        <f t="shared" ca="1" si="22"/>
        <v>TAHAKKUK</v>
      </c>
      <c r="Q160" s="2"/>
      <c r="R160" s="2"/>
      <c r="S160" s="1" t="str">
        <f t="shared" si="23"/>
        <v>KRISTALLTDSTI</v>
      </c>
      <c r="T160" s="1" t="str">
        <f>IF(OR($C160="",$D160&lt;&gt;"Gelir",$L160=""),"",IFERROR(INDEX(MUSTERILER!$B$7:$B$156,MATCH($S160,MUSTERILER!$T$7:$T$156,0)),""))</f>
        <v>M020</v>
      </c>
      <c r="U160" s="1" t="str">
        <f>IF($T160="","",$T160&amp;"|"&amp;COUNTIFS($T$7:$T160,$T160))</f>
        <v>M020|2</v>
      </c>
      <c r="V160" s="1">
        <f t="shared" si="24"/>
        <v>1</v>
      </c>
      <c r="W160" s="1" t="str">
        <f t="shared" si="25"/>
        <v>Gelir|Kurumlar Vergisi Damga|46123|5200|</v>
      </c>
      <c r="X160" s="1"/>
      <c r="Y160" s="1"/>
      <c r="Z160" s="1"/>
      <c r="AA160" s="1"/>
      <c r="AB160" s="1"/>
      <c r="AC160" s="1"/>
      <c r="AD160" s="1">
        <f>IF($C160="",0,SUMPRODUCT((AY_SONU!$O$7:$O$42="Evet")*(AY_SONU!$B$7:$B$42=DATE(YEAR($C160),MONTH($C160),1))))</f>
        <v>0</v>
      </c>
      <c r="AE160" s="1" t="str">
        <f>IF($E160="","",$E160&amp;"|"&amp;COUNTIFS($E$7:$E160,$E160))</f>
        <v>Kurumlar Vergisi Damga|8</v>
      </c>
    </row>
    <row r="161" spans="1:31" ht="18" customHeight="1" x14ac:dyDescent="0.3">
      <c r="A161" s="2"/>
      <c r="B161" s="65" t="str">
        <f t="shared" si="18"/>
        <v>GG00155</v>
      </c>
      <c r="C161" s="66">
        <v>46123</v>
      </c>
      <c r="D161" s="60" t="s">
        <v>1153</v>
      </c>
      <c r="E161" s="61" t="s">
        <v>1080</v>
      </c>
      <c r="F161" s="61" t="s">
        <v>1157</v>
      </c>
      <c r="G161" s="67">
        <v>5200</v>
      </c>
      <c r="H161" s="60"/>
      <c r="I161" s="60"/>
      <c r="J161" s="61"/>
      <c r="K161" s="61"/>
      <c r="L161" s="60" t="s">
        <v>1158</v>
      </c>
      <c r="M161" s="74" t="str">
        <f t="shared" si="19"/>
        <v>PALAOĞULLAR LTD.ŞTİ.</v>
      </c>
      <c r="N161" s="74" t="str">
        <f t="shared" si="20"/>
        <v>Kurumlar Vergisi Damga</v>
      </c>
      <c r="O161" s="73">
        <f t="shared" si="21"/>
        <v>46113</v>
      </c>
      <c r="P161" s="65" t="str">
        <f t="shared" ca="1" si="22"/>
        <v>TANIMSIZ BORÇLU</v>
      </c>
      <c r="Q161" s="2"/>
      <c r="R161" s="2"/>
      <c r="S161" s="1" t="str">
        <f t="shared" si="23"/>
        <v>PALAOGULLARLTDSTI</v>
      </c>
      <c r="T161" s="1" t="str">
        <f>IF(OR($C161="",$D161&lt;&gt;"Gelir",$L161=""),"",IFERROR(INDEX(MUSTERILER!$B$7:$B$156,MATCH($S161,MUSTERILER!$T$7:$T$156,0)),""))</f>
        <v/>
      </c>
      <c r="U161" s="1" t="str">
        <f>IF($T161="","",$T161&amp;"|"&amp;COUNTIFS($T$7:$T161,$T161))</f>
        <v/>
      </c>
      <c r="V161" s="1">
        <f t="shared" si="24"/>
        <v>0</v>
      </c>
      <c r="W161" s="1" t="str">
        <f t="shared" si="25"/>
        <v>Gelir|Kurumlar Vergisi Damga|46123|5200|</v>
      </c>
      <c r="X161" s="1"/>
      <c r="Y161" s="1"/>
      <c r="Z161" s="1"/>
      <c r="AA161" s="1"/>
      <c r="AB161" s="1"/>
      <c r="AC161" s="1"/>
      <c r="AD161" s="1">
        <f>IF($C161="",0,SUMPRODUCT((AY_SONU!$O$7:$O$42="Evet")*(AY_SONU!$B$7:$B$42=DATE(YEAR($C161),MONTH($C161),1))))</f>
        <v>0</v>
      </c>
      <c r="AE161" s="1" t="str">
        <f>IF($E161="","",$E161&amp;"|"&amp;COUNTIFS($E$7:$E161,$E161))</f>
        <v>Kurumlar Vergisi Damga|9</v>
      </c>
    </row>
    <row r="162" spans="1:31" ht="18" customHeight="1" x14ac:dyDescent="0.3">
      <c r="A162" s="2"/>
      <c r="B162" s="65" t="str">
        <f t="shared" si="18"/>
        <v>GG00156</v>
      </c>
      <c r="C162" s="66">
        <v>46123</v>
      </c>
      <c r="D162" s="60" t="s">
        <v>1153</v>
      </c>
      <c r="E162" s="61" t="s">
        <v>1080</v>
      </c>
      <c r="F162" s="61" t="s">
        <v>1157</v>
      </c>
      <c r="G162" s="67">
        <v>5200</v>
      </c>
      <c r="H162" s="60"/>
      <c r="I162" s="60"/>
      <c r="J162" s="61"/>
      <c r="K162" s="61"/>
      <c r="L162" s="60" t="s">
        <v>589</v>
      </c>
      <c r="M162" s="74" t="str">
        <f t="shared" si="19"/>
        <v>ÇINARHAN LTD.ŞTİ.</v>
      </c>
      <c r="N162" s="74" t="str">
        <f t="shared" si="20"/>
        <v>Kurumlar Vergisi Damga</v>
      </c>
      <c r="O162" s="73">
        <f t="shared" si="21"/>
        <v>46113</v>
      </c>
      <c r="P162" s="65" t="str">
        <f t="shared" ca="1" si="22"/>
        <v>TAHAKKUK</v>
      </c>
      <c r="Q162" s="2"/>
      <c r="R162" s="2"/>
      <c r="S162" s="1" t="str">
        <f t="shared" si="23"/>
        <v>CINARHANLTDSTI</v>
      </c>
      <c r="T162" s="1" t="str">
        <f>IF(OR($C162="",$D162&lt;&gt;"Gelir",$L162=""),"",IFERROR(INDEX(MUSTERILER!$B$7:$B$156,MATCH($S162,MUSTERILER!$T$7:$T$156,0)),""))</f>
        <v>M018</v>
      </c>
      <c r="U162" s="1" t="str">
        <f>IF($T162="","",$T162&amp;"|"&amp;COUNTIFS($T$7:$T162,$T162))</f>
        <v>M018|2</v>
      </c>
      <c r="V162" s="1">
        <f t="shared" si="24"/>
        <v>1</v>
      </c>
      <c r="W162" s="1" t="str">
        <f t="shared" si="25"/>
        <v>Gelir|Kurumlar Vergisi Damga|46123|5200|</v>
      </c>
      <c r="X162" s="1"/>
      <c r="Y162" s="1"/>
      <c r="Z162" s="1"/>
      <c r="AA162" s="1"/>
      <c r="AB162" s="1"/>
      <c r="AC162" s="1"/>
      <c r="AD162" s="1">
        <f>IF($C162="",0,SUMPRODUCT((AY_SONU!$O$7:$O$42="Evet")*(AY_SONU!$B$7:$B$42=DATE(YEAR($C162),MONTH($C162),1))))</f>
        <v>0</v>
      </c>
      <c r="AE162" s="1" t="str">
        <f>IF($E162="","",$E162&amp;"|"&amp;COUNTIFS($E$7:$E162,$E162))</f>
        <v>Kurumlar Vergisi Damga|10</v>
      </c>
    </row>
    <row r="163" spans="1:31" ht="18" customHeight="1" x14ac:dyDescent="0.3">
      <c r="A163" s="2"/>
      <c r="B163" s="65" t="str">
        <f t="shared" si="18"/>
        <v>GG00157</v>
      </c>
      <c r="C163" s="66">
        <v>46123</v>
      </c>
      <c r="D163" s="60" t="s">
        <v>1153</v>
      </c>
      <c r="E163" s="61" t="s">
        <v>1080</v>
      </c>
      <c r="F163" s="61" t="s">
        <v>1157</v>
      </c>
      <c r="G163" s="67">
        <v>5200</v>
      </c>
      <c r="H163" s="60"/>
      <c r="I163" s="60"/>
      <c r="J163" s="61"/>
      <c r="K163" s="61"/>
      <c r="L163" s="60" t="s">
        <v>611</v>
      </c>
      <c r="M163" s="74" t="str">
        <f t="shared" si="19"/>
        <v>İSA DEMİRCİ</v>
      </c>
      <c r="N163" s="74" t="str">
        <f t="shared" si="20"/>
        <v>Kurumlar Vergisi Damga</v>
      </c>
      <c r="O163" s="73">
        <f t="shared" si="21"/>
        <v>46113</v>
      </c>
      <c r="P163" s="65" t="str">
        <f t="shared" ca="1" si="22"/>
        <v>TAHAKKUK</v>
      </c>
      <c r="Q163" s="2"/>
      <c r="R163" s="2"/>
      <c r="S163" s="1" t="str">
        <f t="shared" si="23"/>
        <v>ISADEMIRCI</v>
      </c>
      <c r="T163" s="1" t="str">
        <f>IF(OR($C163="",$D163&lt;&gt;"Gelir",$L163=""),"",IFERROR(INDEX(MUSTERILER!$B$7:$B$156,MATCH($S163,MUSTERILER!$T$7:$T$156,0)),""))</f>
        <v>M035</v>
      </c>
      <c r="U163" s="1" t="str">
        <f>IF($T163="","",$T163&amp;"|"&amp;COUNTIFS($T$7:$T163,$T163))</f>
        <v>M035|1</v>
      </c>
      <c r="V163" s="1">
        <f t="shared" si="24"/>
        <v>1</v>
      </c>
      <c r="W163" s="1" t="str">
        <f t="shared" si="25"/>
        <v>Gelir|Kurumlar Vergisi Damga|46123|5200|</v>
      </c>
      <c r="X163" s="1"/>
      <c r="Y163" s="1"/>
      <c r="Z163" s="1"/>
      <c r="AA163" s="1"/>
      <c r="AB163" s="1"/>
      <c r="AC163" s="1"/>
      <c r="AD163" s="1">
        <f>IF($C163="",0,SUMPRODUCT((AY_SONU!$O$7:$O$42="Evet")*(AY_SONU!$B$7:$B$42=DATE(YEAR($C163),MONTH($C163),1))))</f>
        <v>0</v>
      </c>
      <c r="AE163" s="1" t="str">
        <f>IF($E163="","",$E163&amp;"|"&amp;COUNTIFS($E$7:$E163,$E163))</f>
        <v>Kurumlar Vergisi Damga|11</v>
      </c>
    </row>
    <row r="164" spans="1:31" ht="18" customHeight="1" x14ac:dyDescent="0.3">
      <c r="A164" s="2"/>
      <c r="B164" s="65" t="str">
        <f t="shared" si="18"/>
        <v>GG00158</v>
      </c>
      <c r="C164" s="66">
        <v>46142</v>
      </c>
      <c r="D164" s="60" t="s">
        <v>1153</v>
      </c>
      <c r="E164" s="61" t="s">
        <v>1094</v>
      </c>
      <c r="F164" s="61" t="s">
        <v>1159</v>
      </c>
      <c r="G164" s="67">
        <v>30400</v>
      </c>
      <c r="H164" s="60" t="s">
        <v>713</v>
      </c>
      <c r="I164" s="60" t="s">
        <v>763</v>
      </c>
      <c r="J164" s="61"/>
      <c r="K164" s="61"/>
      <c r="L164" s="60"/>
      <c r="M164" s="74" t="str">
        <f t="shared" si="19"/>
        <v>MERKEZ KASA</v>
      </c>
      <c r="N164" s="74" t="str">
        <f t="shared" si="20"/>
        <v>Diğer Gelirler</v>
      </c>
      <c r="O164" s="73">
        <f t="shared" si="21"/>
        <v>46113</v>
      </c>
      <c r="P164" s="65" t="str">
        <f t="shared" ca="1" si="22"/>
        <v>UYGUN</v>
      </c>
      <c r="Q164" s="2"/>
      <c r="R164" s="2"/>
      <c r="S164" s="1" t="str">
        <f t="shared" si="23"/>
        <v/>
      </c>
      <c r="T164" s="1" t="str">
        <f>IF(OR($C164="",$D164&lt;&gt;"Gelir",$L164=""),"",IFERROR(INDEX(MUSTERILER!$B$7:$B$156,MATCH($S164,MUSTERILER!$T$7:$T$156,0)),""))</f>
        <v/>
      </c>
      <c r="U164" s="1" t="str">
        <f>IF($T164="","",$T164&amp;"|"&amp;COUNTIFS($T$7:$T164,$T164))</f>
        <v/>
      </c>
      <c r="V164" s="1">
        <f t="shared" si="24"/>
        <v>0</v>
      </c>
      <c r="W164" s="1" t="str">
        <f t="shared" si="25"/>
        <v>Gelir|Diğer Gelirler|46142|30400|</v>
      </c>
      <c r="X164" s="1"/>
      <c r="Y164" s="1"/>
      <c r="Z164" s="1"/>
      <c r="AA164" s="1"/>
      <c r="AB164" s="1"/>
      <c r="AC164" s="1"/>
      <c r="AD164" s="1">
        <f>IF($C164="",0,SUMPRODUCT((AY_SONU!$O$7:$O$42="Evet")*(AY_SONU!$B$7:$B$42=DATE(YEAR($C164),MONTH($C164),1))))</f>
        <v>0</v>
      </c>
      <c r="AE164" s="1" t="str">
        <f>IF($E164="","",$E164&amp;"|"&amp;COUNTIFS($E$7:$E164,$E164))</f>
        <v>Diğer Gelirler|1</v>
      </c>
    </row>
    <row r="165" spans="1:31" ht="18" customHeight="1" x14ac:dyDescent="0.3">
      <c r="A165" s="2"/>
      <c r="B165" s="65" t="str">
        <f t="shared" si="18"/>
        <v>GG00159</v>
      </c>
      <c r="C165" s="66">
        <v>46151</v>
      </c>
      <c r="D165" s="60" t="s">
        <v>1153</v>
      </c>
      <c r="E165" s="61" t="s">
        <v>1080</v>
      </c>
      <c r="F165" s="61" t="s">
        <v>1157</v>
      </c>
      <c r="G165" s="67">
        <v>5350</v>
      </c>
      <c r="H165" s="60"/>
      <c r="I165" s="60"/>
      <c r="J165" s="61"/>
      <c r="K165" s="61"/>
      <c r="L165" s="60" t="s">
        <v>619</v>
      </c>
      <c r="M165" s="74" t="str">
        <f t="shared" si="19"/>
        <v>KRİSTAL LTD.ŞTİ.</v>
      </c>
      <c r="N165" s="74" t="str">
        <f t="shared" si="20"/>
        <v>Kurumlar Vergisi Damga</v>
      </c>
      <c r="O165" s="73">
        <f t="shared" si="21"/>
        <v>46143</v>
      </c>
      <c r="P165" s="65" t="str">
        <f t="shared" ca="1" si="22"/>
        <v>TAHAKKUK</v>
      </c>
      <c r="Q165" s="2"/>
      <c r="R165" s="2"/>
      <c r="S165" s="1" t="str">
        <f t="shared" si="23"/>
        <v>KRISTALLTDSTI</v>
      </c>
      <c r="T165" s="1" t="str">
        <f>IF(OR($C165="",$D165&lt;&gt;"Gelir",$L165=""),"",IFERROR(INDEX(MUSTERILER!$B$7:$B$156,MATCH($S165,MUSTERILER!$T$7:$T$156,0)),""))</f>
        <v>M020</v>
      </c>
      <c r="U165" s="1" t="str">
        <f>IF($T165="","",$T165&amp;"|"&amp;COUNTIFS($T$7:$T165,$T165))</f>
        <v>M020|3</v>
      </c>
      <c r="V165" s="1">
        <f t="shared" si="24"/>
        <v>1</v>
      </c>
      <c r="W165" s="1" t="str">
        <f t="shared" si="25"/>
        <v>Gelir|Kurumlar Vergisi Damga|46151|5350|</v>
      </c>
      <c r="X165" s="1"/>
      <c r="Y165" s="1"/>
      <c r="Z165" s="1"/>
      <c r="AA165" s="1"/>
      <c r="AB165" s="1"/>
      <c r="AC165" s="1"/>
      <c r="AD165" s="1">
        <f>IF($C165="",0,SUMPRODUCT((AY_SONU!$O$7:$O$42="Evet")*(AY_SONU!$B$7:$B$42=DATE(YEAR($C165),MONTH($C165),1))))</f>
        <v>0</v>
      </c>
      <c r="AE165" s="1" t="str">
        <f>IF($E165="","",$E165&amp;"|"&amp;COUNTIFS($E$7:$E165,$E165))</f>
        <v>Kurumlar Vergisi Damga|12</v>
      </c>
    </row>
    <row r="166" spans="1:31" ht="18" customHeight="1" x14ac:dyDescent="0.3">
      <c r="A166" s="2"/>
      <c r="B166" s="65" t="str">
        <f t="shared" si="18"/>
        <v>GG00160</v>
      </c>
      <c r="C166" s="66">
        <v>46151</v>
      </c>
      <c r="D166" s="60" t="s">
        <v>1153</v>
      </c>
      <c r="E166" s="61" t="s">
        <v>1080</v>
      </c>
      <c r="F166" s="61" t="s">
        <v>1157</v>
      </c>
      <c r="G166" s="67">
        <v>5350</v>
      </c>
      <c r="H166" s="60"/>
      <c r="I166" s="60"/>
      <c r="J166" s="61"/>
      <c r="K166" s="61"/>
      <c r="L166" s="60" t="s">
        <v>585</v>
      </c>
      <c r="M166" s="74" t="str">
        <f t="shared" si="19"/>
        <v>ÇAYIRALAN LTD.ŞTİ.</v>
      </c>
      <c r="N166" s="74" t="str">
        <f t="shared" si="20"/>
        <v>Kurumlar Vergisi Damga</v>
      </c>
      <c r="O166" s="73">
        <f t="shared" si="21"/>
        <v>46143</v>
      </c>
      <c r="P166" s="65" t="str">
        <f t="shared" ca="1" si="22"/>
        <v>TAHAKKUK</v>
      </c>
      <c r="Q166" s="2"/>
      <c r="R166" s="2"/>
      <c r="S166" s="1" t="str">
        <f t="shared" si="23"/>
        <v>CAYIRALANLTDSTI</v>
      </c>
      <c r="T166" s="1" t="str">
        <f>IF(OR($C166="",$D166&lt;&gt;"Gelir",$L166=""),"",IFERROR(INDEX(MUSTERILER!$B$7:$B$156,MATCH($S166,MUSTERILER!$T$7:$T$156,0)),""))</f>
        <v>M015</v>
      </c>
      <c r="U166" s="1" t="str">
        <f>IF($T166="","",$T166&amp;"|"&amp;COUNTIFS($T$7:$T166,$T166))</f>
        <v>M015|2</v>
      </c>
      <c r="V166" s="1">
        <f t="shared" si="24"/>
        <v>1</v>
      </c>
      <c r="W166" s="1" t="str">
        <f t="shared" si="25"/>
        <v>Gelir|Kurumlar Vergisi Damga|46151|5350|</v>
      </c>
      <c r="X166" s="1"/>
      <c r="Y166" s="1"/>
      <c r="Z166" s="1"/>
      <c r="AA166" s="1"/>
      <c r="AB166" s="1"/>
      <c r="AC166" s="1"/>
      <c r="AD166" s="1">
        <f>IF($C166="",0,SUMPRODUCT((AY_SONU!$O$7:$O$42="Evet")*(AY_SONU!$B$7:$B$42=DATE(YEAR($C166),MONTH($C166),1))))</f>
        <v>0</v>
      </c>
      <c r="AE166" s="1" t="str">
        <f>IF($E166="","",$E166&amp;"|"&amp;COUNTIFS($E$7:$E166,$E166))</f>
        <v>Kurumlar Vergisi Damga|13</v>
      </c>
    </row>
    <row r="167" spans="1:31" ht="18" customHeight="1" x14ac:dyDescent="0.3">
      <c r="A167" s="2"/>
      <c r="B167" s="65" t="str">
        <f t="shared" si="18"/>
        <v>GG00161</v>
      </c>
      <c r="C167" s="66">
        <v>46151</v>
      </c>
      <c r="D167" s="60" t="s">
        <v>1153</v>
      </c>
      <c r="E167" s="61" t="s">
        <v>1080</v>
      </c>
      <c r="F167" s="61" t="s">
        <v>1157</v>
      </c>
      <c r="G167" s="67">
        <v>5350</v>
      </c>
      <c r="H167" s="60"/>
      <c r="I167" s="60"/>
      <c r="J167" s="61"/>
      <c r="K167" s="61"/>
      <c r="L167" s="60" t="s">
        <v>653</v>
      </c>
      <c r="M167" s="74" t="str">
        <f t="shared" si="19"/>
        <v>RİX ŞOW LTD.ŞTİ.</v>
      </c>
      <c r="N167" s="74" t="str">
        <f t="shared" si="20"/>
        <v>Kurumlar Vergisi Damga</v>
      </c>
      <c r="O167" s="73">
        <f t="shared" si="21"/>
        <v>46143</v>
      </c>
      <c r="P167" s="65" t="str">
        <f t="shared" ca="1" si="22"/>
        <v>TAHAKKUK</v>
      </c>
      <c r="Q167" s="2"/>
      <c r="R167" s="2"/>
      <c r="S167" s="1" t="str">
        <f t="shared" si="23"/>
        <v>RIXSOWLTDSTI</v>
      </c>
      <c r="T167" s="1" t="str">
        <f>IF(OR($C167="",$D167&lt;&gt;"Gelir",$L167=""),"",IFERROR(INDEX(MUSTERILER!$B$7:$B$156,MATCH($S167,MUSTERILER!$T$7:$T$156,0)),""))</f>
        <v>M016</v>
      </c>
      <c r="U167" s="1" t="str">
        <f>IF($T167="","",$T167&amp;"|"&amp;COUNTIFS($T$7:$T167,$T167))</f>
        <v>M016|3</v>
      </c>
      <c r="V167" s="1">
        <f t="shared" si="24"/>
        <v>1</v>
      </c>
      <c r="W167" s="1" t="str">
        <f t="shared" si="25"/>
        <v>Gelir|Kurumlar Vergisi Damga|46151|5350|</v>
      </c>
      <c r="X167" s="1"/>
      <c r="Y167" s="1"/>
      <c r="Z167" s="1"/>
      <c r="AA167" s="1"/>
      <c r="AB167" s="1"/>
      <c r="AC167" s="1"/>
      <c r="AD167" s="1">
        <f>IF($C167="",0,SUMPRODUCT((AY_SONU!$O$7:$O$42="Evet")*(AY_SONU!$B$7:$B$42=DATE(YEAR($C167),MONTH($C167),1))))</f>
        <v>0</v>
      </c>
      <c r="AE167" s="1" t="str">
        <f>IF($E167="","",$E167&amp;"|"&amp;COUNTIFS($E$7:$E167,$E167))</f>
        <v>Kurumlar Vergisi Damga|14</v>
      </c>
    </row>
    <row r="168" spans="1:31" ht="18" customHeight="1" x14ac:dyDescent="0.3">
      <c r="A168" s="2"/>
      <c r="B168" s="65" t="str">
        <f t="shared" si="18"/>
        <v>GG00162</v>
      </c>
      <c r="C168" s="66">
        <v>46151</v>
      </c>
      <c r="D168" s="60" t="s">
        <v>1153</v>
      </c>
      <c r="E168" s="61" t="s">
        <v>1080</v>
      </c>
      <c r="F168" s="61" t="s">
        <v>1157</v>
      </c>
      <c r="G168" s="67">
        <v>5350</v>
      </c>
      <c r="H168" s="60"/>
      <c r="I168" s="60"/>
      <c r="J168" s="61"/>
      <c r="K168" s="61"/>
      <c r="L168" s="60" t="s">
        <v>581</v>
      </c>
      <c r="M168" s="74" t="str">
        <f t="shared" si="19"/>
        <v>ASM EĞLENCE LTD.ŞTİ.</v>
      </c>
      <c r="N168" s="74" t="str">
        <f t="shared" si="20"/>
        <v>Kurumlar Vergisi Damga</v>
      </c>
      <c r="O168" s="73">
        <f t="shared" si="21"/>
        <v>46143</v>
      </c>
      <c r="P168" s="65" t="str">
        <f t="shared" ca="1" si="22"/>
        <v>TAHAKKUK</v>
      </c>
      <c r="Q168" s="2"/>
      <c r="R168" s="2"/>
      <c r="S168" s="1" t="str">
        <f t="shared" si="23"/>
        <v>ASMEGLENCELTDSTI</v>
      </c>
      <c r="T168" s="1" t="str">
        <f>IF(OR($C168="",$D168&lt;&gt;"Gelir",$L168=""),"",IFERROR(INDEX(MUSTERILER!$B$7:$B$156,MATCH($S168,MUSTERILER!$T$7:$T$156,0)),""))</f>
        <v>M017</v>
      </c>
      <c r="U168" s="1" t="str">
        <f>IF($T168="","",$T168&amp;"|"&amp;COUNTIFS($T$7:$T168,$T168))</f>
        <v>M017|3</v>
      </c>
      <c r="V168" s="1">
        <f t="shared" si="24"/>
        <v>1</v>
      </c>
      <c r="W168" s="1" t="str">
        <f t="shared" si="25"/>
        <v>Gelir|Kurumlar Vergisi Damga|46151|5350|</v>
      </c>
      <c r="X168" s="1"/>
      <c r="Y168" s="1"/>
      <c r="Z168" s="1"/>
      <c r="AA168" s="1"/>
      <c r="AB168" s="1"/>
      <c r="AC168" s="1"/>
      <c r="AD168" s="1">
        <f>IF($C168="",0,SUMPRODUCT((AY_SONU!$O$7:$O$42="Evet")*(AY_SONU!$B$7:$B$42=DATE(YEAR($C168),MONTH($C168),1))))</f>
        <v>0</v>
      </c>
      <c r="AE168" s="1" t="str">
        <f>IF($E168="","",$E168&amp;"|"&amp;COUNTIFS($E$7:$E168,$E168))</f>
        <v>Kurumlar Vergisi Damga|15</v>
      </c>
    </row>
    <row r="169" spans="1:31" ht="18" customHeight="1" x14ac:dyDescent="0.3">
      <c r="A169" s="2"/>
      <c r="B169" s="65" t="str">
        <f t="shared" si="18"/>
        <v>GG00163</v>
      </c>
      <c r="C169" s="66">
        <v>46151</v>
      </c>
      <c r="D169" s="60" t="s">
        <v>1153</v>
      </c>
      <c r="E169" s="61" t="s">
        <v>1080</v>
      </c>
      <c r="F169" s="61" t="s">
        <v>1157</v>
      </c>
      <c r="G169" s="67">
        <v>5350</v>
      </c>
      <c r="H169" s="60"/>
      <c r="I169" s="60"/>
      <c r="J169" s="61"/>
      <c r="K169" s="61"/>
      <c r="L169" s="60" t="s">
        <v>601</v>
      </c>
      <c r="M169" s="74" t="str">
        <f t="shared" si="19"/>
        <v>FİNAL SİYAH BEYAZ LTD.ŞTİ.</v>
      </c>
      <c r="N169" s="74" t="str">
        <f t="shared" si="20"/>
        <v>Kurumlar Vergisi Damga</v>
      </c>
      <c r="O169" s="73">
        <f t="shared" si="21"/>
        <v>46143</v>
      </c>
      <c r="P169" s="65" t="str">
        <f t="shared" ca="1" si="22"/>
        <v>TAHAKKUK</v>
      </c>
      <c r="Q169" s="2"/>
      <c r="R169" s="2"/>
      <c r="S169" s="1" t="str">
        <f t="shared" si="23"/>
        <v>FINALSIYAHBEYAZLTDSTI</v>
      </c>
      <c r="T169" s="1" t="str">
        <f>IF(OR($C169="",$D169&lt;&gt;"Gelir",$L169=""),"",IFERROR(INDEX(MUSTERILER!$B$7:$B$156,MATCH($S169,MUSTERILER!$T$7:$T$156,0)),""))</f>
        <v>M014</v>
      </c>
      <c r="U169" s="1" t="str">
        <f>IF($T169="","",$T169&amp;"|"&amp;COUNTIFS($T$7:$T169,$T169))</f>
        <v>M014|3</v>
      </c>
      <c r="V169" s="1">
        <f t="shared" si="24"/>
        <v>1</v>
      </c>
      <c r="W169" s="1" t="str">
        <f t="shared" si="25"/>
        <v>Gelir|Kurumlar Vergisi Damga|46151|5350|</v>
      </c>
      <c r="X169" s="1"/>
      <c r="Y169" s="1"/>
      <c r="Z169" s="1"/>
      <c r="AA169" s="1"/>
      <c r="AB169" s="1"/>
      <c r="AC169" s="1"/>
      <c r="AD169" s="1">
        <f>IF($C169="",0,SUMPRODUCT((AY_SONU!$O$7:$O$42="Evet")*(AY_SONU!$B$7:$B$42=DATE(YEAR($C169),MONTH($C169),1))))</f>
        <v>0</v>
      </c>
      <c r="AE169" s="1" t="str">
        <f>IF($E169="","",$E169&amp;"|"&amp;COUNTIFS($E$7:$E169,$E169))</f>
        <v>Kurumlar Vergisi Damga|16</v>
      </c>
    </row>
    <row r="170" spans="1:31" ht="18" customHeight="1" x14ac:dyDescent="0.3">
      <c r="A170" s="2"/>
      <c r="B170" s="65" t="str">
        <f t="shared" si="18"/>
        <v>GG00164</v>
      </c>
      <c r="C170" s="66">
        <v>46151</v>
      </c>
      <c r="D170" s="60" t="s">
        <v>1153</v>
      </c>
      <c r="E170" s="61" t="s">
        <v>1080</v>
      </c>
      <c r="F170" s="61" t="s">
        <v>1157</v>
      </c>
      <c r="G170" s="67">
        <v>5350</v>
      </c>
      <c r="H170" s="60"/>
      <c r="I170" s="60"/>
      <c r="J170" s="61"/>
      <c r="K170" s="61"/>
      <c r="L170" s="60" t="s">
        <v>675</v>
      </c>
      <c r="M170" s="74" t="str">
        <f t="shared" si="19"/>
        <v>ZÜMRÜT GRUP LTD.ŞTİ.</v>
      </c>
      <c r="N170" s="74" t="str">
        <f t="shared" si="20"/>
        <v>Kurumlar Vergisi Damga</v>
      </c>
      <c r="O170" s="73">
        <f t="shared" si="21"/>
        <v>46143</v>
      </c>
      <c r="P170" s="65" t="str">
        <f t="shared" ca="1" si="22"/>
        <v>TAHAKKUK</v>
      </c>
      <c r="Q170" s="2"/>
      <c r="R170" s="2"/>
      <c r="S170" s="1" t="str">
        <f t="shared" si="23"/>
        <v>ZUMRUTGRUPLTDSTI</v>
      </c>
      <c r="T170" s="1" t="str">
        <f>IF(OR($C170="",$D170&lt;&gt;"Gelir",$L170=""),"",IFERROR(INDEX(MUSTERILER!$B$7:$B$156,MATCH($S170,MUSTERILER!$T$7:$T$156,0)),""))</f>
        <v>M005</v>
      </c>
      <c r="U170" s="1" t="str">
        <f>IF($T170="","",$T170&amp;"|"&amp;COUNTIFS($T$7:$T170,$T170))</f>
        <v>M005|4</v>
      </c>
      <c r="V170" s="1">
        <f t="shared" si="24"/>
        <v>1</v>
      </c>
      <c r="W170" s="1" t="str">
        <f t="shared" si="25"/>
        <v>Gelir|Kurumlar Vergisi Damga|46151|5350|</v>
      </c>
      <c r="X170" s="1"/>
      <c r="Y170" s="1"/>
      <c r="Z170" s="1"/>
      <c r="AA170" s="1"/>
      <c r="AB170" s="1"/>
      <c r="AC170" s="1"/>
      <c r="AD170" s="1">
        <f>IF($C170="",0,SUMPRODUCT((AY_SONU!$O$7:$O$42="Evet")*(AY_SONU!$B$7:$B$42=DATE(YEAR($C170),MONTH($C170),1))))</f>
        <v>0</v>
      </c>
      <c r="AE170" s="1" t="str">
        <f>IF($E170="","",$E170&amp;"|"&amp;COUNTIFS($E$7:$E170,$E170))</f>
        <v>Kurumlar Vergisi Damga|17</v>
      </c>
    </row>
    <row r="171" spans="1:31" ht="18" customHeight="1" x14ac:dyDescent="0.3">
      <c r="A171" s="2"/>
      <c r="B171" s="65" t="str">
        <f t="shared" si="18"/>
        <v>GG00165</v>
      </c>
      <c r="C171" s="66">
        <v>46151</v>
      </c>
      <c r="D171" s="60" t="s">
        <v>1153</v>
      </c>
      <c r="E171" s="61" t="s">
        <v>1080</v>
      </c>
      <c r="F171" s="61" t="s">
        <v>1157</v>
      </c>
      <c r="G171" s="67">
        <v>5350</v>
      </c>
      <c r="H171" s="60"/>
      <c r="I171" s="60"/>
      <c r="J171" s="61"/>
      <c r="K171" s="61"/>
      <c r="L171" s="60" t="s">
        <v>647</v>
      </c>
      <c r="M171" s="74" t="str">
        <f t="shared" si="19"/>
        <v>PAKYILDIZ LTD.ŞTİ.</v>
      </c>
      <c r="N171" s="74" t="str">
        <f t="shared" si="20"/>
        <v>Kurumlar Vergisi Damga</v>
      </c>
      <c r="O171" s="73">
        <f t="shared" si="21"/>
        <v>46143</v>
      </c>
      <c r="P171" s="65" t="str">
        <f t="shared" ca="1" si="22"/>
        <v>TAHAKKUK</v>
      </c>
      <c r="Q171" s="2"/>
      <c r="R171" s="2"/>
      <c r="S171" s="1" t="str">
        <f t="shared" si="23"/>
        <v>PAKYILDIZLTDSTI</v>
      </c>
      <c r="T171" s="1" t="str">
        <f>IF(OR($C171="",$D171&lt;&gt;"Gelir",$L171=""),"",IFERROR(INDEX(MUSTERILER!$B$7:$B$156,MATCH($S171,MUSTERILER!$T$7:$T$156,0)),""))</f>
        <v>M009</v>
      </c>
      <c r="U171" s="1" t="str">
        <f>IF($T171="","",$T171&amp;"|"&amp;COUNTIFS($T$7:$T171,$T171))</f>
        <v>M009|1</v>
      </c>
      <c r="V171" s="1">
        <f t="shared" si="24"/>
        <v>1</v>
      </c>
      <c r="W171" s="1" t="str">
        <f t="shared" si="25"/>
        <v>Gelir|Kurumlar Vergisi Damga|46151|5350|</v>
      </c>
      <c r="X171" s="1"/>
      <c r="Y171" s="1"/>
      <c r="Z171" s="1"/>
      <c r="AA171" s="1"/>
      <c r="AB171" s="1"/>
      <c r="AC171" s="1"/>
      <c r="AD171" s="1">
        <f>IF($C171="",0,SUMPRODUCT((AY_SONU!$O$7:$O$42="Evet")*(AY_SONU!$B$7:$B$42=DATE(YEAR($C171),MONTH($C171),1))))</f>
        <v>0</v>
      </c>
      <c r="AE171" s="1" t="str">
        <f>IF($E171="","",$E171&amp;"|"&amp;COUNTIFS($E$7:$E171,$E171))</f>
        <v>Kurumlar Vergisi Damga|18</v>
      </c>
    </row>
    <row r="172" spans="1:31" ht="18" customHeight="1" x14ac:dyDescent="0.3">
      <c r="A172" s="2"/>
      <c r="B172" s="65" t="str">
        <f t="shared" si="18"/>
        <v>GG00166</v>
      </c>
      <c r="C172" s="66">
        <v>46151</v>
      </c>
      <c r="D172" s="60" t="s">
        <v>1153</v>
      </c>
      <c r="E172" s="61" t="s">
        <v>1080</v>
      </c>
      <c r="F172" s="61" t="s">
        <v>1157</v>
      </c>
      <c r="G172" s="67">
        <v>5350</v>
      </c>
      <c r="H172" s="60"/>
      <c r="I172" s="60"/>
      <c r="J172" s="61"/>
      <c r="K172" s="61"/>
      <c r="L172" s="60" t="s">
        <v>589</v>
      </c>
      <c r="M172" s="74" t="str">
        <f t="shared" si="19"/>
        <v>ÇINARHAN LTD.ŞTİ.</v>
      </c>
      <c r="N172" s="74" t="str">
        <f t="shared" si="20"/>
        <v>Kurumlar Vergisi Damga</v>
      </c>
      <c r="O172" s="73">
        <f t="shared" si="21"/>
        <v>46143</v>
      </c>
      <c r="P172" s="65" t="str">
        <f t="shared" ca="1" si="22"/>
        <v>TAHAKKUK</v>
      </c>
      <c r="Q172" s="2"/>
      <c r="R172" s="2"/>
      <c r="S172" s="1" t="str">
        <f t="shared" si="23"/>
        <v>CINARHANLTDSTI</v>
      </c>
      <c r="T172" s="1" t="str">
        <f>IF(OR($C172="",$D172&lt;&gt;"Gelir",$L172=""),"",IFERROR(INDEX(MUSTERILER!$B$7:$B$156,MATCH($S172,MUSTERILER!$T$7:$T$156,0)),""))</f>
        <v>M018</v>
      </c>
      <c r="U172" s="1" t="str">
        <f>IF($T172="","",$T172&amp;"|"&amp;COUNTIFS($T$7:$T172,$T172))</f>
        <v>M018|3</v>
      </c>
      <c r="V172" s="1">
        <f t="shared" si="24"/>
        <v>1</v>
      </c>
      <c r="W172" s="1" t="str">
        <f t="shared" si="25"/>
        <v>Gelir|Kurumlar Vergisi Damga|46151|5350|</v>
      </c>
      <c r="X172" s="1"/>
      <c r="Y172" s="1"/>
      <c r="Z172" s="1"/>
      <c r="AA172" s="1"/>
      <c r="AB172" s="1"/>
      <c r="AC172" s="1"/>
      <c r="AD172" s="1">
        <f>IF($C172="",0,SUMPRODUCT((AY_SONU!$O$7:$O$42="Evet")*(AY_SONU!$B$7:$B$42=DATE(YEAR($C172),MONTH($C172),1))))</f>
        <v>0</v>
      </c>
      <c r="AE172" s="1" t="str">
        <f>IF($E172="","",$E172&amp;"|"&amp;COUNTIFS($E$7:$E172,$E172))</f>
        <v>Kurumlar Vergisi Damga|19</v>
      </c>
    </row>
    <row r="173" spans="1:31" ht="18" customHeight="1" x14ac:dyDescent="0.3">
      <c r="A173" s="2"/>
      <c r="B173" s="65" t="str">
        <f t="shared" si="18"/>
        <v>GG00167</v>
      </c>
      <c r="C173" s="66">
        <v>46158</v>
      </c>
      <c r="D173" s="60" t="s">
        <v>1153</v>
      </c>
      <c r="E173" s="61" t="s">
        <v>1088</v>
      </c>
      <c r="F173" s="61" t="s">
        <v>1160</v>
      </c>
      <c r="G173" s="67">
        <v>7050</v>
      </c>
      <c r="H173" s="60" t="s">
        <v>713</v>
      </c>
      <c r="I173" s="60" t="s">
        <v>763</v>
      </c>
      <c r="J173" s="61"/>
      <c r="K173" s="61"/>
      <c r="L173" s="60"/>
      <c r="M173" s="74" t="str">
        <f t="shared" si="19"/>
        <v>MERKEZ KASA</v>
      </c>
      <c r="N173" s="74" t="str">
        <f t="shared" si="20"/>
        <v>Luca Kontör</v>
      </c>
      <c r="O173" s="73">
        <f t="shared" si="21"/>
        <v>46143</v>
      </c>
      <c r="P173" s="65" t="str">
        <f t="shared" ca="1" si="22"/>
        <v>MÜKERRER?</v>
      </c>
      <c r="Q173" s="2"/>
      <c r="R173" s="2"/>
      <c r="S173" s="1" t="str">
        <f t="shared" si="23"/>
        <v/>
      </c>
      <c r="T173" s="1" t="str">
        <f>IF(OR($C173="",$D173&lt;&gt;"Gelir",$L173=""),"",IFERROR(INDEX(MUSTERILER!$B$7:$B$156,MATCH($S173,MUSTERILER!$T$7:$T$156,0)),""))</f>
        <v/>
      </c>
      <c r="U173" s="1" t="str">
        <f>IF($T173="","",$T173&amp;"|"&amp;COUNTIFS($T$7:$T173,$T173))</f>
        <v/>
      </c>
      <c r="V173" s="1">
        <f t="shared" si="24"/>
        <v>0</v>
      </c>
      <c r="W173" s="1" t="str">
        <f t="shared" si="25"/>
        <v>Gelir|Luca Kontör|46158|7050|</v>
      </c>
      <c r="X173" s="1"/>
      <c r="Y173" s="1"/>
      <c r="Z173" s="1"/>
      <c r="AA173" s="1"/>
      <c r="AB173" s="1"/>
      <c r="AC173" s="1"/>
      <c r="AD173" s="1">
        <f>IF($C173="",0,SUMPRODUCT((AY_SONU!$O$7:$O$42="Evet")*(AY_SONU!$B$7:$B$42=DATE(YEAR($C173),MONTH($C173),1))))</f>
        <v>0</v>
      </c>
      <c r="AE173" s="1" t="str">
        <f>IF($E173="","",$E173&amp;"|"&amp;COUNTIFS($E$7:$E173,$E173))</f>
        <v>Luca Kontör|1</v>
      </c>
    </row>
    <row r="174" spans="1:31" ht="18" customHeight="1" x14ac:dyDescent="0.3">
      <c r="A174" s="2"/>
      <c r="B174" s="65" t="str">
        <f t="shared" si="18"/>
        <v>GG00168</v>
      </c>
      <c r="C174" s="66">
        <v>46158</v>
      </c>
      <c r="D174" s="60" t="s">
        <v>1153</v>
      </c>
      <c r="E174" s="61" t="s">
        <v>1080</v>
      </c>
      <c r="F174" s="61" t="s">
        <v>1157</v>
      </c>
      <c r="G174" s="67">
        <v>5350</v>
      </c>
      <c r="H174" s="60"/>
      <c r="I174" s="60"/>
      <c r="J174" s="61"/>
      <c r="K174" s="61"/>
      <c r="L174" s="60" t="s">
        <v>607</v>
      </c>
      <c r="M174" s="74" t="str">
        <f t="shared" si="19"/>
        <v>İBRAHİM MALDAN</v>
      </c>
      <c r="N174" s="74" t="str">
        <f t="shared" si="20"/>
        <v>Kurumlar Vergisi Damga</v>
      </c>
      <c r="O174" s="73">
        <f t="shared" si="21"/>
        <v>46143</v>
      </c>
      <c r="P174" s="65" t="str">
        <f t="shared" ca="1" si="22"/>
        <v>TAHAKKUK</v>
      </c>
      <c r="Q174" s="2"/>
      <c r="R174" s="2"/>
      <c r="S174" s="1" t="str">
        <f t="shared" si="23"/>
        <v>IBRAHIMMALDAN</v>
      </c>
      <c r="T174" s="1" t="str">
        <f>IF(OR($C174="",$D174&lt;&gt;"Gelir",$L174=""),"",IFERROR(INDEX(MUSTERILER!$B$7:$B$156,MATCH($S174,MUSTERILER!$T$7:$T$156,0)),""))</f>
        <v>M034</v>
      </c>
      <c r="U174" s="1" t="str">
        <f>IF($T174="","",$T174&amp;"|"&amp;COUNTIFS($T$7:$T174,$T174))</f>
        <v>M034|2</v>
      </c>
      <c r="V174" s="1">
        <f t="shared" si="24"/>
        <v>1</v>
      </c>
      <c r="W174" s="1" t="str">
        <f t="shared" si="25"/>
        <v>Gelir|Kurumlar Vergisi Damga|46158|5350|</v>
      </c>
      <c r="X174" s="1"/>
      <c r="Y174" s="1"/>
      <c r="Z174" s="1"/>
      <c r="AA174" s="1"/>
      <c r="AB174" s="1"/>
      <c r="AC174" s="1"/>
      <c r="AD174" s="1">
        <f>IF($C174="",0,SUMPRODUCT((AY_SONU!$O$7:$O$42="Evet")*(AY_SONU!$B$7:$B$42=DATE(YEAR($C174),MONTH($C174),1))))</f>
        <v>0</v>
      </c>
      <c r="AE174" s="1" t="str">
        <f>IF($E174="","",$E174&amp;"|"&amp;COUNTIFS($E$7:$E174,$E174))</f>
        <v>Kurumlar Vergisi Damga|20</v>
      </c>
    </row>
    <row r="175" spans="1:31" ht="18" customHeight="1" x14ac:dyDescent="0.3">
      <c r="A175" s="2"/>
      <c r="B175" s="65" t="str">
        <f t="shared" si="18"/>
        <v>GG00169</v>
      </c>
      <c r="C175" s="66">
        <v>46160</v>
      </c>
      <c r="D175" s="60" t="s">
        <v>1153</v>
      </c>
      <c r="E175" s="61" t="s">
        <v>1094</v>
      </c>
      <c r="F175" s="61" t="s">
        <v>1161</v>
      </c>
      <c r="G175" s="67">
        <v>5000</v>
      </c>
      <c r="H175" s="60" t="s">
        <v>715</v>
      </c>
      <c r="I175" s="60" t="s">
        <v>763</v>
      </c>
      <c r="J175" s="61"/>
      <c r="K175" s="61"/>
      <c r="L175" s="60"/>
      <c r="M175" s="74" t="str">
        <f t="shared" si="19"/>
        <v>ÖMER KARTAL</v>
      </c>
      <c r="N175" s="74" t="str">
        <f t="shared" si="20"/>
        <v>Diğer Gelirler</v>
      </c>
      <c r="O175" s="73">
        <f t="shared" si="21"/>
        <v>46143</v>
      </c>
      <c r="P175" s="65" t="str">
        <f t="shared" ca="1" si="22"/>
        <v>UYGUN</v>
      </c>
      <c r="Q175" s="2"/>
      <c r="R175" s="2"/>
      <c r="S175" s="1" t="str">
        <f t="shared" si="23"/>
        <v/>
      </c>
      <c r="T175" s="1" t="str">
        <f>IF(OR($C175="",$D175&lt;&gt;"Gelir",$L175=""),"",IFERROR(INDEX(MUSTERILER!$B$7:$B$156,MATCH($S175,MUSTERILER!$T$7:$T$156,0)),""))</f>
        <v/>
      </c>
      <c r="U175" s="1" t="str">
        <f>IF($T175="","",$T175&amp;"|"&amp;COUNTIFS($T$7:$T175,$T175))</f>
        <v/>
      </c>
      <c r="V175" s="1">
        <f t="shared" si="24"/>
        <v>0</v>
      </c>
      <c r="W175" s="1" t="str">
        <f t="shared" si="25"/>
        <v>Gelir|Diğer Gelirler|46160|5000|</v>
      </c>
      <c r="X175" s="1"/>
      <c r="Y175" s="1"/>
      <c r="Z175" s="1"/>
      <c r="AA175" s="1"/>
      <c r="AB175" s="1"/>
      <c r="AC175" s="1"/>
      <c r="AD175" s="1">
        <f>IF($C175="",0,SUMPRODUCT((AY_SONU!$O$7:$O$42="Evet")*(AY_SONU!$B$7:$B$42=DATE(YEAR($C175),MONTH($C175),1))))</f>
        <v>0</v>
      </c>
      <c r="AE175" s="1" t="str">
        <f>IF($E175="","",$E175&amp;"|"&amp;COUNTIFS($E$7:$E175,$E175))</f>
        <v>Diğer Gelirler|2</v>
      </c>
    </row>
    <row r="176" spans="1:31" ht="18" customHeight="1" x14ac:dyDescent="0.3">
      <c r="A176" s="2"/>
      <c r="B176" s="65" t="str">
        <f t="shared" si="18"/>
        <v>GG00170</v>
      </c>
      <c r="C176" s="66">
        <v>46158</v>
      </c>
      <c r="D176" s="60" t="s">
        <v>1153</v>
      </c>
      <c r="E176" s="61" t="s">
        <v>1088</v>
      </c>
      <c r="F176" s="61" t="s">
        <v>1162</v>
      </c>
      <c r="G176" s="67">
        <v>7050</v>
      </c>
      <c r="H176" s="60" t="s">
        <v>713</v>
      </c>
      <c r="I176" s="60" t="s">
        <v>763</v>
      </c>
      <c r="J176" s="61"/>
      <c r="K176" s="61"/>
      <c r="L176" s="60"/>
      <c r="M176" s="74" t="str">
        <f t="shared" si="19"/>
        <v>MERKEZ KASA</v>
      </c>
      <c r="N176" s="74" t="str">
        <f t="shared" si="20"/>
        <v>Luca Kontör</v>
      </c>
      <c r="O176" s="73">
        <f t="shared" si="21"/>
        <v>46143</v>
      </c>
      <c r="P176" s="65" t="str">
        <f t="shared" ca="1" si="22"/>
        <v>MÜKERRER?</v>
      </c>
      <c r="Q176" s="2"/>
      <c r="R176" s="2"/>
      <c r="S176" s="1" t="str">
        <f t="shared" si="23"/>
        <v/>
      </c>
      <c r="T176" s="1" t="str">
        <f>IF(OR($C176="",$D176&lt;&gt;"Gelir",$L176=""),"",IFERROR(INDEX(MUSTERILER!$B$7:$B$156,MATCH($S176,MUSTERILER!$T$7:$T$156,0)),""))</f>
        <v/>
      </c>
      <c r="U176" s="1" t="str">
        <f>IF($T176="","",$T176&amp;"|"&amp;COUNTIFS($T$7:$T176,$T176))</f>
        <v/>
      </c>
      <c r="V176" s="1">
        <f t="shared" si="24"/>
        <v>0</v>
      </c>
      <c r="W176" s="1" t="str">
        <f t="shared" si="25"/>
        <v>Gelir|Luca Kontör|46158|7050|</v>
      </c>
      <c r="X176" s="1"/>
      <c r="Y176" s="1"/>
      <c r="Z176" s="1"/>
      <c r="AA176" s="1"/>
      <c r="AB176" s="1"/>
      <c r="AC176" s="1"/>
      <c r="AD176" s="1">
        <f>IF($C176="",0,SUMPRODUCT((AY_SONU!$O$7:$O$42="Evet")*(AY_SONU!$B$7:$B$42=DATE(YEAR($C176),MONTH($C176),1))))</f>
        <v>0</v>
      </c>
      <c r="AE176" s="1" t="str">
        <f>IF($E176="","",$E176&amp;"|"&amp;COUNTIFS($E$7:$E176,$E176))</f>
        <v>Luca Kontör|2</v>
      </c>
    </row>
    <row r="177" spans="1:31" ht="18" customHeight="1" x14ac:dyDescent="0.3">
      <c r="A177" s="2"/>
      <c r="B177" s="65" t="str">
        <f t="shared" si="18"/>
        <v/>
      </c>
      <c r="C177" s="66"/>
      <c r="D177" s="60"/>
      <c r="E177" s="61"/>
      <c r="F177" s="61"/>
      <c r="G177" s="67"/>
      <c r="H177" s="60"/>
      <c r="I177" s="60"/>
      <c r="J177" s="61"/>
      <c r="K177" s="61"/>
      <c r="L177" s="60"/>
      <c r="M177" s="74" t="str">
        <f t="shared" si="19"/>
        <v/>
      </c>
      <c r="N177" s="74" t="str">
        <f t="shared" si="20"/>
        <v/>
      </c>
      <c r="O177" s="73" t="str">
        <f t="shared" si="21"/>
        <v/>
      </c>
      <c r="P177" s="65" t="str">
        <f t="shared" ca="1" si="22"/>
        <v/>
      </c>
      <c r="Q177" s="2"/>
      <c r="R177" s="2"/>
      <c r="S177" s="1" t="str">
        <f t="shared" si="23"/>
        <v/>
      </c>
      <c r="T177" s="1" t="str">
        <f>IF(OR($C177="",$D177&lt;&gt;"Gelir",$L177=""),"",IFERROR(INDEX(MUSTERILER!$B$7:$B$156,MATCH($S177,MUSTERILER!$T$7:$T$156,0)),""))</f>
        <v/>
      </c>
      <c r="U177" s="1" t="str">
        <f>IF($T177="","",$T177&amp;"|"&amp;COUNTIFS($T$7:$T177,$T177))</f>
        <v/>
      </c>
      <c r="V177" s="1">
        <f t="shared" si="24"/>
        <v>0</v>
      </c>
      <c r="W177" s="1" t="str">
        <f t="shared" si="25"/>
        <v/>
      </c>
      <c r="X177" s="1"/>
      <c r="Y177" s="1"/>
      <c r="Z177" s="1"/>
      <c r="AA177" s="1"/>
      <c r="AB177" s="1"/>
      <c r="AC177" s="1"/>
      <c r="AD177" s="1">
        <f>IF($C177="",0,SUMPRODUCT((AY_SONU!$O$7:$O$42="Evet")*(AY_SONU!$B$7:$B$42=DATE(YEAR($C177),MONTH($C177),1))))</f>
        <v>0</v>
      </c>
      <c r="AE177" s="1" t="str">
        <f>IF($E177="","",$E177&amp;"|"&amp;COUNTIFS($E$7:$E177,$E177))</f>
        <v/>
      </c>
    </row>
    <row r="178" spans="1:31" ht="18" customHeight="1" x14ac:dyDescent="0.3">
      <c r="A178" s="2"/>
      <c r="B178" s="65" t="str">
        <f t="shared" si="18"/>
        <v/>
      </c>
      <c r="C178" s="66"/>
      <c r="D178" s="60"/>
      <c r="E178" s="61"/>
      <c r="F178" s="61"/>
      <c r="G178" s="67"/>
      <c r="H178" s="60"/>
      <c r="I178" s="60"/>
      <c r="J178" s="61"/>
      <c r="K178" s="61"/>
      <c r="L178" s="60"/>
      <c r="M178" s="74" t="str">
        <f t="shared" si="19"/>
        <v/>
      </c>
      <c r="N178" s="74" t="str">
        <f t="shared" si="20"/>
        <v/>
      </c>
      <c r="O178" s="73" t="str">
        <f t="shared" si="21"/>
        <v/>
      </c>
      <c r="P178" s="65" t="str">
        <f t="shared" ca="1" si="22"/>
        <v/>
      </c>
      <c r="Q178" s="2"/>
      <c r="R178" s="2"/>
      <c r="S178" s="1" t="str">
        <f t="shared" si="23"/>
        <v/>
      </c>
      <c r="T178" s="1" t="str">
        <f>IF(OR($C178="",$D178&lt;&gt;"Gelir",$L178=""),"",IFERROR(INDEX(MUSTERILER!$B$7:$B$156,MATCH($S178,MUSTERILER!$T$7:$T$156,0)),""))</f>
        <v/>
      </c>
      <c r="U178" s="1" t="str">
        <f>IF($T178="","",$T178&amp;"|"&amp;COUNTIFS($T$7:$T178,$T178))</f>
        <v/>
      </c>
      <c r="V178" s="1">
        <f t="shared" si="24"/>
        <v>0</v>
      </c>
      <c r="W178" s="1" t="str">
        <f t="shared" si="25"/>
        <v/>
      </c>
      <c r="X178" s="1"/>
      <c r="Y178" s="1"/>
      <c r="Z178" s="1"/>
      <c r="AA178" s="1"/>
      <c r="AB178" s="1"/>
      <c r="AC178" s="1"/>
      <c r="AD178" s="1">
        <f>IF($C178="",0,SUMPRODUCT((AY_SONU!$O$7:$O$42="Evet")*(AY_SONU!$B$7:$B$42=DATE(YEAR($C178),MONTH($C178),1))))</f>
        <v>0</v>
      </c>
      <c r="AE178" s="1" t="str">
        <f>IF($E178="","",$E178&amp;"|"&amp;COUNTIFS($E$7:$E178,$E178))</f>
        <v/>
      </c>
    </row>
    <row r="179" spans="1:31" ht="18" customHeight="1" x14ac:dyDescent="0.3">
      <c r="A179" s="2"/>
      <c r="B179" s="65" t="str">
        <f t="shared" si="18"/>
        <v/>
      </c>
      <c r="C179" s="66"/>
      <c r="D179" s="60"/>
      <c r="E179" s="61"/>
      <c r="F179" s="61"/>
      <c r="G179" s="67"/>
      <c r="H179" s="60"/>
      <c r="I179" s="60"/>
      <c r="J179" s="61"/>
      <c r="K179" s="61"/>
      <c r="L179" s="60"/>
      <c r="M179" s="74" t="str">
        <f t="shared" si="19"/>
        <v/>
      </c>
      <c r="N179" s="74" t="str">
        <f t="shared" si="20"/>
        <v/>
      </c>
      <c r="O179" s="73" t="str">
        <f t="shared" si="21"/>
        <v/>
      </c>
      <c r="P179" s="65" t="str">
        <f t="shared" ca="1" si="22"/>
        <v/>
      </c>
      <c r="Q179" s="2"/>
      <c r="R179" s="2"/>
      <c r="S179" s="1" t="str">
        <f t="shared" si="23"/>
        <v/>
      </c>
      <c r="T179" s="1" t="str">
        <f>IF(OR($C179="",$D179&lt;&gt;"Gelir",$L179=""),"",IFERROR(INDEX(MUSTERILER!$B$7:$B$156,MATCH($S179,MUSTERILER!$T$7:$T$156,0)),""))</f>
        <v/>
      </c>
      <c r="U179" s="1" t="str">
        <f>IF($T179="","",$T179&amp;"|"&amp;COUNTIFS($T$7:$T179,$T179))</f>
        <v/>
      </c>
      <c r="V179" s="1">
        <f t="shared" si="24"/>
        <v>0</v>
      </c>
      <c r="W179" s="1" t="str">
        <f t="shared" si="25"/>
        <v/>
      </c>
      <c r="X179" s="1"/>
      <c r="Y179" s="1"/>
      <c r="Z179" s="1"/>
      <c r="AA179" s="1"/>
      <c r="AB179" s="1"/>
      <c r="AC179" s="1"/>
      <c r="AD179" s="1">
        <f>IF($C179="",0,SUMPRODUCT((AY_SONU!$O$7:$O$42="Evet")*(AY_SONU!$B$7:$B$42=DATE(YEAR($C179),MONTH($C179),1))))</f>
        <v>0</v>
      </c>
      <c r="AE179" s="1" t="str">
        <f>IF($E179="","",$E179&amp;"|"&amp;COUNTIFS($E$7:$E179,$E179))</f>
        <v/>
      </c>
    </row>
    <row r="180" spans="1:31" ht="18" customHeight="1" x14ac:dyDescent="0.3">
      <c r="A180" s="2"/>
      <c r="B180" s="65" t="str">
        <f t="shared" si="18"/>
        <v/>
      </c>
      <c r="C180" s="66"/>
      <c r="D180" s="60"/>
      <c r="E180" s="61"/>
      <c r="F180" s="61"/>
      <c r="G180" s="67"/>
      <c r="H180" s="60"/>
      <c r="I180" s="60"/>
      <c r="J180" s="61"/>
      <c r="K180" s="61"/>
      <c r="L180" s="60"/>
      <c r="M180" s="74" t="str">
        <f t="shared" si="19"/>
        <v/>
      </c>
      <c r="N180" s="74" t="str">
        <f t="shared" si="20"/>
        <v/>
      </c>
      <c r="O180" s="73" t="str">
        <f t="shared" si="21"/>
        <v/>
      </c>
      <c r="P180" s="65" t="str">
        <f t="shared" ca="1" si="22"/>
        <v/>
      </c>
      <c r="Q180" s="2"/>
      <c r="R180" s="2"/>
      <c r="S180" s="1" t="str">
        <f t="shared" si="23"/>
        <v/>
      </c>
      <c r="T180" s="1" t="str">
        <f>IF(OR($C180="",$D180&lt;&gt;"Gelir",$L180=""),"",IFERROR(INDEX(MUSTERILER!$B$7:$B$156,MATCH($S180,MUSTERILER!$T$7:$T$156,0)),""))</f>
        <v/>
      </c>
      <c r="U180" s="1" t="str">
        <f>IF($T180="","",$T180&amp;"|"&amp;COUNTIFS($T$7:$T180,$T180))</f>
        <v/>
      </c>
      <c r="V180" s="1">
        <f t="shared" si="24"/>
        <v>0</v>
      </c>
      <c r="W180" s="1" t="str">
        <f t="shared" si="25"/>
        <v/>
      </c>
      <c r="X180" s="1"/>
      <c r="Y180" s="1"/>
      <c r="Z180" s="1"/>
      <c r="AA180" s="1"/>
      <c r="AB180" s="1"/>
      <c r="AC180" s="1"/>
      <c r="AD180" s="1">
        <f>IF($C180="",0,SUMPRODUCT((AY_SONU!$O$7:$O$42="Evet")*(AY_SONU!$B$7:$B$42=DATE(YEAR($C180),MONTH($C180),1))))</f>
        <v>0</v>
      </c>
      <c r="AE180" s="1" t="str">
        <f>IF($E180="","",$E180&amp;"|"&amp;COUNTIFS($E$7:$E180,$E180))</f>
        <v/>
      </c>
    </row>
    <row r="181" spans="1:31" ht="18" customHeight="1" x14ac:dyDescent="0.3">
      <c r="A181" s="2"/>
      <c r="B181" s="65" t="str">
        <f t="shared" si="18"/>
        <v/>
      </c>
      <c r="C181" s="66"/>
      <c r="D181" s="60"/>
      <c r="E181" s="61"/>
      <c r="F181" s="61"/>
      <c r="G181" s="67"/>
      <c r="H181" s="60"/>
      <c r="I181" s="60"/>
      <c r="J181" s="61"/>
      <c r="K181" s="61"/>
      <c r="L181" s="60"/>
      <c r="M181" s="74" t="str">
        <f t="shared" si="19"/>
        <v/>
      </c>
      <c r="N181" s="74" t="str">
        <f t="shared" si="20"/>
        <v/>
      </c>
      <c r="O181" s="73" t="str">
        <f t="shared" si="21"/>
        <v/>
      </c>
      <c r="P181" s="65" t="str">
        <f t="shared" ca="1" si="22"/>
        <v/>
      </c>
      <c r="Q181" s="2"/>
      <c r="R181" s="2"/>
      <c r="S181" s="1" t="str">
        <f t="shared" si="23"/>
        <v/>
      </c>
      <c r="T181" s="1" t="str">
        <f>IF(OR($C181="",$D181&lt;&gt;"Gelir",$L181=""),"",IFERROR(INDEX(MUSTERILER!$B$7:$B$156,MATCH($S181,MUSTERILER!$T$7:$T$156,0)),""))</f>
        <v/>
      </c>
      <c r="U181" s="1" t="str">
        <f>IF($T181="","",$T181&amp;"|"&amp;COUNTIFS($T$7:$T181,$T181))</f>
        <v/>
      </c>
      <c r="V181" s="1">
        <f t="shared" si="24"/>
        <v>0</v>
      </c>
      <c r="W181" s="1" t="str">
        <f t="shared" si="25"/>
        <v/>
      </c>
      <c r="X181" s="1"/>
      <c r="Y181" s="1"/>
      <c r="Z181" s="1"/>
      <c r="AA181" s="1"/>
      <c r="AB181" s="1"/>
      <c r="AC181" s="1"/>
      <c r="AD181" s="1">
        <f>IF($C181="",0,SUMPRODUCT((AY_SONU!$O$7:$O$42="Evet")*(AY_SONU!$B$7:$B$42=DATE(YEAR($C181),MONTH($C181),1))))</f>
        <v>0</v>
      </c>
      <c r="AE181" s="1" t="str">
        <f>IF($E181="","",$E181&amp;"|"&amp;COUNTIFS($E$7:$E181,$E181))</f>
        <v/>
      </c>
    </row>
    <row r="182" spans="1:31" ht="18" customHeight="1" x14ac:dyDescent="0.3">
      <c r="A182" s="2"/>
      <c r="B182" s="65" t="str">
        <f t="shared" si="18"/>
        <v/>
      </c>
      <c r="C182" s="66"/>
      <c r="D182" s="60"/>
      <c r="E182" s="61"/>
      <c r="F182" s="61"/>
      <c r="G182" s="67"/>
      <c r="H182" s="60"/>
      <c r="I182" s="60"/>
      <c r="J182" s="61"/>
      <c r="K182" s="61"/>
      <c r="L182" s="60"/>
      <c r="M182" s="74" t="str">
        <f t="shared" si="19"/>
        <v/>
      </c>
      <c r="N182" s="74" t="str">
        <f t="shared" si="20"/>
        <v/>
      </c>
      <c r="O182" s="73" t="str">
        <f t="shared" si="21"/>
        <v/>
      </c>
      <c r="P182" s="65" t="str">
        <f t="shared" ca="1" si="22"/>
        <v/>
      </c>
      <c r="Q182" s="2"/>
      <c r="R182" s="2"/>
      <c r="S182" s="1" t="str">
        <f t="shared" si="23"/>
        <v/>
      </c>
      <c r="T182" s="1" t="str">
        <f>IF(OR($C182="",$D182&lt;&gt;"Gelir",$L182=""),"",IFERROR(INDEX(MUSTERILER!$B$7:$B$156,MATCH($S182,MUSTERILER!$T$7:$T$156,0)),""))</f>
        <v/>
      </c>
      <c r="U182" s="1" t="str">
        <f>IF($T182="","",$T182&amp;"|"&amp;COUNTIFS($T$7:$T182,$T182))</f>
        <v/>
      </c>
      <c r="V182" s="1">
        <f t="shared" si="24"/>
        <v>0</v>
      </c>
      <c r="W182" s="1" t="str">
        <f t="shared" si="25"/>
        <v/>
      </c>
      <c r="X182" s="1"/>
      <c r="Y182" s="1"/>
      <c r="Z182" s="1"/>
      <c r="AA182" s="1"/>
      <c r="AB182" s="1"/>
      <c r="AC182" s="1"/>
      <c r="AD182" s="1">
        <f>IF($C182="",0,SUMPRODUCT((AY_SONU!$O$7:$O$42="Evet")*(AY_SONU!$B$7:$B$42=DATE(YEAR($C182),MONTH($C182),1))))</f>
        <v>0</v>
      </c>
      <c r="AE182" s="1" t="str">
        <f>IF($E182="","",$E182&amp;"|"&amp;COUNTIFS($E$7:$E182,$E182))</f>
        <v/>
      </c>
    </row>
    <row r="183" spans="1:31" ht="18" customHeight="1" x14ac:dyDescent="0.3">
      <c r="A183" s="2"/>
      <c r="B183" s="65" t="str">
        <f t="shared" si="18"/>
        <v/>
      </c>
      <c r="C183" s="66"/>
      <c r="D183" s="60"/>
      <c r="E183" s="61"/>
      <c r="F183" s="61"/>
      <c r="G183" s="67"/>
      <c r="H183" s="60"/>
      <c r="I183" s="60"/>
      <c r="J183" s="61"/>
      <c r="K183" s="61"/>
      <c r="L183" s="60"/>
      <c r="M183" s="74" t="str">
        <f t="shared" si="19"/>
        <v/>
      </c>
      <c r="N183" s="74" t="str">
        <f t="shared" si="20"/>
        <v/>
      </c>
      <c r="O183" s="73" t="str">
        <f t="shared" si="21"/>
        <v/>
      </c>
      <c r="P183" s="65" t="str">
        <f t="shared" ca="1" si="22"/>
        <v/>
      </c>
      <c r="Q183" s="2"/>
      <c r="R183" s="2"/>
      <c r="S183" s="1" t="str">
        <f t="shared" si="23"/>
        <v/>
      </c>
      <c r="T183" s="1" t="str">
        <f>IF(OR($C183="",$D183&lt;&gt;"Gelir",$L183=""),"",IFERROR(INDEX(MUSTERILER!$B$7:$B$156,MATCH($S183,MUSTERILER!$T$7:$T$156,0)),""))</f>
        <v/>
      </c>
      <c r="U183" s="1" t="str">
        <f>IF($T183="","",$T183&amp;"|"&amp;COUNTIFS($T$7:$T183,$T183))</f>
        <v/>
      </c>
      <c r="V183" s="1">
        <f t="shared" si="24"/>
        <v>0</v>
      </c>
      <c r="W183" s="1" t="str">
        <f t="shared" si="25"/>
        <v/>
      </c>
      <c r="X183" s="1"/>
      <c r="Y183" s="1"/>
      <c r="Z183" s="1"/>
      <c r="AA183" s="1"/>
      <c r="AB183" s="1"/>
      <c r="AC183" s="1"/>
      <c r="AD183" s="1">
        <f>IF($C183="",0,SUMPRODUCT((AY_SONU!$O$7:$O$42="Evet")*(AY_SONU!$B$7:$B$42=DATE(YEAR($C183),MONTH($C183),1))))</f>
        <v>0</v>
      </c>
      <c r="AE183" s="1" t="str">
        <f>IF($E183="","",$E183&amp;"|"&amp;COUNTIFS($E$7:$E183,$E183))</f>
        <v/>
      </c>
    </row>
    <row r="184" spans="1:31" ht="18" customHeight="1" x14ac:dyDescent="0.3">
      <c r="A184" s="2"/>
      <c r="B184" s="65" t="str">
        <f t="shared" si="18"/>
        <v/>
      </c>
      <c r="C184" s="66"/>
      <c r="D184" s="60"/>
      <c r="E184" s="61"/>
      <c r="F184" s="61"/>
      <c r="G184" s="67"/>
      <c r="H184" s="60"/>
      <c r="I184" s="60"/>
      <c r="J184" s="61"/>
      <c r="K184" s="61"/>
      <c r="L184" s="60"/>
      <c r="M184" s="74" t="str">
        <f t="shared" si="19"/>
        <v/>
      </c>
      <c r="N184" s="74" t="str">
        <f t="shared" si="20"/>
        <v/>
      </c>
      <c r="O184" s="73" t="str">
        <f t="shared" si="21"/>
        <v/>
      </c>
      <c r="P184" s="65" t="str">
        <f t="shared" ca="1" si="22"/>
        <v/>
      </c>
      <c r="Q184" s="2"/>
      <c r="R184" s="2"/>
      <c r="S184" s="1" t="str">
        <f t="shared" si="23"/>
        <v/>
      </c>
      <c r="T184" s="1" t="str">
        <f>IF(OR($C184="",$D184&lt;&gt;"Gelir",$L184=""),"",IFERROR(INDEX(MUSTERILER!$B$7:$B$156,MATCH($S184,MUSTERILER!$T$7:$T$156,0)),""))</f>
        <v/>
      </c>
      <c r="U184" s="1" t="str">
        <f>IF($T184="","",$T184&amp;"|"&amp;COUNTIFS($T$7:$T184,$T184))</f>
        <v/>
      </c>
      <c r="V184" s="1">
        <f t="shared" si="24"/>
        <v>0</v>
      </c>
      <c r="W184" s="1" t="str">
        <f t="shared" si="25"/>
        <v/>
      </c>
      <c r="X184" s="1"/>
      <c r="Y184" s="1"/>
      <c r="Z184" s="1"/>
      <c r="AA184" s="1"/>
      <c r="AB184" s="1"/>
      <c r="AC184" s="1"/>
      <c r="AD184" s="1">
        <f>IF($C184="",0,SUMPRODUCT((AY_SONU!$O$7:$O$42="Evet")*(AY_SONU!$B$7:$B$42=DATE(YEAR($C184),MONTH($C184),1))))</f>
        <v>0</v>
      </c>
      <c r="AE184" s="1" t="str">
        <f>IF($E184="","",$E184&amp;"|"&amp;COUNTIFS($E$7:$E184,$E184))</f>
        <v/>
      </c>
    </row>
    <row r="185" spans="1:31" ht="18" customHeight="1" x14ac:dyDescent="0.3">
      <c r="A185" s="2"/>
      <c r="B185" s="65" t="str">
        <f t="shared" si="18"/>
        <v/>
      </c>
      <c r="C185" s="66"/>
      <c r="D185" s="60"/>
      <c r="E185" s="61"/>
      <c r="F185" s="61"/>
      <c r="G185" s="67"/>
      <c r="H185" s="60"/>
      <c r="I185" s="60"/>
      <c r="J185" s="61"/>
      <c r="K185" s="61"/>
      <c r="L185" s="60"/>
      <c r="M185" s="74" t="str">
        <f t="shared" si="19"/>
        <v/>
      </c>
      <c r="N185" s="74" t="str">
        <f t="shared" si="20"/>
        <v/>
      </c>
      <c r="O185" s="73" t="str">
        <f t="shared" si="21"/>
        <v/>
      </c>
      <c r="P185" s="65" t="str">
        <f t="shared" ca="1" si="22"/>
        <v/>
      </c>
      <c r="Q185" s="2"/>
      <c r="R185" s="2"/>
      <c r="S185" s="1" t="str">
        <f t="shared" si="23"/>
        <v/>
      </c>
      <c r="T185" s="1" t="str">
        <f>IF(OR($C185="",$D185&lt;&gt;"Gelir",$L185=""),"",IFERROR(INDEX(MUSTERILER!$B$7:$B$156,MATCH($S185,MUSTERILER!$T$7:$T$156,0)),""))</f>
        <v/>
      </c>
      <c r="U185" s="1" t="str">
        <f>IF($T185="","",$T185&amp;"|"&amp;COUNTIFS($T$7:$T185,$T185))</f>
        <v/>
      </c>
      <c r="V185" s="1">
        <f t="shared" si="24"/>
        <v>0</v>
      </c>
      <c r="W185" s="1" t="str">
        <f t="shared" si="25"/>
        <v/>
      </c>
      <c r="X185" s="1"/>
      <c r="Y185" s="1"/>
      <c r="Z185" s="1"/>
      <c r="AA185" s="1"/>
      <c r="AB185" s="1"/>
      <c r="AC185" s="1"/>
      <c r="AD185" s="1">
        <f>IF($C185="",0,SUMPRODUCT((AY_SONU!$O$7:$O$42="Evet")*(AY_SONU!$B$7:$B$42=DATE(YEAR($C185),MONTH($C185),1))))</f>
        <v>0</v>
      </c>
      <c r="AE185" s="1" t="str">
        <f>IF($E185="","",$E185&amp;"|"&amp;COUNTIFS($E$7:$E185,$E185))</f>
        <v/>
      </c>
    </row>
    <row r="186" spans="1:31" ht="18" customHeight="1" x14ac:dyDescent="0.3">
      <c r="A186" s="2"/>
      <c r="B186" s="65" t="str">
        <f t="shared" si="18"/>
        <v/>
      </c>
      <c r="C186" s="66"/>
      <c r="D186" s="60"/>
      <c r="E186" s="61"/>
      <c r="F186" s="61"/>
      <c r="G186" s="67"/>
      <c r="H186" s="60"/>
      <c r="I186" s="60"/>
      <c r="J186" s="61"/>
      <c r="K186" s="61"/>
      <c r="L186" s="60"/>
      <c r="M186" s="74" t="str">
        <f t="shared" si="19"/>
        <v/>
      </c>
      <c r="N186" s="74" t="str">
        <f t="shared" si="20"/>
        <v/>
      </c>
      <c r="O186" s="73" t="str">
        <f t="shared" si="21"/>
        <v/>
      </c>
      <c r="P186" s="65" t="str">
        <f t="shared" ca="1" si="22"/>
        <v/>
      </c>
      <c r="Q186" s="2"/>
      <c r="R186" s="2"/>
      <c r="S186" s="1" t="str">
        <f t="shared" si="23"/>
        <v/>
      </c>
      <c r="T186" s="1" t="str">
        <f>IF(OR($C186="",$D186&lt;&gt;"Gelir",$L186=""),"",IFERROR(INDEX(MUSTERILER!$B$7:$B$156,MATCH($S186,MUSTERILER!$T$7:$T$156,0)),""))</f>
        <v/>
      </c>
      <c r="U186" s="1" t="str">
        <f>IF($T186="","",$T186&amp;"|"&amp;COUNTIFS($T$7:$T186,$T186))</f>
        <v/>
      </c>
      <c r="V186" s="1">
        <f t="shared" si="24"/>
        <v>0</v>
      </c>
      <c r="W186" s="1" t="str">
        <f t="shared" si="25"/>
        <v/>
      </c>
      <c r="X186" s="1"/>
      <c r="Y186" s="1"/>
      <c r="Z186" s="1"/>
      <c r="AA186" s="1"/>
      <c r="AB186" s="1"/>
      <c r="AC186" s="1"/>
      <c r="AD186" s="1">
        <f>IF($C186="",0,SUMPRODUCT((AY_SONU!$O$7:$O$42="Evet")*(AY_SONU!$B$7:$B$42=DATE(YEAR($C186),MONTH($C186),1))))</f>
        <v>0</v>
      </c>
      <c r="AE186" s="1" t="str">
        <f>IF($E186="","",$E186&amp;"|"&amp;COUNTIFS($E$7:$E186,$E186))</f>
        <v/>
      </c>
    </row>
    <row r="187" spans="1:31" ht="18" customHeight="1" x14ac:dyDescent="0.3">
      <c r="A187" s="2"/>
      <c r="B187" s="65" t="str">
        <f t="shared" si="18"/>
        <v/>
      </c>
      <c r="C187" s="66"/>
      <c r="D187" s="60"/>
      <c r="E187" s="61"/>
      <c r="F187" s="61"/>
      <c r="G187" s="67"/>
      <c r="H187" s="60"/>
      <c r="I187" s="60"/>
      <c r="J187" s="61"/>
      <c r="K187" s="61"/>
      <c r="L187" s="60"/>
      <c r="M187" s="74" t="str">
        <f t="shared" si="19"/>
        <v/>
      </c>
      <c r="N187" s="74" t="str">
        <f t="shared" si="20"/>
        <v/>
      </c>
      <c r="O187" s="73" t="str">
        <f t="shared" si="21"/>
        <v/>
      </c>
      <c r="P187" s="65" t="str">
        <f t="shared" ca="1" si="22"/>
        <v/>
      </c>
      <c r="Q187" s="2"/>
      <c r="R187" s="2"/>
      <c r="S187" s="1" t="str">
        <f t="shared" si="23"/>
        <v/>
      </c>
      <c r="T187" s="1" t="str">
        <f>IF(OR($C187="",$D187&lt;&gt;"Gelir",$L187=""),"",IFERROR(INDEX(MUSTERILER!$B$7:$B$156,MATCH($S187,MUSTERILER!$T$7:$T$156,0)),""))</f>
        <v/>
      </c>
      <c r="U187" s="1" t="str">
        <f>IF($T187="","",$T187&amp;"|"&amp;COUNTIFS($T$7:$T187,$T187))</f>
        <v/>
      </c>
      <c r="V187" s="1">
        <f t="shared" si="24"/>
        <v>0</v>
      </c>
      <c r="W187" s="1" t="str">
        <f t="shared" si="25"/>
        <v/>
      </c>
      <c r="X187" s="1"/>
      <c r="Y187" s="1"/>
      <c r="Z187" s="1"/>
      <c r="AA187" s="1"/>
      <c r="AB187" s="1"/>
      <c r="AC187" s="1"/>
      <c r="AD187" s="1">
        <f>IF($C187="",0,SUMPRODUCT((AY_SONU!$O$7:$O$42="Evet")*(AY_SONU!$B$7:$B$42=DATE(YEAR($C187),MONTH($C187),1))))</f>
        <v>0</v>
      </c>
      <c r="AE187" s="1" t="str">
        <f>IF($E187="","",$E187&amp;"|"&amp;COUNTIFS($E$7:$E187,$E187))</f>
        <v/>
      </c>
    </row>
    <row r="188" spans="1:31" ht="18" customHeight="1" x14ac:dyDescent="0.3">
      <c r="A188" s="2"/>
      <c r="B188" s="65" t="str">
        <f t="shared" si="18"/>
        <v/>
      </c>
      <c r="C188" s="66"/>
      <c r="D188" s="60"/>
      <c r="E188" s="61"/>
      <c r="F188" s="61"/>
      <c r="G188" s="67"/>
      <c r="H188" s="60"/>
      <c r="I188" s="60"/>
      <c r="J188" s="61"/>
      <c r="K188" s="61"/>
      <c r="L188" s="60"/>
      <c r="M188" s="74" t="str">
        <f t="shared" si="19"/>
        <v/>
      </c>
      <c r="N188" s="74" t="str">
        <f t="shared" si="20"/>
        <v/>
      </c>
      <c r="O188" s="73" t="str">
        <f t="shared" si="21"/>
        <v/>
      </c>
      <c r="P188" s="65" t="str">
        <f t="shared" ca="1" si="22"/>
        <v/>
      </c>
      <c r="Q188" s="2"/>
      <c r="R188" s="2"/>
      <c r="S188" s="1" t="str">
        <f t="shared" si="23"/>
        <v/>
      </c>
      <c r="T188" s="1" t="str">
        <f>IF(OR($C188="",$D188&lt;&gt;"Gelir",$L188=""),"",IFERROR(INDEX(MUSTERILER!$B$7:$B$156,MATCH($S188,MUSTERILER!$T$7:$T$156,0)),""))</f>
        <v/>
      </c>
      <c r="U188" s="1" t="str">
        <f>IF($T188="","",$T188&amp;"|"&amp;COUNTIFS($T$7:$T188,$T188))</f>
        <v/>
      </c>
      <c r="V188" s="1">
        <f t="shared" si="24"/>
        <v>0</v>
      </c>
      <c r="W188" s="1" t="str">
        <f t="shared" si="25"/>
        <v/>
      </c>
      <c r="X188" s="1"/>
      <c r="Y188" s="1"/>
      <c r="Z188" s="1"/>
      <c r="AA188" s="1"/>
      <c r="AB188" s="1"/>
      <c r="AC188" s="1"/>
      <c r="AD188" s="1">
        <f>IF($C188="",0,SUMPRODUCT((AY_SONU!$O$7:$O$42="Evet")*(AY_SONU!$B$7:$B$42=DATE(YEAR($C188),MONTH($C188),1))))</f>
        <v>0</v>
      </c>
      <c r="AE188" s="1" t="str">
        <f>IF($E188="","",$E188&amp;"|"&amp;COUNTIFS($E$7:$E188,$E188))</f>
        <v/>
      </c>
    </row>
    <row r="189" spans="1:31" ht="18" customHeight="1" x14ac:dyDescent="0.3">
      <c r="A189" s="2"/>
      <c r="B189" s="65" t="str">
        <f t="shared" si="18"/>
        <v/>
      </c>
      <c r="C189" s="66"/>
      <c r="D189" s="60"/>
      <c r="E189" s="61"/>
      <c r="F189" s="61"/>
      <c r="G189" s="67"/>
      <c r="H189" s="60"/>
      <c r="I189" s="60"/>
      <c r="J189" s="61"/>
      <c r="K189" s="61"/>
      <c r="L189" s="60"/>
      <c r="M189" s="74" t="str">
        <f t="shared" si="19"/>
        <v/>
      </c>
      <c r="N189" s="74" t="str">
        <f t="shared" si="20"/>
        <v/>
      </c>
      <c r="O189" s="73" t="str">
        <f t="shared" si="21"/>
        <v/>
      </c>
      <c r="P189" s="65" t="str">
        <f t="shared" ca="1" si="22"/>
        <v/>
      </c>
      <c r="Q189" s="2"/>
      <c r="R189" s="2"/>
      <c r="S189" s="1" t="str">
        <f t="shared" si="23"/>
        <v/>
      </c>
      <c r="T189" s="1" t="str">
        <f>IF(OR($C189="",$D189&lt;&gt;"Gelir",$L189=""),"",IFERROR(INDEX(MUSTERILER!$B$7:$B$156,MATCH($S189,MUSTERILER!$T$7:$T$156,0)),""))</f>
        <v/>
      </c>
      <c r="U189" s="1" t="str">
        <f>IF($T189="","",$T189&amp;"|"&amp;COUNTIFS($T$7:$T189,$T189))</f>
        <v/>
      </c>
      <c r="V189" s="1">
        <f t="shared" si="24"/>
        <v>0</v>
      </c>
      <c r="W189" s="1" t="str">
        <f t="shared" si="25"/>
        <v/>
      </c>
      <c r="X189" s="1"/>
      <c r="Y189" s="1"/>
      <c r="Z189" s="1"/>
      <c r="AA189" s="1"/>
      <c r="AB189" s="1"/>
      <c r="AC189" s="1"/>
      <c r="AD189" s="1">
        <f>IF($C189="",0,SUMPRODUCT((AY_SONU!$O$7:$O$42="Evet")*(AY_SONU!$B$7:$B$42=DATE(YEAR($C189),MONTH($C189),1))))</f>
        <v>0</v>
      </c>
      <c r="AE189" s="1" t="str">
        <f>IF($E189="","",$E189&amp;"|"&amp;COUNTIFS($E$7:$E189,$E189))</f>
        <v/>
      </c>
    </row>
    <row r="190" spans="1:31" ht="18" customHeight="1" x14ac:dyDescent="0.3">
      <c r="A190" s="2"/>
      <c r="B190" s="65" t="str">
        <f t="shared" si="18"/>
        <v/>
      </c>
      <c r="C190" s="66"/>
      <c r="D190" s="60"/>
      <c r="E190" s="61"/>
      <c r="F190" s="61"/>
      <c r="G190" s="67"/>
      <c r="H190" s="60"/>
      <c r="I190" s="60"/>
      <c r="J190" s="61"/>
      <c r="K190" s="61"/>
      <c r="L190" s="60"/>
      <c r="M190" s="74" t="str">
        <f t="shared" si="19"/>
        <v/>
      </c>
      <c r="N190" s="74" t="str">
        <f t="shared" si="20"/>
        <v/>
      </c>
      <c r="O190" s="73" t="str">
        <f t="shared" si="21"/>
        <v/>
      </c>
      <c r="P190" s="65" t="str">
        <f t="shared" ca="1" si="22"/>
        <v/>
      </c>
      <c r="Q190" s="2"/>
      <c r="R190" s="2"/>
      <c r="S190" s="1" t="str">
        <f t="shared" si="23"/>
        <v/>
      </c>
      <c r="T190" s="1" t="str">
        <f>IF(OR($C190="",$D190&lt;&gt;"Gelir",$L190=""),"",IFERROR(INDEX(MUSTERILER!$B$7:$B$156,MATCH($S190,MUSTERILER!$T$7:$T$156,0)),""))</f>
        <v/>
      </c>
      <c r="U190" s="1" t="str">
        <f>IF($T190="","",$T190&amp;"|"&amp;COUNTIFS($T$7:$T190,$T190))</f>
        <v/>
      </c>
      <c r="V190" s="1">
        <f t="shared" si="24"/>
        <v>0</v>
      </c>
      <c r="W190" s="1" t="str">
        <f t="shared" si="25"/>
        <v/>
      </c>
      <c r="X190" s="1"/>
      <c r="Y190" s="1"/>
      <c r="Z190" s="1"/>
      <c r="AA190" s="1"/>
      <c r="AB190" s="1"/>
      <c r="AC190" s="1"/>
      <c r="AD190" s="1">
        <f>IF($C190="",0,SUMPRODUCT((AY_SONU!$O$7:$O$42="Evet")*(AY_SONU!$B$7:$B$42=DATE(YEAR($C190),MONTH($C190),1))))</f>
        <v>0</v>
      </c>
      <c r="AE190" s="1" t="str">
        <f>IF($E190="","",$E190&amp;"|"&amp;COUNTIFS($E$7:$E190,$E190))</f>
        <v/>
      </c>
    </row>
    <row r="191" spans="1:31" ht="18" customHeight="1" x14ac:dyDescent="0.3">
      <c r="A191" s="2"/>
      <c r="B191" s="65" t="str">
        <f t="shared" si="18"/>
        <v/>
      </c>
      <c r="C191" s="66"/>
      <c r="D191" s="60"/>
      <c r="E191" s="61"/>
      <c r="F191" s="61"/>
      <c r="G191" s="67"/>
      <c r="H191" s="60"/>
      <c r="I191" s="60"/>
      <c r="J191" s="61"/>
      <c r="K191" s="61"/>
      <c r="L191" s="60"/>
      <c r="M191" s="74" t="str">
        <f t="shared" si="19"/>
        <v/>
      </c>
      <c r="N191" s="74" t="str">
        <f t="shared" si="20"/>
        <v/>
      </c>
      <c r="O191" s="73" t="str">
        <f t="shared" si="21"/>
        <v/>
      </c>
      <c r="P191" s="65" t="str">
        <f t="shared" ca="1" si="22"/>
        <v/>
      </c>
      <c r="Q191" s="2"/>
      <c r="R191" s="2"/>
      <c r="S191" s="1" t="str">
        <f t="shared" si="23"/>
        <v/>
      </c>
      <c r="T191" s="1" t="str">
        <f>IF(OR($C191="",$D191&lt;&gt;"Gelir",$L191=""),"",IFERROR(INDEX(MUSTERILER!$B$7:$B$156,MATCH($S191,MUSTERILER!$T$7:$T$156,0)),""))</f>
        <v/>
      </c>
      <c r="U191" s="1" t="str">
        <f>IF($T191="","",$T191&amp;"|"&amp;COUNTIFS($T$7:$T191,$T191))</f>
        <v/>
      </c>
      <c r="V191" s="1">
        <f t="shared" si="24"/>
        <v>0</v>
      </c>
      <c r="W191" s="1" t="str">
        <f t="shared" si="25"/>
        <v/>
      </c>
      <c r="X191" s="1"/>
      <c r="Y191" s="1"/>
      <c r="Z191" s="1"/>
      <c r="AA191" s="1"/>
      <c r="AB191" s="1"/>
      <c r="AC191" s="1"/>
      <c r="AD191" s="1">
        <f>IF($C191="",0,SUMPRODUCT((AY_SONU!$O$7:$O$42="Evet")*(AY_SONU!$B$7:$B$42=DATE(YEAR($C191),MONTH($C191),1))))</f>
        <v>0</v>
      </c>
      <c r="AE191" s="1" t="str">
        <f>IF($E191="","",$E191&amp;"|"&amp;COUNTIFS($E$7:$E191,$E191))</f>
        <v/>
      </c>
    </row>
    <row r="192" spans="1:31" ht="18" customHeight="1" x14ac:dyDescent="0.3">
      <c r="A192" s="2"/>
      <c r="B192" s="65" t="str">
        <f t="shared" si="18"/>
        <v/>
      </c>
      <c r="C192" s="66"/>
      <c r="D192" s="60"/>
      <c r="E192" s="61"/>
      <c r="F192" s="61"/>
      <c r="G192" s="67"/>
      <c r="H192" s="60"/>
      <c r="I192" s="60"/>
      <c r="J192" s="61"/>
      <c r="K192" s="61"/>
      <c r="L192" s="60"/>
      <c r="M192" s="74" t="str">
        <f t="shared" si="19"/>
        <v/>
      </c>
      <c r="N192" s="74" t="str">
        <f t="shared" si="20"/>
        <v/>
      </c>
      <c r="O192" s="73" t="str">
        <f t="shared" si="21"/>
        <v/>
      </c>
      <c r="P192" s="65" t="str">
        <f t="shared" ca="1" si="22"/>
        <v/>
      </c>
      <c r="Q192" s="2"/>
      <c r="R192" s="2"/>
      <c r="S192" s="1" t="str">
        <f t="shared" si="23"/>
        <v/>
      </c>
      <c r="T192" s="1" t="str">
        <f>IF(OR($C192="",$D192&lt;&gt;"Gelir",$L192=""),"",IFERROR(INDEX(MUSTERILER!$B$7:$B$156,MATCH($S192,MUSTERILER!$T$7:$T$156,0)),""))</f>
        <v/>
      </c>
      <c r="U192" s="1" t="str">
        <f>IF($T192="","",$T192&amp;"|"&amp;COUNTIFS($T$7:$T192,$T192))</f>
        <v/>
      </c>
      <c r="V192" s="1">
        <f t="shared" si="24"/>
        <v>0</v>
      </c>
      <c r="W192" s="1" t="str">
        <f t="shared" si="25"/>
        <v/>
      </c>
      <c r="X192" s="1"/>
      <c r="Y192" s="1"/>
      <c r="Z192" s="1"/>
      <c r="AA192" s="1"/>
      <c r="AB192" s="1"/>
      <c r="AC192" s="1"/>
      <c r="AD192" s="1">
        <f>IF($C192="",0,SUMPRODUCT((AY_SONU!$O$7:$O$42="Evet")*(AY_SONU!$B$7:$B$42=DATE(YEAR($C192),MONTH($C192),1))))</f>
        <v>0</v>
      </c>
      <c r="AE192" s="1" t="str">
        <f>IF($E192="","",$E192&amp;"|"&amp;COUNTIFS($E$7:$E192,$E192))</f>
        <v/>
      </c>
    </row>
    <row r="193" spans="1:31" ht="18" customHeight="1" x14ac:dyDescent="0.3">
      <c r="A193" s="2"/>
      <c r="B193" s="65" t="str">
        <f t="shared" si="18"/>
        <v/>
      </c>
      <c r="C193" s="66"/>
      <c r="D193" s="60"/>
      <c r="E193" s="61"/>
      <c r="F193" s="61"/>
      <c r="G193" s="67"/>
      <c r="H193" s="60"/>
      <c r="I193" s="60"/>
      <c r="J193" s="61"/>
      <c r="K193" s="61"/>
      <c r="L193" s="60"/>
      <c r="M193" s="74" t="str">
        <f t="shared" si="19"/>
        <v/>
      </c>
      <c r="N193" s="74" t="str">
        <f t="shared" si="20"/>
        <v/>
      </c>
      <c r="O193" s="73" t="str">
        <f t="shared" si="21"/>
        <v/>
      </c>
      <c r="P193" s="65" t="str">
        <f t="shared" ca="1" si="22"/>
        <v/>
      </c>
      <c r="Q193" s="2"/>
      <c r="R193" s="2"/>
      <c r="S193" s="1" t="str">
        <f t="shared" si="23"/>
        <v/>
      </c>
      <c r="T193" s="1" t="str">
        <f>IF(OR($C193="",$D193&lt;&gt;"Gelir",$L193=""),"",IFERROR(INDEX(MUSTERILER!$B$7:$B$156,MATCH($S193,MUSTERILER!$T$7:$T$156,0)),""))</f>
        <v/>
      </c>
      <c r="U193" s="1" t="str">
        <f>IF($T193="","",$T193&amp;"|"&amp;COUNTIFS($T$7:$T193,$T193))</f>
        <v/>
      </c>
      <c r="V193" s="1">
        <f t="shared" si="24"/>
        <v>0</v>
      </c>
      <c r="W193" s="1" t="str">
        <f t="shared" si="25"/>
        <v/>
      </c>
      <c r="X193" s="1"/>
      <c r="Y193" s="1"/>
      <c r="Z193" s="1"/>
      <c r="AA193" s="1"/>
      <c r="AB193" s="1"/>
      <c r="AC193" s="1"/>
      <c r="AD193" s="1">
        <f>IF($C193="",0,SUMPRODUCT((AY_SONU!$O$7:$O$42="Evet")*(AY_SONU!$B$7:$B$42=DATE(YEAR($C193),MONTH($C193),1))))</f>
        <v>0</v>
      </c>
      <c r="AE193" s="1" t="str">
        <f>IF($E193="","",$E193&amp;"|"&amp;COUNTIFS($E$7:$E193,$E193))</f>
        <v/>
      </c>
    </row>
    <row r="194" spans="1:31" ht="18" customHeight="1" x14ac:dyDescent="0.3">
      <c r="A194" s="2"/>
      <c r="B194" s="65" t="str">
        <f t="shared" si="18"/>
        <v/>
      </c>
      <c r="C194" s="66"/>
      <c r="D194" s="60"/>
      <c r="E194" s="61"/>
      <c r="F194" s="61"/>
      <c r="G194" s="67"/>
      <c r="H194" s="60"/>
      <c r="I194" s="60"/>
      <c r="J194" s="61"/>
      <c r="K194" s="61"/>
      <c r="L194" s="60"/>
      <c r="M194" s="74" t="str">
        <f t="shared" si="19"/>
        <v/>
      </c>
      <c r="N194" s="74" t="str">
        <f t="shared" si="20"/>
        <v/>
      </c>
      <c r="O194" s="73" t="str">
        <f t="shared" si="21"/>
        <v/>
      </c>
      <c r="P194" s="65" t="str">
        <f t="shared" ca="1" si="22"/>
        <v/>
      </c>
      <c r="Q194" s="2"/>
      <c r="R194" s="2"/>
      <c r="S194" s="1" t="str">
        <f t="shared" si="23"/>
        <v/>
      </c>
      <c r="T194" s="1" t="str">
        <f>IF(OR($C194="",$D194&lt;&gt;"Gelir",$L194=""),"",IFERROR(INDEX(MUSTERILER!$B$7:$B$156,MATCH($S194,MUSTERILER!$T$7:$T$156,0)),""))</f>
        <v/>
      </c>
      <c r="U194" s="1" t="str">
        <f>IF($T194="","",$T194&amp;"|"&amp;COUNTIFS($T$7:$T194,$T194))</f>
        <v/>
      </c>
      <c r="V194" s="1">
        <f t="shared" si="24"/>
        <v>0</v>
      </c>
      <c r="W194" s="1" t="str">
        <f t="shared" si="25"/>
        <v/>
      </c>
      <c r="X194" s="1"/>
      <c r="Y194" s="1"/>
      <c r="Z194" s="1"/>
      <c r="AA194" s="1"/>
      <c r="AB194" s="1"/>
      <c r="AC194" s="1"/>
      <c r="AD194" s="1">
        <f>IF($C194="",0,SUMPRODUCT((AY_SONU!$O$7:$O$42="Evet")*(AY_SONU!$B$7:$B$42=DATE(YEAR($C194),MONTH($C194),1))))</f>
        <v>0</v>
      </c>
      <c r="AE194" s="1" t="str">
        <f>IF($E194="","",$E194&amp;"|"&amp;COUNTIFS($E$7:$E194,$E194))</f>
        <v/>
      </c>
    </row>
    <row r="195" spans="1:31" ht="18" customHeight="1" x14ac:dyDescent="0.3">
      <c r="A195" s="2"/>
      <c r="B195" s="65" t="str">
        <f t="shared" si="18"/>
        <v/>
      </c>
      <c r="C195" s="66"/>
      <c r="D195" s="60"/>
      <c r="E195" s="61"/>
      <c r="F195" s="61"/>
      <c r="G195" s="67"/>
      <c r="H195" s="60"/>
      <c r="I195" s="60"/>
      <c r="J195" s="61"/>
      <c r="K195" s="61"/>
      <c r="L195" s="60"/>
      <c r="M195" s="74" t="str">
        <f t="shared" si="19"/>
        <v/>
      </c>
      <c r="N195" s="74" t="str">
        <f t="shared" si="20"/>
        <v/>
      </c>
      <c r="O195" s="73" t="str">
        <f t="shared" si="21"/>
        <v/>
      </c>
      <c r="P195" s="65" t="str">
        <f t="shared" ca="1" si="22"/>
        <v/>
      </c>
      <c r="Q195" s="2"/>
      <c r="R195" s="2"/>
      <c r="S195" s="1" t="str">
        <f t="shared" si="23"/>
        <v/>
      </c>
      <c r="T195" s="1" t="str">
        <f>IF(OR($C195="",$D195&lt;&gt;"Gelir",$L195=""),"",IFERROR(INDEX(MUSTERILER!$B$7:$B$156,MATCH($S195,MUSTERILER!$T$7:$T$156,0)),""))</f>
        <v/>
      </c>
      <c r="U195" s="1" t="str">
        <f>IF($T195="","",$T195&amp;"|"&amp;COUNTIFS($T$7:$T195,$T195))</f>
        <v/>
      </c>
      <c r="V195" s="1">
        <f t="shared" si="24"/>
        <v>0</v>
      </c>
      <c r="W195" s="1" t="str">
        <f t="shared" si="25"/>
        <v/>
      </c>
      <c r="X195" s="1"/>
      <c r="Y195" s="1"/>
      <c r="Z195" s="1"/>
      <c r="AA195" s="1"/>
      <c r="AB195" s="1"/>
      <c r="AC195" s="1"/>
      <c r="AD195" s="1">
        <f>IF($C195="",0,SUMPRODUCT((AY_SONU!$O$7:$O$42="Evet")*(AY_SONU!$B$7:$B$42=DATE(YEAR($C195),MONTH($C195),1))))</f>
        <v>0</v>
      </c>
      <c r="AE195" s="1" t="str">
        <f>IF($E195="","",$E195&amp;"|"&amp;COUNTIFS($E$7:$E195,$E195))</f>
        <v/>
      </c>
    </row>
    <row r="196" spans="1:31" ht="18" customHeight="1" x14ac:dyDescent="0.3">
      <c r="A196" s="2"/>
      <c r="B196" s="65" t="str">
        <f t="shared" si="18"/>
        <v/>
      </c>
      <c r="C196" s="66"/>
      <c r="D196" s="60"/>
      <c r="E196" s="61"/>
      <c r="F196" s="61"/>
      <c r="G196" s="67"/>
      <c r="H196" s="60"/>
      <c r="I196" s="60"/>
      <c r="J196" s="61"/>
      <c r="K196" s="61"/>
      <c r="L196" s="60"/>
      <c r="M196" s="74" t="str">
        <f t="shared" si="19"/>
        <v/>
      </c>
      <c r="N196" s="74" t="str">
        <f t="shared" si="20"/>
        <v/>
      </c>
      <c r="O196" s="73" t="str">
        <f t="shared" si="21"/>
        <v/>
      </c>
      <c r="P196" s="65" t="str">
        <f t="shared" ca="1" si="22"/>
        <v/>
      </c>
      <c r="Q196" s="2"/>
      <c r="R196" s="2"/>
      <c r="S196" s="1" t="str">
        <f t="shared" si="23"/>
        <v/>
      </c>
      <c r="T196" s="1" t="str">
        <f>IF(OR($C196="",$D196&lt;&gt;"Gelir",$L196=""),"",IFERROR(INDEX(MUSTERILER!$B$7:$B$156,MATCH($S196,MUSTERILER!$T$7:$T$156,0)),""))</f>
        <v/>
      </c>
      <c r="U196" s="1" t="str">
        <f>IF($T196="","",$T196&amp;"|"&amp;COUNTIFS($T$7:$T196,$T196))</f>
        <v/>
      </c>
      <c r="V196" s="1">
        <f t="shared" si="24"/>
        <v>0</v>
      </c>
      <c r="W196" s="1" t="str">
        <f t="shared" si="25"/>
        <v/>
      </c>
      <c r="X196" s="1"/>
      <c r="Y196" s="1"/>
      <c r="Z196" s="1"/>
      <c r="AA196" s="1"/>
      <c r="AB196" s="1"/>
      <c r="AC196" s="1"/>
      <c r="AD196" s="1">
        <f>IF($C196="",0,SUMPRODUCT((AY_SONU!$O$7:$O$42="Evet")*(AY_SONU!$B$7:$B$42=DATE(YEAR($C196),MONTH($C196),1))))</f>
        <v>0</v>
      </c>
      <c r="AE196" s="1" t="str">
        <f>IF($E196="","",$E196&amp;"|"&amp;COUNTIFS($E$7:$E196,$E196))</f>
        <v/>
      </c>
    </row>
    <row r="197" spans="1:31" ht="18" customHeight="1" x14ac:dyDescent="0.3">
      <c r="A197" s="2"/>
      <c r="B197" s="65" t="str">
        <f t="shared" si="18"/>
        <v/>
      </c>
      <c r="C197" s="66"/>
      <c r="D197" s="60"/>
      <c r="E197" s="61"/>
      <c r="F197" s="61"/>
      <c r="G197" s="67"/>
      <c r="H197" s="60"/>
      <c r="I197" s="60"/>
      <c r="J197" s="61"/>
      <c r="K197" s="61"/>
      <c r="L197" s="60"/>
      <c r="M197" s="74" t="str">
        <f t="shared" si="19"/>
        <v/>
      </c>
      <c r="N197" s="74" t="str">
        <f t="shared" si="20"/>
        <v/>
      </c>
      <c r="O197" s="73" t="str">
        <f t="shared" si="21"/>
        <v/>
      </c>
      <c r="P197" s="65" t="str">
        <f t="shared" ca="1" si="22"/>
        <v/>
      </c>
      <c r="Q197" s="2"/>
      <c r="R197" s="2"/>
      <c r="S197" s="1" t="str">
        <f t="shared" si="23"/>
        <v/>
      </c>
      <c r="T197" s="1" t="str">
        <f>IF(OR($C197="",$D197&lt;&gt;"Gelir",$L197=""),"",IFERROR(INDEX(MUSTERILER!$B$7:$B$156,MATCH($S197,MUSTERILER!$T$7:$T$156,0)),""))</f>
        <v/>
      </c>
      <c r="U197" s="1" t="str">
        <f>IF($T197="","",$T197&amp;"|"&amp;COUNTIFS($T$7:$T197,$T197))</f>
        <v/>
      </c>
      <c r="V197" s="1">
        <f t="shared" si="24"/>
        <v>0</v>
      </c>
      <c r="W197" s="1" t="str">
        <f t="shared" si="25"/>
        <v/>
      </c>
      <c r="X197" s="1"/>
      <c r="Y197" s="1"/>
      <c r="Z197" s="1"/>
      <c r="AA197" s="1"/>
      <c r="AB197" s="1"/>
      <c r="AC197" s="1"/>
      <c r="AD197" s="1">
        <f>IF($C197="",0,SUMPRODUCT((AY_SONU!$O$7:$O$42="Evet")*(AY_SONU!$B$7:$B$42=DATE(YEAR($C197),MONTH($C197),1))))</f>
        <v>0</v>
      </c>
      <c r="AE197" s="1" t="str">
        <f>IF($E197="","",$E197&amp;"|"&amp;COUNTIFS($E$7:$E197,$E197))</f>
        <v/>
      </c>
    </row>
    <row r="198" spans="1:31" ht="18" customHeight="1" x14ac:dyDescent="0.3">
      <c r="A198" s="2"/>
      <c r="B198" s="65" t="str">
        <f t="shared" si="18"/>
        <v/>
      </c>
      <c r="C198" s="66"/>
      <c r="D198" s="60"/>
      <c r="E198" s="61"/>
      <c r="F198" s="61"/>
      <c r="G198" s="67"/>
      <c r="H198" s="60"/>
      <c r="I198" s="60"/>
      <c r="J198" s="61"/>
      <c r="K198" s="61"/>
      <c r="L198" s="60"/>
      <c r="M198" s="74" t="str">
        <f t="shared" si="19"/>
        <v/>
      </c>
      <c r="N198" s="74" t="str">
        <f t="shared" si="20"/>
        <v/>
      </c>
      <c r="O198" s="73" t="str">
        <f t="shared" si="21"/>
        <v/>
      </c>
      <c r="P198" s="65" t="str">
        <f t="shared" ca="1" si="22"/>
        <v/>
      </c>
      <c r="Q198" s="2"/>
      <c r="R198" s="2"/>
      <c r="S198" s="1" t="str">
        <f t="shared" si="23"/>
        <v/>
      </c>
      <c r="T198" s="1" t="str">
        <f>IF(OR($C198="",$D198&lt;&gt;"Gelir",$L198=""),"",IFERROR(INDEX(MUSTERILER!$B$7:$B$156,MATCH($S198,MUSTERILER!$T$7:$T$156,0)),""))</f>
        <v/>
      </c>
      <c r="U198" s="1" t="str">
        <f>IF($T198="","",$T198&amp;"|"&amp;COUNTIFS($T$7:$T198,$T198))</f>
        <v/>
      </c>
      <c r="V198" s="1">
        <f t="shared" si="24"/>
        <v>0</v>
      </c>
      <c r="W198" s="1" t="str">
        <f t="shared" si="25"/>
        <v/>
      </c>
      <c r="X198" s="1"/>
      <c r="Y198" s="1"/>
      <c r="Z198" s="1"/>
      <c r="AA198" s="1"/>
      <c r="AB198" s="1"/>
      <c r="AC198" s="1"/>
      <c r="AD198" s="1">
        <f>IF($C198="",0,SUMPRODUCT((AY_SONU!$O$7:$O$42="Evet")*(AY_SONU!$B$7:$B$42=DATE(YEAR($C198),MONTH($C198),1))))</f>
        <v>0</v>
      </c>
      <c r="AE198" s="1" t="str">
        <f>IF($E198="","",$E198&amp;"|"&amp;COUNTIFS($E$7:$E198,$E198))</f>
        <v/>
      </c>
    </row>
    <row r="199" spans="1:31" ht="18" customHeight="1" x14ac:dyDescent="0.3">
      <c r="A199" s="2"/>
      <c r="B199" s="65" t="str">
        <f t="shared" ref="B199:B262" si="26">IF($C199="","","GG"&amp;TEXT(ROW()-6,"00000"))</f>
        <v/>
      </c>
      <c r="C199" s="66"/>
      <c r="D199" s="60"/>
      <c r="E199" s="61"/>
      <c r="F199" s="61"/>
      <c r="G199" s="67"/>
      <c r="H199" s="60"/>
      <c r="I199" s="60"/>
      <c r="J199" s="61"/>
      <c r="K199" s="61"/>
      <c r="L199" s="60"/>
      <c r="M199" s="74" t="str">
        <f t="shared" ref="M199:M262" si="27">IF($C199="","",IF($D199="Gider",$E199,IF($L199&lt;&gt;"",$L199,$H199)))</f>
        <v/>
      </c>
      <c r="N199" s="74" t="str">
        <f t="shared" ref="N199:N262" si="28">IF($C199="","",IF($D199="Gider",$H199,$E199))</f>
        <v/>
      </c>
      <c r="O199" s="73" t="str">
        <f t="shared" ref="O199:O262" si="29">IF($C199="","",DATE(YEAR($C199),MONTH($C199),1))</f>
        <v/>
      </c>
      <c r="P199" s="65" t="str">
        <f t="shared" ref="P199:P262" ca="1" si="30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TARİH",IF(COUNTIF($W$7:$W$3006,$W199)&gt;1,"MÜKERRER?",IF($AD199&gt;0,"KAPALI DÖNEM",IF($I199="Hayır","ÖDENECEK","UYGUN")))),"EKSİK"))))</f>
        <v/>
      </c>
      <c r="Q199" s="2"/>
      <c r="R199" s="2"/>
      <c r="S199" s="1" t="str">
        <f t="shared" ref="S199:S262" si="31"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1" t="str">
        <f>IF(OR($C199="",$D199&lt;&gt;"Gelir",$L199=""),"",IFERROR(INDEX(MUSTERILER!$B$7:$B$156,MATCH($S199,MUSTERILER!$T$7:$T$156,0)),""))</f>
        <v/>
      </c>
      <c r="U199" s="1" t="str">
        <f>IF($T199="","",$T199&amp;"|"&amp;COUNTIFS($T$7:$T199,$T199))</f>
        <v/>
      </c>
      <c r="V199" s="1">
        <f t="shared" ref="V199:V262" si="32">IF($T199="",0,1)</f>
        <v>0</v>
      </c>
      <c r="W199" s="1" t="str">
        <f t="shared" ref="W199:W262" si="33">IF($C199="","",$D199&amp;"|"&amp;$E199&amp;"|"&amp;TEXT($C199,"0")&amp;"|"&amp;TEXT($G199,"0")&amp;"|"&amp;$J199)</f>
        <v/>
      </c>
      <c r="X199" s="1"/>
      <c r="Y199" s="1"/>
      <c r="Z199" s="1"/>
      <c r="AA199" s="1"/>
      <c r="AB199" s="1"/>
      <c r="AC199" s="1"/>
      <c r="AD199" s="1">
        <f>IF($C199="",0,SUMPRODUCT((AY_SONU!$O$7:$O$42="Evet")*(AY_SONU!$B$7:$B$42=DATE(YEAR($C199),MONTH($C199),1))))</f>
        <v>0</v>
      </c>
      <c r="AE199" s="1" t="str">
        <f>IF($E199="","",$E199&amp;"|"&amp;COUNTIFS($E$7:$E199,$E199))</f>
        <v/>
      </c>
    </row>
    <row r="200" spans="1:31" ht="18" customHeight="1" x14ac:dyDescent="0.3">
      <c r="A200" s="2"/>
      <c r="B200" s="65" t="str">
        <f t="shared" si="26"/>
        <v/>
      </c>
      <c r="C200" s="66"/>
      <c r="D200" s="60"/>
      <c r="E200" s="61"/>
      <c r="F200" s="61"/>
      <c r="G200" s="67"/>
      <c r="H200" s="60"/>
      <c r="I200" s="60"/>
      <c r="J200" s="61"/>
      <c r="K200" s="61"/>
      <c r="L200" s="60"/>
      <c r="M200" s="74" t="str">
        <f t="shared" si="27"/>
        <v/>
      </c>
      <c r="N200" s="74" t="str">
        <f t="shared" si="28"/>
        <v/>
      </c>
      <c r="O200" s="73" t="str">
        <f t="shared" si="29"/>
        <v/>
      </c>
      <c r="P200" s="65" t="str">
        <f t="shared" ca="1" si="30"/>
        <v/>
      </c>
      <c r="Q200" s="2"/>
      <c r="R200" s="2"/>
      <c r="S200" s="1" t="str">
        <f t="shared" si="31"/>
        <v/>
      </c>
      <c r="T200" s="1" t="str">
        <f>IF(OR($C200="",$D200&lt;&gt;"Gelir",$L200=""),"",IFERROR(INDEX(MUSTERILER!$B$7:$B$156,MATCH($S200,MUSTERILER!$T$7:$T$156,0)),""))</f>
        <v/>
      </c>
      <c r="U200" s="1" t="str">
        <f>IF($T200="","",$T200&amp;"|"&amp;COUNTIFS($T$7:$T200,$T200))</f>
        <v/>
      </c>
      <c r="V200" s="1">
        <f t="shared" si="32"/>
        <v>0</v>
      </c>
      <c r="W200" s="1" t="str">
        <f t="shared" si="33"/>
        <v/>
      </c>
      <c r="X200" s="1"/>
      <c r="Y200" s="1"/>
      <c r="Z200" s="1"/>
      <c r="AA200" s="1"/>
      <c r="AB200" s="1"/>
      <c r="AC200" s="1"/>
      <c r="AD200" s="1">
        <f>IF($C200="",0,SUMPRODUCT((AY_SONU!$O$7:$O$42="Evet")*(AY_SONU!$B$7:$B$42=DATE(YEAR($C200),MONTH($C200),1))))</f>
        <v>0</v>
      </c>
      <c r="AE200" s="1" t="str">
        <f>IF($E200="","",$E200&amp;"|"&amp;COUNTIFS($E$7:$E200,$E200))</f>
        <v/>
      </c>
    </row>
    <row r="201" spans="1:31" ht="18" customHeight="1" x14ac:dyDescent="0.3">
      <c r="A201" s="2"/>
      <c r="B201" s="65" t="str">
        <f t="shared" si="26"/>
        <v/>
      </c>
      <c r="C201" s="66"/>
      <c r="D201" s="60"/>
      <c r="E201" s="61"/>
      <c r="F201" s="61"/>
      <c r="G201" s="67"/>
      <c r="H201" s="60"/>
      <c r="I201" s="60"/>
      <c r="J201" s="61"/>
      <c r="K201" s="61"/>
      <c r="L201" s="60"/>
      <c r="M201" s="74" t="str">
        <f t="shared" si="27"/>
        <v/>
      </c>
      <c r="N201" s="74" t="str">
        <f t="shared" si="28"/>
        <v/>
      </c>
      <c r="O201" s="73" t="str">
        <f t="shared" si="29"/>
        <v/>
      </c>
      <c r="P201" s="65" t="str">
        <f t="shared" ca="1" si="30"/>
        <v/>
      </c>
      <c r="Q201" s="2"/>
      <c r="R201" s="2"/>
      <c r="S201" s="1" t="str">
        <f t="shared" si="31"/>
        <v/>
      </c>
      <c r="T201" s="1" t="str">
        <f>IF(OR($C201="",$D201&lt;&gt;"Gelir",$L201=""),"",IFERROR(INDEX(MUSTERILER!$B$7:$B$156,MATCH($S201,MUSTERILER!$T$7:$T$156,0)),""))</f>
        <v/>
      </c>
      <c r="U201" s="1" t="str">
        <f>IF($T201="","",$T201&amp;"|"&amp;COUNTIFS($T$7:$T201,$T201))</f>
        <v/>
      </c>
      <c r="V201" s="1">
        <f t="shared" si="32"/>
        <v>0</v>
      </c>
      <c r="W201" s="1" t="str">
        <f t="shared" si="33"/>
        <v/>
      </c>
      <c r="X201" s="1"/>
      <c r="Y201" s="1"/>
      <c r="Z201" s="1"/>
      <c r="AA201" s="1"/>
      <c r="AB201" s="1"/>
      <c r="AC201" s="1"/>
      <c r="AD201" s="1">
        <f>IF($C201="",0,SUMPRODUCT((AY_SONU!$O$7:$O$42="Evet")*(AY_SONU!$B$7:$B$42=DATE(YEAR($C201),MONTH($C201),1))))</f>
        <v>0</v>
      </c>
      <c r="AE201" s="1" t="str">
        <f>IF($E201="","",$E201&amp;"|"&amp;COUNTIFS($E$7:$E201,$E201))</f>
        <v/>
      </c>
    </row>
    <row r="202" spans="1:31" ht="18" customHeight="1" x14ac:dyDescent="0.3">
      <c r="A202" s="2"/>
      <c r="B202" s="65" t="str">
        <f t="shared" si="26"/>
        <v/>
      </c>
      <c r="C202" s="66"/>
      <c r="D202" s="60"/>
      <c r="E202" s="61"/>
      <c r="F202" s="61"/>
      <c r="G202" s="67"/>
      <c r="H202" s="60"/>
      <c r="I202" s="60"/>
      <c r="J202" s="61"/>
      <c r="K202" s="61"/>
      <c r="L202" s="60"/>
      <c r="M202" s="74" t="str">
        <f t="shared" si="27"/>
        <v/>
      </c>
      <c r="N202" s="74" t="str">
        <f t="shared" si="28"/>
        <v/>
      </c>
      <c r="O202" s="73" t="str">
        <f t="shared" si="29"/>
        <v/>
      </c>
      <c r="P202" s="65" t="str">
        <f t="shared" ca="1" si="30"/>
        <v/>
      </c>
      <c r="Q202" s="2"/>
      <c r="R202" s="2"/>
      <c r="S202" s="1" t="str">
        <f t="shared" si="31"/>
        <v/>
      </c>
      <c r="T202" s="1" t="str">
        <f>IF(OR($C202="",$D202&lt;&gt;"Gelir",$L202=""),"",IFERROR(INDEX(MUSTERILER!$B$7:$B$156,MATCH($S202,MUSTERILER!$T$7:$T$156,0)),""))</f>
        <v/>
      </c>
      <c r="U202" s="1" t="str">
        <f>IF($T202="","",$T202&amp;"|"&amp;COUNTIFS($T$7:$T202,$T202))</f>
        <v/>
      </c>
      <c r="V202" s="1">
        <f t="shared" si="32"/>
        <v>0</v>
      </c>
      <c r="W202" s="1" t="str">
        <f t="shared" si="33"/>
        <v/>
      </c>
      <c r="X202" s="1"/>
      <c r="Y202" s="1"/>
      <c r="Z202" s="1"/>
      <c r="AA202" s="1"/>
      <c r="AB202" s="1"/>
      <c r="AC202" s="1"/>
      <c r="AD202" s="1">
        <f>IF($C202="",0,SUMPRODUCT((AY_SONU!$O$7:$O$42="Evet")*(AY_SONU!$B$7:$B$42=DATE(YEAR($C202),MONTH($C202),1))))</f>
        <v>0</v>
      </c>
      <c r="AE202" s="1" t="str">
        <f>IF($E202="","",$E202&amp;"|"&amp;COUNTIFS($E$7:$E202,$E202))</f>
        <v/>
      </c>
    </row>
    <row r="203" spans="1:31" ht="18" customHeight="1" x14ac:dyDescent="0.3">
      <c r="A203" s="2"/>
      <c r="B203" s="65" t="str">
        <f t="shared" si="26"/>
        <v/>
      </c>
      <c r="C203" s="66"/>
      <c r="D203" s="60"/>
      <c r="E203" s="61"/>
      <c r="F203" s="61"/>
      <c r="G203" s="67"/>
      <c r="H203" s="60"/>
      <c r="I203" s="60"/>
      <c r="J203" s="61"/>
      <c r="K203" s="61"/>
      <c r="L203" s="60"/>
      <c r="M203" s="74" t="str">
        <f t="shared" si="27"/>
        <v/>
      </c>
      <c r="N203" s="74" t="str">
        <f t="shared" si="28"/>
        <v/>
      </c>
      <c r="O203" s="73" t="str">
        <f t="shared" si="29"/>
        <v/>
      </c>
      <c r="P203" s="65" t="str">
        <f t="shared" ca="1" si="30"/>
        <v/>
      </c>
      <c r="Q203" s="2"/>
      <c r="R203" s="2"/>
      <c r="S203" s="1" t="str">
        <f t="shared" si="31"/>
        <v/>
      </c>
      <c r="T203" s="1" t="str">
        <f>IF(OR($C203="",$D203&lt;&gt;"Gelir",$L203=""),"",IFERROR(INDEX(MUSTERILER!$B$7:$B$156,MATCH($S203,MUSTERILER!$T$7:$T$156,0)),""))</f>
        <v/>
      </c>
      <c r="U203" s="1" t="str">
        <f>IF($T203="","",$T203&amp;"|"&amp;COUNTIFS($T$7:$T203,$T203))</f>
        <v/>
      </c>
      <c r="V203" s="1">
        <f t="shared" si="32"/>
        <v>0</v>
      </c>
      <c r="W203" s="1" t="str">
        <f t="shared" si="33"/>
        <v/>
      </c>
      <c r="X203" s="1"/>
      <c r="Y203" s="1"/>
      <c r="Z203" s="1"/>
      <c r="AA203" s="1"/>
      <c r="AB203" s="1"/>
      <c r="AC203" s="1"/>
      <c r="AD203" s="1">
        <f>IF($C203="",0,SUMPRODUCT((AY_SONU!$O$7:$O$42="Evet")*(AY_SONU!$B$7:$B$42=DATE(YEAR($C203),MONTH($C203),1))))</f>
        <v>0</v>
      </c>
      <c r="AE203" s="1" t="str">
        <f>IF($E203="","",$E203&amp;"|"&amp;COUNTIFS($E$7:$E203,$E203))</f>
        <v/>
      </c>
    </row>
    <row r="204" spans="1:31" ht="18" customHeight="1" x14ac:dyDescent="0.3">
      <c r="A204" s="2"/>
      <c r="B204" s="65" t="str">
        <f t="shared" si="26"/>
        <v/>
      </c>
      <c r="C204" s="66"/>
      <c r="D204" s="60"/>
      <c r="E204" s="61"/>
      <c r="F204" s="61"/>
      <c r="G204" s="67"/>
      <c r="H204" s="60"/>
      <c r="I204" s="60"/>
      <c r="J204" s="61"/>
      <c r="K204" s="61"/>
      <c r="L204" s="60"/>
      <c r="M204" s="74" t="str">
        <f t="shared" si="27"/>
        <v/>
      </c>
      <c r="N204" s="74" t="str">
        <f t="shared" si="28"/>
        <v/>
      </c>
      <c r="O204" s="73" t="str">
        <f t="shared" si="29"/>
        <v/>
      </c>
      <c r="P204" s="65" t="str">
        <f t="shared" ca="1" si="30"/>
        <v/>
      </c>
      <c r="Q204" s="2"/>
      <c r="R204" s="2"/>
      <c r="S204" s="1" t="str">
        <f t="shared" si="31"/>
        <v/>
      </c>
      <c r="T204" s="1" t="str">
        <f>IF(OR($C204="",$D204&lt;&gt;"Gelir",$L204=""),"",IFERROR(INDEX(MUSTERILER!$B$7:$B$156,MATCH($S204,MUSTERILER!$T$7:$T$156,0)),""))</f>
        <v/>
      </c>
      <c r="U204" s="1" t="str">
        <f>IF($T204="","",$T204&amp;"|"&amp;COUNTIFS($T$7:$T204,$T204))</f>
        <v/>
      </c>
      <c r="V204" s="1">
        <f t="shared" si="32"/>
        <v>0</v>
      </c>
      <c r="W204" s="1" t="str">
        <f t="shared" si="33"/>
        <v/>
      </c>
      <c r="X204" s="1"/>
      <c r="Y204" s="1"/>
      <c r="Z204" s="1"/>
      <c r="AA204" s="1"/>
      <c r="AB204" s="1"/>
      <c r="AC204" s="1"/>
      <c r="AD204" s="1">
        <f>IF($C204="",0,SUMPRODUCT((AY_SONU!$O$7:$O$42="Evet")*(AY_SONU!$B$7:$B$42=DATE(YEAR($C204),MONTH($C204),1))))</f>
        <v>0</v>
      </c>
      <c r="AE204" s="1" t="str">
        <f>IF($E204="","",$E204&amp;"|"&amp;COUNTIFS($E$7:$E204,$E204))</f>
        <v/>
      </c>
    </row>
    <row r="205" spans="1:31" ht="18" customHeight="1" x14ac:dyDescent="0.3">
      <c r="A205" s="2"/>
      <c r="B205" s="65" t="str">
        <f t="shared" si="26"/>
        <v/>
      </c>
      <c r="C205" s="66"/>
      <c r="D205" s="60"/>
      <c r="E205" s="61"/>
      <c r="F205" s="61"/>
      <c r="G205" s="67"/>
      <c r="H205" s="60"/>
      <c r="I205" s="60"/>
      <c r="J205" s="61"/>
      <c r="K205" s="61"/>
      <c r="L205" s="60"/>
      <c r="M205" s="74" t="str">
        <f t="shared" si="27"/>
        <v/>
      </c>
      <c r="N205" s="74" t="str">
        <f t="shared" si="28"/>
        <v/>
      </c>
      <c r="O205" s="73" t="str">
        <f t="shared" si="29"/>
        <v/>
      </c>
      <c r="P205" s="65" t="str">
        <f t="shared" ca="1" si="30"/>
        <v/>
      </c>
      <c r="Q205" s="2"/>
      <c r="R205" s="2"/>
      <c r="S205" s="1" t="str">
        <f t="shared" si="31"/>
        <v/>
      </c>
      <c r="T205" s="1" t="str">
        <f>IF(OR($C205="",$D205&lt;&gt;"Gelir",$L205=""),"",IFERROR(INDEX(MUSTERILER!$B$7:$B$156,MATCH($S205,MUSTERILER!$T$7:$T$156,0)),""))</f>
        <v/>
      </c>
      <c r="U205" s="1" t="str">
        <f>IF($T205="","",$T205&amp;"|"&amp;COUNTIFS($T$7:$T205,$T205))</f>
        <v/>
      </c>
      <c r="V205" s="1">
        <f t="shared" si="32"/>
        <v>0</v>
      </c>
      <c r="W205" s="1" t="str">
        <f t="shared" si="33"/>
        <v/>
      </c>
      <c r="X205" s="1"/>
      <c r="Y205" s="1"/>
      <c r="Z205" s="1"/>
      <c r="AA205" s="1"/>
      <c r="AB205" s="1"/>
      <c r="AC205" s="1"/>
      <c r="AD205" s="1">
        <f>IF($C205="",0,SUMPRODUCT((AY_SONU!$O$7:$O$42="Evet")*(AY_SONU!$B$7:$B$42=DATE(YEAR($C205),MONTH($C205),1))))</f>
        <v>0</v>
      </c>
      <c r="AE205" s="1" t="str">
        <f>IF($E205="","",$E205&amp;"|"&amp;COUNTIFS($E$7:$E205,$E205))</f>
        <v/>
      </c>
    </row>
    <row r="206" spans="1:31" ht="18" customHeight="1" x14ac:dyDescent="0.3">
      <c r="A206" s="2"/>
      <c r="B206" s="65" t="str">
        <f t="shared" si="26"/>
        <v/>
      </c>
      <c r="C206" s="66"/>
      <c r="D206" s="60"/>
      <c r="E206" s="61"/>
      <c r="F206" s="61"/>
      <c r="G206" s="67"/>
      <c r="H206" s="60"/>
      <c r="I206" s="60"/>
      <c r="J206" s="61"/>
      <c r="K206" s="61"/>
      <c r="L206" s="60"/>
      <c r="M206" s="74" t="str">
        <f t="shared" si="27"/>
        <v/>
      </c>
      <c r="N206" s="74" t="str">
        <f t="shared" si="28"/>
        <v/>
      </c>
      <c r="O206" s="73" t="str">
        <f t="shared" si="29"/>
        <v/>
      </c>
      <c r="P206" s="65" t="str">
        <f t="shared" ca="1" si="30"/>
        <v/>
      </c>
      <c r="Q206" s="2"/>
      <c r="R206" s="2"/>
      <c r="S206" s="1" t="str">
        <f t="shared" si="31"/>
        <v/>
      </c>
      <c r="T206" s="1" t="str">
        <f>IF(OR($C206="",$D206&lt;&gt;"Gelir",$L206=""),"",IFERROR(INDEX(MUSTERILER!$B$7:$B$156,MATCH($S206,MUSTERILER!$T$7:$T$156,0)),""))</f>
        <v/>
      </c>
      <c r="U206" s="1" t="str">
        <f>IF($T206="","",$T206&amp;"|"&amp;COUNTIFS($T$7:$T206,$T206))</f>
        <v/>
      </c>
      <c r="V206" s="1">
        <f t="shared" si="32"/>
        <v>0</v>
      </c>
      <c r="W206" s="1" t="str">
        <f t="shared" si="33"/>
        <v/>
      </c>
      <c r="X206" s="1"/>
      <c r="Y206" s="1"/>
      <c r="Z206" s="1"/>
      <c r="AA206" s="1"/>
      <c r="AB206" s="1"/>
      <c r="AC206" s="1"/>
      <c r="AD206" s="1">
        <f>IF($C206="",0,SUMPRODUCT((AY_SONU!$O$7:$O$42="Evet")*(AY_SONU!$B$7:$B$42=DATE(YEAR($C206),MONTH($C206),1))))</f>
        <v>0</v>
      </c>
      <c r="AE206" s="1" t="str">
        <f>IF($E206="","",$E206&amp;"|"&amp;COUNTIFS($E$7:$E206,$E206))</f>
        <v/>
      </c>
    </row>
    <row r="207" spans="1:31" ht="18" customHeight="1" x14ac:dyDescent="0.3">
      <c r="A207" s="2"/>
      <c r="B207" s="65" t="str">
        <f t="shared" si="26"/>
        <v/>
      </c>
      <c r="C207" s="66"/>
      <c r="D207" s="60"/>
      <c r="E207" s="61"/>
      <c r="F207" s="61"/>
      <c r="G207" s="67"/>
      <c r="H207" s="60"/>
      <c r="I207" s="60"/>
      <c r="J207" s="61"/>
      <c r="K207" s="61"/>
      <c r="L207" s="60"/>
      <c r="M207" s="74" t="str">
        <f t="shared" si="27"/>
        <v/>
      </c>
      <c r="N207" s="74" t="str">
        <f t="shared" si="28"/>
        <v/>
      </c>
      <c r="O207" s="73" t="str">
        <f t="shared" si="29"/>
        <v/>
      </c>
      <c r="P207" s="65" t="str">
        <f t="shared" ca="1" si="30"/>
        <v/>
      </c>
      <c r="Q207" s="2"/>
      <c r="R207" s="2"/>
      <c r="S207" s="1" t="str">
        <f t="shared" si="31"/>
        <v/>
      </c>
      <c r="T207" s="1" t="str">
        <f>IF(OR($C207="",$D207&lt;&gt;"Gelir",$L207=""),"",IFERROR(INDEX(MUSTERILER!$B$7:$B$156,MATCH($S207,MUSTERILER!$T$7:$T$156,0)),""))</f>
        <v/>
      </c>
      <c r="U207" s="1" t="str">
        <f>IF($T207="","",$T207&amp;"|"&amp;COUNTIFS($T$7:$T207,$T207))</f>
        <v/>
      </c>
      <c r="V207" s="1">
        <f t="shared" si="32"/>
        <v>0</v>
      </c>
      <c r="W207" s="1" t="str">
        <f t="shared" si="33"/>
        <v/>
      </c>
      <c r="X207" s="1"/>
      <c r="Y207" s="1"/>
      <c r="Z207" s="1"/>
      <c r="AA207" s="1"/>
      <c r="AB207" s="1"/>
      <c r="AC207" s="1"/>
      <c r="AD207" s="1">
        <f>IF($C207="",0,SUMPRODUCT((AY_SONU!$O$7:$O$42="Evet")*(AY_SONU!$B$7:$B$42=DATE(YEAR($C207),MONTH($C207),1))))</f>
        <v>0</v>
      </c>
      <c r="AE207" s="1" t="str">
        <f>IF($E207="","",$E207&amp;"|"&amp;COUNTIFS($E$7:$E207,$E207))</f>
        <v/>
      </c>
    </row>
    <row r="208" spans="1:31" ht="18" customHeight="1" x14ac:dyDescent="0.3">
      <c r="A208" s="2"/>
      <c r="B208" s="65" t="str">
        <f t="shared" si="26"/>
        <v/>
      </c>
      <c r="C208" s="66"/>
      <c r="D208" s="60"/>
      <c r="E208" s="61"/>
      <c r="F208" s="61"/>
      <c r="G208" s="67"/>
      <c r="H208" s="60"/>
      <c r="I208" s="60"/>
      <c r="J208" s="61"/>
      <c r="K208" s="61"/>
      <c r="L208" s="60"/>
      <c r="M208" s="74" t="str">
        <f t="shared" si="27"/>
        <v/>
      </c>
      <c r="N208" s="74" t="str">
        <f t="shared" si="28"/>
        <v/>
      </c>
      <c r="O208" s="73" t="str">
        <f t="shared" si="29"/>
        <v/>
      </c>
      <c r="P208" s="65" t="str">
        <f t="shared" ca="1" si="30"/>
        <v/>
      </c>
      <c r="Q208" s="2"/>
      <c r="R208" s="2"/>
      <c r="S208" s="1" t="str">
        <f t="shared" si="31"/>
        <v/>
      </c>
      <c r="T208" s="1" t="str">
        <f>IF(OR($C208="",$D208&lt;&gt;"Gelir",$L208=""),"",IFERROR(INDEX(MUSTERILER!$B$7:$B$156,MATCH($S208,MUSTERILER!$T$7:$T$156,0)),""))</f>
        <v/>
      </c>
      <c r="U208" s="1" t="str">
        <f>IF($T208="","",$T208&amp;"|"&amp;COUNTIFS($T$7:$T208,$T208))</f>
        <v/>
      </c>
      <c r="V208" s="1">
        <f t="shared" si="32"/>
        <v>0</v>
      </c>
      <c r="W208" s="1" t="str">
        <f t="shared" si="33"/>
        <v/>
      </c>
      <c r="X208" s="1"/>
      <c r="Y208" s="1"/>
      <c r="Z208" s="1"/>
      <c r="AA208" s="1"/>
      <c r="AB208" s="1"/>
      <c r="AC208" s="1"/>
      <c r="AD208" s="1">
        <f>IF($C208="",0,SUMPRODUCT((AY_SONU!$O$7:$O$42="Evet")*(AY_SONU!$B$7:$B$42=DATE(YEAR($C208),MONTH($C208),1))))</f>
        <v>0</v>
      </c>
      <c r="AE208" s="1" t="str">
        <f>IF($E208="","",$E208&amp;"|"&amp;COUNTIFS($E$7:$E208,$E208))</f>
        <v/>
      </c>
    </row>
    <row r="209" spans="1:31" ht="18" customHeight="1" x14ac:dyDescent="0.3">
      <c r="A209" s="2"/>
      <c r="B209" s="65" t="str">
        <f t="shared" si="26"/>
        <v/>
      </c>
      <c r="C209" s="66"/>
      <c r="D209" s="60"/>
      <c r="E209" s="61"/>
      <c r="F209" s="61"/>
      <c r="G209" s="67"/>
      <c r="H209" s="60"/>
      <c r="I209" s="60"/>
      <c r="J209" s="61"/>
      <c r="K209" s="61"/>
      <c r="L209" s="60"/>
      <c r="M209" s="74" t="str">
        <f t="shared" si="27"/>
        <v/>
      </c>
      <c r="N209" s="74" t="str">
        <f t="shared" si="28"/>
        <v/>
      </c>
      <c r="O209" s="73" t="str">
        <f t="shared" si="29"/>
        <v/>
      </c>
      <c r="P209" s="65" t="str">
        <f t="shared" ca="1" si="30"/>
        <v/>
      </c>
      <c r="Q209" s="2"/>
      <c r="R209" s="2"/>
      <c r="S209" s="1" t="str">
        <f t="shared" si="31"/>
        <v/>
      </c>
      <c r="T209" s="1" t="str">
        <f>IF(OR($C209="",$D209&lt;&gt;"Gelir",$L209=""),"",IFERROR(INDEX(MUSTERILER!$B$7:$B$156,MATCH($S209,MUSTERILER!$T$7:$T$156,0)),""))</f>
        <v/>
      </c>
      <c r="U209" s="1" t="str">
        <f>IF($T209="","",$T209&amp;"|"&amp;COUNTIFS($T$7:$T209,$T209))</f>
        <v/>
      </c>
      <c r="V209" s="1">
        <f t="shared" si="32"/>
        <v>0</v>
      </c>
      <c r="W209" s="1" t="str">
        <f t="shared" si="33"/>
        <v/>
      </c>
      <c r="X209" s="1"/>
      <c r="Y209" s="1"/>
      <c r="Z209" s="1"/>
      <c r="AA209" s="1"/>
      <c r="AB209" s="1"/>
      <c r="AC209" s="1"/>
      <c r="AD209" s="1">
        <f>IF($C209="",0,SUMPRODUCT((AY_SONU!$O$7:$O$42="Evet")*(AY_SONU!$B$7:$B$42=DATE(YEAR($C209),MONTH($C209),1))))</f>
        <v>0</v>
      </c>
      <c r="AE209" s="1" t="str">
        <f>IF($E209="","",$E209&amp;"|"&amp;COUNTIFS($E$7:$E209,$E209))</f>
        <v/>
      </c>
    </row>
    <row r="210" spans="1:31" ht="18" customHeight="1" x14ac:dyDescent="0.3">
      <c r="A210" s="2"/>
      <c r="B210" s="65" t="str">
        <f t="shared" si="26"/>
        <v/>
      </c>
      <c r="C210" s="66"/>
      <c r="D210" s="60"/>
      <c r="E210" s="61"/>
      <c r="F210" s="61"/>
      <c r="G210" s="67"/>
      <c r="H210" s="60"/>
      <c r="I210" s="60"/>
      <c r="J210" s="61"/>
      <c r="K210" s="61"/>
      <c r="L210" s="60"/>
      <c r="M210" s="74" t="str">
        <f t="shared" si="27"/>
        <v/>
      </c>
      <c r="N210" s="74" t="str">
        <f t="shared" si="28"/>
        <v/>
      </c>
      <c r="O210" s="73" t="str">
        <f t="shared" si="29"/>
        <v/>
      </c>
      <c r="P210" s="65" t="str">
        <f t="shared" ca="1" si="30"/>
        <v/>
      </c>
      <c r="Q210" s="2"/>
      <c r="R210" s="2"/>
      <c r="S210" s="1" t="str">
        <f t="shared" si="31"/>
        <v/>
      </c>
      <c r="T210" s="1" t="str">
        <f>IF(OR($C210="",$D210&lt;&gt;"Gelir",$L210=""),"",IFERROR(INDEX(MUSTERILER!$B$7:$B$156,MATCH($S210,MUSTERILER!$T$7:$T$156,0)),""))</f>
        <v/>
      </c>
      <c r="U210" s="1" t="str">
        <f>IF($T210="","",$T210&amp;"|"&amp;COUNTIFS($T$7:$T210,$T210))</f>
        <v/>
      </c>
      <c r="V210" s="1">
        <f t="shared" si="32"/>
        <v>0</v>
      </c>
      <c r="W210" s="1" t="str">
        <f t="shared" si="33"/>
        <v/>
      </c>
      <c r="X210" s="1"/>
      <c r="Y210" s="1"/>
      <c r="Z210" s="1"/>
      <c r="AA210" s="1"/>
      <c r="AB210" s="1"/>
      <c r="AC210" s="1"/>
      <c r="AD210" s="1">
        <f>IF($C210="",0,SUMPRODUCT((AY_SONU!$O$7:$O$42="Evet")*(AY_SONU!$B$7:$B$42=DATE(YEAR($C210),MONTH($C210),1))))</f>
        <v>0</v>
      </c>
      <c r="AE210" s="1" t="str">
        <f>IF($E210="","",$E210&amp;"|"&amp;COUNTIFS($E$7:$E210,$E210))</f>
        <v/>
      </c>
    </row>
    <row r="211" spans="1:31" ht="18" customHeight="1" x14ac:dyDescent="0.3">
      <c r="A211" s="2"/>
      <c r="B211" s="65" t="str">
        <f t="shared" si="26"/>
        <v/>
      </c>
      <c r="C211" s="66"/>
      <c r="D211" s="60"/>
      <c r="E211" s="61"/>
      <c r="F211" s="61"/>
      <c r="G211" s="67"/>
      <c r="H211" s="60"/>
      <c r="I211" s="60"/>
      <c r="J211" s="61"/>
      <c r="K211" s="61"/>
      <c r="L211" s="60"/>
      <c r="M211" s="74" t="str">
        <f t="shared" si="27"/>
        <v/>
      </c>
      <c r="N211" s="74" t="str">
        <f t="shared" si="28"/>
        <v/>
      </c>
      <c r="O211" s="73" t="str">
        <f t="shared" si="29"/>
        <v/>
      </c>
      <c r="P211" s="65" t="str">
        <f t="shared" ca="1" si="30"/>
        <v/>
      </c>
      <c r="Q211" s="2"/>
      <c r="R211" s="2"/>
      <c r="S211" s="1" t="str">
        <f t="shared" si="31"/>
        <v/>
      </c>
      <c r="T211" s="1" t="str">
        <f>IF(OR($C211="",$D211&lt;&gt;"Gelir",$L211=""),"",IFERROR(INDEX(MUSTERILER!$B$7:$B$156,MATCH($S211,MUSTERILER!$T$7:$T$156,0)),""))</f>
        <v/>
      </c>
      <c r="U211" s="1" t="str">
        <f>IF($T211="","",$T211&amp;"|"&amp;COUNTIFS($T$7:$T211,$T211))</f>
        <v/>
      </c>
      <c r="V211" s="1">
        <f t="shared" si="32"/>
        <v>0</v>
      </c>
      <c r="W211" s="1" t="str">
        <f t="shared" si="33"/>
        <v/>
      </c>
      <c r="X211" s="1"/>
      <c r="Y211" s="1"/>
      <c r="Z211" s="1"/>
      <c r="AA211" s="1"/>
      <c r="AB211" s="1"/>
      <c r="AC211" s="1"/>
      <c r="AD211" s="1">
        <f>IF($C211="",0,SUMPRODUCT((AY_SONU!$O$7:$O$42="Evet")*(AY_SONU!$B$7:$B$42=DATE(YEAR($C211),MONTH($C211),1))))</f>
        <v>0</v>
      </c>
      <c r="AE211" s="1" t="str">
        <f>IF($E211="","",$E211&amp;"|"&amp;COUNTIFS($E$7:$E211,$E211))</f>
        <v/>
      </c>
    </row>
    <row r="212" spans="1:31" ht="18" customHeight="1" x14ac:dyDescent="0.3">
      <c r="A212" s="2"/>
      <c r="B212" s="65" t="str">
        <f t="shared" si="26"/>
        <v/>
      </c>
      <c r="C212" s="66"/>
      <c r="D212" s="60"/>
      <c r="E212" s="61"/>
      <c r="F212" s="61"/>
      <c r="G212" s="67"/>
      <c r="H212" s="60"/>
      <c r="I212" s="60"/>
      <c r="J212" s="61"/>
      <c r="K212" s="61"/>
      <c r="L212" s="60"/>
      <c r="M212" s="74" t="str">
        <f t="shared" si="27"/>
        <v/>
      </c>
      <c r="N212" s="74" t="str">
        <f t="shared" si="28"/>
        <v/>
      </c>
      <c r="O212" s="73" t="str">
        <f t="shared" si="29"/>
        <v/>
      </c>
      <c r="P212" s="65" t="str">
        <f t="shared" ca="1" si="30"/>
        <v/>
      </c>
      <c r="Q212" s="2"/>
      <c r="R212" s="2"/>
      <c r="S212" s="1" t="str">
        <f t="shared" si="31"/>
        <v/>
      </c>
      <c r="T212" s="1" t="str">
        <f>IF(OR($C212="",$D212&lt;&gt;"Gelir",$L212=""),"",IFERROR(INDEX(MUSTERILER!$B$7:$B$156,MATCH($S212,MUSTERILER!$T$7:$T$156,0)),""))</f>
        <v/>
      </c>
      <c r="U212" s="1" t="str">
        <f>IF($T212="","",$T212&amp;"|"&amp;COUNTIFS($T$7:$T212,$T212))</f>
        <v/>
      </c>
      <c r="V212" s="1">
        <f t="shared" si="32"/>
        <v>0</v>
      </c>
      <c r="W212" s="1" t="str">
        <f t="shared" si="33"/>
        <v/>
      </c>
      <c r="X212" s="1"/>
      <c r="Y212" s="1"/>
      <c r="Z212" s="1"/>
      <c r="AA212" s="1"/>
      <c r="AB212" s="1"/>
      <c r="AC212" s="1"/>
      <c r="AD212" s="1">
        <f>IF($C212="",0,SUMPRODUCT((AY_SONU!$O$7:$O$42="Evet")*(AY_SONU!$B$7:$B$42=DATE(YEAR($C212),MONTH($C212),1))))</f>
        <v>0</v>
      </c>
      <c r="AE212" s="1" t="str">
        <f>IF($E212="","",$E212&amp;"|"&amp;COUNTIFS($E$7:$E212,$E212))</f>
        <v/>
      </c>
    </row>
    <row r="213" spans="1:31" ht="18" customHeight="1" x14ac:dyDescent="0.3">
      <c r="A213" s="2"/>
      <c r="B213" s="65" t="str">
        <f t="shared" si="26"/>
        <v/>
      </c>
      <c r="C213" s="66"/>
      <c r="D213" s="60"/>
      <c r="E213" s="61"/>
      <c r="F213" s="61"/>
      <c r="G213" s="67"/>
      <c r="H213" s="60"/>
      <c r="I213" s="60"/>
      <c r="J213" s="61"/>
      <c r="K213" s="61"/>
      <c r="L213" s="60"/>
      <c r="M213" s="74" t="str">
        <f t="shared" si="27"/>
        <v/>
      </c>
      <c r="N213" s="74" t="str">
        <f t="shared" si="28"/>
        <v/>
      </c>
      <c r="O213" s="73" t="str">
        <f t="shared" si="29"/>
        <v/>
      </c>
      <c r="P213" s="65" t="str">
        <f t="shared" ca="1" si="30"/>
        <v/>
      </c>
      <c r="Q213" s="2"/>
      <c r="R213" s="2"/>
      <c r="S213" s="1" t="str">
        <f t="shared" si="31"/>
        <v/>
      </c>
      <c r="T213" s="1" t="str">
        <f>IF(OR($C213="",$D213&lt;&gt;"Gelir",$L213=""),"",IFERROR(INDEX(MUSTERILER!$B$7:$B$156,MATCH($S213,MUSTERILER!$T$7:$T$156,0)),""))</f>
        <v/>
      </c>
      <c r="U213" s="1" t="str">
        <f>IF($T213="","",$T213&amp;"|"&amp;COUNTIFS($T$7:$T213,$T213))</f>
        <v/>
      </c>
      <c r="V213" s="1">
        <f t="shared" si="32"/>
        <v>0</v>
      </c>
      <c r="W213" s="1" t="str">
        <f t="shared" si="33"/>
        <v/>
      </c>
      <c r="X213" s="1"/>
      <c r="Y213" s="1"/>
      <c r="Z213" s="1"/>
      <c r="AA213" s="1"/>
      <c r="AB213" s="1"/>
      <c r="AC213" s="1"/>
      <c r="AD213" s="1">
        <f>IF($C213="",0,SUMPRODUCT((AY_SONU!$O$7:$O$42="Evet")*(AY_SONU!$B$7:$B$42=DATE(YEAR($C213),MONTH($C213),1))))</f>
        <v>0</v>
      </c>
      <c r="AE213" s="1" t="str">
        <f>IF($E213="","",$E213&amp;"|"&amp;COUNTIFS($E$7:$E213,$E213))</f>
        <v/>
      </c>
    </row>
    <row r="214" spans="1:31" ht="18" customHeight="1" x14ac:dyDescent="0.3">
      <c r="A214" s="2"/>
      <c r="B214" s="65" t="str">
        <f t="shared" si="26"/>
        <v/>
      </c>
      <c r="C214" s="66"/>
      <c r="D214" s="60"/>
      <c r="E214" s="61"/>
      <c r="F214" s="61"/>
      <c r="G214" s="67"/>
      <c r="H214" s="60"/>
      <c r="I214" s="60"/>
      <c r="J214" s="61"/>
      <c r="K214" s="61"/>
      <c r="L214" s="60"/>
      <c r="M214" s="74" t="str">
        <f t="shared" si="27"/>
        <v/>
      </c>
      <c r="N214" s="74" t="str">
        <f t="shared" si="28"/>
        <v/>
      </c>
      <c r="O214" s="73" t="str">
        <f t="shared" si="29"/>
        <v/>
      </c>
      <c r="P214" s="65" t="str">
        <f t="shared" ca="1" si="30"/>
        <v/>
      </c>
      <c r="Q214" s="2"/>
      <c r="R214" s="2"/>
      <c r="S214" s="1" t="str">
        <f t="shared" si="31"/>
        <v/>
      </c>
      <c r="T214" s="1" t="str">
        <f>IF(OR($C214="",$D214&lt;&gt;"Gelir",$L214=""),"",IFERROR(INDEX(MUSTERILER!$B$7:$B$156,MATCH($S214,MUSTERILER!$T$7:$T$156,0)),""))</f>
        <v/>
      </c>
      <c r="U214" s="1" t="str">
        <f>IF($T214="","",$T214&amp;"|"&amp;COUNTIFS($T$7:$T214,$T214))</f>
        <v/>
      </c>
      <c r="V214" s="1">
        <f t="shared" si="32"/>
        <v>0</v>
      </c>
      <c r="W214" s="1" t="str">
        <f t="shared" si="33"/>
        <v/>
      </c>
      <c r="X214" s="1"/>
      <c r="Y214" s="1"/>
      <c r="Z214" s="1"/>
      <c r="AA214" s="1"/>
      <c r="AB214" s="1"/>
      <c r="AC214" s="1"/>
      <c r="AD214" s="1">
        <f>IF($C214="",0,SUMPRODUCT((AY_SONU!$O$7:$O$42="Evet")*(AY_SONU!$B$7:$B$42=DATE(YEAR($C214),MONTH($C214),1))))</f>
        <v>0</v>
      </c>
      <c r="AE214" s="1" t="str">
        <f>IF($E214="","",$E214&amp;"|"&amp;COUNTIFS($E$7:$E214,$E214))</f>
        <v/>
      </c>
    </row>
    <row r="215" spans="1:31" ht="18" customHeight="1" x14ac:dyDescent="0.3">
      <c r="A215" s="2"/>
      <c r="B215" s="65" t="str">
        <f t="shared" si="26"/>
        <v/>
      </c>
      <c r="C215" s="66"/>
      <c r="D215" s="60"/>
      <c r="E215" s="61"/>
      <c r="F215" s="61"/>
      <c r="G215" s="67"/>
      <c r="H215" s="60"/>
      <c r="I215" s="60"/>
      <c r="J215" s="61"/>
      <c r="K215" s="61"/>
      <c r="L215" s="60"/>
      <c r="M215" s="74" t="str">
        <f t="shared" si="27"/>
        <v/>
      </c>
      <c r="N215" s="74" t="str">
        <f t="shared" si="28"/>
        <v/>
      </c>
      <c r="O215" s="73" t="str">
        <f t="shared" si="29"/>
        <v/>
      </c>
      <c r="P215" s="65" t="str">
        <f t="shared" ca="1" si="30"/>
        <v/>
      </c>
      <c r="Q215" s="2"/>
      <c r="R215" s="2"/>
      <c r="S215" s="1" t="str">
        <f t="shared" si="31"/>
        <v/>
      </c>
      <c r="T215" s="1" t="str">
        <f>IF(OR($C215="",$D215&lt;&gt;"Gelir",$L215=""),"",IFERROR(INDEX(MUSTERILER!$B$7:$B$156,MATCH($S215,MUSTERILER!$T$7:$T$156,0)),""))</f>
        <v/>
      </c>
      <c r="U215" s="1" t="str">
        <f>IF($T215="","",$T215&amp;"|"&amp;COUNTIFS($T$7:$T215,$T215))</f>
        <v/>
      </c>
      <c r="V215" s="1">
        <f t="shared" si="32"/>
        <v>0</v>
      </c>
      <c r="W215" s="1" t="str">
        <f t="shared" si="33"/>
        <v/>
      </c>
      <c r="X215" s="1"/>
      <c r="Y215" s="1"/>
      <c r="Z215" s="1"/>
      <c r="AA215" s="1"/>
      <c r="AB215" s="1"/>
      <c r="AC215" s="1"/>
      <c r="AD215" s="1">
        <f>IF($C215="",0,SUMPRODUCT((AY_SONU!$O$7:$O$42="Evet")*(AY_SONU!$B$7:$B$42=DATE(YEAR($C215),MONTH($C215),1))))</f>
        <v>0</v>
      </c>
      <c r="AE215" s="1" t="str">
        <f>IF($E215="","",$E215&amp;"|"&amp;COUNTIFS($E$7:$E215,$E215))</f>
        <v/>
      </c>
    </row>
    <row r="216" spans="1:31" ht="18" customHeight="1" x14ac:dyDescent="0.3">
      <c r="A216" s="2"/>
      <c r="B216" s="65" t="str">
        <f t="shared" si="26"/>
        <v/>
      </c>
      <c r="C216" s="66"/>
      <c r="D216" s="60"/>
      <c r="E216" s="61"/>
      <c r="F216" s="61"/>
      <c r="G216" s="67"/>
      <c r="H216" s="60"/>
      <c r="I216" s="60"/>
      <c r="J216" s="61"/>
      <c r="K216" s="61"/>
      <c r="L216" s="60"/>
      <c r="M216" s="74" t="str">
        <f t="shared" si="27"/>
        <v/>
      </c>
      <c r="N216" s="74" t="str">
        <f t="shared" si="28"/>
        <v/>
      </c>
      <c r="O216" s="73" t="str">
        <f t="shared" si="29"/>
        <v/>
      </c>
      <c r="P216" s="65" t="str">
        <f t="shared" ca="1" si="30"/>
        <v/>
      </c>
      <c r="Q216" s="2"/>
      <c r="R216" s="2"/>
      <c r="S216" s="1" t="str">
        <f t="shared" si="31"/>
        <v/>
      </c>
      <c r="T216" s="1" t="str">
        <f>IF(OR($C216="",$D216&lt;&gt;"Gelir",$L216=""),"",IFERROR(INDEX(MUSTERILER!$B$7:$B$156,MATCH($S216,MUSTERILER!$T$7:$T$156,0)),""))</f>
        <v/>
      </c>
      <c r="U216" s="1" t="str">
        <f>IF($T216="","",$T216&amp;"|"&amp;COUNTIFS($T$7:$T216,$T216))</f>
        <v/>
      </c>
      <c r="V216" s="1">
        <f t="shared" si="32"/>
        <v>0</v>
      </c>
      <c r="W216" s="1" t="str">
        <f t="shared" si="33"/>
        <v/>
      </c>
      <c r="X216" s="1"/>
      <c r="Y216" s="1"/>
      <c r="Z216" s="1"/>
      <c r="AA216" s="1"/>
      <c r="AB216" s="1"/>
      <c r="AC216" s="1"/>
      <c r="AD216" s="1">
        <f>IF($C216="",0,SUMPRODUCT((AY_SONU!$O$7:$O$42="Evet")*(AY_SONU!$B$7:$B$42=DATE(YEAR($C216),MONTH($C216),1))))</f>
        <v>0</v>
      </c>
      <c r="AE216" s="1" t="str">
        <f>IF($E216="","",$E216&amp;"|"&amp;COUNTIFS($E$7:$E216,$E216))</f>
        <v/>
      </c>
    </row>
    <row r="217" spans="1:31" ht="18" customHeight="1" x14ac:dyDescent="0.3">
      <c r="A217" s="2"/>
      <c r="B217" s="65" t="str">
        <f t="shared" si="26"/>
        <v/>
      </c>
      <c r="C217" s="66"/>
      <c r="D217" s="60"/>
      <c r="E217" s="61"/>
      <c r="F217" s="61"/>
      <c r="G217" s="67"/>
      <c r="H217" s="60"/>
      <c r="I217" s="60"/>
      <c r="J217" s="61"/>
      <c r="K217" s="61"/>
      <c r="L217" s="60"/>
      <c r="M217" s="74" t="str">
        <f t="shared" si="27"/>
        <v/>
      </c>
      <c r="N217" s="74" t="str">
        <f t="shared" si="28"/>
        <v/>
      </c>
      <c r="O217" s="73" t="str">
        <f t="shared" si="29"/>
        <v/>
      </c>
      <c r="P217" s="65" t="str">
        <f t="shared" ca="1" si="30"/>
        <v/>
      </c>
      <c r="Q217" s="2"/>
      <c r="R217" s="2"/>
      <c r="S217" s="1" t="str">
        <f t="shared" si="31"/>
        <v/>
      </c>
      <c r="T217" s="1" t="str">
        <f>IF(OR($C217="",$D217&lt;&gt;"Gelir",$L217=""),"",IFERROR(INDEX(MUSTERILER!$B$7:$B$156,MATCH($S217,MUSTERILER!$T$7:$T$156,0)),""))</f>
        <v/>
      </c>
      <c r="U217" s="1" t="str">
        <f>IF($T217="","",$T217&amp;"|"&amp;COUNTIFS($T$7:$T217,$T217))</f>
        <v/>
      </c>
      <c r="V217" s="1">
        <f t="shared" si="32"/>
        <v>0</v>
      </c>
      <c r="W217" s="1" t="str">
        <f t="shared" si="33"/>
        <v/>
      </c>
      <c r="X217" s="1"/>
      <c r="Y217" s="1"/>
      <c r="Z217" s="1"/>
      <c r="AA217" s="1"/>
      <c r="AB217" s="1"/>
      <c r="AC217" s="1"/>
      <c r="AD217" s="1">
        <f>IF($C217="",0,SUMPRODUCT((AY_SONU!$O$7:$O$42="Evet")*(AY_SONU!$B$7:$B$42=DATE(YEAR($C217),MONTH($C217),1))))</f>
        <v>0</v>
      </c>
      <c r="AE217" s="1" t="str">
        <f>IF($E217="","",$E217&amp;"|"&amp;COUNTIFS($E$7:$E217,$E217))</f>
        <v/>
      </c>
    </row>
    <row r="218" spans="1:31" ht="18" customHeight="1" x14ac:dyDescent="0.3">
      <c r="A218" s="2"/>
      <c r="B218" s="65" t="str">
        <f t="shared" si="26"/>
        <v/>
      </c>
      <c r="C218" s="66"/>
      <c r="D218" s="60"/>
      <c r="E218" s="61"/>
      <c r="F218" s="61"/>
      <c r="G218" s="67"/>
      <c r="H218" s="60"/>
      <c r="I218" s="60"/>
      <c r="J218" s="61"/>
      <c r="K218" s="61"/>
      <c r="L218" s="60"/>
      <c r="M218" s="74" t="str">
        <f t="shared" si="27"/>
        <v/>
      </c>
      <c r="N218" s="74" t="str">
        <f t="shared" si="28"/>
        <v/>
      </c>
      <c r="O218" s="73" t="str">
        <f t="shared" si="29"/>
        <v/>
      </c>
      <c r="P218" s="65" t="str">
        <f t="shared" ca="1" si="30"/>
        <v/>
      </c>
      <c r="Q218" s="2"/>
      <c r="R218" s="2"/>
      <c r="S218" s="1" t="str">
        <f t="shared" si="31"/>
        <v/>
      </c>
      <c r="T218" s="1" t="str">
        <f>IF(OR($C218="",$D218&lt;&gt;"Gelir",$L218=""),"",IFERROR(INDEX(MUSTERILER!$B$7:$B$156,MATCH($S218,MUSTERILER!$T$7:$T$156,0)),""))</f>
        <v/>
      </c>
      <c r="U218" s="1" t="str">
        <f>IF($T218="","",$T218&amp;"|"&amp;COUNTIFS($T$7:$T218,$T218))</f>
        <v/>
      </c>
      <c r="V218" s="1">
        <f t="shared" si="32"/>
        <v>0</v>
      </c>
      <c r="W218" s="1" t="str">
        <f t="shared" si="33"/>
        <v/>
      </c>
      <c r="X218" s="1"/>
      <c r="Y218" s="1"/>
      <c r="Z218" s="1"/>
      <c r="AA218" s="1"/>
      <c r="AB218" s="1"/>
      <c r="AC218" s="1"/>
      <c r="AD218" s="1">
        <f>IF($C218="",0,SUMPRODUCT((AY_SONU!$O$7:$O$42="Evet")*(AY_SONU!$B$7:$B$42=DATE(YEAR($C218),MONTH($C218),1))))</f>
        <v>0</v>
      </c>
      <c r="AE218" s="1" t="str">
        <f>IF($E218="","",$E218&amp;"|"&amp;COUNTIFS($E$7:$E218,$E218))</f>
        <v/>
      </c>
    </row>
    <row r="219" spans="1:31" ht="18" customHeight="1" x14ac:dyDescent="0.3">
      <c r="A219" s="2"/>
      <c r="B219" s="65" t="str">
        <f t="shared" si="26"/>
        <v/>
      </c>
      <c r="C219" s="66"/>
      <c r="D219" s="60"/>
      <c r="E219" s="61"/>
      <c r="F219" s="61"/>
      <c r="G219" s="67"/>
      <c r="H219" s="60"/>
      <c r="I219" s="60"/>
      <c r="J219" s="61"/>
      <c r="K219" s="61"/>
      <c r="L219" s="60"/>
      <c r="M219" s="74" t="str">
        <f t="shared" si="27"/>
        <v/>
      </c>
      <c r="N219" s="74" t="str">
        <f t="shared" si="28"/>
        <v/>
      </c>
      <c r="O219" s="73" t="str">
        <f t="shared" si="29"/>
        <v/>
      </c>
      <c r="P219" s="65" t="str">
        <f t="shared" ca="1" si="30"/>
        <v/>
      </c>
      <c r="Q219" s="2"/>
      <c r="R219" s="2"/>
      <c r="S219" s="1" t="str">
        <f t="shared" si="31"/>
        <v/>
      </c>
      <c r="T219" s="1" t="str">
        <f>IF(OR($C219="",$D219&lt;&gt;"Gelir",$L219=""),"",IFERROR(INDEX(MUSTERILER!$B$7:$B$156,MATCH($S219,MUSTERILER!$T$7:$T$156,0)),""))</f>
        <v/>
      </c>
      <c r="U219" s="1" t="str">
        <f>IF($T219="","",$T219&amp;"|"&amp;COUNTIFS($T$7:$T219,$T219))</f>
        <v/>
      </c>
      <c r="V219" s="1">
        <f t="shared" si="32"/>
        <v>0</v>
      </c>
      <c r="W219" s="1" t="str">
        <f t="shared" si="33"/>
        <v/>
      </c>
      <c r="X219" s="1"/>
      <c r="Y219" s="1"/>
      <c r="Z219" s="1"/>
      <c r="AA219" s="1"/>
      <c r="AB219" s="1"/>
      <c r="AC219" s="1"/>
      <c r="AD219" s="1">
        <f>IF($C219="",0,SUMPRODUCT((AY_SONU!$O$7:$O$42="Evet")*(AY_SONU!$B$7:$B$42=DATE(YEAR($C219),MONTH($C219),1))))</f>
        <v>0</v>
      </c>
      <c r="AE219" s="1" t="str">
        <f>IF($E219="","",$E219&amp;"|"&amp;COUNTIFS($E$7:$E219,$E219))</f>
        <v/>
      </c>
    </row>
    <row r="220" spans="1:31" ht="18" customHeight="1" x14ac:dyDescent="0.3">
      <c r="A220" s="2"/>
      <c r="B220" s="65" t="str">
        <f t="shared" si="26"/>
        <v/>
      </c>
      <c r="C220" s="66"/>
      <c r="D220" s="60"/>
      <c r="E220" s="61"/>
      <c r="F220" s="61"/>
      <c r="G220" s="67"/>
      <c r="H220" s="60"/>
      <c r="I220" s="60"/>
      <c r="J220" s="61"/>
      <c r="K220" s="61"/>
      <c r="L220" s="60"/>
      <c r="M220" s="74" t="str">
        <f t="shared" si="27"/>
        <v/>
      </c>
      <c r="N220" s="74" t="str">
        <f t="shared" si="28"/>
        <v/>
      </c>
      <c r="O220" s="73" t="str">
        <f t="shared" si="29"/>
        <v/>
      </c>
      <c r="P220" s="65" t="str">
        <f t="shared" ca="1" si="30"/>
        <v/>
      </c>
      <c r="Q220" s="2"/>
      <c r="R220" s="2"/>
      <c r="S220" s="1" t="str">
        <f t="shared" si="31"/>
        <v/>
      </c>
      <c r="T220" s="1" t="str">
        <f>IF(OR($C220="",$D220&lt;&gt;"Gelir",$L220=""),"",IFERROR(INDEX(MUSTERILER!$B$7:$B$156,MATCH($S220,MUSTERILER!$T$7:$T$156,0)),""))</f>
        <v/>
      </c>
      <c r="U220" s="1" t="str">
        <f>IF($T220="","",$T220&amp;"|"&amp;COUNTIFS($T$7:$T220,$T220))</f>
        <v/>
      </c>
      <c r="V220" s="1">
        <f t="shared" si="32"/>
        <v>0</v>
      </c>
      <c r="W220" s="1" t="str">
        <f t="shared" si="33"/>
        <v/>
      </c>
      <c r="X220" s="1"/>
      <c r="Y220" s="1"/>
      <c r="Z220" s="1"/>
      <c r="AA220" s="1"/>
      <c r="AB220" s="1"/>
      <c r="AC220" s="1"/>
      <c r="AD220" s="1">
        <f>IF($C220="",0,SUMPRODUCT((AY_SONU!$O$7:$O$42="Evet")*(AY_SONU!$B$7:$B$42=DATE(YEAR($C220),MONTH($C220),1))))</f>
        <v>0</v>
      </c>
      <c r="AE220" s="1" t="str">
        <f>IF($E220="","",$E220&amp;"|"&amp;COUNTIFS($E$7:$E220,$E220))</f>
        <v/>
      </c>
    </row>
    <row r="221" spans="1:31" ht="18" customHeight="1" x14ac:dyDescent="0.3">
      <c r="A221" s="2"/>
      <c r="B221" s="65" t="str">
        <f t="shared" si="26"/>
        <v/>
      </c>
      <c r="C221" s="66"/>
      <c r="D221" s="60"/>
      <c r="E221" s="61"/>
      <c r="F221" s="61"/>
      <c r="G221" s="67"/>
      <c r="H221" s="60"/>
      <c r="I221" s="60"/>
      <c r="J221" s="61"/>
      <c r="K221" s="61"/>
      <c r="L221" s="60"/>
      <c r="M221" s="74" t="str">
        <f t="shared" si="27"/>
        <v/>
      </c>
      <c r="N221" s="74" t="str">
        <f t="shared" si="28"/>
        <v/>
      </c>
      <c r="O221" s="73" t="str">
        <f t="shared" si="29"/>
        <v/>
      </c>
      <c r="P221" s="65" t="str">
        <f t="shared" ca="1" si="30"/>
        <v/>
      </c>
      <c r="Q221" s="2"/>
      <c r="R221" s="2"/>
      <c r="S221" s="1" t="str">
        <f t="shared" si="31"/>
        <v/>
      </c>
      <c r="T221" s="1" t="str">
        <f>IF(OR($C221="",$D221&lt;&gt;"Gelir",$L221=""),"",IFERROR(INDEX(MUSTERILER!$B$7:$B$156,MATCH($S221,MUSTERILER!$T$7:$T$156,0)),""))</f>
        <v/>
      </c>
      <c r="U221" s="1" t="str">
        <f>IF($T221="","",$T221&amp;"|"&amp;COUNTIFS($T$7:$T221,$T221))</f>
        <v/>
      </c>
      <c r="V221" s="1">
        <f t="shared" si="32"/>
        <v>0</v>
      </c>
      <c r="W221" s="1" t="str">
        <f t="shared" si="33"/>
        <v/>
      </c>
      <c r="X221" s="1"/>
      <c r="Y221" s="1"/>
      <c r="Z221" s="1"/>
      <c r="AA221" s="1"/>
      <c r="AB221" s="1"/>
      <c r="AC221" s="1"/>
      <c r="AD221" s="1">
        <f>IF($C221="",0,SUMPRODUCT((AY_SONU!$O$7:$O$42="Evet")*(AY_SONU!$B$7:$B$42=DATE(YEAR($C221),MONTH($C221),1))))</f>
        <v>0</v>
      </c>
      <c r="AE221" s="1" t="str">
        <f>IF($E221="","",$E221&amp;"|"&amp;COUNTIFS($E$7:$E221,$E221))</f>
        <v/>
      </c>
    </row>
    <row r="222" spans="1:31" ht="18" customHeight="1" x14ac:dyDescent="0.3">
      <c r="A222" s="2"/>
      <c r="B222" s="65" t="str">
        <f t="shared" si="26"/>
        <v/>
      </c>
      <c r="C222" s="66"/>
      <c r="D222" s="60"/>
      <c r="E222" s="61"/>
      <c r="F222" s="61"/>
      <c r="G222" s="67"/>
      <c r="H222" s="60"/>
      <c r="I222" s="60"/>
      <c r="J222" s="61"/>
      <c r="K222" s="61"/>
      <c r="L222" s="60"/>
      <c r="M222" s="74" t="str">
        <f t="shared" si="27"/>
        <v/>
      </c>
      <c r="N222" s="74" t="str">
        <f t="shared" si="28"/>
        <v/>
      </c>
      <c r="O222" s="73" t="str">
        <f t="shared" si="29"/>
        <v/>
      </c>
      <c r="P222" s="65" t="str">
        <f t="shared" ca="1" si="30"/>
        <v/>
      </c>
      <c r="Q222" s="2"/>
      <c r="R222" s="2"/>
      <c r="S222" s="1" t="str">
        <f t="shared" si="31"/>
        <v/>
      </c>
      <c r="T222" s="1" t="str">
        <f>IF(OR($C222="",$D222&lt;&gt;"Gelir",$L222=""),"",IFERROR(INDEX(MUSTERILER!$B$7:$B$156,MATCH($S222,MUSTERILER!$T$7:$T$156,0)),""))</f>
        <v/>
      </c>
      <c r="U222" s="1" t="str">
        <f>IF($T222="","",$T222&amp;"|"&amp;COUNTIFS($T$7:$T222,$T222))</f>
        <v/>
      </c>
      <c r="V222" s="1">
        <f t="shared" si="32"/>
        <v>0</v>
      </c>
      <c r="W222" s="1" t="str">
        <f t="shared" si="33"/>
        <v/>
      </c>
      <c r="X222" s="1"/>
      <c r="Y222" s="1"/>
      <c r="Z222" s="1"/>
      <c r="AA222" s="1"/>
      <c r="AB222" s="1"/>
      <c r="AC222" s="1"/>
      <c r="AD222" s="1">
        <f>IF($C222="",0,SUMPRODUCT((AY_SONU!$O$7:$O$42="Evet")*(AY_SONU!$B$7:$B$42=DATE(YEAR($C222),MONTH($C222),1))))</f>
        <v>0</v>
      </c>
      <c r="AE222" s="1" t="str">
        <f>IF($E222="","",$E222&amp;"|"&amp;COUNTIFS($E$7:$E222,$E222))</f>
        <v/>
      </c>
    </row>
    <row r="223" spans="1:31" ht="18" customHeight="1" x14ac:dyDescent="0.3">
      <c r="A223" s="2"/>
      <c r="B223" s="65" t="str">
        <f t="shared" si="26"/>
        <v/>
      </c>
      <c r="C223" s="66"/>
      <c r="D223" s="60"/>
      <c r="E223" s="61"/>
      <c r="F223" s="61"/>
      <c r="G223" s="67"/>
      <c r="H223" s="60"/>
      <c r="I223" s="60"/>
      <c r="J223" s="61"/>
      <c r="K223" s="61"/>
      <c r="L223" s="60"/>
      <c r="M223" s="74" t="str">
        <f t="shared" si="27"/>
        <v/>
      </c>
      <c r="N223" s="74" t="str">
        <f t="shared" si="28"/>
        <v/>
      </c>
      <c r="O223" s="73" t="str">
        <f t="shared" si="29"/>
        <v/>
      </c>
      <c r="P223" s="65" t="str">
        <f t="shared" ca="1" si="30"/>
        <v/>
      </c>
      <c r="Q223" s="2"/>
      <c r="R223" s="2"/>
      <c r="S223" s="1" t="str">
        <f t="shared" si="31"/>
        <v/>
      </c>
      <c r="T223" s="1" t="str">
        <f>IF(OR($C223="",$D223&lt;&gt;"Gelir",$L223=""),"",IFERROR(INDEX(MUSTERILER!$B$7:$B$156,MATCH($S223,MUSTERILER!$T$7:$T$156,0)),""))</f>
        <v/>
      </c>
      <c r="U223" s="1" t="str">
        <f>IF($T223="","",$T223&amp;"|"&amp;COUNTIFS($T$7:$T223,$T223))</f>
        <v/>
      </c>
      <c r="V223" s="1">
        <f t="shared" si="32"/>
        <v>0</v>
      </c>
      <c r="W223" s="1" t="str">
        <f t="shared" si="33"/>
        <v/>
      </c>
      <c r="X223" s="1"/>
      <c r="Y223" s="1"/>
      <c r="Z223" s="1"/>
      <c r="AA223" s="1"/>
      <c r="AB223" s="1"/>
      <c r="AC223" s="1"/>
      <c r="AD223" s="1">
        <f>IF($C223="",0,SUMPRODUCT((AY_SONU!$O$7:$O$42="Evet")*(AY_SONU!$B$7:$B$42=DATE(YEAR($C223),MONTH($C223),1))))</f>
        <v>0</v>
      </c>
      <c r="AE223" s="1" t="str">
        <f>IF($E223="","",$E223&amp;"|"&amp;COUNTIFS($E$7:$E223,$E223))</f>
        <v/>
      </c>
    </row>
    <row r="224" spans="1:31" ht="18" customHeight="1" x14ac:dyDescent="0.3">
      <c r="A224" s="2"/>
      <c r="B224" s="65" t="str">
        <f t="shared" si="26"/>
        <v/>
      </c>
      <c r="C224" s="66"/>
      <c r="D224" s="60"/>
      <c r="E224" s="61"/>
      <c r="F224" s="61"/>
      <c r="G224" s="67"/>
      <c r="H224" s="60"/>
      <c r="I224" s="60"/>
      <c r="J224" s="61"/>
      <c r="K224" s="61"/>
      <c r="L224" s="60"/>
      <c r="M224" s="74" t="str">
        <f t="shared" si="27"/>
        <v/>
      </c>
      <c r="N224" s="74" t="str">
        <f t="shared" si="28"/>
        <v/>
      </c>
      <c r="O224" s="73" t="str">
        <f t="shared" si="29"/>
        <v/>
      </c>
      <c r="P224" s="65" t="str">
        <f t="shared" ca="1" si="30"/>
        <v/>
      </c>
      <c r="Q224" s="2"/>
      <c r="R224" s="2"/>
      <c r="S224" s="1" t="str">
        <f t="shared" si="31"/>
        <v/>
      </c>
      <c r="T224" s="1" t="str">
        <f>IF(OR($C224="",$D224&lt;&gt;"Gelir",$L224=""),"",IFERROR(INDEX(MUSTERILER!$B$7:$B$156,MATCH($S224,MUSTERILER!$T$7:$T$156,0)),""))</f>
        <v/>
      </c>
      <c r="U224" s="1" t="str">
        <f>IF($T224="","",$T224&amp;"|"&amp;COUNTIFS($T$7:$T224,$T224))</f>
        <v/>
      </c>
      <c r="V224" s="1">
        <f t="shared" si="32"/>
        <v>0</v>
      </c>
      <c r="W224" s="1" t="str">
        <f t="shared" si="33"/>
        <v/>
      </c>
      <c r="X224" s="1"/>
      <c r="Y224" s="1"/>
      <c r="Z224" s="1"/>
      <c r="AA224" s="1"/>
      <c r="AB224" s="1"/>
      <c r="AC224" s="1"/>
      <c r="AD224" s="1">
        <f>IF($C224="",0,SUMPRODUCT((AY_SONU!$O$7:$O$42="Evet")*(AY_SONU!$B$7:$B$42=DATE(YEAR($C224),MONTH($C224),1))))</f>
        <v>0</v>
      </c>
      <c r="AE224" s="1" t="str">
        <f>IF($E224="","",$E224&amp;"|"&amp;COUNTIFS($E$7:$E224,$E224))</f>
        <v/>
      </c>
    </row>
    <row r="225" spans="1:31" ht="18" customHeight="1" x14ac:dyDescent="0.3">
      <c r="A225" s="2"/>
      <c r="B225" s="65" t="str">
        <f t="shared" si="26"/>
        <v/>
      </c>
      <c r="C225" s="66"/>
      <c r="D225" s="60"/>
      <c r="E225" s="61"/>
      <c r="F225" s="61"/>
      <c r="G225" s="67"/>
      <c r="H225" s="60"/>
      <c r="I225" s="60"/>
      <c r="J225" s="61"/>
      <c r="K225" s="61"/>
      <c r="L225" s="60"/>
      <c r="M225" s="74" t="str">
        <f t="shared" si="27"/>
        <v/>
      </c>
      <c r="N225" s="74" t="str">
        <f t="shared" si="28"/>
        <v/>
      </c>
      <c r="O225" s="73" t="str">
        <f t="shared" si="29"/>
        <v/>
      </c>
      <c r="P225" s="65" t="str">
        <f t="shared" ca="1" si="30"/>
        <v/>
      </c>
      <c r="Q225" s="2"/>
      <c r="R225" s="2"/>
      <c r="S225" s="1" t="str">
        <f t="shared" si="31"/>
        <v/>
      </c>
      <c r="T225" s="1" t="str">
        <f>IF(OR($C225="",$D225&lt;&gt;"Gelir",$L225=""),"",IFERROR(INDEX(MUSTERILER!$B$7:$B$156,MATCH($S225,MUSTERILER!$T$7:$T$156,0)),""))</f>
        <v/>
      </c>
      <c r="U225" s="1" t="str">
        <f>IF($T225="","",$T225&amp;"|"&amp;COUNTIFS($T$7:$T225,$T225))</f>
        <v/>
      </c>
      <c r="V225" s="1">
        <f t="shared" si="32"/>
        <v>0</v>
      </c>
      <c r="W225" s="1" t="str">
        <f t="shared" si="33"/>
        <v/>
      </c>
      <c r="X225" s="1"/>
      <c r="Y225" s="1"/>
      <c r="Z225" s="1"/>
      <c r="AA225" s="1"/>
      <c r="AB225" s="1"/>
      <c r="AC225" s="1"/>
      <c r="AD225" s="1">
        <f>IF($C225="",0,SUMPRODUCT((AY_SONU!$O$7:$O$42="Evet")*(AY_SONU!$B$7:$B$42=DATE(YEAR($C225),MONTH($C225),1))))</f>
        <v>0</v>
      </c>
      <c r="AE225" s="1" t="str">
        <f>IF($E225="","",$E225&amp;"|"&amp;COUNTIFS($E$7:$E225,$E225))</f>
        <v/>
      </c>
    </row>
    <row r="226" spans="1:31" ht="18" customHeight="1" x14ac:dyDescent="0.3">
      <c r="A226" s="2"/>
      <c r="B226" s="65" t="str">
        <f t="shared" si="26"/>
        <v/>
      </c>
      <c r="C226" s="66"/>
      <c r="D226" s="60"/>
      <c r="E226" s="61"/>
      <c r="F226" s="61"/>
      <c r="G226" s="67"/>
      <c r="H226" s="60"/>
      <c r="I226" s="60"/>
      <c r="J226" s="61"/>
      <c r="K226" s="61"/>
      <c r="L226" s="60"/>
      <c r="M226" s="74" t="str">
        <f t="shared" si="27"/>
        <v/>
      </c>
      <c r="N226" s="74" t="str">
        <f t="shared" si="28"/>
        <v/>
      </c>
      <c r="O226" s="73" t="str">
        <f t="shared" si="29"/>
        <v/>
      </c>
      <c r="P226" s="65" t="str">
        <f t="shared" ca="1" si="30"/>
        <v/>
      </c>
      <c r="Q226" s="2"/>
      <c r="R226" s="2"/>
      <c r="S226" s="1" t="str">
        <f t="shared" si="31"/>
        <v/>
      </c>
      <c r="T226" s="1" t="str">
        <f>IF(OR($C226="",$D226&lt;&gt;"Gelir",$L226=""),"",IFERROR(INDEX(MUSTERILER!$B$7:$B$156,MATCH($S226,MUSTERILER!$T$7:$T$156,0)),""))</f>
        <v/>
      </c>
      <c r="U226" s="1" t="str">
        <f>IF($T226="","",$T226&amp;"|"&amp;COUNTIFS($T$7:$T226,$T226))</f>
        <v/>
      </c>
      <c r="V226" s="1">
        <f t="shared" si="32"/>
        <v>0</v>
      </c>
      <c r="W226" s="1" t="str">
        <f t="shared" si="33"/>
        <v/>
      </c>
      <c r="X226" s="1"/>
      <c r="Y226" s="1"/>
      <c r="Z226" s="1"/>
      <c r="AA226" s="1"/>
      <c r="AB226" s="1"/>
      <c r="AC226" s="1"/>
      <c r="AD226" s="1">
        <f>IF($C226="",0,SUMPRODUCT((AY_SONU!$O$7:$O$42="Evet")*(AY_SONU!$B$7:$B$42=DATE(YEAR($C226),MONTH($C226),1))))</f>
        <v>0</v>
      </c>
      <c r="AE226" s="1" t="str">
        <f>IF($E226="","",$E226&amp;"|"&amp;COUNTIFS($E$7:$E226,$E226))</f>
        <v/>
      </c>
    </row>
    <row r="227" spans="1:31" ht="18" customHeight="1" x14ac:dyDescent="0.3">
      <c r="A227" s="2"/>
      <c r="B227" s="65" t="str">
        <f t="shared" si="26"/>
        <v/>
      </c>
      <c r="C227" s="66"/>
      <c r="D227" s="60"/>
      <c r="E227" s="61"/>
      <c r="F227" s="61"/>
      <c r="G227" s="67"/>
      <c r="H227" s="60"/>
      <c r="I227" s="60"/>
      <c r="J227" s="61"/>
      <c r="K227" s="61"/>
      <c r="L227" s="60"/>
      <c r="M227" s="74" t="str">
        <f t="shared" si="27"/>
        <v/>
      </c>
      <c r="N227" s="74" t="str">
        <f t="shared" si="28"/>
        <v/>
      </c>
      <c r="O227" s="73" t="str">
        <f t="shared" si="29"/>
        <v/>
      </c>
      <c r="P227" s="65" t="str">
        <f t="shared" ca="1" si="30"/>
        <v/>
      </c>
      <c r="Q227" s="2"/>
      <c r="R227" s="2"/>
      <c r="S227" s="1" t="str">
        <f t="shared" si="31"/>
        <v/>
      </c>
      <c r="T227" s="1" t="str">
        <f>IF(OR($C227="",$D227&lt;&gt;"Gelir",$L227=""),"",IFERROR(INDEX(MUSTERILER!$B$7:$B$156,MATCH($S227,MUSTERILER!$T$7:$T$156,0)),""))</f>
        <v/>
      </c>
      <c r="U227" s="1" t="str">
        <f>IF($T227="","",$T227&amp;"|"&amp;COUNTIFS($T$7:$T227,$T227))</f>
        <v/>
      </c>
      <c r="V227" s="1">
        <f t="shared" si="32"/>
        <v>0</v>
      </c>
      <c r="W227" s="1" t="str">
        <f t="shared" si="33"/>
        <v/>
      </c>
      <c r="X227" s="1"/>
      <c r="Y227" s="1"/>
      <c r="Z227" s="1"/>
      <c r="AA227" s="1"/>
      <c r="AB227" s="1"/>
      <c r="AC227" s="1"/>
      <c r="AD227" s="1">
        <f>IF($C227="",0,SUMPRODUCT((AY_SONU!$O$7:$O$42="Evet")*(AY_SONU!$B$7:$B$42=DATE(YEAR($C227),MONTH($C227),1))))</f>
        <v>0</v>
      </c>
      <c r="AE227" s="1" t="str">
        <f>IF($E227="","",$E227&amp;"|"&amp;COUNTIFS($E$7:$E227,$E227))</f>
        <v/>
      </c>
    </row>
    <row r="228" spans="1:31" ht="18" customHeight="1" x14ac:dyDescent="0.3">
      <c r="A228" s="2"/>
      <c r="B228" s="65" t="str">
        <f t="shared" si="26"/>
        <v/>
      </c>
      <c r="C228" s="66"/>
      <c r="D228" s="60"/>
      <c r="E228" s="61"/>
      <c r="F228" s="61"/>
      <c r="G228" s="67"/>
      <c r="H228" s="60"/>
      <c r="I228" s="60"/>
      <c r="J228" s="61"/>
      <c r="K228" s="61"/>
      <c r="L228" s="60"/>
      <c r="M228" s="74" t="str">
        <f t="shared" si="27"/>
        <v/>
      </c>
      <c r="N228" s="74" t="str">
        <f t="shared" si="28"/>
        <v/>
      </c>
      <c r="O228" s="73" t="str">
        <f t="shared" si="29"/>
        <v/>
      </c>
      <c r="P228" s="65" t="str">
        <f t="shared" ca="1" si="30"/>
        <v/>
      </c>
      <c r="Q228" s="2"/>
      <c r="R228" s="2"/>
      <c r="S228" s="1" t="str">
        <f t="shared" si="31"/>
        <v/>
      </c>
      <c r="T228" s="1" t="str">
        <f>IF(OR($C228="",$D228&lt;&gt;"Gelir",$L228=""),"",IFERROR(INDEX(MUSTERILER!$B$7:$B$156,MATCH($S228,MUSTERILER!$T$7:$T$156,0)),""))</f>
        <v/>
      </c>
      <c r="U228" s="1" t="str">
        <f>IF($T228="","",$T228&amp;"|"&amp;COUNTIFS($T$7:$T228,$T228))</f>
        <v/>
      </c>
      <c r="V228" s="1">
        <f t="shared" si="32"/>
        <v>0</v>
      </c>
      <c r="W228" s="1" t="str">
        <f t="shared" si="33"/>
        <v/>
      </c>
      <c r="X228" s="1"/>
      <c r="Y228" s="1"/>
      <c r="Z228" s="1"/>
      <c r="AA228" s="1"/>
      <c r="AB228" s="1"/>
      <c r="AC228" s="1"/>
      <c r="AD228" s="1">
        <f>IF($C228="",0,SUMPRODUCT((AY_SONU!$O$7:$O$42="Evet")*(AY_SONU!$B$7:$B$42=DATE(YEAR($C228),MONTH($C228),1))))</f>
        <v>0</v>
      </c>
      <c r="AE228" s="1" t="str">
        <f>IF($E228="","",$E228&amp;"|"&amp;COUNTIFS($E$7:$E228,$E228))</f>
        <v/>
      </c>
    </row>
    <row r="229" spans="1:31" ht="18" customHeight="1" x14ac:dyDescent="0.3">
      <c r="A229" s="2"/>
      <c r="B229" s="65" t="str">
        <f t="shared" si="26"/>
        <v/>
      </c>
      <c r="C229" s="66"/>
      <c r="D229" s="60"/>
      <c r="E229" s="61"/>
      <c r="F229" s="61"/>
      <c r="G229" s="67"/>
      <c r="H229" s="60"/>
      <c r="I229" s="60"/>
      <c r="J229" s="61"/>
      <c r="K229" s="61"/>
      <c r="L229" s="60"/>
      <c r="M229" s="74" t="str">
        <f t="shared" si="27"/>
        <v/>
      </c>
      <c r="N229" s="74" t="str">
        <f t="shared" si="28"/>
        <v/>
      </c>
      <c r="O229" s="73" t="str">
        <f t="shared" si="29"/>
        <v/>
      </c>
      <c r="P229" s="65" t="str">
        <f t="shared" ca="1" si="30"/>
        <v/>
      </c>
      <c r="Q229" s="2"/>
      <c r="R229" s="2"/>
      <c r="S229" s="1" t="str">
        <f t="shared" si="31"/>
        <v/>
      </c>
      <c r="T229" s="1" t="str">
        <f>IF(OR($C229="",$D229&lt;&gt;"Gelir",$L229=""),"",IFERROR(INDEX(MUSTERILER!$B$7:$B$156,MATCH($S229,MUSTERILER!$T$7:$T$156,0)),""))</f>
        <v/>
      </c>
      <c r="U229" s="1" t="str">
        <f>IF($T229="","",$T229&amp;"|"&amp;COUNTIFS($T$7:$T229,$T229))</f>
        <v/>
      </c>
      <c r="V229" s="1">
        <f t="shared" si="32"/>
        <v>0</v>
      </c>
      <c r="W229" s="1" t="str">
        <f t="shared" si="33"/>
        <v/>
      </c>
      <c r="X229" s="1"/>
      <c r="Y229" s="1"/>
      <c r="Z229" s="1"/>
      <c r="AA229" s="1"/>
      <c r="AB229" s="1"/>
      <c r="AC229" s="1"/>
      <c r="AD229" s="1">
        <f>IF($C229="",0,SUMPRODUCT((AY_SONU!$O$7:$O$42="Evet")*(AY_SONU!$B$7:$B$42=DATE(YEAR($C229),MONTH($C229),1))))</f>
        <v>0</v>
      </c>
      <c r="AE229" s="1" t="str">
        <f>IF($E229="","",$E229&amp;"|"&amp;COUNTIFS($E$7:$E229,$E229))</f>
        <v/>
      </c>
    </row>
    <row r="230" spans="1:31" ht="18" customHeight="1" x14ac:dyDescent="0.3">
      <c r="A230" s="2"/>
      <c r="B230" s="65" t="str">
        <f t="shared" si="26"/>
        <v/>
      </c>
      <c r="C230" s="66"/>
      <c r="D230" s="60"/>
      <c r="E230" s="61"/>
      <c r="F230" s="61"/>
      <c r="G230" s="67"/>
      <c r="H230" s="60"/>
      <c r="I230" s="60"/>
      <c r="J230" s="61"/>
      <c r="K230" s="61"/>
      <c r="L230" s="60"/>
      <c r="M230" s="74" t="str">
        <f t="shared" si="27"/>
        <v/>
      </c>
      <c r="N230" s="74" t="str">
        <f t="shared" si="28"/>
        <v/>
      </c>
      <c r="O230" s="73" t="str">
        <f t="shared" si="29"/>
        <v/>
      </c>
      <c r="P230" s="65" t="str">
        <f t="shared" ca="1" si="30"/>
        <v/>
      </c>
      <c r="Q230" s="2"/>
      <c r="R230" s="2"/>
      <c r="S230" s="1" t="str">
        <f t="shared" si="31"/>
        <v/>
      </c>
      <c r="T230" s="1" t="str">
        <f>IF(OR($C230="",$D230&lt;&gt;"Gelir",$L230=""),"",IFERROR(INDEX(MUSTERILER!$B$7:$B$156,MATCH($S230,MUSTERILER!$T$7:$T$156,0)),""))</f>
        <v/>
      </c>
      <c r="U230" s="1" t="str">
        <f>IF($T230="","",$T230&amp;"|"&amp;COUNTIFS($T$7:$T230,$T230))</f>
        <v/>
      </c>
      <c r="V230" s="1">
        <f t="shared" si="32"/>
        <v>0</v>
      </c>
      <c r="W230" s="1" t="str">
        <f t="shared" si="33"/>
        <v/>
      </c>
      <c r="X230" s="1"/>
      <c r="Y230" s="1"/>
      <c r="Z230" s="1"/>
      <c r="AA230" s="1"/>
      <c r="AB230" s="1"/>
      <c r="AC230" s="1"/>
      <c r="AD230" s="1">
        <f>IF($C230="",0,SUMPRODUCT((AY_SONU!$O$7:$O$42="Evet")*(AY_SONU!$B$7:$B$42=DATE(YEAR($C230),MONTH($C230),1))))</f>
        <v>0</v>
      </c>
      <c r="AE230" s="1" t="str">
        <f>IF($E230="","",$E230&amp;"|"&amp;COUNTIFS($E$7:$E230,$E230))</f>
        <v/>
      </c>
    </row>
    <row r="231" spans="1:31" ht="18" customHeight="1" x14ac:dyDescent="0.3">
      <c r="A231" s="2"/>
      <c r="B231" s="65" t="str">
        <f t="shared" si="26"/>
        <v/>
      </c>
      <c r="C231" s="66"/>
      <c r="D231" s="60"/>
      <c r="E231" s="61"/>
      <c r="F231" s="61"/>
      <c r="G231" s="67"/>
      <c r="H231" s="60"/>
      <c r="I231" s="60"/>
      <c r="J231" s="61"/>
      <c r="K231" s="61"/>
      <c r="L231" s="60"/>
      <c r="M231" s="74" t="str">
        <f t="shared" si="27"/>
        <v/>
      </c>
      <c r="N231" s="74" t="str">
        <f t="shared" si="28"/>
        <v/>
      </c>
      <c r="O231" s="73" t="str">
        <f t="shared" si="29"/>
        <v/>
      </c>
      <c r="P231" s="65" t="str">
        <f t="shared" ca="1" si="30"/>
        <v/>
      </c>
      <c r="Q231" s="2"/>
      <c r="R231" s="2"/>
      <c r="S231" s="1" t="str">
        <f t="shared" si="31"/>
        <v/>
      </c>
      <c r="T231" s="1" t="str">
        <f>IF(OR($C231="",$D231&lt;&gt;"Gelir",$L231=""),"",IFERROR(INDEX(MUSTERILER!$B$7:$B$156,MATCH($S231,MUSTERILER!$T$7:$T$156,0)),""))</f>
        <v/>
      </c>
      <c r="U231" s="1" t="str">
        <f>IF($T231="","",$T231&amp;"|"&amp;COUNTIFS($T$7:$T231,$T231))</f>
        <v/>
      </c>
      <c r="V231" s="1">
        <f t="shared" si="32"/>
        <v>0</v>
      </c>
      <c r="W231" s="1" t="str">
        <f t="shared" si="33"/>
        <v/>
      </c>
      <c r="X231" s="1"/>
      <c r="Y231" s="1"/>
      <c r="Z231" s="1"/>
      <c r="AA231" s="1"/>
      <c r="AB231" s="1"/>
      <c r="AC231" s="1"/>
      <c r="AD231" s="1">
        <f>IF($C231="",0,SUMPRODUCT((AY_SONU!$O$7:$O$42="Evet")*(AY_SONU!$B$7:$B$42=DATE(YEAR($C231),MONTH($C231),1))))</f>
        <v>0</v>
      </c>
      <c r="AE231" s="1" t="str">
        <f>IF($E231="","",$E231&amp;"|"&amp;COUNTIFS($E$7:$E231,$E231))</f>
        <v/>
      </c>
    </row>
    <row r="232" spans="1:31" ht="18" customHeight="1" x14ac:dyDescent="0.3">
      <c r="A232" s="2"/>
      <c r="B232" s="65" t="str">
        <f t="shared" si="26"/>
        <v/>
      </c>
      <c r="C232" s="66"/>
      <c r="D232" s="60"/>
      <c r="E232" s="61"/>
      <c r="F232" s="61"/>
      <c r="G232" s="67"/>
      <c r="H232" s="60"/>
      <c r="I232" s="60"/>
      <c r="J232" s="61"/>
      <c r="K232" s="61"/>
      <c r="L232" s="60"/>
      <c r="M232" s="74" t="str">
        <f t="shared" si="27"/>
        <v/>
      </c>
      <c r="N232" s="74" t="str">
        <f t="shared" si="28"/>
        <v/>
      </c>
      <c r="O232" s="73" t="str">
        <f t="shared" si="29"/>
        <v/>
      </c>
      <c r="P232" s="65" t="str">
        <f t="shared" ca="1" si="30"/>
        <v/>
      </c>
      <c r="Q232" s="2"/>
      <c r="R232" s="2"/>
      <c r="S232" s="1" t="str">
        <f t="shared" si="31"/>
        <v/>
      </c>
      <c r="T232" s="1" t="str">
        <f>IF(OR($C232="",$D232&lt;&gt;"Gelir",$L232=""),"",IFERROR(INDEX(MUSTERILER!$B$7:$B$156,MATCH($S232,MUSTERILER!$T$7:$T$156,0)),""))</f>
        <v/>
      </c>
      <c r="U232" s="1" t="str">
        <f>IF($T232="","",$T232&amp;"|"&amp;COUNTIFS($T$7:$T232,$T232))</f>
        <v/>
      </c>
      <c r="V232" s="1">
        <f t="shared" si="32"/>
        <v>0</v>
      </c>
      <c r="W232" s="1" t="str">
        <f t="shared" si="33"/>
        <v/>
      </c>
      <c r="X232" s="1"/>
      <c r="Y232" s="1"/>
      <c r="Z232" s="1"/>
      <c r="AA232" s="1"/>
      <c r="AB232" s="1"/>
      <c r="AC232" s="1"/>
      <c r="AD232" s="1">
        <f>IF($C232="",0,SUMPRODUCT((AY_SONU!$O$7:$O$42="Evet")*(AY_SONU!$B$7:$B$42=DATE(YEAR($C232),MONTH($C232),1))))</f>
        <v>0</v>
      </c>
      <c r="AE232" s="1" t="str">
        <f>IF($E232="","",$E232&amp;"|"&amp;COUNTIFS($E$7:$E232,$E232))</f>
        <v/>
      </c>
    </row>
    <row r="233" spans="1:31" ht="18" customHeight="1" x14ac:dyDescent="0.3">
      <c r="A233" s="2"/>
      <c r="B233" s="65" t="str">
        <f t="shared" si="26"/>
        <v/>
      </c>
      <c r="C233" s="66"/>
      <c r="D233" s="60"/>
      <c r="E233" s="61"/>
      <c r="F233" s="61"/>
      <c r="G233" s="67"/>
      <c r="H233" s="60"/>
      <c r="I233" s="60"/>
      <c r="J233" s="61"/>
      <c r="K233" s="61"/>
      <c r="L233" s="60"/>
      <c r="M233" s="74" t="str">
        <f t="shared" si="27"/>
        <v/>
      </c>
      <c r="N233" s="74" t="str">
        <f t="shared" si="28"/>
        <v/>
      </c>
      <c r="O233" s="73" t="str">
        <f t="shared" si="29"/>
        <v/>
      </c>
      <c r="P233" s="65" t="str">
        <f t="shared" ca="1" si="30"/>
        <v/>
      </c>
      <c r="Q233" s="2"/>
      <c r="R233" s="2"/>
      <c r="S233" s="1" t="str">
        <f t="shared" si="31"/>
        <v/>
      </c>
      <c r="T233" s="1" t="str">
        <f>IF(OR($C233="",$D233&lt;&gt;"Gelir",$L233=""),"",IFERROR(INDEX(MUSTERILER!$B$7:$B$156,MATCH($S233,MUSTERILER!$T$7:$T$156,0)),""))</f>
        <v/>
      </c>
      <c r="U233" s="1" t="str">
        <f>IF($T233="","",$T233&amp;"|"&amp;COUNTIFS($T$7:$T233,$T233))</f>
        <v/>
      </c>
      <c r="V233" s="1">
        <f t="shared" si="32"/>
        <v>0</v>
      </c>
      <c r="W233" s="1" t="str">
        <f t="shared" si="33"/>
        <v/>
      </c>
      <c r="X233" s="1"/>
      <c r="Y233" s="1"/>
      <c r="Z233" s="1"/>
      <c r="AA233" s="1"/>
      <c r="AB233" s="1"/>
      <c r="AC233" s="1"/>
      <c r="AD233" s="1">
        <f>IF($C233="",0,SUMPRODUCT((AY_SONU!$O$7:$O$42="Evet")*(AY_SONU!$B$7:$B$42=DATE(YEAR($C233),MONTH($C233),1))))</f>
        <v>0</v>
      </c>
      <c r="AE233" s="1" t="str">
        <f>IF($E233="","",$E233&amp;"|"&amp;COUNTIFS($E$7:$E233,$E233))</f>
        <v/>
      </c>
    </row>
    <row r="234" spans="1:31" ht="18" customHeight="1" x14ac:dyDescent="0.3">
      <c r="A234" s="2"/>
      <c r="B234" s="65" t="str">
        <f t="shared" si="26"/>
        <v/>
      </c>
      <c r="C234" s="66"/>
      <c r="D234" s="60"/>
      <c r="E234" s="61"/>
      <c r="F234" s="61"/>
      <c r="G234" s="67"/>
      <c r="H234" s="60"/>
      <c r="I234" s="60"/>
      <c r="J234" s="61"/>
      <c r="K234" s="61"/>
      <c r="L234" s="60"/>
      <c r="M234" s="74" t="str">
        <f t="shared" si="27"/>
        <v/>
      </c>
      <c r="N234" s="74" t="str">
        <f t="shared" si="28"/>
        <v/>
      </c>
      <c r="O234" s="73" t="str">
        <f t="shared" si="29"/>
        <v/>
      </c>
      <c r="P234" s="65" t="str">
        <f t="shared" ca="1" si="30"/>
        <v/>
      </c>
      <c r="Q234" s="2"/>
      <c r="R234" s="2"/>
      <c r="S234" s="1" t="str">
        <f t="shared" si="31"/>
        <v/>
      </c>
      <c r="T234" s="1" t="str">
        <f>IF(OR($C234="",$D234&lt;&gt;"Gelir",$L234=""),"",IFERROR(INDEX(MUSTERILER!$B$7:$B$156,MATCH($S234,MUSTERILER!$T$7:$T$156,0)),""))</f>
        <v/>
      </c>
      <c r="U234" s="1" t="str">
        <f>IF($T234="","",$T234&amp;"|"&amp;COUNTIFS($T$7:$T234,$T234))</f>
        <v/>
      </c>
      <c r="V234" s="1">
        <f t="shared" si="32"/>
        <v>0</v>
      </c>
      <c r="W234" s="1" t="str">
        <f t="shared" si="33"/>
        <v/>
      </c>
      <c r="X234" s="1"/>
      <c r="Y234" s="1"/>
      <c r="Z234" s="1"/>
      <c r="AA234" s="1"/>
      <c r="AB234" s="1"/>
      <c r="AC234" s="1"/>
      <c r="AD234" s="1">
        <f>IF($C234="",0,SUMPRODUCT((AY_SONU!$O$7:$O$42="Evet")*(AY_SONU!$B$7:$B$42=DATE(YEAR($C234),MONTH($C234),1))))</f>
        <v>0</v>
      </c>
      <c r="AE234" s="1" t="str">
        <f>IF($E234="","",$E234&amp;"|"&amp;COUNTIFS($E$7:$E234,$E234))</f>
        <v/>
      </c>
    </row>
    <row r="235" spans="1:31" ht="18" customHeight="1" x14ac:dyDescent="0.3">
      <c r="A235" s="2"/>
      <c r="B235" s="65" t="str">
        <f t="shared" si="26"/>
        <v/>
      </c>
      <c r="C235" s="66"/>
      <c r="D235" s="60"/>
      <c r="E235" s="61"/>
      <c r="F235" s="61"/>
      <c r="G235" s="67"/>
      <c r="H235" s="60"/>
      <c r="I235" s="60"/>
      <c r="J235" s="61"/>
      <c r="K235" s="61"/>
      <c r="L235" s="60"/>
      <c r="M235" s="74" t="str">
        <f t="shared" si="27"/>
        <v/>
      </c>
      <c r="N235" s="74" t="str">
        <f t="shared" si="28"/>
        <v/>
      </c>
      <c r="O235" s="73" t="str">
        <f t="shared" si="29"/>
        <v/>
      </c>
      <c r="P235" s="65" t="str">
        <f t="shared" ca="1" si="30"/>
        <v/>
      </c>
      <c r="Q235" s="2"/>
      <c r="R235" s="2"/>
      <c r="S235" s="1" t="str">
        <f t="shared" si="31"/>
        <v/>
      </c>
      <c r="T235" s="1" t="str">
        <f>IF(OR($C235="",$D235&lt;&gt;"Gelir",$L235=""),"",IFERROR(INDEX(MUSTERILER!$B$7:$B$156,MATCH($S235,MUSTERILER!$T$7:$T$156,0)),""))</f>
        <v/>
      </c>
      <c r="U235" s="1" t="str">
        <f>IF($T235="","",$T235&amp;"|"&amp;COUNTIFS($T$7:$T235,$T235))</f>
        <v/>
      </c>
      <c r="V235" s="1">
        <f t="shared" si="32"/>
        <v>0</v>
      </c>
      <c r="W235" s="1" t="str">
        <f t="shared" si="33"/>
        <v/>
      </c>
      <c r="X235" s="1"/>
      <c r="Y235" s="1"/>
      <c r="Z235" s="1"/>
      <c r="AA235" s="1"/>
      <c r="AB235" s="1"/>
      <c r="AC235" s="1"/>
      <c r="AD235" s="1">
        <f>IF($C235="",0,SUMPRODUCT((AY_SONU!$O$7:$O$42="Evet")*(AY_SONU!$B$7:$B$42=DATE(YEAR($C235),MONTH($C235),1))))</f>
        <v>0</v>
      </c>
      <c r="AE235" s="1" t="str">
        <f>IF($E235="","",$E235&amp;"|"&amp;COUNTIFS($E$7:$E235,$E235))</f>
        <v/>
      </c>
    </row>
    <row r="236" spans="1:31" ht="18" customHeight="1" x14ac:dyDescent="0.3">
      <c r="A236" s="2"/>
      <c r="B236" s="65" t="str">
        <f t="shared" si="26"/>
        <v/>
      </c>
      <c r="C236" s="66"/>
      <c r="D236" s="60"/>
      <c r="E236" s="61"/>
      <c r="F236" s="61"/>
      <c r="G236" s="67"/>
      <c r="H236" s="60"/>
      <c r="I236" s="60"/>
      <c r="J236" s="61"/>
      <c r="K236" s="61"/>
      <c r="L236" s="60"/>
      <c r="M236" s="74" t="str">
        <f t="shared" si="27"/>
        <v/>
      </c>
      <c r="N236" s="74" t="str">
        <f t="shared" si="28"/>
        <v/>
      </c>
      <c r="O236" s="73" t="str">
        <f t="shared" si="29"/>
        <v/>
      </c>
      <c r="P236" s="65" t="str">
        <f t="shared" ca="1" si="30"/>
        <v/>
      </c>
      <c r="Q236" s="2"/>
      <c r="R236" s="2"/>
      <c r="S236" s="1" t="str">
        <f t="shared" si="31"/>
        <v/>
      </c>
      <c r="T236" s="1" t="str">
        <f>IF(OR($C236="",$D236&lt;&gt;"Gelir",$L236=""),"",IFERROR(INDEX(MUSTERILER!$B$7:$B$156,MATCH($S236,MUSTERILER!$T$7:$T$156,0)),""))</f>
        <v/>
      </c>
      <c r="U236" s="1" t="str">
        <f>IF($T236="","",$T236&amp;"|"&amp;COUNTIFS($T$7:$T236,$T236))</f>
        <v/>
      </c>
      <c r="V236" s="1">
        <f t="shared" si="32"/>
        <v>0</v>
      </c>
      <c r="W236" s="1" t="str">
        <f t="shared" si="33"/>
        <v/>
      </c>
      <c r="X236" s="1"/>
      <c r="Y236" s="1"/>
      <c r="Z236" s="1"/>
      <c r="AA236" s="1"/>
      <c r="AB236" s="1"/>
      <c r="AC236" s="1"/>
      <c r="AD236" s="1">
        <f>IF($C236="",0,SUMPRODUCT((AY_SONU!$O$7:$O$42="Evet")*(AY_SONU!$B$7:$B$42=DATE(YEAR($C236),MONTH($C236),1))))</f>
        <v>0</v>
      </c>
      <c r="AE236" s="1" t="str">
        <f>IF($E236="","",$E236&amp;"|"&amp;COUNTIFS($E$7:$E236,$E236))</f>
        <v/>
      </c>
    </row>
    <row r="237" spans="1:31" ht="18" customHeight="1" x14ac:dyDescent="0.3">
      <c r="A237" s="2"/>
      <c r="B237" s="65" t="str">
        <f t="shared" si="26"/>
        <v/>
      </c>
      <c r="C237" s="66"/>
      <c r="D237" s="60"/>
      <c r="E237" s="61"/>
      <c r="F237" s="61"/>
      <c r="G237" s="67"/>
      <c r="H237" s="60"/>
      <c r="I237" s="60"/>
      <c r="J237" s="61"/>
      <c r="K237" s="61"/>
      <c r="L237" s="60"/>
      <c r="M237" s="74" t="str">
        <f t="shared" si="27"/>
        <v/>
      </c>
      <c r="N237" s="74" t="str">
        <f t="shared" si="28"/>
        <v/>
      </c>
      <c r="O237" s="73" t="str">
        <f t="shared" si="29"/>
        <v/>
      </c>
      <c r="P237" s="65" t="str">
        <f t="shared" ca="1" si="30"/>
        <v/>
      </c>
      <c r="Q237" s="2"/>
      <c r="R237" s="2"/>
      <c r="S237" s="1" t="str">
        <f t="shared" si="31"/>
        <v/>
      </c>
      <c r="T237" s="1" t="str">
        <f>IF(OR($C237="",$D237&lt;&gt;"Gelir",$L237=""),"",IFERROR(INDEX(MUSTERILER!$B$7:$B$156,MATCH($S237,MUSTERILER!$T$7:$T$156,0)),""))</f>
        <v/>
      </c>
      <c r="U237" s="1" t="str">
        <f>IF($T237="","",$T237&amp;"|"&amp;COUNTIFS($T$7:$T237,$T237))</f>
        <v/>
      </c>
      <c r="V237" s="1">
        <f t="shared" si="32"/>
        <v>0</v>
      </c>
      <c r="W237" s="1" t="str">
        <f t="shared" si="33"/>
        <v/>
      </c>
      <c r="X237" s="1"/>
      <c r="Y237" s="1"/>
      <c r="Z237" s="1"/>
      <c r="AA237" s="1"/>
      <c r="AB237" s="1"/>
      <c r="AC237" s="1"/>
      <c r="AD237" s="1">
        <f>IF($C237="",0,SUMPRODUCT((AY_SONU!$O$7:$O$42="Evet")*(AY_SONU!$B$7:$B$42=DATE(YEAR($C237),MONTH($C237),1))))</f>
        <v>0</v>
      </c>
      <c r="AE237" s="1" t="str">
        <f>IF($E237="","",$E237&amp;"|"&amp;COUNTIFS($E$7:$E237,$E237))</f>
        <v/>
      </c>
    </row>
    <row r="238" spans="1:31" ht="18" customHeight="1" x14ac:dyDescent="0.3">
      <c r="A238" s="2"/>
      <c r="B238" s="65" t="str">
        <f t="shared" si="26"/>
        <v/>
      </c>
      <c r="C238" s="66"/>
      <c r="D238" s="60"/>
      <c r="E238" s="61"/>
      <c r="F238" s="61"/>
      <c r="G238" s="67"/>
      <c r="H238" s="60"/>
      <c r="I238" s="60"/>
      <c r="J238" s="61"/>
      <c r="K238" s="61"/>
      <c r="L238" s="60"/>
      <c r="M238" s="74" t="str">
        <f t="shared" si="27"/>
        <v/>
      </c>
      <c r="N238" s="74" t="str">
        <f t="shared" si="28"/>
        <v/>
      </c>
      <c r="O238" s="73" t="str">
        <f t="shared" si="29"/>
        <v/>
      </c>
      <c r="P238" s="65" t="str">
        <f t="shared" ca="1" si="30"/>
        <v/>
      </c>
      <c r="Q238" s="2"/>
      <c r="R238" s="2"/>
      <c r="S238" s="1" t="str">
        <f t="shared" si="31"/>
        <v/>
      </c>
      <c r="T238" s="1" t="str">
        <f>IF(OR($C238="",$D238&lt;&gt;"Gelir",$L238=""),"",IFERROR(INDEX(MUSTERILER!$B$7:$B$156,MATCH($S238,MUSTERILER!$T$7:$T$156,0)),""))</f>
        <v/>
      </c>
      <c r="U238" s="1" t="str">
        <f>IF($T238="","",$T238&amp;"|"&amp;COUNTIFS($T$7:$T238,$T238))</f>
        <v/>
      </c>
      <c r="V238" s="1">
        <f t="shared" si="32"/>
        <v>0</v>
      </c>
      <c r="W238" s="1" t="str">
        <f t="shared" si="33"/>
        <v/>
      </c>
      <c r="X238" s="1"/>
      <c r="Y238" s="1"/>
      <c r="Z238" s="1"/>
      <c r="AA238" s="1"/>
      <c r="AB238" s="1"/>
      <c r="AC238" s="1"/>
      <c r="AD238" s="1">
        <f>IF($C238="",0,SUMPRODUCT((AY_SONU!$O$7:$O$42="Evet")*(AY_SONU!$B$7:$B$42=DATE(YEAR($C238),MONTH($C238),1))))</f>
        <v>0</v>
      </c>
      <c r="AE238" s="1" t="str">
        <f>IF($E238="","",$E238&amp;"|"&amp;COUNTIFS($E$7:$E238,$E238))</f>
        <v/>
      </c>
    </row>
    <row r="239" spans="1:31" ht="18" customHeight="1" x14ac:dyDescent="0.3">
      <c r="A239" s="2"/>
      <c r="B239" s="65" t="str">
        <f t="shared" si="26"/>
        <v/>
      </c>
      <c r="C239" s="66"/>
      <c r="D239" s="60"/>
      <c r="E239" s="61"/>
      <c r="F239" s="61"/>
      <c r="G239" s="67"/>
      <c r="H239" s="60"/>
      <c r="I239" s="60"/>
      <c r="J239" s="61"/>
      <c r="K239" s="61"/>
      <c r="L239" s="60"/>
      <c r="M239" s="74" t="str">
        <f t="shared" si="27"/>
        <v/>
      </c>
      <c r="N239" s="74" t="str">
        <f t="shared" si="28"/>
        <v/>
      </c>
      <c r="O239" s="73" t="str">
        <f t="shared" si="29"/>
        <v/>
      </c>
      <c r="P239" s="65" t="str">
        <f t="shared" ca="1" si="30"/>
        <v/>
      </c>
      <c r="Q239" s="2"/>
      <c r="R239" s="2"/>
      <c r="S239" s="1" t="str">
        <f t="shared" si="31"/>
        <v/>
      </c>
      <c r="T239" s="1" t="str">
        <f>IF(OR($C239="",$D239&lt;&gt;"Gelir",$L239=""),"",IFERROR(INDEX(MUSTERILER!$B$7:$B$156,MATCH($S239,MUSTERILER!$T$7:$T$156,0)),""))</f>
        <v/>
      </c>
      <c r="U239" s="1" t="str">
        <f>IF($T239="","",$T239&amp;"|"&amp;COUNTIFS($T$7:$T239,$T239))</f>
        <v/>
      </c>
      <c r="V239" s="1">
        <f t="shared" si="32"/>
        <v>0</v>
      </c>
      <c r="W239" s="1" t="str">
        <f t="shared" si="33"/>
        <v/>
      </c>
      <c r="X239" s="1"/>
      <c r="Y239" s="1"/>
      <c r="Z239" s="1"/>
      <c r="AA239" s="1"/>
      <c r="AB239" s="1"/>
      <c r="AC239" s="1"/>
      <c r="AD239" s="1">
        <f>IF($C239="",0,SUMPRODUCT((AY_SONU!$O$7:$O$42="Evet")*(AY_SONU!$B$7:$B$42=DATE(YEAR($C239),MONTH($C239),1))))</f>
        <v>0</v>
      </c>
      <c r="AE239" s="1" t="str">
        <f>IF($E239="","",$E239&amp;"|"&amp;COUNTIFS($E$7:$E239,$E239))</f>
        <v/>
      </c>
    </row>
    <row r="240" spans="1:31" ht="18" customHeight="1" x14ac:dyDescent="0.3">
      <c r="A240" s="2"/>
      <c r="B240" s="65" t="str">
        <f t="shared" si="26"/>
        <v/>
      </c>
      <c r="C240" s="66"/>
      <c r="D240" s="60"/>
      <c r="E240" s="61"/>
      <c r="F240" s="61"/>
      <c r="G240" s="67"/>
      <c r="H240" s="60"/>
      <c r="I240" s="60"/>
      <c r="J240" s="61"/>
      <c r="K240" s="61"/>
      <c r="L240" s="60"/>
      <c r="M240" s="74" t="str">
        <f t="shared" si="27"/>
        <v/>
      </c>
      <c r="N240" s="74" t="str">
        <f t="shared" si="28"/>
        <v/>
      </c>
      <c r="O240" s="73" t="str">
        <f t="shared" si="29"/>
        <v/>
      </c>
      <c r="P240" s="65" t="str">
        <f t="shared" ca="1" si="30"/>
        <v/>
      </c>
      <c r="Q240" s="2"/>
      <c r="R240" s="2"/>
      <c r="S240" s="1" t="str">
        <f t="shared" si="31"/>
        <v/>
      </c>
      <c r="T240" s="1" t="str">
        <f>IF(OR($C240="",$D240&lt;&gt;"Gelir",$L240=""),"",IFERROR(INDEX(MUSTERILER!$B$7:$B$156,MATCH($S240,MUSTERILER!$T$7:$T$156,0)),""))</f>
        <v/>
      </c>
      <c r="U240" s="1" t="str">
        <f>IF($T240="","",$T240&amp;"|"&amp;COUNTIFS($T$7:$T240,$T240))</f>
        <v/>
      </c>
      <c r="V240" s="1">
        <f t="shared" si="32"/>
        <v>0</v>
      </c>
      <c r="W240" s="1" t="str">
        <f t="shared" si="33"/>
        <v/>
      </c>
      <c r="X240" s="1"/>
      <c r="Y240" s="1"/>
      <c r="Z240" s="1"/>
      <c r="AA240" s="1"/>
      <c r="AB240" s="1"/>
      <c r="AC240" s="1"/>
      <c r="AD240" s="1">
        <f>IF($C240="",0,SUMPRODUCT((AY_SONU!$O$7:$O$42="Evet")*(AY_SONU!$B$7:$B$42=DATE(YEAR($C240),MONTH($C240),1))))</f>
        <v>0</v>
      </c>
      <c r="AE240" s="1" t="str">
        <f>IF($E240="","",$E240&amp;"|"&amp;COUNTIFS($E$7:$E240,$E240))</f>
        <v/>
      </c>
    </row>
    <row r="241" spans="1:31" ht="18" customHeight="1" x14ac:dyDescent="0.3">
      <c r="A241" s="2"/>
      <c r="B241" s="65" t="str">
        <f t="shared" si="26"/>
        <v/>
      </c>
      <c r="C241" s="66"/>
      <c r="D241" s="60"/>
      <c r="E241" s="61"/>
      <c r="F241" s="61"/>
      <c r="G241" s="67"/>
      <c r="H241" s="60"/>
      <c r="I241" s="60"/>
      <c r="J241" s="61"/>
      <c r="K241" s="61"/>
      <c r="L241" s="60"/>
      <c r="M241" s="74" t="str">
        <f t="shared" si="27"/>
        <v/>
      </c>
      <c r="N241" s="74" t="str">
        <f t="shared" si="28"/>
        <v/>
      </c>
      <c r="O241" s="73" t="str">
        <f t="shared" si="29"/>
        <v/>
      </c>
      <c r="P241" s="65" t="str">
        <f t="shared" ca="1" si="30"/>
        <v/>
      </c>
      <c r="Q241" s="2"/>
      <c r="R241" s="2"/>
      <c r="S241" s="1" t="str">
        <f t="shared" si="31"/>
        <v/>
      </c>
      <c r="T241" s="1" t="str">
        <f>IF(OR($C241="",$D241&lt;&gt;"Gelir",$L241=""),"",IFERROR(INDEX(MUSTERILER!$B$7:$B$156,MATCH($S241,MUSTERILER!$T$7:$T$156,0)),""))</f>
        <v/>
      </c>
      <c r="U241" s="1" t="str">
        <f>IF($T241="","",$T241&amp;"|"&amp;COUNTIFS($T$7:$T241,$T241))</f>
        <v/>
      </c>
      <c r="V241" s="1">
        <f t="shared" si="32"/>
        <v>0</v>
      </c>
      <c r="W241" s="1" t="str">
        <f t="shared" si="33"/>
        <v/>
      </c>
      <c r="X241" s="1"/>
      <c r="Y241" s="1"/>
      <c r="Z241" s="1"/>
      <c r="AA241" s="1"/>
      <c r="AB241" s="1"/>
      <c r="AC241" s="1"/>
      <c r="AD241" s="1">
        <f>IF($C241="",0,SUMPRODUCT((AY_SONU!$O$7:$O$42="Evet")*(AY_SONU!$B$7:$B$42=DATE(YEAR($C241),MONTH($C241),1))))</f>
        <v>0</v>
      </c>
      <c r="AE241" s="1" t="str">
        <f>IF($E241="","",$E241&amp;"|"&amp;COUNTIFS($E$7:$E241,$E241))</f>
        <v/>
      </c>
    </row>
    <row r="242" spans="1:31" ht="18" customHeight="1" x14ac:dyDescent="0.3">
      <c r="A242" s="2"/>
      <c r="B242" s="65" t="str">
        <f t="shared" si="26"/>
        <v/>
      </c>
      <c r="C242" s="66"/>
      <c r="D242" s="60"/>
      <c r="E242" s="61"/>
      <c r="F242" s="61"/>
      <c r="G242" s="67"/>
      <c r="H242" s="60"/>
      <c r="I242" s="60"/>
      <c r="J242" s="61"/>
      <c r="K242" s="61"/>
      <c r="L242" s="60"/>
      <c r="M242" s="74" t="str">
        <f t="shared" si="27"/>
        <v/>
      </c>
      <c r="N242" s="74" t="str">
        <f t="shared" si="28"/>
        <v/>
      </c>
      <c r="O242" s="73" t="str">
        <f t="shared" si="29"/>
        <v/>
      </c>
      <c r="P242" s="65" t="str">
        <f t="shared" ca="1" si="30"/>
        <v/>
      </c>
      <c r="Q242" s="2"/>
      <c r="R242" s="2"/>
      <c r="S242" s="1" t="str">
        <f t="shared" si="31"/>
        <v/>
      </c>
      <c r="T242" s="1" t="str">
        <f>IF(OR($C242="",$D242&lt;&gt;"Gelir",$L242=""),"",IFERROR(INDEX(MUSTERILER!$B$7:$B$156,MATCH($S242,MUSTERILER!$T$7:$T$156,0)),""))</f>
        <v/>
      </c>
      <c r="U242" s="1" t="str">
        <f>IF($T242="","",$T242&amp;"|"&amp;COUNTIFS($T$7:$T242,$T242))</f>
        <v/>
      </c>
      <c r="V242" s="1">
        <f t="shared" si="32"/>
        <v>0</v>
      </c>
      <c r="W242" s="1" t="str">
        <f t="shared" si="33"/>
        <v/>
      </c>
      <c r="X242" s="1"/>
      <c r="Y242" s="1"/>
      <c r="Z242" s="1"/>
      <c r="AA242" s="1"/>
      <c r="AB242" s="1"/>
      <c r="AC242" s="1"/>
      <c r="AD242" s="1">
        <f>IF($C242="",0,SUMPRODUCT((AY_SONU!$O$7:$O$42="Evet")*(AY_SONU!$B$7:$B$42=DATE(YEAR($C242),MONTH($C242),1))))</f>
        <v>0</v>
      </c>
      <c r="AE242" s="1" t="str">
        <f>IF($E242="","",$E242&amp;"|"&amp;COUNTIFS($E$7:$E242,$E242))</f>
        <v/>
      </c>
    </row>
    <row r="243" spans="1:31" ht="18" customHeight="1" x14ac:dyDescent="0.3">
      <c r="A243" s="2"/>
      <c r="B243" s="65" t="str">
        <f t="shared" si="26"/>
        <v/>
      </c>
      <c r="C243" s="66"/>
      <c r="D243" s="60"/>
      <c r="E243" s="61"/>
      <c r="F243" s="61"/>
      <c r="G243" s="67"/>
      <c r="H243" s="60"/>
      <c r="I243" s="60"/>
      <c r="J243" s="61"/>
      <c r="K243" s="61"/>
      <c r="L243" s="60"/>
      <c r="M243" s="74" t="str">
        <f t="shared" si="27"/>
        <v/>
      </c>
      <c r="N243" s="74" t="str">
        <f t="shared" si="28"/>
        <v/>
      </c>
      <c r="O243" s="73" t="str">
        <f t="shared" si="29"/>
        <v/>
      </c>
      <c r="P243" s="65" t="str">
        <f t="shared" ca="1" si="30"/>
        <v/>
      </c>
      <c r="Q243" s="2"/>
      <c r="R243" s="2"/>
      <c r="S243" s="1" t="str">
        <f t="shared" si="31"/>
        <v/>
      </c>
      <c r="T243" s="1" t="str">
        <f>IF(OR($C243="",$D243&lt;&gt;"Gelir",$L243=""),"",IFERROR(INDEX(MUSTERILER!$B$7:$B$156,MATCH($S243,MUSTERILER!$T$7:$T$156,0)),""))</f>
        <v/>
      </c>
      <c r="U243" s="1" t="str">
        <f>IF($T243="","",$T243&amp;"|"&amp;COUNTIFS($T$7:$T243,$T243))</f>
        <v/>
      </c>
      <c r="V243" s="1">
        <f t="shared" si="32"/>
        <v>0</v>
      </c>
      <c r="W243" s="1" t="str">
        <f t="shared" si="33"/>
        <v/>
      </c>
      <c r="X243" s="1"/>
      <c r="Y243" s="1"/>
      <c r="Z243" s="1"/>
      <c r="AA243" s="1"/>
      <c r="AB243" s="1"/>
      <c r="AC243" s="1"/>
      <c r="AD243" s="1">
        <f>IF($C243="",0,SUMPRODUCT((AY_SONU!$O$7:$O$42="Evet")*(AY_SONU!$B$7:$B$42=DATE(YEAR($C243),MONTH($C243),1))))</f>
        <v>0</v>
      </c>
      <c r="AE243" s="1" t="str">
        <f>IF($E243="","",$E243&amp;"|"&amp;COUNTIFS($E$7:$E243,$E243))</f>
        <v/>
      </c>
    </row>
    <row r="244" spans="1:31" ht="18" customHeight="1" x14ac:dyDescent="0.3">
      <c r="A244" s="2"/>
      <c r="B244" s="65" t="str">
        <f t="shared" si="26"/>
        <v/>
      </c>
      <c r="C244" s="66"/>
      <c r="D244" s="60"/>
      <c r="E244" s="61"/>
      <c r="F244" s="61"/>
      <c r="G244" s="67"/>
      <c r="H244" s="60"/>
      <c r="I244" s="60"/>
      <c r="J244" s="61"/>
      <c r="K244" s="61"/>
      <c r="L244" s="60"/>
      <c r="M244" s="74" t="str">
        <f t="shared" si="27"/>
        <v/>
      </c>
      <c r="N244" s="74" t="str">
        <f t="shared" si="28"/>
        <v/>
      </c>
      <c r="O244" s="73" t="str">
        <f t="shared" si="29"/>
        <v/>
      </c>
      <c r="P244" s="65" t="str">
        <f t="shared" ca="1" si="30"/>
        <v/>
      </c>
      <c r="Q244" s="2"/>
      <c r="R244" s="2"/>
      <c r="S244" s="1" t="str">
        <f t="shared" si="31"/>
        <v/>
      </c>
      <c r="T244" s="1" t="str">
        <f>IF(OR($C244="",$D244&lt;&gt;"Gelir",$L244=""),"",IFERROR(INDEX(MUSTERILER!$B$7:$B$156,MATCH($S244,MUSTERILER!$T$7:$T$156,0)),""))</f>
        <v/>
      </c>
      <c r="U244" s="1" t="str">
        <f>IF($T244="","",$T244&amp;"|"&amp;COUNTIFS($T$7:$T244,$T244))</f>
        <v/>
      </c>
      <c r="V244" s="1">
        <f t="shared" si="32"/>
        <v>0</v>
      </c>
      <c r="W244" s="1" t="str">
        <f t="shared" si="33"/>
        <v/>
      </c>
      <c r="X244" s="1"/>
      <c r="Y244" s="1"/>
      <c r="Z244" s="1"/>
      <c r="AA244" s="1"/>
      <c r="AB244" s="1"/>
      <c r="AC244" s="1"/>
      <c r="AD244" s="1">
        <f>IF($C244="",0,SUMPRODUCT((AY_SONU!$O$7:$O$42="Evet")*(AY_SONU!$B$7:$B$42=DATE(YEAR($C244),MONTH($C244),1))))</f>
        <v>0</v>
      </c>
      <c r="AE244" s="1" t="str">
        <f>IF($E244="","",$E244&amp;"|"&amp;COUNTIFS($E$7:$E244,$E244))</f>
        <v/>
      </c>
    </row>
    <row r="245" spans="1:31" ht="18" customHeight="1" x14ac:dyDescent="0.3">
      <c r="A245" s="2"/>
      <c r="B245" s="65" t="str">
        <f t="shared" si="26"/>
        <v/>
      </c>
      <c r="C245" s="66"/>
      <c r="D245" s="60"/>
      <c r="E245" s="61"/>
      <c r="F245" s="61"/>
      <c r="G245" s="67"/>
      <c r="H245" s="60"/>
      <c r="I245" s="60"/>
      <c r="J245" s="61"/>
      <c r="K245" s="61"/>
      <c r="L245" s="60"/>
      <c r="M245" s="74" t="str">
        <f t="shared" si="27"/>
        <v/>
      </c>
      <c r="N245" s="74" t="str">
        <f t="shared" si="28"/>
        <v/>
      </c>
      <c r="O245" s="73" t="str">
        <f t="shared" si="29"/>
        <v/>
      </c>
      <c r="P245" s="65" t="str">
        <f t="shared" ca="1" si="30"/>
        <v/>
      </c>
      <c r="Q245" s="2"/>
      <c r="R245" s="2"/>
      <c r="S245" s="1" t="str">
        <f t="shared" si="31"/>
        <v/>
      </c>
      <c r="T245" s="1" t="str">
        <f>IF(OR($C245="",$D245&lt;&gt;"Gelir",$L245=""),"",IFERROR(INDEX(MUSTERILER!$B$7:$B$156,MATCH($S245,MUSTERILER!$T$7:$T$156,0)),""))</f>
        <v/>
      </c>
      <c r="U245" s="1" t="str">
        <f>IF($T245="","",$T245&amp;"|"&amp;COUNTIFS($T$7:$T245,$T245))</f>
        <v/>
      </c>
      <c r="V245" s="1">
        <f t="shared" si="32"/>
        <v>0</v>
      </c>
      <c r="W245" s="1" t="str">
        <f t="shared" si="33"/>
        <v/>
      </c>
      <c r="X245" s="1"/>
      <c r="Y245" s="1"/>
      <c r="Z245" s="1"/>
      <c r="AA245" s="1"/>
      <c r="AB245" s="1"/>
      <c r="AC245" s="1"/>
      <c r="AD245" s="1">
        <f>IF($C245="",0,SUMPRODUCT((AY_SONU!$O$7:$O$42="Evet")*(AY_SONU!$B$7:$B$42=DATE(YEAR($C245),MONTH($C245),1))))</f>
        <v>0</v>
      </c>
      <c r="AE245" s="1" t="str">
        <f>IF($E245="","",$E245&amp;"|"&amp;COUNTIFS($E$7:$E245,$E245))</f>
        <v/>
      </c>
    </row>
    <row r="246" spans="1:31" ht="18" customHeight="1" x14ac:dyDescent="0.3">
      <c r="A246" s="2"/>
      <c r="B246" s="65" t="str">
        <f t="shared" si="26"/>
        <v/>
      </c>
      <c r="C246" s="66"/>
      <c r="D246" s="60"/>
      <c r="E246" s="61"/>
      <c r="F246" s="61"/>
      <c r="G246" s="67"/>
      <c r="H246" s="60"/>
      <c r="I246" s="60"/>
      <c r="J246" s="61"/>
      <c r="K246" s="61"/>
      <c r="L246" s="60"/>
      <c r="M246" s="74" t="str">
        <f t="shared" si="27"/>
        <v/>
      </c>
      <c r="N246" s="74" t="str">
        <f t="shared" si="28"/>
        <v/>
      </c>
      <c r="O246" s="73" t="str">
        <f t="shared" si="29"/>
        <v/>
      </c>
      <c r="P246" s="65" t="str">
        <f t="shared" ca="1" si="30"/>
        <v/>
      </c>
      <c r="Q246" s="2"/>
      <c r="R246" s="2"/>
      <c r="S246" s="1" t="str">
        <f t="shared" si="31"/>
        <v/>
      </c>
      <c r="T246" s="1" t="str">
        <f>IF(OR($C246="",$D246&lt;&gt;"Gelir",$L246=""),"",IFERROR(INDEX(MUSTERILER!$B$7:$B$156,MATCH($S246,MUSTERILER!$T$7:$T$156,0)),""))</f>
        <v/>
      </c>
      <c r="U246" s="1" t="str">
        <f>IF($T246="","",$T246&amp;"|"&amp;COUNTIFS($T$7:$T246,$T246))</f>
        <v/>
      </c>
      <c r="V246" s="1">
        <f t="shared" si="32"/>
        <v>0</v>
      </c>
      <c r="W246" s="1" t="str">
        <f t="shared" si="33"/>
        <v/>
      </c>
      <c r="X246" s="1"/>
      <c r="Y246" s="1"/>
      <c r="Z246" s="1"/>
      <c r="AA246" s="1"/>
      <c r="AB246" s="1"/>
      <c r="AC246" s="1"/>
      <c r="AD246" s="1">
        <f>IF($C246="",0,SUMPRODUCT((AY_SONU!$O$7:$O$42="Evet")*(AY_SONU!$B$7:$B$42=DATE(YEAR($C246),MONTH($C246),1))))</f>
        <v>0</v>
      </c>
      <c r="AE246" s="1" t="str">
        <f>IF($E246="","",$E246&amp;"|"&amp;COUNTIFS($E$7:$E246,$E246))</f>
        <v/>
      </c>
    </row>
    <row r="247" spans="1:31" ht="18" customHeight="1" x14ac:dyDescent="0.3">
      <c r="A247" s="2"/>
      <c r="B247" s="65" t="str">
        <f t="shared" si="26"/>
        <v/>
      </c>
      <c r="C247" s="66"/>
      <c r="D247" s="60"/>
      <c r="E247" s="61"/>
      <c r="F247" s="61"/>
      <c r="G247" s="67"/>
      <c r="H247" s="60"/>
      <c r="I247" s="60"/>
      <c r="J247" s="61"/>
      <c r="K247" s="61"/>
      <c r="L247" s="60"/>
      <c r="M247" s="74" t="str">
        <f t="shared" si="27"/>
        <v/>
      </c>
      <c r="N247" s="74" t="str">
        <f t="shared" si="28"/>
        <v/>
      </c>
      <c r="O247" s="73" t="str">
        <f t="shared" si="29"/>
        <v/>
      </c>
      <c r="P247" s="65" t="str">
        <f t="shared" ca="1" si="30"/>
        <v/>
      </c>
      <c r="Q247" s="2"/>
      <c r="R247" s="2"/>
      <c r="S247" s="1" t="str">
        <f t="shared" si="31"/>
        <v/>
      </c>
      <c r="T247" s="1" t="str">
        <f>IF(OR($C247="",$D247&lt;&gt;"Gelir",$L247=""),"",IFERROR(INDEX(MUSTERILER!$B$7:$B$156,MATCH($S247,MUSTERILER!$T$7:$T$156,0)),""))</f>
        <v/>
      </c>
      <c r="U247" s="1" t="str">
        <f>IF($T247="","",$T247&amp;"|"&amp;COUNTIFS($T$7:$T247,$T247))</f>
        <v/>
      </c>
      <c r="V247" s="1">
        <f t="shared" si="32"/>
        <v>0</v>
      </c>
      <c r="W247" s="1" t="str">
        <f t="shared" si="33"/>
        <v/>
      </c>
      <c r="X247" s="1"/>
      <c r="Y247" s="1"/>
      <c r="Z247" s="1"/>
      <c r="AA247" s="1"/>
      <c r="AB247" s="1"/>
      <c r="AC247" s="1"/>
      <c r="AD247" s="1">
        <f>IF($C247="",0,SUMPRODUCT((AY_SONU!$O$7:$O$42="Evet")*(AY_SONU!$B$7:$B$42=DATE(YEAR($C247),MONTH($C247),1))))</f>
        <v>0</v>
      </c>
      <c r="AE247" s="1" t="str">
        <f>IF($E247="","",$E247&amp;"|"&amp;COUNTIFS($E$7:$E247,$E247))</f>
        <v/>
      </c>
    </row>
    <row r="248" spans="1:31" ht="18" customHeight="1" x14ac:dyDescent="0.3">
      <c r="A248" s="2"/>
      <c r="B248" s="65" t="str">
        <f t="shared" si="26"/>
        <v/>
      </c>
      <c r="C248" s="66"/>
      <c r="D248" s="60"/>
      <c r="E248" s="61"/>
      <c r="F248" s="61"/>
      <c r="G248" s="67"/>
      <c r="H248" s="60"/>
      <c r="I248" s="60"/>
      <c r="J248" s="61"/>
      <c r="K248" s="61"/>
      <c r="L248" s="60"/>
      <c r="M248" s="74" t="str">
        <f t="shared" si="27"/>
        <v/>
      </c>
      <c r="N248" s="74" t="str">
        <f t="shared" si="28"/>
        <v/>
      </c>
      <c r="O248" s="73" t="str">
        <f t="shared" si="29"/>
        <v/>
      </c>
      <c r="P248" s="65" t="str">
        <f t="shared" ca="1" si="30"/>
        <v/>
      </c>
      <c r="Q248" s="2"/>
      <c r="R248" s="2"/>
      <c r="S248" s="1" t="str">
        <f t="shared" si="31"/>
        <v/>
      </c>
      <c r="T248" s="1" t="str">
        <f>IF(OR($C248="",$D248&lt;&gt;"Gelir",$L248=""),"",IFERROR(INDEX(MUSTERILER!$B$7:$B$156,MATCH($S248,MUSTERILER!$T$7:$T$156,0)),""))</f>
        <v/>
      </c>
      <c r="U248" s="1" t="str">
        <f>IF($T248="","",$T248&amp;"|"&amp;COUNTIFS($T$7:$T248,$T248))</f>
        <v/>
      </c>
      <c r="V248" s="1">
        <f t="shared" si="32"/>
        <v>0</v>
      </c>
      <c r="W248" s="1" t="str">
        <f t="shared" si="33"/>
        <v/>
      </c>
      <c r="X248" s="1"/>
      <c r="Y248" s="1"/>
      <c r="Z248" s="1"/>
      <c r="AA248" s="1"/>
      <c r="AB248" s="1"/>
      <c r="AC248" s="1"/>
      <c r="AD248" s="1">
        <f>IF($C248="",0,SUMPRODUCT((AY_SONU!$O$7:$O$42="Evet")*(AY_SONU!$B$7:$B$42=DATE(YEAR($C248),MONTH($C248),1))))</f>
        <v>0</v>
      </c>
      <c r="AE248" s="1" t="str">
        <f>IF($E248="","",$E248&amp;"|"&amp;COUNTIFS($E$7:$E248,$E248))</f>
        <v/>
      </c>
    </row>
    <row r="249" spans="1:31" ht="18" customHeight="1" x14ac:dyDescent="0.3">
      <c r="A249" s="2"/>
      <c r="B249" s="65" t="str">
        <f t="shared" si="26"/>
        <v/>
      </c>
      <c r="C249" s="66"/>
      <c r="D249" s="60"/>
      <c r="E249" s="61"/>
      <c r="F249" s="61"/>
      <c r="G249" s="67"/>
      <c r="H249" s="60"/>
      <c r="I249" s="60"/>
      <c r="J249" s="61"/>
      <c r="K249" s="61"/>
      <c r="L249" s="60"/>
      <c r="M249" s="74" t="str">
        <f t="shared" si="27"/>
        <v/>
      </c>
      <c r="N249" s="74" t="str">
        <f t="shared" si="28"/>
        <v/>
      </c>
      <c r="O249" s="73" t="str">
        <f t="shared" si="29"/>
        <v/>
      </c>
      <c r="P249" s="65" t="str">
        <f t="shared" ca="1" si="30"/>
        <v/>
      </c>
      <c r="Q249" s="2"/>
      <c r="R249" s="2"/>
      <c r="S249" s="1" t="str">
        <f t="shared" si="31"/>
        <v/>
      </c>
      <c r="T249" s="1" t="str">
        <f>IF(OR($C249="",$D249&lt;&gt;"Gelir",$L249=""),"",IFERROR(INDEX(MUSTERILER!$B$7:$B$156,MATCH($S249,MUSTERILER!$T$7:$T$156,0)),""))</f>
        <v/>
      </c>
      <c r="U249" s="1" t="str">
        <f>IF($T249="","",$T249&amp;"|"&amp;COUNTIFS($T$7:$T249,$T249))</f>
        <v/>
      </c>
      <c r="V249" s="1">
        <f t="shared" si="32"/>
        <v>0</v>
      </c>
      <c r="W249" s="1" t="str">
        <f t="shared" si="33"/>
        <v/>
      </c>
      <c r="X249" s="1"/>
      <c r="Y249" s="1"/>
      <c r="Z249" s="1"/>
      <c r="AA249" s="1"/>
      <c r="AB249" s="1"/>
      <c r="AC249" s="1"/>
      <c r="AD249" s="1">
        <f>IF($C249="",0,SUMPRODUCT((AY_SONU!$O$7:$O$42="Evet")*(AY_SONU!$B$7:$B$42=DATE(YEAR($C249),MONTH($C249),1))))</f>
        <v>0</v>
      </c>
      <c r="AE249" s="1" t="str">
        <f>IF($E249="","",$E249&amp;"|"&amp;COUNTIFS($E$7:$E249,$E249))</f>
        <v/>
      </c>
    </row>
    <row r="250" spans="1:31" ht="18" customHeight="1" x14ac:dyDescent="0.3">
      <c r="A250" s="2"/>
      <c r="B250" s="65" t="str">
        <f t="shared" si="26"/>
        <v/>
      </c>
      <c r="C250" s="66"/>
      <c r="D250" s="60"/>
      <c r="E250" s="61"/>
      <c r="F250" s="61"/>
      <c r="G250" s="67"/>
      <c r="H250" s="60"/>
      <c r="I250" s="60"/>
      <c r="J250" s="61"/>
      <c r="K250" s="61"/>
      <c r="L250" s="60"/>
      <c r="M250" s="74" t="str">
        <f t="shared" si="27"/>
        <v/>
      </c>
      <c r="N250" s="74" t="str">
        <f t="shared" si="28"/>
        <v/>
      </c>
      <c r="O250" s="73" t="str">
        <f t="shared" si="29"/>
        <v/>
      </c>
      <c r="P250" s="65" t="str">
        <f t="shared" ca="1" si="30"/>
        <v/>
      </c>
      <c r="Q250" s="2"/>
      <c r="R250" s="2"/>
      <c r="S250" s="1" t="str">
        <f t="shared" si="31"/>
        <v/>
      </c>
      <c r="T250" s="1" t="str">
        <f>IF(OR($C250="",$D250&lt;&gt;"Gelir",$L250=""),"",IFERROR(INDEX(MUSTERILER!$B$7:$B$156,MATCH($S250,MUSTERILER!$T$7:$T$156,0)),""))</f>
        <v/>
      </c>
      <c r="U250" s="1" t="str">
        <f>IF($T250="","",$T250&amp;"|"&amp;COUNTIFS($T$7:$T250,$T250))</f>
        <v/>
      </c>
      <c r="V250" s="1">
        <f t="shared" si="32"/>
        <v>0</v>
      </c>
      <c r="W250" s="1" t="str">
        <f t="shared" si="33"/>
        <v/>
      </c>
      <c r="X250" s="1"/>
      <c r="Y250" s="1"/>
      <c r="Z250" s="1"/>
      <c r="AA250" s="1"/>
      <c r="AB250" s="1"/>
      <c r="AC250" s="1"/>
      <c r="AD250" s="1">
        <f>IF($C250="",0,SUMPRODUCT((AY_SONU!$O$7:$O$42="Evet")*(AY_SONU!$B$7:$B$42=DATE(YEAR($C250),MONTH($C250),1))))</f>
        <v>0</v>
      </c>
      <c r="AE250" s="1" t="str">
        <f>IF($E250="","",$E250&amp;"|"&amp;COUNTIFS($E$7:$E250,$E250))</f>
        <v/>
      </c>
    </row>
    <row r="251" spans="1:31" ht="18" customHeight="1" x14ac:dyDescent="0.3">
      <c r="A251" s="2"/>
      <c r="B251" s="65" t="str">
        <f t="shared" si="26"/>
        <v/>
      </c>
      <c r="C251" s="66"/>
      <c r="D251" s="60"/>
      <c r="E251" s="61"/>
      <c r="F251" s="61"/>
      <c r="G251" s="67"/>
      <c r="H251" s="60"/>
      <c r="I251" s="60"/>
      <c r="J251" s="61"/>
      <c r="K251" s="61"/>
      <c r="L251" s="60"/>
      <c r="M251" s="74" t="str">
        <f t="shared" si="27"/>
        <v/>
      </c>
      <c r="N251" s="74" t="str">
        <f t="shared" si="28"/>
        <v/>
      </c>
      <c r="O251" s="73" t="str">
        <f t="shared" si="29"/>
        <v/>
      </c>
      <c r="P251" s="65" t="str">
        <f t="shared" ca="1" si="30"/>
        <v/>
      </c>
      <c r="Q251" s="2"/>
      <c r="R251" s="2"/>
      <c r="S251" s="1" t="str">
        <f t="shared" si="31"/>
        <v/>
      </c>
      <c r="T251" s="1" t="str">
        <f>IF(OR($C251="",$D251&lt;&gt;"Gelir",$L251=""),"",IFERROR(INDEX(MUSTERILER!$B$7:$B$156,MATCH($S251,MUSTERILER!$T$7:$T$156,0)),""))</f>
        <v/>
      </c>
      <c r="U251" s="1" t="str">
        <f>IF($T251="","",$T251&amp;"|"&amp;COUNTIFS($T$7:$T251,$T251))</f>
        <v/>
      </c>
      <c r="V251" s="1">
        <f t="shared" si="32"/>
        <v>0</v>
      </c>
      <c r="W251" s="1" t="str">
        <f t="shared" si="33"/>
        <v/>
      </c>
      <c r="X251" s="1"/>
      <c r="Y251" s="1"/>
      <c r="Z251" s="1"/>
      <c r="AA251" s="1"/>
      <c r="AB251" s="1"/>
      <c r="AC251" s="1"/>
      <c r="AD251" s="1">
        <f>IF($C251="",0,SUMPRODUCT((AY_SONU!$O$7:$O$42="Evet")*(AY_SONU!$B$7:$B$42=DATE(YEAR($C251),MONTH($C251),1))))</f>
        <v>0</v>
      </c>
      <c r="AE251" s="1" t="str">
        <f>IF($E251="","",$E251&amp;"|"&amp;COUNTIFS($E$7:$E251,$E251))</f>
        <v/>
      </c>
    </row>
    <row r="252" spans="1:31" ht="18" customHeight="1" x14ac:dyDescent="0.3">
      <c r="A252" s="2"/>
      <c r="B252" s="65" t="str">
        <f t="shared" si="26"/>
        <v/>
      </c>
      <c r="C252" s="66"/>
      <c r="D252" s="60"/>
      <c r="E252" s="61"/>
      <c r="F252" s="61"/>
      <c r="G252" s="67"/>
      <c r="H252" s="60"/>
      <c r="I252" s="60"/>
      <c r="J252" s="61"/>
      <c r="K252" s="61"/>
      <c r="L252" s="60"/>
      <c r="M252" s="74" t="str">
        <f t="shared" si="27"/>
        <v/>
      </c>
      <c r="N252" s="74" t="str">
        <f t="shared" si="28"/>
        <v/>
      </c>
      <c r="O252" s="73" t="str">
        <f t="shared" si="29"/>
        <v/>
      </c>
      <c r="P252" s="65" t="str">
        <f t="shared" ca="1" si="30"/>
        <v/>
      </c>
      <c r="Q252" s="2"/>
      <c r="R252" s="2"/>
      <c r="S252" s="1" t="str">
        <f t="shared" si="31"/>
        <v/>
      </c>
      <c r="T252" s="1" t="str">
        <f>IF(OR($C252="",$D252&lt;&gt;"Gelir",$L252=""),"",IFERROR(INDEX(MUSTERILER!$B$7:$B$156,MATCH($S252,MUSTERILER!$T$7:$T$156,0)),""))</f>
        <v/>
      </c>
      <c r="U252" s="1" t="str">
        <f>IF($T252="","",$T252&amp;"|"&amp;COUNTIFS($T$7:$T252,$T252))</f>
        <v/>
      </c>
      <c r="V252" s="1">
        <f t="shared" si="32"/>
        <v>0</v>
      </c>
      <c r="W252" s="1" t="str">
        <f t="shared" si="33"/>
        <v/>
      </c>
      <c r="X252" s="1"/>
      <c r="Y252" s="1"/>
      <c r="Z252" s="1"/>
      <c r="AA252" s="1"/>
      <c r="AB252" s="1"/>
      <c r="AC252" s="1"/>
      <c r="AD252" s="1">
        <f>IF($C252="",0,SUMPRODUCT((AY_SONU!$O$7:$O$42="Evet")*(AY_SONU!$B$7:$B$42=DATE(YEAR($C252),MONTH($C252),1))))</f>
        <v>0</v>
      </c>
      <c r="AE252" s="1" t="str">
        <f>IF($E252="","",$E252&amp;"|"&amp;COUNTIFS($E$7:$E252,$E252))</f>
        <v/>
      </c>
    </row>
    <row r="253" spans="1:31" ht="18" customHeight="1" x14ac:dyDescent="0.3">
      <c r="A253" s="2"/>
      <c r="B253" s="65" t="str">
        <f t="shared" si="26"/>
        <v/>
      </c>
      <c r="C253" s="66"/>
      <c r="D253" s="60"/>
      <c r="E253" s="61"/>
      <c r="F253" s="61"/>
      <c r="G253" s="67"/>
      <c r="H253" s="60"/>
      <c r="I253" s="60"/>
      <c r="J253" s="61"/>
      <c r="K253" s="61"/>
      <c r="L253" s="60"/>
      <c r="M253" s="74" t="str">
        <f t="shared" si="27"/>
        <v/>
      </c>
      <c r="N253" s="74" t="str">
        <f t="shared" si="28"/>
        <v/>
      </c>
      <c r="O253" s="73" t="str">
        <f t="shared" si="29"/>
        <v/>
      </c>
      <c r="P253" s="65" t="str">
        <f t="shared" ca="1" si="30"/>
        <v/>
      </c>
      <c r="Q253" s="2"/>
      <c r="R253" s="2"/>
      <c r="S253" s="1" t="str">
        <f t="shared" si="31"/>
        <v/>
      </c>
      <c r="T253" s="1" t="str">
        <f>IF(OR($C253="",$D253&lt;&gt;"Gelir",$L253=""),"",IFERROR(INDEX(MUSTERILER!$B$7:$B$156,MATCH($S253,MUSTERILER!$T$7:$T$156,0)),""))</f>
        <v/>
      </c>
      <c r="U253" s="1" t="str">
        <f>IF($T253="","",$T253&amp;"|"&amp;COUNTIFS($T$7:$T253,$T253))</f>
        <v/>
      </c>
      <c r="V253" s="1">
        <f t="shared" si="32"/>
        <v>0</v>
      </c>
      <c r="W253" s="1" t="str">
        <f t="shared" si="33"/>
        <v/>
      </c>
      <c r="X253" s="1"/>
      <c r="Y253" s="1"/>
      <c r="Z253" s="1"/>
      <c r="AA253" s="1"/>
      <c r="AB253" s="1"/>
      <c r="AC253" s="1"/>
      <c r="AD253" s="1">
        <f>IF($C253="",0,SUMPRODUCT((AY_SONU!$O$7:$O$42="Evet")*(AY_SONU!$B$7:$B$42=DATE(YEAR($C253),MONTH($C253),1))))</f>
        <v>0</v>
      </c>
      <c r="AE253" s="1" t="str">
        <f>IF($E253="","",$E253&amp;"|"&amp;COUNTIFS($E$7:$E253,$E253))</f>
        <v/>
      </c>
    </row>
    <row r="254" spans="1:31" ht="18" customHeight="1" x14ac:dyDescent="0.3">
      <c r="A254" s="2"/>
      <c r="B254" s="65" t="str">
        <f t="shared" si="26"/>
        <v/>
      </c>
      <c r="C254" s="66"/>
      <c r="D254" s="60"/>
      <c r="E254" s="61"/>
      <c r="F254" s="61"/>
      <c r="G254" s="67"/>
      <c r="H254" s="60"/>
      <c r="I254" s="60"/>
      <c r="J254" s="61"/>
      <c r="K254" s="61"/>
      <c r="L254" s="60"/>
      <c r="M254" s="74" t="str">
        <f t="shared" si="27"/>
        <v/>
      </c>
      <c r="N254" s="74" t="str">
        <f t="shared" si="28"/>
        <v/>
      </c>
      <c r="O254" s="73" t="str">
        <f t="shared" si="29"/>
        <v/>
      </c>
      <c r="P254" s="65" t="str">
        <f t="shared" ca="1" si="30"/>
        <v/>
      </c>
      <c r="Q254" s="2"/>
      <c r="R254" s="2"/>
      <c r="S254" s="1" t="str">
        <f t="shared" si="31"/>
        <v/>
      </c>
      <c r="T254" s="1" t="str">
        <f>IF(OR($C254="",$D254&lt;&gt;"Gelir",$L254=""),"",IFERROR(INDEX(MUSTERILER!$B$7:$B$156,MATCH($S254,MUSTERILER!$T$7:$T$156,0)),""))</f>
        <v/>
      </c>
      <c r="U254" s="1" t="str">
        <f>IF($T254="","",$T254&amp;"|"&amp;COUNTIFS($T$7:$T254,$T254))</f>
        <v/>
      </c>
      <c r="V254" s="1">
        <f t="shared" si="32"/>
        <v>0</v>
      </c>
      <c r="W254" s="1" t="str">
        <f t="shared" si="33"/>
        <v/>
      </c>
      <c r="X254" s="1"/>
      <c r="Y254" s="1"/>
      <c r="Z254" s="1"/>
      <c r="AA254" s="1"/>
      <c r="AB254" s="1"/>
      <c r="AC254" s="1"/>
      <c r="AD254" s="1">
        <f>IF($C254="",0,SUMPRODUCT((AY_SONU!$O$7:$O$42="Evet")*(AY_SONU!$B$7:$B$42=DATE(YEAR($C254),MONTH($C254),1))))</f>
        <v>0</v>
      </c>
      <c r="AE254" s="1" t="str">
        <f>IF($E254="","",$E254&amp;"|"&amp;COUNTIFS($E$7:$E254,$E254))</f>
        <v/>
      </c>
    </row>
    <row r="255" spans="1:31" ht="18" customHeight="1" x14ac:dyDescent="0.3">
      <c r="A255" s="2"/>
      <c r="B255" s="65" t="str">
        <f t="shared" si="26"/>
        <v/>
      </c>
      <c r="C255" s="66"/>
      <c r="D255" s="60"/>
      <c r="E255" s="61"/>
      <c r="F255" s="61"/>
      <c r="G255" s="67"/>
      <c r="H255" s="60"/>
      <c r="I255" s="60"/>
      <c r="J255" s="61"/>
      <c r="K255" s="61"/>
      <c r="L255" s="60"/>
      <c r="M255" s="74" t="str">
        <f t="shared" si="27"/>
        <v/>
      </c>
      <c r="N255" s="74" t="str">
        <f t="shared" si="28"/>
        <v/>
      </c>
      <c r="O255" s="73" t="str">
        <f t="shared" si="29"/>
        <v/>
      </c>
      <c r="P255" s="65" t="str">
        <f t="shared" ca="1" si="30"/>
        <v/>
      </c>
      <c r="Q255" s="2"/>
      <c r="R255" s="2"/>
      <c r="S255" s="1" t="str">
        <f t="shared" si="31"/>
        <v/>
      </c>
      <c r="T255" s="1" t="str">
        <f>IF(OR($C255="",$D255&lt;&gt;"Gelir",$L255=""),"",IFERROR(INDEX(MUSTERILER!$B$7:$B$156,MATCH($S255,MUSTERILER!$T$7:$T$156,0)),""))</f>
        <v/>
      </c>
      <c r="U255" s="1" t="str">
        <f>IF($T255="","",$T255&amp;"|"&amp;COUNTIFS($T$7:$T255,$T255))</f>
        <v/>
      </c>
      <c r="V255" s="1">
        <f t="shared" si="32"/>
        <v>0</v>
      </c>
      <c r="W255" s="1" t="str">
        <f t="shared" si="33"/>
        <v/>
      </c>
      <c r="X255" s="1"/>
      <c r="Y255" s="1"/>
      <c r="Z255" s="1"/>
      <c r="AA255" s="1"/>
      <c r="AB255" s="1"/>
      <c r="AC255" s="1"/>
      <c r="AD255" s="1">
        <f>IF($C255="",0,SUMPRODUCT((AY_SONU!$O$7:$O$42="Evet")*(AY_SONU!$B$7:$B$42=DATE(YEAR($C255),MONTH($C255),1))))</f>
        <v>0</v>
      </c>
      <c r="AE255" s="1" t="str">
        <f>IF($E255="","",$E255&amp;"|"&amp;COUNTIFS($E$7:$E255,$E255))</f>
        <v/>
      </c>
    </row>
    <row r="256" spans="1:31" ht="18" customHeight="1" x14ac:dyDescent="0.3">
      <c r="A256" s="2"/>
      <c r="B256" s="65" t="str">
        <f t="shared" si="26"/>
        <v/>
      </c>
      <c r="C256" s="66"/>
      <c r="D256" s="60"/>
      <c r="E256" s="61"/>
      <c r="F256" s="61"/>
      <c r="G256" s="67"/>
      <c r="H256" s="60"/>
      <c r="I256" s="60"/>
      <c r="J256" s="61"/>
      <c r="K256" s="61"/>
      <c r="L256" s="60"/>
      <c r="M256" s="74" t="str">
        <f t="shared" si="27"/>
        <v/>
      </c>
      <c r="N256" s="74" t="str">
        <f t="shared" si="28"/>
        <v/>
      </c>
      <c r="O256" s="73" t="str">
        <f t="shared" si="29"/>
        <v/>
      </c>
      <c r="P256" s="65" t="str">
        <f t="shared" ca="1" si="30"/>
        <v/>
      </c>
      <c r="Q256" s="2"/>
      <c r="R256" s="2"/>
      <c r="S256" s="1" t="str">
        <f t="shared" si="31"/>
        <v/>
      </c>
      <c r="T256" s="1" t="str">
        <f>IF(OR($C256="",$D256&lt;&gt;"Gelir",$L256=""),"",IFERROR(INDEX(MUSTERILER!$B$7:$B$156,MATCH($S256,MUSTERILER!$T$7:$T$156,0)),""))</f>
        <v/>
      </c>
      <c r="U256" s="1" t="str">
        <f>IF($T256="","",$T256&amp;"|"&amp;COUNTIFS($T$7:$T256,$T256))</f>
        <v/>
      </c>
      <c r="V256" s="1">
        <f t="shared" si="32"/>
        <v>0</v>
      </c>
      <c r="W256" s="1" t="str">
        <f t="shared" si="33"/>
        <v/>
      </c>
      <c r="X256" s="1"/>
      <c r="Y256" s="1"/>
      <c r="Z256" s="1"/>
      <c r="AA256" s="1"/>
      <c r="AB256" s="1"/>
      <c r="AC256" s="1"/>
      <c r="AD256" s="1">
        <f>IF($C256="",0,SUMPRODUCT((AY_SONU!$O$7:$O$42="Evet")*(AY_SONU!$B$7:$B$42=DATE(YEAR($C256),MONTH($C256),1))))</f>
        <v>0</v>
      </c>
      <c r="AE256" s="1" t="str">
        <f>IF($E256="","",$E256&amp;"|"&amp;COUNTIFS($E$7:$E256,$E256))</f>
        <v/>
      </c>
    </row>
    <row r="257" spans="1:31" ht="18" customHeight="1" x14ac:dyDescent="0.3">
      <c r="A257" s="2"/>
      <c r="B257" s="65" t="str">
        <f t="shared" si="26"/>
        <v/>
      </c>
      <c r="C257" s="66"/>
      <c r="D257" s="60"/>
      <c r="E257" s="61"/>
      <c r="F257" s="61"/>
      <c r="G257" s="67"/>
      <c r="H257" s="60"/>
      <c r="I257" s="60"/>
      <c r="J257" s="61"/>
      <c r="K257" s="61"/>
      <c r="L257" s="60"/>
      <c r="M257" s="74" t="str">
        <f t="shared" si="27"/>
        <v/>
      </c>
      <c r="N257" s="74" t="str">
        <f t="shared" si="28"/>
        <v/>
      </c>
      <c r="O257" s="73" t="str">
        <f t="shared" si="29"/>
        <v/>
      </c>
      <c r="P257" s="65" t="str">
        <f t="shared" ca="1" si="30"/>
        <v/>
      </c>
      <c r="Q257" s="2"/>
      <c r="R257" s="2"/>
      <c r="S257" s="1" t="str">
        <f t="shared" si="31"/>
        <v/>
      </c>
      <c r="T257" s="1" t="str">
        <f>IF(OR($C257="",$D257&lt;&gt;"Gelir",$L257=""),"",IFERROR(INDEX(MUSTERILER!$B$7:$B$156,MATCH($S257,MUSTERILER!$T$7:$T$156,0)),""))</f>
        <v/>
      </c>
      <c r="U257" s="1" t="str">
        <f>IF($T257="","",$T257&amp;"|"&amp;COUNTIFS($T$7:$T257,$T257))</f>
        <v/>
      </c>
      <c r="V257" s="1">
        <f t="shared" si="32"/>
        <v>0</v>
      </c>
      <c r="W257" s="1" t="str">
        <f t="shared" si="33"/>
        <v/>
      </c>
      <c r="X257" s="1"/>
      <c r="Y257" s="1"/>
      <c r="Z257" s="1"/>
      <c r="AA257" s="1"/>
      <c r="AB257" s="1"/>
      <c r="AC257" s="1"/>
      <c r="AD257" s="1">
        <f>IF($C257="",0,SUMPRODUCT((AY_SONU!$O$7:$O$42="Evet")*(AY_SONU!$B$7:$B$42=DATE(YEAR($C257),MONTH($C257),1))))</f>
        <v>0</v>
      </c>
      <c r="AE257" s="1" t="str">
        <f>IF($E257="","",$E257&amp;"|"&amp;COUNTIFS($E$7:$E257,$E257))</f>
        <v/>
      </c>
    </row>
    <row r="258" spans="1:31" ht="18" customHeight="1" x14ac:dyDescent="0.3">
      <c r="A258" s="2"/>
      <c r="B258" s="65" t="str">
        <f t="shared" si="26"/>
        <v/>
      </c>
      <c r="C258" s="66"/>
      <c r="D258" s="60"/>
      <c r="E258" s="61"/>
      <c r="F258" s="61"/>
      <c r="G258" s="67"/>
      <c r="H258" s="60"/>
      <c r="I258" s="60"/>
      <c r="J258" s="61"/>
      <c r="K258" s="61"/>
      <c r="L258" s="60"/>
      <c r="M258" s="74" t="str">
        <f t="shared" si="27"/>
        <v/>
      </c>
      <c r="N258" s="74" t="str">
        <f t="shared" si="28"/>
        <v/>
      </c>
      <c r="O258" s="73" t="str">
        <f t="shared" si="29"/>
        <v/>
      </c>
      <c r="P258" s="65" t="str">
        <f t="shared" ca="1" si="30"/>
        <v/>
      </c>
      <c r="Q258" s="2"/>
      <c r="R258" s="2"/>
      <c r="S258" s="1" t="str">
        <f t="shared" si="31"/>
        <v/>
      </c>
      <c r="T258" s="1" t="str">
        <f>IF(OR($C258="",$D258&lt;&gt;"Gelir",$L258=""),"",IFERROR(INDEX(MUSTERILER!$B$7:$B$156,MATCH($S258,MUSTERILER!$T$7:$T$156,0)),""))</f>
        <v/>
      </c>
      <c r="U258" s="1" t="str">
        <f>IF($T258="","",$T258&amp;"|"&amp;COUNTIFS($T$7:$T258,$T258))</f>
        <v/>
      </c>
      <c r="V258" s="1">
        <f t="shared" si="32"/>
        <v>0</v>
      </c>
      <c r="W258" s="1" t="str">
        <f t="shared" si="33"/>
        <v/>
      </c>
      <c r="X258" s="1"/>
      <c r="Y258" s="1"/>
      <c r="Z258" s="1"/>
      <c r="AA258" s="1"/>
      <c r="AB258" s="1"/>
      <c r="AC258" s="1"/>
      <c r="AD258" s="1">
        <f>IF($C258="",0,SUMPRODUCT((AY_SONU!$O$7:$O$42="Evet")*(AY_SONU!$B$7:$B$42=DATE(YEAR($C258),MONTH($C258),1))))</f>
        <v>0</v>
      </c>
      <c r="AE258" s="1" t="str">
        <f>IF($E258="","",$E258&amp;"|"&amp;COUNTIFS($E$7:$E258,$E258))</f>
        <v/>
      </c>
    </row>
    <row r="259" spans="1:31" ht="18" customHeight="1" x14ac:dyDescent="0.3">
      <c r="A259" s="2"/>
      <c r="B259" s="65" t="str">
        <f t="shared" si="26"/>
        <v/>
      </c>
      <c r="C259" s="66"/>
      <c r="D259" s="60"/>
      <c r="E259" s="61"/>
      <c r="F259" s="61"/>
      <c r="G259" s="67"/>
      <c r="H259" s="60"/>
      <c r="I259" s="60"/>
      <c r="J259" s="61"/>
      <c r="K259" s="61"/>
      <c r="L259" s="60"/>
      <c r="M259" s="74" t="str">
        <f t="shared" si="27"/>
        <v/>
      </c>
      <c r="N259" s="74" t="str">
        <f t="shared" si="28"/>
        <v/>
      </c>
      <c r="O259" s="73" t="str">
        <f t="shared" si="29"/>
        <v/>
      </c>
      <c r="P259" s="65" t="str">
        <f t="shared" ca="1" si="30"/>
        <v/>
      </c>
      <c r="Q259" s="2"/>
      <c r="R259" s="2"/>
      <c r="S259" s="1" t="str">
        <f t="shared" si="31"/>
        <v/>
      </c>
      <c r="T259" s="1" t="str">
        <f>IF(OR($C259="",$D259&lt;&gt;"Gelir",$L259=""),"",IFERROR(INDEX(MUSTERILER!$B$7:$B$156,MATCH($S259,MUSTERILER!$T$7:$T$156,0)),""))</f>
        <v/>
      </c>
      <c r="U259" s="1" t="str">
        <f>IF($T259="","",$T259&amp;"|"&amp;COUNTIFS($T$7:$T259,$T259))</f>
        <v/>
      </c>
      <c r="V259" s="1">
        <f t="shared" si="32"/>
        <v>0</v>
      </c>
      <c r="W259" s="1" t="str">
        <f t="shared" si="33"/>
        <v/>
      </c>
      <c r="X259" s="1"/>
      <c r="Y259" s="1"/>
      <c r="Z259" s="1"/>
      <c r="AA259" s="1"/>
      <c r="AB259" s="1"/>
      <c r="AC259" s="1"/>
      <c r="AD259" s="1">
        <f>IF($C259="",0,SUMPRODUCT((AY_SONU!$O$7:$O$42="Evet")*(AY_SONU!$B$7:$B$42=DATE(YEAR($C259),MONTH($C259),1))))</f>
        <v>0</v>
      </c>
      <c r="AE259" s="1" t="str">
        <f>IF($E259="","",$E259&amp;"|"&amp;COUNTIFS($E$7:$E259,$E259))</f>
        <v/>
      </c>
    </row>
    <row r="260" spans="1:31" ht="18" customHeight="1" x14ac:dyDescent="0.3">
      <c r="A260" s="2"/>
      <c r="B260" s="65" t="str">
        <f t="shared" si="26"/>
        <v/>
      </c>
      <c r="C260" s="66"/>
      <c r="D260" s="60"/>
      <c r="E260" s="61"/>
      <c r="F260" s="61"/>
      <c r="G260" s="67"/>
      <c r="H260" s="60"/>
      <c r="I260" s="60"/>
      <c r="J260" s="61"/>
      <c r="K260" s="61"/>
      <c r="L260" s="60"/>
      <c r="M260" s="74" t="str">
        <f t="shared" si="27"/>
        <v/>
      </c>
      <c r="N260" s="74" t="str">
        <f t="shared" si="28"/>
        <v/>
      </c>
      <c r="O260" s="73" t="str">
        <f t="shared" si="29"/>
        <v/>
      </c>
      <c r="P260" s="65" t="str">
        <f t="shared" ca="1" si="30"/>
        <v/>
      </c>
      <c r="Q260" s="2"/>
      <c r="R260" s="2"/>
      <c r="S260" s="1" t="str">
        <f t="shared" si="31"/>
        <v/>
      </c>
      <c r="T260" s="1" t="str">
        <f>IF(OR($C260="",$D260&lt;&gt;"Gelir",$L260=""),"",IFERROR(INDEX(MUSTERILER!$B$7:$B$156,MATCH($S260,MUSTERILER!$T$7:$T$156,0)),""))</f>
        <v/>
      </c>
      <c r="U260" s="1" t="str">
        <f>IF($T260="","",$T260&amp;"|"&amp;COUNTIFS($T$7:$T260,$T260))</f>
        <v/>
      </c>
      <c r="V260" s="1">
        <f t="shared" si="32"/>
        <v>0</v>
      </c>
      <c r="W260" s="1" t="str">
        <f t="shared" si="33"/>
        <v/>
      </c>
      <c r="X260" s="1"/>
      <c r="Y260" s="1"/>
      <c r="Z260" s="1"/>
      <c r="AA260" s="1"/>
      <c r="AB260" s="1"/>
      <c r="AC260" s="1"/>
      <c r="AD260" s="1">
        <f>IF($C260="",0,SUMPRODUCT((AY_SONU!$O$7:$O$42="Evet")*(AY_SONU!$B$7:$B$42=DATE(YEAR($C260),MONTH($C260),1))))</f>
        <v>0</v>
      </c>
      <c r="AE260" s="1" t="str">
        <f>IF($E260="","",$E260&amp;"|"&amp;COUNTIFS($E$7:$E260,$E260))</f>
        <v/>
      </c>
    </row>
    <row r="261" spans="1:31" ht="18" customHeight="1" x14ac:dyDescent="0.3">
      <c r="A261" s="2"/>
      <c r="B261" s="65" t="str">
        <f t="shared" si="26"/>
        <v/>
      </c>
      <c r="C261" s="66"/>
      <c r="D261" s="60"/>
      <c r="E261" s="61"/>
      <c r="F261" s="61"/>
      <c r="G261" s="67"/>
      <c r="H261" s="60"/>
      <c r="I261" s="60"/>
      <c r="J261" s="61"/>
      <c r="K261" s="61"/>
      <c r="L261" s="60"/>
      <c r="M261" s="74" t="str">
        <f t="shared" si="27"/>
        <v/>
      </c>
      <c r="N261" s="74" t="str">
        <f t="shared" si="28"/>
        <v/>
      </c>
      <c r="O261" s="73" t="str">
        <f t="shared" si="29"/>
        <v/>
      </c>
      <c r="P261" s="65" t="str">
        <f t="shared" ca="1" si="30"/>
        <v/>
      </c>
      <c r="Q261" s="2"/>
      <c r="R261" s="2"/>
      <c r="S261" s="1" t="str">
        <f t="shared" si="31"/>
        <v/>
      </c>
      <c r="T261" s="1" t="str">
        <f>IF(OR($C261="",$D261&lt;&gt;"Gelir",$L261=""),"",IFERROR(INDEX(MUSTERILER!$B$7:$B$156,MATCH($S261,MUSTERILER!$T$7:$T$156,0)),""))</f>
        <v/>
      </c>
      <c r="U261" s="1" t="str">
        <f>IF($T261="","",$T261&amp;"|"&amp;COUNTIFS($T$7:$T261,$T261))</f>
        <v/>
      </c>
      <c r="V261" s="1">
        <f t="shared" si="32"/>
        <v>0</v>
      </c>
      <c r="W261" s="1" t="str">
        <f t="shared" si="33"/>
        <v/>
      </c>
      <c r="X261" s="1"/>
      <c r="Y261" s="1"/>
      <c r="Z261" s="1"/>
      <c r="AA261" s="1"/>
      <c r="AB261" s="1"/>
      <c r="AC261" s="1"/>
      <c r="AD261" s="1">
        <f>IF($C261="",0,SUMPRODUCT((AY_SONU!$O$7:$O$42="Evet")*(AY_SONU!$B$7:$B$42=DATE(YEAR($C261),MONTH($C261),1))))</f>
        <v>0</v>
      </c>
      <c r="AE261" s="1" t="str">
        <f>IF($E261="","",$E261&amp;"|"&amp;COUNTIFS($E$7:$E261,$E261))</f>
        <v/>
      </c>
    </row>
    <row r="262" spans="1:31" ht="18" customHeight="1" x14ac:dyDescent="0.3">
      <c r="A262" s="2"/>
      <c r="B262" s="65" t="str">
        <f t="shared" si="26"/>
        <v/>
      </c>
      <c r="C262" s="66"/>
      <c r="D262" s="60"/>
      <c r="E262" s="61"/>
      <c r="F262" s="61"/>
      <c r="G262" s="67"/>
      <c r="H262" s="60"/>
      <c r="I262" s="60"/>
      <c r="J262" s="61"/>
      <c r="K262" s="61"/>
      <c r="L262" s="60"/>
      <c r="M262" s="74" t="str">
        <f t="shared" si="27"/>
        <v/>
      </c>
      <c r="N262" s="74" t="str">
        <f t="shared" si="28"/>
        <v/>
      </c>
      <c r="O262" s="73" t="str">
        <f t="shared" si="29"/>
        <v/>
      </c>
      <c r="P262" s="65" t="str">
        <f t="shared" ca="1" si="30"/>
        <v/>
      </c>
      <c r="Q262" s="2"/>
      <c r="R262" s="2"/>
      <c r="S262" s="1" t="str">
        <f t="shared" si="31"/>
        <v/>
      </c>
      <c r="T262" s="1" t="str">
        <f>IF(OR($C262="",$D262&lt;&gt;"Gelir",$L262=""),"",IFERROR(INDEX(MUSTERILER!$B$7:$B$156,MATCH($S262,MUSTERILER!$T$7:$T$156,0)),""))</f>
        <v/>
      </c>
      <c r="U262" s="1" t="str">
        <f>IF($T262="","",$T262&amp;"|"&amp;COUNTIFS($T$7:$T262,$T262))</f>
        <v/>
      </c>
      <c r="V262" s="1">
        <f t="shared" si="32"/>
        <v>0</v>
      </c>
      <c r="W262" s="1" t="str">
        <f t="shared" si="33"/>
        <v/>
      </c>
      <c r="X262" s="1"/>
      <c r="Y262" s="1"/>
      <c r="Z262" s="1"/>
      <c r="AA262" s="1"/>
      <c r="AB262" s="1"/>
      <c r="AC262" s="1"/>
      <c r="AD262" s="1">
        <f>IF($C262="",0,SUMPRODUCT((AY_SONU!$O$7:$O$42="Evet")*(AY_SONU!$B$7:$B$42=DATE(YEAR($C262),MONTH($C262),1))))</f>
        <v>0</v>
      </c>
      <c r="AE262" s="1" t="str">
        <f>IF($E262="","",$E262&amp;"|"&amp;COUNTIFS($E$7:$E262,$E262))</f>
        <v/>
      </c>
    </row>
    <row r="263" spans="1:31" ht="18" customHeight="1" x14ac:dyDescent="0.3">
      <c r="A263" s="2"/>
      <c r="B263" s="65" t="str">
        <f t="shared" ref="B263:B326" si="34">IF($C263="","","GG"&amp;TEXT(ROW()-6,"00000"))</f>
        <v/>
      </c>
      <c r="C263" s="66"/>
      <c r="D263" s="60"/>
      <c r="E263" s="61"/>
      <c r="F263" s="61"/>
      <c r="G263" s="67"/>
      <c r="H263" s="60"/>
      <c r="I263" s="60"/>
      <c r="J263" s="61"/>
      <c r="K263" s="61"/>
      <c r="L263" s="60"/>
      <c r="M263" s="74" t="str">
        <f t="shared" ref="M263:M326" si="35">IF($C263="","",IF($D263="Gider",$E263,IF($L263&lt;&gt;"",$L263,$H263)))</f>
        <v/>
      </c>
      <c r="N263" s="74" t="str">
        <f t="shared" ref="N263:N326" si="36">IF($C263="","",IF($D263="Gider",$H263,$E263))</f>
        <v/>
      </c>
      <c r="O263" s="73" t="str">
        <f t="shared" ref="O263:O326" si="37">IF($C263="","",DATE(YEAR($C263),MONTH($C263),1))</f>
        <v/>
      </c>
      <c r="P263" s="65" t="str">
        <f t="shared" ref="P263:P326" ca="1" si="38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TARİH",IF(COUNTIF($W$7:$W$3006,$W263)&gt;1,"MÜKERRER?",IF($AD263&gt;0,"KAPALI DÖNEM",IF($I263="Hayır","ÖDENECEK","UYGUN")))),"EKSİK"))))</f>
        <v/>
      </c>
      <c r="Q263" s="2"/>
      <c r="R263" s="2"/>
      <c r="S263" s="1" t="str">
        <f t="shared" ref="S263:S326" si="39"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1" t="str">
        <f>IF(OR($C263="",$D263&lt;&gt;"Gelir",$L263=""),"",IFERROR(INDEX(MUSTERILER!$B$7:$B$156,MATCH($S263,MUSTERILER!$T$7:$T$156,0)),""))</f>
        <v/>
      </c>
      <c r="U263" s="1" t="str">
        <f>IF($T263="","",$T263&amp;"|"&amp;COUNTIFS($T$7:$T263,$T263))</f>
        <v/>
      </c>
      <c r="V263" s="1">
        <f t="shared" ref="V263:V326" si="40">IF($T263="",0,1)</f>
        <v>0</v>
      </c>
      <c r="W263" s="1" t="str">
        <f t="shared" ref="W263:W326" si="41">IF($C263="","",$D263&amp;"|"&amp;$E263&amp;"|"&amp;TEXT($C263,"0")&amp;"|"&amp;TEXT($G263,"0")&amp;"|"&amp;$J263)</f>
        <v/>
      </c>
      <c r="X263" s="1"/>
      <c r="Y263" s="1"/>
      <c r="Z263" s="1"/>
      <c r="AA263" s="1"/>
      <c r="AB263" s="1"/>
      <c r="AC263" s="1"/>
      <c r="AD263" s="1">
        <f>IF($C263="",0,SUMPRODUCT((AY_SONU!$O$7:$O$42="Evet")*(AY_SONU!$B$7:$B$42=DATE(YEAR($C263),MONTH($C263),1))))</f>
        <v>0</v>
      </c>
      <c r="AE263" s="1" t="str">
        <f>IF($E263="","",$E263&amp;"|"&amp;COUNTIFS($E$7:$E263,$E263))</f>
        <v/>
      </c>
    </row>
    <row r="264" spans="1:31" ht="18" customHeight="1" x14ac:dyDescent="0.3">
      <c r="A264" s="2"/>
      <c r="B264" s="65" t="str">
        <f t="shared" si="34"/>
        <v/>
      </c>
      <c r="C264" s="66"/>
      <c r="D264" s="60"/>
      <c r="E264" s="61"/>
      <c r="F264" s="61"/>
      <c r="G264" s="67"/>
      <c r="H264" s="60"/>
      <c r="I264" s="60"/>
      <c r="J264" s="61"/>
      <c r="K264" s="61"/>
      <c r="L264" s="60"/>
      <c r="M264" s="74" t="str">
        <f t="shared" si="35"/>
        <v/>
      </c>
      <c r="N264" s="74" t="str">
        <f t="shared" si="36"/>
        <v/>
      </c>
      <c r="O264" s="73" t="str">
        <f t="shared" si="37"/>
        <v/>
      </c>
      <c r="P264" s="65" t="str">
        <f t="shared" ca="1" si="38"/>
        <v/>
      </c>
      <c r="Q264" s="2"/>
      <c r="R264" s="2"/>
      <c r="S264" s="1" t="str">
        <f t="shared" si="39"/>
        <v/>
      </c>
      <c r="T264" s="1" t="str">
        <f>IF(OR($C264="",$D264&lt;&gt;"Gelir",$L264=""),"",IFERROR(INDEX(MUSTERILER!$B$7:$B$156,MATCH($S264,MUSTERILER!$T$7:$T$156,0)),""))</f>
        <v/>
      </c>
      <c r="U264" s="1" t="str">
        <f>IF($T264="","",$T264&amp;"|"&amp;COUNTIFS($T$7:$T264,$T264))</f>
        <v/>
      </c>
      <c r="V264" s="1">
        <f t="shared" si="40"/>
        <v>0</v>
      </c>
      <c r="W264" s="1" t="str">
        <f t="shared" si="41"/>
        <v/>
      </c>
      <c r="X264" s="1"/>
      <c r="Y264" s="1"/>
      <c r="Z264" s="1"/>
      <c r="AA264" s="1"/>
      <c r="AB264" s="1"/>
      <c r="AC264" s="1"/>
      <c r="AD264" s="1">
        <f>IF($C264="",0,SUMPRODUCT((AY_SONU!$O$7:$O$42="Evet")*(AY_SONU!$B$7:$B$42=DATE(YEAR($C264),MONTH($C264),1))))</f>
        <v>0</v>
      </c>
      <c r="AE264" s="1" t="str">
        <f>IF($E264="","",$E264&amp;"|"&amp;COUNTIFS($E$7:$E264,$E264))</f>
        <v/>
      </c>
    </row>
    <row r="265" spans="1:31" ht="18" customHeight="1" x14ac:dyDescent="0.3">
      <c r="A265" s="2"/>
      <c r="B265" s="65" t="str">
        <f t="shared" si="34"/>
        <v/>
      </c>
      <c r="C265" s="66"/>
      <c r="D265" s="60"/>
      <c r="E265" s="61"/>
      <c r="F265" s="61"/>
      <c r="G265" s="67"/>
      <c r="H265" s="60"/>
      <c r="I265" s="60"/>
      <c r="J265" s="61"/>
      <c r="K265" s="61"/>
      <c r="L265" s="60"/>
      <c r="M265" s="74" t="str">
        <f t="shared" si="35"/>
        <v/>
      </c>
      <c r="N265" s="74" t="str">
        <f t="shared" si="36"/>
        <v/>
      </c>
      <c r="O265" s="73" t="str">
        <f t="shared" si="37"/>
        <v/>
      </c>
      <c r="P265" s="65" t="str">
        <f t="shared" ca="1" si="38"/>
        <v/>
      </c>
      <c r="Q265" s="2"/>
      <c r="R265" s="2"/>
      <c r="S265" s="1" t="str">
        <f t="shared" si="39"/>
        <v/>
      </c>
      <c r="T265" s="1" t="str">
        <f>IF(OR($C265="",$D265&lt;&gt;"Gelir",$L265=""),"",IFERROR(INDEX(MUSTERILER!$B$7:$B$156,MATCH($S265,MUSTERILER!$T$7:$T$156,0)),""))</f>
        <v/>
      </c>
      <c r="U265" s="1" t="str">
        <f>IF($T265="","",$T265&amp;"|"&amp;COUNTIFS($T$7:$T265,$T265))</f>
        <v/>
      </c>
      <c r="V265" s="1">
        <f t="shared" si="40"/>
        <v>0</v>
      </c>
      <c r="W265" s="1" t="str">
        <f t="shared" si="41"/>
        <v/>
      </c>
      <c r="X265" s="1"/>
      <c r="Y265" s="1"/>
      <c r="Z265" s="1"/>
      <c r="AA265" s="1"/>
      <c r="AB265" s="1"/>
      <c r="AC265" s="1"/>
      <c r="AD265" s="1">
        <f>IF($C265="",0,SUMPRODUCT((AY_SONU!$O$7:$O$42="Evet")*(AY_SONU!$B$7:$B$42=DATE(YEAR($C265),MONTH($C265),1))))</f>
        <v>0</v>
      </c>
      <c r="AE265" s="1" t="str">
        <f>IF($E265="","",$E265&amp;"|"&amp;COUNTIFS($E$7:$E265,$E265))</f>
        <v/>
      </c>
    </row>
    <row r="266" spans="1:31" ht="18" customHeight="1" x14ac:dyDescent="0.3">
      <c r="A266" s="2"/>
      <c r="B266" s="65" t="str">
        <f t="shared" si="34"/>
        <v/>
      </c>
      <c r="C266" s="66"/>
      <c r="D266" s="60"/>
      <c r="E266" s="61"/>
      <c r="F266" s="61"/>
      <c r="G266" s="67"/>
      <c r="H266" s="60"/>
      <c r="I266" s="60"/>
      <c r="J266" s="61"/>
      <c r="K266" s="61"/>
      <c r="L266" s="60"/>
      <c r="M266" s="74" t="str">
        <f t="shared" si="35"/>
        <v/>
      </c>
      <c r="N266" s="74" t="str">
        <f t="shared" si="36"/>
        <v/>
      </c>
      <c r="O266" s="73" t="str">
        <f t="shared" si="37"/>
        <v/>
      </c>
      <c r="P266" s="65" t="str">
        <f t="shared" ca="1" si="38"/>
        <v/>
      </c>
      <c r="Q266" s="2"/>
      <c r="R266" s="2"/>
      <c r="S266" s="1" t="str">
        <f t="shared" si="39"/>
        <v/>
      </c>
      <c r="T266" s="1" t="str">
        <f>IF(OR($C266="",$D266&lt;&gt;"Gelir",$L266=""),"",IFERROR(INDEX(MUSTERILER!$B$7:$B$156,MATCH($S266,MUSTERILER!$T$7:$T$156,0)),""))</f>
        <v/>
      </c>
      <c r="U266" s="1" t="str">
        <f>IF($T266="","",$T266&amp;"|"&amp;COUNTIFS($T$7:$T266,$T266))</f>
        <v/>
      </c>
      <c r="V266" s="1">
        <f t="shared" si="40"/>
        <v>0</v>
      </c>
      <c r="W266" s="1" t="str">
        <f t="shared" si="41"/>
        <v/>
      </c>
      <c r="X266" s="1"/>
      <c r="Y266" s="1"/>
      <c r="Z266" s="1"/>
      <c r="AA266" s="1"/>
      <c r="AB266" s="1"/>
      <c r="AC266" s="1"/>
      <c r="AD266" s="1">
        <f>IF($C266="",0,SUMPRODUCT((AY_SONU!$O$7:$O$42="Evet")*(AY_SONU!$B$7:$B$42=DATE(YEAR($C266),MONTH($C266),1))))</f>
        <v>0</v>
      </c>
      <c r="AE266" s="1" t="str">
        <f>IF($E266="","",$E266&amp;"|"&amp;COUNTIFS($E$7:$E266,$E266))</f>
        <v/>
      </c>
    </row>
    <row r="267" spans="1:31" ht="18" customHeight="1" x14ac:dyDescent="0.3">
      <c r="A267" s="2"/>
      <c r="B267" s="65" t="str">
        <f t="shared" si="34"/>
        <v/>
      </c>
      <c r="C267" s="66"/>
      <c r="D267" s="60"/>
      <c r="E267" s="61"/>
      <c r="F267" s="61"/>
      <c r="G267" s="67"/>
      <c r="H267" s="60"/>
      <c r="I267" s="60"/>
      <c r="J267" s="61"/>
      <c r="K267" s="61"/>
      <c r="L267" s="60"/>
      <c r="M267" s="74" t="str">
        <f t="shared" si="35"/>
        <v/>
      </c>
      <c r="N267" s="74" t="str">
        <f t="shared" si="36"/>
        <v/>
      </c>
      <c r="O267" s="73" t="str">
        <f t="shared" si="37"/>
        <v/>
      </c>
      <c r="P267" s="65" t="str">
        <f t="shared" ca="1" si="38"/>
        <v/>
      </c>
      <c r="Q267" s="2"/>
      <c r="R267" s="2"/>
      <c r="S267" s="1" t="str">
        <f t="shared" si="39"/>
        <v/>
      </c>
      <c r="T267" s="1" t="str">
        <f>IF(OR($C267="",$D267&lt;&gt;"Gelir",$L267=""),"",IFERROR(INDEX(MUSTERILER!$B$7:$B$156,MATCH($S267,MUSTERILER!$T$7:$T$156,0)),""))</f>
        <v/>
      </c>
      <c r="U267" s="1" t="str">
        <f>IF($T267="","",$T267&amp;"|"&amp;COUNTIFS($T$7:$T267,$T267))</f>
        <v/>
      </c>
      <c r="V267" s="1">
        <f t="shared" si="40"/>
        <v>0</v>
      </c>
      <c r="W267" s="1" t="str">
        <f t="shared" si="41"/>
        <v/>
      </c>
      <c r="X267" s="1"/>
      <c r="Y267" s="1"/>
      <c r="Z267" s="1"/>
      <c r="AA267" s="1"/>
      <c r="AB267" s="1"/>
      <c r="AC267" s="1"/>
      <c r="AD267" s="1">
        <f>IF($C267="",0,SUMPRODUCT((AY_SONU!$O$7:$O$42="Evet")*(AY_SONU!$B$7:$B$42=DATE(YEAR($C267),MONTH($C267),1))))</f>
        <v>0</v>
      </c>
      <c r="AE267" s="1" t="str">
        <f>IF($E267="","",$E267&amp;"|"&amp;COUNTIFS($E$7:$E267,$E267))</f>
        <v/>
      </c>
    </row>
    <row r="268" spans="1:31" ht="18" customHeight="1" x14ac:dyDescent="0.3">
      <c r="A268" s="2"/>
      <c r="B268" s="65" t="str">
        <f t="shared" si="34"/>
        <v/>
      </c>
      <c r="C268" s="66"/>
      <c r="D268" s="60"/>
      <c r="E268" s="61"/>
      <c r="F268" s="61"/>
      <c r="G268" s="67"/>
      <c r="H268" s="60"/>
      <c r="I268" s="60"/>
      <c r="J268" s="61"/>
      <c r="K268" s="61"/>
      <c r="L268" s="60"/>
      <c r="M268" s="74" t="str">
        <f t="shared" si="35"/>
        <v/>
      </c>
      <c r="N268" s="74" t="str">
        <f t="shared" si="36"/>
        <v/>
      </c>
      <c r="O268" s="73" t="str">
        <f t="shared" si="37"/>
        <v/>
      </c>
      <c r="P268" s="65" t="str">
        <f t="shared" ca="1" si="38"/>
        <v/>
      </c>
      <c r="Q268" s="2"/>
      <c r="R268" s="2"/>
      <c r="S268" s="1" t="str">
        <f t="shared" si="39"/>
        <v/>
      </c>
      <c r="T268" s="1" t="str">
        <f>IF(OR($C268="",$D268&lt;&gt;"Gelir",$L268=""),"",IFERROR(INDEX(MUSTERILER!$B$7:$B$156,MATCH($S268,MUSTERILER!$T$7:$T$156,0)),""))</f>
        <v/>
      </c>
      <c r="U268" s="1" t="str">
        <f>IF($T268="","",$T268&amp;"|"&amp;COUNTIFS($T$7:$T268,$T268))</f>
        <v/>
      </c>
      <c r="V268" s="1">
        <f t="shared" si="40"/>
        <v>0</v>
      </c>
      <c r="W268" s="1" t="str">
        <f t="shared" si="41"/>
        <v/>
      </c>
      <c r="X268" s="1"/>
      <c r="Y268" s="1"/>
      <c r="Z268" s="1"/>
      <c r="AA268" s="1"/>
      <c r="AB268" s="1"/>
      <c r="AC268" s="1"/>
      <c r="AD268" s="1">
        <f>IF($C268="",0,SUMPRODUCT((AY_SONU!$O$7:$O$42="Evet")*(AY_SONU!$B$7:$B$42=DATE(YEAR($C268),MONTH($C268),1))))</f>
        <v>0</v>
      </c>
      <c r="AE268" s="1" t="str">
        <f>IF($E268="","",$E268&amp;"|"&amp;COUNTIFS($E$7:$E268,$E268))</f>
        <v/>
      </c>
    </row>
    <row r="269" spans="1:31" ht="18" customHeight="1" x14ac:dyDescent="0.3">
      <c r="A269" s="2"/>
      <c r="B269" s="65" t="str">
        <f t="shared" si="34"/>
        <v/>
      </c>
      <c r="C269" s="66"/>
      <c r="D269" s="60"/>
      <c r="E269" s="61"/>
      <c r="F269" s="61"/>
      <c r="G269" s="67"/>
      <c r="H269" s="60"/>
      <c r="I269" s="60"/>
      <c r="J269" s="61"/>
      <c r="K269" s="61"/>
      <c r="L269" s="60"/>
      <c r="M269" s="74" t="str">
        <f t="shared" si="35"/>
        <v/>
      </c>
      <c r="N269" s="74" t="str">
        <f t="shared" si="36"/>
        <v/>
      </c>
      <c r="O269" s="73" t="str">
        <f t="shared" si="37"/>
        <v/>
      </c>
      <c r="P269" s="65" t="str">
        <f t="shared" ca="1" si="38"/>
        <v/>
      </c>
      <c r="Q269" s="2"/>
      <c r="R269" s="2"/>
      <c r="S269" s="1" t="str">
        <f t="shared" si="39"/>
        <v/>
      </c>
      <c r="T269" s="1" t="str">
        <f>IF(OR($C269="",$D269&lt;&gt;"Gelir",$L269=""),"",IFERROR(INDEX(MUSTERILER!$B$7:$B$156,MATCH($S269,MUSTERILER!$T$7:$T$156,0)),""))</f>
        <v/>
      </c>
      <c r="U269" s="1" t="str">
        <f>IF($T269="","",$T269&amp;"|"&amp;COUNTIFS($T$7:$T269,$T269))</f>
        <v/>
      </c>
      <c r="V269" s="1">
        <f t="shared" si="40"/>
        <v>0</v>
      </c>
      <c r="W269" s="1" t="str">
        <f t="shared" si="41"/>
        <v/>
      </c>
      <c r="X269" s="1"/>
      <c r="Y269" s="1"/>
      <c r="Z269" s="1"/>
      <c r="AA269" s="1"/>
      <c r="AB269" s="1"/>
      <c r="AC269" s="1"/>
      <c r="AD269" s="1">
        <f>IF($C269="",0,SUMPRODUCT((AY_SONU!$O$7:$O$42="Evet")*(AY_SONU!$B$7:$B$42=DATE(YEAR($C269),MONTH($C269),1))))</f>
        <v>0</v>
      </c>
      <c r="AE269" s="1" t="str">
        <f>IF($E269="","",$E269&amp;"|"&amp;COUNTIFS($E$7:$E269,$E269))</f>
        <v/>
      </c>
    </row>
    <row r="270" spans="1:31" ht="18" customHeight="1" x14ac:dyDescent="0.3">
      <c r="A270" s="2"/>
      <c r="B270" s="65" t="str">
        <f t="shared" si="34"/>
        <v/>
      </c>
      <c r="C270" s="66"/>
      <c r="D270" s="60"/>
      <c r="E270" s="61"/>
      <c r="F270" s="61"/>
      <c r="G270" s="67"/>
      <c r="H270" s="60"/>
      <c r="I270" s="60"/>
      <c r="J270" s="61"/>
      <c r="K270" s="61"/>
      <c r="L270" s="60"/>
      <c r="M270" s="74" t="str">
        <f t="shared" si="35"/>
        <v/>
      </c>
      <c r="N270" s="74" t="str">
        <f t="shared" si="36"/>
        <v/>
      </c>
      <c r="O270" s="73" t="str">
        <f t="shared" si="37"/>
        <v/>
      </c>
      <c r="P270" s="65" t="str">
        <f t="shared" ca="1" si="38"/>
        <v/>
      </c>
      <c r="Q270" s="2"/>
      <c r="R270" s="2"/>
      <c r="S270" s="1" t="str">
        <f t="shared" si="39"/>
        <v/>
      </c>
      <c r="T270" s="1" t="str">
        <f>IF(OR($C270="",$D270&lt;&gt;"Gelir",$L270=""),"",IFERROR(INDEX(MUSTERILER!$B$7:$B$156,MATCH($S270,MUSTERILER!$T$7:$T$156,0)),""))</f>
        <v/>
      </c>
      <c r="U270" s="1" t="str">
        <f>IF($T270="","",$T270&amp;"|"&amp;COUNTIFS($T$7:$T270,$T270))</f>
        <v/>
      </c>
      <c r="V270" s="1">
        <f t="shared" si="40"/>
        <v>0</v>
      </c>
      <c r="W270" s="1" t="str">
        <f t="shared" si="41"/>
        <v/>
      </c>
      <c r="X270" s="1"/>
      <c r="Y270" s="1"/>
      <c r="Z270" s="1"/>
      <c r="AA270" s="1"/>
      <c r="AB270" s="1"/>
      <c r="AC270" s="1"/>
      <c r="AD270" s="1">
        <f>IF($C270="",0,SUMPRODUCT((AY_SONU!$O$7:$O$42="Evet")*(AY_SONU!$B$7:$B$42=DATE(YEAR($C270),MONTH($C270),1))))</f>
        <v>0</v>
      </c>
      <c r="AE270" s="1" t="str">
        <f>IF($E270="","",$E270&amp;"|"&amp;COUNTIFS($E$7:$E270,$E270))</f>
        <v/>
      </c>
    </row>
    <row r="271" spans="1:31" ht="18" customHeight="1" x14ac:dyDescent="0.3">
      <c r="A271" s="2"/>
      <c r="B271" s="65" t="str">
        <f t="shared" si="34"/>
        <v/>
      </c>
      <c r="C271" s="66"/>
      <c r="D271" s="60"/>
      <c r="E271" s="61"/>
      <c r="F271" s="61"/>
      <c r="G271" s="67"/>
      <c r="H271" s="60"/>
      <c r="I271" s="60"/>
      <c r="J271" s="61"/>
      <c r="K271" s="61"/>
      <c r="L271" s="60"/>
      <c r="M271" s="74" t="str">
        <f t="shared" si="35"/>
        <v/>
      </c>
      <c r="N271" s="74" t="str">
        <f t="shared" si="36"/>
        <v/>
      </c>
      <c r="O271" s="73" t="str">
        <f t="shared" si="37"/>
        <v/>
      </c>
      <c r="P271" s="65" t="str">
        <f t="shared" ca="1" si="38"/>
        <v/>
      </c>
      <c r="Q271" s="2"/>
      <c r="R271" s="2"/>
      <c r="S271" s="1" t="str">
        <f t="shared" si="39"/>
        <v/>
      </c>
      <c r="T271" s="1" t="str">
        <f>IF(OR($C271="",$D271&lt;&gt;"Gelir",$L271=""),"",IFERROR(INDEX(MUSTERILER!$B$7:$B$156,MATCH($S271,MUSTERILER!$T$7:$T$156,0)),""))</f>
        <v/>
      </c>
      <c r="U271" s="1" t="str">
        <f>IF($T271="","",$T271&amp;"|"&amp;COUNTIFS($T$7:$T271,$T271))</f>
        <v/>
      </c>
      <c r="V271" s="1">
        <f t="shared" si="40"/>
        <v>0</v>
      </c>
      <c r="W271" s="1" t="str">
        <f t="shared" si="41"/>
        <v/>
      </c>
      <c r="X271" s="1"/>
      <c r="Y271" s="1"/>
      <c r="Z271" s="1"/>
      <c r="AA271" s="1"/>
      <c r="AB271" s="1"/>
      <c r="AC271" s="1"/>
      <c r="AD271" s="1">
        <f>IF($C271="",0,SUMPRODUCT((AY_SONU!$O$7:$O$42="Evet")*(AY_SONU!$B$7:$B$42=DATE(YEAR($C271),MONTH($C271),1))))</f>
        <v>0</v>
      </c>
      <c r="AE271" s="1" t="str">
        <f>IF($E271="","",$E271&amp;"|"&amp;COUNTIFS($E$7:$E271,$E271))</f>
        <v/>
      </c>
    </row>
    <row r="272" spans="1:31" ht="18" customHeight="1" x14ac:dyDescent="0.3">
      <c r="A272" s="2"/>
      <c r="B272" s="65" t="str">
        <f t="shared" si="34"/>
        <v/>
      </c>
      <c r="C272" s="66"/>
      <c r="D272" s="60"/>
      <c r="E272" s="61"/>
      <c r="F272" s="61"/>
      <c r="G272" s="67"/>
      <c r="H272" s="60"/>
      <c r="I272" s="60"/>
      <c r="J272" s="61"/>
      <c r="K272" s="61"/>
      <c r="L272" s="60"/>
      <c r="M272" s="74" t="str">
        <f t="shared" si="35"/>
        <v/>
      </c>
      <c r="N272" s="74" t="str">
        <f t="shared" si="36"/>
        <v/>
      </c>
      <c r="O272" s="73" t="str">
        <f t="shared" si="37"/>
        <v/>
      </c>
      <c r="P272" s="65" t="str">
        <f t="shared" ca="1" si="38"/>
        <v/>
      </c>
      <c r="Q272" s="2"/>
      <c r="R272" s="2"/>
      <c r="S272" s="1" t="str">
        <f t="shared" si="39"/>
        <v/>
      </c>
      <c r="T272" s="1" t="str">
        <f>IF(OR($C272="",$D272&lt;&gt;"Gelir",$L272=""),"",IFERROR(INDEX(MUSTERILER!$B$7:$B$156,MATCH($S272,MUSTERILER!$T$7:$T$156,0)),""))</f>
        <v/>
      </c>
      <c r="U272" s="1" t="str">
        <f>IF($T272="","",$T272&amp;"|"&amp;COUNTIFS($T$7:$T272,$T272))</f>
        <v/>
      </c>
      <c r="V272" s="1">
        <f t="shared" si="40"/>
        <v>0</v>
      </c>
      <c r="W272" s="1" t="str">
        <f t="shared" si="41"/>
        <v/>
      </c>
      <c r="X272" s="1"/>
      <c r="Y272" s="1"/>
      <c r="Z272" s="1"/>
      <c r="AA272" s="1"/>
      <c r="AB272" s="1"/>
      <c r="AC272" s="1"/>
      <c r="AD272" s="1">
        <f>IF($C272="",0,SUMPRODUCT((AY_SONU!$O$7:$O$42="Evet")*(AY_SONU!$B$7:$B$42=DATE(YEAR($C272),MONTH($C272),1))))</f>
        <v>0</v>
      </c>
      <c r="AE272" s="1" t="str">
        <f>IF($E272="","",$E272&amp;"|"&amp;COUNTIFS($E$7:$E272,$E272))</f>
        <v/>
      </c>
    </row>
    <row r="273" spans="1:31" ht="18" customHeight="1" x14ac:dyDescent="0.3">
      <c r="A273" s="2"/>
      <c r="B273" s="65" t="str">
        <f t="shared" si="34"/>
        <v/>
      </c>
      <c r="C273" s="66"/>
      <c r="D273" s="60"/>
      <c r="E273" s="61"/>
      <c r="F273" s="61"/>
      <c r="G273" s="67"/>
      <c r="H273" s="60"/>
      <c r="I273" s="60"/>
      <c r="J273" s="61"/>
      <c r="K273" s="61"/>
      <c r="L273" s="60"/>
      <c r="M273" s="74" t="str">
        <f t="shared" si="35"/>
        <v/>
      </c>
      <c r="N273" s="74" t="str">
        <f t="shared" si="36"/>
        <v/>
      </c>
      <c r="O273" s="73" t="str">
        <f t="shared" si="37"/>
        <v/>
      </c>
      <c r="P273" s="65" t="str">
        <f t="shared" ca="1" si="38"/>
        <v/>
      </c>
      <c r="Q273" s="2"/>
      <c r="R273" s="2"/>
      <c r="S273" s="1" t="str">
        <f t="shared" si="39"/>
        <v/>
      </c>
      <c r="T273" s="1" t="str">
        <f>IF(OR($C273="",$D273&lt;&gt;"Gelir",$L273=""),"",IFERROR(INDEX(MUSTERILER!$B$7:$B$156,MATCH($S273,MUSTERILER!$T$7:$T$156,0)),""))</f>
        <v/>
      </c>
      <c r="U273" s="1" t="str">
        <f>IF($T273="","",$T273&amp;"|"&amp;COUNTIFS($T$7:$T273,$T273))</f>
        <v/>
      </c>
      <c r="V273" s="1">
        <f t="shared" si="40"/>
        <v>0</v>
      </c>
      <c r="W273" s="1" t="str">
        <f t="shared" si="41"/>
        <v/>
      </c>
      <c r="X273" s="1"/>
      <c r="Y273" s="1"/>
      <c r="Z273" s="1"/>
      <c r="AA273" s="1"/>
      <c r="AB273" s="1"/>
      <c r="AC273" s="1"/>
      <c r="AD273" s="1">
        <f>IF($C273="",0,SUMPRODUCT((AY_SONU!$O$7:$O$42="Evet")*(AY_SONU!$B$7:$B$42=DATE(YEAR($C273),MONTH($C273),1))))</f>
        <v>0</v>
      </c>
      <c r="AE273" s="1" t="str">
        <f>IF($E273="","",$E273&amp;"|"&amp;COUNTIFS($E$7:$E273,$E273))</f>
        <v/>
      </c>
    </row>
    <row r="274" spans="1:31" ht="18" customHeight="1" x14ac:dyDescent="0.3">
      <c r="A274" s="2"/>
      <c r="B274" s="65" t="str">
        <f t="shared" si="34"/>
        <v/>
      </c>
      <c r="C274" s="66"/>
      <c r="D274" s="60"/>
      <c r="E274" s="61"/>
      <c r="F274" s="61"/>
      <c r="G274" s="67"/>
      <c r="H274" s="60"/>
      <c r="I274" s="60"/>
      <c r="J274" s="61"/>
      <c r="K274" s="61"/>
      <c r="L274" s="60"/>
      <c r="M274" s="74" t="str">
        <f t="shared" si="35"/>
        <v/>
      </c>
      <c r="N274" s="74" t="str">
        <f t="shared" si="36"/>
        <v/>
      </c>
      <c r="O274" s="73" t="str">
        <f t="shared" si="37"/>
        <v/>
      </c>
      <c r="P274" s="65" t="str">
        <f t="shared" ca="1" si="38"/>
        <v/>
      </c>
      <c r="Q274" s="2"/>
      <c r="R274" s="2"/>
      <c r="S274" s="1" t="str">
        <f t="shared" si="39"/>
        <v/>
      </c>
      <c r="T274" s="1" t="str">
        <f>IF(OR($C274="",$D274&lt;&gt;"Gelir",$L274=""),"",IFERROR(INDEX(MUSTERILER!$B$7:$B$156,MATCH($S274,MUSTERILER!$T$7:$T$156,0)),""))</f>
        <v/>
      </c>
      <c r="U274" s="1" t="str">
        <f>IF($T274="","",$T274&amp;"|"&amp;COUNTIFS($T$7:$T274,$T274))</f>
        <v/>
      </c>
      <c r="V274" s="1">
        <f t="shared" si="40"/>
        <v>0</v>
      </c>
      <c r="W274" s="1" t="str">
        <f t="shared" si="41"/>
        <v/>
      </c>
      <c r="X274" s="1"/>
      <c r="Y274" s="1"/>
      <c r="Z274" s="1"/>
      <c r="AA274" s="1"/>
      <c r="AB274" s="1"/>
      <c r="AC274" s="1"/>
      <c r="AD274" s="1">
        <f>IF($C274="",0,SUMPRODUCT((AY_SONU!$O$7:$O$42="Evet")*(AY_SONU!$B$7:$B$42=DATE(YEAR($C274),MONTH($C274),1))))</f>
        <v>0</v>
      </c>
      <c r="AE274" s="1" t="str">
        <f>IF($E274="","",$E274&amp;"|"&amp;COUNTIFS($E$7:$E274,$E274))</f>
        <v/>
      </c>
    </row>
    <row r="275" spans="1:31" ht="18" customHeight="1" x14ac:dyDescent="0.3">
      <c r="A275" s="2"/>
      <c r="B275" s="65" t="str">
        <f t="shared" si="34"/>
        <v/>
      </c>
      <c r="C275" s="66"/>
      <c r="D275" s="60"/>
      <c r="E275" s="61"/>
      <c r="F275" s="61"/>
      <c r="G275" s="67"/>
      <c r="H275" s="60"/>
      <c r="I275" s="60"/>
      <c r="J275" s="61"/>
      <c r="K275" s="61"/>
      <c r="L275" s="60"/>
      <c r="M275" s="74" t="str">
        <f t="shared" si="35"/>
        <v/>
      </c>
      <c r="N275" s="74" t="str">
        <f t="shared" si="36"/>
        <v/>
      </c>
      <c r="O275" s="73" t="str">
        <f t="shared" si="37"/>
        <v/>
      </c>
      <c r="P275" s="65" t="str">
        <f t="shared" ca="1" si="38"/>
        <v/>
      </c>
      <c r="Q275" s="2"/>
      <c r="R275" s="2"/>
      <c r="S275" s="1" t="str">
        <f t="shared" si="39"/>
        <v/>
      </c>
      <c r="T275" s="1" t="str">
        <f>IF(OR($C275="",$D275&lt;&gt;"Gelir",$L275=""),"",IFERROR(INDEX(MUSTERILER!$B$7:$B$156,MATCH($S275,MUSTERILER!$T$7:$T$156,0)),""))</f>
        <v/>
      </c>
      <c r="U275" s="1" t="str">
        <f>IF($T275="","",$T275&amp;"|"&amp;COUNTIFS($T$7:$T275,$T275))</f>
        <v/>
      </c>
      <c r="V275" s="1">
        <f t="shared" si="40"/>
        <v>0</v>
      </c>
      <c r="W275" s="1" t="str">
        <f t="shared" si="41"/>
        <v/>
      </c>
      <c r="X275" s="1"/>
      <c r="Y275" s="1"/>
      <c r="Z275" s="1"/>
      <c r="AA275" s="1"/>
      <c r="AB275" s="1"/>
      <c r="AC275" s="1"/>
      <c r="AD275" s="1">
        <f>IF($C275="",0,SUMPRODUCT((AY_SONU!$O$7:$O$42="Evet")*(AY_SONU!$B$7:$B$42=DATE(YEAR($C275),MONTH($C275),1))))</f>
        <v>0</v>
      </c>
      <c r="AE275" s="1" t="str">
        <f>IF($E275="","",$E275&amp;"|"&amp;COUNTIFS($E$7:$E275,$E275))</f>
        <v/>
      </c>
    </row>
    <row r="276" spans="1:31" ht="18" customHeight="1" x14ac:dyDescent="0.3">
      <c r="A276" s="2"/>
      <c r="B276" s="65" t="str">
        <f t="shared" si="34"/>
        <v/>
      </c>
      <c r="C276" s="66"/>
      <c r="D276" s="60"/>
      <c r="E276" s="61"/>
      <c r="F276" s="61"/>
      <c r="G276" s="67"/>
      <c r="H276" s="60"/>
      <c r="I276" s="60"/>
      <c r="J276" s="61"/>
      <c r="K276" s="61"/>
      <c r="L276" s="60"/>
      <c r="M276" s="74" t="str">
        <f t="shared" si="35"/>
        <v/>
      </c>
      <c r="N276" s="74" t="str">
        <f t="shared" si="36"/>
        <v/>
      </c>
      <c r="O276" s="73" t="str">
        <f t="shared" si="37"/>
        <v/>
      </c>
      <c r="P276" s="65" t="str">
        <f t="shared" ca="1" si="38"/>
        <v/>
      </c>
      <c r="Q276" s="2"/>
      <c r="R276" s="2"/>
      <c r="S276" s="1" t="str">
        <f t="shared" si="39"/>
        <v/>
      </c>
      <c r="T276" s="1" t="str">
        <f>IF(OR($C276="",$D276&lt;&gt;"Gelir",$L276=""),"",IFERROR(INDEX(MUSTERILER!$B$7:$B$156,MATCH($S276,MUSTERILER!$T$7:$T$156,0)),""))</f>
        <v/>
      </c>
      <c r="U276" s="1" t="str">
        <f>IF($T276="","",$T276&amp;"|"&amp;COUNTIFS($T$7:$T276,$T276))</f>
        <v/>
      </c>
      <c r="V276" s="1">
        <f t="shared" si="40"/>
        <v>0</v>
      </c>
      <c r="W276" s="1" t="str">
        <f t="shared" si="41"/>
        <v/>
      </c>
      <c r="X276" s="1"/>
      <c r="Y276" s="1"/>
      <c r="Z276" s="1"/>
      <c r="AA276" s="1"/>
      <c r="AB276" s="1"/>
      <c r="AC276" s="1"/>
      <c r="AD276" s="1">
        <f>IF($C276="",0,SUMPRODUCT((AY_SONU!$O$7:$O$42="Evet")*(AY_SONU!$B$7:$B$42=DATE(YEAR($C276),MONTH($C276),1))))</f>
        <v>0</v>
      </c>
      <c r="AE276" s="1" t="str">
        <f>IF($E276="","",$E276&amp;"|"&amp;COUNTIFS($E$7:$E276,$E276))</f>
        <v/>
      </c>
    </row>
    <row r="277" spans="1:31" ht="18" customHeight="1" x14ac:dyDescent="0.3">
      <c r="A277" s="2"/>
      <c r="B277" s="65" t="str">
        <f t="shared" si="34"/>
        <v/>
      </c>
      <c r="C277" s="66"/>
      <c r="D277" s="60"/>
      <c r="E277" s="61"/>
      <c r="F277" s="61"/>
      <c r="G277" s="67"/>
      <c r="H277" s="60"/>
      <c r="I277" s="60"/>
      <c r="J277" s="61"/>
      <c r="K277" s="61"/>
      <c r="L277" s="60"/>
      <c r="M277" s="74" t="str">
        <f t="shared" si="35"/>
        <v/>
      </c>
      <c r="N277" s="74" t="str">
        <f t="shared" si="36"/>
        <v/>
      </c>
      <c r="O277" s="73" t="str">
        <f t="shared" si="37"/>
        <v/>
      </c>
      <c r="P277" s="65" t="str">
        <f t="shared" ca="1" si="38"/>
        <v/>
      </c>
      <c r="Q277" s="2"/>
      <c r="R277" s="2"/>
      <c r="S277" s="1" t="str">
        <f t="shared" si="39"/>
        <v/>
      </c>
      <c r="T277" s="1" t="str">
        <f>IF(OR($C277="",$D277&lt;&gt;"Gelir",$L277=""),"",IFERROR(INDEX(MUSTERILER!$B$7:$B$156,MATCH($S277,MUSTERILER!$T$7:$T$156,0)),""))</f>
        <v/>
      </c>
      <c r="U277" s="1" t="str">
        <f>IF($T277="","",$T277&amp;"|"&amp;COUNTIFS($T$7:$T277,$T277))</f>
        <v/>
      </c>
      <c r="V277" s="1">
        <f t="shared" si="40"/>
        <v>0</v>
      </c>
      <c r="W277" s="1" t="str">
        <f t="shared" si="41"/>
        <v/>
      </c>
      <c r="X277" s="1"/>
      <c r="Y277" s="1"/>
      <c r="Z277" s="1"/>
      <c r="AA277" s="1"/>
      <c r="AB277" s="1"/>
      <c r="AC277" s="1"/>
      <c r="AD277" s="1">
        <f>IF($C277="",0,SUMPRODUCT((AY_SONU!$O$7:$O$42="Evet")*(AY_SONU!$B$7:$B$42=DATE(YEAR($C277),MONTH($C277),1))))</f>
        <v>0</v>
      </c>
      <c r="AE277" s="1" t="str">
        <f>IF($E277="","",$E277&amp;"|"&amp;COUNTIFS($E$7:$E277,$E277))</f>
        <v/>
      </c>
    </row>
    <row r="278" spans="1:31" ht="18" customHeight="1" x14ac:dyDescent="0.3">
      <c r="A278" s="2"/>
      <c r="B278" s="65" t="str">
        <f t="shared" si="34"/>
        <v/>
      </c>
      <c r="C278" s="66"/>
      <c r="D278" s="60"/>
      <c r="E278" s="61"/>
      <c r="F278" s="61"/>
      <c r="G278" s="67"/>
      <c r="H278" s="60"/>
      <c r="I278" s="60"/>
      <c r="J278" s="61"/>
      <c r="K278" s="61"/>
      <c r="L278" s="60"/>
      <c r="M278" s="74" t="str">
        <f t="shared" si="35"/>
        <v/>
      </c>
      <c r="N278" s="74" t="str">
        <f t="shared" si="36"/>
        <v/>
      </c>
      <c r="O278" s="73" t="str">
        <f t="shared" si="37"/>
        <v/>
      </c>
      <c r="P278" s="65" t="str">
        <f t="shared" ca="1" si="38"/>
        <v/>
      </c>
      <c r="Q278" s="2"/>
      <c r="R278" s="2"/>
      <c r="S278" s="1" t="str">
        <f t="shared" si="39"/>
        <v/>
      </c>
      <c r="T278" s="1" t="str">
        <f>IF(OR($C278="",$D278&lt;&gt;"Gelir",$L278=""),"",IFERROR(INDEX(MUSTERILER!$B$7:$B$156,MATCH($S278,MUSTERILER!$T$7:$T$156,0)),""))</f>
        <v/>
      </c>
      <c r="U278" s="1" t="str">
        <f>IF($T278="","",$T278&amp;"|"&amp;COUNTIFS($T$7:$T278,$T278))</f>
        <v/>
      </c>
      <c r="V278" s="1">
        <f t="shared" si="40"/>
        <v>0</v>
      </c>
      <c r="W278" s="1" t="str">
        <f t="shared" si="41"/>
        <v/>
      </c>
      <c r="X278" s="1"/>
      <c r="Y278" s="1"/>
      <c r="Z278" s="1"/>
      <c r="AA278" s="1"/>
      <c r="AB278" s="1"/>
      <c r="AC278" s="1"/>
      <c r="AD278" s="1">
        <f>IF($C278="",0,SUMPRODUCT((AY_SONU!$O$7:$O$42="Evet")*(AY_SONU!$B$7:$B$42=DATE(YEAR($C278),MONTH($C278),1))))</f>
        <v>0</v>
      </c>
      <c r="AE278" s="1" t="str">
        <f>IF($E278="","",$E278&amp;"|"&amp;COUNTIFS($E$7:$E278,$E278))</f>
        <v/>
      </c>
    </row>
    <row r="279" spans="1:31" ht="18" customHeight="1" x14ac:dyDescent="0.3">
      <c r="A279" s="2"/>
      <c r="B279" s="65" t="str">
        <f t="shared" si="34"/>
        <v/>
      </c>
      <c r="C279" s="66"/>
      <c r="D279" s="60"/>
      <c r="E279" s="61"/>
      <c r="F279" s="61"/>
      <c r="G279" s="67"/>
      <c r="H279" s="60"/>
      <c r="I279" s="60"/>
      <c r="J279" s="61"/>
      <c r="K279" s="61"/>
      <c r="L279" s="60"/>
      <c r="M279" s="74" t="str">
        <f t="shared" si="35"/>
        <v/>
      </c>
      <c r="N279" s="74" t="str">
        <f t="shared" si="36"/>
        <v/>
      </c>
      <c r="O279" s="73" t="str">
        <f t="shared" si="37"/>
        <v/>
      </c>
      <c r="P279" s="65" t="str">
        <f t="shared" ca="1" si="38"/>
        <v/>
      </c>
      <c r="Q279" s="2"/>
      <c r="R279" s="2"/>
      <c r="S279" s="1" t="str">
        <f t="shared" si="39"/>
        <v/>
      </c>
      <c r="T279" s="1" t="str">
        <f>IF(OR($C279="",$D279&lt;&gt;"Gelir",$L279=""),"",IFERROR(INDEX(MUSTERILER!$B$7:$B$156,MATCH($S279,MUSTERILER!$T$7:$T$156,0)),""))</f>
        <v/>
      </c>
      <c r="U279" s="1" t="str">
        <f>IF($T279="","",$T279&amp;"|"&amp;COUNTIFS($T$7:$T279,$T279))</f>
        <v/>
      </c>
      <c r="V279" s="1">
        <f t="shared" si="40"/>
        <v>0</v>
      </c>
      <c r="W279" s="1" t="str">
        <f t="shared" si="41"/>
        <v/>
      </c>
      <c r="X279" s="1"/>
      <c r="Y279" s="1"/>
      <c r="Z279" s="1"/>
      <c r="AA279" s="1"/>
      <c r="AB279" s="1"/>
      <c r="AC279" s="1"/>
      <c r="AD279" s="1">
        <f>IF($C279="",0,SUMPRODUCT((AY_SONU!$O$7:$O$42="Evet")*(AY_SONU!$B$7:$B$42=DATE(YEAR($C279),MONTH($C279),1))))</f>
        <v>0</v>
      </c>
      <c r="AE279" s="1" t="str">
        <f>IF($E279="","",$E279&amp;"|"&amp;COUNTIFS($E$7:$E279,$E279))</f>
        <v/>
      </c>
    </row>
    <row r="280" spans="1:31" ht="18" customHeight="1" x14ac:dyDescent="0.3">
      <c r="A280" s="2"/>
      <c r="B280" s="65" t="str">
        <f t="shared" si="34"/>
        <v/>
      </c>
      <c r="C280" s="66"/>
      <c r="D280" s="60"/>
      <c r="E280" s="61"/>
      <c r="F280" s="61"/>
      <c r="G280" s="67"/>
      <c r="H280" s="60"/>
      <c r="I280" s="60"/>
      <c r="J280" s="61"/>
      <c r="K280" s="61"/>
      <c r="L280" s="60"/>
      <c r="M280" s="74" t="str">
        <f t="shared" si="35"/>
        <v/>
      </c>
      <c r="N280" s="74" t="str">
        <f t="shared" si="36"/>
        <v/>
      </c>
      <c r="O280" s="73" t="str">
        <f t="shared" si="37"/>
        <v/>
      </c>
      <c r="P280" s="65" t="str">
        <f t="shared" ca="1" si="38"/>
        <v/>
      </c>
      <c r="Q280" s="2"/>
      <c r="R280" s="2"/>
      <c r="S280" s="1" t="str">
        <f t="shared" si="39"/>
        <v/>
      </c>
      <c r="T280" s="1" t="str">
        <f>IF(OR($C280="",$D280&lt;&gt;"Gelir",$L280=""),"",IFERROR(INDEX(MUSTERILER!$B$7:$B$156,MATCH($S280,MUSTERILER!$T$7:$T$156,0)),""))</f>
        <v/>
      </c>
      <c r="U280" s="1" t="str">
        <f>IF($T280="","",$T280&amp;"|"&amp;COUNTIFS($T$7:$T280,$T280))</f>
        <v/>
      </c>
      <c r="V280" s="1">
        <f t="shared" si="40"/>
        <v>0</v>
      </c>
      <c r="W280" s="1" t="str">
        <f t="shared" si="41"/>
        <v/>
      </c>
      <c r="X280" s="1"/>
      <c r="Y280" s="1"/>
      <c r="Z280" s="1"/>
      <c r="AA280" s="1"/>
      <c r="AB280" s="1"/>
      <c r="AC280" s="1"/>
      <c r="AD280" s="1">
        <f>IF($C280="",0,SUMPRODUCT((AY_SONU!$O$7:$O$42="Evet")*(AY_SONU!$B$7:$B$42=DATE(YEAR($C280),MONTH($C280),1))))</f>
        <v>0</v>
      </c>
      <c r="AE280" s="1" t="str">
        <f>IF($E280="","",$E280&amp;"|"&amp;COUNTIFS($E$7:$E280,$E280))</f>
        <v/>
      </c>
    </row>
    <row r="281" spans="1:31" ht="18" customHeight="1" x14ac:dyDescent="0.3">
      <c r="A281" s="2"/>
      <c r="B281" s="65" t="str">
        <f t="shared" si="34"/>
        <v/>
      </c>
      <c r="C281" s="66"/>
      <c r="D281" s="60"/>
      <c r="E281" s="61"/>
      <c r="F281" s="61"/>
      <c r="G281" s="67"/>
      <c r="H281" s="60"/>
      <c r="I281" s="60"/>
      <c r="J281" s="61"/>
      <c r="K281" s="61"/>
      <c r="L281" s="60"/>
      <c r="M281" s="74" t="str">
        <f t="shared" si="35"/>
        <v/>
      </c>
      <c r="N281" s="74" t="str">
        <f t="shared" si="36"/>
        <v/>
      </c>
      <c r="O281" s="73" t="str">
        <f t="shared" si="37"/>
        <v/>
      </c>
      <c r="P281" s="65" t="str">
        <f t="shared" ca="1" si="38"/>
        <v/>
      </c>
      <c r="Q281" s="2"/>
      <c r="R281" s="2"/>
      <c r="S281" s="1" t="str">
        <f t="shared" si="39"/>
        <v/>
      </c>
      <c r="T281" s="1" t="str">
        <f>IF(OR($C281="",$D281&lt;&gt;"Gelir",$L281=""),"",IFERROR(INDEX(MUSTERILER!$B$7:$B$156,MATCH($S281,MUSTERILER!$T$7:$T$156,0)),""))</f>
        <v/>
      </c>
      <c r="U281" s="1" t="str">
        <f>IF($T281="","",$T281&amp;"|"&amp;COUNTIFS($T$7:$T281,$T281))</f>
        <v/>
      </c>
      <c r="V281" s="1">
        <f t="shared" si="40"/>
        <v>0</v>
      </c>
      <c r="W281" s="1" t="str">
        <f t="shared" si="41"/>
        <v/>
      </c>
      <c r="X281" s="1"/>
      <c r="Y281" s="1"/>
      <c r="Z281" s="1"/>
      <c r="AA281" s="1"/>
      <c r="AB281" s="1"/>
      <c r="AC281" s="1"/>
      <c r="AD281" s="1">
        <f>IF($C281="",0,SUMPRODUCT((AY_SONU!$O$7:$O$42="Evet")*(AY_SONU!$B$7:$B$42=DATE(YEAR($C281),MONTH($C281),1))))</f>
        <v>0</v>
      </c>
      <c r="AE281" s="1" t="str">
        <f>IF($E281="","",$E281&amp;"|"&amp;COUNTIFS($E$7:$E281,$E281))</f>
        <v/>
      </c>
    </row>
    <row r="282" spans="1:31" ht="18" customHeight="1" x14ac:dyDescent="0.3">
      <c r="A282" s="2"/>
      <c r="B282" s="65" t="str">
        <f t="shared" si="34"/>
        <v/>
      </c>
      <c r="C282" s="66"/>
      <c r="D282" s="60"/>
      <c r="E282" s="61"/>
      <c r="F282" s="61"/>
      <c r="G282" s="67"/>
      <c r="H282" s="60"/>
      <c r="I282" s="60"/>
      <c r="J282" s="61"/>
      <c r="K282" s="61"/>
      <c r="L282" s="60"/>
      <c r="M282" s="74" t="str">
        <f t="shared" si="35"/>
        <v/>
      </c>
      <c r="N282" s="74" t="str">
        <f t="shared" si="36"/>
        <v/>
      </c>
      <c r="O282" s="73" t="str">
        <f t="shared" si="37"/>
        <v/>
      </c>
      <c r="P282" s="65" t="str">
        <f t="shared" ca="1" si="38"/>
        <v/>
      </c>
      <c r="Q282" s="2"/>
      <c r="R282" s="2"/>
      <c r="S282" s="1" t="str">
        <f t="shared" si="39"/>
        <v/>
      </c>
      <c r="T282" s="1" t="str">
        <f>IF(OR($C282="",$D282&lt;&gt;"Gelir",$L282=""),"",IFERROR(INDEX(MUSTERILER!$B$7:$B$156,MATCH($S282,MUSTERILER!$T$7:$T$156,0)),""))</f>
        <v/>
      </c>
      <c r="U282" s="1" t="str">
        <f>IF($T282="","",$T282&amp;"|"&amp;COUNTIFS($T$7:$T282,$T282))</f>
        <v/>
      </c>
      <c r="V282" s="1">
        <f t="shared" si="40"/>
        <v>0</v>
      </c>
      <c r="W282" s="1" t="str">
        <f t="shared" si="41"/>
        <v/>
      </c>
      <c r="X282" s="1"/>
      <c r="Y282" s="1"/>
      <c r="Z282" s="1"/>
      <c r="AA282" s="1"/>
      <c r="AB282" s="1"/>
      <c r="AC282" s="1"/>
      <c r="AD282" s="1">
        <f>IF($C282="",0,SUMPRODUCT((AY_SONU!$O$7:$O$42="Evet")*(AY_SONU!$B$7:$B$42=DATE(YEAR($C282),MONTH($C282),1))))</f>
        <v>0</v>
      </c>
      <c r="AE282" s="1" t="str">
        <f>IF($E282="","",$E282&amp;"|"&amp;COUNTIFS($E$7:$E282,$E282))</f>
        <v/>
      </c>
    </row>
    <row r="283" spans="1:31" ht="18" customHeight="1" x14ac:dyDescent="0.3">
      <c r="A283" s="2"/>
      <c r="B283" s="65" t="str">
        <f t="shared" si="34"/>
        <v/>
      </c>
      <c r="C283" s="66"/>
      <c r="D283" s="60"/>
      <c r="E283" s="61"/>
      <c r="F283" s="61"/>
      <c r="G283" s="67"/>
      <c r="H283" s="60"/>
      <c r="I283" s="60"/>
      <c r="J283" s="61"/>
      <c r="K283" s="61"/>
      <c r="L283" s="60"/>
      <c r="M283" s="74" t="str">
        <f t="shared" si="35"/>
        <v/>
      </c>
      <c r="N283" s="74" t="str">
        <f t="shared" si="36"/>
        <v/>
      </c>
      <c r="O283" s="73" t="str">
        <f t="shared" si="37"/>
        <v/>
      </c>
      <c r="P283" s="65" t="str">
        <f t="shared" ca="1" si="38"/>
        <v/>
      </c>
      <c r="Q283" s="2"/>
      <c r="R283" s="2"/>
      <c r="S283" s="1" t="str">
        <f t="shared" si="39"/>
        <v/>
      </c>
      <c r="T283" s="1" t="str">
        <f>IF(OR($C283="",$D283&lt;&gt;"Gelir",$L283=""),"",IFERROR(INDEX(MUSTERILER!$B$7:$B$156,MATCH($S283,MUSTERILER!$T$7:$T$156,0)),""))</f>
        <v/>
      </c>
      <c r="U283" s="1" t="str">
        <f>IF($T283="","",$T283&amp;"|"&amp;COUNTIFS($T$7:$T283,$T283))</f>
        <v/>
      </c>
      <c r="V283" s="1">
        <f t="shared" si="40"/>
        <v>0</v>
      </c>
      <c r="W283" s="1" t="str">
        <f t="shared" si="41"/>
        <v/>
      </c>
      <c r="X283" s="1"/>
      <c r="Y283" s="1"/>
      <c r="Z283" s="1"/>
      <c r="AA283" s="1"/>
      <c r="AB283" s="1"/>
      <c r="AC283" s="1"/>
      <c r="AD283" s="1">
        <f>IF($C283="",0,SUMPRODUCT((AY_SONU!$O$7:$O$42="Evet")*(AY_SONU!$B$7:$B$42=DATE(YEAR($C283),MONTH($C283),1))))</f>
        <v>0</v>
      </c>
      <c r="AE283" s="1" t="str">
        <f>IF($E283="","",$E283&amp;"|"&amp;COUNTIFS($E$7:$E283,$E283))</f>
        <v/>
      </c>
    </row>
    <row r="284" spans="1:31" ht="18" customHeight="1" x14ac:dyDescent="0.3">
      <c r="A284" s="2"/>
      <c r="B284" s="65" t="str">
        <f t="shared" si="34"/>
        <v/>
      </c>
      <c r="C284" s="66"/>
      <c r="D284" s="60"/>
      <c r="E284" s="61"/>
      <c r="F284" s="61"/>
      <c r="G284" s="67"/>
      <c r="H284" s="60"/>
      <c r="I284" s="60"/>
      <c r="J284" s="61"/>
      <c r="K284" s="61"/>
      <c r="L284" s="60"/>
      <c r="M284" s="74" t="str">
        <f t="shared" si="35"/>
        <v/>
      </c>
      <c r="N284" s="74" t="str">
        <f t="shared" si="36"/>
        <v/>
      </c>
      <c r="O284" s="73" t="str">
        <f t="shared" si="37"/>
        <v/>
      </c>
      <c r="P284" s="65" t="str">
        <f t="shared" ca="1" si="38"/>
        <v/>
      </c>
      <c r="Q284" s="2"/>
      <c r="R284" s="2"/>
      <c r="S284" s="1" t="str">
        <f t="shared" si="39"/>
        <v/>
      </c>
      <c r="T284" s="1" t="str">
        <f>IF(OR($C284="",$D284&lt;&gt;"Gelir",$L284=""),"",IFERROR(INDEX(MUSTERILER!$B$7:$B$156,MATCH($S284,MUSTERILER!$T$7:$T$156,0)),""))</f>
        <v/>
      </c>
      <c r="U284" s="1" t="str">
        <f>IF($T284="","",$T284&amp;"|"&amp;COUNTIFS($T$7:$T284,$T284))</f>
        <v/>
      </c>
      <c r="V284" s="1">
        <f t="shared" si="40"/>
        <v>0</v>
      </c>
      <c r="W284" s="1" t="str">
        <f t="shared" si="41"/>
        <v/>
      </c>
      <c r="X284" s="1"/>
      <c r="Y284" s="1"/>
      <c r="Z284" s="1"/>
      <c r="AA284" s="1"/>
      <c r="AB284" s="1"/>
      <c r="AC284" s="1"/>
      <c r="AD284" s="1">
        <f>IF($C284="",0,SUMPRODUCT((AY_SONU!$O$7:$O$42="Evet")*(AY_SONU!$B$7:$B$42=DATE(YEAR($C284),MONTH($C284),1))))</f>
        <v>0</v>
      </c>
      <c r="AE284" s="1" t="str">
        <f>IF($E284="","",$E284&amp;"|"&amp;COUNTIFS($E$7:$E284,$E284))</f>
        <v/>
      </c>
    </row>
    <row r="285" spans="1:31" ht="18" customHeight="1" x14ac:dyDescent="0.3">
      <c r="A285" s="2"/>
      <c r="B285" s="65" t="str">
        <f t="shared" si="34"/>
        <v/>
      </c>
      <c r="C285" s="66"/>
      <c r="D285" s="60"/>
      <c r="E285" s="61"/>
      <c r="F285" s="61"/>
      <c r="G285" s="67"/>
      <c r="H285" s="60"/>
      <c r="I285" s="60"/>
      <c r="J285" s="61"/>
      <c r="K285" s="61"/>
      <c r="L285" s="60"/>
      <c r="M285" s="74" t="str">
        <f t="shared" si="35"/>
        <v/>
      </c>
      <c r="N285" s="74" t="str">
        <f t="shared" si="36"/>
        <v/>
      </c>
      <c r="O285" s="73" t="str">
        <f t="shared" si="37"/>
        <v/>
      </c>
      <c r="P285" s="65" t="str">
        <f t="shared" ca="1" si="38"/>
        <v/>
      </c>
      <c r="Q285" s="2"/>
      <c r="R285" s="2"/>
      <c r="S285" s="1" t="str">
        <f t="shared" si="39"/>
        <v/>
      </c>
      <c r="T285" s="1" t="str">
        <f>IF(OR($C285="",$D285&lt;&gt;"Gelir",$L285=""),"",IFERROR(INDEX(MUSTERILER!$B$7:$B$156,MATCH($S285,MUSTERILER!$T$7:$T$156,0)),""))</f>
        <v/>
      </c>
      <c r="U285" s="1" t="str">
        <f>IF($T285="","",$T285&amp;"|"&amp;COUNTIFS($T$7:$T285,$T285))</f>
        <v/>
      </c>
      <c r="V285" s="1">
        <f t="shared" si="40"/>
        <v>0</v>
      </c>
      <c r="W285" s="1" t="str">
        <f t="shared" si="41"/>
        <v/>
      </c>
      <c r="X285" s="1"/>
      <c r="Y285" s="1"/>
      <c r="Z285" s="1"/>
      <c r="AA285" s="1"/>
      <c r="AB285" s="1"/>
      <c r="AC285" s="1"/>
      <c r="AD285" s="1">
        <f>IF($C285="",0,SUMPRODUCT((AY_SONU!$O$7:$O$42="Evet")*(AY_SONU!$B$7:$B$42=DATE(YEAR($C285),MONTH($C285),1))))</f>
        <v>0</v>
      </c>
      <c r="AE285" s="1" t="str">
        <f>IF($E285="","",$E285&amp;"|"&amp;COUNTIFS($E$7:$E285,$E285))</f>
        <v/>
      </c>
    </row>
    <row r="286" spans="1:31" ht="18" customHeight="1" x14ac:dyDescent="0.3">
      <c r="A286" s="2"/>
      <c r="B286" s="65" t="str">
        <f t="shared" si="34"/>
        <v/>
      </c>
      <c r="C286" s="66"/>
      <c r="D286" s="60"/>
      <c r="E286" s="61"/>
      <c r="F286" s="61"/>
      <c r="G286" s="67"/>
      <c r="H286" s="60"/>
      <c r="I286" s="60"/>
      <c r="J286" s="61"/>
      <c r="K286" s="61"/>
      <c r="L286" s="60"/>
      <c r="M286" s="74" t="str">
        <f t="shared" si="35"/>
        <v/>
      </c>
      <c r="N286" s="74" t="str">
        <f t="shared" si="36"/>
        <v/>
      </c>
      <c r="O286" s="73" t="str">
        <f t="shared" si="37"/>
        <v/>
      </c>
      <c r="P286" s="65" t="str">
        <f t="shared" ca="1" si="38"/>
        <v/>
      </c>
      <c r="Q286" s="2"/>
      <c r="R286" s="2"/>
      <c r="S286" s="1" t="str">
        <f t="shared" si="39"/>
        <v/>
      </c>
      <c r="T286" s="1" t="str">
        <f>IF(OR($C286="",$D286&lt;&gt;"Gelir",$L286=""),"",IFERROR(INDEX(MUSTERILER!$B$7:$B$156,MATCH($S286,MUSTERILER!$T$7:$T$156,0)),""))</f>
        <v/>
      </c>
      <c r="U286" s="1" t="str">
        <f>IF($T286="","",$T286&amp;"|"&amp;COUNTIFS($T$7:$T286,$T286))</f>
        <v/>
      </c>
      <c r="V286" s="1">
        <f t="shared" si="40"/>
        <v>0</v>
      </c>
      <c r="W286" s="1" t="str">
        <f t="shared" si="41"/>
        <v/>
      </c>
      <c r="X286" s="1"/>
      <c r="Y286" s="1"/>
      <c r="Z286" s="1"/>
      <c r="AA286" s="1"/>
      <c r="AB286" s="1"/>
      <c r="AC286" s="1"/>
      <c r="AD286" s="1">
        <f>IF($C286="",0,SUMPRODUCT((AY_SONU!$O$7:$O$42="Evet")*(AY_SONU!$B$7:$B$42=DATE(YEAR($C286),MONTH($C286),1))))</f>
        <v>0</v>
      </c>
      <c r="AE286" s="1" t="str">
        <f>IF($E286="","",$E286&amp;"|"&amp;COUNTIFS($E$7:$E286,$E286))</f>
        <v/>
      </c>
    </row>
    <row r="287" spans="1:31" ht="18" customHeight="1" x14ac:dyDescent="0.3">
      <c r="A287" s="2"/>
      <c r="B287" s="65" t="str">
        <f t="shared" si="34"/>
        <v/>
      </c>
      <c r="C287" s="66"/>
      <c r="D287" s="60"/>
      <c r="E287" s="61"/>
      <c r="F287" s="61"/>
      <c r="G287" s="67"/>
      <c r="H287" s="60"/>
      <c r="I287" s="60"/>
      <c r="J287" s="61"/>
      <c r="K287" s="61"/>
      <c r="L287" s="60"/>
      <c r="M287" s="74" t="str">
        <f t="shared" si="35"/>
        <v/>
      </c>
      <c r="N287" s="74" t="str">
        <f t="shared" si="36"/>
        <v/>
      </c>
      <c r="O287" s="73" t="str">
        <f t="shared" si="37"/>
        <v/>
      </c>
      <c r="P287" s="65" t="str">
        <f t="shared" ca="1" si="38"/>
        <v/>
      </c>
      <c r="Q287" s="2"/>
      <c r="R287" s="2"/>
      <c r="S287" s="1" t="str">
        <f t="shared" si="39"/>
        <v/>
      </c>
      <c r="T287" s="1" t="str">
        <f>IF(OR($C287="",$D287&lt;&gt;"Gelir",$L287=""),"",IFERROR(INDEX(MUSTERILER!$B$7:$B$156,MATCH($S287,MUSTERILER!$T$7:$T$156,0)),""))</f>
        <v/>
      </c>
      <c r="U287" s="1" t="str">
        <f>IF($T287="","",$T287&amp;"|"&amp;COUNTIFS($T$7:$T287,$T287))</f>
        <v/>
      </c>
      <c r="V287" s="1">
        <f t="shared" si="40"/>
        <v>0</v>
      </c>
      <c r="W287" s="1" t="str">
        <f t="shared" si="41"/>
        <v/>
      </c>
      <c r="X287" s="1"/>
      <c r="Y287" s="1"/>
      <c r="Z287" s="1"/>
      <c r="AA287" s="1"/>
      <c r="AB287" s="1"/>
      <c r="AC287" s="1"/>
      <c r="AD287" s="1">
        <f>IF($C287="",0,SUMPRODUCT((AY_SONU!$O$7:$O$42="Evet")*(AY_SONU!$B$7:$B$42=DATE(YEAR($C287),MONTH($C287),1))))</f>
        <v>0</v>
      </c>
      <c r="AE287" s="1" t="str">
        <f>IF($E287="","",$E287&amp;"|"&amp;COUNTIFS($E$7:$E287,$E287))</f>
        <v/>
      </c>
    </row>
    <row r="288" spans="1:31" ht="18" customHeight="1" x14ac:dyDescent="0.3">
      <c r="A288" s="2"/>
      <c r="B288" s="65" t="str">
        <f t="shared" si="34"/>
        <v/>
      </c>
      <c r="C288" s="66"/>
      <c r="D288" s="60"/>
      <c r="E288" s="61"/>
      <c r="F288" s="61"/>
      <c r="G288" s="67"/>
      <c r="H288" s="60"/>
      <c r="I288" s="60"/>
      <c r="J288" s="61"/>
      <c r="K288" s="61"/>
      <c r="L288" s="60"/>
      <c r="M288" s="74" t="str">
        <f t="shared" si="35"/>
        <v/>
      </c>
      <c r="N288" s="74" t="str">
        <f t="shared" si="36"/>
        <v/>
      </c>
      <c r="O288" s="73" t="str">
        <f t="shared" si="37"/>
        <v/>
      </c>
      <c r="P288" s="65" t="str">
        <f t="shared" ca="1" si="38"/>
        <v/>
      </c>
      <c r="Q288" s="2"/>
      <c r="R288" s="2"/>
      <c r="S288" s="1" t="str">
        <f t="shared" si="39"/>
        <v/>
      </c>
      <c r="T288" s="1" t="str">
        <f>IF(OR($C288="",$D288&lt;&gt;"Gelir",$L288=""),"",IFERROR(INDEX(MUSTERILER!$B$7:$B$156,MATCH($S288,MUSTERILER!$T$7:$T$156,0)),""))</f>
        <v/>
      </c>
      <c r="U288" s="1" t="str">
        <f>IF($T288="","",$T288&amp;"|"&amp;COUNTIFS($T$7:$T288,$T288))</f>
        <v/>
      </c>
      <c r="V288" s="1">
        <f t="shared" si="40"/>
        <v>0</v>
      </c>
      <c r="W288" s="1" t="str">
        <f t="shared" si="41"/>
        <v/>
      </c>
      <c r="X288" s="1"/>
      <c r="Y288" s="1"/>
      <c r="Z288" s="1"/>
      <c r="AA288" s="1"/>
      <c r="AB288" s="1"/>
      <c r="AC288" s="1"/>
      <c r="AD288" s="1">
        <f>IF($C288="",0,SUMPRODUCT((AY_SONU!$O$7:$O$42="Evet")*(AY_SONU!$B$7:$B$42=DATE(YEAR($C288),MONTH($C288),1))))</f>
        <v>0</v>
      </c>
      <c r="AE288" s="1" t="str">
        <f>IF($E288="","",$E288&amp;"|"&amp;COUNTIFS($E$7:$E288,$E288))</f>
        <v/>
      </c>
    </row>
    <row r="289" spans="1:31" ht="18" customHeight="1" x14ac:dyDescent="0.3">
      <c r="A289" s="2"/>
      <c r="B289" s="65" t="str">
        <f t="shared" si="34"/>
        <v/>
      </c>
      <c r="C289" s="66"/>
      <c r="D289" s="60"/>
      <c r="E289" s="61"/>
      <c r="F289" s="61"/>
      <c r="G289" s="67"/>
      <c r="H289" s="60"/>
      <c r="I289" s="60"/>
      <c r="J289" s="61"/>
      <c r="K289" s="61"/>
      <c r="L289" s="60"/>
      <c r="M289" s="74" t="str">
        <f t="shared" si="35"/>
        <v/>
      </c>
      <c r="N289" s="74" t="str">
        <f t="shared" si="36"/>
        <v/>
      </c>
      <c r="O289" s="73" t="str">
        <f t="shared" si="37"/>
        <v/>
      </c>
      <c r="P289" s="65" t="str">
        <f t="shared" ca="1" si="38"/>
        <v/>
      </c>
      <c r="Q289" s="2"/>
      <c r="R289" s="2"/>
      <c r="S289" s="1" t="str">
        <f t="shared" si="39"/>
        <v/>
      </c>
      <c r="T289" s="1" t="str">
        <f>IF(OR($C289="",$D289&lt;&gt;"Gelir",$L289=""),"",IFERROR(INDEX(MUSTERILER!$B$7:$B$156,MATCH($S289,MUSTERILER!$T$7:$T$156,0)),""))</f>
        <v/>
      </c>
      <c r="U289" s="1" t="str">
        <f>IF($T289="","",$T289&amp;"|"&amp;COUNTIFS($T$7:$T289,$T289))</f>
        <v/>
      </c>
      <c r="V289" s="1">
        <f t="shared" si="40"/>
        <v>0</v>
      </c>
      <c r="W289" s="1" t="str">
        <f t="shared" si="41"/>
        <v/>
      </c>
      <c r="X289" s="1"/>
      <c r="Y289" s="1"/>
      <c r="Z289" s="1"/>
      <c r="AA289" s="1"/>
      <c r="AB289" s="1"/>
      <c r="AC289" s="1"/>
      <c r="AD289" s="1">
        <f>IF($C289="",0,SUMPRODUCT((AY_SONU!$O$7:$O$42="Evet")*(AY_SONU!$B$7:$B$42=DATE(YEAR($C289),MONTH($C289),1))))</f>
        <v>0</v>
      </c>
      <c r="AE289" s="1" t="str">
        <f>IF($E289="","",$E289&amp;"|"&amp;COUNTIFS($E$7:$E289,$E289))</f>
        <v/>
      </c>
    </row>
    <row r="290" spans="1:31" ht="18" customHeight="1" x14ac:dyDescent="0.3">
      <c r="A290" s="2"/>
      <c r="B290" s="65" t="str">
        <f t="shared" si="34"/>
        <v/>
      </c>
      <c r="C290" s="66"/>
      <c r="D290" s="60"/>
      <c r="E290" s="61"/>
      <c r="F290" s="61"/>
      <c r="G290" s="67"/>
      <c r="H290" s="60"/>
      <c r="I290" s="60"/>
      <c r="J290" s="61"/>
      <c r="K290" s="61"/>
      <c r="L290" s="60"/>
      <c r="M290" s="74" t="str">
        <f t="shared" si="35"/>
        <v/>
      </c>
      <c r="N290" s="74" t="str">
        <f t="shared" si="36"/>
        <v/>
      </c>
      <c r="O290" s="73" t="str">
        <f t="shared" si="37"/>
        <v/>
      </c>
      <c r="P290" s="65" t="str">
        <f t="shared" ca="1" si="38"/>
        <v/>
      </c>
      <c r="Q290" s="2"/>
      <c r="R290" s="2"/>
      <c r="S290" s="1" t="str">
        <f t="shared" si="39"/>
        <v/>
      </c>
      <c r="T290" s="1" t="str">
        <f>IF(OR($C290="",$D290&lt;&gt;"Gelir",$L290=""),"",IFERROR(INDEX(MUSTERILER!$B$7:$B$156,MATCH($S290,MUSTERILER!$T$7:$T$156,0)),""))</f>
        <v/>
      </c>
      <c r="U290" s="1" t="str">
        <f>IF($T290="","",$T290&amp;"|"&amp;COUNTIFS($T$7:$T290,$T290))</f>
        <v/>
      </c>
      <c r="V290" s="1">
        <f t="shared" si="40"/>
        <v>0</v>
      </c>
      <c r="W290" s="1" t="str">
        <f t="shared" si="41"/>
        <v/>
      </c>
      <c r="X290" s="1"/>
      <c r="Y290" s="1"/>
      <c r="Z290" s="1"/>
      <c r="AA290" s="1"/>
      <c r="AB290" s="1"/>
      <c r="AC290" s="1"/>
      <c r="AD290" s="1">
        <f>IF($C290="",0,SUMPRODUCT((AY_SONU!$O$7:$O$42="Evet")*(AY_SONU!$B$7:$B$42=DATE(YEAR($C290),MONTH($C290),1))))</f>
        <v>0</v>
      </c>
      <c r="AE290" s="1" t="str">
        <f>IF($E290="","",$E290&amp;"|"&amp;COUNTIFS($E$7:$E290,$E290))</f>
        <v/>
      </c>
    </row>
    <row r="291" spans="1:31" ht="18" customHeight="1" x14ac:dyDescent="0.3">
      <c r="A291" s="2"/>
      <c r="B291" s="65" t="str">
        <f t="shared" si="34"/>
        <v/>
      </c>
      <c r="C291" s="66"/>
      <c r="D291" s="60"/>
      <c r="E291" s="61"/>
      <c r="F291" s="61"/>
      <c r="G291" s="67"/>
      <c r="H291" s="60"/>
      <c r="I291" s="60"/>
      <c r="J291" s="61"/>
      <c r="K291" s="61"/>
      <c r="L291" s="60"/>
      <c r="M291" s="74" t="str">
        <f t="shared" si="35"/>
        <v/>
      </c>
      <c r="N291" s="74" t="str">
        <f t="shared" si="36"/>
        <v/>
      </c>
      <c r="O291" s="73" t="str">
        <f t="shared" si="37"/>
        <v/>
      </c>
      <c r="P291" s="65" t="str">
        <f t="shared" ca="1" si="38"/>
        <v/>
      </c>
      <c r="Q291" s="2"/>
      <c r="R291" s="2"/>
      <c r="S291" s="1" t="str">
        <f t="shared" si="39"/>
        <v/>
      </c>
      <c r="T291" s="1" t="str">
        <f>IF(OR($C291="",$D291&lt;&gt;"Gelir",$L291=""),"",IFERROR(INDEX(MUSTERILER!$B$7:$B$156,MATCH($S291,MUSTERILER!$T$7:$T$156,0)),""))</f>
        <v/>
      </c>
      <c r="U291" s="1" t="str">
        <f>IF($T291="","",$T291&amp;"|"&amp;COUNTIFS($T$7:$T291,$T291))</f>
        <v/>
      </c>
      <c r="V291" s="1">
        <f t="shared" si="40"/>
        <v>0</v>
      </c>
      <c r="W291" s="1" t="str">
        <f t="shared" si="41"/>
        <v/>
      </c>
      <c r="X291" s="1"/>
      <c r="Y291" s="1"/>
      <c r="Z291" s="1"/>
      <c r="AA291" s="1"/>
      <c r="AB291" s="1"/>
      <c r="AC291" s="1"/>
      <c r="AD291" s="1">
        <f>IF($C291="",0,SUMPRODUCT((AY_SONU!$O$7:$O$42="Evet")*(AY_SONU!$B$7:$B$42=DATE(YEAR($C291),MONTH($C291),1))))</f>
        <v>0</v>
      </c>
      <c r="AE291" s="1" t="str">
        <f>IF($E291="","",$E291&amp;"|"&amp;COUNTIFS($E$7:$E291,$E291))</f>
        <v/>
      </c>
    </row>
    <row r="292" spans="1:31" ht="18" customHeight="1" x14ac:dyDescent="0.3">
      <c r="A292" s="2"/>
      <c r="B292" s="65" t="str">
        <f t="shared" si="34"/>
        <v/>
      </c>
      <c r="C292" s="66"/>
      <c r="D292" s="60"/>
      <c r="E292" s="61"/>
      <c r="F292" s="61"/>
      <c r="G292" s="67"/>
      <c r="H292" s="60"/>
      <c r="I292" s="60"/>
      <c r="J292" s="61"/>
      <c r="K292" s="61"/>
      <c r="L292" s="60"/>
      <c r="M292" s="74" t="str">
        <f t="shared" si="35"/>
        <v/>
      </c>
      <c r="N292" s="74" t="str">
        <f t="shared" si="36"/>
        <v/>
      </c>
      <c r="O292" s="73" t="str">
        <f t="shared" si="37"/>
        <v/>
      </c>
      <c r="P292" s="65" t="str">
        <f t="shared" ca="1" si="38"/>
        <v/>
      </c>
      <c r="Q292" s="2"/>
      <c r="R292" s="2"/>
      <c r="S292" s="1" t="str">
        <f t="shared" si="39"/>
        <v/>
      </c>
      <c r="T292" s="1" t="str">
        <f>IF(OR($C292="",$D292&lt;&gt;"Gelir",$L292=""),"",IFERROR(INDEX(MUSTERILER!$B$7:$B$156,MATCH($S292,MUSTERILER!$T$7:$T$156,0)),""))</f>
        <v/>
      </c>
      <c r="U292" s="1" t="str">
        <f>IF($T292="","",$T292&amp;"|"&amp;COUNTIFS($T$7:$T292,$T292))</f>
        <v/>
      </c>
      <c r="V292" s="1">
        <f t="shared" si="40"/>
        <v>0</v>
      </c>
      <c r="W292" s="1" t="str">
        <f t="shared" si="41"/>
        <v/>
      </c>
      <c r="X292" s="1"/>
      <c r="Y292" s="1"/>
      <c r="Z292" s="1"/>
      <c r="AA292" s="1"/>
      <c r="AB292" s="1"/>
      <c r="AC292" s="1"/>
      <c r="AD292" s="1">
        <f>IF($C292="",0,SUMPRODUCT((AY_SONU!$O$7:$O$42="Evet")*(AY_SONU!$B$7:$B$42=DATE(YEAR($C292),MONTH($C292),1))))</f>
        <v>0</v>
      </c>
      <c r="AE292" s="1" t="str">
        <f>IF($E292="","",$E292&amp;"|"&amp;COUNTIFS($E$7:$E292,$E292))</f>
        <v/>
      </c>
    </row>
    <row r="293" spans="1:31" ht="18" customHeight="1" x14ac:dyDescent="0.3">
      <c r="A293" s="2"/>
      <c r="B293" s="65" t="str">
        <f t="shared" si="34"/>
        <v/>
      </c>
      <c r="C293" s="66"/>
      <c r="D293" s="60"/>
      <c r="E293" s="61"/>
      <c r="F293" s="61"/>
      <c r="G293" s="67"/>
      <c r="H293" s="60"/>
      <c r="I293" s="60"/>
      <c r="J293" s="61"/>
      <c r="K293" s="61"/>
      <c r="L293" s="60"/>
      <c r="M293" s="74" t="str">
        <f t="shared" si="35"/>
        <v/>
      </c>
      <c r="N293" s="74" t="str">
        <f t="shared" si="36"/>
        <v/>
      </c>
      <c r="O293" s="73" t="str">
        <f t="shared" si="37"/>
        <v/>
      </c>
      <c r="P293" s="65" t="str">
        <f t="shared" ca="1" si="38"/>
        <v/>
      </c>
      <c r="Q293" s="2"/>
      <c r="R293" s="2"/>
      <c r="S293" s="1" t="str">
        <f t="shared" si="39"/>
        <v/>
      </c>
      <c r="T293" s="1" t="str">
        <f>IF(OR($C293="",$D293&lt;&gt;"Gelir",$L293=""),"",IFERROR(INDEX(MUSTERILER!$B$7:$B$156,MATCH($S293,MUSTERILER!$T$7:$T$156,0)),""))</f>
        <v/>
      </c>
      <c r="U293" s="1" t="str">
        <f>IF($T293="","",$T293&amp;"|"&amp;COUNTIFS($T$7:$T293,$T293))</f>
        <v/>
      </c>
      <c r="V293" s="1">
        <f t="shared" si="40"/>
        <v>0</v>
      </c>
      <c r="W293" s="1" t="str">
        <f t="shared" si="41"/>
        <v/>
      </c>
      <c r="X293" s="1"/>
      <c r="Y293" s="1"/>
      <c r="Z293" s="1"/>
      <c r="AA293" s="1"/>
      <c r="AB293" s="1"/>
      <c r="AC293" s="1"/>
      <c r="AD293" s="1">
        <f>IF($C293="",0,SUMPRODUCT((AY_SONU!$O$7:$O$42="Evet")*(AY_SONU!$B$7:$B$42=DATE(YEAR($C293),MONTH($C293),1))))</f>
        <v>0</v>
      </c>
      <c r="AE293" s="1" t="str">
        <f>IF($E293="","",$E293&amp;"|"&amp;COUNTIFS($E$7:$E293,$E293))</f>
        <v/>
      </c>
    </row>
    <row r="294" spans="1:31" ht="18" customHeight="1" x14ac:dyDescent="0.3">
      <c r="A294" s="2"/>
      <c r="B294" s="65" t="str">
        <f t="shared" si="34"/>
        <v/>
      </c>
      <c r="C294" s="66"/>
      <c r="D294" s="60"/>
      <c r="E294" s="61"/>
      <c r="F294" s="61"/>
      <c r="G294" s="67"/>
      <c r="H294" s="60"/>
      <c r="I294" s="60"/>
      <c r="J294" s="61"/>
      <c r="K294" s="61"/>
      <c r="L294" s="60"/>
      <c r="M294" s="74" t="str">
        <f t="shared" si="35"/>
        <v/>
      </c>
      <c r="N294" s="74" t="str">
        <f t="shared" si="36"/>
        <v/>
      </c>
      <c r="O294" s="73" t="str">
        <f t="shared" si="37"/>
        <v/>
      </c>
      <c r="P294" s="65" t="str">
        <f t="shared" ca="1" si="38"/>
        <v/>
      </c>
      <c r="Q294" s="2"/>
      <c r="R294" s="2"/>
      <c r="S294" s="1" t="str">
        <f t="shared" si="39"/>
        <v/>
      </c>
      <c r="T294" s="1" t="str">
        <f>IF(OR($C294="",$D294&lt;&gt;"Gelir",$L294=""),"",IFERROR(INDEX(MUSTERILER!$B$7:$B$156,MATCH($S294,MUSTERILER!$T$7:$T$156,0)),""))</f>
        <v/>
      </c>
      <c r="U294" s="1" t="str">
        <f>IF($T294="","",$T294&amp;"|"&amp;COUNTIFS($T$7:$T294,$T294))</f>
        <v/>
      </c>
      <c r="V294" s="1">
        <f t="shared" si="40"/>
        <v>0</v>
      </c>
      <c r="W294" s="1" t="str">
        <f t="shared" si="41"/>
        <v/>
      </c>
      <c r="X294" s="1"/>
      <c r="Y294" s="1"/>
      <c r="Z294" s="1"/>
      <c r="AA294" s="1"/>
      <c r="AB294" s="1"/>
      <c r="AC294" s="1"/>
      <c r="AD294" s="1">
        <f>IF($C294="",0,SUMPRODUCT((AY_SONU!$O$7:$O$42="Evet")*(AY_SONU!$B$7:$B$42=DATE(YEAR($C294),MONTH($C294),1))))</f>
        <v>0</v>
      </c>
      <c r="AE294" s="1" t="str">
        <f>IF($E294="","",$E294&amp;"|"&amp;COUNTIFS($E$7:$E294,$E294))</f>
        <v/>
      </c>
    </row>
    <row r="295" spans="1:31" ht="18" customHeight="1" x14ac:dyDescent="0.3">
      <c r="A295" s="2"/>
      <c r="B295" s="65" t="str">
        <f t="shared" si="34"/>
        <v/>
      </c>
      <c r="C295" s="66"/>
      <c r="D295" s="60"/>
      <c r="E295" s="61"/>
      <c r="F295" s="61"/>
      <c r="G295" s="67"/>
      <c r="H295" s="60"/>
      <c r="I295" s="60"/>
      <c r="J295" s="61"/>
      <c r="K295" s="61"/>
      <c r="L295" s="60"/>
      <c r="M295" s="74" t="str">
        <f t="shared" si="35"/>
        <v/>
      </c>
      <c r="N295" s="74" t="str">
        <f t="shared" si="36"/>
        <v/>
      </c>
      <c r="O295" s="73" t="str">
        <f t="shared" si="37"/>
        <v/>
      </c>
      <c r="P295" s="65" t="str">
        <f t="shared" ca="1" si="38"/>
        <v/>
      </c>
      <c r="Q295" s="2"/>
      <c r="R295" s="2"/>
      <c r="S295" s="1" t="str">
        <f t="shared" si="39"/>
        <v/>
      </c>
      <c r="T295" s="1" t="str">
        <f>IF(OR($C295="",$D295&lt;&gt;"Gelir",$L295=""),"",IFERROR(INDEX(MUSTERILER!$B$7:$B$156,MATCH($S295,MUSTERILER!$T$7:$T$156,0)),""))</f>
        <v/>
      </c>
      <c r="U295" s="1" t="str">
        <f>IF($T295="","",$T295&amp;"|"&amp;COUNTIFS($T$7:$T295,$T295))</f>
        <v/>
      </c>
      <c r="V295" s="1">
        <f t="shared" si="40"/>
        <v>0</v>
      </c>
      <c r="W295" s="1" t="str">
        <f t="shared" si="41"/>
        <v/>
      </c>
      <c r="X295" s="1"/>
      <c r="Y295" s="1"/>
      <c r="Z295" s="1"/>
      <c r="AA295" s="1"/>
      <c r="AB295" s="1"/>
      <c r="AC295" s="1"/>
      <c r="AD295" s="1">
        <f>IF($C295="",0,SUMPRODUCT((AY_SONU!$O$7:$O$42="Evet")*(AY_SONU!$B$7:$B$42=DATE(YEAR($C295),MONTH($C295),1))))</f>
        <v>0</v>
      </c>
      <c r="AE295" s="1" t="str">
        <f>IF($E295="","",$E295&amp;"|"&amp;COUNTIFS($E$7:$E295,$E295))</f>
        <v/>
      </c>
    </row>
    <row r="296" spans="1:31" ht="18" customHeight="1" x14ac:dyDescent="0.3">
      <c r="A296" s="2"/>
      <c r="B296" s="65" t="str">
        <f t="shared" si="34"/>
        <v/>
      </c>
      <c r="C296" s="66"/>
      <c r="D296" s="60"/>
      <c r="E296" s="61"/>
      <c r="F296" s="61"/>
      <c r="G296" s="67"/>
      <c r="H296" s="60"/>
      <c r="I296" s="60"/>
      <c r="J296" s="61"/>
      <c r="K296" s="61"/>
      <c r="L296" s="60"/>
      <c r="M296" s="74" t="str">
        <f t="shared" si="35"/>
        <v/>
      </c>
      <c r="N296" s="74" t="str">
        <f t="shared" si="36"/>
        <v/>
      </c>
      <c r="O296" s="73" t="str">
        <f t="shared" si="37"/>
        <v/>
      </c>
      <c r="P296" s="65" t="str">
        <f t="shared" ca="1" si="38"/>
        <v/>
      </c>
      <c r="Q296" s="2"/>
      <c r="R296" s="2"/>
      <c r="S296" s="1" t="str">
        <f t="shared" si="39"/>
        <v/>
      </c>
      <c r="T296" s="1" t="str">
        <f>IF(OR($C296="",$D296&lt;&gt;"Gelir",$L296=""),"",IFERROR(INDEX(MUSTERILER!$B$7:$B$156,MATCH($S296,MUSTERILER!$T$7:$T$156,0)),""))</f>
        <v/>
      </c>
      <c r="U296" s="1" t="str">
        <f>IF($T296="","",$T296&amp;"|"&amp;COUNTIFS($T$7:$T296,$T296))</f>
        <v/>
      </c>
      <c r="V296" s="1">
        <f t="shared" si="40"/>
        <v>0</v>
      </c>
      <c r="W296" s="1" t="str">
        <f t="shared" si="41"/>
        <v/>
      </c>
      <c r="X296" s="1"/>
      <c r="Y296" s="1"/>
      <c r="Z296" s="1"/>
      <c r="AA296" s="1"/>
      <c r="AB296" s="1"/>
      <c r="AC296" s="1"/>
      <c r="AD296" s="1">
        <f>IF($C296="",0,SUMPRODUCT((AY_SONU!$O$7:$O$42="Evet")*(AY_SONU!$B$7:$B$42=DATE(YEAR($C296),MONTH($C296),1))))</f>
        <v>0</v>
      </c>
      <c r="AE296" s="1" t="str">
        <f>IF($E296="","",$E296&amp;"|"&amp;COUNTIFS($E$7:$E296,$E296))</f>
        <v/>
      </c>
    </row>
    <row r="297" spans="1:31" ht="18" customHeight="1" x14ac:dyDescent="0.3">
      <c r="A297" s="2"/>
      <c r="B297" s="65" t="str">
        <f t="shared" si="34"/>
        <v/>
      </c>
      <c r="C297" s="66"/>
      <c r="D297" s="60"/>
      <c r="E297" s="61"/>
      <c r="F297" s="61"/>
      <c r="G297" s="67"/>
      <c r="H297" s="60"/>
      <c r="I297" s="60"/>
      <c r="J297" s="61"/>
      <c r="K297" s="61"/>
      <c r="L297" s="60"/>
      <c r="M297" s="74" t="str">
        <f t="shared" si="35"/>
        <v/>
      </c>
      <c r="N297" s="74" t="str">
        <f t="shared" si="36"/>
        <v/>
      </c>
      <c r="O297" s="73" t="str">
        <f t="shared" si="37"/>
        <v/>
      </c>
      <c r="P297" s="65" t="str">
        <f t="shared" ca="1" si="38"/>
        <v/>
      </c>
      <c r="Q297" s="2"/>
      <c r="R297" s="2"/>
      <c r="S297" s="1" t="str">
        <f t="shared" si="39"/>
        <v/>
      </c>
      <c r="T297" s="1" t="str">
        <f>IF(OR($C297="",$D297&lt;&gt;"Gelir",$L297=""),"",IFERROR(INDEX(MUSTERILER!$B$7:$B$156,MATCH($S297,MUSTERILER!$T$7:$T$156,0)),""))</f>
        <v/>
      </c>
      <c r="U297" s="1" t="str">
        <f>IF($T297="","",$T297&amp;"|"&amp;COUNTIFS($T$7:$T297,$T297))</f>
        <v/>
      </c>
      <c r="V297" s="1">
        <f t="shared" si="40"/>
        <v>0</v>
      </c>
      <c r="W297" s="1" t="str">
        <f t="shared" si="41"/>
        <v/>
      </c>
      <c r="X297" s="1"/>
      <c r="Y297" s="1"/>
      <c r="Z297" s="1"/>
      <c r="AA297" s="1"/>
      <c r="AB297" s="1"/>
      <c r="AC297" s="1"/>
      <c r="AD297" s="1">
        <f>IF($C297="",0,SUMPRODUCT((AY_SONU!$O$7:$O$42="Evet")*(AY_SONU!$B$7:$B$42=DATE(YEAR($C297),MONTH($C297),1))))</f>
        <v>0</v>
      </c>
      <c r="AE297" s="1" t="str">
        <f>IF($E297="","",$E297&amp;"|"&amp;COUNTIFS($E$7:$E297,$E297))</f>
        <v/>
      </c>
    </row>
    <row r="298" spans="1:31" ht="18" customHeight="1" x14ac:dyDescent="0.3">
      <c r="A298" s="2"/>
      <c r="B298" s="65" t="str">
        <f t="shared" si="34"/>
        <v/>
      </c>
      <c r="C298" s="66"/>
      <c r="D298" s="60"/>
      <c r="E298" s="61"/>
      <c r="F298" s="61"/>
      <c r="G298" s="67"/>
      <c r="H298" s="60"/>
      <c r="I298" s="60"/>
      <c r="J298" s="61"/>
      <c r="K298" s="61"/>
      <c r="L298" s="60"/>
      <c r="M298" s="74" t="str">
        <f t="shared" si="35"/>
        <v/>
      </c>
      <c r="N298" s="74" t="str">
        <f t="shared" si="36"/>
        <v/>
      </c>
      <c r="O298" s="73" t="str">
        <f t="shared" si="37"/>
        <v/>
      </c>
      <c r="P298" s="65" t="str">
        <f t="shared" ca="1" si="38"/>
        <v/>
      </c>
      <c r="Q298" s="2"/>
      <c r="R298" s="2"/>
      <c r="S298" s="1" t="str">
        <f t="shared" si="39"/>
        <v/>
      </c>
      <c r="T298" s="1" t="str">
        <f>IF(OR($C298="",$D298&lt;&gt;"Gelir",$L298=""),"",IFERROR(INDEX(MUSTERILER!$B$7:$B$156,MATCH($S298,MUSTERILER!$T$7:$T$156,0)),""))</f>
        <v/>
      </c>
      <c r="U298" s="1" t="str">
        <f>IF($T298="","",$T298&amp;"|"&amp;COUNTIFS($T$7:$T298,$T298))</f>
        <v/>
      </c>
      <c r="V298" s="1">
        <f t="shared" si="40"/>
        <v>0</v>
      </c>
      <c r="W298" s="1" t="str">
        <f t="shared" si="41"/>
        <v/>
      </c>
      <c r="X298" s="1"/>
      <c r="Y298" s="1"/>
      <c r="Z298" s="1"/>
      <c r="AA298" s="1"/>
      <c r="AB298" s="1"/>
      <c r="AC298" s="1"/>
      <c r="AD298" s="1">
        <f>IF($C298="",0,SUMPRODUCT((AY_SONU!$O$7:$O$42="Evet")*(AY_SONU!$B$7:$B$42=DATE(YEAR($C298),MONTH($C298),1))))</f>
        <v>0</v>
      </c>
      <c r="AE298" s="1" t="str">
        <f>IF($E298="","",$E298&amp;"|"&amp;COUNTIFS($E$7:$E298,$E298))</f>
        <v/>
      </c>
    </row>
    <row r="299" spans="1:31" ht="18" customHeight="1" x14ac:dyDescent="0.3">
      <c r="A299" s="2"/>
      <c r="B299" s="65" t="str">
        <f t="shared" si="34"/>
        <v/>
      </c>
      <c r="C299" s="66"/>
      <c r="D299" s="60"/>
      <c r="E299" s="61"/>
      <c r="F299" s="61"/>
      <c r="G299" s="67"/>
      <c r="H299" s="60"/>
      <c r="I299" s="60"/>
      <c r="J299" s="61"/>
      <c r="K299" s="61"/>
      <c r="L299" s="60"/>
      <c r="M299" s="74" t="str">
        <f t="shared" si="35"/>
        <v/>
      </c>
      <c r="N299" s="74" t="str">
        <f t="shared" si="36"/>
        <v/>
      </c>
      <c r="O299" s="73" t="str">
        <f t="shared" si="37"/>
        <v/>
      </c>
      <c r="P299" s="65" t="str">
        <f t="shared" ca="1" si="38"/>
        <v/>
      </c>
      <c r="Q299" s="2"/>
      <c r="R299" s="2"/>
      <c r="S299" s="1" t="str">
        <f t="shared" si="39"/>
        <v/>
      </c>
      <c r="T299" s="1" t="str">
        <f>IF(OR($C299="",$D299&lt;&gt;"Gelir",$L299=""),"",IFERROR(INDEX(MUSTERILER!$B$7:$B$156,MATCH($S299,MUSTERILER!$T$7:$T$156,0)),""))</f>
        <v/>
      </c>
      <c r="U299" s="1" t="str">
        <f>IF($T299="","",$T299&amp;"|"&amp;COUNTIFS($T$7:$T299,$T299))</f>
        <v/>
      </c>
      <c r="V299" s="1">
        <f t="shared" si="40"/>
        <v>0</v>
      </c>
      <c r="W299" s="1" t="str">
        <f t="shared" si="41"/>
        <v/>
      </c>
      <c r="X299" s="1"/>
      <c r="Y299" s="1"/>
      <c r="Z299" s="1"/>
      <c r="AA299" s="1"/>
      <c r="AB299" s="1"/>
      <c r="AC299" s="1"/>
      <c r="AD299" s="1">
        <f>IF($C299="",0,SUMPRODUCT((AY_SONU!$O$7:$O$42="Evet")*(AY_SONU!$B$7:$B$42=DATE(YEAR($C299),MONTH($C299),1))))</f>
        <v>0</v>
      </c>
      <c r="AE299" s="1" t="str">
        <f>IF($E299="","",$E299&amp;"|"&amp;COUNTIFS($E$7:$E299,$E299))</f>
        <v/>
      </c>
    </row>
    <row r="300" spans="1:31" ht="18" customHeight="1" x14ac:dyDescent="0.3">
      <c r="A300" s="2"/>
      <c r="B300" s="65" t="str">
        <f t="shared" si="34"/>
        <v/>
      </c>
      <c r="C300" s="66"/>
      <c r="D300" s="60"/>
      <c r="E300" s="61"/>
      <c r="F300" s="61"/>
      <c r="G300" s="67"/>
      <c r="H300" s="60"/>
      <c r="I300" s="60"/>
      <c r="J300" s="61"/>
      <c r="K300" s="61"/>
      <c r="L300" s="60"/>
      <c r="M300" s="74" t="str">
        <f t="shared" si="35"/>
        <v/>
      </c>
      <c r="N300" s="74" t="str">
        <f t="shared" si="36"/>
        <v/>
      </c>
      <c r="O300" s="73" t="str">
        <f t="shared" si="37"/>
        <v/>
      </c>
      <c r="P300" s="65" t="str">
        <f t="shared" ca="1" si="38"/>
        <v/>
      </c>
      <c r="Q300" s="2"/>
      <c r="R300" s="2"/>
      <c r="S300" s="1" t="str">
        <f t="shared" si="39"/>
        <v/>
      </c>
      <c r="T300" s="1" t="str">
        <f>IF(OR($C300="",$D300&lt;&gt;"Gelir",$L300=""),"",IFERROR(INDEX(MUSTERILER!$B$7:$B$156,MATCH($S300,MUSTERILER!$T$7:$T$156,0)),""))</f>
        <v/>
      </c>
      <c r="U300" s="1" t="str">
        <f>IF($T300="","",$T300&amp;"|"&amp;COUNTIFS($T$7:$T300,$T300))</f>
        <v/>
      </c>
      <c r="V300" s="1">
        <f t="shared" si="40"/>
        <v>0</v>
      </c>
      <c r="W300" s="1" t="str">
        <f t="shared" si="41"/>
        <v/>
      </c>
      <c r="X300" s="1"/>
      <c r="Y300" s="1"/>
      <c r="Z300" s="1"/>
      <c r="AA300" s="1"/>
      <c r="AB300" s="1"/>
      <c r="AC300" s="1"/>
      <c r="AD300" s="1">
        <f>IF($C300="",0,SUMPRODUCT((AY_SONU!$O$7:$O$42="Evet")*(AY_SONU!$B$7:$B$42=DATE(YEAR($C300),MONTH($C300),1))))</f>
        <v>0</v>
      </c>
      <c r="AE300" s="1" t="str">
        <f>IF($E300="","",$E300&amp;"|"&amp;COUNTIFS($E$7:$E300,$E300))</f>
        <v/>
      </c>
    </row>
    <row r="301" spans="1:31" ht="18" customHeight="1" x14ac:dyDescent="0.3">
      <c r="A301" s="2"/>
      <c r="B301" s="65" t="str">
        <f t="shared" si="34"/>
        <v/>
      </c>
      <c r="C301" s="66"/>
      <c r="D301" s="60"/>
      <c r="E301" s="61"/>
      <c r="F301" s="61"/>
      <c r="G301" s="67"/>
      <c r="H301" s="60"/>
      <c r="I301" s="60"/>
      <c r="J301" s="61"/>
      <c r="K301" s="61"/>
      <c r="L301" s="60"/>
      <c r="M301" s="74" t="str">
        <f t="shared" si="35"/>
        <v/>
      </c>
      <c r="N301" s="74" t="str">
        <f t="shared" si="36"/>
        <v/>
      </c>
      <c r="O301" s="73" t="str">
        <f t="shared" si="37"/>
        <v/>
      </c>
      <c r="P301" s="65" t="str">
        <f t="shared" ca="1" si="38"/>
        <v/>
      </c>
      <c r="Q301" s="2"/>
      <c r="R301" s="2"/>
      <c r="S301" s="1" t="str">
        <f t="shared" si="39"/>
        <v/>
      </c>
      <c r="T301" s="1" t="str">
        <f>IF(OR($C301="",$D301&lt;&gt;"Gelir",$L301=""),"",IFERROR(INDEX(MUSTERILER!$B$7:$B$156,MATCH($S301,MUSTERILER!$T$7:$T$156,0)),""))</f>
        <v/>
      </c>
      <c r="U301" s="1" t="str">
        <f>IF($T301="","",$T301&amp;"|"&amp;COUNTIFS($T$7:$T301,$T301))</f>
        <v/>
      </c>
      <c r="V301" s="1">
        <f t="shared" si="40"/>
        <v>0</v>
      </c>
      <c r="W301" s="1" t="str">
        <f t="shared" si="41"/>
        <v/>
      </c>
      <c r="X301" s="1"/>
      <c r="Y301" s="1"/>
      <c r="Z301" s="1"/>
      <c r="AA301" s="1"/>
      <c r="AB301" s="1"/>
      <c r="AC301" s="1"/>
      <c r="AD301" s="1">
        <f>IF($C301="",0,SUMPRODUCT((AY_SONU!$O$7:$O$42="Evet")*(AY_SONU!$B$7:$B$42=DATE(YEAR($C301),MONTH($C301),1))))</f>
        <v>0</v>
      </c>
      <c r="AE301" s="1" t="str">
        <f>IF($E301="","",$E301&amp;"|"&amp;COUNTIFS($E$7:$E301,$E301))</f>
        <v/>
      </c>
    </row>
    <row r="302" spans="1:31" ht="18" customHeight="1" x14ac:dyDescent="0.3">
      <c r="A302" s="2"/>
      <c r="B302" s="65" t="str">
        <f t="shared" si="34"/>
        <v/>
      </c>
      <c r="C302" s="66"/>
      <c r="D302" s="60"/>
      <c r="E302" s="61"/>
      <c r="F302" s="61"/>
      <c r="G302" s="67"/>
      <c r="H302" s="60"/>
      <c r="I302" s="60"/>
      <c r="J302" s="61"/>
      <c r="K302" s="61"/>
      <c r="L302" s="60"/>
      <c r="M302" s="74" t="str">
        <f t="shared" si="35"/>
        <v/>
      </c>
      <c r="N302" s="74" t="str">
        <f t="shared" si="36"/>
        <v/>
      </c>
      <c r="O302" s="73" t="str">
        <f t="shared" si="37"/>
        <v/>
      </c>
      <c r="P302" s="65" t="str">
        <f t="shared" ca="1" si="38"/>
        <v/>
      </c>
      <c r="Q302" s="2"/>
      <c r="R302" s="2"/>
      <c r="S302" s="1" t="str">
        <f t="shared" si="39"/>
        <v/>
      </c>
      <c r="T302" s="1" t="str">
        <f>IF(OR($C302="",$D302&lt;&gt;"Gelir",$L302=""),"",IFERROR(INDEX(MUSTERILER!$B$7:$B$156,MATCH($S302,MUSTERILER!$T$7:$T$156,0)),""))</f>
        <v/>
      </c>
      <c r="U302" s="1" t="str">
        <f>IF($T302="","",$T302&amp;"|"&amp;COUNTIFS($T$7:$T302,$T302))</f>
        <v/>
      </c>
      <c r="V302" s="1">
        <f t="shared" si="40"/>
        <v>0</v>
      </c>
      <c r="W302" s="1" t="str">
        <f t="shared" si="41"/>
        <v/>
      </c>
      <c r="X302" s="1"/>
      <c r="Y302" s="1"/>
      <c r="Z302" s="1"/>
      <c r="AA302" s="1"/>
      <c r="AB302" s="1"/>
      <c r="AC302" s="1"/>
      <c r="AD302" s="1">
        <f>IF($C302="",0,SUMPRODUCT((AY_SONU!$O$7:$O$42="Evet")*(AY_SONU!$B$7:$B$42=DATE(YEAR($C302),MONTH($C302),1))))</f>
        <v>0</v>
      </c>
      <c r="AE302" s="1" t="str">
        <f>IF($E302="","",$E302&amp;"|"&amp;COUNTIFS($E$7:$E302,$E302))</f>
        <v/>
      </c>
    </row>
    <row r="303" spans="1:31" ht="18" customHeight="1" x14ac:dyDescent="0.3">
      <c r="A303" s="2"/>
      <c r="B303" s="65" t="str">
        <f t="shared" si="34"/>
        <v/>
      </c>
      <c r="C303" s="66"/>
      <c r="D303" s="60"/>
      <c r="E303" s="61"/>
      <c r="F303" s="61"/>
      <c r="G303" s="67"/>
      <c r="H303" s="60"/>
      <c r="I303" s="60"/>
      <c r="J303" s="61"/>
      <c r="K303" s="61"/>
      <c r="L303" s="60"/>
      <c r="M303" s="74" t="str">
        <f t="shared" si="35"/>
        <v/>
      </c>
      <c r="N303" s="74" t="str">
        <f t="shared" si="36"/>
        <v/>
      </c>
      <c r="O303" s="73" t="str">
        <f t="shared" si="37"/>
        <v/>
      </c>
      <c r="P303" s="65" t="str">
        <f t="shared" ca="1" si="38"/>
        <v/>
      </c>
      <c r="Q303" s="2"/>
      <c r="R303" s="2"/>
      <c r="S303" s="1" t="str">
        <f t="shared" si="39"/>
        <v/>
      </c>
      <c r="T303" s="1" t="str">
        <f>IF(OR($C303="",$D303&lt;&gt;"Gelir",$L303=""),"",IFERROR(INDEX(MUSTERILER!$B$7:$B$156,MATCH($S303,MUSTERILER!$T$7:$T$156,0)),""))</f>
        <v/>
      </c>
      <c r="U303" s="1" t="str">
        <f>IF($T303="","",$T303&amp;"|"&amp;COUNTIFS($T$7:$T303,$T303))</f>
        <v/>
      </c>
      <c r="V303" s="1">
        <f t="shared" si="40"/>
        <v>0</v>
      </c>
      <c r="W303" s="1" t="str">
        <f t="shared" si="41"/>
        <v/>
      </c>
      <c r="X303" s="1"/>
      <c r="Y303" s="1"/>
      <c r="Z303" s="1"/>
      <c r="AA303" s="1"/>
      <c r="AB303" s="1"/>
      <c r="AC303" s="1"/>
      <c r="AD303" s="1">
        <f>IF($C303="",0,SUMPRODUCT((AY_SONU!$O$7:$O$42="Evet")*(AY_SONU!$B$7:$B$42=DATE(YEAR($C303),MONTH($C303),1))))</f>
        <v>0</v>
      </c>
      <c r="AE303" s="1" t="str">
        <f>IF($E303="","",$E303&amp;"|"&amp;COUNTIFS($E$7:$E303,$E303))</f>
        <v/>
      </c>
    </row>
    <row r="304" spans="1:31" ht="18" customHeight="1" x14ac:dyDescent="0.3">
      <c r="A304" s="2"/>
      <c r="B304" s="65" t="str">
        <f t="shared" si="34"/>
        <v/>
      </c>
      <c r="C304" s="66"/>
      <c r="D304" s="60"/>
      <c r="E304" s="61"/>
      <c r="F304" s="61"/>
      <c r="G304" s="67"/>
      <c r="H304" s="60"/>
      <c r="I304" s="60"/>
      <c r="J304" s="61"/>
      <c r="K304" s="61"/>
      <c r="L304" s="60"/>
      <c r="M304" s="74" t="str">
        <f t="shared" si="35"/>
        <v/>
      </c>
      <c r="N304" s="74" t="str">
        <f t="shared" si="36"/>
        <v/>
      </c>
      <c r="O304" s="73" t="str">
        <f t="shared" si="37"/>
        <v/>
      </c>
      <c r="P304" s="65" t="str">
        <f t="shared" ca="1" si="38"/>
        <v/>
      </c>
      <c r="Q304" s="2"/>
      <c r="R304" s="2"/>
      <c r="S304" s="1" t="str">
        <f t="shared" si="39"/>
        <v/>
      </c>
      <c r="T304" s="1" t="str">
        <f>IF(OR($C304="",$D304&lt;&gt;"Gelir",$L304=""),"",IFERROR(INDEX(MUSTERILER!$B$7:$B$156,MATCH($S304,MUSTERILER!$T$7:$T$156,0)),""))</f>
        <v/>
      </c>
      <c r="U304" s="1" t="str">
        <f>IF($T304="","",$T304&amp;"|"&amp;COUNTIFS($T$7:$T304,$T304))</f>
        <v/>
      </c>
      <c r="V304" s="1">
        <f t="shared" si="40"/>
        <v>0</v>
      </c>
      <c r="W304" s="1" t="str">
        <f t="shared" si="41"/>
        <v/>
      </c>
      <c r="X304" s="1"/>
      <c r="Y304" s="1"/>
      <c r="Z304" s="1"/>
      <c r="AA304" s="1"/>
      <c r="AB304" s="1"/>
      <c r="AC304" s="1"/>
      <c r="AD304" s="1">
        <f>IF($C304="",0,SUMPRODUCT((AY_SONU!$O$7:$O$42="Evet")*(AY_SONU!$B$7:$B$42=DATE(YEAR($C304),MONTH($C304),1))))</f>
        <v>0</v>
      </c>
      <c r="AE304" s="1" t="str">
        <f>IF($E304="","",$E304&amp;"|"&amp;COUNTIFS($E$7:$E304,$E304))</f>
        <v/>
      </c>
    </row>
    <row r="305" spans="1:31" ht="18" customHeight="1" x14ac:dyDescent="0.3">
      <c r="A305" s="2"/>
      <c r="B305" s="65" t="str">
        <f t="shared" si="34"/>
        <v/>
      </c>
      <c r="C305" s="66"/>
      <c r="D305" s="60"/>
      <c r="E305" s="61"/>
      <c r="F305" s="61"/>
      <c r="G305" s="67"/>
      <c r="H305" s="60"/>
      <c r="I305" s="60"/>
      <c r="J305" s="61"/>
      <c r="K305" s="61"/>
      <c r="L305" s="60"/>
      <c r="M305" s="74" t="str">
        <f t="shared" si="35"/>
        <v/>
      </c>
      <c r="N305" s="74" t="str">
        <f t="shared" si="36"/>
        <v/>
      </c>
      <c r="O305" s="73" t="str">
        <f t="shared" si="37"/>
        <v/>
      </c>
      <c r="P305" s="65" t="str">
        <f t="shared" ca="1" si="38"/>
        <v/>
      </c>
      <c r="Q305" s="2"/>
      <c r="R305" s="2"/>
      <c r="S305" s="1" t="str">
        <f t="shared" si="39"/>
        <v/>
      </c>
      <c r="T305" s="1" t="str">
        <f>IF(OR($C305="",$D305&lt;&gt;"Gelir",$L305=""),"",IFERROR(INDEX(MUSTERILER!$B$7:$B$156,MATCH($S305,MUSTERILER!$T$7:$T$156,0)),""))</f>
        <v/>
      </c>
      <c r="U305" s="1" t="str">
        <f>IF($T305="","",$T305&amp;"|"&amp;COUNTIFS($T$7:$T305,$T305))</f>
        <v/>
      </c>
      <c r="V305" s="1">
        <f t="shared" si="40"/>
        <v>0</v>
      </c>
      <c r="W305" s="1" t="str">
        <f t="shared" si="41"/>
        <v/>
      </c>
      <c r="X305" s="1"/>
      <c r="Y305" s="1"/>
      <c r="Z305" s="1"/>
      <c r="AA305" s="1"/>
      <c r="AB305" s="1"/>
      <c r="AC305" s="1"/>
      <c r="AD305" s="1">
        <f>IF($C305="",0,SUMPRODUCT((AY_SONU!$O$7:$O$42="Evet")*(AY_SONU!$B$7:$B$42=DATE(YEAR($C305),MONTH($C305),1))))</f>
        <v>0</v>
      </c>
      <c r="AE305" s="1" t="str">
        <f>IF($E305="","",$E305&amp;"|"&amp;COUNTIFS($E$7:$E305,$E305))</f>
        <v/>
      </c>
    </row>
    <row r="306" spans="1:31" ht="18" customHeight="1" x14ac:dyDescent="0.3">
      <c r="A306" s="2"/>
      <c r="B306" s="65" t="str">
        <f t="shared" si="34"/>
        <v/>
      </c>
      <c r="C306" s="66"/>
      <c r="D306" s="60"/>
      <c r="E306" s="61"/>
      <c r="F306" s="61"/>
      <c r="G306" s="67"/>
      <c r="H306" s="60"/>
      <c r="I306" s="60"/>
      <c r="J306" s="61"/>
      <c r="K306" s="61"/>
      <c r="L306" s="60"/>
      <c r="M306" s="74" t="str">
        <f t="shared" si="35"/>
        <v/>
      </c>
      <c r="N306" s="74" t="str">
        <f t="shared" si="36"/>
        <v/>
      </c>
      <c r="O306" s="73" t="str">
        <f t="shared" si="37"/>
        <v/>
      </c>
      <c r="P306" s="65" t="str">
        <f t="shared" ca="1" si="38"/>
        <v/>
      </c>
      <c r="Q306" s="2"/>
      <c r="R306" s="2"/>
      <c r="S306" s="1" t="str">
        <f t="shared" si="39"/>
        <v/>
      </c>
      <c r="T306" s="1" t="str">
        <f>IF(OR($C306="",$D306&lt;&gt;"Gelir",$L306=""),"",IFERROR(INDEX(MUSTERILER!$B$7:$B$156,MATCH($S306,MUSTERILER!$T$7:$T$156,0)),""))</f>
        <v/>
      </c>
      <c r="U306" s="1" t="str">
        <f>IF($T306="","",$T306&amp;"|"&amp;COUNTIFS($T$7:$T306,$T306))</f>
        <v/>
      </c>
      <c r="V306" s="1">
        <f t="shared" si="40"/>
        <v>0</v>
      </c>
      <c r="W306" s="1" t="str">
        <f t="shared" si="41"/>
        <v/>
      </c>
      <c r="X306" s="1"/>
      <c r="Y306" s="1"/>
      <c r="Z306" s="1"/>
      <c r="AA306" s="1"/>
      <c r="AB306" s="1"/>
      <c r="AC306" s="1"/>
      <c r="AD306" s="1">
        <f>IF($C306="",0,SUMPRODUCT((AY_SONU!$O$7:$O$42="Evet")*(AY_SONU!$B$7:$B$42=DATE(YEAR($C306),MONTH($C306),1))))</f>
        <v>0</v>
      </c>
      <c r="AE306" s="1" t="str">
        <f>IF($E306="","",$E306&amp;"|"&amp;COUNTIFS($E$7:$E306,$E306))</f>
        <v/>
      </c>
    </row>
    <row r="307" spans="1:31" ht="18" customHeight="1" x14ac:dyDescent="0.3">
      <c r="A307" s="2"/>
      <c r="B307" s="65" t="str">
        <f t="shared" si="34"/>
        <v/>
      </c>
      <c r="C307" s="66"/>
      <c r="D307" s="60"/>
      <c r="E307" s="61"/>
      <c r="F307" s="61"/>
      <c r="G307" s="67"/>
      <c r="H307" s="60"/>
      <c r="I307" s="60"/>
      <c r="J307" s="61"/>
      <c r="K307" s="61"/>
      <c r="L307" s="60"/>
      <c r="M307" s="74" t="str">
        <f t="shared" si="35"/>
        <v/>
      </c>
      <c r="N307" s="74" t="str">
        <f t="shared" si="36"/>
        <v/>
      </c>
      <c r="O307" s="73" t="str">
        <f t="shared" si="37"/>
        <v/>
      </c>
      <c r="P307" s="65" t="str">
        <f t="shared" ca="1" si="38"/>
        <v/>
      </c>
      <c r="Q307" s="2"/>
      <c r="R307" s="2"/>
      <c r="S307" s="1" t="str">
        <f t="shared" si="39"/>
        <v/>
      </c>
      <c r="T307" s="1" t="str">
        <f>IF(OR($C307="",$D307&lt;&gt;"Gelir",$L307=""),"",IFERROR(INDEX(MUSTERILER!$B$7:$B$156,MATCH($S307,MUSTERILER!$T$7:$T$156,0)),""))</f>
        <v/>
      </c>
      <c r="U307" s="1" t="str">
        <f>IF($T307="","",$T307&amp;"|"&amp;COUNTIFS($T$7:$T307,$T307))</f>
        <v/>
      </c>
      <c r="V307" s="1">
        <f t="shared" si="40"/>
        <v>0</v>
      </c>
      <c r="W307" s="1" t="str">
        <f t="shared" si="41"/>
        <v/>
      </c>
      <c r="X307" s="1"/>
      <c r="Y307" s="1"/>
      <c r="Z307" s="1"/>
      <c r="AA307" s="1"/>
      <c r="AB307" s="1"/>
      <c r="AC307" s="1"/>
      <c r="AD307" s="1">
        <f>IF($C307="",0,SUMPRODUCT((AY_SONU!$O$7:$O$42="Evet")*(AY_SONU!$B$7:$B$42=DATE(YEAR($C307),MONTH($C307),1))))</f>
        <v>0</v>
      </c>
      <c r="AE307" s="1" t="str">
        <f>IF($E307="","",$E307&amp;"|"&amp;COUNTIFS($E$7:$E307,$E307))</f>
        <v/>
      </c>
    </row>
    <row r="308" spans="1:31" ht="18" customHeight="1" x14ac:dyDescent="0.3">
      <c r="A308" s="2"/>
      <c r="B308" s="65" t="str">
        <f t="shared" si="34"/>
        <v/>
      </c>
      <c r="C308" s="66"/>
      <c r="D308" s="60"/>
      <c r="E308" s="61"/>
      <c r="F308" s="61"/>
      <c r="G308" s="67"/>
      <c r="H308" s="60"/>
      <c r="I308" s="60"/>
      <c r="J308" s="61"/>
      <c r="K308" s="61"/>
      <c r="L308" s="60"/>
      <c r="M308" s="74" t="str">
        <f t="shared" si="35"/>
        <v/>
      </c>
      <c r="N308" s="74" t="str">
        <f t="shared" si="36"/>
        <v/>
      </c>
      <c r="O308" s="73" t="str">
        <f t="shared" si="37"/>
        <v/>
      </c>
      <c r="P308" s="65" t="str">
        <f t="shared" ca="1" si="38"/>
        <v/>
      </c>
      <c r="Q308" s="2"/>
      <c r="R308" s="2"/>
      <c r="S308" s="1" t="str">
        <f t="shared" si="39"/>
        <v/>
      </c>
      <c r="T308" s="1" t="str">
        <f>IF(OR($C308="",$D308&lt;&gt;"Gelir",$L308=""),"",IFERROR(INDEX(MUSTERILER!$B$7:$B$156,MATCH($S308,MUSTERILER!$T$7:$T$156,0)),""))</f>
        <v/>
      </c>
      <c r="U308" s="1" t="str">
        <f>IF($T308="","",$T308&amp;"|"&amp;COUNTIFS($T$7:$T308,$T308))</f>
        <v/>
      </c>
      <c r="V308" s="1">
        <f t="shared" si="40"/>
        <v>0</v>
      </c>
      <c r="W308" s="1" t="str">
        <f t="shared" si="41"/>
        <v/>
      </c>
      <c r="X308" s="1"/>
      <c r="Y308" s="1"/>
      <c r="Z308" s="1"/>
      <c r="AA308" s="1"/>
      <c r="AB308" s="1"/>
      <c r="AC308" s="1"/>
      <c r="AD308" s="1">
        <f>IF($C308="",0,SUMPRODUCT((AY_SONU!$O$7:$O$42="Evet")*(AY_SONU!$B$7:$B$42=DATE(YEAR($C308),MONTH($C308),1))))</f>
        <v>0</v>
      </c>
      <c r="AE308" s="1" t="str">
        <f>IF($E308="","",$E308&amp;"|"&amp;COUNTIFS($E$7:$E308,$E308))</f>
        <v/>
      </c>
    </row>
    <row r="309" spans="1:31" ht="18" customHeight="1" x14ac:dyDescent="0.3">
      <c r="A309" s="2"/>
      <c r="B309" s="65" t="str">
        <f t="shared" si="34"/>
        <v/>
      </c>
      <c r="C309" s="66"/>
      <c r="D309" s="60"/>
      <c r="E309" s="61"/>
      <c r="F309" s="61"/>
      <c r="G309" s="67"/>
      <c r="H309" s="60"/>
      <c r="I309" s="60"/>
      <c r="J309" s="61"/>
      <c r="K309" s="61"/>
      <c r="L309" s="60"/>
      <c r="M309" s="74" t="str">
        <f t="shared" si="35"/>
        <v/>
      </c>
      <c r="N309" s="74" t="str">
        <f t="shared" si="36"/>
        <v/>
      </c>
      <c r="O309" s="73" t="str">
        <f t="shared" si="37"/>
        <v/>
      </c>
      <c r="P309" s="65" t="str">
        <f t="shared" ca="1" si="38"/>
        <v/>
      </c>
      <c r="Q309" s="2"/>
      <c r="R309" s="2"/>
      <c r="S309" s="1" t="str">
        <f t="shared" si="39"/>
        <v/>
      </c>
      <c r="T309" s="1" t="str">
        <f>IF(OR($C309="",$D309&lt;&gt;"Gelir",$L309=""),"",IFERROR(INDEX(MUSTERILER!$B$7:$B$156,MATCH($S309,MUSTERILER!$T$7:$T$156,0)),""))</f>
        <v/>
      </c>
      <c r="U309" s="1" t="str">
        <f>IF($T309="","",$T309&amp;"|"&amp;COUNTIFS($T$7:$T309,$T309))</f>
        <v/>
      </c>
      <c r="V309" s="1">
        <f t="shared" si="40"/>
        <v>0</v>
      </c>
      <c r="W309" s="1" t="str">
        <f t="shared" si="41"/>
        <v/>
      </c>
      <c r="X309" s="1"/>
      <c r="Y309" s="1"/>
      <c r="Z309" s="1"/>
      <c r="AA309" s="1"/>
      <c r="AB309" s="1"/>
      <c r="AC309" s="1"/>
      <c r="AD309" s="1">
        <f>IF($C309="",0,SUMPRODUCT((AY_SONU!$O$7:$O$42="Evet")*(AY_SONU!$B$7:$B$42=DATE(YEAR($C309),MONTH($C309),1))))</f>
        <v>0</v>
      </c>
      <c r="AE309" s="1" t="str">
        <f>IF($E309="","",$E309&amp;"|"&amp;COUNTIFS($E$7:$E309,$E309))</f>
        <v/>
      </c>
    </row>
    <row r="310" spans="1:31" ht="18" customHeight="1" x14ac:dyDescent="0.3">
      <c r="A310" s="2"/>
      <c r="B310" s="65" t="str">
        <f t="shared" si="34"/>
        <v/>
      </c>
      <c r="C310" s="66"/>
      <c r="D310" s="60"/>
      <c r="E310" s="61"/>
      <c r="F310" s="61"/>
      <c r="G310" s="67"/>
      <c r="H310" s="60"/>
      <c r="I310" s="60"/>
      <c r="J310" s="61"/>
      <c r="K310" s="61"/>
      <c r="L310" s="60"/>
      <c r="M310" s="74" t="str">
        <f t="shared" si="35"/>
        <v/>
      </c>
      <c r="N310" s="74" t="str">
        <f t="shared" si="36"/>
        <v/>
      </c>
      <c r="O310" s="73" t="str">
        <f t="shared" si="37"/>
        <v/>
      </c>
      <c r="P310" s="65" t="str">
        <f t="shared" ca="1" si="38"/>
        <v/>
      </c>
      <c r="Q310" s="2"/>
      <c r="R310" s="2"/>
      <c r="S310" s="1" t="str">
        <f t="shared" si="39"/>
        <v/>
      </c>
      <c r="T310" s="1" t="str">
        <f>IF(OR($C310="",$D310&lt;&gt;"Gelir",$L310=""),"",IFERROR(INDEX(MUSTERILER!$B$7:$B$156,MATCH($S310,MUSTERILER!$T$7:$T$156,0)),""))</f>
        <v/>
      </c>
      <c r="U310" s="1" t="str">
        <f>IF($T310="","",$T310&amp;"|"&amp;COUNTIFS($T$7:$T310,$T310))</f>
        <v/>
      </c>
      <c r="V310" s="1">
        <f t="shared" si="40"/>
        <v>0</v>
      </c>
      <c r="W310" s="1" t="str">
        <f t="shared" si="41"/>
        <v/>
      </c>
      <c r="X310" s="1"/>
      <c r="Y310" s="1"/>
      <c r="Z310" s="1"/>
      <c r="AA310" s="1"/>
      <c r="AB310" s="1"/>
      <c r="AC310" s="1"/>
      <c r="AD310" s="1">
        <f>IF($C310="",0,SUMPRODUCT((AY_SONU!$O$7:$O$42="Evet")*(AY_SONU!$B$7:$B$42=DATE(YEAR($C310),MONTH($C310),1))))</f>
        <v>0</v>
      </c>
      <c r="AE310" s="1" t="str">
        <f>IF($E310="","",$E310&amp;"|"&amp;COUNTIFS($E$7:$E310,$E310))</f>
        <v/>
      </c>
    </row>
    <row r="311" spans="1:31" ht="18" customHeight="1" x14ac:dyDescent="0.3">
      <c r="A311" s="2"/>
      <c r="B311" s="65" t="str">
        <f t="shared" si="34"/>
        <v/>
      </c>
      <c r="C311" s="66"/>
      <c r="D311" s="60"/>
      <c r="E311" s="61"/>
      <c r="F311" s="61"/>
      <c r="G311" s="67"/>
      <c r="H311" s="60"/>
      <c r="I311" s="60"/>
      <c r="J311" s="61"/>
      <c r="K311" s="61"/>
      <c r="L311" s="60"/>
      <c r="M311" s="74" t="str">
        <f t="shared" si="35"/>
        <v/>
      </c>
      <c r="N311" s="74" t="str">
        <f t="shared" si="36"/>
        <v/>
      </c>
      <c r="O311" s="73" t="str">
        <f t="shared" si="37"/>
        <v/>
      </c>
      <c r="P311" s="65" t="str">
        <f t="shared" ca="1" si="38"/>
        <v/>
      </c>
      <c r="Q311" s="2"/>
      <c r="R311" s="2"/>
      <c r="S311" s="1" t="str">
        <f t="shared" si="39"/>
        <v/>
      </c>
      <c r="T311" s="1" t="str">
        <f>IF(OR($C311="",$D311&lt;&gt;"Gelir",$L311=""),"",IFERROR(INDEX(MUSTERILER!$B$7:$B$156,MATCH($S311,MUSTERILER!$T$7:$T$156,0)),""))</f>
        <v/>
      </c>
      <c r="U311" s="1" t="str">
        <f>IF($T311="","",$T311&amp;"|"&amp;COUNTIFS($T$7:$T311,$T311))</f>
        <v/>
      </c>
      <c r="V311" s="1">
        <f t="shared" si="40"/>
        <v>0</v>
      </c>
      <c r="W311" s="1" t="str">
        <f t="shared" si="41"/>
        <v/>
      </c>
      <c r="X311" s="1"/>
      <c r="Y311" s="1"/>
      <c r="Z311" s="1"/>
      <c r="AA311" s="1"/>
      <c r="AB311" s="1"/>
      <c r="AC311" s="1"/>
      <c r="AD311" s="1">
        <f>IF($C311="",0,SUMPRODUCT((AY_SONU!$O$7:$O$42="Evet")*(AY_SONU!$B$7:$B$42=DATE(YEAR($C311),MONTH($C311),1))))</f>
        <v>0</v>
      </c>
      <c r="AE311" s="1" t="str">
        <f>IF($E311="","",$E311&amp;"|"&amp;COUNTIFS($E$7:$E311,$E311))</f>
        <v/>
      </c>
    </row>
    <row r="312" spans="1:31" ht="18" customHeight="1" x14ac:dyDescent="0.3">
      <c r="A312" s="2"/>
      <c r="B312" s="65" t="str">
        <f t="shared" si="34"/>
        <v/>
      </c>
      <c r="C312" s="66"/>
      <c r="D312" s="60"/>
      <c r="E312" s="61"/>
      <c r="F312" s="61"/>
      <c r="G312" s="67"/>
      <c r="H312" s="60"/>
      <c r="I312" s="60"/>
      <c r="J312" s="61"/>
      <c r="K312" s="61"/>
      <c r="L312" s="60"/>
      <c r="M312" s="74" t="str">
        <f t="shared" si="35"/>
        <v/>
      </c>
      <c r="N312" s="74" t="str">
        <f t="shared" si="36"/>
        <v/>
      </c>
      <c r="O312" s="73" t="str">
        <f t="shared" si="37"/>
        <v/>
      </c>
      <c r="P312" s="65" t="str">
        <f t="shared" ca="1" si="38"/>
        <v/>
      </c>
      <c r="Q312" s="2"/>
      <c r="R312" s="2"/>
      <c r="S312" s="1" t="str">
        <f t="shared" si="39"/>
        <v/>
      </c>
      <c r="T312" s="1" t="str">
        <f>IF(OR($C312="",$D312&lt;&gt;"Gelir",$L312=""),"",IFERROR(INDEX(MUSTERILER!$B$7:$B$156,MATCH($S312,MUSTERILER!$T$7:$T$156,0)),""))</f>
        <v/>
      </c>
      <c r="U312" s="1" t="str">
        <f>IF($T312="","",$T312&amp;"|"&amp;COUNTIFS($T$7:$T312,$T312))</f>
        <v/>
      </c>
      <c r="V312" s="1">
        <f t="shared" si="40"/>
        <v>0</v>
      </c>
      <c r="W312" s="1" t="str">
        <f t="shared" si="41"/>
        <v/>
      </c>
      <c r="X312" s="1"/>
      <c r="Y312" s="1"/>
      <c r="Z312" s="1"/>
      <c r="AA312" s="1"/>
      <c r="AB312" s="1"/>
      <c r="AC312" s="1"/>
      <c r="AD312" s="1">
        <f>IF($C312="",0,SUMPRODUCT((AY_SONU!$O$7:$O$42="Evet")*(AY_SONU!$B$7:$B$42=DATE(YEAR($C312),MONTH($C312),1))))</f>
        <v>0</v>
      </c>
      <c r="AE312" s="1" t="str">
        <f>IF($E312="","",$E312&amp;"|"&amp;COUNTIFS($E$7:$E312,$E312))</f>
        <v/>
      </c>
    </row>
    <row r="313" spans="1:31" ht="18" customHeight="1" x14ac:dyDescent="0.3">
      <c r="A313" s="2"/>
      <c r="B313" s="65" t="str">
        <f t="shared" si="34"/>
        <v/>
      </c>
      <c r="C313" s="66"/>
      <c r="D313" s="60"/>
      <c r="E313" s="61"/>
      <c r="F313" s="61"/>
      <c r="G313" s="67"/>
      <c r="H313" s="60"/>
      <c r="I313" s="60"/>
      <c r="J313" s="61"/>
      <c r="K313" s="61"/>
      <c r="L313" s="60"/>
      <c r="M313" s="74" t="str">
        <f t="shared" si="35"/>
        <v/>
      </c>
      <c r="N313" s="74" t="str">
        <f t="shared" si="36"/>
        <v/>
      </c>
      <c r="O313" s="73" t="str">
        <f t="shared" si="37"/>
        <v/>
      </c>
      <c r="P313" s="65" t="str">
        <f t="shared" ca="1" si="38"/>
        <v/>
      </c>
      <c r="Q313" s="2"/>
      <c r="R313" s="2"/>
      <c r="S313" s="1" t="str">
        <f t="shared" si="39"/>
        <v/>
      </c>
      <c r="T313" s="1" t="str">
        <f>IF(OR($C313="",$D313&lt;&gt;"Gelir",$L313=""),"",IFERROR(INDEX(MUSTERILER!$B$7:$B$156,MATCH($S313,MUSTERILER!$T$7:$T$156,0)),""))</f>
        <v/>
      </c>
      <c r="U313" s="1" t="str">
        <f>IF($T313="","",$T313&amp;"|"&amp;COUNTIFS($T$7:$T313,$T313))</f>
        <v/>
      </c>
      <c r="V313" s="1">
        <f t="shared" si="40"/>
        <v>0</v>
      </c>
      <c r="W313" s="1" t="str">
        <f t="shared" si="41"/>
        <v/>
      </c>
      <c r="X313" s="1"/>
      <c r="Y313" s="1"/>
      <c r="Z313" s="1"/>
      <c r="AA313" s="1"/>
      <c r="AB313" s="1"/>
      <c r="AC313" s="1"/>
      <c r="AD313" s="1">
        <f>IF($C313="",0,SUMPRODUCT((AY_SONU!$O$7:$O$42="Evet")*(AY_SONU!$B$7:$B$42=DATE(YEAR($C313),MONTH($C313),1))))</f>
        <v>0</v>
      </c>
      <c r="AE313" s="1" t="str">
        <f>IF($E313="","",$E313&amp;"|"&amp;COUNTIFS($E$7:$E313,$E313))</f>
        <v/>
      </c>
    </row>
    <row r="314" spans="1:31" ht="18" customHeight="1" x14ac:dyDescent="0.3">
      <c r="A314" s="2"/>
      <c r="B314" s="65" t="str">
        <f t="shared" si="34"/>
        <v/>
      </c>
      <c r="C314" s="66"/>
      <c r="D314" s="60"/>
      <c r="E314" s="61"/>
      <c r="F314" s="61"/>
      <c r="G314" s="67"/>
      <c r="H314" s="60"/>
      <c r="I314" s="60"/>
      <c r="J314" s="61"/>
      <c r="K314" s="61"/>
      <c r="L314" s="60"/>
      <c r="M314" s="74" t="str">
        <f t="shared" si="35"/>
        <v/>
      </c>
      <c r="N314" s="74" t="str">
        <f t="shared" si="36"/>
        <v/>
      </c>
      <c r="O314" s="73" t="str">
        <f t="shared" si="37"/>
        <v/>
      </c>
      <c r="P314" s="65" t="str">
        <f t="shared" ca="1" si="38"/>
        <v/>
      </c>
      <c r="Q314" s="2"/>
      <c r="R314" s="2"/>
      <c r="S314" s="1" t="str">
        <f t="shared" si="39"/>
        <v/>
      </c>
      <c r="T314" s="1" t="str">
        <f>IF(OR($C314="",$D314&lt;&gt;"Gelir",$L314=""),"",IFERROR(INDEX(MUSTERILER!$B$7:$B$156,MATCH($S314,MUSTERILER!$T$7:$T$156,0)),""))</f>
        <v/>
      </c>
      <c r="U314" s="1" t="str">
        <f>IF($T314="","",$T314&amp;"|"&amp;COUNTIFS($T$7:$T314,$T314))</f>
        <v/>
      </c>
      <c r="V314" s="1">
        <f t="shared" si="40"/>
        <v>0</v>
      </c>
      <c r="W314" s="1" t="str">
        <f t="shared" si="41"/>
        <v/>
      </c>
      <c r="X314" s="1"/>
      <c r="Y314" s="1"/>
      <c r="Z314" s="1"/>
      <c r="AA314" s="1"/>
      <c r="AB314" s="1"/>
      <c r="AC314" s="1"/>
      <c r="AD314" s="1">
        <f>IF($C314="",0,SUMPRODUCT((AY_SONU!$O$7:$O$42="Evet")*(AY_SONU!$B$7:$B$42=DATE(YEAR($C314),MONTH($C314),1))))</f>
        <v>0</v>
      </c>
      <c r="AE314" s="1" t="str">
        <f>IF($E314="","",$E314&amp;"|"&amp;COUNTIFS($E$7:$E314,$E314))</f>
        <v/>
      </c>
    </row>
    <row r="315" spans="1:31" ht="18" customHeight="1" x14ac:dyDescent="0.3">
      <c r="A315" s="2"/>
      <c r="B315" s="65" t="str">
        <f t="shared" si="34"/>
        <v/>
      </c>
      <c r="C315" s="66"/>
      <c r="D315" s="60"/>
      <c r="E315" s="61"/>
      <c r="F315" s="61"/>
      <c r="G315" s="67"/>
      <c r="H315" s="60"/>
      <c r="I315" s="60"/>
      <c r="J315" s="61"/>
      <c r="K315" s="61"/>
      <c r="L315" s="60"/>
      <c r="M315" s="74" t="str">
        <f t="shared" si="35"/>
        <v/>
      </c>
      <c r="N315" s="74" t="str">
        <f t="shared" si="36"/>
        <v/>
      </c>
      <c r="O315" s="73" t="str">
        <f t="shared" si="37"/>
        <v/>
      </c>
      <c r="P315" s="65" t="str">
        <f t="shared" ca="1" si="38"/>
        <v/>
      </c>
      <c r="Q315" s="2"/>
      <c r="R315" s="2"/>
      <c r="S315" s="1" t="str">
        <f t="shared" si="39"/>
        <v/>
      </c>
      <c r="T315" s="1" t="str">
        <f>IF(OR($C315="",$D315&lt;&gt;"Gelir",$L315=""),"",IFERROR(INDEX(MUSTERILER!$B$7:$B$156,MATCH($S315,MUSTERILER!$T$7:$T$156,0)),""))</f>
        <v/>
      </c>
      <c r="U315" s="1" t="str">
        <f>IF($T315="","",$T315&amp;"|"&amp;COUNTIFS($T$7:$T315,$T315))</f>
        <v/>
      </c>
      <c r="V315" s="1">
        <f t="shared" si="40"/>
        <v>0</v>
      </c>
      <c r="W315" s="1" t="str">
        <f t="shared" si="41"/>
        <v/>
      </c>
      <c r="X315" s="1"/>
      <c r="Y315" s="1"/>
      <c r="Z315" s="1"/>
      <c r="AA315" s="1"/>
      <c r="AB315" s="1"/>
      <c r="AC315" s="1"/>
      <c r="AD315" s="1">
        <f>IF($C315="",0,SUMPRODUCT((AY_SONU!$O$7:$O$42="Evet")*(AY_SONU!$B$7:$B$42=DATE(YEAR($C315),MONTH($C315),1))))</f>
        <v>0</v>
      </c>
      <c r="AE315" s="1" t="str">
        <f>IF($E315="","",$E315&amp;"|"&amp;COUNTIFS($E$7:$E315,$E315))</f>
        <v/>
      </c>
    </row>
    <row r="316" spans="1:31" ht="18" customHeight="1" x14ac:dyDescent="0.3">
      <c r="A316" s="2"/>
      <c r="B316" s="65" t="str">
        <f t="shared" si="34"/>
        <v/>
      </c>
      <c r="C316" s="66"/>
      <c r="D316" s="60"/>
      <c r="E316" s="61"/>
      <c r="F316" s="61"/>
      <c r="G316" s="67"/>
      <c r="H316" s="60"/>
      <c r="I316" s="60"/>
      <c r="J316" s="61"/>
      <c r="K316" s="61"/>
      <c r="L316" s="60"/>
      <c r="M316" s="74" t="str">
        <f t="shared" si="35"/>
        <v/>
      </c>
      <c r="N316" s="74" t="str">
        <f t="shared" si="36"/>
        <v/>
      </c>
      <c r="O316" s="73" t="str">
        <f t="shared" si="37"/>
        <v/>
      </c>
      <c r="P316" s="65" t="str">
        <f t="shared" ca="1" si="38"/>
        <v/>
      </c>
      <c r="Q316" s="2"/>
      <c r="R316" s="2"/>
      <c r="S316" s="1" t="str">
        <f t="shared" si="39"/>
        <v/>
      </c>
      <c r="T316" s="1" t="str">
        <f>IF(OR($C316="",$D316&lt;&gt;"Gelir",$L316=""),"",IFERROR(INDEX(MUSTERILER!$B$7:$B$156,MATCH($S316,MUSTERILER!$T$7:$T$156,0)),""))</f>
        <v/>
      </c>
      <c r="U316" s="1" t="str">
        <f>IF($T316="","",$T316&amp;"|"&amp;COUNTIFS($T$7:$T316,$T316))</f>
        <v/>
      </c>
      <c r="V316" s="1">
        <f t="shared" si="40"/>
        <v>0</v>
      </c>
      <c r="W316" s="1" t="str">
        <f t="shared" si="41"/>
        <v/>
      </c>
      <c r="X316" s="1"/>
      <c r="Y316" s="1"/>
      <c r="Z316" s="1"/>
      <c r="AA316" s="1"/>
      <c r="AB316" s="1"/>
      <c r="AC316" s="1"/>
      <c r="AD316" s="1">
        <f>IF($C316="",0,SUMPRODUCT((AY_SONU!$O$7:$O$42="Evet")*(AY_SONU!$B$7:$B$42=DATE(YEAR($C316),MONTH($C316),1))))</f>
        <v>0</v>
      </c>
      <c r="AE316" s="1" t="str">
        <f>IF($E316="","",$E316&amp;"|"&amp;COUNTIFS($E$7:$E316,$E316))</f>
        <v/>
      </c>
    </row>
    <row r="317" spans="1:31" ht="18" customHeight="1" x14ac:dyDescent="0.3">
      <c r="A317" s="2"/>
      <c r="B317" s="65" t="str">
        <f t="shared" si="34"/>
        <v/>
      </c>
      <c r="C317" s="66"/>
      <c r="D317" s="60"/>
      <c r="E317" s="61"/>
      <c r="F317" s="61"/>
      <c r="G317" s="67"/>
      <c r="H317" s="60"/>
      <c r="I317" s="60"/>
      <c r="J317" s="61"/>
      <c r="K317" s="61"/>
      <c r="L317" s="60"/>
      <c r="M317" s="74" t="str">
        <f t="shared" si="35"/>
        <v/>
      </c>
      <c r="N317" s="74" t="str">
        <f t="shared" si="36"/>
        <v/>
      </c>
      <c r="O317" s="73" t="str">
        <f t="shared" si="37"/>
        <v/>
      </c>
      <c r="P317" s="65" t="str">
        <f t="shared" ca="1" si="38"/>
        <v/>
      </c>
      <c r="Q317" s="2"/>
      <c r="R317" s="2"/>
      <c r="S317" s="1" t="str">
        <f t="shared" si="39"/>
        <v/>
      </c>
      <c r="T317" s="1" t="str">
        <f>IF(OR($C317="",$D317&lt;&gt;"Gelir",$L317=""),"",IFERROR(INDEX(MUSTERILER!$B$7:$B$156,MATCH($S317,MUSTERILER!$T$7:$T$156,0)),""))</f>
        <v/>
      </c>
      <c r="U317" s="1" t="str">
        <f>IF($T317="","",$T317&amp;"|"&amp;COUNTIFS($T$7:$T317,$T317))</f>
        <v/>
      </c>
      <c r="V317" s="1">
        <f t="shared" si="40"/>
        <v>0</v>
      </c>
      <c r="W317" s="1" t="str">
        <f t="shared" si="41"/>
        <v/>
      </c>
      <c r="X317" s="1"/>
      <c r="Y317" s="1"/>
      <c r="Z317" s="1"/>
      <c r="AA317" s="1"/>
      <c r="AB317" s="1"/>
      <c r="AC317" s="1"/>
      <c r="AD317" s="1">
        <f>IF($C317="",0,SUMPRODUCT((AY_SONU!$O$7:$O$42="Evet")*(AY_SONU!$B$7:$B$42=DATE(YEAR($C317),MONTH($C317),1))))</f>
        <v>0</v>
      </c>
      <c r="AE317" s="1" t="str">
        <f>IF($E317="","",$E317&amp;"|"&amp;COUNTIFS($E$7:$E317,$E317))</f>
        <v/>
      </c>
    </row>
    <row r="318" spans="1:31" ht="18" customHeight="1" x14ac:dyDescent="0.3">
      <c r="A318" s="2"/>
      <c r="B318" s="65" t="str">
        <f t="shared" si="34"/>
        <v/>
      </c>
      <c r="C318" s="66"/>
      <c r="D318" s="60"/>
      <c r="E318" s="61"/>
      <c r="F318" s="61"/>
      <c r="G318" s="67"/>
      <c r="H318" s="60"/>
      <c r="I318" s="60"/>
      <c r="J318" s="61"/>
      <c r="K318" s="61"/>
      <c r="L318" s="60"/>
      <c r="M318" s="74" t="str">
        <f t="shared" si="35"/>
        <v/>
      </c>
      <c r="N318" s="74" t="str">
        <f t="shared" si="36"/>
        <v/>
      </c>
      <c r="O318" s="73" t="str">
        <f t="shared" si="37"/>
        <v/>
      </c>
      <c r="P318" s="65" t="str">
        <f t="shared" ca="1" si="38"/>
        <v/>
      </c>
      <c r="Q318" s="2"/>
      <c r="R318" s="2"/>
      <c r="S318" s="1" t="str">
        <f t="shared" si="39"/>
        <v/>
      </c>
      <c r="T318" s="1" t="str">
        <f>IF(OR($C318="",$D318&lt;&gt;"Gelir",$L318=""),"",IFERROR(INDEX(MUSTERILER!$B$7:$B$156,MATCH($S318,MUSTERILER!$T$7:$T$156,0)),""))</f>
        <v/>
      </c>
      <c r="U318" s="1" t="str">
        <f>IF($T318="","",$T318&amp;"|"&amp;COUNTIFS($T$7:$T318,$T318))</f>
        <v/>
      </c>
      <c r="V318" s="1">
        <f t="shared" si="40"/>
        <v>0</v>
      </c>
      <c r="W318" s="1" t="str">
        <f t="shared" si="41"/>
        <v/>
      </c>
      <c r="X318" s="1"/>
      <c r="Y318" s="1"/>
      <c r="Z318" s="1"/>
      <c r="AA318" s="1"/>
      <c r="AB318" s="1"/>
      <c r="AC318" s="1"/>
      <c r="AD318" s="1">
        <f>IF($C318="",0,SUMPRODUCT((AY_SONU!$O$7:$O$42="Evet")*(AY_SONU!$B$7:$B$42=DATE(YEAR($C318),MONTH($C318),1))))</f>
        <v>0</v>
      </c>
      <c r="AE318" s="1" t="str">
        <f>IF($E318="","",$E318&amp;"|"&amp;COUNTIFS($E$7:$E318,$E318))</f>
        <v/>
      </c>
    </row>
    <row r="319" spans="1:31" ht="18" customHeight="1" x14ac:dyDescent="0.3">
      <c r="A319" s="2"/>
      <c r="B319" s="65" t="str">
        <f t="shared" si="34"/>
        <v/>
      </c>
      <c r="C319" s="66"/>
      <c r="D319" s="60"/>
      <c r="E319" s="61"/>
      <c r="F319" s="61"/>
      <c r="G319" s="67"/>
      <c r="H319" s="60"/>
      <c r="I319" s="60"/>
      <c r="J319" s="61"/>
      <c r="K319" s="61"/>
      <c r="L319" s="60"/>
      <c r="M319" s="74" t="str">
        <f t="shared" si="35"/>
        <v/>
      </c>
      <c r="N319" s="74" t="str">
        <f t="shared" si="36"/>
        <v/>
      </c>
      <c r="O319" s="73" t="str">
        <f t="shared" si="37"/>
        <v/>
      </c>
      <c r="P319" s="65" t="str">
        <f t="shared" ca="1" si="38"/>
        <v/>
      </c>
      <c r="Q319" s="2"/>
      <c r="R319" s="2"/>
      <c r="S319" s="1" t="str">
        <f t="shared" si="39"/>
        <v/>
      </c>
      <c r="T319" s="1" t="str">
        <f>IF(OR($C319="",$D319&lt;&gt;"Gelir",$L319=""),"",IFERROR(INDEX(MUSTERILER!$B$7:$B$156,MATCH($S319,MUSTERILER!$T$7:$T$156,0)),""))</f>
        <v/>
      </c>
      <c r="U319" s="1" t="str">
        <f>IF($T319="","",$T319&amp;"|"&amp;COUNTIFS($T$7:$T319,$T319))</f>
        <v/>
      </c>
      <c r="V319" s="1">
        <f t="shared" si="40"/>
        <v>0</v>
      </c>
      <c r="W319" s="1" t="str">
        <f t="shared" si="41"/>
        <v/>
      </c>
      <c r="X319" s="1"/>
      <c r="Y319" s="1"/>
      <c r="Z319" s="1"/>
      <c r="AA319" s="1"/>
      <c r="AB319" s="1"/>
      <c r="AC319" s="1"/>
      <c r="AD319" s="1">
        <f>IF($C319="",0,SUMPRODUCT((AY_SONU!$O$7:$O$42="Evet")*(AY_SONU!$B$7:$B$42=DATE(YEAR($C319),MONTH($C319),1))))</f>
        <v>0</v>
      </c>
      <c r="AE319" s="1" t="str">
        <f>IF($E319="","",$E319&amp;"|"&amp;COUNTIFS($E$7:$E319,$E319))</f>
        <v/>
      </c>
    </row>
    <row r="320" spans="1:31" ht="18" customHeight="1" x14ac:dyDescent="0.3">
      <c r="A320" s="2"/>
      <c r="B320" s="65" t="str">
        <f t="shared" si="34"/>
        <v/>
      </c>
      <c r="C320" s="66"/>
      <c r="D320" s="60"/>
      <c r="E320" s="61"/>
      <c r="F320" s="61"/>
      <c r="G320" s="67"/>
      <c r="H320" s="60"/>
      <c r="I320" s="60"/>
      <c r="J320" s="61"/>
      <c r="K320" s="61"/>
      <c r="L320" s="60"/>
      <c r="M320" s="74" t="str">
        <f t="shared" si="35"/>
        <v/>
      </c>
      <c r="N320" s="74" t="str">
        <f t="shared" si="36"/>
        <v/>
      </c>
      <c r="O320" s="73" t="str">
        <f t="shared" si="37"/>
        <v/>
      </c>
      <c r="P320" s="65" t="str">
        <f t="shared" ca="1" si="38"/>
        <v/>
      </c>
      <c r="Q320" s="2"/>
      <c r="R320" s="2"/>
      <c r="S320" s="1" t="str">
        <f t="shared" si="39"/>
        <v/>
      </c>
      <c r="T320" s="1" t="str">
        <f>IF(OR($C320="",$D320&lt;&gt;"Gelir",$L320=""),"",IFERROR(INDEX(MUSTERILER!$B$7:$B$156,MATCH($S320,MUSTERILER!$T$7:$T$156,0)),""))</f>
        <v/>
      </c>
      <c r="U320" s="1" t="str">
        <f>IF($T320="","",$T320&amp;"|"&amp;COUNTIFS($T$7:$T320,$T320))</f>
        <v/>
      </c>
      <c r="V320" s="1">
        <f t="shared" si="40"/>
        <v>0</v>
      </c>
      <c r="W320" s="1" t="str">
        <f t="shared" si="41"/>
        <v/>
      </c>
      <c r="X320" s="1"/>
      <c r="Y320" s="1"/>
      <c r="Z320" s="1"/>
      <c r="AA320" s="1"/>
      <c r="AB320" s="1"/>
      <c r="AC320" s="1"/>
      <c r="AD320" s="1">
        <f>IF($C320="",0,SUMPRODUCT((AY_SONU!$O$7:$O$42="Evet")*(AY_SONU!$B$7:$B$42=DATE(YEAR($C320),MONTH($C320),1))))</f>
        <v>0</v>
      </c>
      <c r="AE320" s="1" t="str">
        <f>IF($E320="","",$E320&amp;"|"&amp;COUNTIFS($E$7:$E320,$E320))</f>
        <v/>
      </c>
    </row>
    <row r="321" spans="1:31" ht="18" customHeight="1" x14ac:dyDescent="0.3">
      <c r="A321" s="2"/>
      <c r="B321" s="65" t="str">
        <f t="shared" si="34"/>
        <v/>
      </c>
      <c r="C321" s="66"/>
      <c r="D321" s="60"/>
      <c r="E321" s="61"/>
      <c r="F321" s="61"/>
      <c r="G321" s="67"/>
      <c r="H321" s="60"/>
      <c r="I321" s="60"/>
      <c r="J321" s="61"/>
      <c r="K321" s="61"/>
      <c r="L321" s="60"/>
      <c r="M321" s="74" t="str">
        <f t="shared" si="35"/>
        <v/>
      </c>
      <c r="N321" s="74" t="str">
        <f t="shared" si="36"/>
        <v/>
      </c>
      <c r="O321" s="73" t="str">
        <f t="shared" si="37"/>
        <v/>
      </c>
      <c r="P321" s="65" t="str">
        <f t="shared" ca="1" si="38"/>
        <v/>
      </c>
      <c r="Q321" s="2"/>
      <c r="R321" s="2"/>
      <c r="S321" s="1" t="str">
        <f t="shared" si="39"/>
        <v/>
      </c>
      <c r="T321" s="1" t="str">
        <f>IF(OR($C321="",$D321&lt;&gt;"Gelir",$L321=""),"",IFERROR(INDEX(MUSTERILER!$B$7:$B$156,MATCH($S321,MUSTERILER!$T$7:$T$156,0)),""))</f>
        <v/>
      </c>
      <c r="U321" s="1" t="str">
        <f>IF($T321="","",$T321&amp;"|"&amp;COUNTIFS($T$7:$T321,$T321))</f>
        <v/>
      </c>
      <c r="V321" s="1">
        <f t="shared" si="40"/>
        <v>0</v>
      </c>
      <c r="W321" s="1" t="str">
        <f t="shared" si="41"/>
        <v/>
      </c>
      <c r="X321" s="1"/>
      <c r="Y321" s="1"/>
      <c r="Z321" s="1"/>
      <c r="AA321" s="1"/>
      <c r="AB321" s="1"/>
      <c r="AC321" s="1"/>
      <c r="AD321" s="1">
        <f>IF($C321="",0,SUMPRODUCT((AY_SONU!$O$7:$O$42="Evet")*(AY_SONU!$B$7:$B$42=DATE(YEAR($C321),MONTH($C321),1))))</f>
        <v>0</v>
      </c>
      <c r="AE321" s="1" t="str">
        <f>IF($E321="","",$E321&amp;"|"&amp;COUNTIFS($E$7:$E321,$E321))</f>
        <v/>
      </c>
    </row>
    <row r="322" spans="1:31" ht="18" customHeight="1" x14ac:dyDescent="0.3">
      <c r="A322" s="2"/>
      <c r="B322" s="65" t="str">
        <f t="shared" si="34"/>
        <v/>
      </c>
      <c r="C322" s="66"/>
      <c r="D322" s="60"/>
      <c r="E322" s="61"/>
      <c r="F322" s="61"/>
      <c r="G322" s="67"/>
      <c r="H322" s="60"/>
      <c r="I322" s="60"/>
      <c r="J322" s="61"/>
      <c r="K322" s="61"/>
      <c r="L322" s="60"/>
      <c r="M322" s="74" t="str">
        <f t="shared" si="35"/>
        <v/>
      </c>
      <c r="N322" s="74" t="str">
        <f t="shared" si="36"/>
        <v/>
      </c>
      <c r="O322" s="73" t="str">
        <f t="shared" si="37"/>
        <v/>
      </c>
      <c r="P322" s="65" t="str">
        <f t="shared" ca="1" si="38"/>
        <v/>
      </c>
      <c r="Q322" s="2"/>
      <c r="R322" s="2"/>
      <c r="S322" s="1" t="str">
        <f t="shared" si="39"/>
        <v/>
      </c>
      <c r="T322" s="1" t="str">
        <f>IF(OR($C322="",$D322&lt;&gt;"Gelir",$L322=""),"",IFERROR(INDEX(MUSTERILER!$B$7:$B$156,MATCH($S322,MUSTERILER!$T$7:$T$156,0)),""))</f>
        <v/>
      </c>
      <c r="U322" s="1" t="str">
        <f>IF($T322="","",$T322&amp;"|"&amp;COUNTIFS($T$7:$T322,$T322))</f>
        <v/>
      </c>
      <c r="V322" s="1">
        <f t="shared" si="40"/>
        <v>0</v>
      </c>
      <c r="W322" s="1" t="str">
        <f t="shared" si="41"/>
        <v/>
      </c>
      <c r="X322" s="1"/>
      <c r="Y322" s="1"/>
      <c r="Z322" s="1"/>
      <c r="AA322" s="1"/>
      <c r="AB322" s="1"/>
      <c r="AC322" s="1"/>
      <c r="AD322" s="1">
        <f>IF($C322="",0,SUMPRODUCT((AY_SONU!$O$7:$O$42="Evet")*(AY_SONU!$B$7:$B$42=DATE(YEAR($C322),MONTH($C322),1))))</f>
        <v>0</v>
      </c>
      <c r="AE322" s="1" t="str">
        <f>IF($E322="","",$E322&amp;"|"&amp;COUNTIFS($E$7:$E322,$E322))</f>
        <v/>
      </c>
    </row>
    <row r="323" spans="1:31" ht="18" customHeight="1" x14ac:dyDescent="0.3">
      <c r="A323" s="2"/>
      <c r="B323" s="65" t="str">
        <f t="shared" si="34"/>
        <v/>
      </c>
      <c r="C323" s="66"/>
      <c r="D323" s="60"/>
      <c r="E323" s="61"/>
      <c r="F323" s="61"/>
      <c r="G323" s="67"/>
      <c r="H323" s="60"/>
      <c r="I323" s="60"/>
      <c r="J323" s="61"/>
      <c r="K323" s="61"/>
      <c r="L323" s="60"/>
      <c r="M323" s="74" t="str">
        <f t="shared" si="35"/>
        <v/>
      </c>
      <c r="N323" s="74" t="str">
        <f t="shared" si="36"/>
        <v/>
      </c>
      <c r="O323" s="73" t="str">
        <f t="shared" si="37"/>
        <v/>
      </c>
      <c r="P323" s="65" t="str">
        <f t="shared" ca="1" si="38"/>
        <v/>
      </c>
      <c r="Q323" s="2"/>
      <c r="R323" s="2"/>
      <c r="S323" s="1" t="str">
        <f t="shared" si="39"/>
        <v/>
      </c>
      <c r="T323" s="1" t="str">
        <f>IF(OR($C323="",$D323&lt;&gt;"Gelir",$L323=""),"",IFERROR(INDEX(MUSTERILER!$B$7:$B$156,MATCH($S323,MUSTERILER!$T$7:$T$156,0)),""))</f>
        <v/>
      </c>
      <c r="U323" s="1" t="str">
        <f>IF($T323="","",$T323&amp;"|"&amp;COUNTIFS($T$7:$T323,$T323))</f>
        <v/>
      </c>
      <c r="V323" s="1">
        <f t="shared" si="40"/>
        <v>0</v>
      </c>
      <c r="W323" s="1" t="str">
        <f t="shared" si="41"/>
        <v/>
      </c>
      <c r="X323" s="1"/>
      <c r="Y323" s="1"/>
      <c r="Z323" s="1"/>
      <c r="AA323" s="1"/>
      <c r="AB323" s="1"/>
      <c r="AC323" s="1"/>
      <c r="AD323" s="1">
        <f>IF($C323="",0,SUMPRODUCT((AY_SONU!$O$7:$O$42="Evet")*(AY_SONU!$B$7:$B$42=DATE(YEAR($C323),MONTH($C323),1))))</f>
        <v>0</v>
      </c>
      <c r="AE323" s="1" t="str">
        <f>IF($E323="","",$E323&amp;"|"&amp;COUNTIFS($E$7:$E323,$E323))</f>
        <v/>
      </c>
    </row>
    <row r="324" spans="1:31" ht="18" customHeight="1" x14ac:dyDescent="0.3">
      <c r="A324" s="2"/>
      <c r="B324" s="65" t="str">
        <f t="shared" si="34"/>
        <v/>
      </c>
      <c r="C324" s="66"/>
      <c r="D324" s="60"/>
      <c r="E324" s="61"/>
      <c r="F324" s="61"/>
      <c r="G324" s="67"/>
      <c r="H324" s="60"/>
      <c r="I324" s="60"/>
      <c r="J324" s="61"/>
      <c r="K324" s="61"/>
      <c r="L324" s="60"/>
      <c r="M324" s="74" t="str">
        <f t="shared" si="35"/>
        <v/>
      </c>
      <c r="N324" s="74" t="str">
        <f t="shared" si="36"/>
        <v/>
      </c>
      <c r="O324" s="73" t="str">
        <f t="shared" si="37"/>
        <v/>
      </c>
      <c r="P324" s="65" t="str">
        <f t="shared" ca="1" si="38"/>
        <v/>
      </c>
      <c r="Q324" s="2"/>
      <c r="R324" s="2"/>
      <c r="S324" s="1" t="str">
        <f t="shared" si="39"/>
        <v/>
      </c>
      <c r="T324" s="1" t="str">
        <f>IF(OR($C324="",$D324&lt;&gt;"Gelir",$L324=""),"",IFERROR(INDEX(MUSTERILER!$B$7:$B$156,MATCH($S324,MUSTERILER!$T$7:$T$156,0)),""))</f>
        <v/>
      </c>
      <c r="U324" s="1" t="str">
        <f>IF($T324="","",$T324&amp;"|"&amp;COUNTIFS($T$7:$T324,$T324))</f>
        <v/>
      </c>
      <c r="V324" s="1">
        <f t="shared" si="40"/>
        <v>0</v>
      </c>
      <c r="W324" s="1" t="str">
        <f t="shared" si="41"/>
        <v/>
      </c>
      <c r="X324" s="1"/>
      <c r="Y324" s="1"/>
      <c r="Z324" s="1"/>
      <c r="AA324" s="1"/>
      <c r="AB324" s="1"/>
      <c r="AC324" s="1"/>
      <c r="AD324" s="1">
        <f>IF($C324="",0,SUMPRODUCT((AY_SONU!$O$7:$O$42="Evet")*(AY_SONU!$B$7:$B$42=DATE(YEAR($C324),MONTH($C324),1))))</f>
        <v>0</v>
      </c>
      <c r="AE324" s="1" t="str">
        <f>IF($E324="","",$E324&amp;"|"&amp;COUNTIFS($E$7:$E324,$E324))</f>
        <v/>
      </c>
    </row>
    <row r="325" spans="1:31" ht="18" customHeight="1" x14ac:dyDescent="0.3">
      <c r="A325" s="2"/>
      <c r="B325" s="65" t="str">
        <f t="shared" si="34"/>
        <v/>
      </c>
      <c r="C325" s="66"/>
      <c r="D325" s="60"/>
      <c r="E325" s="61"/>
      <c r="F325" s="61"/>
      <c r="G325" s="67"/>
      <c r="H325" s="60"/>
      <c r="I325" s="60"/>
      <c r="J325" s="61"/>
      <c r="K325" s="61"/>
      <c r="L325" s="60"/>
      <c r="M325" s="74" t="str">
        <f t="shared" si="35"/>
        <v/>
      </c>
      <c r="N325" s="74" t="str">
        <f t="shared" si="36"/>
        <v/>
      </c>
      <c r="O325" s="73" t="str">
        <f t="shared" si="37"/>
        <v/>
      </c>
      <c r="P325" s="65" t="str">
        <f t="shared" ca="1" si="38"/>
        <v/>
      </c>
      <c r="Q325" s="2"/>
      <c r="R325" s="2"/>
      <c r="S325" s="1" t="str">
        <f t="shared" si="39"/>
        <v/>
      </c>
      <c r="T325" s="1" t="str">
        <f>IF(OR($C325="",$D325&lt;&gt;"Gelir",$L325=""),"",IFERROR(INDEX(MUSTERILER!$B$7:$B$156,MATCH($S325,MUSTERILER!$T$7:$T$156,0)),""))</f>
        <v/>
      </c>
      <c r="U325" s="1" t="str">
        <f>IF($T325="","",$T325&amp;"|"&amp;COUNTIFS($T$7:$T325,$T325))</f>
        <v/>
      </c>
      <c r="V325" s="1">
        <f t="shared" si="40"/>
        <v>0</v>
      </c>
      <c r="W325" s="1" t="str">
        <f t="shared" si="41"/>
        <v/>
      </c>
      <c r="X325" s="1"/>
      <c r="Y325" s="1"/>
      <c r="Z325" s="1"/>
      <c r="AA325" s="1"/>
      <c r="AB325" s="1"/>
      <c r="AC325" s="1"/>
      <c r="AD325" s="1">
        <f>IF($C325="",0,SUMPRODUCT((AY_SONU!$O$7:$O$42="Evet")*(AY_SONU!$B$7:$B$42=DATE(YEAR($C325),MONTH($C325),1))))</f>
        <v>0</v>
      </c>
      <c r="AE325" s="1" t="str">
        <f>IF($E325="","",$E325&amp;"|"&amp;COUNTIFS($E$7:$E325,$E325))</f>
        <v/>
      </c>
    </row>
    <row r="326" spans="1:31" ht="18" customHeight="1" x14ac:dyDescent="0.3">
      <c r="A326" s="2"/>
      <c r="B326" s="65" t="str">
        <f t="shared" si="34"/>
        <v/>
      </c>
      <c r="C326" s="66"/>
      <c r="D326" s="60"/>
      <c r="E326" s="61"/>
      <c r="F326" s="61"/>
      <c r="G326" s="67"/>
      <c r="H326" s="60"/>
      <c r="I326" s="60"/>
      <c r="J326" s="61"/>
      <c r="K326" s="61"/>
      <c r="L326" s="60"/>
      <c r="M326" s="74" t="str">
        <f t="shared" si="35"/>
        <v/>
      </c>
      <c r="N326" s="74" t="str">
        <f t="shared" si="36"/>
        <v/>
      </c>
      <c r="O326" s="73" t="str">
        <f t="shared" si="37"/>
        <v/>
      </c>
      <c r="P326" s="65" t="str">
        <f t="shared" ca="1" si="38"/>
        <v/>
      </c>
      <c r="Q326" s="2"/>
      <c r="R326" s="2"/>
      <c r="S326" s="1" t="str">
        <f t="shared" si="39"/>
        <v/>
      </c>
      <c r="T326" s="1" t="str">
        <f>IF(OR($C326="",$D326&lt;&gt;"Gelir",$L326=""),"",IFERROR(INDEX(MUSTERILER!$B$7:$B$156,MATCH($S326,MUSTERILER!$T$7:$T$156,0)),""))</f>
        <v/>
      </c>
      <c r="U326" s="1" t="str">
        <f>IF($T326="","",$T326&amp;"|"&amp;COUNTIFS($T$7:$T326,$T326))</f>
        <v/>
      </c>
      <c r="V326" s="1">
        <f t="shared" si="40"/>
        <v>0</v>
      </c>
      <c r="W326" s="1" t="str">
        <f t="shared" si="41"/>
        <v/>
      </c>
      <c r="X326" s="1"/>
      <c r="Y326" s="1"/>
      <c r="Z326" s="1"/>
      <c r="AA326" s="1"/>
      <c r="AB326" s="1"/>
      <c r="AC326" s="1"/>
      <c r="AD326" s="1">
        <f>IF($C326="",0,SUMPRODUCT((AY_SONU!$O$7:$O$42="Evet")*(AY_SONU!$B$7:$B$42=DATE(YEAR($C326),MONTH($C326),1))))</f>
        <v>0</v>
      </c>
      <c r="AE326" s="1" t="str">
        <f>IF($E326="","",$E326&amp;"|"&amp;COUNTIFS($E$7:$E326,$E326))</f>
        <v/>
      </c>
    </row>
    <row r="327" spans="1:31" ht="18" customHeight="1" x14ac:dyDescent="0.3">
      <c r="A327" s="2"/>
      <c r="B327" s="65" t="str">
        <f t="shared" ref="B327:B390" si="42">IF($C327="","","GG"&amp;TEXT(ROW()-6,"00000"))</f>
        <v/>
      </c>
      <c r="C327" s="66"/>
      <c r="D327" s="60"/>
      <c r="E327" s="61"/>
      <c r="F327" s="61"/>
      <c r="G327" s="67"/>
      <c r="H327" s="60"/>
      <c r="I327" s="60"/>
      <c r="J327" s="61"/>
      <c r="K327" s="61"/>
      <c r="L327" s="60"/>
      <c r="M327" s="74" t="str">
        <f t="shared" ref="M327:M390" si="43">IF($C327="","",IF($D327="Gider",$E327,IF($L327&lt;&gt;"",$L327,$H327)))</f>
        <v/>
      </c>
      <c r="N327" s="74" t="str">
        <f t="shared" ref="N327:N390" si="44">IF($C327="","",IF($D327="Gider",$H327,$E327))</f>
        <v/>
      </c>
      <c r="O327" s="73" t="str">
        <f t="shared" ref="O327:O390" si="45">IF($C327="","",DATE(YEAR($C327),MONTH($C327),1))</f>
        <v/>
      </c>
      <c r="P327" s="65" t="str">
        <f t="shared" ref="P327:P390" ca="1" si="46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TARİH",IF(COUNTIF($W$7:$W$3006,$W327)&gt;1,"MÜKERRER?",IF($AD327&gt;0,"KAPALI DÖNEM",IF($I327="Hayır","ÖDENECEK","UYGUN")))),"EKSİK"))))</f>
        <v/>
      </c>
      <c r="Q327" s="2"/>
      <c r="R327" s="2"/>
      <c r="S327" s="1" t="str">
        <f t="shared" ref="S327:S390" si="47"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1" t="str">
        <f>IF(OR($C327="",$D327&lt;&gt;"Gelir",$L327=""),"",IFERROR(INDEX(MUSTERILER!$B$7:$B$156,MATCH($S327,MUSTERILER!$T$7:$T$156,0)),""))</f>
        <v/>
      </c>
      <c r="U327" s="1" t="str">
        <f>IF($T327="","",$T327&amp;"|"&amp;COUNTIFS($T$7:$T327,$T327))</f>
        <v/>
      </c>
      <c r="V327" s="1">
        <f t="shared" ref="V327:V390" si="48">IF($T327="",0,1)</f>
        <v>0</v>
      </c>
      <c r="W327" s="1" t="str">
        <f t="shared" ref="W327:W390" si="49">IF($C327="","",$D327&amp;"|"&amp;$E327&amp;"|"&amp;TEXT($C327,"0")&amp;"|"&amp;TEXT($G327,"0")&amp;"|"&amp;$J327)</f>
        <v/>
      </c>
      <c r="X327" s="1"/>
      <c r="Y327" s="1"/>
      <c r="Z327" s="1"/>
      <c r="AA327" s="1"/>
      <c r="AB327" s="1"/>
      <c r="AC327" s="1"/>
      <c r="AD327" s="1">
        <f>IF($C327="",0,SUMPRODUCT((AY_SONU!$O$7:$O$42="Evet")*(AY_SONU!$B$7:$B$42=DATE(YEAR($C327),MONTH($C327),1))))</f>
        <v>0</v>
      </c>
      <c r="AE327" s="1" t="str">
        <f>IF($E327="","",$E327&amp;"|"&amp;COUNTIFS($E$7:$E327,$E327))</f>
        <v/>
      </c>
    </row>
    <row r="328" spans="1:31" ht="18" customHeight="1" x14ac:dyDescent="0.3">
      <c r="A328" s="2"/>
      <c r="B328" s="65" t="str">
        <f t="shared" si="42"/>
        <v/>
      </c>
      <c r="C328" s="66"/>
      <c r="D328" s="60"/>
      <c r="E328" s="61"/>
      <c r="F328" s="61"/>
      <c r="G328" s="67"/>
      <c r="H328" s="60"/>
      <c r="I328" s="60"/>
      <c r="J328" s="61"/>
      <c r="K328" s="61"/>
      <c r="L328" s="60"/>
      <c r="M328" s="74" t="str">
        <f t="shared" si="43"/>
        <v/>
      </c>
      <c r="N328" s="74" t="str">
        <f t="shared" si="44"/>
        <v/>
      </c>
      <c r="O328" s="73" t="str">
        <f t="shared" si="45"/>
        <v/>
      </c>
      <c r="P328" s="65" t="str">
        <f t="shared" ca="1" si="46"/>
        <v/>
      </c>
      <c r="Q328" s="2"/>
      <c r="R328" s="2"/>
      <c r="S328" s="1" t="str">
        <f t="shared" si="47"/>
        <v/>
      </c>
      <c r="T328" s="1" t="str">
        <f>IF(OR($C328="",$D328&lt;&gt;"Gelir",$L328=""),"",IFERROR(INDEX(MUSTERILER!$B$7:$B$156,MATCH($S328,MUSTERILER!$T$7:$T$156,0)),""))</f>
        <v/>
      </c>
      <c r="U328" s="1" t="str">
        <f>IF($T328="","",$T328&amp;"|"&amp;COUNTIFS($T$7:$T328,$T328))</f>
        <v/>
      </c>
      <c r="V328" s="1">
        <f t="shared" si="48"/>
        <v>0</v>
      </c>
      <c r="W328" s="1" t="str">
        <f t="shared" si="49"/>
        <v/>
      </c>
      <c r="X328" s="1"/>
      <c r="Y328" s="1"/>
      <c r="Z328" s="1"/>
      <c r="AA328" s="1"/>
      <c r="AB328" s="1"/>
      <c r="AC328" s="1"/>
      <c r="AD328" s="1">
        <f>IF($C328="",0,SUMPRODUCT((AY_SONU!$O$7:$O$42="Evet")*(AY_SONU!$B$7:$B$42=DATE(YEAR($C328),MONTH($C328),1))))</f>
        <v>0</v>
      </c>
      <c r="AE328" s="1" t="str">
        <f>IF($E328="","",$E328&amp;"|"&amp;COUNTIFS($E$7:$E328,$E328))</f>
        <v/>
      </c>
    </row>
    <row r="329" spans="1:31" ht="18" customHeight="1" x14ac:dyDescent="0.3">
      <c r="A329" s="2"/>
      <c r="B329" s="65" t="str">
        <f t="shared" si="42"/>
        <v/>
      </c>
      <c r="C329" s="66"/>
      <c r="D329" s="60"/>
      <c r="E329" s="61"/>
      <c r="F329" s="61"/>
      <c r="G329" s="67"/>
      <c r="H329" s="60"/>
      <c r="I329" s="60"/>
      <c r="J329" s="61"/>
      <c r="K329" s="61"/>
      <c r="L329" s="60"/>
      <c r="M329" s="74" t="str">
        <f t="shared" si="43"/>
        <v/>
      </c>
      <c r="N329" s="74" t="str">
        <f t="shared" si="44"/>
        <v/>
      </c>
      <c r="O329" s="73" t="str">
        <f t="shared" si="45"/>
        <v/>
      </c>
      <c r="P329" s="65" t="str">
        <f t="shared" ca="1" si="46"/>
        <v/>
      </c>
      <c r="Q329" s="2"/>
      <c r="R329" s="2"/>
      <c r="S329" s="1" t="str">
        <f t="shared" si="47"/>
        <v/>
      </c>
      <c r="T329" s="1" t="str">
        <f>IF(OR($C329="",$D329&lt;&gt;"Gelir",$L329=""),"",IFERROR(INDEX(MUSTERILER!$B$7:$B$156,MATCH($S329,MUSTERILER!$T$7:$T$156,0)),""))</f>
        <v/>
      </c>
      <c r="U329" s="1" t="str">
        <f>IF($T329="","",$T329&amp;"|"&amp;COUNTIFS($T$7:$T329,$T329))</f>
        <v/>
      </c>
      <c r="V329" s="1">
        <f t="shared" si="48"/>
        <v>0</v>
      </c>
      <c r="W329" s="1" t="str">
        <f t="shared" si="49"/>
        <v/>
      </c>
      <c r="X329" s="1"/>
      <c r="Y329" s="1"/>
      <c r="Z329" s="1"/>
      <c r="AA329" s="1"/>
      <c r="AB329" s="1"/>
      <c r="AC329" s="1"/>
      <c r="AD329" s="1">
        <f>IF($C329="",0,SUMPRODUCT((AY_SONU!$O$7:$O$42="Evet")*(AY_SONU!$B$7:$B$42=DATE(YEAR($C329),MONTH($C329),1))))</f>
        <v>0</v>
      </c>
      <c r="AE329" s="1" t="str">
        <f>IF($E329="","",$E329&amp;"|"&amp;COUNTIFS($E$7:$E329,$E329))</f>
        <v/>
      </c>
    </row>
    <row r="330" spans="1:31" ht="18" customHeight="1" x14ac:dyDescent="0.3">
      <c r="A330" s="2"/>
      <c r="B330" s="65" t="str">
        <f t="shared" si="42"/>
        <v/>
      </c>
      <c r="C330" s="66"/>
      <c r="D330" s="60"/>
      <c r="E330" s="61"/>
      <c r="F330" s="61"/>
      <c r="G330" s="67"/>
      <c r="H330" s="60"/>
      <c r="I330" s="60"/>
      <c r="J330" s="61"/>
      <c r="K330" s="61"/>
      <c r="L330" s="60"/>
      <c r="M330" s="74" t="str">
        <f t="shared" si="43"/>
        <v/>
      </c>
      <c r="N330" s="74" t="str">
        <f t="shared" si="44"/>
        <v/>
      </c>
      <c r="O330" s="73" t="str">
        <f t="shared" si="45"/>
        <v/>
      </c>
      <c r="P330" s="65" t="str">
        <f t="shared" ca="1" si="46"/>
        <v/>
      </c>
      <c r="Q330" s="2"/>
      <c r="R330" s="2"/>
      <c r="S330" s="1" t="str">
        <f t="shared" si="47"/>
        <v/>
      </c>
      <c r="T330" s="1" t="str">
        <f>IF(OR($C330="",$D330&lt;&gt;"Gelir",$L330=""),"",IFERROR(INDEX(MUSTERILER!$B$7:$B$156,MATCH($S330,MUSTERILER!$T$7:$T$156,0)),""))</f>
        <v/>
      </c>
      <c r="U330" s="1" t="str">
        <f>IF($T330="","",$T330&amp;"|"&amp;COUNTIFS($T$7:$T330,$T330))</f>
        <v/>
      </c>
      <c r="V330" s="1">
        <f t="shared" si="48"/>
        <v>0</v>
      </c>
      <c r="W330" s="1" t="str">
        <f t="shared" si="49"/>
        <v/>
      </c>
      <c r="X330" s="1"/>
      <c r="Y330" s="1"/>
      <c r="Z330" s="1"/>
      <c r="AA330" s="1"/>
      <c r="AB330" s="1"/>
      <c r="AC330" s="1"/>
      <c r="AD330" s="1">
        <f>IF($C330="",0,SUMPRODUCT((AY_SONU!$O$7:$O$42="Evet")*(AY_SONU!$B$7:$B$42=DATE(YEAR($C330),MONTH($C330),1))))</f>
        <v>0</v>
      </c>
      <c r="AE330" s="1" t="str">
        <f>IF($E330="","",$E330&amp;"|"&amp;COUNTIFS($E$7:$E330,$E330))</f>
        <v/>
      </c>
    </row>
    <row r="331" spans="1:31" ht="18" customHeight="1" x14ac:dyDescent="0.3">
      <c r="A331" s="2"/>
      <c r="B331" s="65" t="str">
        <f t="shared" si="42"/>
        <v/>
      </c>
      <c r="C331" s="66"/>
      <c r="D331" s="60"/>
      <c r="E331" s="61"/>
      <c r="F331" s="61"/>
      <c r="G331" s="67"/>
      <c r="H331" s="60"/>
      <c r="I331" s="60"/>
      <c r="J331" s="61"/>
      <c r="K331" s="61"/>
      <c r="L331" s="60"/>
      <c r="M331" s="74" t="str">
        <f t="shared" si="43"/>
        <v/>
      </c>
      <c r="N331" s="74" t="str">
        <f t="shared" si="44"/>
        <v/>
      </c>
      <c r="O331" s="73" t="str">
        <f t="shared" si="45"/>
        <v/>
      </c>
      <c r="P331" s="65" t="str">
        <f t="shared" ca="1" si="46"/>
        <v/>
      </c>
      <c r="Q331" s="2"/>
      <c r="R331" s="2"/>
      <c r="S331" s="1" t="str">
        <f t="shared" si="47"/>
        <v/>
      </c>
      <c r="T331" s="1" t="str">
        <f>IF(OR($C331="",$D331&lt;&gt;"Gelir",$L331=""),"",IFERROR(INDEX(MUSTERILER!$B$7:$B$156,MATCH($S331,MUSTERILER!$T$7:$T$156,0)),""))</f>
        <v/>
      </c>
      <c r="U331" s="1" t="str">
        <f>IF($T331="","",$T331&amp;"|"&amp;COUNTIFS($T$7:$T331,$T331))</f>
        <v/>
      </c>
      <c r="V331" s="1">
        <f t="shared" si="48"/>
        <v>0</v>
      </c>
      <c r="W331" s="1" t="str">
        <f t="shared" si="49"/>
        <v/>
      </c>
      <c r="X331" s="1"/>
      <c r="Y331" s="1"/>
      <c r="Z331" s="1"/>
      <c r="AA331" s="1"/>
      <c r="AB331" s="1"/>
      <c r="AC331" s="1"/>
      <c r="AD331" s="1">
        <f>IF($C331="",0,SUMPRODUCT((AY_SONU!$O$7:$O$42="Evet")*(AY_SONU!$B$7:$B$42=DATE(YEAR($C331),MONTH($C331),1))))</f>
        <v>0</v>
      </c>
      <c r="AE331" s="1" t="str">
        <f>IF($E331="","",$E331&amp;"|"&amp;COUNTIFS($E$7:$E331,$E331))</f>
        <v/>
      </c>
    </row>
    <row r="332" spans="1:31" ht="18" customHeight="1" x14ac:dyDescent="0.3">
      <c r="A332" s="2"/>
      <c r="B332" s="65" t="str">
        <f t="shared" si="42"/>
        <v/>
      </c>
      <c r="C332" s="66"/>
      <c r="D332" s="60"/>
      <c r="E332" s="61"/>
      <c r="F332" s="61"/>
      <c r="G332" s="67"/>
      <c r="H332" s="60"/>
      <c r="I332" s="60"/>
      <c r="J332" s="61"/>
      <c r="K332" s="61"/>
      <c r="L332" s="60"/>
      <c r="M332" s="74" t="str">
        <f t="shared" si="43"/>
        <v/>
      </c>
      <c r="N332" s="74" t="str">
        <f t="shared" si="44"/>
        <v/>
      </c>
      <c r="O332" s="73" t="str">
        <f t="shared" si="45"/>
        <v/>
      </c>
      <c r="P332" s="65" t="str">
        <f t="shared" ca="1" si="46"/>
        <v/>
      </c>
      <c r="Q332" s="2"/>
      <c r="R332" s="2"/>
      <c r="S332" s="1" t="str">
        <f t="shared" si="47"/>
        <v/>
      </c>
      <c r="T332" s="1" t="str">
        <f>IF(OR($C332="",$D332&lt;&gt;"Gelir",$L332=""),"",IFERROR(INDEX(MUSTERILER!$B$7:$B$156,MATCH($S332,MUSTERILER!$T$7:$T$156,0)),""))</f>
        <v/>
      </c>
      <c r="U332" s="1" t="str">
        <f>IF($T332="","",$T332&amp;"|"&amp;COUNTIFS($T$7:$T332,$T332))</f>
        <v/>
      </c>
      <c r="V332" s="1">
        <f t="shared" si="48"/>
        <v>0</v>
      </c>
      <c r="W332" s="1" t="str">
        <f t="shared" si="49"/>
        <v/>
      </c>
      <c r="X332" s="1"/>
      <c r="Y332" s="1"/>
      <c r="Z332" s="1"/>
      <c r="AA332" s="1"/>
      <c r="AB332" s="1"/>
      <c r="AC332" s="1"/>
      <c r="AD332" s="1">
        <f>IF($C332="",0,SUMPRODUCT((AY_SONU!$O$7:$O$42="Evet")*(AY_SONU!$B$7:$B$42=DATE(YEAR($C332),MONTH($C332),1))))</f>
        <v>0</v>
      </c>
      <c r="AE332" s="1" t="str">
        <f>IF($E332="","",$E332&amp;"|"&amp;COUNTIFS($E$7:$E332,$E332))</f>
        <v/>
      </c>
    </row>
    <row r="333" spans="1:31" ht="18" customHeight="1" x14ac:dyDescent="0.3">
      <c r="A333" s="2"/>
      <c r="B333" s="65" t="str">
        <f t="shared" si="42"/>
        <v/>
      </c>
      <c r="C333" s="66"/>
      <c r="D333" s="60"/>
      <c r="E333" s="61"/>
      <c r="F333" s="61"/>
      <c r="G333" s="67"/>
      <c r="H333" s="60"/>
      <c r="I333" s="60"/>
      <c r="J333" s="61"/>
      <c r="K333" s="61"/>
      <c r="L333" s="60"/>
      <c r="M333" s="74" t="str">
        <f t="shared" si="43"/>
        <v/>
      </c>
      <c r="N333" s="74" t="str">
        <f t="shared" si="44"/>
        <v/>
      </c>
      <c r="O333" s="73" t="str">
        <f t="shared" si="45"/>
        <v/>
      </c>
      <c r="P333" s="65" t="str">
        <f t="shared" ca="1" si="46"/>
        <v/>
      </c>
      <c r="Q333" s="2"/>
      <c r="R333" s="2"/>
      <c r="S333" s="1" t="str">
        <f t="shared" si="47"/>
        <v/>
      </c>
      <c r="T333" s="1" t="str">
        <f>IF(OR($C333="",$D333&lt;&gt;"Gelir",$L333=""),"",IFERROR(INDEX(MUSTERILER!$B$7:$B$156,MATCH($S333,MUSTERILER!$T$7:$T$156,0)),""))</f>
        <v/>
      </c>
      <c r="U333" s="1" t="str">
        <f>IF($T333="","",$T333&amp;"|"&amp;COUNTIFS($T$7:$T333,$T333))</f>
        <v/>
      </c>
      <c r="V333" s="1">
        <f t="shared" si="48"/>
        <v>0</v>
      </c>
      <c r="W333" s="1" t="str">
        <f t="shared" si="49"/>
        <v/>
      </c>
      <c r="X333" s="1"/>
      <c r="Y333" s="1"/>
      <c r="Z333" s="1"/>
      <c r="AA333" s="1"/>
      <c r="AB333" s="1"/>
      <c r="AC333" s="1"/>
      <c r="AD333" s="1">
        <f>IF($C333="",0,SUMPRODUCT((AY_SONU!$O$7:$O$42="Evet")*(AY_SONU!$B$7:$B$42=DATE(YEAR($C333),MONTH($C333),1))))</f>
        <v>0</v>
      </c>
      <c r="AE333" s="1" t="str">
        <f>IF($E333="","",$E333&amp;"|"&amp;COUNTIFS($E$7:$E333,$E333))</f>
        <v/>
      </c>
    </row>
    <row r="334" spans="1:31" ht="18" customHeight="1" x14ac:dyDescent="0.3">
      <c r="A334" s="2"/>
      <c r="B334" s="65" t="str">
        <f t="shared" si="42"/>
        <v/>
      </c>
      <c r="C334" s="66"/>
      <c r="D334" s="60"/>
      <c r="E334" s="61"/>
      <c r="F334" s="61"/>
      <c r="G334" s="67"/>
      <c r="H334" s="60"/>
      <c r="I334" s="60"/>
      <c r="J334" s="61"/>
      <c r="K334" s="61"/>
      <c r="L334" s="60"/>
      <c r="M334" s="74" t="str">
        <f t="shared" si="43"/>
        <v/>
      </c>
      <c r="N334" s="74" t="str">
        <f t="shared" si="44"/>
        <v/>
      </c>
      <c r="O334" s="73" t="str">
        <f t="shared" si="45"/>
        <v/>
      </c>
      <c r="P334" s="65" t="str">
        <f t="shared" ca="1" si="46"/>
        <v/>
      </c>
      <c r="Q334" s="2"/>
      <c r="R334" s="2"/>
      <c r="S334" s="1" t="str">
        <f t="shared" si="47"/>
        <v/>
      </c>
      <c r="T334" s="1" t="str">
        <f>IF(OR($C334="",$D334&lt;&gt;"Gelir",$L334=""),"",IFERROR(INDEX(MUSTERILER!$B$7:$B$156,MATCH($S334,MUSTERILER!$T$7:$T$156,0)),""))</f>
        <v/>
      </c>
      <c r="U334" s="1" t="str">
        <f>IF($T334="","",$T334&amp;"|"&amp;COUNTIFS($T$7:$T334,$T334))</f>
        <v/>
      </c>
      <c r="V334" s="1">
        <f t="shared" si="48"/>
        <v>0</v>
      </c>
      <c r="W334" s="1" t="str">
        <f t="shared" si="49"/>
        <v/>
      </c>
      <c r="X334" s="1"/>
      <c r="Y334" s="1"/>
      <c r="Z334" s="1"/>
      <c r="AA334" s="1"/>
      <c r="AB334" s="1"/>
      <c r="AC334" s="1"/>
      <c r="AD334" s="1">
        <f>IF($C334="",0,SUMPRODUCT((AY_SONU!$O$7:$O$42="Evet")*(AY_SONU!$B$7:$B$42=DATE(YEAR($C334),MONTH($C334),1))))</f>
        <v>0</v>
      </c>
      <c r="AE334" s="1" t="str">
        <f>IF($E334="","",$E334&amp;"|"&amp;COUNTIFS($E$7:$E334,$E334))</f>
        <v/>
      </c>
    </row>
    <row r="335" spans="1:31" ht="18" customHeight="1" x14ac:dyDescent="0.3">
      <c r="A335" s="2"/>
      <c r="B335" s="65" t="str">
        <f t="shared" si="42"/>
        <v/>
      </c>
      <c r="C335" s="66"/>
      <c r="D335" s="60"/>
      <c r="E335" s="61"/>
      <c r="F335" s="61"/>
      <c r="G335" s="67"/>
      <c r="H335" s="60"/>
      <c r="I335" s="60"/>
      <c r="J335" s="61"/>
      <c r="K335" s="61"/>
      <c r="L335" s="60"/>
      <c r="M335" s="74" t="str">
        <f t="shared" si="43"/>
        <v/>
      </c>
      <c r="N335" s="74" t="str">
        <f t="shared" si="44"/>
        <v/>
      </c>
      <c r="O335" s="73" t="str">
        <f t="shared" si="45"/>
        <v/>
      </c>
      <c r="P335" s="65" t="str">
        <f t="shared" ca="1" si="46"/>
        <v/>
      </c>
      <c r="Q335" s="2"/>
      <c r="R335" s="2"/>
      <c r="S335" s="1" t="str">
        <f t="shared" si="47"/>
        <v/>
      </c>
      <c r="T335" s="1" t="str">
        <f>IF(OR($C335="",$D335&lt;&gt;"Gelir",$L335=""),"",IFERROR(INDEX(MUSTERILER!$B$7:$B$156,MATCH($S335,MUSTERILER!$T$7:$T$156,0)),""))</f>
        <v/>
      </c>
      <c r="U335" s="1" t="str">
        <f>IF($T335="","",$T335&amp;"|"&amp;COUNTIFS($T$7:$T335,$T335))</f>
        <v/>
      </c>
      <c r="V335" s="1">
        <f t="shared" si="48"/>
        <v>0</v>
      </c>
      <c r="W335" s="1" t="str">
        <f t="shared" si="49"/>
        <v/>
      </c>
      <c r="X335" s="1"/>
      <c r="Y335" s="1"/>
      <c r="Z335" s="1"/>
      <c r="AA335" s="1"/>
      <c r="AB335" s="1"/>
      <c r="AC335" s="1"/>
      <c r="AD335" s="1">
        <f>IF($C335="",0,SUMPRODUCT((AY_SONU!$O$7:$O$42="Evet")*(AY_SONU!$B$7:$B$42=DATE(YEAR($C335),MONTH($C335),1))))</f>
        <v>0</v>
      </c>
      <c r="AE335" s="1" t="str">
        <f>IF($E335="","",$E335&amp;"|"&amp;COUNTIFS($E$7:$E335,$E335))</f>
        <v/>
      </c>
    </row>
    <row r="336" spans="1:31" ht="18" customHeight="1" x14ac:dyDescent="0.3">
      <c r="A336" s="2"/>
      <c r="B336" s="65" t="str">
        <f t="shared" si="42"/>
        <v/>
      </c>
      <c r="C336" s="66"/>
      <c r="D336" s="60"/>
      <c r="E336" s="61"/>
      <c r="F336" s="61"/>
      <c r="G336" s="67"/>
      <c r="H336" s="60"/>
      <c r="I336" s="60"/>
      <c r="J336" s="61"/>
      <c r="K336" s="61"/>
      <c r="L336" s="60"/>
      <c r="M336" s="74" t="str">
        <f t="shared" si="43"/>
        <v/>
      </c>
      <c r="N336" s="74" t="str">
        <f t="shared" si="44"/>
        <v/>
      </c>
      <c r="O336" s="73" t="str">
        <f t="shared" si="45"/>
        <v/>
      </c>
      <c r="P336" s="65" t="str">
        <f t="shared" ca="1" si="46"/>
        <v/>
      </c>
      <c r="Q336" s="2"/>
      <c r="R336" s="2"/>
      <c r="S336" s="1" t="str">
        <f t="shared" si="47"/>
        <v/>
      </c>
      <c r="T336" s="1" t="str">
        <f>IF(OR($C336="",$D336&lt;&gt;"Gelir",$L336=""),"",IFERROR(INDEX(MUSTERILER!$B$7:$B$156,MATCH($S336,MUSTERILER!$T$7:$T$156,0)),""))</f>
        <v/>
      </c>
      <c r="U336" s="1" t="str">
        <f>IF($T336="","",$T336&amp;"|"&amp;COUNTIFS($T$7:$T336,$T336))</f>
        <v/>
      </c>
      <c r="V336" s="1">
        <f t="shared" si="48"/>
        <v>0</v>
      </c>
      <c r="W336" s="1" t="str">
        <f t="shared" si="49"/>
        <v/>
      </c>
      <c r="X336" s="1"/>
      <c r="Y336" s="1"/>
      <c r="Z336" s="1"/>
      <c r="AA336" s="1"/>
      <c r="AB336" s="1"/>
      <c r="AC336" s="1"/>
      <c r="AD336" s="1">
        <f>IF($C336="",0,SUMPRODUCT((AY_SONU!$O$7:$O$42="Evet")*(AY_SONU!$B$7:$B$42=DATE(YEAR($C336),MONTH($C336),1))))</f>
        <v>0</v>
      </c>
      <c r="AE336" s="1" t="str">
        <f>IF($E336="","",$E336&amp;"|"&amp;COUNTIFS($E$7:$E336,$E336))</f>
        <v/>
      </c>
    </row>
    <row r="337" spans="1:31" ht="18" customHeight="1" x14ac:dyDescent="0.3">
      <c r="A337" s="2"/>
      <c r="B337" s="65" t="str">
        <f t="shared" si="42"/>
        <v/>
      </c>
      <c r="C337" s="66"/>
      <c r="D337" s="60"/>
      <c r="E337" s="61"/>
      <c r="F337" s="61"/>
      <c r="G337" s="67"/>
      <c r="H337" s="60"/>
      <c r="I337" s="60"/>
      <c r="J337" s="61"/>
      <c r="K337" s="61"/>
      <c r="L337" s="60"/>
      <c r="M337" s="74" t="str">
        <f t="shared" si="43"/>
        <v/>
      </c>
      <c r="N337" s="74" t="str">
        <f t="shared" si="44"/>
        <v/>
      </c>
      <c r="O337" s="73" t="str">
        <f t="shared" si="45"/>
        <v/>
      </c>
      <c r="P337" s="65" t="str">
        <f t="shared" ca="1" si="46"/>
        <v/>
      </c>
      <c r="Q337" s="2"/>
      <c r="R337" s="2"/>
      <c r="S337" s="1" t="str">
        <f t="shared" si="47"/>
        <v/>
      </c>
      <c r="T337" s="1" t="str">
        <f>IF(OR($C337="",$D337&lt;&gt;"Gelir",$L337=""),"",IFERROR(INDEX(MUSTERILER!$B$7:$B$156,MATCH($S337,MUSTERILER!$T$7:$T$156,0)),""))</f>
        <v/>
      </c>
      <c r="U337" s="1" t="str">
        <f>IF($T337="","",$T337&amp;"|"&amp;COUNTIFS($T$7:$T337,$T337))</f>
        <v/>
      </c>
      <c r="V337" s="1">
        <f t="shared" si="48"/>
        <v>0</v>
      </c>
      <c r="W337" s="1" t="str">
        <f t="shared" si="49"/>
        <v/>
      </c>
      <c r="X337" s="1"/>
      <c r="Y337" s="1"/>
      <c r="Z337" s="1"/>
      <c r="AA337" s="1"/>
      <c r="AB337" s="1"/>
      <c r="AC337" s="1"/>
      <c r="AD337" s="1">
        <f>IF($C337="",0,SUMPRODUCT((AY_SONU!$O$7:$O$42="Evet")*(AY_SONU!$B$7:$B$42=DATE(YEAR($C337),MONTH($C337),1))))</f>
        <v>0</v>
      </c>
      <c r="AE337" s="1" t="str">
        <f>IF($E337="","",$E337&amp;"|"&amp;COUNTIFS($E$7:$E337,$E337))</f>
        <v/>
      </c>
    </row>
    <row r="338" spans="1:31" ht="18" customHeight="1" x14ac:dyDescent="0.3">
      <c r="A338" s="2"/>
      <c r="B338" s="65" t="str">
        <f t="shared" si="42"/>
        <v/>
      </c>
      <c r="C338" s="66"/>
      <c r="D338" s="60"/>
      <c r="E338" s="61"/>
      <c r="F338" s="61"/>
      <c r="G338" s="67"/>
      <c r="H338" s="60"/>
      <c r="I338" s="60"/>
      <c r="J338" s="61"/>
      <c r="K338" s="61"/>
      <c r="L338" s="60"/>
      <c r="M338" s="74" t="str">
        <f t="shared" si="43"/>
        <v/>
      </c>
      <c r="N338" s="74" t="str">
        <f t="shared" si="44"/>
        <v/>
      </c>
      <c r="O338" s="73" t="str">
        <f t="shared" si="45"/>
        <v/>
      </c>
      <c r="P338" s="65" t="str">
        <f t="shared" ca="1" si="46"/>
        <v/>
      </c>
      <c r="Q338" s="2"/>
      <c r="R338" s="2"/>
      <c r="S338" s="1" t="str">
        <f t="shared" si="47"/>
        <v/>
      </c>
      <c r="T338" s="1" t="str">
        <f>IF(OR($C338="",$D338&lt;&gt;"Gelir",$L338=""),"",IFERROR(INDEX(MUSTERILER!$B$7:$B$156,MATCH($S338,MUSTERILER!$T$7:$T$156,0)),""))</f>
        <v/>
      </c>
      <c r="U338" s="1" t="str">
        <f>IF($T338="","",$T338&amp;"|"&amp;COUNTIFS($T$7:$T338,$T338))</f>
        <v/>
      </c>
      <c r="V338" s="1">
        <f t="shared" si="48"/>
        <v>0</v>
      </c>
      <c r="W338" s="1" t="str">
        <f t="shared" si="49"/>
        <v/>
      </c>
      <c r="X338" s="1"/>
      <c r="Y338" s="1"/>
      <c r="Z338" s="1"/>
      <c r="AA338" s="1"/>
      <c r="AB338" s="1"/>
      <c r="AC338" s="1"/>
      <c r="AD338" s="1">
        <f>IF($C338="",0,SUMPRODUCT((AY_SONU!$O$7:$O$42="Evet")*(AY_SONU!$B$7:$B$42=DATE(YEAR($C338),MONTH($C338),1))))</f>
        <v>0</v>
      </c>
      <c r="AE338" s="1" t="str">
        <f>IF($E338="","",$E338&amp;"|"&amp;COUNTIFS($E$7:$E338,$E338))</f>
        <v/>
      </c>
    </row>
    <row r="339" spans="1:31" ht="18" customHeight="1" x14ac:dyDescent="0.3">
      <c r="A339" s="2"/>
      <c r="B339" s="65" t="str">
        <f t="shared" si="42"/>
        <v/>
      </c>
      <c r="C339" s="66"/>
      <c r="D339" s="60"/>
      <c r="E339" s="61"/>
      <c r="F339" s="61"/>
      <c r="G339" s="67"/>
      <c r="H339" s="60"/>
      <c r="I339" s="60"/>
      <c r="J339" s="61"/>
      <c r="K339" s="61"/>
      <c r="L339" s="60"/>
      <c r="M339" s="74" t="str">
        <f t="shared" si="43"/>
        <v/>
      </c>
      <c r="N339" s="74" t="str">
        <f t="shared" si="44"/>
        <v/>
      </c>
      <c r="O339" s="73" t="str">
        <f t="shared" si="45"/>
        <v/>
      </c>
      <c r="P339" s="65" t="str">
        <f t="shared" ca="1" si="46"/>
        <v/>
      </c>
      <c r="Q339" s="2"/>
      <c r="R339" s="2"/>
      <c r="S339" s="1" t="str">
        <f t="shared" si="47"/>
        <v/>
      </c>
      <c r="T339" s="1" t="str">
        <f>IF(OR($C339="",$D339&lt;&gt;"Gelir",$L339=""),"",IFERROR(INDEX(MUSTERILER!$B$7:$B$156,MATCH($S339,MUSTERILER!$T$7:$T$156,0)),""))</f>
        <v/>
      </c>
      <c r="U339" s="1" t="str">
        <f>IF($T339="","",$T339&amp;"|"&amp;COUNTIFS($T$7:$T339,$T339))</f>
        <v/>
      </c>
      <c r="V339" s="1">
        <f t="shared" si="48"/>
        <v>0</v>
      </c>
      <c r="W339" s="1" t="str">
        <f t="shared" si="49"/>
        <v/>
      </c>
      <c r="X339" s="1"/>
      <c r="Y339" s="1"/>
      <c r="Z339" s="1"/>
      <c r="AA339" s="1"/>
      <c r="AB339" s="1"/>
      <c r="AC339" s="1"/>
      <c r="AD339" s="1">
        <f>IF($C339="",0,SUMPRODUCT((AY_SONU!$O$7:$O$42="Evet")*(AY_SONU!$B$7:$B$42=DATE(YEAR($C339),MONTH($C339),1))))</f>
        <v>0</v>
      </c>
      <c r="AE339" s="1" t="str">
        <f>IF($E339="","",$E339&amp;"|"&amp;COUNTIFS($E$7:$E339,$E339))</f>
        <v/>
      </c>
    </row>
    <row r="340" spans="1:31" ht="18" customHeight="1" x14ac:dyDescent="0.3">
      <c r="A340" s="2"/>
      <c r="B340" s="65" t="str">
        <f t="shared" si="42"/>
        <v/>
      </c>
      <c r="C340" s="66"/>
      <c r="D340" s="60"/>
      <c r="E340" s="61"/>
      <c r="F340" s="61"/>
      <c r="G340" s="67"/>
      <c r="H340" s="60"/>
      <c r="I340" s="60"/>
      <c r="J340" s="61"/>
      <c r="K340" s="61"/>
      <c r="L340" s="60"/>
      <c r="M340" s="74" t="str">
        <f t="shared" si="43"/>
        <v/>
      </c>
      <c r="N340" s="74" t="str">
        <f t="shared" si="44"/>
        <v/>
      </c>
      <c r="O340" s="73" t="str">
        <f t="shared" si="45"/>
        <v/>
      </c>
      <c r="P340" s="65" t="str">
        <f t="shared" ca="1" si="46"/>
        <v/>
      </c>
      <c r="Q340" s="2"/>
      <c r="R340" s="2"/>
      <c r="S340" s="1" t="str">
        <f t="shared" si="47"/>
        <v/>
      </c>
      <c r="T340" s="1" t="str">
        <f>IF(OR($C340="",$D340&lt;&gt;"Gelir",$L340=""),"",IFERROR(INDEX(MUSTERILER!$B$7:$B$156,MATCH($S340,MUSTERILER!$T$7:$T$156,0)),""))</f>
        <v/>
      </c>
      <c r="U340" s="1" t="str">
        <f>IF($T340="","",$T340&amp;"|"&amp;COUNTIFS($T$7:$T340,$T340))</f>
        <v/>
      </c>
      <c r="V340" s="1">
        <f t="shared" si="48"/>
        <v>0</v>
      </c>
      <c r="W340" s="1" t="str">
        <f t="shared" si="49"/>
        <v/>
      </c>
      <c r="X340" s="1"/>
      <c r="Y340" s="1"/>
      <c r="Z340" s="1"/>
      <c r="AA340" s="1"/>
      <c r="AB340" s="1"/>
      <c r="AC340" s="1"/>
      <c r="AD340" s="1">
        <f>IF($C340="",0,SUMPRODUCT((AY_SONU!$O$7:$O$42="Evet")*(AY_SONU!$B$7:$B$42=DATE(YEAR($C340),MONTH($C340),1))))</f>
        <v>0</v>
      </c>
      <c r="AE340" s="1" t="str">
        <f>IF($E340="","",$E340&amp;"|"&amp;COUNTIFS($E$7:$E340,$E340))</f>
        <v/>
      </c>
    </row>
    <row r="341" spans="1:31" ht="18" customHeight="1" x14ac:dyDescent="0.3">
      <c r="A341" s="2"/>
      <c r="B341" s="65" t="str">
        <f t="shared" si="42"/>
        <v/>
      </c>
      <c r="C341" s="66"/>
      <c r="D341" s="60"/>
      <c r="E341" s="61"/>
      <c r="F341" s="61"/>
      <c r="G341" s="67"/>
      <c r="H341" s="60"/>
      <c r="I341" s="60"/>
      <c r="J341" s="61"/>
      <c r="K341" s="61"/>
      <c r="L341" s="60"/>
      <c r="M341" s="74" t="str">
        <f t="shared" si="43"/>
        <v/>
      </c>
      <c r="N341" s="74" t="str">
        <f t="shared" si="44"/>
        <v/>
      </c>
      <c r="O341" s="73" t="str">
        <f t="shared" si="45"/>
        <v/>
      </c>
      <c r="P341" s="65" t="str">
        <f t="shared" ca="1" si="46"/>
        <v/>
      </c>
      <c r="Q341" s="2"/>
      <c r="R341" s="2"/>
      <c r="S341" s="1" t="str">
        <f t="shared" si="47"/>
        <v/>
      </c>
      <c r="T341" s="1" t="str">
        <f>IF(OR($C341="",$D341&lt;&gt;"Gelir",$L341=""),"",IFERROR(INDEX(MUSTERILER!$B$7:$B$156,MATCH($S341,MUSTERILER!$T$7:$T$156,0)),""))</f>
        <v/>
      </c>
      <c r="U341" s="1" t="str">
        <f>IF($T341="","",$T341&amp;"|"&amp;COUNTIFS($T$7:$T341,$T341))</f>
        <v/>
      </c>
      <c r="V341" s="1">
        <f t="shared" si="48"/>
        <v>0</v>
      </c>
      <c r="W341" s="1" t="str">
        <f t="shared" si="49"/>
        <v/>
      </c>
      <c r="X341" s="1"/>
      <c r="Y341" s="1"/>
      <c r="Z341" s="1"/>
      <c r="AA341" s="1"/>
      <c r="AB341" s="1"/>
      <c r="AC341" s="1"/>
      <c r="AD341" s="1">
        <f>IF($C341="",0,SUMPRODUCT((AY_SONU!$O$7:$O$42="Evet")*(AY_SONU!$B$7:$B$42=DATE(YEAR($C341),MONTH($C341),1))))</f>
        <v>0</v>
      </c>
      <c r="AE341" s="1" t="str">
        <f>IF($E341="","",$E341&amp;"|"&amp;COUNTIFS($E$7:$E341,$E341))</f>
        <v/>
      </c>
    </row>
    <row r="342" spans="1:31" ht="18" customHeight="1" x14ac:dyDescent="0.3">
      <c r="A342" s="2"/>
      <c r="B342" s="65" t="str">
        <f t="shared" si="42"/>
        <v/>
      </c>
      <c r="C342" s="66"/>
      <c r="D342" s="60"/>
      <c r="E342" s="61"/>
      <c r="F342" s="61"/>
      <c r="G342" s="67"/>
      <c r="H342" s="60"/>
      <c r="I342" s="60"/>
      <c r="J342" s="61"/>
      <c r="K342" s="61"/>
      <c r="L342" s="60"/>
      <c r="M342" s="74" t="str">
        <f t="shared" si="43"/>
        <v/>
      </c>
      <c r="N342" s="74" t="str">
        <f t="shared" si="44"/>
        <v/>
      </c>
      <c r="O342" s="73" t="str">
        <f t="shared" si="45"/>
        <v/>
      </c>
      <c r="P342" s="65" t="str">
        <f t="shared" ca="1" si="46"/>
        <v/>
      </c>
      <c r="Q342" s="2"/>
      <c r="R342" s="2"/>
      <c r="S342" s="1" t="str">
        <f t="shared" si="47"/>
        <v/>
      </c>
      <c r="T342" s="1" t="str">
        <f>IF(OR($C342="",$D342&lt;&gt;"Gelir",$L342=""),"",IFERROR(INDEX(MUSTERILER!$B$7:$B$156,MATCH($S342,MUSTERILER!$T$7:$T$156,0)),""))</f>
        <v/>
      </c>
      <c r="U342" s="1" t="str">
        <f>IF($T342="","",$T342&amp;"|"&amp;COUNTIFS($T$7:$T342,$T342))</f>
        <v/>
      </c>
      <c r="V342" s="1">
        <f t="shared" si="48"/>
        <v>0</v>
      </c>
      <c r="W342" s="1" t="str">
        <f t="shared" si="49"/>
        <v/>
      </c>
      <c r="X342" s="1"/>
      <c r="Y342" s="1"/>
      <c r="Z342" s="1"/>
      <c r="AA342" s="1"/>
      <c r="AB342" s="1"/>
      <c r="AC342" s="1"/>
      <c r="AD342" s="1">
        <f>IF($C342="",0,SUMPRODUCT((AY_SONU!$O$7:$O$42="Evet")*(AY_SONU!$B$7:$B$42=DATE(YEAR($C342),MONTH($C342),1))))</f>
        <v>0</v>
      </c>
      <c r="AE342" s="1" t="str">
        <f>IF($E342="","",$E342&amp;"|"&amp;COUNTIFS($E$7:$E342,$E342))</f>
        <v/>
      </c>
    </row>
    <row r="343" spans="1:31" ht="18" customHeight="1" x14ac:dyDescent="0.3">
      <c r="A343" s="2"/>
      <c r="B343" s="65" t="str">
        <f t="shared" si="42"/>
        <v/>
      </c>
      <c r="C343" s="66"/>
      <c r="D343" s="60"/>
      <c r="E343" s="61"/>
      <c r="F343" s="61"/>
      <c r="G343" s="67"/>
      <c r="H343" s="60"/>
      <c r="I343" s="60"/>
      <c r="J343" s="61"/>
      <c r="K343" s="61"/>
      <c r="L343" s="60"/>
      <c r="M343" s="74" t="str">
        <f t="shared" si="43"/>
        <v/>
      </c>
      <c r="N343" s="74" t="str">
        <f t="shared" si="44"/>
        <v/>
      </c>
      <c r="O343" s="73" t="str">
        <f t="shared" si="45"/>
        <v/>
      </c>
      <c r="P343" s="65" t="str">
        <f t="shared" ca="1" si="46"/>
        <v/>
      </c>
      <c r="Q343" s="2"/>
      <c r="R343" s="2"/>
      <c r="S343" s="1" t="str">
        <f t="shared" si="47"/>
        <v/>
      </c>
      <c r="T343" s="1" t="str">
        <f>IF(OR($C343="",$D343&lt;&gt;"Gelir",$L343=""),"",IFERROR(INDEX(MUSTERILER!$B$7:$B$156,MATCH($S343,MUSTERILER!$T$7:$T$156,0)),""))</f>
        <v/>
      </c>
      <c r="U343" s="1" t="str">
        <f>IF($T343="","",$T343&amp;"|"&amp;COUNTIFS($T$7:$T343,$T343))</f>
        <v/>
      </c>
      <c r="V343" s="1">
        <f t="shared" si="48"/>
        <v>0</v>
      </c>
      <c r="W343" s="1" t="str">
        <f t="shared" si="49"/>
        <v/>
      </c>
      <c r="X343" s="1"/>
      <c r="Y343" s="1"/>
      <c r="Z343" s="1"/>
      <c r="AA343" s="1"/>
      <c r="AB343" s="1"/>
      <c r="AC343" s="1"/>
      <c r="AD343" s="1">
        <f>IF($C343="",0,SUMPRODUCT((AY_SONU!$O$7:$O$42="Evet")*(AY_SONU!$B$7:$B$42=DATE(YEAR($C343),MONTH($C343),1))))</f>
        <v>0</v>
      </c>
      <c r="AE343" s="1" t="str">
        <f>IF($E343="","",$E343&amp;"|"&amp;COUNTIFS($E$7:$E343,$E343))</f>
        <v/>
      </c>
    </row>
    <row r="344" spans="1:31" ht="18" customHeight="1" x14ac:dyDescent="0.3">
      <c r="A344" s="2"/>
      <c r="B344" s="65" t="str">
        <f t="shared" si="42"/>
        <v/>
      </c>
      <c r="C344" s="66"/>
      <c r="D344" s="60"/>
      <c r="E344" s="61"/>
      <c r="F344" s="61"/>
      <c r="G344" s="67"/>
      <c r="H344" s="60"/>
      <c r="I344" s="60"/>
      <c r="J344" s="61"/>
      <c r="K344" s="61"/>
      <c r="L344" s="60"/>
      <c r="M344" s="74" t="str">
        <f t="shared" si="43"/>
        <v/>
      </c>
      <c r="N344" s="74" t="str">
        <f t="shared" si="44"/>
        <v/>
      </c>
      <c r="O344" s="73" t="str">
        <f t="shared" si="45"/>
        <v/>
      </c>
      <c r="P344" s="65" t="str">
        <f t="shared" ca="1" si="46"/>
        <v/>
      </c>
      <c r="Q344" s="2"/>
      <c r="R344" s="2"/>
      <c r="S344" s="1" t="str">
        <f t="shared" si="47"/>
        <v/>
      </c>
      <c r="T344" s="1" t="str">
        <f>IF(OR($C344="",$D344&lt;&gt;"Gelir",$L344=""),"",IFERROR(INDEX(MUSTERILER!$B$7:$B$156,MATCH($S344,MUSTERILER!$T$7:$T$156,0)),""))</f>
        <v/>
      </c>
      <c r="U344" s="1" t="str">
        <f>IF($T344="","",$T344&amp;"|"&amp;COUNTIFS($T$7:$T344,$T344))</f>
        <v/>
      </c>
      <c r="V344" s="1">
        <f t="shared" si="48"/>
        <v>0</v>
      </c>
      <c r="W344" s="1" t="str">
        <f t="shared" si="49"/>
        <v/>
      </c>
      <c r="X344" s="1"/>
      <c r="Y344" s="1"/>
      <c r="Z344" s="1"/>
      <c r="AA344" s="1"/>
      <c r="AB344" s="1"/>
      <c r="AC344" s="1"/>
      <c r="AD344" s="1">
        <f>IF($C344="",0,SUMPRODUCT((AY_SONU!$O$7:$O$42="Evet")*(AY_SONU!$B$7:$B$42=DATE(YEAR($C344),MONTH($C344),1))))</f>
        <v>0</v>
      </c>
      <c r="AE344" s="1" t="str">
        <f>IF($E344="","",$E344&amp;"|"&amp;COUNTIFS($E$7:$E344,$E344))</f>
        <v/>
      </c>
    </row>
    <row r="345" spans="1:31" ht="18" customHeight="1" x14ac:dyDescent="0.3">
      <c r="A345" s="2"/>
      <c r="B345" s="65" t="str">
        <f t="shared" si="42"/>
        <v/>
      </c>
      <c r="C345" s="66"/>
      <c r="D345" s="60"/>
      <c r="E345" s="61"/>
      <c r="F345" s="61"/>
      <c r="G345" s="67"/>
      <c r="H345" s="60"/>
      <c r="I345" s="60"/>
      <c r="J345" s="61"/>
      <c r="K345" s="61"/>
      <c r="L345" s="60"/>
      <c r="M345" s="74" t="str">
        <f t="shared" si="43"/>
        <v/>
      </c>
      <c r="N345" s="74" t="str">
        <f t="shared" si="44"/>
        <v/>
      </c>
      <c r="O345" s="73" t="str">
        <f t="shared" si="45"/>
        <v/>
      </c>
      <c r="P345" s="65" t="str">
        <f t="shared" ca="1" si="46"/>
        <v/>
      </c>
      <c r="Q345" s="2"/>
      <c r="R345" s="2"/>
      <c r="S345" s="1" t="str">
        <f t="shared" si="47"/>
        <v/>
      </c>
      <c r="T345" s="1" t="str">
        <f>IF(OR($C345="",$D345&lt;&gt;"Gelir",$L345=""),"",IFERROR(INDEX(MUSTERILER!$B$7:$B$156,MATCH($S345,MUSTERILER!$T$7:$T$156,0)),""))</f>
        <v/>
      </c>
      <c r="U345" s="1" t="str">
        <f>IF($T345="","",$T345&amp;"|"&amp;COUNTIFS($T$7:$T345,$T345))</f>
        <v/>
      </c>
      <c r="V345" s="1">
        <f t="shared" si="48"/>
        <v>0</v>
      </c>
      <c r="W345" s="1" t="str">
        <f t="shared" si="49"/>
        <v/>
      </c>
      <c r="X345" s="1"/>
      <c r="Y345" s="1"/>
      <c r="Z345" s="1"/>
      <c r="AA345" s="1"/>
      <c r="AB345" s="1"/>
      <c r="AC345" s="1"/>
      <c r="AD345" s="1">
        <f>IF($C345="",0,SUMPRODUCT((AY_SONU!$O$7:$O$42="Evet")*(AY_SONU!$B$7:$B$42=DATE(YEAR($C345),MONTH($C345),1))))</f>
        <v>0</v>
      </c>
      <c r="AE345" s="1" t="str">
        <f>IF($E345="","",$E345&amp;"|"&amp;COUNTIFS($E$7:$E345,$E345))</f>
        <v/>
      </c>
    </row>
    <row r="346" spans="1:31" ht="18" customHeight="1" x14ac:dyDescent="0.3">
      <c r="A346" s="2"/>
      <c r="B346" s="65" t="str">
        <f t="shared" si="42"/>
        <v/>
      </c>
      <c r="C346" s="66"/>
      <c r="D346" s="60"/>
      <c r="E346" s="61"/>
      <c r="F346" s="61"/>
      <c r="G346" s="67"/>
      <c r="H346" s="60"/>
      <c r="I346" s="60"/>
      <c r="J346" s="61"/>
      <c r="K346" s="61"/>
      <c r="L346" s="60"/>
      <c r="M346" s="74" t="str">
        <f t="shared" si="43"/>
        <v/>
      </c>
      <c r="N346" s="74" t="str">
        <f t="shared" si="44"/>
        <v/>
      </c>
      <c r="O346" s="73" t="str">
        <f t="shared" si="45"/>
        <v/>
      </c>
      <c r="P346" s="65" t="str">
        <f t="shared" ca="1" si="46"/>
        <v/>
      </c>
      <c r="Q346" s="2"/>
      <c r="R346" s="2"/>
      <c r="S346" s="1" t="str">
        <f t="shared" si="47"/>
        <v/>
      </c>
      <c r="T346" s="1" t="str">
        <f>IF(OR($C346="",$D346&lt;&gt;"Gelir",$L346=""),"",IFERROR(INDEX(MUSTERILER!$B$7:$B$156,MATCH($S346,MUSTERILER!$T$7:$T$156,0)),""))</f>
        <v/>
      </c>
      <c r="U346" s="1" t="str">
        <f>IF($T346="","",$T346&amp;"|"&amp;COUNTIFS($T$7:$T346,$T346))</f>
        <v/>
      </c>
      <c r="V346" s="1">
        <f t="shared" si="48"/>
        <v>0</v>
      </c>
      <c r="W346" s="1" t="str">
        <f t="shared" si="49"/>
        <v/>
      </c>
      <c r="X346" s="1"/>
      <c r="Y346" s="1"/>
      <c r="Z346" s="1"/>
      <c r="AA346" s="1"/>
      <c r="AB346" s="1"/>
      <c r="AC346" s="1"/>
      <c r="AD346" s="1">
        <f>IF($C346="",0,SUMPRODUCT((AY_SONU!$O$7:$O$42="Evet")*(AY_SONU!$B$7:$B$42=DATE(YEAR($C346),MONTH($C346),1))))</f>
        <v>0</v>
      </c>
      <c r="AE346" s="1" t="str">
        <f>IF($E346="","",$E346&amp;"|"&amp;COUNTIFS($E$7:$E346,$E346))</f>
        <v/>
      </c>
    </row>
    <row r="347" spans="1:31" ht="18" customHeight="1" x14ac:dyDescent="0.3">
      <c r="A347" s="2"/>
      <c r="B347" s="65" t="str">
        <f t="shared" si="42"/>
        <v/>
      </c>
      <c r="C347" s="66"/>
      <c r="D347" s="60"/>
      <c r="E347" s="61"/>
      <c r="F347" s="61"/>
      <c r="G347" s="67"/>
      <c r="H347" s="60"/>
      <c r="I347" s="60"/>
      <c r="J347" s="61"/>
      <c r="K347" s="61"/>
      <c r="L347" s="60"/>
      <c r="M347" s="74" t="str">
        <f t="shared" si="43"/>
        <v/>
      </c>
      <c r="N347" s="74" t="str">
        <f t="shared" si="44"/>
        <v/>
      </c>
      <c r="O347" s="73" t="str">
        <f t="shared" si="45"/>
        <v/>
      </c>
      <c r="P347" s="65" t="str">
        <f t="shared" ca="1" si="46"/>
        <v/>
      </c>
      <c r="Q347" s="2"/>
      <c r="R347" s="2"/>
      <c r="S347" s="1" t="str">
        <f t="shared" si="47"/>
        <v/>
      </c>
      <c r="T347" s="1" t="str">
        <f>IF(OR($C347="",$D347&lt;&gt;"Gelir",$L347=""),"",IFERROR(INDEX(MUSTERILER!$B$7:$B$156,MATCH($S347,MUSTERILER!$T$7:$T$156,0)),""))</f>
        <v/>
      </c>
      <c r="U347" s="1" t="str">
        <f>IF($T347="","",$T347&amp;"|"&amp;COUNTIFS($T$7:$T347,$T347))</f>
        <v/>
      </c>
      <c r="V347" s="1">
        <f t="shared" si="48"/>
        <v>0</v>
      </c>
      <c r="W347" s="1" t="str">
        <f t="shared" si="49"/>
        <v/>
      </c>
      <c r="X347" s="1"/>
      <c r="Y347" s="1"/>
      <c r="Z347" s="1"/>
      <c r="AA347" s="1"/>
      <c r="AB347" s="1"/>
      <c r="AC347" s="1"/>
      <c r="AD347" s="1">
        <f>IF($C347="",0,SUMPRODUCT((AY_SONU!$O$7:$O$42="Evet")*(AY_SONU!$B$7:$B$42=DATE(YEAR($C347),MONTH($C347),1))))</f>
        <v>0</v>
      </c>
      <c r="AE347" s="1" t="str">
        <f>IF($E347="","",$E347&amp;"|"&amp;COUNTIFS($E$7:$E347,$E347))</f>
        <v/>
      </c>
    </row>
    <row r="348" spans="1:31" ht="18" customHeight="1" x14ac:dyDescent="0.3">
      <c r="A348" s="2"/>
      <c r="B348" s="65" t="str">
        <f t="shared" si="42"/>
        <v/>
      </c>
      <c r="C348" s="66"/>
      <c r="D348" s="60"/>
      <c r="E348" s="61"/>
      <c r="F348" s="61"/>
      <c r="G348" s="67"/>
      <c r="H348" s="60"/>
      <c r="I348" s="60"/>
      <c r="J348" s="61"/>
      <c r="K348" s="61"/>
      <c r="L348" s="60"/>
      <c r="M348" s="74" t="str">
        <f t="shared" si="43"/>
        <v/>
      </c>
      <c r="N348" s="74" t="str">
        <f t="shared" si="44"/>
        <v/>
      </c>
      <c r="O348" s="73" t="str">
        <f t="shared" si="45"/>
        <v/>
      </c>
      <c r="P348" s="65" t="str">
        <f t="shared" ca="1" si="46"/>
        <v/>
      </c>
      <c r="Q348" s="2"/>
      <c r="R348" s="2"/>
      <c r="S348" s="1" t="str">
        <f t="shared" si="47"/>
        <v/>
      </c>
      <c r="T348" s="1" t="str">
        <f>IF(OR($C348="",$D348&lt;&gt;"Gelir",$L348=""),"",IFERROR(INDEX(MUSTERILER!$B$7:$B$156,MATCH($S348,MUSTERILER!$T$7:$T$156,0)),""))</f>
        <v/>
      </c>
      <c r="U348" s="1" t="str">
        <f>IF($T348="","",$T348&amp;"|"&amp;COUNTIFS($T$7:$T348,$T348))</f>
        <v/>
      </c>
      <c r="V348" s="1">
        <f t="shared" si="48"/>
        <v>0</v>
      </c>
      <c r="W348" s="1" t="str">
        <f t="shared" si="49"/>
        <v/>
      </c>
      <c r="X348" s="1"/>
      <c r="Y348" s="1"/>
      <c r="Z348" s="1"/>
      <c r="AA348" s="1"/>
      <c r="AB348" s="1"/>
      <c r="AC348" s="1"/>
      <c r="AD348" s="1">
        <f>IF($C348="",0,SUMPRODUCT((AY_SONU!$O$7:$O$42="Evet")*(AY_SONU!$B$7:$B$42=DATE(YEAR($C348),MONTH($C348),1))))</f>
        <v>0</v>
      </c>
      <c r="AE348" s="1" t="str">
        <f>IF($E348="","",$E348&amp;"|"&amp;COUNTIFS($E$7:$E348,$E348))</f>
        <v/>
      </c>
    </row>
    <row r="349" spans="1:31" ht="18" customHeight="1" x14ac:dyDescent="0.3">
      <c r="A349" s="2"/>
      <c r="B349" s="65" t="str">
        <f t="shared" si="42"/>
        <v/>
      </c>
      <c r="C349" s="66"/>
      <c r="D349" s="60"/>
      <c r="E349" s="61"/>
      <c r="F349" s="61"/>
      <c r="G349" s="67"/>
      <c r="H349" s="60"/>
      <c r="I349" s="60"/>
      <c r="J349" s="61"/>
      <c r="K349" s="61"/>
      <c r="L349" s="60"/>
      <c r="M349" s="74" t="str">
        <f t="shared" si="43"/>
        <v/>
      </c>
      <c r="N349" s="74" t="str">
        <f t="shared" si="44"/>
        <v/>
      </c>
      <c r="O349" s="73" t="str">
        <f t="shared" si="45"/>
        <v/>
      </c>
      <c r="P349" s="65" t="str">
        <f t="shared" ca="1" si="46"/>
        <v/>
      </c>
      <c r="Q349" s="2"/>
      <c r="R349" s="2"/>
      <c r="S349" s="1" t="str">
        <f t="shared" si="47"/>
        <v/>
      </c>
      <c r="T349" s="1" t="str">
        <f>IF(OR($C349="",$D349&lt;&gt;"Gelir",$L349=""),"",IFERROR(INDEX(MUSTERILER!$B$7:$B$156,MATCH($S349,MUSTERILER!$T$7:$T$156,0)),""))</f>
        <v/>
      </c>
      <c r="U349" s="1" t="str">
        <f>IF($T349="","",$T349&amp;"|"&amp;COUNTIFS($T$7:$T349,$T349))</f>
        <v/>
      </c>
      <c r="V349" s="1">
        <f t="shared" si="48"/>
        <v>0</v>
      </c>
      <c r="W349" s="1" t="str">
        <f t="shared" si="49"/>
        <v/>
      </c>
      <c r="X349" s="1"/>
      <c r="Y349" s="1"/>
      <c r="Z349" s="1"/>
      <c r="AA349" s="1"/>
      <c r="AB349" s="1"/>
      <c r="AC349" s="1"/>
      <c r="AD349" s="1">
        <f>IF($C349="",0,SUMPRODUCT((AY_SONU!$O$7:$O$42="Evet")*(AY_SONU!$B$7:$B$42=DATE(YEAR($C349),MONTH($C349),1))))</f>
        <v>0</v>
      </c>
      <c r="AE349" s="1" t="str">
        <f>IF($E349="","",$E349&amp;"|"&amp;COUNTIFS($E$7:$E349,$E349))</f>
        <v/>
      </c>
    </row>
    <row r="350" spans="1:31" ht="18" customHeight="1" x14ac:dyDescent="0.3">
      <c r="A350" s="2"/>
      <c r="B350" s="65" t="str">
        <f t="shared" si="42"/>
        <v/>
      </c>
      <c r="C350" s="66"/>
      <c r="D350" s="60"/>
      <c r="E350" s="61"/>
      <c r="F350" s="61"/>
      <c r="G350" s="67"/>
      <c r="H350" s="60"/>
      <c r="I350" s="60"/>
      <c r="J350" s="61"/>
      <c r="K350" s="61"/>
      <c r="L350" s="60"/>
      <c r="M350" s="74" t="str">
        <f t="shared" si="43"/>
        <v/>
      </c>
      <c r="N350" s="74" t="str">
        <f t="shared" si="44"/>
        <v/>
      </c>
      <c r="O350" s="73" t="str">
        <f t="shared" si="45"/>
        <v/>
      </c>
      <c r="P350" s="65" t="str">
        <f t="shared" ca="1" si="46"/>
        <v/>
      </c>
      <c r="Q350" s="2"/>
      <c r="R350" s="2"/>
      <c r="S350" s="1" t="str">
        <f t="shared" si="47"/>
        <v/>
      </c>
      <c r="T350" s="1" t="str">
        <f>IF(OR($C350="",$D350&lt;&gt;"Gelir",$L350=""),"",IFERROR(INDEX(MUSTERILER!$B$7:$B$156,MATCH($S350,MUSTERILER!$T$7:$T$156,0)),""))</f>
        <v/>
      </c>
      <c r="U350" s="1" t="str">
        <f>IF($T350="","",$T350&amp;"|"&amp;COUNTIFS($T$7:$T350,$T350))</f>
        <v/>
      </c>
      <c r="V350" s="1">
        <f t="shared" si="48"/>
        <v>0</v>
      </c>
      <c r="W350" s="1" t="str">
        <f t="shared" si="49"/>
        <v/>
      </c>
      <c r="X350" s="1"/>
      <c r="Y350" s="1"/>
      <c r="Z350" s="1"/>
      <c r="AA350" s="1"/>
      <c r="AB350" s="1"/>
      <c r="AC350" s="1"/>
      <c r="AD350" s="1">
        <f>IF($C350="",0,SUMPRODUCT((AY_SONU!$O$7:$O$42="Evet")*(AY_SONU!$B$7:$B$42=DATE(YEAR($C350),MONTH($C350),1))))</f>
        <v>0</v>
      </c>
      <c r="AE350" s="1" t="str">
        <f>IF($E350="","",$E350&amp;"|"&amp;COUNTIFS($E$7:$E350,$E350))</f>
        <v/>
      </c>
    </row>
    <row r="351" spans="1:31" ht="18" customHeight="1" x14ac:dyDescent="0.3">
      <c r="A351" s="2"/>
      <c r="B351" s="65" t="str">
        <f t="shared" si="42"/>
        <v/>
      </c>
      <c r="C351" s="66"/>
      <c r="D351" s="60"/>
      <c r="E351" s="61"/>
      <c r="F351" s="61"/>
      <c r="G351" s="67"/>
      <c r="H351" s="60"/>
      <c r="I351" s="60"/>
      <c r="J351" s="61"/>
      <c r="K351" s="61"/>
      <c r="L351" s="60"/>
      <c r="M351" s="74" t="str">
        <f t="shared" si="43"/>
        <v/>
      </c>
      <c r="N351" s="74" t="str">
        <f t="shared" si="44"/>
        <v/>
      </c>
      <c r="O351" s="73" t="str">
        <f t="shared" si="45"/>
        <v/>
      </c>
      <c r="P351" s="65" t="str">
        <f t="shared" ca="1" si="46"/>
        <v/>
      </c>
      <c r="Q351" s="2"/>
      <c r="R351" s="2"/>
      <c r="S351" s="1" t="str">
        <f t="shared" si="47"/>
        <v/>
      </c>
      <c r="T351" s="1" t="str">
        <f>IF(OR($C351="",$D351&lt;&gt;"Gelir",$L351=""),"",IFERROR(INDEX(MUSTERILER!$B$7:$B$156,MATCH($S351,MUSTERILER!$T$7:$T$156,0)),""))</f>
        <v/>
      </c>
      <c r="U351" s="1" t="str">
        <f>IF($T351="","",$T351&amp;"|"&amp;COUNTIFS($T$7:$T351,$T351))</f>
        <v/>
      </c>
      <c r="V351" s="1">
        <f t="shared" si="48"/>
        <v>0</v>
      </c>
      <c r="W351" s="1" t="str">
        <f t="shared" si="49"/>
        <v/>
      </c>
      <c r="X351" s="1"/>
      <c r="Y351" s="1"/>
      <c r="Z351" s="1"/>
      <c r="AA351" s="1"/>
      <c r="AB351" s="1"/>
      <c r="AC351" s="1"/>
      <c r="AD351" s="1">
        <f>IF($C351="",0,SUMPRODUCT((AY_SONU!$O$7:$O$42="Evet")*(AY_SONU!$B$7:$B$42=DATE(YEAR($C351),MONTH($C351),1))))</f>
        <v>0</v>
      </c>
      <c r="AE351" s="1" t="str">
        <f>IF($E351="","",$E351&amp;"|"&amp;COUNTIFS($E$7:$E351,$E351))</f>
        <v/>
      </c>
    </row>
    <row r="352" spans="1:31" ht="18" customHeight="1" x14ac:dyDescent="0.3">
      <c r="A352" s="2"/>
      <c r="B352" s="65" t="str">
        <f t="shared" si="42"/>
        <v/>
      </c>
      <c r="C352" s="66"/>
      <c r="D352" s="60"/>
      <c r="E352" s="61"/>
      <c r="F352" s="61"/>
      <c r="G352" s="67"/>
      <c r="H352" s="60"/>
      <c r="I352" s="60"/>
      <c r="J352" s="61"/>
      <c r="K352" s="61"/>
      <c r="L352" s="60"/>
      <c r="M352" s="74" t="str">
        <f t="shared" si="43"/>
        <v/>
      </c>
      <c r="N352" s="74" t="str">
        <f t="shared" si="44"/>
        <v/>
      </c>
      <c r="O352" s="73" t="str">
        <f t="shared" si="45"/>
        <v/>
      </c>
      <c r="P352" s="65" t="str">
        <f t="shared" ca="1" si="46"/>
        <v/>
      </c>
      <c r="Q352" s="2"/>
      <c r="R352" s="2"/>
      <c r="S352" s="1" t="str">
        <f t="shared" si="47"/>
        <v/>
      </c>
      <c r="T352" s="1" t="str">
        <f>IF(OR($C352="",$D352&lt;&gt;"Gelir",$L352=""),"",IFERROR(INDEX(MUSTERILER!$B$7:$B$156,MATCH($S352,MUSTERILER!$T$7:$T$156,0)),""))</f>
        <v/>
      </c>
      <c r="U352" s="1" t="str">
        <f>IF($T352="","",$T352&amp;"|"&amp;COUNTIFS($T$7:$T352,$T352))</f>
        <v/>
      </c>
      <c r="V352" s="1">
        <f t="shared" si="48"/>
        <v>0</v>
      </c>
      <c r="W352" s="1" t="str">
        <f t="shared" si="49"/>
        <v/>
      </c>
      <c r="X352" s="1"/>
      <c r="Y352" s="1"/>
      <c r="Z352" s="1"/>
      <c r="AA352" s="1"/>
      <c r="AB352" s="1"/>
      <c r="AC352" s="1"/>
      <c r="AD352" s="1">
        <f>IF($C352="",0,SUMPRODUCT((AY_SONU!$O$7:$O$42="Evet")*(AY_SONU!$B$7:$B$42=DATE(YEAR($C352),MONTH($C352),1))))</f>
        <v>0</v>
      </c>
      <c r="AE352" s="1" t="str">
        <f>IF($E352="","",$E352&amp;"|"&amp;COUNTIFS($E$7:$E352,$E352))</f>
        <v/>
      </c>
    </row>
    <row r="353" spans="1:31" ht="18" customHeight="1" x14ac:dyDescent="0.3">
      <c r="A353" s="2"/>
      <c r="B353" s="65" t="str">
        <f t="shared" si="42"/>
        <v/>
      </c>
      <c r="C353" s="66"/>
      <c r="D353" s="60"/>
      <c r="E353" s="61"/>
      <c r="F353" s="61"/>
      <c r="G353" s="67"/>
      <c r="H353" s="60"/>
      <c r="I353" s="60"/>
      <c r="J353" s="61"/>
      <c r="K353" s="61"/>
      <c r="L353" s="60"/>
      <c r="M353" s="74" t="str">
        <f t="shared" si="43"/>
        <v/>
      </c>
      <c r="N353" s="74" t="str">
        <f t="shared" si="44"/>
        <v/>
      </c>
      <c r="O353" s="73" t="str">
        <f t="shared" si="45"/>
        <v/>
      </c>
      <c r="P353" s="65" t="str">
        <f t="shared" ca="1" si="46"/>
        <v/>
      </c>
      <c r="Q353" s="2"/>
      <c r="R353" s="2"/>
      <c r="S353" s="1" t="str">
        <f t="shared" si="47"/>
        <v/>
      </c>
      <c r="T353" s="1" t="str">
        <f>IF(OR($C353="",$D353&lt;&gt;"Gelir",$L353=""),"",IFERROR(INDEX(MUSTERILER!$B$7:$B$156,MATCH($S353,MUSTERILER!$T$7:$T$156,0)),""))</f>
        <v/>
      </c>
      <c r="U353" s="1" t="str">
        <f>IF($T353="","",$T353&amp;"|"&amp;COUNTIFS($T$7:$T353,$T353))</f>
        <v/>
      </c>
      <c r="V353" s="1">
        <f t="shared" si="48"/>
        <v>0</v>
      </c>
      <c r="W353" s="1" t="str">
        <f t="shared" si="49"/>
        <v/>
      </c>
      <c r="X353" s="1"/>
      <c r="Y353" s="1"/>
      <c r="Z353" s="1"/>
      <c r="AA353" s="1"/>
      <c r="AB353" s="1"/>
      <c r="AC353" s="1"/>
      <c r="AD353" s="1">
        <f>IF($C353="",0,SUMPRODUCT((AY_SONU!$O$7:$O$42="Evet")*(AY_SONU!$B$7:$B$42=DATE(YEAR($C353),MONTH($C353),1))))</f>
        <v>0</v>
      </c>
      <c r="AE353" s="1" t="str">
        <f>IF($E353="","",$E353&amp;"|"&amp;COUNTIFS($E$7:$E353,$E353))</f>
        <v/>
      </c>
    </row>
    <row r="354" spans="1:31" ht="18" customHeight="1" x14ac:dyDescent="0.3">
      <c r="A354" s="2"/>
      <c r="B354" s="65" t="str">
        <f t="shared" si="42"/>
        <v/>
      </c>
      <c r="C354" s="66"/>
      <c r="D354" s="60"/>
      <c r="E354" s="61"/>
      <c r="F354" s="61"/>
      <c r="G354" s="67"/>
      <c r="H354" s="60"/>
      <c r="I354" s="60"/>
      <c r="J354" s="61"/>
      <c r="K354" s="61"/>
      <c r="L354" s="60"/>
      <c r="M354" s="74" t="str">
        <f t="shared" si="43"/>
        <v/>
      </c>
      <c r="N354" s="74" t="str">
        <f t="shared" si="44"/>
        <v/>
      </c>
      <c r="O354" s="73" t="str">
        <f t="shared" si="45"/>
        <v/>
      </c>
      <c r="P354" s="65" t="str">
        <f t="shared" ca="1" si="46"/>
        <v/>
      </c>
      <c r="Q354" s="2"/>
      <c r="R354" s="2"/>
      <c r="S354" s="1" t="str">
        <f t="shared" si="47"/>
        <v/>
      </c>
      <c r="T354" s="1" t="str">
        <f>IF(OR($C354="",$D354&lt;&gt;"Gelir",$L354=""),"",IFERROR(INDEX(MUSTERILER!$B$7:$B$156,MATCH($S354,MUSTERILER!$T$7:$T$156,0)),""))</f>
        <v/>
      </c>
      <c r="U354" s="1" t="str">
        <f>IF($T354="","",$T354&amp;"|"&amp;COUNTIFS($T$7:$T354,$T354))</f>
        <v/>
      </c>
      <c r="V354" s="1">
        <f t="shared" si="48"/>
        <v>0</v>
      </c>
      <c r="W354" s="1" t="str">
        <f t="shared" si="49"/>
        <v/>
      </c>
      <c r="X354" s="1"/>
      <c r="Y354" s="1"/>
      <c r="Z354" s="1"/>
      <c r="AA354" s="1"/>
      <c r="AB354" s="1"/>
      <c r="AC354" s="1"/>
      <c r="AD354" s="1">
        <f>IF($C354="",0,SUMPRODUCT((AY_SONU!$O$7:$O$42="Evet")*(AY_SONU!$B$7:$B$42=DATE(YEAR($C354),MONTH($C354),1))))</f>
        <v>0</v>
      </c>
      <c r="AE354" s="1" t="str">
        <f>IF($E354="","",$E354&amp;"|"&amp;COUNTIFS($E$7:$E354,$E354))</f>
        <v/>
      </c>
    </row>
    <row r="355" spans="1:31" ht="18" customHeight="1" x14ac:dyDescent="0.3">
      <c r="A355" s="2"/>
      <c r="B355" s="65" t="str">
        <f t="shared" si="42"/>
        <v/>
      </c>
      <c r="C355" s="66"/>
      <c r="D355" s="60"/>
      <c r="E355" s="61"/>
      <c r="F355" s="61"/>
      <c r="G355" s="67"/>
      <c r="H355" s="60"/>
      <c r="I355" s="60"/>
      <c r="J355" s="61"/>
      <c r="K355" s="61"/>
      <c r="L355" s="60"/>
      <c r="M355" s="74" t="str">
        <f t="shared" si="43"/>
        <v/>
      </c>
      <c r="N355" s="74" t="str">
        <f t="shared" si="44"/>
        <v/>
      </c>
      <c r="O355" s="73" t="str">
        <f t="shared" si="45"/>
        <v/>
      </c>
      <c r="P355" s="65" t="str">
        <f t="shared" ca="1" si="46"/>
        <v/>
      </c>
      <c r="Q355" s="2"/>
      <c r="R355" s="2"/>
      <c r="S355" s="1" t="str">
        <f t="shared" si="47"/>
        <v/>
      </c>
      <c r="T355" s="1" t="str">
        <f>IF(OR($C355="",$D355&lt;&gt;"Gelir",$L355=""),"",IFERROR(INDEX(MUSTERILER!$B$7:$B$156,MATCH($S355,MUSTERILER!$T$7:$T$156,0)),""))</f>
        <v/>
      </c>
      <c r="U355" s="1" t="str">
        <f>IF($T355="","",$T355&amp;"|"&amp;COUNTIFS($T$7:$T355,$T355))</f>
        <v/>
      </c>
      <c r="V355" s="1">
        <f t="shared" si="48"/>
        <v>0</v>
      </c>
      <c r="W355" s="1" t="str">
        <f t="shared" si="49"/>
        <v/>
      </c>
      <c r="X355" s="1"/>
      <c r="Y355" s="1"/>
      <c r="Z355" s="1"/>
      <c r="AA355" s="1"/>
      <c r="AB355" s="1"/>
      <c r="AC355" s="1"/>
      <c r="AD355" s="1">
        <f>IF($C355="",0,SUMPRODUCT((AY_SONU!$O$7:$O$42="Evet")*(AY_SONU!$B$7:$B$42=DATE(YEAR($C355),MONTH($C355),1))))</f>
        <v>0</v>
      </c>
      <c r="AE355" s="1" t="str">
        <f>IF($E355="","",$E355&amp;"|"&amp;COUNTIFS($E$7:$E355,$E355))</f>
        <v/>
      </c>
    </row>
    <row r="356" spans="1:31" ht="18" customHeight="1" x14ac:dyDescent="0.3">
      <c r="A356" s="2"/>
      <c r="B356" s="65" t="str">
        <f t="shared" si="42"/>
        <v/>
      </c>
      <c r="C356" s="66"/>
      <c r="D356" s="60"/>
      <c r="E356" s="61"/>
      <c r="F356" s="61"/>
      <c r="G356" s="67"/>
      <c r="H356" s="60"/>
      <c r="I356" s="60"/>
      <c r="J356" s="61"/>
      <c r="K356" s="61"/>
      <c r="L356" s="60"/>
      <c r="M356" s="74" t="str">
        <f t="shared" si="43"/>
        <v/>
      </c>
      <c r="N356" s="74" t="str">
        <f t="shared" si="44"/>
        <v/>
      </c>
      <c r="O356" s="73" t="str">
        <f t="shared" si="45"/>
        <v/>
      </c>
      <c r="P356" s="65" t="str">
        <f t="shared" ca="1" si="46"/>
        <v/>
      </c>
      <c r="Q356" s="2"/>
      <c r="R356" s="2"/>
      <c r="S356" s="1" t="str">
        <f t="shared" si="47"/>
        <v/>
      </c>
      <c r="T356" s="1" t="str">
        <f>IF(OR($C356="",$D356&lt;&gt;"Gelir",$L356=""),"",IFERROR(INDEX(MUSTERILER!$B$7:$B$156,MATCH($S356,MUSTERILER!$T$7:$T$156,0)),""))</f>
        <v/>
      </c>
      <c r="U356" s="1" t="str">
        <f>IF($T356="","",$T356&amp;"|"&amp;COUNTIFS($T$7:$T356,$T356))</f>
        <v/>
      </c>
      <c r="V356" s="1">
        <f t="shared" si="48"/>
        <v>0</v>
      </c>
      <c r="W356" s="1" t="str">
        <f t="shared" si="49"/>
        <v/>
      </c>
      <c r="X356" s="1"/>
      <c r="Y356" s="1"/>
      <c r="Z356" s="1"/>
      <c r="AA356" s="1"/>
      <c r="AB356" s="1"/>
      <c r="AC356" s="1"/>
      <c r="AD356" s="1">
        <f>IF($C356="",0,SUMPRODUCT((AY_SONU!$O$7:$O$42="Evet")*(AY_SONU!$B$7:$B$42=DATE(YEAR($C356),MONTH($C356),1))))</f>
        <v>0</v>
      </c>
      <c r="AE356" s="1" t="str">
        <f>IF($E356="","",$E356&amp;"|"&amp;COUNTIFS($E$7:$E356,$E356))</f>
        <v/>
      </c>
    </row>
    <row r="357" spans="1:31" ht="18" customHeight="1" x14ac:dyDescent="0.3">
      <c r="A357" s="2"/>
      <c r="B357" s="65" t="str">
        <f t="shared" si="42"/>
        <v/>
      </c>
      <c r="C357" s="66"/>
      <c r="D357" s="60"/>
      <c r="E357" s="61"/>
      <c r="F357" s="61"/>
      <c r="G357" s="67"/>
      <c r="H357" s="60"/>
      <c r="I357" s="60"/>
      <c r="J357" s="61"/>
      <c r="K357" s="61"/>
      <c r="L357" s="60"/>
      <c r="M357" s="74" t="str">
        <f t="shared" si="43"/>
        <v/>
      </c>
      <c r="N357" s="74" t="str">
        <f t="shared" si="44"/>
        <v/>
      </c>
      <c r="O357" s="73" t="str">
        <f t="shared" si="45"/>
        <v/>
      </c>
      <c r="P357" s="65" t="str">
        <f t="shared" ca="1" si="46"/>
        <v/>
      </c>
      <c r="Q357" s="2"/>
      <c r="R357" s="2"/>
      <c r="S357" s="1" t="str">
        <f t="shared" si="47"/>
        <v/>
      </c>
      <c r="T357" s="1" t="str">
        <f>IF(OR($C357="",$D357&lt;&gt;"Gelir",$L357=""),"",IFERROR(INDEX(MUSTERILER!$B$7:$B$156,MATCH($S357,MUSTERILER!$T$7:$T$156,0)),""))</f>
        <v/>
      </c>
      <c r="U357" s="1" t="str">
        <f>IF($T357="","",$T357&amp;"|"&amp;COUNTIFS($T$7:$T357,$T357))</f>
        <v/>
      </c>
      <c r="V357" s="1">
        <f t="shared" si="48"/>
        <v>0</v>
      </c>
      <c r="W357" s="1" t="str">
        <f t="shared" si="49"/>
        <v/>
      </c>
      <c r="X357" s="1"/>
      <c r="Y357" s="1"/>
      <c r="Z357" s="1"/>
      <c r="AA357" s="1"/>
      <c r="AB357" s="1"/>
      <c r="AC357" s="1"/>
      <c r="AD357" s="1">
        <f>IF($C357="",0,SUMPRODUCT((AY_SONU!$O$7:$O$42="Evet")*(AY_SONU!$B$7:$B$42=DATE(YEAR($C357),MONTH($C357),1))))</f>
        <v>0</v>
      </c>
      <c r="AE357" s="1" t="str">
        <f>IF($E357="","",$E357&amp;"|"&amp;COUNTIFS($E$7:$E357,$E357))</f>
        <v/>
      </c>
    </row>
    <row r="358" spans="1:31" ht="18" customHeight="1" x14ac:dyDescent="0.3">
      <c r="A358" s="2"/>
      <c r="B358" s="65" t="str">
        <f t="shared" si="42"/>
        <v/>
      </c>
      <c r="C358" s="66"/>
      <c r="D358" s="60"/>
      <c r="E358" s="61"/>
      <c r="F358" s="61"/>
      <c r="G358" s="67"/>
      <c r="H358" s="60"/>
      <c r="I358" s="60"/>
      <c r="J358" s="61"/>
      <c r="K358" s="61"/>
      <c r="L358" s="60"/>
      <c r="M358" s="74" t="str">
        <f t="shared" si="43"/>
        <v/>
      </c>
      <c r="N358" s="74" t="str">
        <f t="shared" si="44"/>
        <v/>
      </c>
      <c r="O358" s="73" t="str">
        <f t="shared" si="45"/>
        <v/>
      </c>
      <c r="P358" s="65" t="str">
        <f t="shared" ca="1" si="46"/>
        <v/>
      </c>
      <c r="Q358" s="2"/>
      <c r="R358" s="2"/>
      <c r="S358" s="1" t="str">
        <f t="shared" si="47"/>
        <v/>
      </c>
      <c r="T358" s="1" t="str">
        <f>IF(OR($C358="",$D358&lt;&gt;"Gelir",$L358=""),"",IFERROR(INDEX(MUSTERILER!$B$7:$B$156,MATCH($S358,MUSTERILER!$T$7:$T$156,0)),""))</f>
        <v/>
      </c>
      <c r="U358" s="1" t="str">
        <f>IF($T358="","",$T358&amp;"|"&amp;COUNTIFS($T$7:$T358,$T358))</f>
        <v/>
      </c>
      <c r="V358" s="1">
        <f t="shared" si="48"/>
        <v>0</v>
      </c>
      <c r="W358" s="1" t="str">
        <f t="shared" si="49"/>
        <v/>
      </c>
      <c r="X358" s="1"/>
      <c r="Y358" s="1"/>
      <c r="Z358" s="1"/>
      <c r="AA358" s="1"/>
      <c r="AB358" s="1"/>
      <c r="AC358" s="1"/>
      <c r="AD358" s="1">
        <f>IF($C358="",0,SUMPRODUCT((AY_SONU!$O$7:$O$42="Evet")*(AY_SONU!$B$7:$B$42=DATE(YEAR($C358),MONTH($C358),1))))</f>
        <v>0</v>
      </c>
      <c r="AE358" s="1" t="str">
        <f>IF($E358="","",$E358&amp;"|"&amp;COUNTIFS($E$7:$E358,$E358))</f>
        <v/>
      </c>
    </row>
    <row r="359" spans="1:31" ht="18" customHeight="1" x14ac:dyDescent="0.3">
      <c r="A359" s="2"/>
      <c r="B359" s="65" t="str">
        <f t="shared" si="42"/>
        <v/>
      </c>
      <c r="C359" s="66"/>
      <c r="D359" s="60"/>
      <c r="E359" s="61"/>
      <c r="F359" s="61"/>
      <c r="G359" s="67"/>
      <c r="H359" s="60"/>
      <c r="I359" s="60"/>
      <c r="J359" s="61"/>
      <c r="K359" s="61"/>
      <c r="L359" s="60"/>
      <c r="M359" s="74" t="str">
        <f t="shared" si="43"/>
        <v/>
      </c>
      <c r="N359" s="74" t="str">
        <f t="shared" si="44"/>
        <v/>
      </c>
      <c r="O359" s="73" t="str">
        <f t="shared" si="45"/>
        <v/>
      </c>
      <c r="P359" s="65" t="str">
        <f t="shared" ca="1" si="46"/>
        <v/>
      </c>
      <c r="Q359" s="2"/>
      <c r="R359" s="2"/>
      <c r="S359" s="1" t="str">
        <f t="shared" si="47"/>
        <v/>
      </c>
      <c r="T359" s="1" t="str">
        <f>IF(OR($C359="",$D359&lt;&gt;"Gelir",$L359=""),"",IFERROR(INDEX(MUSTERILER!$B$7:$B$156,MATCH($S359,MUSTERILER!$T$7:$T$156,0)),""))</f>
        <v/>
      </c>
      <c r="U359" s="1" t="str">
        <f>IF($T359="","",$T359&amp;"|"&amp;COUNTIFS($T$7:$T359,$T359))</f>
        <v/>
      </c>
      <c r="V359" s="1">
        <f t="shared" si="48"/>
        <v>0</v>
      </c>
      <c r="W359" s="1" t="str">
        <f t="shared" si="49"/>
        <v/>
      </c>
      <c r="X359" s="1"/>
      <c r="Y359" s="1"/>
      <c r="Z359" s="1"/>
      <c r="AA359" s="1"/>
      <c r="AB359" s="1"/>
      <c r="AC359" s="1"/>
      <c r="AD359" s="1">
        <f>IF($C359="",0,SUMPRODUCT((AY_SONU!$O$7:$O$42="Evet")*(AY_SONU!$B$7:$B$42=DATE(YEAR($C359),MONTH($C359),1))))</f>
        <v>0</v>
      </c>
      <c r="AE359" s="1" t="str">
        <f>IF($E359="","",$E359&amp;"|"&amp;COUNTIFS($E$7:$E359,$E359))</f>
        <v/>
      </c>
    </row>
    <row r="360" spans="1:31" ht="18" customHeight="1" x14ac:dyDescent="0.3">
      <c r="A360" s="2"/>
      <c r="B360" s="65" t="str">
        <f t="shared" si="42"/>
        <v/>
      </c>
      <c r="C360" s="66"/>
      <c r="D360" s="60"/>
      <c r="E360" s="61"/>
      <c r="F360" s="61"/>
      <c r="G360" s="67"/>
      <c r="H360" s="60"/>
      <c r="I360" s="60"/>
      <c r="J360" s="61"/>
      <c r="K360" s="61"/>
      <c r="L360" s="60"/>
      <c r="M360" s="74" t="str">
        <f t="shared" si="43"/>
        <v/>
      </c>
      <c r="N360" s="74" t="str">
        <f t="shared" si="44"/>
        <v/>
      </c>
      <c r="O360" s="73" t="str">
        <f t="shared" si="45"/>
        <v/>
      </c>
      <c r="P360" s="65" t="str">
        <f t="shared" ca="1" si="46"/>
        <v/>
      </c>
      <c r="Q360" s="2"/>
      <c r="R360" s="2"/>
      <c r="S360" s="1" t="str">
        <f t="shared" si="47"/>
        <v/>
      </c>
      <c r="T360" s="1" t="str">
        <f>IF(OR($C360="",$D360&lt;&gt;"Gelir",$L360=""),"",IFERROR(INDEX(MUSTERILER!$B$7:$B$156,MATCH($S360,MUSTERILER!$T$7:$T$156,0)),""))</f>
        <v/>
      </c>
      <c r="U360" s="1" t="str">
        <f>IF($T360="","",$T360&amp;"|"&amp;COUNTIFS($T$7:$T360,$T360))</f>
        <v/>
      </c>
      <c r="V360" s="1">
        <f t="shared" si="48"/>
        <v>0</v>
      </c>
      <c r="W360" s="1" t="str">
        <f t="shared" si="49"/>
        <v/>
      </c>
      <c r="X360" s="1"/>
      <c r="Y360" s="1"/>
      <c r="Z360" s="1"/>
      <c r="AA360" s="1"/>
      <c r="AB360" s="1"/>
      <c r="AC360" s="1"/>
      <c r="AD360" s="1">
        <f>IF($C360="",0,SUMPRODUCT((AY_SONU!$O$7:$O$42="Evet")*(AY_SONU!$B$7:$B$42=DATE(YEAR($C360),MONTH($C360),1))))</f>
        <v>0</v>
      </c>
      <c r="AE360" s="1" t="str">
        <f>IF($E360="","",$E360&amp;"|"&amp;COUNTIFS($E$7:$E360,$E360))</f>
        <v/>
      </c>
    </row>
    <row r="361" spans="1:31" ht="18" customHeight="1" x14ac:dyDescent="0.3">
      <c r="A361" s="2"/>
      <c r="B361" s="65" t="str">
        <f t="shared" si="42"/>
        <v/>
      </c>
      <c r="C361" s="66"/>
      <c r="D361" s="60"/>
      <c r="E361" s="61"/>
      <c r="F361" s="61"/>
      <c r="G361" s="67"/>
      <c r="H361" s="60"/>
      <c r="I361" s="60"/>
      <c r="J361" s="61"/>
      <c r="K361" s="61"/>
      <c r="L361" s="60"/>
      <c r="M361" s="74" t="str">
        <f t="shared" si="43"/>
        <v/>
      </c>
      <c r="N361" s="74" t="str">
        <f t="shared" si="44"/>
        <v/>
      </c>
      <c r="O361" s="73" t="str">
        <f t="shared" si="45"/>
        <v/>
      </c>
      <c r="P361" s="65" t="str">
        <f t="shared" ca="1" si="46"/>
        <v/>
      </c>
      <c r="Q361" s="2"/>
      <c r="R361" s="2"/>
      <c r="S361" s="1" t="str">
        <f t="shared" si="47"/>
        <v/>
      </c>
      <c r="T361" s="1" t="str">
        <f>IF(OR($C361="",$D361&lt;&gt;"Gelir",$L361=""),"",IFERROR(INDEX(MUSTERILER!$B$7:$B$156,MATCH($S361,MUSTERILER!$T$7:$T$156,0)),""))</f>
        <v/>
      </c>
      <c r="U361" s="1" t="str">
        <f>IF($T361="","",$T361&amp;"|"&amp;COUNTIFS($T$7:$T361,$T361))</f>
        <v/>
      </c>
      <c r="V361" s="1">
        <f t="shared" si="48"/>
        <v>0</v>
      </c>
      <c r="W361" s="1" t="str">
        <f t="shared" si="49"/>
        <v/>
      </c>
      <c r="X361" s="1"/>
      <c r="Y361" s="1"/>
      <c r="Z361" s="1"/>
      <c r="AA361" s="1"/>
      <c r="AB361" s="1"/>
      <c r="AC361" s="1"/>
      <c r="AD361" s="1">
        <f>IF($C361="",0,SUMPRODUCT((AY_SONU!$O$7:$O$42="Evet")*(AY_SONU!$B$7:$B$42=DATE(YEAR($C361),MONTH($C361),1))))</f>
        <v>0</v>
      </c>
      <c r="AE361" s="1" t="str">
        <f>IF($E361="","",$E361&amp;"|"&amp;COUNTIFS($E$7:$E361,$E361))</f>
        <v/>
      </c>
    </row>
    <row r="362" spans="1:31" ht="18" customHeight="1" x14ac:dyDescent="0.3">
      <c r="A362" s="2"/>
      <c r="B362" s="65" t="str">
        <f t="shared" si="42"/>
        <v/>
      </c>
      <c r="C362" s="66"/>
      <c r="D362" s="60"/>
      <c r="E362" s="61"/>
      <c r="F362" s="61"/>
      <c r="G362" s="67"/>
      <c r="H362" s="60"/>
      <c r="I362" s="60"/>
      <c r="J362" s="61"/>
      <c r="K362" s="61"/>
      <c r="L362" s="60"/>
      <c r="M362" s="74" t="str">
        <f t="shared" si="43"/>
        <v/>
      </c>
      <c r="N362" s="74" t="str">
        <f t="shared" si="44"/>
        <v/>
      </c>
      <c r="O362" s="73" t="str">
        <f t="shared" si="45"/>
        <v/>
      </c>
      <c r="P362" s="65" t="str">
        <f t="shared" ca="1" si="46"/>
        <v/>
      </c>
      <c r="Q362" s="2"/>
      <c r="R362" s="2"/>
      <c r="S362" s="1" t="str">
        <f t="shared" si="47"/>
        <v/>
      </c>
      <c r="T362" s="1" t="str">
        <f>IF(OR($C362="",$D362&lt;&gt;"Gelir",$L362=""),"",IFERROR(INDEX(MUSTERILER!$B$7:$B$156,MATCH($S362,MUSTERILER!$T$7:$T$156,0)),""))</f>
        <v/>
      </c>
      <c r="U362" s="1" t="str">
        <f>IF($T362="","",$T362&amp;"|"&amp;COUNTIFS($T$7:$T362,$T362))</f>
        <v/>
      </c>
      <c r="V362" s="1">
        <f t="shared" si="48"/>
        <v>0</v>
      </c>
      <c r="W362" s="1" t="str">
        <f t="shared" si="49"/>
        <v/>
      </c>
      <c r="X362" s="1"/>
      <c r="Y362" s="1"/>
      <c r="Z362" s="1"/>
      <c r="AA362" s="1"/>
      <c r="AB362" s="1"/>
      <c r="AC362" s="1"/>
      <c r="AD362" s="1">
        <f>IF($C362="",0,SUMPRODUCT((AY_SONU!$O$7:$O$42="Evet")*(AY_SONU!$B$7:$B$42=DATE(YEAR($C362),MONTH($C362),1))))</f>
        <v>0</v>
      </c>
      <c r="AE362" s="1" t="str">
        <f>IF($E362="","",$E362&amp;"|"&amp;COUNTIFS($E$7:$E362,$E362))</f>
        <v/>
      </c>
    </row>
    <row r="363" spans="1:31" ht="18" customHeight="1" x14ac:dyDescent="0.3">
      <c r="A363" s="2"/>
      <c r="B363" s="65" t="str">
        <f t="shared" si="42"/>
        <v/>
      </c>
      <c r="C363" s="66"/>
      <c r="D363" s="60"/>
      <c r="E363" s="61"/>
      <c r="F363" s="61"/>
      <c r="G363" s="67"/>
      <c r="H363" s="60"/>
      <c r="I363" s="60"/>
      <c r="J363" s="61"/>
      <c r="K363" s="61"/>
      <c r="L363" s="60"/>
      <c r="M363" s="74" t="str">
        <f t="shared" si="43"/>
        <v/>
      </c>
      <c r="N363" s="74" t="str">
        <f t="shared" si="44"/>
        <v/>
      </c>
      <c r="O363" s="73" t="str">
        <f t="shared" si="45"/>
        <v/>
      </c>
      <c r="P363" s="65" t="str">
        <f t="shared" ca="1" si="46"/>
        <v/>
      </c>
      <c r="Q363" s="2"/>
      <c r="R363" s="2"/>
      <c r="S363" s="1" t="str">
        <f t="shared" si="47"/>
        <v/>
      </c>
      <c r="T363" s="1" t="str">
        <f>IF(OR($C363="",$D363&lt;&gt;"Gelir",$L363=""),"",IFERROR(INDEX(MUSTERILER!$B$7:$B$156,MATCH($S363,MUSTERILER!$T$7:$T$156,0)),""))</f>
        <v/>
      </c>
      <c r="U363" s="1" t="str">
        <f>IF($T363="","",$T363&amp;"|"&amp;COUNTIFS($T$7:$T363,$T363))</f>
        <v/>
      </c>
      <c r="V363" s="1">
        <f t="shared" si="48"/>
        <v>0</v>
      </c>
      <c r="W363" s="1" t="str">
        <f t="shared" si="49"/>
        <v/>
      </c>
      <c r="X363" s="1"/>
      <c r="Y363" s="1"/>
      <c r="Z363" s="1"/>
      <c r="AA363" s="1"/>
      <c r="AB363" s="1"/>
      <c r="AC363" s="1"/>
      <c r="AD363" s="1">
        <f>IF($C363="",0,SUMPRODUCT((AY_SONU!$O$7:$O$42="Evet")*(AY_SONU!$B$7:$B$42=DATE(YEAR($C363),MONTH($C363),1))))</f>
        <v>0</v>
      </c>
      <c r="AE363" s="1" t="str">
        <f>IF($E363="","",$E363&amp;"|"&amp;COUNTIFS($E$7:$E363,$E363))</f>
        <v/>
      </c>
    </row>
    <row r="364" spans="1:31" ht="18" customHeight="1" x14ac:dyDescent="0.3">
      <c r="A364" s="2"/>
      <c r="B364" s="65" t="str">
        <f t="shared" si="42"/>
        <v/>
      </c>
      <c r="C364" s="66"/>
      <c r="D364" s="60"/>
      <c r="E364" s="61"/>
      <c r="F364" s="61"/>
      <c r="G364" s="67"/>
      <c r="H364" s="60"/>
      <c r="I364" s="60"/>
      <c r="J364" s="61"/>
      <c r="K364" s="61"/>
      <c r="L364" s="60"/>
      <c r="M364" s="74" t="str">
        <f t="shared" si="43"/>
        <v/>
      </c>
      <c r="N364" s="74" t="str">
        <f t="shared" si="44"/>
        <v/>
      </c>
      <c r="O364" s="73" t="str">
        <f t="shared" si="45"/>
        <v/>
      </c>
      <c r="P364" s="65" t="str">
        <f t="shared" ca="1" si="46"/>
        <v/>
      </c>
      <c r="Q364" s="2"/>
      <c r="R364" s="2"/>
      <c r="S364" s="1" t="str">
        <f t="shared" si="47"/>
        <v/>
      </c>
      <c r="T364" s="1" t="str">
        <f>IF(OR($C364="",$D364&lt;&gt;"Gelir",$L364=""),"",IFERROR(INDEX(MUSTERILER!$B$7:$B$156,MATCH($S364,MUSTERILER!$T$7:$T$156,0)),""))</f>
        <v/>
      </c>
      <c r="U364" s="1" t="str">
        <f>IF($T364="","",$T364&amp;"|"&amp;COUNTIFS($T$7:$T364,$T364))</f>
        <v/>
      </c>
      <c r="V364" s="1">
        <f t="shared" si="48"/>
        <v>0</v>
      </c>
      <c r="W364" s="1" t="str">
        <f t="shared" si="49"/>
        <v/>
      </c>
      <c r="X364" s="1"/>
      <c r="Y364" s="1"/>
      <c r="Z364" s="1"/>
      <c r="AA364" s="1"/>
      <c r="AB364" s="1"/>
      <c r="AC364" s="1"/>
      <c r="AD364" s="1">
        <f>IF($C364="",0,SUMPRODUCT((AY_SONU!$O$7:$O$42="Evet")*(AY_SONU!$B$7:$B$42=DATE(YEAR($C364),MONTH($C364),1))))</f>
        <v>0</v>
      </c>
      <c r="AE364" s="1" t="str">
        <f>IF($E364="","",$E364&amp;"|"&amp;COUNTIFS($E$7:$E364,$E364))</f>
        <v/>
      </c>
    </row>
    <row r="365" spans="1:31" ht="18" customHeight="1" x14ac:dyDescent="0.3">
      <c r="A365" s="2"/>
      <c r="B365" s="65" t="str">
        <f t="shared" si="42"/>
        <v/>
      </c>
      <c r="C365" s="66"/>
      <c r="D365" s="60"/>
      <c r="E365" s="61"/>
      <c r="F365" s="61"/>
      <c r="G365" s="67"/>
      <c r="H365" s="60"/>
      <c r="I365" s="60"/>
      <c r="J365" s="61"/>
      <c r="K365" s="61"/>
      <c r="L365" s="60"/>
      <c r="M365" s="74" t="str">
        <f t="shared" si="43"/>
        <v/>
      </c>
      <c r="N365" s="74" t="str">
        <f t="shared" si="44"/>
        <v/>
      </c>
      <c r="O365" s="73" t="str">
        <f t="shared" si="45"/>
        <v/>
      </c>
      <c r="P365" s="65" t="str">
        <f t="shared" ca="1" si="46"/>
        <v/>
      </c>
      <c r="Q365" s="2"/>
      <c r="R365" s="2"/>
      <c r="S365" s="1" t="str">
        <f t="shared" si="47"/>
        <v/>
      </c>
      <c r="T365" s="1" t="str">
        <f>IF(OR($C365="",$D365&lt;&gt;"Gelir",$L365=""),"",IFERROR(INDEX(MUSTERILER!$B$7:$B$156,MATCH($S365,MUSTERILER!$T$7:$T$156,0)),""))</f>
        <v/>
      </c>
      <c r="U365" s="1" t="str">
        <f>IF($T365="","",$T365&amp;"|"&amp;COUNTIFS($T$7:$T365,$T365))</f>
        <v/>
      </c>
      <c r="V365" s="1">
        <f t="shared" si="48"/>
        <v>0</v>
      </c>
      <c r="W365" s="1" t="str">
        <f t="shared" si="49"/>
        <v/>
      </c>
      <c r="X365" s="1"/>
      <c r="Y365" s="1"/>
      <c r="Z365" s="1"/>
      <c r="AA365" s="1"/>
      <c r="AB365" s="1"/>
      <c r="AC365" s="1"/>
      <c r="AD365" s="1">
        <f>IF($C365="",0,SUMPRODUCT((AY_SONU!$O$7:$O$42="Evet")*(AY_SONU!$B$7:$B$42=DATE(YEAR($C365),MONTH($C365),1))))</f>
        <v>0</v>
      </c>
      <c r="AE365" s="1" t="str">
        <f>IF($E365="","",$E365&amp;"|"&amp;COUNTIFS($E$7:$E365,$E365))</f>
        <v/>
      </c>
    </row>
    <row r="366" spans="1:31" ht="18" customHeight="1" x14ac:dyDescent="0.3">
      <c r="A366" s="2"/>
      <c r="B366" s="65" t="str">
        <f t="shared" si="42"/>
        <v/>
      </c>
      <c r="C366" s="66"/>
      <c r="D366" s="60"/>
      <c r="E366" s="61"/>
      <c r="F366" s="61"/>
      <c r="G366" s="67"/>
      <c r="H366" s="60"/>
      <c r="I366" s="60"/>
      <c r="J366" s="61"/>
      <c r="K366" s="61"/>
      <c r="L366" s="60"/>
      <c r="M366" s="74" t="str">
        <f t="shared" si="43"/>
        <v/>
      </c>
      <c r="N366" s="74" t="str">
        <f t="shared" si="44"/>
        <v/>
      </c>
      <c r="O366" s="73" t="str">
        <f t="shared" si="45"/>
        <v/>
      </c>
      <c r="P366" s="65" t="str">
        <f t="shared" ca="1" si="46"/>
        <v/>
      </c>
      <c r="Q366" s="2"/>
      <c r="R366" s="2"/>
      <c r="S366" s="1" t="str">
        <f t="shared" si="47"/>
        <v/>
      </c>
      <c r="T366" s="1" t="str">
        <f>IF(OR($C366="",$D366&lt;&gt;"Gelir",$L366=""),"",IFERROR(INDEX(MUSTERILER!$B$7:$B$156,MATCH($S366,MUSTERILER!$T$7:$T$156,0)),""))</f>
        <v/>
      </c>
      <c r="U366" s="1" t="str">
        <f>IF($T366="","",$T366&amp;"|"&amp;COUNTIFS($T$7:$T366,$T366))</f>
        <v/>
      </c>
      <c r="V366" s="1">
        <f t="shared" si="48"/>
        <v>0</v>
      </c>
      <c r="W366" s="1" t="str">
        <f t="shared" si="49"/>
        <v/>
      </c>
      <c r="X366" s="1"/>
      <c r="Y366" s="1"/>
      <c r="Z366" s="1"/>
      <c r="AA366" s="1"/>
      <c r="AB366" s="1"/>
      <c r="AC366" s="1"/>
      <c r="AD366" s="1">
        <f>IF($C366="",0,SUMPRODUCT((AY_SONU!$O$7:$O$42="Evet")*(AY_SONU!$B$7:$B$42=DATE(YEAR($C366),MONTH($C366),1))))</f>
        <v>0</v>
      </c>
      <c r="AE366" s="1" t="str">
        <f>IF($E366="","",$E366&amp;"|"&amp;COUNTIFS($E$7:$E366,$E366))</f>
        <v/>
      </c>
    </row>
    <row r="367" spans="1:31" ht="18" customHeight="1" x14ac:dyDescent="0.3">
      <c r="A367" s="2"/>
      <c r="B367" s="65" t="str">
        <f t="shared" si="42"/>
        <v/>
      </c>
      <c r="C367" s="66"/>
      <c r="D367" s="60"/>
      <c r="E367" s="61"/>
      <c r="F367" s="61"/>
      <c r="G367" s="67"/>
      <c r="H367" s="60"/>
      <c r="I367" s="60"/>
      <c r="J367" s="61"/>
      <c r="K367" s="61"/>
      <c r="L367" s="60"/>
      <c r="M367" s="74" t="str">
        <f t="shared" si="43"/>
        <v/>
      </c>
      <c r="N367" s="74" t="str">
        <f t="shared" si="44"/>
        <v/>
      </c>
      <c r="O367" s="73" t="str">
        <f t="shared" si="45"/>
        <v/>
      </c>
      <c r="P367" s="65" t="str">
        <f t="shared" ca="1" si="46"/>
        <v/>
      </c>
      <c r="Q367" s="2"/>
      <c r="R367" s="2"/>
      <c r="S367" s="1" t="str">
        <f t="shared" si="47"/>
        <v/>
      </c>
      <c r="T367" s="1" t="str">
        <f>IF(OR($C367="",$D367&lt;&gt;"Gelir",$L367=""),"",IFERROR(INDEX(MUSTERILER!$B$7:$B$156,MATCH($S367,MUSTERILER!$T$7:$T$156,0)),""))</f>
        <v/>
      </c>
      <c r="U367" s="1" t="str">
        <f>IF($T367="","",$T367&amp;"|"&amp;COUNTIFS($T$7:$T367,$T367))</f>
        <v/>
      </c>
      <c r="V367" s="1">
        <f t="shared" si="48"/>
        <v>0</v>
      </c>
      <c r="W367" s="1" t="str">
        <f t="shared" si="49"/>
        <v/>
      </c>
      <c r="X367" s="1"/>
      <c r="Y367" s="1"/>
      <c r="Z367" s="1"/>
      <c r="AA367" s="1"/>
      <c r="AB367" s="1"/>
      <c r="AC367" s="1"/>
      <c r="AD367" s="1">
        <f>IF($C367="",0,SUMPRODUCT((AY_SONU!$O$7:$O$42="Evet")*(AY_SONU!$B$7:$B$42=DATE(YEAR($C367),MONTH($C367),1))))</f>
        <v>0</v>
      </c>
      <c r="AE367" s="1" t="str">
        <f>IF($E367="","",$E367&amp;"|"&amp;COUNTIFS($E$7:$E367,$E367))</f>
        <v/>
      </c>
    </row>
    <row r="368" spans="1:31" ht="18" customHeight="1" x14ac:dyDescent="0.3">
      <c r="A368" s="2"/>
      <c r="B368" s="65" t="str">
        <f t="shared" si="42"/>
        <v/>
      </c>
      <c r="C368" s="66"/>
      <c r="D368" s="60"/>
      <c r="E368" s="61"/>
      <c r="F368" s="61"/>
      <c r="G368" s="67"/>
      <c r="H368" s="60"/>
      <c r="I368" s="60"/>
      <c r="J368" s="61"/>
      <c r="K368" s="61"/>
      <c r="L368" s="60"/>
      <c r="M368" s="74" t="str">
        <f t="shared" si="43"/>
        <v/>
      </c>
      <c r="N368" s="74" t="str">
        <f t="shared" si="44"/>
        <v/>
      </c>
      <c r="O368" s="73" t="str">
        <f t="shared" si="45"/>
        <v/>
      </c>
      <c r="P368" s="65" t="str">
        <f t="shared" ca="1" si="46"/>
        <v/>
      </c>
      <c r="Q368" s="2"/>
      <c r="R368" s="2"/>
      <c r="S368" s="1" t="str">
        <f t="shared" si="47"/>
        <v/>
      </c>
      <c r="T368" s="1" t="str">
        <f>IF(OR($C368="",$D368&lt;&gt;"Gelir",$L368=""),"",IFERROR(INDEX(MUSTERILER!$B$7:$B$156,MATCH($S368,MUSTERILER!$T$7:$T$156,0)),""))</f>
        <v/>
      </c>
      <c r="U368" s="1" t="str">
        <f>IF($T368="","",$T368&amp;"|"&amp;COUNTIFS($T$7:$T368,$T368))</f>
        <v/>
      </c>
      <c r="V368" s="1">
        <f t="shared" si="48"/>
        <v>0</v>
      </c>
      <c r="W368" s="1" t="str">
        <f t="shared" si="49"/>
        <v/>
      </c>
      <c r="X368" s="1"/>
      <c r="Y368" s="1"/>
      <c r="Z368" s="1"/>
      <c r="AA368" s="1"/>
      <c r="AB368" s="1"/>
      <c r="AC368" s="1"/>
      <c r="AD368" s="1">
        <f>IF($C368="",0,SUMPRODUCT((AY_SONU!$O$7:$O$42="Evet")*(AY_SONU!$B$7:$B$42=DATE(YEAR($C368),MONTH($C368),1))))</f>
        <v>0</v>
      </c>
      <c r="AE368" s="1" t="str">
        <f>IF($E368="","",$E368&amp;"|"&amp;COUNTIFS($E$7:$E368,$E368))</f>
        <v/>
      </c>
    </row>
    <row r="369" spans="1:31" ht="18" customHeight="1" x14ac:dyDescent="0.3">
      <c r="A369" s="2"/>
      <c r="B369" s="65" t="str">
        <f t="shared" si="42"/>
        <v/>
      </c>
      <c r="C369" s="66"/>
      <c r="D369" s="60"/>
      <c r="E369" s="61"/>
      <c r="F369" s="61"/>
      <c r="G369" s="67"/>
      <c r="H369" s="60"/>
      <c r="I369" s="60"/>
      <c r="J369" s="61"/>
      <c r="K369" s="61"/>
      <c r="L369" s="60"/>
      <c r="M369" s="74" t="str">
        <f t="shared" si="43"/>
        <v/>
      </c>
      <c r="N369" s="74" t="str">
        <f t="shared" si="44"/>
        <v/>
      </c>
      <c r="O369" s="73" t="str">
        <f t="shared" si="45"/>
        <v/>
      </c>
      <c r="P369" s="65" t="str">
        <f t="shared" ca="1" si="46"/>
        <v/>
      </c>
      <c r="Q369" s="2"/>
      <c r="R369" s="2"/>
      <c r="S369" s="1" t="str">
        <f t="shared" si="47"/>
        <v/>
      </c>
      <c r="T369" s="1" t="str">
        <f>IF(OR($C369="",$D369&lt;&gt;"Gelir",$L369=""),"",IFERROR(INDEX(MUSTERILER!$B$7:$B$156,MATCH($S369,MUSTERILER!$T$7:$T$156,0)),""))</f>
        <v/>
      </c>
      <c r="U369" s="1" t="str">
        <f>IF($T369="","",$T369&amp;"|"&amp;COUNTIFS($T$7:$T369,$T369))</f>
        <v/>
      </c>
      <c r="V369" s="1">
        <f t="shared" si="48"/>
        <v>0</v>
      </c>
      <c r="W369" s="1" t="str">
        <f t="shared" si="49"/>
        <v/>
      </c>
      <c r="X369" s="1"/>
      <c r="Y369" s="1"/>
      <c r="Z369" s="1"/>
      <c r="AA369" s="1"/>
      <c r="AB369" s="1"/>
      <c r="AC369" s="1"/>
      <c r="AD369" s="1">
        <f>IF($C369="",0,SUMPRODUCT((AY_SONU!$O$7:$O$42="Evet")*(AY_SONU!$B$7:$B$42=DATE(YEAR($C369),MONTH($C369),1))))</f>
        <v>0</v>
      </c>
      <c r="AE369" s="1" t="str">
        <f>IF($E369="","",$E369&amp;"|"&amp;COUNTIFS($E$7:$E369,$E369))</f>
        <v/>
      </c>
    </row>
    <row r="370" spans="1:31" ht="18" customHeight="1" x14ac:dyDescent="0.3">
      <c r="A370" s="2"/>
      <c r="B370" s="65" t="str">
        <f t="shared" si="42"/>
        <v/>
      </c>
      <c r="C370" s="66"/>
      <c r="D370" s="60"/>
      <c r="E370" s="61"/>
      <c r="F370" s="61"/>
      <c r="G370" s="67"/>
      <c r="H370" s="60"/>
      <c r="I370" s="60"/>
      <c r="J370" s="61"/>
      <c r="K370" s="61"/>
      <c r="L370" s="60"/>
      <c r="M370" s="74" t="str">
        <f t="shared" si="43"/>
        <v/>
      </c>
      <c r="N370" s="74" t="str">
        <f t="shared" si="44"/>
        <v/>
      </c>
      <c r="O370" s="73" t="str">
        <f t="shared" si="45"/>
        <v/>
      </c>
      <c r="P370" s="65" t="str">
        <f t="shared" ca="1" si="46"/>
        <v/>
      </c>
      <c r="Q370" s="2"/>
      <c r="R370" s="2"/>
      <c r="S370" s="1" t="str">
        <f t="shared" si="47"/>
        <v/>
      </c>
      <c r="T370" s="1" t="str">
        <f>IF(OR($C370="",$D370&lt;&gt;"Gelir",$L370=""),"",IFERROR(INDEX(MUSTERILER!$B$7:$B$156,MATCH($S370,MUSTERILER!$T$7:$T$156,0)),""))</f>
        <v/>
      </c>
      <c r="U370" s="1" t="str">
        <f>IF($T370="","",$T370&amp;"|"&amp;COUNTIFS($T$7:$T370,$T370))</f>
        <v/>
      </c>
      <c r="V370" s="1">
        <f t="shared" si="48"/>
        <v>0</v>
      </c>
      <c r="W370" s="1" t="str">
        <f t="shared" si="49"/>
        <v/>
      </c>
      <c r="X370" s="1"/>
      <c r="Y370" s="1"/>
      <c r="Z370" s="1"/>
      <c r="AA370" s="1"/>
      <c r="AB370" s="1"/>
      <c r="AC370" s="1"/>
      <c r="AD370" s="1">
        <f>IF($C370="",0,SUMPRODUCT((AY_SONU!$O$7:$O$42="Evet")*(AY_SONU!$B$7:$B$42=DATE(YEAR($C370),MONTH($C370),1))))</f>
        <v>0</v>
      </c>
      <c r="AE370" s="1" t="str">
        <f>IF($E370="","",$E370&amp;"|"&amp;COUNTIFS($E$7:$E370,$E370))</f>
        <v/>
      </c>
    </row>
    <row r="371" spans="1:31" ht="18" customHeight="1" x14ac:dyDescent="0.3">
      <c r="A371" s="2"/>
      <c r="B371" s="65" t="str">
        <f t="shared" si="42"/>
        <v/>
      </c>
      <c r="C371" s="66"/>
      <c r="D371" s="60"/>
      <c r="E371" s="61"/>
      <c r="F371" s="61"/>
      <c r="G371" s="67"/>
      <c r="H371" s="60"/>
      <c r="I371" s="60"/>
      <c r="J371" s="61"/>
      <c r="K371" s="61"/>
      <c r="L371" s="60"/>
      <c r="M371" s="74" t="str">
        <f t="shared" si="43"/>
        <v/>
      </c>
      <c r="N371" s="74" t="str">
        <f t="shared" si="44"/>
        <v/>
      </c>
      <c r="O371" s="73" t="str">
        <f t="shared" si="45"/>
        <v/>
      </c>
      <c r="P371" s="65" t="str">
        <f t="shared" ca="1" si="46"/>
        <v/>
      </c>
      <c r="Q371" s="2"/>
      <c r="R371" s="2"/>
      <c r="S371" s="1" t="str">
        <f t="shared" si="47"/>
        <v/>
      </c>
      <c r="T371" s="1" t="str">
        <f>IF(OR($C371="",$D371&lt;&gt;"Gelir",$L371=""),"",IFERROR(INDEX(MUSTERILER!$B$7:$B$156,MATCH($S371,MUSTERILER!$T$7:$T$156,0)),""))</f>
        <v/>
      </c>
      <c r="U371" s="1" t="str">
        <f>IF($T371="","",$T371&amp;"|"&amp;COUNTIFS($T$7:$T371,$T371))</f>
        <v/>
      </c>
      <c r="V371" s="1">
        <f t="shared" si="48"/>
        <v>0</v>
      </c>
      <c r="W371" s="1" t="str">
        <f t="shared" si="49"/>
        <v/>
      </c>
      <c r="X371" s="1"/>
      <c r="Y371" s="1"/>
      <c r="Z371" s="1"/>
      <c r="AA371" s="1"/>
      <c r="AB371" s="1"/>
      <c r="AC371" s="1"/>
      <c r="AD371" s="1">
        <f>IF($C371="",0,SUMPRODUCT((AY_SONU!$O$7:$O$42="Evet")*(AY_SONU!$B$7:$B$42=DATE(YEAR($C371),MONTH($C371),1))))</f>
        <v>0</v>
      </c>
      <c r="AE371" s="1" t="str">
        <f>IF($E371="","",$E371&amp;"|"&amp;COUNTIFS($E$7:$E371,$E371))</f>
        <v/>
      </c>
    </row>
    <row r="372" spans="1:31" ht="18" customHeight="1" x14ac:dyDescent="0.3">
      <c r="A372" s="2"/>
      <c r="B372" s="65" t="str">
        <f t="shared" si="42"/>
        <v/>
      </c>
      <c r="C372" s="66"/>
      <c r="D372" s="60"/>
      <c r="E372" s="61"/>
      <c r="F372" s="61"/>
      <c r="G372" s="67"/>
      <c r="H372" s="60"/>
      <c r="I372" s="60"/>
      <c r="J372" s="61"/>
      <c r="K372" s="61"/>
      <c r="L372" s="60"/>
      <c r="M372" s="74" t="str">
        <f t="shared" si="43"/>
        <v/>
      </c>
      <c r="N372" s="74" t="str">
        <f t="shared" si="44"/>
        <v/>
      </c>
      <c r="O372" s="73" t="str">
        <f t="shared" si="45"/>
        <v/>
      </c>
      <c r="P372" s="65" t="str">
        <f t="shared" ca="1" si="46"/>
        <v/>
      </c>
      <c r="Q372" s="2"/>
      <c r="R372" s="2"/>
      <c r="S372" s="1" t="str">
        <f t="shared" si="47"/>
        <v/>
      </c>
      <c r="T372" s="1" t="str">
        <f>IF(OR($C372="",$D372&lt;&gt;"Gelir",$L372=""),"",IFERROR(INDEX(MUSTERILER!$B$7:$B$156,MATCH($S372,MUSTERILER!$T$7:$T$156,0)),""))</f>
        <v/>
      </c>
      <c r="U372" s="1" t="str">
        <f>IF($T372="","",$T372&amp;"|"&amp;COUNTIFS($T$7:$T372,$T372))</f>
        <v/>
      </c>
      <c r="V372" s="1">
        <f t="shared" si="48"/>
        <v>0</v>
      </c>
      <c r="W372" s="1" t="str">
        <f t="shared" si="49"/>
        <v/>
      </c>
      <c r="X372" s="1"/>
      <c r="Y372" s="1"/>
      <c r="Z372" s="1"/>
      <c r="AA372" s="1"/>
      <c r="AB372" s="1"/>
      <c r="AC372" s="1"/>
      <c r="AD372" s="1">
        <f>IF($C372="",0,SUMPRODUCT((AY_SONU!$O$7:$O$42="Evet")*(AY_SONU!$B$7:$B$42=DATE(YEAR($C372),MONTH($C372),1))))</f>
        <v>0</v>
      </c>
      <c r="AE372" s="1" t="str">
        <f>IF($E372="","",$E372&amp;"|"&amp;COUNTIFS($E$7:$E372,$E372))</f>
        <v/>
      </c>
    </row>
    <row r="373" spans="1:31" ht="18" customHeight="1" x14ac:dyDescent="0.3">
      <c r="A373" s="2"/>
      <c r="B373" s="65" t="str">
        <f t="shared" si="42"/>
        <v/>
      </c>
      <c r="C373" s="66"/>
      <c r="D373" s="60"/>
      <c r="E373" s="61"/>
      <c r="F373" s="61"/>
      <c r="G373" s="67"/>
      <c r="H373" s="60"/>
      <c r="I373" s="60"/>
      <c r="J373" s="61"/>
      <c r="K373" s="61"/>
      <c r="L373" s="60"/>
      <c r="M373" s="74" t="str">
        <f t="shared" si="43"/>
        <v/>
      </c>
      <c r="N373" s="74" t="str">
        <f t="shared" si="44"/>
        <v/>
      </c>
      <c r="O373" s="73" t="str">
        <f t="shared" si="45"/>
        <v/>
      </c>
      <c r="P373" s="65" t="str">
        <f t="shared" ca="1" si="46"/>
        <v/>
      </c>
      <c r="Q373" s="2"/>
      <c r="R373" s="2"/>
      <c r="S373" s="1" t="str">
        <f t="shared" si="47"/>
        <v/>
      </c>
      <c r="T373" s="1" t="str">
        <f>IF(OR($C373="",$D373&lt;&gt;"Gelir",$L373=""),"",IFERROR(INDEX(MUSTERILER!$B$7:$B$156,MATCH($S373,MUSTERILER!$T$7:$T$156,0)),""))</f>
        <v/>
      </c>
      <c r="U373" s="1" t="str">
        <f>IF($T373="","",$T373&amp;"|"&amp;COUNTIFS($T$7:$T373,$T373))</f>
        <v/>
      </c>
      <c r="V373" s="1">
        <f t="shared" si="48"/>
        <v>0</v>
      </c>
      <c r="W373" s="1" t="str">
        <f t="shared" si="49"/>
        <v/>
      </c>
      <c r="X373" s="1"/>
      <c r="Y373" s="1"/>
      <c r="Z373" s="1"/>
      <c r="AA373" s="1"/>
      <c r="AB373" s="1"/>
      <c r="AC373" s="1"/>
      <c r="AD373" s="1">
        <f>IF($C373="",0,SUMPRODUCT((AY_SONU!$O$7:$O$42="Evet")*(AY_SONU!$B$7:$B$42=DATE(YEAR($C373),MONTH($C373),1))))</f>
        <v>0</v>
      </c>
      <c r="AE373" s="1" t="str">
        <f>IF($E373="","",$E373&amp;"|"&amp;COUNTIFS($E$7:$E373,$E373))</f>
        <v/>
      </c>
    </row>
    <row r="374" spans="1:31" ht="18" customHeight="1" x14ac:dyDescent="0.3">
      <c r="A374" s="2"/>
      <c r="B374" s="65" t="str">
        <f t="shared" si="42"/>
        <v/>
      </c>
      <c r="C374" s="66"/>
      <c r="D374" s="60"/>
      <c r="E374" s="61"/>
      <c r="F374" s="61"/>
      <c r="G374" s="67"/>
      <c r="H374" s="60"/>
      <c r="I374" s="60"/>
      <c r="J374" s="61"/>
      <c r="K374" s="61"/>
      <c r="L374" s="60"/>
      <c r="M374" s="74" t="str">
        <f t="shared" si="43"/>
        <v/>
      </c>
      <c r="N374" s="74" t="str">
        <f t="shared" si="44"/>
        <v/>
      </c>
      <c r="O374" s="73" t="str">
        <f t="shared" si="45"/>
        <v/>
      </c>
      <c r="P374" s="65" t="str">
        <f t="shared" ca="1" si="46"/>
        <v/>
      </c>
      <c r="Q374" s="2"/>
      <c r="R374" s="2"/>
      <c r="S374" s="1" t="str">
        <f t="shared" si="47"/>
        <v/>
      </c>
      <c r="T374" s="1" t="str">
        <f>IF(OR($C374="",$D374&lt;&gt;"Gelir",$L374=""),"",IFERROR(INDEX(MUSTERILER!$B$7:$B$156,MATCH($S374,MUSTERILER!$T$7:$T$156,0)),""))</f>
        <v/>
      </c>
      <c r="U374" s="1" t="str">
        <f>IF($T374="","",$T374&amp;"|"&amp;COUNTIFS($T$7:$T374,$T374))</f>
        <v/>
      </c>
      <c r="V374" s="1">
        <f t="shared" si="48"/>
        <v>0</v>
      </c>
      <c r="W374" s="1" t="str">
        <f t="shared" si="49"/>
        <v/>
      </c>
      <c r="X374" s="1"/>
      <c r="Y374" s="1"/>
      <c r="Z374" s="1"/>
      <c r="AA374" s="1"/>
      <c r="AB374" s="1"/>
      <c r="AC374" s="1"/>
      <c r="AD374" s="1">
        <f>IF($C374="",0,SUMPRODUCT((AY_SONU!$O$7:$O$42="Evet")*(AY_SONU!$B$7:$B$42=DATE(YEAR($C374),MONTH($C374),1))))</f>
        <v>0</v>
      </c>
      <c r="AE374" s="1" t="str">
        <f>IF($E374="","",$E374&amp;"|"&amp;COUNTIFS($E$7:$E374,$E374))</f>
        <v/>
      </c>
    </row>
    <row r="375" spans="1:31" ht="18" customHeight="1" x14ac:dyDescent="0.3">
      <c r="A375" s="2"/>
      <c r="B375" s="65" t="str">
        <f t="shared" si="42"/>
        <v/>
      </c>
      <c r="C375" s="66"/>
      <c r="D375" s="60"/>
      <c r="E375" s="61"/>
      <c r="F375" s="61"/>
      <c r="G375" s="67"/>
      <c r="H375" s="60"/>
      <c r="I375" s="60"/>
      <c r="J375" s="61"/>
      <c r="K375" s="61"/>
      <c r="L375" s="60"/>
      <c r="M375" s="74" t="str">
        <f t="shared" si="43"/>
        <v/>
      </c>
      <c r="N375" s="74" t="str">
        <f t="shared" si="44"/>
        <v/>
      </c>
      <c r="O375" s="73" t="str">
        <f t="shared" si="45"/>
        <v/>
      </c>
      <c r="P375" s="65" t="str">
        <f t="shared" ca="1" si="46"/>
        <v/>
      </c>
      <c r="Q375" s="2"/>
      <c r="R375" s="2"/>
      <c r="S375" s="1" t="str">
        <f t="shared" si="47"/>
        <v/>
      </c>
      <c r="T375" s="1" t="str">
        <f>IF(OR($C375="",$D375&lt;&gt;"Gelir",$L375=""),"",IFERROR(INDEX(MUSTERILER!$B$7:$B$156,MATCH($S375,MUSTERILER!$T$7:$T$156,0)),""))</f>
        <v/>
      </c>
      <c r="U375" s="1" t="str">
        <f>IF($T375="","",$T375&amp;"|"&amp;COUNTIFS($T$7:$T375,$T375))</f>
        <v/>
      </c>
      <c r="V375" s="1">
        <f t="shared" si="48"/>
        <v>0</v>
      </c>
      <c r="W375" s="1" t="str">
        <f t="shared" si="49"/>
        <v/>
      </c>
      <c r="X375" s="1"/>
      <c r="Y375" s="1"/>
      <c r="Z375" s="1"/>
      <c r="AA375" s="1"/>
      <c r="AB375" s="1"/>
      <c r="AC375" s="1"/>
      <c r="AD375" s="1">
        <f>IF($C375="",0,SUMPRODUCT((AY_SONU!$O$7:$O$42="Evet")*(AY_SONU!$B$7:$B$42=DATE(YEAR($C375),MONTH($C375),1))))</f>
        <v>0</v>
      </c>
      <c r="AE375" s="1" t="str">
        <f>IF($E375="","",$E375&amp;"|"&amp;COUNTIFS($E$7:$E375,$E375))</f>
        <v/>
      </c>
    </row>
    <row r="376" spans="1:31" ht="18" customHeight="1" x14ac:dyDescent="0.3">
      <c r="A376" s="2"/>
      <c r="B376" s="65" t="str">
        <f t="shared" si="42"/>
        <v/>
      </c>
      <c r="C376" s="66"/>
      <c r="D376" s="60"/>
      <c r="E376" s="61"/>
      <c r="F376" s="61"/>
      <c r="G376" s="67"/>
      <c r="H376" s="60"/>
      <c r="I376" s="60"/>
      <c r="J376" s="61"/>
      <c r="K376" s="61"/>
      <c r="L376" s="60"/>
      <c r="M376" s="74" t="str">
        <f t="shared" si="43"/>
        <v/>
      </c>
      <c r="N376" s="74" t="str">
        <f t="shared" si="44"/>
        <v/>
      </c>
      <c r="O376" s="73" t="str">
        <f t="shared" si="45"/>
        <v/>
      </c>
      <c r="P376" s="65" t="str">
        <f t="shared" ca="1" si="46"/>
        <v/>
      </c>
      <c r="Q376" s="2"/>
      <c r="R376" s="2"/>
      <c r="S376" s="1" t="str">
        <f t="shared" si="47"/>
        <v/>
      </c>
      <c r="T376" s="1" t="str">
        <f>IF(OR($C376="",$D376&lt;&gt;"Gelir",$L376=""),"",IFERROR(INDEX(MUSTERILER!$B$7:$B$156,MATCH($S376,MUSTERILER!$T$7:$T$156,0)),""))</f>
        <v/>
      </c>
      <c r="U376" s="1" t="str">
        <f>IF($T376="","",$T376&amp;"|"&amp;COUNTIFS($T$7:$T376,$T376))</f>
        <v/>
      </c>
      <c r="V376" s="1">
        <f t="shared" si="48"/>
        <v>0</v>
      </c>
      <c r="W376" s="1" t="str">
        <f t="shared" si="49"/>
        <v/>
      </c>
      <c r="X376" s="1"/>
      <c r="Y376" s="1"/>
      <c r="Z376" s="1"/>
      <c r="AA376" s="1"/>
      <c r="AB376" s="1"/>
      <c r="AC376" s="1"/>
      <c r="AD376" s="1">
        <f>IF($C376="",0,SUMPRODUCT((AY_SONU!$O$7:$O$42="Evet")*(AY_SONU!$B$7:$B$42=DATE(YEAR($C376),MONTH($C376),1))))</f>
        <v>0</v>
      </c>
      <c r="AE376" s="1" t="str">
        <f>IF($E376="","",$E376&amp;"|"&amp;COUNTIFS($E$7:$E376,$E376))</f>
        <v/>
      </c>
    </row>
    <row r="377" spans="1:31" ht="18" customHeight="1" x14ac:dyDescent="0.3">
      <c r="A377" s="2"/>
      <c r="B377" s="65" t="str">
        <f t="shared" si="42"/>
        <v/>
      </c>
      <c r="C377" s="66"/>
      <c r="D377" s="60"/>
      <c r="E377" s="61"/>
      <c r="F377" s="61"/>
      <c r="G377" s="67"/>
      <c r="H377" s="60"/>
      <c r="I377" s="60"/>
      <c r="J377" s="61"/>
      <c r="K377" s="61"/>
      <c r="L377" s="60"/>
      <c r="M377" s="74" t="str">
        <f t="shared" si="43"/>
        <v/>
      </c>
      <c r="N377" s="74" t="str">
        <f t="shared" si="44"/>
        <v/>
      </c>
      <c r="O377" s="73" t="str">
        <f t="shared" si="45"/>
        <v/>
      </c>
      <c r="P377" s="65" t="str">
        <f t="shared" ca="1" si="46"/>
        <v/>
      </c>
      <c r="Q377" s="2"/>
      <c r="R377" s="2"/>
      <c r="S377" s="1" t="str">
        <f t="shared" si="47"/>
        <v/>
      </c>
      <c r="T377" s="1" t="str">
        <f>IF(OR($C377="",$D377&lt;&gt;"Gelir",$L377=""),"",IFERROR(INDEX(MUSTERILER!$B$7:$B$156,MATCH($S377,MUSTERILER!$T$7:$T$156,0)),""))</f>
        <v/>
      </c>
      <c r="U377" s="1" t="str">
        <f>IF($T377="","",$T377&amp;"|"&amp;COUNTIFS($T$7:$T377,$T377))</f>
        <v/>
      </c>
      <c r="V377" s="1">
        <f t="shared" si="48"/>
        <v>0</v>
      </c>
      <c r="W377" s="1" t="str">
        <f t="shared" si="49"/>
        <v/>
      </c>
      <c r="X377" s="1"/>
      <c r="Y377" s="1"/>
      <c r="Z377" s="1"/>
      <c r="AA377" s="1"/>
      <c r="AB377" s="1"/>
      <c r="AC377" s="1"/>
      <c r="AD377" s="1">
        <f>IF($C377="",0,SUMPRODUCT((AY_SONU!$O$7:$O$42="Evet")*(AY_SONU!$B$7:$B$42=DATE(YEAR($C377),MONTH($C377),1))))</f>
        <v>0</v>
      </c>
      <c r="AE377" s="1" t="str">
        <f>IF($E377="","",$E377&amp;"|"&amp;COUNTIFS($E$7:$E377,$E377))</f>
        <v/>
      </c>
    </row>
    <row r="378" spans="1:31" ht="18" customHeight="1" x14ac:dyDescent="0.3">
      <c r="A378" s="2"/>
      <c r="B378" s="65" t="str">
        <f t="shared" si="42"/>
        <v/>
      </c>
      <c r="C378" s="66"/>
      <c r="D378" s="60"/>
      <c r="E378" s="61"/>
      <c r="F378" s="61"/>
      <c r="G378" s="67"/>
      <c r="H378" s="60"/>
      <c r="I378" s="60"/>
      <c r="J378" s="61"/>
      <c r="K378" s="61"/>
      <c r="L378" s="60"/>
      <c r="M378" s="74" t="str">
        <f t="shared" si="43"/>
        <v/>
      </c>
      <c r="N378" s="74" t="str">
        <f t="shared" si="44"/>
        <v/>
      </c>
      <c r="O378" s="73" t="str">
        <f t="shared" si="45"/>
        <v/>
      </c>
      <c r="P378" s="65" t="str">
        <f t="shared" ca="1" si="46"/>
        <v/>
      </c>
      <c r="Q378" s="2"/>
      <c r="R378" s="2"/>
      <c r="S378" s="1" t="str">
        <f t="shared" si="47"/>
        <v/>
      </c>
      <c r="T378" s="1" t="str">
        <f>IF(OR($C378="",$D378&lt;&gt;"Gelir",$L378=""),"",IFERROR(INDEX(MUSTERILER!$B$7:$B$156,MATCH($S378,MUSTERILER!$T$7:$T$156,0)),""))</f>
        <v/>
      </c>
      <c r="U378" s="1" t="str">
        <f>IF($T378="","",$T378&amp;"|"&amp;COUNTIFS($T$7:$T378,$T378))</f>
        <v/>
      </c>
      <c r="V378" s="1">
        <f t="shared" si="48"/>
        <v>0</v>
      </c>
      <c r="W378" s="1" t="str">
        <f t="shared" si="49"/>
        <v/>
      </c>
      <c r="X378" s="1"/>
      <c r="Y378" s="1"/>
      <c r="Z378" s="1"/>
      <c r="AA378" s="1"/>
      <c r="AB378" s="1"/>
      <c r="AC378" s="1"/>
      <c r="AD378" s="1">
        <f>IF($C378="",0,SUMPRODUCT((AY_SONU!$O$7:$O$42="Evet")*(AY_SONU!$B$7:$B$42=DATE(YEAR($C378),MONTH($C378),1))))</f>
        <v>0</v>
      </c>
      <c r="AE378" s="1" t="str">
        <f>IF($E378="","",$E378&amp;"|"&amp;COUNTIFS($E$7:$E378,$E378))</f>
        <v/>
      </c>
    </row>
    <row r="379" spans="1:31" ht="18" customHeight="1" x14ac:dyDescent="0.3">
      <c r="A379" s="2"/>
      <c r="B379" s="65" t="str">
        <f t="shared" si="42"/>
        <v/>
      </c>
      <c r="C379" s="66"/>
      <c r="D379" s="60"/>
      <c r="E379" s="61"/>
      <c r="F379" s="61"/>
      <c r="G379" s="67"/>
      <c r="H379" s="60"/>
      <c r="I379" s="60"/>
      <c r="J379" s="61"/>
      <c r="K379" s="61"/>
      <c r="L379" s="60"/>
      <c r="M379" s="74" t="str">
        <f t="shared" si="43"/>
        <v/>
      </c>
      <c r="N379" s="74" t="str">
        <f t="shared" si="44"/>
        <v/>
      </c>
      <c r="O379" s="73" t="str">
        <f t="shared" si="45"/>
        <v/>
      </c>
      <c r="P379" s="65" t="str">
        <f t="shared" ca="1" si="46"/>
        <v/>
      </c>
      <c r="Q379" s="2"/>
      <c r="R379" s="2"/>
      <c r="S379" s="1" t="str">
        <f t="shared" si="47"/>
        <v/>
      </c>
      <c r="T379" s="1" t="str">
        <f>IF(OR($C379="",$D379&lt;&gt;"Gelir",$L379=""),"",IFERROR(INDEX(MUSTERILER!$B$7:$B$156,MATCH($S379,MUSTERILER!$T$7:$T$156,0)),""))</f>
        <v/>
      </c>
      <c r="U379" s="1" t="str">
        <f>IF($T379="","",$T379&amp;"|"&amp;COUNTIFS($T$7:$T379,$T379))</f>
        <v/>
      </c>
      <c r="V379" s="1">
        <f t="shared" si="48"/>
        <v>0</v>
      </c>
      <c r="W379" s="1" t="str">
        <f t="shared" si="49"/>
        <v/>
      </c>
      <c r="X379" s="1"/>
      <c r="Y379" s="1"/>
      <c r="Z379" s="1"/>
      <c r="AA379" s="1"/>
      <c r="AB379" s="1"/>
      <c r="AC379" s="1"/>
      <c r="AD379" s="1">
        <f>IF($C379="",0,SUMPRODUCT((AY_SONU!$O$7:$O$42="Evet")*(AY_SONU!$B$7:$B$42=DATE(YEAR($C379),MONTH($C379),1))))</f>
        <v>0</v>
      </c>
      <c r="AE379" s="1" t="str">
        <f>IF($E379="","",$E379&amp;"|"&amp;COUNTIFS($E$7:$E379,$E379))</f>
        <v/>
      </c>
    </row>
    <row r="380" spans="1:31" ht="18" customHeight="1" x14ac:dyDescent="0.3">
      <c r="A380" s="2"/>
      <c r="B380" s="65" t="str">
        <f t="shared" si="42"/>
        <v/>
      </c>
      <c r="C380" s="66"/>
      <c r="D380" s="60"/>
      <c r="E380" s="61"/>
      <c r="F380" s="61"/>
      <c r="G380" s="67"/>
      <c r="H380" s="60"/>
      <c r="I380" s="60"/>
      <c r="J380" s="61"/>
      <c r="K380" s="61"/>
      <c r="L380" s="60"/>
      <c r="M380" s="74" t="str">
        <f t="shared" si="43"/>
        <v/>
      </c>
      <c r="N380" s="74" t="str">
        <f t="shared" si="44"/>
        <v/>
      </c>
      <c r="O380" s="73" t="str">
        <f t="shared" si="45"/>
        <v/>
      </c>
      <c r="P380" s="65" t="str">
        <f t="shared" ca="1" si="46"/>
        <v/>
      </c>
      <c r="Q380" s="2"/>
      <c r="R380" s="2"/>
      <c r="S380" s="1" t="str">
        <f t="shared" si="47"/>
        <v/>
      </c>
      <c r="T380" s="1" t="str">
        <f>IF(OR($C380="",$D380&lt;&gt;"Gelir",$L380=""),"",IFERROR(INDEX(MUSTERILER!$B$7:$B$156,MATCH($S380,MUSTERILER!$T$7:$T$156,0)),""))</f>
        <v/>
      </c>
      <c r="U380" s="1" t="str">
        <f>IF($T380="","",$T380&amp;"|"&amp;COUNTIFS($T$7:$T380,$T380))</f>
        <v/>
      </c>
      <c r="V380" s="1">
        <f t="shared" si="48"/>
        <v>0</v>
      </c>
      <c r="W380" s="1" t="str">
        <f t="shared" si="49"/>
        <v/>
      </c>
      <c r="X380" s="1"/>
      <c r="Y380" s="1"/>
      <c r="Z380" s="1"/>
      <c r="AA380" s="1"/>
      <c r="AB380" s="1"/>
      <c r="AC380" s="1"/>
      <c r="AD380" s="1">
        <f>IF($C380="",0,SUMPRODUCT((AY_SONU!$O$7:$O$42="Evet")*(AY_SONU!$B$7:$B$42=DATE(YEAR($C380),MONTH($C380),1))))</f>
        <v>0</v>
      </c>
      <c r="AE380" s="1" t="str">
        <f>IF($E380="","",$E380&amp;"|"&amp;COUNTIFS($E$7:$E380,$E380))</f>
        <v/>
      </c>
    </row>
    <row r="381" spans="1:31" ht="18" customHeight="1" x14ac:dyDescent="0.3">
      <c r="A381" s="2"/>
      <c r="B381" s="65" t="str">
        <f t="shared" si="42"/>
        <v/>
      </c>
      <c r="C381" s="66"/>
      <c r="D381" s="60"/>
      <c r="E381" s="61"/>
      <c r="F381" s="61"/>
      <c r="G381" s="67"/>
      <c r="H381" s="60"/>
      <c r="I381" s="60"/>
      <c r="J381" s="61"/>
      <c r="K381" s="61"/>
      <c r="L381" s="60"/>
      <c r="M381" s="74" t="str">
        <f t="shared" si="43"/>
        <v/>
      </c>
      <c r="N381" s="74" t="str">
        <f t="shared" si="44"/>
        <v/>
      </c>
      <c r="O381" s="73" t="str">
        <f t="shared" si="45"/>
        <v/>
      </c>
      <c r="P381" s="65" t="str">
        <f t="shared" ca="1" si="46"/>
        <v/>
      </c>
      <c r="Q381" s="2"/>
      <c r="R381" s="2"/>
      <c r="S381" s="1" t="str">
        <f t="shared" si="47"/>
        <v/>
      </c>
      <c r="T381" s="1" t="str">
        <f>IF(OR($C381="",$D381&lt;&gt;"Gelir",$L381=""),"",IFERROR(INDEX(MUSTERILER!$B$7:$B$156,MATCH($S381,MUSTERILER!$T$7:$T$156,0)),""))</f>
        <v/>
      </c>
      <c r="U381" s="1" t="str">
        <f>IF($T381="","",$T381&amp;"|"&amp;COUNTIFS($T$7:$T381,$T381))</f>
        <v/>
      </c>
      <c r="V381" s="1">
        <f t="shared" si="48"/>
        <v>0</v>
      </c>
      <c r="W381" s="1" t="str">
        <f t="shared" si="49"/>
        <v/>
      </c>
      <c r="X381" s="1"/>
      <c r="Y381" s="1"/>
      <c r="Z381" s="1"/>
      <c r="AA381" s="1"/>
      <c r="AB381" s="1"/>
      <c r="AC381" s="1"/>
      <c r="AD381" s="1">
        <f>IF($C381="",0,SUMPRODUCT((AY_SONU!$O$7:$O$42="Evet")*(AY_SONU!$B$7:$B$42=DATE(YEAR($C381),MONTH($C381),1))))</f>
        <v>0</v>
      </c>
      <c r="AE381" s="1" t="str">
        <f>IF($E381="","",$E381&amp;"|"&amp;COUNTIFS($E$7:$E381,$E381))</f>
        <v/>
      </c>
    </row>
    <row r="382" spans="1:31" ht="18" customHeight="1" x14ac:dyDescent="0.3">
      <c r="A382" s="2"/>
      <c r="B382" s="65" t="str">
        <f t="shared" si="42"/>
        <v/>
      </c>
      <c r="C382" s="66"/>
      <c r="D382" s="60"/>
      <c r="E382" s="61"/>
      <c r="F382" s="61"/>
      <c r="G382" s="67"/>
      <c r="H382" s="60"/>
      <c r="I382" s="60"/>
      <c r="J382" s="61"/>
      <c r="K382" s="61"/>
      <c r="L382" s="60"/>
      <c r="M382" s="74" t="str">
        <f t="shared" si="43"/>
        <v/>
      </c>
      <c r="N382" s="74" t="str">
        <f t="shared" si="44"/>
        <v/>
      </c>
      <c r="O382" s="73" t="str">
        <f t="shared" si="45"/>
        <v/>
      </c>
      <c r="P382" s="65" t="str">
        <f t="shared" ca="1" si="46"/>
        <v/>
      </c>
      <c r="Q382" s="2"/>
      <c r="R382" s="2"/>
      <c r="S382" s="1" t="str">
        <f t="shared" si="47"/>
        <v/>
      </c>
      <c r="T382" s="1" t="str">
        <f>IF(OR($C382="",$D382&lt;&gt;"Gelir",$L382=""),"",IFERROR(INDEX(MUSTERILER!$B$7:$B$156,MATCH($S382,MUSTERILER!$T$7:$T$156,0)),""))</f>
        <v/>
      </c>
      <c r="U382" s="1" t="str">
        <f>IF($T382="","",$T382&amp;"|"&amp;COUNTIFS($T$7:$T382,$T382))</f>
        <v/>
      </c>
      <c r="V382" s="1">
        <f t="shared" si="48"/>
        <v>0</v>
      </c>
      <c r="W382" s="1" t="str">
        <f t="shared" si="49"/>
        <v/>
      </c>
      <c r="X382" s="1"/>
      <c r="Y382" s="1"/>
      <c r="Z382" s="1"/>
      <c r="AA382" s="1"/>
      <c r="AB382" s="1"/>
      <c r="AC382" s="1"/>
      <c r="AD382" s="1">
        <f>IF($C382="",0,SUMPRODUCT((AY_SONU!$O$7:$O$42="Evet")*(AY_SONU!$B$7:$B$42=DATE(YEAR($C382),MONTH($C382),1))))</f>
        <v>0</v>
      </c>
      <c r="AE382" s="1" t="str">
        <f>IF($E382="","",$E382&amp;"|"&amp;COUNTIFS($E$7:$E382,$E382))</f>
        <v/>
      </c>
    </row>
    <row r="383" spans="1:31" ht="18" customHeight="1" x14ac:dyDescent="0.3">
      <c r="A383" s="2"/>
      <c r="B383" s="65" t="str">
        <f t="shared" si="42"/>
        <v/>
      </c>
      <c r="C383" s="66"/>
      <c r="D383" s="60"/>
      <c r="E383" s="61"/>
      <c r="F383" s="61"/>
      <c r="G383" s="67"/>
      <c r="H383" s="60"/>
      <c r="I383" s="60"/>
      <c r="J383" s="61"/>
      <c r="K383" s="61"/>
      <c r="L383" s="60"/>
      <c r="M383" s="74" t="str">
        <f t="shared" si="43"/>
        <v/>
      </c>
      <c r="N383" s="74" t="str">
        <f t="shared" si="44"/>
        <v/>
      </c>
      <c r="O383" s="73" t="str">
        <f t="shared" si="45"/>
        <v/>
      </c>
      <c r="P383" s="65" t="str">
        <f t="shared" ca="1" si="46"/>
        <v/>
      </c>
      <c r="Q383" s="2"/>
      <c r="R383" s="2"/>
      <c r="S383" s="1" t="str">
        <f t="shared" si="47"/>
        <v/>
      </c>
      <c r="T383" s="1" t="str">
        <f>IF(OR($C383="",$D383&lt;&gt;"Gelir",$L383=""),"",IFERROR(INDEX(MUSTERILER!$B$7:$B$156,MATCH($S383,MUSTERILER!$T$7:$T$156,0)),""))</f>
        <v/>
      </c>
      <c r="U383" s="1" t="str">
        <f>IF($T383="","",$T383&amp;"|"&amp;COUNTIFS($T$7:$T383,$T383))</f>
        <v/>
      </c>
      <c r="V383" s="1">
        <f t="shared" si="48"/>
        <v>0</v>
      </c>
      <c r="W383" s="1" t="str">
        <f t="shared" si="49"/>
        <v/>
      </c>
      <c r="X383" s="1"/>
      <c r="Y383" s="1"/>
      <c r="Z383" s="1"/>
      <c r="AA383" s="1"/>
      <c r="AB383" s="1"/>
      <c r="AC383" s="1"/>
      <c r="AD383" s="1">
        <f>IF($C383="",0,SUMPRODUCT((AY_SONU!$O$7:$O$42="Evet")*(AY_SONU!$B$7:$B$42=DATE(YEAR($C383),MONTH($C383),1))))</f>
        <v>0</v>
      </c>
      <c r="AE383" s="1" t="str">
        <f>IF($E383="","",$E383&amp;"|"&amp;COUNTIFS($E$7:$E383,$E383))</f>
        <v/>
      </c>
    </row>
    <row r="384" spans="1:31" ht="18" customHeight="1" x14ac:dyDescent="0.3">
      <c r="A384" s="2"/>
      <c r="B384" s="65" t="str">
        <f t="shared" si="42"/>
        <v/>
      </c>
      <c r="C384" s="66"/>
      <c r="D384" s="60"/>
      <c r="E384" s="61"/>
      <c r="F384" s="61"/>
      <c r="G384" s="67"/>
      <c r="H384" s="60"/>
      <c r="I384" s="60"/>
      <c r="J384" s="61"/>
      <c r="K384" s="61"/>
      <c r="L384" s="60"/>
      <c r="M384" s="74" t="str">
        <f t="shared" si="43"/>
        <v/>
      </c>
      <c r="N384" s="74" t="str">
        <f t="shared" si="44"/>
        <v/>
      </c>
      <c r="O384" s="73" t="str">
        <f t="shared" si="45"/>
        <v/>
      </c>
      <c r="P384" s="65" t="str">
        <f t="shared" ca="1" si="46"/>
        <v/>
      </c>
      <c r="Q384" s="2"/>
      <c r="R384" s="2"/>
      <c r="S384" s="1" t="str">
        <f t="shared" si="47"/>
        <v/>
      </c>
      <c r="T384" s="1" t="str">
        <f>IF(OR($C384="",$D384&lt;&gt;"Gelir",$L384=""),"",IFERROR(INDEX(MUSTERILER!$B$7:$B$156,MATCH($S384,MUSTERILER!$T$7:$T$156,0)),""))</f>
        <v/>
      </c>
      <c r="U384" s="1" t="str">
        <f>IF($T384="","",$T384&amp;"|"&amp;COUNTIFS($T$7:$T384,$T384))</f>
        <v/>
      </c>
      <c r="V384" s="1">
        <f t="shared" si="48"/>
        <v>0</v>
      </c>
      <c r="W384" s="1" t="str">
        <f t="shared" si="49"/>
        <v/>
      </c>
      <c r="X384" s="1"/>
      <c r="Y384" s="1"/>
      <c r="Z384" s="1"/>
      <c r="AA384" s="1"/>
      <c r="AB384" s="1"/>
      <c r="AC384" s="1"/>
      <c r="AD384" s="1">
        <f>IF($C384="",0,SUMPRODUCT((AY_SONU!$O$7:$O$42="Evet")*(AY_SONU!$B$7:$B$42=DATE(YEAR($C384),MONTH($C384),1))))</f>
        <v>0</v>
      </c>
      <c r="AE384" s="1" t="str">
        <f>IF($E384="","",$E384&amp;"|"&amp;COUNTIFS($E$7:$E384,$E384))</f>
        <v/>
      </c>
    </row>
    <row r="385" spans="1:31" ht="18" customHeight="1" x14ac:dyDescent="0.3">
      <c r="A385" s="2"/>
      <c r="B385" s="65" t="str">
        <f t="shared" si="42"/>
        <v/>
      </c>
      <c r="C385" s="66"/>
      <c r="D385" s="60"/>
      <c r="E385" s="61"/>
      <c r="F385" s="61"/>
      <c r="G385" s="67"/>
      <c r="H385" s="60"/>
      <c r="I385" s="60"/>
      <c r="J385" s="61"/>
      <c r="K385" s="61"/>
      <c r="L385" s="60"/>
      <c r="M385" s="74" t="str">
        <f t="shared" si="43"/>
        <v/>
      </c>
      <c r="N385" s="74" t="str">
        <f t="shared" si="44"/>
        <v/>
      </c>
      <c r="O385" s="73" t="str">
        <f t="shared" si="45"/>
        <v/>
      </c>
      <c r="P385" s="65" t="str">
        <f t="shared" ca="1" si="46"/>
        <v/>
      </c>
      <c r="Q385" s="2"/>
      <c r="R385" s="2"/>
      <c r="S385" s="1" t="str">
        <f t="shared" si="47"/>
        <v/>
      </c>
      <c r="T385" s="1" t="str">
        <f>IF(OR($C385="",$D385&lt;&gt;"Gelir",$L385=""),"",IFERROR(INDEX(MUSTERILER!$B$7:$B$156,MATCH($S385,MUSTERILER!$T$7:$T$156,0)),""))</f>
        <v/>
      </c>
      <c r="U385" s="1" t="str">
        <f>IF($T385="","",$T385&amp;"|"&amp;COUNTIFS($T$7:$T385,$T385))</f>
        <v/>
      </c>
      <c r="V385" s="1">
        <f t="shared" si="48"/>
        <v>0</v>
      </c>
      <c r="W385" s="1" t="str">
        <f t="shared" si="49"/>
        <v/>
      </c>
      <c r="X385" s="1"/>
      <c r="Y385" s="1"/>
      <c r="Z385" s="1"/>
      <c r="AA385" s="1"/>
      <c r="AB385" s="1"/>
      <c r="AC385" s="1"/>
      <c r="AD385" s="1">
        <f>IF($C385="",0,SUMPRODUCT((AY_SONU!$O$7:$O$42="Evet")*(AY_SONU!$B$7:$B$42=DATE(YEAR($C385),MONTH($C385),1))))</f>
        <v>0</v>
      </c>
      <c r="AE385" s="1" t="str">
        <f>IF($E385="","",$E385&amp;"|"&amp;COUNTIFS($E$7:$E385,$E385))</f>
        <v/>
      </c>
    </row>
    <row r="386" spans="1:31" ht="18" customHeight="1" x14ac:dyDescent="0.3">
      <c r="A386" s="2"/>
      <c r="B386" s="65" t="str">
        <f t="shared" si="42"/>
        <v/>
      </c>
      <c r="C386" s="66"/>
      <c r="D386" s="60"/>
      <c r="E386" s="61"/>
      <c r="F386" s="61"/>
      <c r="G386" s="67"/>
      <c r="H386" s="60"/>
      <c r="I386" s="60"/>
      <c r="J386" s="61"/>
      <c r="K386" s="61"/>
      <c r="L386" s="60"/>
      <c r="M386" s="74" t="str">
        <f t="shared" si="43"/>
        <v/>
      </c>
      <c r="N386" s="74" t="str">
        <f t="shared" si="44"/>
        <v/>
      </c>
      <c r="O386" s="73" t="str">
        <f t="shared" si="45"/>
        <v/>
      </c>
      <c r="P386" s="65" t="str">
        <f t="shared" ca="1" si="46"/>
        <v/>
      </c>
      <c r="Q386" s="2"/>
      <c r="R386" s="2"/>
      <c r="S386" s="1" t="str">
        <f t="shared" si="47"/>
        <v/>
      </c>
      <c r="T386" s="1" t="str">
        <f>IF(OR($C386="",$D386&lt;&gt;"Gelir",$L386=""),"",IFERROR(INDEX(MUSTERILER!$B$7:$B$156,MATCH($S386,MUSTERILER!$T$7:$T$156,0)),""))</f>
        <v/>
      </c>
      <c r="U386" s="1" t="str">
        <f>IF($T386="","",$T386&amp;"|"&amp;COUNTIFS($T$7:$T386,$T386))</f>
        <v/>
      </c>
      <c r="V386" s="1">
        <f t="shared" si="48"/>
        <v>0</v>
      </c>
      <c r="W386" s="1" t="str">
        <f t="shared" si="49"/>
        <v/>
      </c>
      <c r="X386" s="1"/>
      <c r="Y386" s="1"/>
      <c r="Z386" s="1"/>
      <c r="AA386" s="1"/>
      <c r="AB386" s="1"/>
      <c r="AC386" s="1"/>
      <c r="AD386" s="1">
        <f>IF($C386="",0,SUMPRODUCT((AY_SONU!$O$7:$O$42="Evet")*(AY_SONU!$B$7:$B$42=DATE(YEAR($C386),MONTH($C386),1))))</f>
        <v>0</v>
      </c>
      <c r="AE386" s="1" t="str">
        <f>IF($E386="","",$E386&amp;"|"&amp;COUNTIFS($E$7:$E386,$E386))</f>
        <v/>
      </c>
    </row>
    <row r="387" spans="1:31" ht="18" customHeight="1" x14ac:dyDescent="0.3">
      <c r="A387" s="2"/>
      <c r="B387" s="65" t="str">
        <f t="shared" si="42"/>
        <v/>
      </c>
      <c r="C387" s="66"/>
      <c r="D387" s="60"/>
      <c r="E387" s="61"/>
      <c r="F387" s="61"/>
      <c r="G387" s="67"/>
      <c r="H387" s="60"/>
      <c r="I387" s="60"/>
      <c r="J387" s="61"/>
      <c r="K387" s="61"/>
      <c r="L387" s="60"/>
      <c r="M387" s="74" t="str">
        <f t="shared" si="43"/>
        <v/>
      </c>
      <c r="N387" s="74" t="str">
        <f t="shared" si="44"/>
        <v/>
      </c>
      <c r="O387" s="73" t="str">
        <f t="shared" si="45"/>
        <v/>
      </c>
      <c r="P387" s="65" t="str">
        <f t="shared" ca="1" si="46"/>
        <v/>
      </c>
      <c r="Q387" s="2"/>
      <c r="R387" s="2"/>
      <c r="S387" s="1" t="str">
        <f t="shared" si="47"/>
        <v/>
      </c>
      <c r="T387" s="1" t="str">
        <f>IF(OR($C387="",$D387&lt;&gt;"Gelir",$L387=""),"",IFERROR(INDEX(MUSTERILER!$B$7:$B$156,MATCH($S387,MUSTERILER!$T$7:$T$156,0)),""))</f>
        <v/>
      </c>
      <c r="U387" s="1" t="str">
        <f>IF($T387="","",$T387&amp;"|"&amp;COUNTIFS($T$7:$T387,$T387))</f>
        <v/>
      </c>
      <c r="V387" s="1">
        <f t="shared" si="48"/>
        <v>0</v>
      </c>
      <c r="W387" s="1" t="str">
        <f t="shared" si="49"/>
        <v/>
      </c>
      <c r="X387" s="1"/>
      <c r="Y387" s="1"/>
      <c r="Z387" s="1"/>
      <c r="AA387" s="1"/>
      <c r="AB387" s="1"/>
      <c r="AC387" s="1"/>
      <c r="AD387" s="1">
        <f>IF($C387="",0,SUMPRODUCT((AY_SONU!$O$7:$O$42="Evet")*(AY_SONU!$B$7:$B$42=DATE(YEAR($C387),MONTH($C387),1))))</f>
        <v>0</v>
      </c>
      <c r="AE387" s="1" t="str">
        <f>IF($E387="","",$E387&amp;"|"&amp;COUNTIFS($E$7:$E387,$E387))</f>
        <v/>
      </c>
    </row>
    <row r="388" spans="1:31" ht="18" customHeight="1" x14ac:dyDescent="0.3">
      <c r="A388" s="2"/>
      <c r="B388" s="65" t="str">
        <f t="shared" si="42"/>
        <v/>
      </c>
      <c r="C388" s="66"/>
      <c r="D388" s="60"/>
      <c r="E388" s="61"/>
      <c r="F388" s="61"/>
      <c r="G388" s="67"/>
      <c r="H388" s="60"/>
      <c r="I388" s="60"/>
      <c r="J388" s="61"/>
      <c r="K388" s="61"/>
      <c r="L388" s="60"/>
      <c r="M388" s="74" t="str">
        <f t="shared" si="43"/>
        <v/>
      </c>
      <c r="N388" s="74" t="str">
        <f t="shared" si="44"/>
        <v/>
      </c>
      <c r="O388" s="73" t="str">
        <f t="shared" si="45"/>
        <v/>
      </c>
      <c r="P388" s="65" t="str">
        <f t="shared" ca="1" si="46"/>
        <v/>
      </c>
      <c r="Q388" s="2"/>
      <c r="R388" s="2"/>
      <c r="S388" s="1" t="str">
        <f t="shared" si="47"/>
        <v/>
      </c>
      <c r="T388" s="1" t="str">
        <f>IF(OR($C388="",$D388&lt;&gt;"Gelir",$L388=""),"",IFERROR(INDEX(MUSTERILER!$B$7:$B$156,MATCH($S388,MUSTERILER!$T$7:$T$156,0)),""))</f>
        <v/>
      </c>
      <c r="U388" s="1" t="str">
        <f>IF($T388="","",$T388&amp;"|"&amp;COUNTIFS($T$7:$T388,$T388))</f>
        <v/>
      </c>
      <c r="V388" s="1">
        <f t="shared" si="48"/>
        <v>0</v>
      </c>
      <c r="W388" s="1" t="str">
        <f t="shared" si="49"/>
        <v/>
      </c>
      <c r="X388" s="1"/>
      <c r="Y388" s="1"/>
      <c r="Z388" s="1"/>
      <c r="AA388" s="1"/>
      <c r="AB388" s="1"/>
      <c r="AC388" s="1"/>
      <c r="AD388" s="1">
        <f>IF($C388="",0,SUMPRODUCT((AY_SONU!$O$7:$O$42="Evet")*(AY_SONU!$B$7:$B$42=DATE(YEAR($C388),MONTH($C388),1))))</f>
        <v>0</v>
      </c>
      <c r="AE388" s="1" t="str">
        <f>IF($E388="","",$E388&amp;"|"&amp;COUNTIFS($E$7:$E388,$E388))</f>
        <v/>
      </c>
    </row>
    <row r="389" spans="1:31" ht="18" customHeight="1" x14ac:dyDescent="0.3">
      <c r="A389" s="2"/>
      <c r="B389" s="65" t="str">
        <f t="shared" si="42"/>
        <v/>
      </c>
      <c r="C389" s="66"/>
      <c r="D389" s="60"/>
      <c r="E389" s="61"/>
      <c r="F389" s="61"/>
      <c r="G389" s="67"/>
      <c r="H389" s="60"/>
      <c r="I389" s="60"/>
      <c r="J389" s="61"/>
      <c r="K389" s="61"/>
      <c r="L389" s="60"/>
      <c r="M389" s="74" t="str">
        <f t="shared" si="43"/>
        <v/>
      </c>
      <c r="N389" s="74" t="str">
        <f t="shared" si="44"/>
        <v/>
      </c>
      <c r="O389" s="73" t="str">
        <f t="shared" si="45"/>
        <v/>
      </c>
      <c r="P389" s="65" t="str">
        <f t="shared" ca="1" si="46"/>
        <v/>
      </c>
      <c r="Q389" s="2"/>
      <c r="R389" s="2"/>
      <c r="S389" s="1" t="str">
        <f t="shared" si="47"/>
        <v/>
      </c>
      <c r="T389" s="1" t="str">
        <f>IF(OR($C389="",$D389&lt;&gt;"Gelir",$L389=""),"",IFERROR(INDEX(MUSTERILER!$B$7:$B$156,MATCH($S389,MUSTERILER!$T$7:$T$156,0)),""))</f>
        <v/>
      </c>
      <c r="U389" s="1" t="str">
        <f>IF($T389="","",$T389&amp;"|"&amp;COUNTIFS($T$7:$T389,$T389))</f>
        <v/>
      </c>
      <c r="V389" s="1">
        <f t="shared" si="48"/>
        <v>0</v>
      </c>
      <c r="W389" s="1" t="str">
        <f t="shared" si="49"/>
        <v/>
      </c>
      <c r="X389" s="1"/>
      <c r="Y389" s="1"/>
      <c r="Z389" s="1"/>
      <c r="AA389" s="1"/>
      <c r="AB389" s="1"/>
      <c r="AC389" s="1"/>
      <c r="AD389" s="1">
        <f>IF($C389="",0,SUMPRODUCT((AY_SONU!$O$7:$O$42="Evet")*(AY_SONU!$B$7:$B$42=DATE(YEAR($C389),MONTH($C389),1))))</f>
        <v>0</v>
      </c>
      <c r="AE389" s="1" t="str">
        <f>IF($E389="","",$E389&amp;"|"&amp;COUNTIFS($E$7:$E389,$E389))</f>
        <v/>
      </c>
    </row>
    <row r="390" spans="1:31" ht="18" customHeight="1" x14ac:dyDescent="0.3">
      <c r="A390" s="2"/>
      <c r="B390" s="65" t="str">
        <f t="shared" si="42"/>
        <v/>
      </c>
      <c r="C390" s="66"/>
      <c r="D390" s="60"/>
      <c r="E390" s="61"/>
      <c r="F390" s="61"/>
      <c r="G390" s="67"/>
      <c r="H390" s="60"/>
      <c r="I390" s="60"/>
      <c r="J390" s="61"/>
      <c r="K390" s="61"/>
      <c r="L390" s="60"/>
      <c r="M390" s="74" t="str">
        <f t="shared" si="43"/>
        <v/>
      </c>
      <c r="N390" s="74" t="str">
        <f t="shared" si="44"/>
        <v/>
      </c>
      <c r="O390" s="73" t="str">
        <f t="shared" si="45"/>
        <v/>
      </c>
      <c r="P390" s="65" t="str">
        <f t="shared" ca="1" si="46"/>
        <v/>
      </c>
      <c r="Q390" s="2"/>
      <c r="R390" s="2"/>
      <c r="S390" s="1" t="str">
        <f t="shared" si="47"/>
        <v/>
      </c>
      <c r="T390" s="1" t="str">
        <f>IF(OR($C390="",$D390&lt;&gt;"Gelir",$L390=""),"",IFERROR(INDEX(MUSTERILER!$B$7:$B$156,MATCH($S390,MUSTERILER!$T$7:$T$156,0)),""))</f>
        <v/>
      </c>
      <c r="U390" s="1" t="str">
        <f>IF($T390="","",$T390&amp;"|"&amp;COUNTIFS($T$7:$T390,$T390))</f>
        <v/>
      </c>
      <c r="V390" s="1">
        <f t="shared" si="48"/>
        <v>0</v>
      </c>
      <c r="W390" s="1" t="str">
        <f t="shared" si="49"/>
        <v/>
      </c>
      <c r="X390" s="1"/>
      <c r="Y390" s="1"/>
      <c r="Z390" s="1"/>
      <c r="AA390" s="1"/>
      <c r="AB390" s="1"/>
      <c r="AC390" s="1"/>
      <c r="AD390" s="1">
        <f>IF($C390="",0,SUMPRODUCT((AY_SONU!$O$7:$O$42="Evet")*(AY_SONU!$B$7:$B$42=DATE(YEAR($C390),MONTH($C390),1))))</f>
        <v>0</v>
      </c>
      <c r="AE390" s="1" t="str">
        <f>IF($E390="","",$E390&amp;"|"&amp;COUNTIFS($E$7:$E390,$E390))</f>
        <v/>
      </c>
    </row>
    <row r="391" spans="1:31" ht="18" customHeight="1" x14ac:dyDescent="0.3">
      <c r="A391" s="2"/>
      <c r="B391" s="65" t="str">
        <f t="shared" ref="B391:B454" si="50">IF($C391="","","GG"&amp;TEXT(ROW()-6,"00000"))</f>
        <v/>
      </c>
      <c r="C391" s="66"/>
      <c r="D391" s="60"/>
      <c r="E391" s="61"/>
      <c r="F391" s="61"/>
      <c r="G391" s="67"/>
      <c r="H391" s="60"/>
      <c r="I391" s="60"/>
      <c r="J391" s="61"/>
      <c r="K391" s="61"/>
      <c r="L391" s="60"/>
      <c r="M391" s="74" t="str">
        <f t="shared" ref="M391:M454" si="51">IF($C391="","",IF($D391="Gider",$E391,IF($L391&lt;&gt;"",$L391,$H391)))</f>
        <v/>
      </c>
      <c r="N391" s="74" t="str">
        <f t="shared" ref="N391:N454" si="52">IF($C391="","",IF($D391="Gider",$H391,$E391))</f>
        <v/>
      </c>
      <c r="O391" s="73" t="str">
        <f t="shared" ref="O391:O454" si="53">IF($C391="","",DATE(YEAR($C391),MONTH($C391),1))</f>
        <v/>
      </c>
      <c r="P391" s="65" t="str">
        <f t="shared" ref="P391:P454" ca="1" si="54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TARİH",IF(COUNTIF($W$7:$W$3006,$W391)&gt;1,"MÜKERRER?",IF($AD391&gt;0,"KAPALI DÖNEM",IF($I391="Hayır","ÖDENECEK","UYGUN")))),"EKSİK"))))</f>
        <v/>
      </c>
      <c r="Q391" s="2"/>
      <c r="R391" s="2"/>
      <c r="S391" s="1" t="str">
        <f t="shared" ref="S391:S454" si="55"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1" t="str">
        <f>IF(OR($C391="",$D391&lt;&gt;"Gelir",$L391=""),"",IFERROR(INDEX(MUSTERILER!$B$7:$B$156,MATCH($S391,MUSTERILER!$T$7:$T$156,0)),""))</f>
        <v/>
      </c>
      <c r="U391" s="1" t="str">
        <f>IF($T391="","",$T391&amp;"|"&amp;COUNTIFS($T$7:$T391,$T391))</f>
        <v/>
      </c>
      <c r="V391" s="1">
        <f t="shared" ref="V391:V454" si="56">IF($T391="",0,1)</f>
        <v>0</v>
      </c>
      <c r="W391" s="1" t="str">
        <f t="shared" ref="W391:W454" si="57">IF($C391="","",$D391&amp;"|"&amp;$E391&amp;"|"&amp;TEXT($C391,"0")&amp;"|"&amp;TEXT($G391,"0")&amp;"|"&amp;$J391)</f>
        <v/>
      </c>
      <c r="X391" s="1"/>
      <c r="Y391" s="1"/>
      <c r="Z391" s="1"/>
      <c r="AA391" s="1"/>
      <c r="AB391" s="1"/>
      <c r="AC391" s="1"/>
      <c r="AD391" s="1">
        <f>IF($C391="",0,SUMPRODUCT((AY_SONU!$O$7:$O$42="Evet")*(AY_SONU!$B$7:$B$42=DATE(YEAR($C391),MONTH($C391),1))))</f>
        <v>0</v>
      </c>
      <c r="AE391" s="1" t="str">
        <f>IF($E391="","",$E391&amp;"|"&amp;COUNTIFS($E$7:$E391,$E391))</f>
        <v/>
      </c>
    </row>
    <row r="392" spans="1:31" ht="18" customHeight="1" x14ac:dyDescent="0.3">
      <c r="A392" s="2"/>
      <c r="B392" s="65" t="str">
        <f t="shared" si="50"/>
        <v/>
      </c>
      <c r="C392" s="66"/>
      <c r="D392" s="60"/>
      <c r="E392" s="61"/>
      <c r="F392" s="61"/>
      <c r="G392" s="67"/>
      <c r="H392" s="60"/>
      <c r="I392" s="60"/>
      <c r="J392" s="61"/>
      <c r="K392" s="61"/>
      <c r="L392" s="60"/>
      <c r="M392" s="74" t="str">
        <f t="shared" si="51"/>
        <v/>
      </c>
      <c r="N392" s="74" t="str">
        <f t="shared" si="52"/>
        <v/>
      </c>
      <c r="O392" s="73" t="str">
        <f t="shared" si="53"/>
        <v/>
      </c>
      <c r="P392" s="65" t="str">
        <f t="shared" ca="1" si="54"/>
        <v/>
      </c>
      <c r="Q392" s="2"/>
      <c r="R392" s="2"/>
      <c r="S392" s="1" t="str">
        <f t="shared" si="55"/>
        <v/>
      </c>
      <c r="T392" s="1" t="str">
        <f>IF(OR($C392="",$D392&lt;&gt;"Gelir",$L392=""),"",IFERROR(INDEX(MUSTERILER!$B$7:$B$156,MATCH($S392,MUSTERILER!$T$7:$T$156,0)),""))</f>
        <v/>
      </c>
      <c r="U392" s="1" t="str">
        <f>IF($T392="","",$T392&amp;"|"&amp;COUNTIFS($T$7:$T392,$T392))</f>
        <v/>
      </c>
      <c r="V392" s="1">
        <f t="shared" si="56"/>
        <v>0</v>
      </c>
      <c r="W392" s="1" t="str">
        <f t="shared" si="57"/>
        <v/>
      </c>
      <c r="X392" s="1"/>
      <c r="Y392" s="1"/>
      <c r="Z392" s="1"/>
      <c r="AA392" s="1"/>
      <c r="AB392" s="1"/>
      <c r="AC392" s="1"/>
      <c r="AD392" s="1">
        <f>IF($C392="",0,SUMPRODUCT((AY_SONU!$O$7:$O$42="Evet")*(AY_SONU!$B$7:$B$42=DATE(YEAR($C392),MONTH($C392),1))))</f>
        <v>0</v>
      </c>
      <c r="AE392" s="1" t="str">
        <f>IF($E392="","",$E392&amp;"|"&amp;COUNTIFS($E$7:$E392,$E392))</f>
        <v/>
      </c>
    </row>
    <row r="393" spans="1:31" ht="18" customHeight="1" x14ac:dyDescent="0.3">
      <c r="A393" s="2"/>
      <c r="B393" s="65" t="str">
        <f t="shared" si="50"/>
        <v/>
      </c>
      <c r="C393" s="66"/>
      <c r="D393" s="60"/>
      <c r="E393" s="61"/>
      <c r="F393" s="61"/>
      <c r="G393" s="67"/>
      <c r="H393" s="60"/>
      <c r="I393" s="60"/>
      <c r="J393" s="61"/>
      <c r="K393" s="61"/>
      <c r="L393" s="60"/>
      <c r="M393" s="74" t="str">
        <f t="shared" si="51"/>
        <v/>
      </c>
      <c r="N393" s="74" t="str">
        <f t="shared" si="52"/>
        <v/>
      </c>
      <c r="O393" s="73" t="str">
        <f t="shared" si="53"/>
        <v/>
      </c>
      <c r="P393" s="65" t="str">
        <f t="shared" ca="1" si="54"/>
        <v/>
      </c>
      <c r="Q393" s="2"/>
      <c r="R393" s="2"/>
      <c r="S393" s="1" t="str">
        <f t="shared" si="55"/>
        <v/>
      </c>
      <c r="T393" s="1" t="str">
        <f>IF(OR($C393="",$D393&lt;&gt;"Gelir",$L393=""),"",IFERROR(INDEX(MUSTERILER!$B$7:$B$156,MATCH($S393,MUSTERILER!$T$7:$T$156,0)),""))</f>
        <v/>
      </c>
      <c r="U393" s="1" t="str">
        <f>IF($T393="","",$T393&amp;"|"&amp;COUNTIFS($T$7:$T393,$T393))</f>
        <v/>
      </c>
      <c r="V393" s="1">
        <f t="shared" si="56"/>
        <v>0</v>
      </c>
      <c r="W393" s="1" t="str">
        <f t="shared" si="57"/>
        <v/>
      </c>
      <c r="X393" s="1"/>
      <c r="Y393" s="1"/>
      <c r="Z393" s="1"/>
      <c r="AA393" s="1"/>
      <c r="AB393" s="1"/>
      <c r="AC393" s="1"/>
      <c r="AD393" s="1">
        <f>IF($C393="",0,SUMPRODUCT((AY_SONU!$O$7:$O$42="Evet")*(AY_SONU!$B$7:$B$42=DATE(YEAR($C393),MONTH($C393),1))))</f>
        <v>0</v>
      </c>
      <c r="AE393" s="1" t="str">
        <f>IF($E393="","",$E393&amp;"|"&amp;COUNTIFS($E$7:$E393,$E393))</f>
        <v/>
      </c>
    </row>
    <row r="394" spans="1:31" ht="18" customHeight="1" x14ac:dyDescent="0.3">
      <c r="A394" s="2"/>
      <c r="B394" s="65" t="str">
        <f t="shared" si="50"/>
        <v/>
      </c>
      <c r="C394" s="66"/>
      <c r="D394" s="60"/>
      <c r="E394" s="61"/>
      <c r="F394" s="61"/>
      <c r="G394" s="67"/>
      <c r="H394" s="60"/>
      <c r="I394" s="60"/>
      <c r="J394" s="61"/>
      <c r="K394" s="61"/>
      <c r="L394" s="60"/>
      <c r="M394" s="74" t="str">
        <f t="shared" si="51"/>
        <v/>
      </c>
      <c r="N394" s="74" t="str">
        <f t="shared" si="52"/>
        <v/>
      </c>
      <c r="O394" s="73" t="str">
        <f t="shared" si="53"/>
        <v/>
      </c>
      <c r="P394" s="65" t="str">
        <f t="shared" ca="1" si="54"/>
        <v/>
      </c>
      <c r="Q394" s="2"/>
      <c r="R394" s="2"/>
      <c r="S394" s="1" t="str">
        <f t="shared" si="55"/>
        <v/>
      </c>
      <c r="T394" s="1" t="str">
        <f>IF(OR($C394="",$D394&lt;&gt;"Gelir",$L394=""),"",IFERROR(INDEX(MUSTERILER!$B$7:$B$156,MATCH($S394,MUSTERILER!$T$7:$T$156,0)),""))</f>
        <v/>
      </c>
      <c r="U394" s="1" t="str">
        <f>IF($T394="","",$T394&amp;"|"&amp;COUNTIFS($T$7:$T394,$T394))</f>
        <v/>
      </c>
      <c r="V394" s="1">
        <f t="shared" si="56"/>
        <v>0</v>
      </c>
      <c r="W394" s="1" t="str">
        <f t="shared" si="57"/>
        <v/>
      </c>
      <c r="X394" s="1"/>
      <c r="Y394" s="1"/>
      <c r="Z394" s="1"/>
      <c r="AA394" s="1"/>
      <c r="AB394" s="1"/>
      <c r="AC394" s="1"/>
      <c r="AD394" s="1">
        <f>IF($C394="",0,SUMPRODUCT((AY_SONU!$O$7:$O$42="Evet")*(AY_SONU!$B$7:$B$42=DATE(YEAR($C394),MONTH($C394),1))))</f>
        <v>0</v>
      </c>
      <c r="AE394" s="1" t="str">
        <f>IF($E394="","",$E394&amp;"|"&amp;COUNTIFS($E$7:$E394,$E394))</f>
        <v/>
      </c>
    </row>
    <row r="395" spans="1:31" ht="18" customHeight="1" x14ac:dyDescent="0.3">
      <c r="A395" s="2"/>
      <c r="B395" s="65" t="str">
        <f t="shared" si="50"/>
        <v/>
      </c>
      <c r="C395" s="66"/>
      <c r="D395" s="60"/>
      <c r="E395" s="61"/>
      <c r="F395" s="61"/>
      <c r="G395" s="67"/>
      <c r="H395" s="60"/>
      <c r="I395" s="60"/>
      <c r="J395" s="61"/>
      <c r="K395" s="61"/>
      <c r="L395" s="60"/>
      <c r="M395" s="74" t="str">
        <f t="shared" si="51"/>
        <v/>
      </c>
      <c r="N395" s="74" t="str">
        <f t="shared" si="52"/>
        <v/>
      </c>
      <c r="O395" s="73" t="str">
        <f t="shared" si="53"/>
        <v/>
      </c>
      <c r="P395" s="65" t="str">
        <f t="shared" ca="1" si="54"/>
        <v/>
      </c>
      <c r="Q395" s="2"/>
      <c r="R395" s="2"/>
      <c r="S395" s="1" t="str">
        <f t="shared" si="55"/>
        <v/>
      </c>
      <c r="T395" s="1" t="str">
        <f>IF(OR($C395="",$D395&lt;&gt;"Gelir",$L395=""),"",IFERROR(INDEX(MUSTERILER!$B$7:$B$156,MATCH($S395,MUSTERILER!$T$7:$T$156,0)),""))</f>
        <v/>
      </c>
      <c r="U395" s="1" t="str">
        <f>IF($T395="","",$T395&amp;"|"&amp;COUNTIFS($T$7:$T395,$T395))</f>
        <v/>
      </c>
      <c r="V395" s="1">
        <f t="shared" si="56"/>
        <v>0</v>
      </c>
      <c r="W395" s="1" t="str">
        <f t="shared" si="57"/>
        <v/>
      </c>
      <c r="X395" s="1"/>
      <c r="Y395" s="1"/>
      <c r="Z395" s="1"/>
      <c r="AA395" s="1"/>
      <c r="AB395" s="1"/>
      <c r="AC395" s="1"/>
      <c r="AD395" s="1">
        <f>IF($C395="",0,SUMPRODUCT((AY_SONU!$O$7:$O$42="Evet")*(AY_SONU!$B$7:$B$42=DATE(YEAR($C395),MONTH($C395),1))))</f>
        <v>0</v>
      </c>
      <c r="AE395" s="1" t="str">
        <f>IF($E395="","",$E395&amp;"|"&amp;COUNTIFS($E$7:$E395,$E395))</f>
        <v/>
      </c>
    </row>
    <row r="396" spans="1:31" ht="18" customHeight="1" x14ac:dyDescent="0.3">
      <c r="A396" s="2"/>
      <c r="B396" s="65" t="str">
        <f t="shared" si="50"/>
        <v/>
      </c>
      <c r="C396" s="66"/>
      <c r="D396" s="60"/>
      <c r="E396" s="61"/>
      <c r="F396" s="61"/>
      <c r="G396" s="67"/>
      <c r="H396" s="60"/>
      <c r="I396" s="60"/>
      <c r="J396" s="61"/>
      <c r="K396" s="61"/>
      <c r="L396" s="60"/>
      <c r="M396" s="74" t="str">
        <f t="shared" si="51"/>
        <v/>
      </c>
      <c r="N396" s="74" t="str">
        <f t="shared" si="52"/>
        <v/>
      </c>
      <c r="O396" s="73" t="str">
        <f t="shared" si="53"/>
        <v/>
      </c>
      <c r="P396" s="65" t="str">
        <f t="shared" ca="1" si="54"/>
        <v/>
      </c>
      <c r="Q396" s="2"/>
      <c r="R396" s="2"/>
      <c r="S396" s="1" t="str">
        <f t="shared" si="55"/>
        <v/>
      </c>
      <c r="T396" s="1" t="str">
        <f>IF(OR($C396="",$D396&lt;&gt;"Gelir",$L396=""),"",IFERROR(INDEX(MUSTERILER!$B$7:$B$156,MATCH($S396,MUSTERILER!$T$7:$T$156,0)),""))</f>
        <v/>
      </c>
      <c r="U396" s="1" t="str">
        <f>IF($T396="","",$T396&amp;"|"&amp;COUNTIFS($T$7:$T396,$T396))</f>
        <v/>
      </c>
      <c r="V396" s="1">
        <f t="shared" si="56"/>
        <v>0</v>
      </c>
      <c r="W396" s="1" t="str">
        <f t="shared" si="57"/>
        <v/>
      </c>
      <c r="X396" s="1"/>
      <c r="Y396" s="1"/>
      <c r="Z396" s="1"/>
      <c r="AA396" s="1"/>
      <c r="AB396" s="1"/>
      <c r="AC396" s="1"/>
      <c r="AD396" s="1">
        <f>IF($C396="",0,SUMPRODUCT((AY_SONU!$O$7:$O$42="Evet")*(AY_SONU!$B$7:$B$42=DATE(YEAR($C396),MONTH($C396),1))))</f>
        <v>0</v>
      </c>
      <c r="AE396" s="1" t="str">
        <f>IF($E396="","",$E396&amp;"|"&amp;COUNTIFS($E$7:$E396,$E396))</f>
        <v/>
      </c>
    </row>
    <row r="397" spans="1:31" ht="18" customHeight="1" x14ac:dyDescent="0.3">
      <c r="A397" s="2"/>
      <c r="B397" s="65" t="str">
        <f t="shared" si="50"/>
        <v/>
      </c>
      <c r="C397" s="66"/>
      <c r="D397" s="60"/>
      <c r="E397" s="61"/>
      <c r="F397" s="61"/>
      <c r="G397" s="67"/>
      <c r="H397" s="60"/>
      <c r="I397" s="60"/>
      <c r="J397" s="61"/>
      <c r="K397" s="61"/>
      <c r="L397" s="60"/>
      <c r="M397" s="74" t="str">
        <f t="shared" si="51"/>
        <v/>
      </c>
      <c r="N397" s="74" t="str">
        <f t="shared" si="52"/>
        <v/>
      </c>
      <c r="O397" s="73" t="str">
        <f t="shared" si="53"/>
        <v/>
      </c>
      <c r="P397" s="65" t="str">
        <f t="shared" ca="1" si="54"/>
        <v/>
      </c>
      <c r="Q397" s="2"/>
      <c r="R397" s="2"/>
      <c r="S397" s="1" t="str">
        <f t="shared" si="55"/>
        <v/>
      </c>
      <c r="T397" s="1" t="str">
        <f>IF(OR($C397="",$D397&lt;&gt;"Gelir",$L397=""),"",IFERROR(INDEX(MUSTERILER!$B$7:$B$156,MATCH($S397,MUSTERILER!$T$7:$T$156,0)),""))</f>
        <v/>
      </c>
      <c r="U397" s="1" t="str">
        <f>IF($T397="","",$T397&amp;"|"&amp;COUNTIFS($T$7:$T397,$T397))</f>
        <v/>
      </c>
      <c r="V397" s="1">
        <f t="shared" si="56"/>
        <v>0</v>
      </c>
      <c r="W397" s="1" t="str">
        <f t="shared" si="57"/>
        <v/>
      </c>
      <c r="X397" s="1"/>
      <c r="Y397" s="1"/>
      <c r="Z397" s="1"/>
      <c r="AA397" s="1"/>
      <c r="AB397" s="1"/>
      <c r="AC397" s="1"/>
      <c r="AD397" s="1">
        <f>IF($C397="",0,SUMPRODUCT((AY_SONU!$O$7:$O$42="Evet")*(AY_SONU!$B$7:$B$42=DATE(YEAR($C397),MONTH($C397),1))))</f>
        <v>0</v>
      </c>
      <c r="AE397" s="1" t="str">
        <f>IF($E397="","",$E397&amp;"|"&amp;COUNTIFS($E$7:$E397,$E397))</f>
        <v/>
      </c>
    </row>
    <row r="398" spans="1:31" ht="18" customHeight="1" x14ac:dyDescent="0.3">
      <c r="A398" s="2"/>
      <c r="B398" s="65" t="str">
        <f t="shared" si="50"/>
        <v/>
      </c>
      <c r="C398" s="66"/>
      <c r="D398" s="60"/>
      <c r="E398" s="61"/>
      <c r="F398" s="61"/>
      <c r="G398" s="67"/>
      <c r="H398" s="60"/>
      <c r="I398" s="60"/>
      <c r="J398" s="61"/>
      <c r="K398" s="61"/>
      <c r="L398" s="60"/>
      <c r="M398" s="74" t="str">
        <f t="shared" si="51"/>
        <v/>
      </c>
      <c r="N398" s="74" t="str">
        <f t="shared" si="52"/>
        <v/>
      </c>
      <c r="O398" s="73" t="str">
        <f t="shared" si="53"/>
        <v/>
      </c>
      <c r="P398" s="65" t="str">
        <f t="shared" ca="1" si="54"/>
        <v/>
      </c>
      <c r="Q398" s="2"/>
      <c r="R398" s="2"/>
      <c r="S398" s="1" t="str">
        <f t="shared" si="55"/>
        <v/>
      </c>
      <c r="T398" s="1" t="str">
        <f>IF(OR($C398="",$D398&lt;&gt;"Gelir",$L398=""),"",IFERROR(INDEX(MUSTERILER!$B$7:$B$156,MATCH($S398,MUSTERILER!$T$7:$T$156,0)),""))</f>
        <v/>
      </c>
      <c r="U398" s="1" t="str">
        <f>IF($T398="","",$T398&amp;"|"&amp;COUNTIFS($T$7:$T398,$T398))</f>
        <v/>
      </c>
      <c r="V398" s="1">
        <f t="shared" si="56"/>
        <v>0</v>
      </c>
      <c r="W398" s="1" t="str">
        <f t="shared" si="57"/>
        <v/>
      </c>
      <c r="X398" s="1"/>
      <c r="Y398" s="1"/>
      <c r="Z398" s="1"/>
      <c r="AA398" s="1"/>
      <c r="AB398" s="1"/>
      <c r="AC398" s="1"/>
      <c r="AD398" s="1">
        <f>IF($C398="",0,SUMPRODUCT((AY_SONU!$O$7:$O$42="Evet")*(AY_SONU!$B$7:$B$42=DATE(YEAR($C398),MONTH($C398),1))))</f>
        <v>0</v>
      </c>
      <c r="AE398" s="1" t="str">
        <f>IF($E398="","",$E398&amp;"|"&amp;COUNTIFS($E$7:$E398,$E398))</f>
        <v/>
      </c>
    </row>
    <row r="399" spans="1:31" ht="18" customHeight="1" x14ac:dyDescent="0.3">
      <c r="A399" s="2"/>
      <c r="B399" s="65" t="str">
        <f t="shared" si="50"/>
        <v/>
      </c>
      <c r="C399" s="66"/>
      <c r="D399" s="60"/>
      <c r="E399" s="61"/>
      <c r="F399" s="61"/>
      <c r="G399" s="67"/>
      <c r="H399" s="60"/>
      <c r="I399" s="60"/>
      <c r="J399" s="61"/>
      <c r="K399" s="61"/>
      <c r="L399" s="60"/>
      <c r="M399" s="74" t="str">
        <f t="shared" si="51"/>
        <v/>
      </c>
      <c r="N399" s="74" t="str">
        <f t="shared" si="52"/>
        <v/>
      </c>
      <c r="O399" s="73" t="str">
        <f t="shared" si="53"/>
        <v/>
      </c>
      <c r="P399" s="65" t="str">
        <f t="shared" ca="1" si="54"/>
        <v/>
      </c>
      <c r="Q399" s="2"/>
      <c r="R399" s="2"/>
      <c r="S399" s="1" t="str">
        <f t="shared" si="55"/>
        <v/>
      </c>
      <c r="T399" s="1" t="str">
        <f>IF(OR($C399="",$D399&lt;&gt;"Gelir",$L399=""),"",IFERROR(INDEX(MUSTERILER!$B$7:$B$156,MATCH($S399,MUSTERILER!$T$7:$T$156,0)),""))</f>
        <v/>
      </c>
      <c r="U399" s="1" t="str">
        <f>IF($T399="","",$T399&amp;"|"&amp;COUNTIFS($T$7:$T399,$T399))</f>
        <v/>
      </c>
      <c r="V399" s="1">
        <f t="shared" si="56"/>
        <v>0</v>
      </c>
      <c r="W399" s="1" t="str">
        <f t="shared" si="57"/>
        <v/>
      </c>
      <c r="X399" s="1"/>
      <c r="Y399" s="1"/>
      <c r="Z399" s="1"/>
      <c r="AA399" s="1"/>
      <c r="AB399" s="1"/>
      <c r="AC399" s="1"/>
      <c r="AD399" s="1">
        <f>IF($C399="",0,SUMPRODUCT((AY_SONU!$O$7:$O$42="Evet")*(AY_SONU!$B$7:$B$42=DATE(YEAR($C399),MONTH($C399),1))))</f>
        <v>0</v>
      </c>
      <c r="AE399" s="1" t="str">
        <f>IF($E399="","",$E399&amp;"|"&amp;COUNTIFS($E$7:$E399,$E399))</f>
        <v/>
      </c>
    </row>
    <row r="400" spans="1:31" ht="18" customHeight="1" x14ac:dyDescent="0.3">
      <c r="A400" s="2"/>
      <c r="B400" s="65" t="str">
        <f t="shared" si="50"/>
        <v/>
      </c>
      <c r="C400" s="66"/>
      <c r="D400" s="60"/>
      <c r="E400" s="61"/>
      <c r="F400" s="61"/>
      <c r="G400" s="67"/>
      <c r="H400" s="60"/>
      <c r="I400" s="60"/>
      <c r="J400" s="61"/>
      <c r="K400" s="61"/>
      <c r="L400" s="60"/>
      <c r="M400" s="74" t="str">
        <f t="shared" si="51"/>
        <v/>
      </c>
      <c r="N400" s="74" t="str">
        <f t="shared" si="52"/>
        <v/>
      </c>
      <c r="O400" s="73" t="str">
        <f t="shared" si="53"/>
        <v/>
      </c>
      <c r="P400" s="65" t="str">
        <f t="shared" ca="1" si="54"/>
        <v/>
      </c>
      <c r="Q400" s="2"/>
      <c r="R400" s="2"/>
      <c r="S400" s="1" t="str">
        <f t="shared" si="55"/>
        <v/>
      </c>
      <c r="T400" s="1" t="str">
        <f>IF(OR($C400="",$D400&lt;&gt;"Gelir",$L400=""),"",IFERROR(INDEX(MUSTERILER!$B$7:$B$156,MATCH($S400,MUSTERILER!$T$7:$T$156,0)),""))</f>
        <v/>
      </c>
      <c r="U400" s="1" t="str">
        <f>IF($T400="","",$T400&amp;"|"&amp;COUNTIFS($T$7:$T400,$T400))</f>
        <v/>
      </c>
      <c r="V400" s="1">
        <f t="shared" si="56"/>
        <v>0</v>
      </c>
      <c r="W400" s="1" t="str">
        <f t="shared" si="57"/>
        <v/>
      </c>
      <c r="X400" s="1"/>
      <c r="Y400" s="1"/>
      <c r="Z400" s="1"/>
      <c r="AA400" s="1"/>
      <c r="AB400" s="1"/>
      <c r="AC400" s="1"/>
      <c r="AD400" s="1">
        <f>IF($C400="",0,SUMPRODUCT((AY_SONU!$O$7:$O$42="Evet")*(AY_SONU!$B$7:$B$42=DATE(YEAR($C400),MONTH($C400),1))))</f>
        <v>0</v>
      </c>
      <c r="AE400" s="1" t="str">
        <f>IF($E400="","",$E400&amp;"|"&amp;COUNTIFS($E$7:$E400,$E400))</f>
        <v/>
      </c>
    </row>
    <row r="401" spans="1:31" ht="18" customHeight="1" x14ac:dyDescent="0.3">
      <c r="A401" s="2"/>
      <c r="B401" s="65" t="str">
        <f t="shared" si="50"/>
        <v/>
      </c>
      <c r="C401" s="66"/>
      <c r="D401" s="60"/>
      <c r="E401" s="61"/>
      <c r="F401" s="61"/>
      <c r="G401" s="67"/>
      <c r="H401" s="60"/>
      <c r="I401" s="60"/>
      <c r="J401" s="61"/>
      <c r="K401" s="61"/>
      <c r="L401" s="60"/>
      <c r="M401" s="74" t="str">
        <f t="shared" si="51"/>
        <v/>
      </c>
      <c r="N401" s="74" t="str">
        <f t="shared" si="52"/>
        <v/>
      </c>
      <c r="O401" s="73" t="str">
        <f t="shared" si="53"/>
        <v/>
      </c>
      <c r="P401" s="65" t="str">
        <f t="shared" ca="1" si="54"/>
        <v/>
      </c>
      <c r="Q401" s="2"/>
      <c r="R401" s="2"/>
      <c r="S401" s="1" t="str">
        <f t="shared" si="55"/>
        <v/>
      </c>
      <c r="T401" s="1" t="str">
        <f>IF(OR($C401="",$D401&lt;&gt;"Gelir",$L401=""),"",IFERROR(INDEX(MUSTERILER!$B$7:$B$156,MATCH($S401,MUSTERILER!$T$7:$T$156,0)),""))</f>
        <v/>
      </c>
      <c r="U401" s="1" t="str">
        <f>IF($T401="","",$T401&amp;"|"&amp;COUNTIFS($T$7:$T401,$T401))</f>
        <v/>
      </c>
      <c r="V401" s="1">
        <f t="shared" si="56"/>
        <v>0</v>
      </c>
      <c r="W401" s="1" t="str">
        <f t="shared" si="57"/>
        <v/>
      </c>
      <c r="X401" s="1"/>
      <c r="Y401" s="1"/>
      <c r="Z401" s="1"/>
      <c r="AA401" s="1"/>
      <c r="AB401" s="1"/>
      <c r="AC401" s="1"/>
      <c r="AD401" s="1">
        <f>IF($C401="",0,SUMPRODUCT((AY_SONU!$O$7:$O$42="Evet")*(AY_SONU!$B$7:$B$42=DATE(YEAR($C401),MONTH($C401),1))))</f>
        <v>0</v>
      </c>
      <c r="AE401" s="1" t="str">
        <f>IF($E401="","",$E401&amp;"|"&amp;COUNTIFS($E$7:$E401,$E401))</f>
        <v/>
      </c>
    </row>
    <row r="402" spans="1:31" ht="18" customHeight="1" x14ac:dyDescent="0.3">
      <c r="A402" s="2"/>
      <c r="B402" s="65" t="str">
        <f t="shared" si="50"/>
        <v/>
      </c>
      <c r="C402" s="66"/>
      <c r="D402" s="60"/>
      <c r="E402" s="61"/>
      <c r="F402" s="61"/>
      <c r="G402" s="67"/>
      <c r="H402" s="60"/>
      <c r="I402" s="60"/>
      <c r="J402" s="61"/>
      <c r="K402" s="61"/>
      <c r="L402" s="60"/>
      <c r="M402" s="74" t="str">
        <f t="shared" si="51"/>
        <v/>
      </c>
      <c r="N402" s="74" t="str">
        <f t="shared" si="52"/>
        <v/>
      </c>
      <c r="O402" s="73" t="str">
        <f t="shared" si="53"/>
        <v/>
      </c>
      <c r="P402" s="65" t="str">
        <f t="shared" ca="1" si="54"/>
        <v/>
      </c>
      <c r="Q402" s="2"/>
      <c r="R402" s="2"/>
      <c r="S402" s="1" t="str">
        <f t="shared" si="55"/>
        <v/>
      </c>
      <c r="T402" s="1" t="str">
        <f>IF(OR($C402="",$D402&lt;&gt;"Gelir",$L402=""),"",IFERROR(INDEX(MUSTERILER!$B$7:$B$156,MATCH($S402,MUSTERILER!$T$7:$T$156,0)),""))</f>
        <v/>
      </c>
      <c r="U402" s="1" t="str">
        <f>IF($T402="","",$T402&amp;"|"&amp;COUNTIFS($T$7:$T402,$T402))</f>
        <v/>
      </c>
      <c r="V402" s="1">
        <f t="shared" si="56"/>
        <v>0</v>
      </c>
      <c r="W402" s="1" t="str">
        <f t="shared" si="57"/>
        <v/>
      </c>
      <c r="X402" s="1"/>
      <c r="Y402" s="1"/>
      <c r="Z402" s="1"/>
      <c r="AA402" s="1"/>
      <c r="AB402" s="1"/>
      <c r="AC402" s="1"/>
      <c r="AD402" s="1">
        <f>IF($C402="",0,SUMPRODUCT((AY_SONU!$O$7:$O$42="Evet")*(AY_SONU!$B$7:$B$42=DATE(YEAR($C402),MONTH($C402),1))))</f>
        <v>0</v>
      </c>
      <c r="AE402" s="1" t="str">
        <f>IF($E402="","",$E402&amp;"|"&amp;COUNTIFS($E$7:$E402,$E402))</f>
        <v/>
      </c>
    </row>
    <row r="403" spans="1:31" ht="18" customHeight="1" x14ac:dyDescent="0.3">
      <c r="A403" s="2"/>
      <c r="B403" s="65" t="str">
        <f t="shared" si="50"/>
        <v/>
      </c>
      <c r="C403" s="66"/>
      <c r="D403" s="60"/>
      <c r="E403" s="61"/>
      <c r="F403" s="61"/>
      <c r="G403" s="67"/>
      <c r="H403" s="60"/>
      <c r="I403" s="60"/>
      <c r="J403" s="61"/>
      <c r="K403" s="61"/>
      <c r="L403" s="60"/>
      <c r="M403" s="74" t="str">
        <f t="shared" si="51"/>
        <v/>
      </c>
      <c r="N403" s="74" t="str">
        <f t="shared" si="52"/>
        <v/>
      </c>
      <c r="O403" s="73" t="str">
        <f t="shared" si="53"/>
        <v/>
      </c>
      <c r="P403" s="65" t="str">
        <f t="shared" ca="1" si="54"/>
        <v/>
      </c>
      <c r="Q403" s="2"/>
      <c r="R403" s="2"/>
      <c r="S403" s="1" t="str">
        <f t="shared" si="55"/>
        <v/>
      </c>
      <c r="T403" s="1" t="str">
        <f>IF(OR($C403="",$D403&lt;&gt;"Gelir",$L403=""),"",IFERROR(INDEX(MUSTERILER!$B$7:$B$156,MATCH($S403,MUSTERILER!$T$7:$T$156,0)),""))</f>
        <v/>
      </c>
      <c r="U403" s="1" t="str">
        <f>IF($T403="","",$T403&amp;"|"&amp;COUNTIFS($T$7:$T403,$T403))</f>
        <v/>
      </c>
      <c r="V403" s="1">
        <f t="shared" si="56"/>
        <v>0</v>
      </c>
      <c r="W403" s="1" t="str">
        <f t="shared" si="57"/>
        <v/>
      </c>
      <c r="X403" s="1"/>
      <c r="Y403" s="1"/>
      <c r="Z403" s="1"/>
      <c r="AA403" s="1"/>
      <c r="AB403" s="1"/>
      <c r="AC403" s="1"/>
      <c r="AD403" s="1">
        <f>IF($C403="",0,SUMPRODUCT((AY_SONU!$O$7:$O$42="Evet")*(AY_SONU!$B$7:$B$42=DATE(YEAR($C403),MONTH($C403),1))))</f>
        <v>0</v>
      </c>
      <c r="AE403" s="1" t="str">
        <f>IF($E403="","",$E403&amp;"|"&amp;COUNTIFS($E$7:$E403,$E403))</f>
        <v/>
      </c>
    </row>
    <row r="404" spans="1:31" ht="18" customHeight="1" x14ac:dyDescent="0.3">
      <c r="A404" s="2"/>
      <c r="B404" s="65" t="str">
        <f t="shared" si="50"/>
        <v/>
      </c>
      <c r="C404" s="66"/>
      <c r="D404" s="60"/>
      <c r="E404" s="61"/>
      <c r="F404" s="61"/>
      <c r="G404" s="67"/>
      <c r="H404" s="60"/>
      <c r="I404" s="60"/>
      <c r="J404" s="61"/>
      <c r="K404" s="61"/>
      <c r="L404" s="60"/>
      <c r="M404" s="74" t="str">
        <f t="shared" si="51"/>
        <v/>
      </c>
      <c r="N404" s="74" t="str">
        <f t="shared" si="52"/>
        <v/>
      </c>
      <c r="O404" s="73" t="str">
        <f t="shared" si="53"/>
        <v/>
      </c>
      <c r="P404" s="65" t="str">
        <f t="shared" ca="1" si="54"/>
        <v/>
      </c>
      <c r="Q404" s="2"/>
      <c r="R404" s="2"/>
      <c r="S404" s="1" t="str">
        <f t="shared" si="55"/>
        <v/>
      </c>
      <c r="T404" s="1" t="str">
        <f>IF(OR($C404="",$D404&lt;&gt;"Gelir",$L404=""),"",IFERROR(INDEX(MUSTERILER!$B$7:$B$156,MATCH($S404,MUSTERILER!$T$7:$T$156,0)),""))</f>
        <v/>
      </c>
      <c r="U404" s="1" t="str">
        <f>IF($T404="","",$T404&amp;"|"&amp;COUNTIFS($T$7:$T404,$T404))</f>
        <v/>
      </c>
      <c r="V404" s="1">
        <f t="shared" si="56"/>
        <v>0</v>
      </c>
      <c r="W404" s="1" t="str">
        <f t="shared" si="57"/>
        <v/>
      </c>
      <c r="X404" s="1"/>
      <c r="Y404" s="1"/>
      <c r="Z404" s="1"/>
      <c r="AA404" s="1"/>
      <c r="AB404" s="1"/>
      <c r="AC404" s="1"/>
      <c r="AD404" s="1">
        <f>IF($C404="",0,SUMPRODUCT((AY_SONU!$O$7:$O$42="Evet")*(AY_SONU!$B$7:$B$42=DATE(YEAR($C404),MONTH($C404),1))))</f>
        <v>0</v>
      </c>
      <c r="AE404" s="1" t="str">
        <f>IF($E404="","",$E404&amp;"|"&amp;COUNTIFS($E$7:$E404,$E404))</f>
        <v/>
      </c>
    </row>
    <row r="405" spans="1:31" ht="18" customHeight="1" x14ac:dyDescent="0.3">
      <c r="A405" s="2"/>
      <c r="B405" s="65" t="str">
        <f t="shared" si="50"/>
        <v/>
      </c>
      <c r="C405" s="66"/>
      <c r="D405" s="60"/>
      <c r="E405" s="61"/>
      <c r="F405" s="61"/>
      <c r="G405" s="67"/>
      <c r="H405" s="60"/>
      <c r="I405" s="60"/>
      <c r="J405" s="61"/>
      <c r="K405" s="61"/>
      <c r="L405" s="60"/>
      <c r="M405" s="74" t="str">
        <f t="shared" si="51"/>
        <v/>
      </c>
      <c r="N405" s="74" t="str">
        <f t="shared" si="52"/>
        <v/>
      </c>
      <c r="O405" s="73" t="str">
        <f t="shared" si="53"/>
        <v/>
      </c>
      <c r="P405" s="65" t="str">
        <f t="shared" ca="1" si="54"/>
        <v/>
      </c>
      <c r="Q405" s="2"/>
      <c r="R405" s="2"/>
      <c r="S405" s="1" t="str">
        <f t="shared" si="55"/>
        <v/>
      </c>
      <c r="T405" s="1" t="str">
        <f>IF(OR($C405="",$D405&lt;&gt;"Gelir",$L405=""),"",IFERROR(INDEX(MUSTERILER!$B$7:$B$156,MATCH($S405,MUSTERILER!$T$7:$T$156,0)),""))</f>
        <v/>
      </c>
      <c r="U405" s="1" t="str">
        <f>IF($T405="","",$T405&amp;"|"&amp;COUNTIFS($T$7:$T405,$T405))</f>
        <v/>
      </c>
      <c r="V405" s="1">
        <f t="shared" si="56"/>
        <v>0</v>
      </c>
      <c r="W405" s="1" t="str">
        <f t="shared" si="57"/>
        <v/>
      </c>
      <c r="X405" s="1"/>
      <c r="Y405" s="1"/>
      <c r="Z405" s="1"/>
      <c r="AA405" s="1"/>
      <c r="AB405" s="1"/>
      <c r="AC405" s="1"/>
      <c r="AD405" s="1">
        <f>IF($C405="",0,SUMPRODUCT((AY_SONU!$O$7:$O$42="Evet")*(AY_SONU!$B$7:$B$42=DATE(YEAR($C405),MONTH($C405),1))))</f>
        <v>0</v>
      </c>
      <c r="AE405" s="1" t="str">
        <f>IF($E405="","",$E405&amp;"|"&amp;COUNTIFS($E$7:$E405,$E405))</f>
        <v/>
      </c>
    </row>
    <row r="406" spans="1:31" ht="18" customHeight="1" x14ac:dyDescent="0.3">
      <c r="A406" s="2"/>
      <c r="B406" s="65" t="str">
        <f t="shared" si="50"/>
        <v/>
      </c>
      <c r="C406" s="66"/>
      <c r="D406" s="60"/>
      <c r="E406" s="61"/>
      <c r="F406" s="61"/>
      <c r="G406" s="67"/>
      <c r="H406" s="60"/>
      <c r="I406" s="60"/>
      <c r="J406" s="61"/>
      <c r="K406" s="61"/>
      <c r="L406" s="60"/>
      <c r="M406" s="74" t="str">
        <f t="shared" si="51"/>
        <v/>
      </c>
      <c r="N406" s="74" t="str">
        <f t="shared" si="52"/>
        <v/>
      </c>
      <c r="O406" s="73" t="str">
        <f t="shared" si="53"/>
        <v/>
      </c>
      <c r="P406" s="65" t="str">
        <f t="shared" ca="1" si="54"/>
        <v/>
      </c>
      <c r="Q406" s="2"/>
      <c r="R406" s="2"/>
      <c r="S406" s="1" t="str">
        <f t="shared" si="55"/>
        <v/>
      </c>
      <c r="T406" s="1" t="str">
        <f>IF(OR($C406="",$D406&lt;&gt;"Gelir",$L406=""),"",IFERROR(INDEX(MUSTERILER!$B$7:$B$156,MATCH($S406,MUSTERILER!$T$7:$T$156,0)),""))</f>
        <v/>
      </c>
      <c r="U406" s="1" t="str">
        <f>IF($T406="","",$T406&amp;"|"&amp;COUNTIFS($T$7:$T406,$T406))</f>
        <v/>
      </c>
      <c r="V406" s="1">
        <f t="shared" si="56"/>
        <v>0</v>
      </c>
      <c r="W406" s="1" t="str">
        <f t="shared" si="57"/>
        <v/>
      </c>
      <c r="X406" s="1"/>
      <c r="Y406" s="1"/>
      <c r="Z406" s="1"/>
      <c r="AA406" s="1"/>
      <c r="AB406" s="1"/>
      <c r="AC406" s="1"/>
      <c r="AD406" s="1">
        <f>IF($C406="",0,SUMPRODUCT((AY_SONU!$O$7:$O$42="Evet")*(AY_SONU!$B$7:$B$42=DATE(YEAR($C406),MONTH($C406),1))))</f>
        <v>0</v>
      </c>
      <c r="AE406" s="1" t="str">
        <f>IF($E406="","",$E406&amp;"|"&amp;COUNTIFS($E$7:$E406,$E406))</f>
        <v/>
      </c>
    </row>
    <row r="407" spans="1:31" ht="18" customHeight="1" x14ac:dyDescent="0.3">
      <c r="A407" s="2"/>
      <c r="B407" s="65" t="str">
        <f t="shared" si="50"/>
        <v/>
      </c>
      <c r="C407" s="66"/>
      <c r="D407" s="60"/>
      <c r="E407" s="61"/>
      <c r="F407" s="61"/>
      <c r="G407" s="67"/>
      <c r="H407" s="60"/>
      <c r="I407" s="60"/>
      <c r="J407" s="61"/>
      <c r="K407" s="61"/>
      <c r="L407" s="60"/>
      <c r="M407" s="74" t="str">
        <f t="shared" si="51"/>
        <v/>
      </c>
      <c r="N407" s="74" t="str">
        <f t="shared" si="52"/>
        <v/>
      </c>
      <c r="O407" s="73" t="str">
        <f t="shared" si="53"/>
        <v/>
      </c>
      <c r="P407" s="65" t="str">
        <f t="shared" ca="1" si="54"/>
        <v/>
      </c>
      <c r="Q407" s="2"/>
      <c r="R407" s="2"/>
      <c r="S407" s="1" t="str">
        <f t="shared" si="55"/>
        <v/>
      </c>
      <c r="T407" s="1" t="str">
        <f>IF(OR($C407="",$D407&lt;&gt;"Gelir",$L407=""),"",IFERROR(INDEX(MUSTERILER!$B$7:$B$156,MATCH($S407,MUSTERILER!$T$7:$T$156,0)),""))</f>
        <v/>
      </c>
      <c r="U407" s="1" t="str">
        <f>IF($T407="","",$T407&amp;"|"&amp;COUNTIFS($T$7:$T407,$T407))</f>
        <v/>
      </c>
      <c r="V407" s="1">
        <f t="shared" si="56"/>
        <v>0</v>
      </c>
      <c r="W407" s="1" t="str">
        <f t="shared" si="57"/>
        <v/>
      </c>
      <c r="X407" s="1"/>
      <c r="Y407" s="1"/>
      <c r="Z407" s="1"/>
      <c r="AA407" s="1"/>
      <c r="AB407" s="1"/>
      <c r="AC407" s="1"/>
      <c r="AD407" s="1">
        <f>IF($C407="",0,SUMPRODUCT((AY_SONU!$O$7:$O$42="Evet")*(AY_SONU!$B$7:$B$42=DATE(YEAR($C407),MONTH($C407),1))))</f>
        <v>0</v>
      </c>
      <c r="AE407" s="1" t="str">
        <f>IF($E407="","",$E407&amp;"|"&amp;COUNTIFS($E$7:$E407,$E407))</f>
        <v/>
      </c>
    </row>
    <row r="408" spans="1:31" ht="18" customHeight="1" x14ac:dyDescent="0.3">
      <c r="A408" s="2"/>
      <c r="B408" s="65" t="str">
        <f t="shared" si="50"/>
        <v/>
      </c>
      <c r="C408" s="66"/>
      <c r="D408" s="60"/>
      <c r="E408" s="61"/>
      <c r="F408" s="61"/>
      <c r="G408" s="67"/>
      <c r="H408" s="60"/>
      <c r="I408" s="60"/>
      <c r="J408" s="61"/>
      <c r="K408" s="61"/>
      <c r="L408" s="60"/>
      <c r="M408" s="74" t="str">
        <f t="shared" si="51"/>
        <v/>
      </c>
      <c r="N408" s="74" t="str">
        <f t="shared" si="52"/>
        <v/>
      </c>
      <c r="O408" s="73" t="str">
        <f t="shared" si="53"/>
        <v/>
      </c>
      <c r="P408" s="65" t="str">
        <f t="shared" ca="1" si="54"/>
        <v/>
      </c>
      <c r="Q408" s="2"/>
      <c r="R408" s="2"/>
      <c r="S408" s="1" t="str">
        <f t="shared" si="55"/>
        <v/>
      </c>
      <c r="T408" s="1" t="str">
        <f>IF(OR($C408="",$D408&lt;&gt;"Gelir",$L408=""),"",IFERROR(INDEX(MUSTERILER!$B$7:$B$156,MATCH($S408,MUSTERILER!$T$7:$T$156,0)),""))</f>
        <v/>
      </c>
      <c r="U408" s="1" t="str">
        <f>IF($T408="","",$T408&amp;"|"&amp;COUNTIFS($T$7:$T408,$T408))</f>
        <v/>
      </c>
      <c r="V408" s="1">
        <f t="shared" si="56"/>
        <v>0</v>
      </c>
      <c r="W408" s="1" t="str">
        <f t="shared" si="57"/>
        <v/>
      </c>
      <c r="X408" s="1"/>
      <c r="Y408" s="1"/>
      <c r="Z408" s="1"/>
      <c r="AA408" s="1"/>
      <c r="AB408" s="1"/>
      <c r="AC408" s="1"/>
      <c r="AD408" s="1">
        <f>IF($C408="",0,SUMPRODUCT((AY_SONU!$O$7:$O$42="Evet")*(AY_SONU!$B$7:$B$42=DATE(YEAR($C408),MONTH($C408),1))))</f>
        <v>0</v>
      </c>
      <c r="AE408" s="1" t="str">
        <f>IF($E408="","",$E408&amp;"|"&amp;COUNTIFS($E$7:$E408,$E408))</f>
        <v/>
      </c>
    </row>
    <row r="409" spans="1:31" ht="18" customHeight="1" x14ac:dyDescent="0.3">
      <c r="A409" s="2"/>
      <c r="B409" s="65" t="str">
        <f t="shared" si="50"/>
        <v/>
      </c>
      <c r="C409" s="66"/>
      <c r="D409" s="60"/>
      <c r="E409" s="61"/>
      <c r="F409" s="61"/>
      <c r="G409" s="67"/>
      <c r="H409" s="60"/>
      <c r="I409" s="60"/>
      <c r="J409" s="61"/>
      <c r="K409" s="61"/>
      <c r="L409" s="60"/>
      <c r="M409" s="74" t="str">
        <f t="shared" si="51"/>
        <v/>
      </c>
      <c r="N409" s="74" t="str">
        <f t="shared" si="52"/>
        <v/>
      </c>
      <c r="O409" s="73" t="str">
        <f t="shared" si="53"/>
        <v/>
      </c>
      <c r="P409" s="65" t="str">
        <f t="shared" ca="1" si="54"/>
        <v/>
      </c>
      <c r="Q409" s="2"/>
      <c r="R409" s="2"/>
      <c r="S409" s="1" t="str">
        <f t="shared" si="55"/>
        <v/>
      </c>
      <c r="T409" s="1" t="str">
        <f>IF(OR($C409="",$D409&lt;&gt;"Gelir",$L409=""),"",IFERROR(INDEX(MUSTERILER!$B$7:$B$156,MATCH($S409,MUSTERILER!$T$7:$T$156,0)),""))</f>
        <v/>
      </c>
      <c r="U409" s="1" t="str">
        <f>IF($T409="","",$T409&amp;"|"&amp;COUNTIFS($T$7:$T409,$T409))</f>
        <v/>
      </c>
      <c r="V409" s="1">
        <f t="shared" si="56"/>
        <v>0</v>
      </c>
      <c r="W409" s="1" t="str">
        <f t="shared" si="57"/>
        <v/>
      </c>
      <c r="X409" s="1"/>
      <c r="Y409" s="1"/>
      <c r="Z409" s="1"/>
      <c r="AA409" s="1"/>
      <c r="AB409" s="1"/>
      <c r="AC409" s="1"/>
      <c r="AD409" s="1">
        <f>IF($C409="",0,SUMPRODUCT((AY_SONU!$O$7:$O$42="Evet")*(AY_SONU!$B$7:$B$42=DATE(YEAR($C409),MONTH($C409),1))))</f>
        <v>0</v>
      </c>
      <c r="AE409" s="1" t="str">
        <f>IF($E409="","",$E409&amp;"|"&amp;COUNTIFS($E$7:$E409,$E409))</f>
        <v/>
      </c>
    </row>
    <row r="410" spans="1:31" ht="18" customHeight="1" x14ac:dyDescent="0.3">
      <c r="A410" s="2"/>
      <c r="B410" s="65" t="str">
        <f t="shared" si="50"/>
        <v/>
      </c>
      <c r="C410" s="66"/>
      <c r="D410" s="60"/>
      <c r="E410" s="61"/>
      <c r="F410" s="61"/>
      <c r="G410" s="67"/>
      <c r="H410" s="60"/>
      <c r="I410" s="60"/>
      <c r="J410" s="61"/>
      <c r="K410" s="61"/>
      <c r="L410" s="60"/>
      <c r="M410" s="74" t="str">
        <f t="shared" si="51"/>
        <v/>
      </c>
      <c r="N410" s="74" t="str">
        <f t="shared" si="52"/>
        <v/>
      </c>
      <c r="O410" s="73" t="str">
        <f t="shared" si="53"/>
        <v/>
      </c>
      <c r="P410" s="65" t="str">
        <f t="shared" ca="1" si="54"/>
        <v/>
      </c>
      <c r="Q410" s="2"/>
      <c r="R410" s="2"/>
      <c r="S410" s="1" t="str">
        <f t="shared" si="55"/>
        <v/>
      </c>
      <c r="T410" s="1" t="str">
        <f>IF(OR($C410="",$D410&lt;&gt;"Gelir",$L410=""),"",IFERROR(INDEX(MUSTERILER!$B$7:$B$156,MATCH($S410,MUSTERILER!$T$7:$T$156,0)),""))</f>
        <v/>
      </c>
      <c r="U410" s="1" t="str">
        <f>IF($T410="","",$T410&amp;"|"&amp;COUNTIFS($T$7:$T410,$T410))</f>
        <v/>
      </c>
      <c r="V410" s="1">
        <f t="shared" si="56"/>
        <v>0</v>
      </c>
      <c r="W410" s="1" t="str">
        <f t="shared" si="57"/>
        <v/>
      </c>
      <c r="X410" s="1"/>
      <c r="Y410" s="1"/>
      <c r="Z410" s="1"/>
      <c r="AA410" s="1"/>
      <c r="AB410" s="1"/>
      <c r="AC410" s="1"/>
      <c r="AD410" s="1">
        <f>IF($C410="",0,SUMPRODUCT((AY_SONU!$O$7:$O$42="Evet")*(AY_SONU!$B$7:$B$42=DATE(YEAR($C410),MONTH($C410),1))))</f>
        <v>0</v>
      </c>
      <c r="AE410" s="1" t="str">
        <f>IF($E410="","",$E410&amp;"|"&amp;COUNTIFS($E$7:$E410,$E410))</f>
        <v/>
      </c>
    </row>
    <row r="411" spans="1:31" ht="18" customHeight="1" x14ac:dyDescent="0.3">
      <c r="A411" s="2"/>
      <c r="B411" s="65" t="str">
        <f t="shared" si="50"/>
        <v/>
      </c>
      <c r="C411" s="66"/>
      <c r="D411" s="60"/>
      <c r="E411" s="61"/>
      <c r="F411" s="61"/>
      <c r="G411" s="67"/>
      <c r="H411" s="60"/>
      <c r="I411" s="60"/>
      <c r="J411" s="61"/>
      <c r="K411" s="61"/>
      <c r="L411" s="60"/>
      <c r="M411" s="74" t="str">
        <f t="shared" si="51"/>
        <v/>
      </c>
      <c r="N411" s="74" t="str">
        <f t="shared" si="52"/>
        <v/>
      </c>
      <c r="O411" s="73" t="str">
        <f t="shared" si="53"/>
        <v/>
      </c>
      <c r="P411" s="65" t="str">
        <f t="shared" ca="1" si="54"/>
        <v/>
      </c>
      <c r="Q411" s="2"/>
      <c r="R411" s="2"/>
      <c r="S411" s="1" t="str">
        <f t="shared" si="55"/>
        <v/>
      </c>
      <c r="T411" s="1" t="str">
        <f>IF(OR($C411="",$D411&lt;&gt;"Gelir",$L411=""),"",IFERROR(INDEX(MUSTERILER!$B$7:$B$156,MATCH($S411,MUSTERILER!$T$7:$T$156,0)),""))</f>
        <v/>
      </c>
      <c r="U411" s="1" t="str">
        <f>IF($T411="","",$T411&amp;"|"&amp;COUNTIFS($T$7:$T411,$T411))</f>
        <v/>
      </c>
      <c r="V411" s="1">
        <f t="shared" si="56"/>
        <v>0</v>
      </c>
      <c r="W411" s="1" t="str">
        <f t="shared" si="57"/>
        <v/>
      </c>
      <c r="X411" s="1"/>
      <c r="Y411" s="1"/>
      <c r="Z411" s="1"/>
      <c r="AA411" s="1"/>
      <c r="AB411" s="1"/>
      <c r="AC411" s="1"/>
      <c r="AD411" s="1">
        <f>IF($C411="",0,SUMPRODUCT((AY_SONU!$O$7:$O$42="Evet")*(AY_SONU!$B$7:$B$42=DATE(YEAR($C411),MONTH($C411),1))))</f>
        <v>0</v>
      </c>
      <c r="AE411" s="1" t="str">
        <f>IF($E411="","",$E411&amp;"|"&amp;COUNTIFS($E$7:$E411,$E411))</f>
        <v/>
      </c>
    </row>
    <row r="412" spans="1:31" ht="18" customHeight="1" x14ac:dyDescent="0.3">
      <c r="A412" s="2"/>
      <c r="B412" s="65" t="str">
        <f t="shared" si="50"/>
        <v/>
      </c>
      <c r="C412" s="66"/>
      <c r="D412" s="60"/>
      <c r="E412" s="61"/>
      <c r="F412" s="61"/>
      <c r="G412" s="67"/>
      <c r="H412" s="60"/>
      <c r="I412" s="60"/>
      <c r="J412" s="61"/>
      <c r="K412" s="61"/>
      <c r="L412" s="60"/>
      <c r="M412" s="74" t="str">
        <f t="shared" si="51"/>
        <v/>
      </c>
      <c r="N412" s="74" t="str">
        <f t="shared" si="52"/>
        <v/>
      </c>
      <c r="O412" s="73" t="str">
        <f t="shared" si="53"/>
        <v/>
      </c>
      <c r="P412" s="65" t="str">
        <f t="shared" ca="1" si="54"/>
        <v/>
      </c>
      <c r="Q412" s="2"/>
      <c r="R412" s="2"/>
      <c r="S412" s="1" t="str">
        <f t="shared" si="55"/>
        <v/>
      </c>
      <c r="T412" s="1" t="str">
        <f>IF(OR($C412="",$D412&lt;&gt;"Gelir",$L412=""),"",IFERROR(INDEX(MUSTERILER!$B$7:$B$156,MATCH($S412,MUSTERILER!$T$7:$T$156,0)),""))</f>
        <v/>
      </c>
      <c r="U412" s="1" t="str">
        <f>IF($T412="","",$T412&amp;"|"&amp;COUNTIFS($T$7:$T412,$T412))</f>
        <v/>
      </c>
      <c r="V412" s="1">
        <f t="shared" si="56"/>
        <v>0</v>
      </c>
      <c r="W412" s="1" t="str">
        <f t="shared" si="57"/>
        <v/>
      </c>
      <c r="X412" s="1"/>
      <c r="Y412" s="1"/>
      <c r="Z412" s="1"/>
      <c r="AA412" s="1"/>
      <c r="AB412" s="1"/>
      <c r="AC412" s="1"/>
      <c r="AD412" s="1">
        <f>IF($C412="",0,SUMPRODUCT((AY_SONU!$O$7:$O$42="Evet")*(AY_SONU!$B$7:$B$42=DATE(YEAR($C412),MONTH($C412),1))))</f>
        <v>0</v>
      </c>
      <c r="AE412" s="1" t="str">
        <f>IF($E412="","",$E412&amp;"|"&amp;COUNTIFS($E$7:$E412,$E412))</f>
        <v/>
      </c>
    </row>
    <row r="413" spans="1:31" ht="18" customHeight="1" x14ac:dyDescent="0.3">
      <c r="A413" s="2"/>
      <c r="B413" s="65" t="str">
        <f t="shared" si="50"/>
        <v/>
      </c>
      <c r="C413" s="66"/>
      <c r="D413" s="60"/>
      <c r="E413" s="61"/>
      <c r="F413" s="61"/>
      <c r="G413" s="67"/>
      <c r="H413" s="60"/>
      <c r="I413" s="60"/>
      <c r="J413" s="61"/>
      <c r="K413" s="61"/>
      <c r="L413" s="60"/>
      <c r="M413" s="74" t="str">
        <f t="shared" si="51"/>
        <v/>
      </c>
      <c r="N413" s="74" t="str">
        <f t="shared" si="52"/>
        <v/>
      </c>
      <c r="O413" s="73" t="str">
        <f t="shared" si="53"/>
        <v/>
      </c>
      <c r="P413" s="65" t="str">
        <f t="shared" ca="1" si="54"/>
        <v/>
      </c>
      <c r="Q413" s="2"/>
      <c r="R413" s="2"/>
      <c r="S413" s="1" t="str">
        <f t="shared" si="55"/>
        <v/>
      </c>
      <c r="T413" s="1" t="str">
        <f>IF(OR($C413="",$D413&lt;&gt;"Gelir",$L413=""),"",IFERROR(INDEX(MUSTERILER!$B$7:$B$156,MATCH($S413,MUSTERILER!$T$7:$T$156,0)),""))</f>
        <v/>
      </c>
      <c r="U413" s="1" t="str">
        <f>IF($T413="","",$T413&amp;"|"&amp;COUNTIFS($T$7:$T413,$T413))</f>
        <v/>
      </c>
      <c r="V413" s="1">
        <f t="shared" si="56"/>
        <v>0</v>
      </c>
      <c r="W413" s="1" t="str">
        <f t="shared" si="57"/>
        <v/>
      </c>
      <c r="X413" s="1"/>
      <c r="Y413" s="1"/>
      <c r="Z413" s="1"/>
      <c r="AA413" s="1"/>
      <c r="AB413" s="1"/>
      <c r="AC413" s="1"/>
      <c r="AD413" s="1">
        <f>IF($C413="",0,SUMPRODUCT((AY_SONU!$O$7:$O$42="Evet")*(AY_SONU!$B$7:$B$42=DATE(YEAR($C413),MONTH($C413),1))))</f>
        <v>0</v>
      </c>
      <c r="AE413" s="1" t="str">
        <f>IF($E413="","",$E413&amp;"|"&amp;COUNTIFS($E$7:$E413,$E413))</f>
        <v/>
      </c>
    </row>
    <row r="414" spans="1:31" ht="18" customHeight="1" x14ac:dyDescent="0.3">
      <c r="A414" s="2"/>
      <c r="B414" s="65" t="str">
        <f t="shared" si="50"/>
        <v/>
      </c>
      <c r="C414" s="66"/>
      <c r="D414" s="60"/>
      <c r="E414" s="61"/>
      <c r="F414" s="61"/>
      <c r="G414" s="67"/>
      <c r="H414" s="60"/>
      <c r="I414" s="60"/>
      <c r="J414" s="61"/>
      <c r="K414" s="61"/>
      <c r="L414" s="60"/>
      <c r="M414" s="74" t="str">
        <f t="shared" si="51"/>
        <v/>
      </c>
      <c r="N414" s="74" t="str">
        <f t="shared" si="52"/>
        <v/>
      </c>
      <c r="O414" s="73" t="str">
        <f t="shared" si="53"/>
        <v/>
      </c>
      <c r="P414" s="65" t="str">
        <f t="shared" ca="1" si="54"/>
        <v/>
      </c>
      <c r="Q414" s="2"/>
      <c r="R414" s="2"/>
      <c r="S414" s="1" t="str">
        <f t="shared" si="55"/>
        <v/>
      </c>
      <c r="T414" s="1" t="str">
        <f>IF(OR($C414="",$D414&lt;&gt;"Gelir",$L414=""),"",IFERROR(INDEX(MUSTERILER!$B$7:$B$156,MATCH($S414,MUSTERILER!$T$7:$T$156,0)),""))</f>
        <v/>
      </c>
      <c r="U414" s="1" t="str">
        <f>IF($T414="","",$T414&amp;"|"&amp;COUNTIFS($T$7:$T414,$T414))</f>
        <v/>
      </c>
      <c r="V414" s="1">
        <f t="shared" si="56"/>
        <v>0</v>
      </c>
      <c r="W414" s="1" t="str">
        <f t="shared" si="57"/>
        <v/>
      </c>
      <c r="X414" s="1"/>
      <c r="Y414" s="1"/>
      <c r="Z414" s="1"/>
      <c r="AA414" s="1"/>
      <c r="AB414" s="1"/>
      <c r="AC414" s="1"/>
      <c r="AD414" s="1">
        <f>IF($C414="",0,SUMPRODUCT((AY_SONU!$O$7:$O$42="Evet")*(AY_SONU!$B$7:$B$42=DATE(YEAR($C414),MONTH($C414),1))))</f>
        <v>0</v>
      </c>
      <c r="AE414" s="1" t="str">
        <f>IF($E414="","",$E414&amp;"|"&amp;COUNTIFS($E$7:$E414,$E414))</f>
        <v/>
      </c>
    </row>
    <row r="415" spans="1:31" ht="18" customHeight="1" x14ac:dyDescent="0.3">
      <c r="A415" s="2"/>
      <c r="B415" s="65" t="str">
        <f t="shared" si="50"/>
        <v/>
      </c>
      <c r="C415" s="66"/>
      <c r="D415" s="60"/>
      <c r="E415" s="61"/>
      <c r="F415" s="61"/>
      <c r="G415" s="67"/>
      <c r="H415" s="60"/>
      <c r="I415" s="60"/>
      <c r="J415" s="61"/>
      <c r="K415" s="61"/>
      <c r="L415" s="60"/>
      <c r="M415" s="74" t="str">
        <f t="shared" si="51"/>
        <v/>
      </c>
      <c r="N415" s="74" t="str">
        <f t="shared" si="52"/>
        <v/>
      </c>
      <c r="O415" s="73" t="str">
        <f t="shared" si="53"/>
        <v/>
      </c>
      <c r="P415" s="65" t="str">
        <f t="shared" ca="1" si="54"/>
        <v/>
      </c>
      <c r="Q415" s="2"/>
      <c r="R415" s="2"/>
      <c r="S415" s="1" t="str">
        <f t="shared" si="55"/>
        <v/>
      </c>
      <c r="T415" s="1" t="str">
        <f>IF(OR($C415="",$D415&lt;&gt;"Gelir",$L415=""),"",IFERROR(INDEX(MUSTERILER!$B$7:$B$156,MATCH($S415,MUSTERILER!$T$7:$T$156,0)),""))</f>
        <v/>
      </c>
      <c r="U415" s="1" t="str">
        <f>IF($T415="","",$T415&amp;"|"&amp;COUNTIFS($T$7:$T415,$T415))</f>
        <v/>
      </c>
      <c r="V415" s="1">
        <f t="shared" si="56"/>
        <v>0</v>
      </c>
      <c r="W415" s="1" t="str">
        <f t="shared" si="57"/>
        <v/>
      </c>
      <c r="X415" s="1"/>
      <c r="Y415" s="1"/>
      <c r="Z415" s="1"/>
      <c r="AA415" s="1"/>
      <c r="AB415" s="1"/>
      <c r="AC415" s="1"/>
      <c r="AD415" s="1">
        <f>IF($C415="",0,SUMPRODUCT((AY_SONU!$O$7:$O$42="Evet")*(AY_SONU!$B$7:$B$42=DATE(YEAR($C415),MONTH($C415),1))))</f>
        <v>0</v>
      </c>
      <c r="AE415" s="1" t="str">
        <f>IF($E415="","",$E415&amp;"|"&amp;COUNTIFS($E$7:$E415,$E415))</f>
        <v/>
      </c>
    </row>
    <row r="416" spans="1:31" ht="18" customHeight="1" x14ac:dyDescent="0.3">
      <c r="A416" s="2"/>
      <c r="B416" s="65" t="str">
        <f t="shared" si="50"/>
        <v/>
      </c>
      <c r="C416" s="66"/>
      <c r="D416" s="60"/>
      <c r="E416" s="61"/>
      <c r="F416" s="61"/>
      <c r="G416" s="67"/>
      <c r="H416" s="60"/>
      <c r="I416" s="60"/>
      <c r="J416" s="61"/>
      <c r="K416" s="61"/>
      <c r="L416" s="60"/>
      <c r="M416" s="74" t="str">
        <f t="shared" si="51"/>
        <v/>
      </c>
      <c r="N416" s="74" t="str">
        <f t="shared" si="52"/>
        <v/>
      </c>
      <c r="O416" s="73" t="str">
        <f t="shared" si="53"/>
        <v/>
      </c>
      <c r="P416" s="65" t="str">
        <f t="shared" ca="1" si="54"/>
        <v/>
      </c>
      <c r="Q416" s="2"/>
      <c r="R416" s="2"/>
      <c r="S416" s="1" t="str">
        <f t="shared" si="55"/>
        <v/>
      </c>
      <c r="T416" s="1" t="str">
        <f>IF(OR($C416="",$D416&lt;&gt;"Gelir",$L416=""),"",IFERROR(INDEX(MUSTERILER!$B$7:$B$156,MATCH($S416,MUSTERILER!$T$7:$T$156,0)),""))</f>
        <v/>
      </c>
      <c r="U416" s="1" t="str">
        <f>IF($T416="","",$T416&amp;"|"&amp;COUNTIFS($T$7:$T416,$T416))</f>
        <v/>
      </c>
      <c r="V416" s="1">
        <f t="shared" si="56"/>
        <v>0</v>
      </c>
      <c r="W416" s="1" t="str">
        <f t="shared" si="57"/>
        <v/>
      </c>
      <c r="X416" s="1"/>
      <c r="Y416" s="1"/>
      <c r="Z416" s="1"/>
      <c r="AA416" s="1"/>
      <c r="AB416" s="1"/>
      <c r="AC416" s="1"/>
      <c r="AD416" s="1">
        <f>IF($C416="",0,SUMPRODUCT((AY_SONU!$O$7:$O$42="Evet")*(AY_SONU!$B$7:$B$42=DATE(YEAR($C416),MONTH($C416),1))))</f>
        <v>0</v>
      </c>
      <c r="AE416" s="1" t="str">
        <f>IF($E416="","",$E416&amp;"|"&amp;COUNTIFS($E$7:$E416,$E416))</f>
        <v/>
      </c>
    </row>
    <row r="417" spans="1:31" ht="18" customHeight="1" x14ac:dyDescent="0.3">
      <c r="A417" s="2"/>
      <c r="B417" s="65" t="str">
        <f t="shared" si="50"/>
        <v/>
      </c>
      <c r="C417" s="66"/>
      <c r="D417" s="60"/>
      <c r="E417" s="61"/>
      <c r="F417" s="61"/>
      <c r="G417" s="67"/>
      <c r="H417" s="60"/>
      <c r="I417" s="60"/>
      <c r="J417" s="61"/>
      <c r="K417" s="61"/>
      <c r="L417" s="60"/>
      <c r="M417" s="74" t="str">
        <f t="shared" si="51"/>
        <v/>
      </c>
      <c r="N417" s="74" t="str">
        <f t="shared" si="52"/>
        <v/>
      </c>
      <c r="O417" s="73" t="str">
        <f t="shared" si="53"/>
        <v/>
      </c>
      <c r="P417" s="65" t="str">
        <f t="shared" ca="1" si="54"/>
        <v/>
      </c>
      <c r="Q417" s="2"/>
      <c r="R417" s="2"/>
      <c r="S417" s="1" t="str">
        <f t="shared" si="55"/>
        <v/>
      </c>
      <c r="T417" s="1" t="str">
        <f>IF(OR($C417="",$D417&lt;&gt;"Gelir",$L417=""),"",IFERROR(INDEX(MUSTERILER!$B$7:$B$156,MATCH($S417,MUSTERILER!$T$7:$T$156,0)),""))</f>
        <v/>
      </c>
      <c r="U417" s="1" t="str">
        <f>IF($T417="","",$T417&amp;"|"&amp;COUNTIFS($T$7:$T417,$T417))</f>
        <v/>
      </c>
      <c r="V417" s="1">
        <f t="shared" si="56"/>
        <v>0</v>
      </c>
      <c r="W417" s="1" t="str">
        <f t="shared" si="57"/>
        <v/>
      </c>
      <c r="X417" s="1"/>
      <c r="Y417" s="1"/>
      <c r="Z417" s="1"/>
      <c r="AA417" s="1"/>
      <c r="AB417" s="1"/>
      <c r="AC417" s="1"/>
      <c r="AD417" s="1">
        <f>IF($C417="",0,SUMPRODUCT((AY_SONU!$O$7:$O$42="Evet")*(AY_SONU!$B$7:$B$42=DATE(YEAR($C417),MONTH($C417),1))))</f>
        <v>0</v>
      </c>
      <c r="AE417" s="1" t="str">
        <f>IF($E417="","",$E417&amp;"|"&amp;COUNTIFS($E$7:$E417,$E417))</f>
        <v/>
      </c>
    </row>
    <row r="418" spans="1:31" ht="18" customHeight="1" x14ac:dyDescent="0.3">
      <c r="A418" s="2"/>
      <c r="B418" s="65" t="str">
        <f t="shared" si="50"/>
        <v/>
      </c>
      <c r="C418" s="66"/>
      <c r="D418" s="60"/>
      <c r="E418" s="61"/>
      <c r="F418" s="61"/>
      <c r="G418" s="67"/>
      <c r="H418" s="60"/>
      <c r="I418" s="60"/>
      <c r="J418" s="61"/>
      <c r="K418" s="61"/>
      <c r="L418" s="60"/>
      <c r="M418" s="74" t="str">
        <f t="shared" si="51"/>
        <v/>
      </c>
      <c r="N418" s="74" t="str">
        <f t="shared" si="52"/>
        <v/>
      </c>
      <c r="O418" s="73" t="str">
        <f t="shared" si="53"/>
        <v/>
      </c>
      <c r="P418" s="65" t="str">
        <f t="shared" ca="1" si="54"/>
        <v/>
      </c>
      <c r="Q418" s="2"/>
      <c r="R418" s="2"/>
      <c r="S418" s="1" t="str">
        <f t="shared" si="55"/>
        <v/>
      </c>
      <c r="T418" s="1" t="str">
        <f>IF(OR($C418="",$D418&lt;&gt;"Gelir",$L418=""),"",IFERROR(INDEX(MUSTERILER!$B$7:$B$156,MATCH($S418,MUSTERILER!$T$7:$T$156,0)),""))</f>
        <v/>
      </c>
      <c r="U418" s="1" t="str">
        <f>IF($T418="","",$T418&amp;"|"&amp;COUNTIFS($T$7:$T418,$T418))</f>
        <v/>
      </c>
      <c r="V418" s="1">
        <f t="shared" si="56"/>
        <v>0</v>
      </c>
      <c r="W418" s="1" t="str">
        <f t="shared" si="57"/>
        <v/>
      </c>
      <c r="X418" s="1"/>
      <c r="Y418" s="1"/>
      <c r="Z418" s="1"/>
      <c r="AA418" s="1"/>
      <c r="AB418" s="1"/>
      <c r="AC418" s="1"/>
      <c r="AD418" s="1">
        <f>IF($C418="",0,SUMPRODUCT((AY_SONU!$O$7:$O$42="Evet")*(AY_SONU!$B$7:$B$42=DATE(YEAR($C418),MONTH($C418),1))))</f>
        <v>0</v>
      </c>
      <c r="AE418" s="1" t="str">
        <f>IF($E418="","",$E418&amp;"|"&amp;COUNTIFS($E$7:$E418,$E418))</f>
        <v/>
      </c>
    </row>
    <row r="419" spans="1:31" ht="18" customHeight="1" x14ac:dyDescent="0.3">
      <c r="A419" s="2"/>
      <c r="B419" s="65" t="str">
        <f t="shared" si="50"/>
        <v/>
      </c>
      <c r="C419" s="66"/>
      <c r="D419" s="60"/>
      <c r="E419" s="61"/>
      <c r="F419" s="61"/>
      <c r="G419" s="67"/>
      <c r="H419" s="60"/>
      <c r="I419" s="60"/>
      <c r="J419" s="61"/>
      <c r="K419" s="61"/>
      <c r="L419" s="60"/>
      <c r="M419" s="74" t="str">
        <f t="shared" si="51"/>
        <v/>
      </c>
      <c r="N419" s="74" t="str">
        <f t="shared" si="52"/>
        <v/>
      </c>
      <c r="O419" s="73" t="str">
        <f t="shared" si="53"/>
        <v/>
      </c>
      <c r="P419" s="65" t="str">
        <f t="shared" ca="1" si="54"/>
        <v/>
      </c>
      <c r="Q419" s="2"/>
      <c r="R419" s="2"/>
      <c r="S419" s="1" t="str">
        <f t="shared" si="55"/>
        <v/>
      </c>
      <c r="T419" s="1" t="str">
        <f>IF(OR($C419="",$D419&lt;&gt;"Gelir",$L419=""),"",IFERROR(INDEX(MUSTERILER!$B$7:$B$156,MATCH($S419,MUSTERILER!$T$7:$T$156,0)),""))</f>
        <v/>
      </c>
      <c r="U419" s="1" t="str">
        <f>IF($T419="","",$T419&amp;"|"&amp;COUNTIFS($T$7:$T419,$T419))</f>
        <v/>
      </c>
      <c r="V419" s="1">
        <f t="shared" si="56"/>
        <v>0</v>
      </c>
      <c r="W419" s="1" t="str">
        <f t="shared" si="57"/>
        <v/>
      </c>
      <c r="X419" s="1"/>
      <c r="Y419" s="1"/>
      <c r="Z419" s="1"/>
      <c r="AA419" s="1"/>
      <c r="AB419" s="1"/>
      <c r="AC419" s="1"/>
      <c r="AD419" s="1">
        <f>IF($C419="",0,SUMPRODUCT((AY_SONU!$O$7:$O$42="Evet")*(AY_SONU!$B$7:$B$42=DATE(YEAR($C419),MONTH($C419),1))))</f>
        <v>0</v>
      </c>
      <c r="AE419" s="1" t="str">
        <f>IF($E419="","",$E419&amp;"|"&amp;COUNTIFS($E$7:$E419,$E419))</f>
        <v/>
      </c>
    </row>
    <row r="420" spans="1:31" ht="18" customHeight="1" x14ac:dyDescent="0.3">
      <c r="A420" s="2"/>
      <c r="B420" s="65" t="str">
        <f t="shared" si="50"/>
        <v/>
      </c>
      <c r="C420" s="66"/>
      <c r="D420" s="60"/>
      <c r="E420" s="61"/>
      <c r="F420" s="61"/>
      <c r="G420" s="67"/>
      <c r="H420" s="60"/>
      <c r="I420" s="60"/>
      <c r="J420" s="61"/>
      <c r="K420" s="61"/>
      <c r="L420" s="60"/>
      <c r="M420" s="74" t="str">
        <f t="shared" si="51"/>
        <v/>
      </c>
      <c r="N420" s="74" t="str">
        <f t="shared" si="52"/>
        <v/>
      </c>
      <c r="O420" s="73" t="str">
        <f t="shared" si="53"/>
        <v/>
      </c>
      <c r="P420" s="65" t="str">
        <f t="shared" ca="1" si="54"/>
        <v/>
      </c>
      <c r="Q420" s="2"/>
      <c r="R420" s="2"/>
      <c r="S420" s="1" t="str">
        <f t="shared" si="55"/>
        <v/>
      </c>
      <c r="T420" s="1" t="str">
        <f>IF(OR($C420="",$D420&lt;&gt;"Gelir",$L420=""),"",IFERROR(INDEX(MUSTERILER!$B$7:$B$156,MATCH($S420,MUSTERILER!$T$7:$T$156,0)),""))</f>
        <v/>
      </c>
      <c r="U420" s="1" t="str">
        <f>IF($T420="","",$T420&amp;"|"&amp;COUNTIFS($T$7:$T420,$T420))</f>
        <v/>
      </c>
      <c r="V420" s="1">
        <f t="shared" si="56"/>
        <v>0</v>
      </c>
      <c r="W420" s="1" t="str">
        <f t="shared" si="57"/>
        <v/>
      </c>
      <c r="X420" s="1"/>
      <c r="Y420" s="1"/>
      <c r="Z420" s="1"/>
      <c r="AA420" s="1"/>
      <c r="AB420" s="1"/>
      <c r="AC420" s="1"/>
      <c r="AD420" s="1">
        <f>IF($C420="",0,SUMPRODUCT((AY_SONU!$O$7:$O$42="Evet")*(AY_SONU!$B$7:$B$42=DATE(YEAR($C420),MONTH($C420),1))))</f>
        <v>0</v>
      </c>
      <c r="AE420" s="1" t="str">
        <f>IF($E420="","",$E420&amp;"|"&amp;COUNTIFS($E$7:$E420,$E420))</f>
        <v/>
      </c>
    </row>
    <row r="421" spans="1:31" ht="18" customHeight="1" x14ac:dyDescent="0.3">
      <c r="A421" s="2"/>
      <c r="B421" s="65" t="str">
        <f t="shared" si="50"/>
        <v/>
      </c>
      <c r="C421" s="66"/>
      <c r="D421" s="60"/>
      <c r="E421" s="61"/>
      <c r="F421" s="61"/>
      <c r="G421" s="67"/>
      <c r="H421" s="60"/>
      <c r="I421" s="60"/>
      <c r="J421" s="61"/>
      <c r="K421" s="61"/>
      <c r="L421" s="60"/>
      <c r="M421" s="74" t="str">
        <f t="shared" si="51"/>
        <v/>
      </c>
      <c r="N421" s="74" t="str">
        <f t="shared" si="52"/>
        <v/>
      </c>
      <c r="O421" s="73" t="str">
        <f t="shared" si="53"/>
        <v/>
      </c>
      <c r="P421" s="65" t="str">
        <f t="shared" ca="1" si="54"/>
        <v/>
      </c>
      <c r="Q421" s="2"/>
      <c r="R421" s="2"/>
      <c r="S421" s="1" t="str">
        <f t="shared" si="55"/>
        <v/>
      </c>
      <c r="T421" s="1" t="str">
        <f>IF(OR($C421="",$D421&lt;&gt;"Gelir",$L421=""),"",IFERROR(INDEX(MUSTERILER!$B$7:$B$156,MATCH($S421,MUSTERILER!$T$7:$T$156,0)),""))</f>
        <v/>
      </c>
      <c r="U421" s="1" t="str">
        <f>IF($T421="","",$T421&amp;"|"&amp;COUNTIFS($T$7:$T421,$T421))</f>
        <v/>
      </c>
      <c r="V421" s="1">
        <f t="shared" si="56"/>
        <v>0</v>
      </c>
      <c r="W421" s="1" t="str">
        <f t="shared" si="57"/>
        <v/>
      </c>
      <c r="X421" s="1"/>
      <c r="Y421" s="1"/>
      <c r="Z421" s="1"/>
      <c r="AA421" s="1"/>
      <c r="AB421" s="1"/>
      <c r="AC421" s="1"/>
      <c r="AD421" s="1">
        <f>IF($C421="",0,SUMPRODUCT((AY_SONU!$O$7:$O$42="Evet")*(AY_SONU!$B$7:$B$42=DATE(YEAR($C421),MONTH($C421),1))))</f>
        <v>0</v>
      </c>
      <c r="AE421" s="1" t="str">
        <f>IF($E421="","",$E421&amp;"|"&amp;COUNTIFS($E$7:$E421,$E421))</f>
        <v/>
      </c>
    </row>
    <row r="422" spans="1:31" ht="18" customHeight="1" x14ac:dyDescent="0.3">
      <c r="A422" s="2"/>
      <c r="B422" s="65" t="str">
        <f t="shared" si="50"/>
        <v/>
      </c>
      <c r="C422" s="66"/>
      <c r="D422" s="60"/>
      <c r="E422" s="61"/>
      <c r="F422" s="61"/>
      <c r="G422" s="67"/>
      <c r="H422" s="60"/>
      <c r="I422" s="60"/>
      <c r="J422" s="61"/>
      <c r="K422" s="61"/>
      <c r="L422" s="60"/>
      <c r="M422" s="74" t="str">
        <f t="shared" si="51"/>
        <v/>
      </c>
      <c r="N422" s="74" t="str">
        <f t="shared" si="52"/>
        <v/>
      </c>
      <c r="O422" s="73" t="str">
        <f t="shared" si="53"/>
        <v/>
      </c>
      <c r="P422" s="65" t="str">
        <f t="shared" ca="1" si="54"/>
        <v/>
      </c>
      <c r="Q422" s="2"/>
      <c r="R422" s="2"/>
      <c r="S422" s="1" t="str">
        <f t="shared" si="55"/>
        <v/>
      </c>
      <c r="T422" s="1" t="str">
        <f>IF(OR($C422="",$D422&lt;&gt;"Gelir",$L422=""),"",IFERROR(INDEX(MUSTERILER!$B$7:$B$156,MATCH($S422,MUSTERILER!$T$7:$T$156,0)),""))</f>
        <v/>
      </c>
      <c r="U422" s="1" t="str">
        <f>IF($T422="","",$T422&amp;"|"&amp;COUNTIFS($T$7:$T422,$T422))</f>
        <v/>
      </c>
      <c r="V422" s="1">
        <f t="shared" si="56"/>
        <v>0</v>
      </c>
      <c r="W422" s="1" t="str">
        <f t="shared" si="57"/>
        <v/>
      </c>
      <c r="X422" s="1"/>
      <c r="Y422" s="1"/>
      <c r="Z422" s="1"/>
      <c r="AA422" s="1"/>
      <c r="AB422" s="1"/>
      <c r="AC422" s="1"/>
      <c r="AD422" s="1">
        <f>IF($C422="",0,SUMPRODUCT((AY_SONU!$O$7:$O$42="Evet")*(AY_SONU!$B$7:$B$42=DATE(YEAR($C422),MONTH($C422),1))))</f>
        <v>0</v>
      </c>
      <c r="AE422" s="1" t="str">
        <f>IF($E422="","",$E422&amp;"|"&amp;COUNTIFS($E$7:$E422,$E422))</f>
        <v/>
      </c>
    </row>
    <row r="423" spans="1:31" ht="18" customHeight="1" x14ac:dyDescent="0.3">
      <c r="A423" s="2"/>
      <c r="B423" s="65" t="str">
        <f t="shared" si="50"/>
        <v/>
      </c>
      <c r="C423" s="66"/>
      <c r="D423" s="60"/>
      <c r="E423" s="61"/>
      <c r="F423" s="61"/>
      <c r="G423" s="67"/>
      <c r="H423" s="60"/>
      <c r="I423" s="60"/>
      <c r="J423" s="61"/>
      <c r="K423" s="61"/>
      <c r="L423" s="60"/>
      <c r="M423" s="74" t="str">
        <f t="shared" si="51"/>
        <v/>
      </c>
      <c r="N423" s="74" t="str">
        <f t="shared" si="52"/>
        <v/>
      </c>
      <c r="O423" s="73" t="str">
        <f t="shared" si="53"/>
        <v/>
      </c>
      <c r="P423" s="65" t="str">
        <f t="shared" ca="1" si="54"/>
        <v/>
      </c>
      <c r="Q423" s="2"/>
      <c r="R423" s="2"/>
      <c r="S423" s="1" t="str">
        <f t="shared" si="55"/>
        <v/>
      </c>
      <c r="T423" s="1" t="str">
        <f>IF(OR($C423="",$D423&lt;&gt;"Gelir",$L423=""),"",IFERROR(INDEX(MUSTERILER!$B$7:$B$156,MATCH($S423,MUSTERILER!$T$7:$T$156,0)),""))</f>
        <v/>
      </c>
      <c r="U423" s="1" t="str">
        <f>IF($T423="","",$T423&amp;"|"&amp;COUNTIFS($T$7:$T423,$T423))</f>
        <v/>
      </c>
      <c r="V423" s="1">
        <f t="shared" si="56"/>
        <v>0</v>
      </c>
      <c r="W423" s="1" t="str">
        <f t="shared" si="57"/>
        <v/>
      </c>
      <c r="X423" s="1"/>
      <c r="Y423" s="1"/>
      <c r="Z423" s="1"/>
      <c r="AA423" s="1"/>
      <c r="AB423" s="1"/>
      <c r="AC423" s="1"/>
      <c r="AD423" s="1">
        <f>IF($C423="",0,SUMPRODUCT((AY_SONU!$O$7:$O$42="Evet")*(AY_SONU!$B$7:$B$42=DATE(YEAR($C423),MONTH($C423),1))))</f>
        <v>0</v>
      </c>
      <c r="AE423" s="1" t="str">
        <f>IF($E423="","",$E423&amp;"|"&amp;COUNTIFS($E$7:$E423,$E423))</f>
        <v/>
      </c>
    </row>
    <row r="424" spans="1:31" ht="18" customHeight="1" x14ac:dyDescent="0.3">
      <c r="A424" s="2"/>
      <c r="B424" s="65" t="str">
        <f t="shared" si="50"/>
        <v/>
      </c>
      <c r="C424" s="66"/>
      <c r="D424" s="60"/>
      <c r="E424" s="61"/>
      <c r="F424" s="61"/>
      <c r="G424" s="67"/>
      <c r="H424" s="60"/>
      <c r="I424" s="60"/>
      <c r="J424" s="61"/>
      <c r="K424" s="61"/>
      <c r="L424" s="60"/>
      <c r="M424" s="74" t="str">
        <f t="shared" si="51"/>
        <v/>
      </c>
      <c r="N424" s="74" t="str">
        <f t="shared" si="52"/>
        <v/>
      </c>
      <c r="O424" s="73" t="str">
        <f t="shared" si="53"/>
        <v/>
      </c>
      <c r="P424" s="65" t="str">
        <f t="shared" ca="1" si="54"/>
        <v/>
      </c>
      <c r="Q424" s="2"/>
      <c r="R424" s="2"/>
      <c r="S424" s="1" t="str">
        <f t="shared" si="55"/>
        <v/>
      </c>
      <c r="T424" s="1" t="str">
        <f>IF(OR($C424="",$D424&lt;&gt;"Gelir",$L424=""),"",IFERROR(INDEX(MUSTERILER!$B$7:$B$156,MATCH($S424,MUSTERILER!$T$7:$T$156,0)),""))</f>
        <v/>
      </c>
      <c r="U424" s="1" t="str">
        <f>IF($T424="","",$T424&amp;"|"&amp;COUNTIFS($T$7:$T424,$T424))</f>
        <v/>
      </c>
      <c r="V424" s="1">
        <f t="shared" si="56"/>
        <v>0</v>
      </c>
      <c r="W424" s="1" t="str">
        <f t="shared" si="57"/>
        <v/>
      </c>
      <c r="X424" s="1"/>
      <c r="Y424" s="1"/>
      <c r="Z424" s="1"/>
      <c r="AA424" s="1"/>
      <c r="AB424" s="1"/>
      <c r="AC424" s="1"/>
      <c r="AD424" s="1">
        <f>IF($C424="",0,SUMPRODUCT((AY_SONU!$O$7:$O$42="Evet")*(AY_SONU!$B$7:$B$42=DATE(YEAR($C424),MONTH($C424),1))))</f>
        <v>0</v>
      </c>
      <c r="AE424" s="1" t="str">
        <f>IF($E424="","",$E424&amp;"|"&amp;COUNTIFS($E$7:$E424,$E424))</f>
        <v/>
      </c>
    </row>
    <row r="425" spans="1:31" ht="18" customHeight="1" x14ac:dyDescent="0.3">
      <c r="A425" s="2"/>
      <c r="B425" s="65" t="str">
        <f t="shared" si="50"/>
        <v/>
      </c>
      <c r="C425" s="66"/>
      <c r="D425" s="60"/>
      <c r="E425" s="61"/>
      <c r="F425" s="61"/>
      <c r="G425" s="67"/>
      <c r="H425" s="60"/>
      <c r="I425" s="60"/>
      <c r="J425" s="61"/>
      <c r="K425" s="61"/>
      <c r="L425" s="60"/>
      <c r="M425" s="74" t="str">
        <f t="shared" si="51"/>
        <v/>
      </c>
      <c r="N425" s="74" t="str">
        <f t="shared" si="52"/>
        <v/>
      </c>
      <c r="O425" s="73" t="str">
        <f t="shared" si="53"/>
        <v/>
      </c>
      <c r="P425" s="65" t="str">
        <f t="shared" ca="1" si="54"/>
        <v/>
      </c>
      <c r="Q425" s="2"/>
      <c r="R425" s="2"/>
      <c r="S425" s="1" t="str">
        <f t="shared" si="55"/>
        <v/>
      </c>
      <c r="T425" s="1" t="str">
        <f>IF(OR($C425="",$D425&lt;&gt;"Gelir",$L425=""),"",IFERROR(INDEX(MUSTERILER!$B$7:$B$156,MATCH($S425,MUSTERILER!$T$7:$T$156,0)),""))</f>
        <v/>
      </c>
      <c r="U425" s="1" t="str">
        <f>IF($T425="","",$T425&amp;"|"&amp;COUNTIFS($T$7:$T425,$T425))</f>
        <v/>
      </c>
      <c r="V425" s="1">
        <f t="shared" si="56"/>
        <v>0</v>
      </c>
      <c r="W425" s="1" t="str">
        <f t="shared" si="57"/>
        <v/>
      </c>
      <c r="X425" s="1"/>
      <c r="Y425" s="1"/>
      <c r="Z425" s="1"/>
      <c r="AA425" s="1"/>
      <c r="AB425" s="1"/>
      <c r="AC425" s="1"/>
      <c r="AD425" s="1">
        <f>IF($C425="",0,SUMPRODUCT((AY_SONU!$O$7:$O$42="Evet")*(AY_SONU!$B$7:$B$42=DATE(YEAR($C425),MONTH($C425),1))))</f>
        <v>0</v>
      </c>
      <c r="AE425" s="1" t="str">
        <f>IF($E425="","",$E425&amp;"|"&amp;COUNTIFS($E$7:$E425,$E425))</f>
        <v/>
      </c>
    </row>
    <row r="426" spans="1:31" ht="18" customHeight="1" x14ac:dyDescent="0.3">
      <c r="A426" s="2"/>
      <c r="B426" s="65" t="str">
        <f t="shared" si="50"/>
        <v/>
      </c>
      <c r="C426" s="66"/>
      <c r="D426" s="60"/>
      <c r="E426" s="61"/>
      <c r="F426" s="61"/>
      <c r="G426" s="67"/>
      <c r="H426" s="60"/>
      <c r="I426" s="60"/>
      <c r="J426" s="61"/>
      <c r="K426" s="61"/>
      <c r="L426" s="60"/>
      <c r="M426" s="74" t="str">
        <f t="shared" si="51"/>
        <v/>
      </c>
      <c r="N426" s="74" t="str">
        <f t="shared" si="52"/>
        <v/>
      </c>
      <c r="O426" s="73" t="str">
        <f t="shared" si="53"/>
        <v/>
      </c>
      <c r="P426" s="65" t="str">
        <f t="shared" ca="1" si="54"/>
        <v/>
      </c>
      <c r="Q426" s="2"/>
      <c r="R426" s="2"/>
      <c r="S426" s="1" t="str">
        <f t="shared" si="55"/>
        <v/>
      </c>
      <c r="T426" s="1" t="str">
        <f>IF(OR($C426="",$D426&lt;&gt;"Gelir",$L426=""),"",IFERROR(INDEX(MUSTERILER!$B$7:$B$156,MATCH($S426,MUSTERILER!$T$7:$T$156,0)),""))</f>
        <v/>
      </c>
      <c r="U426" s="1" t="str">
        <f>IF($T426="","",$T426&amp;"|"&amp;COUNTIFS($T$7:$T426,$T426))</f>
        <v/>
      </c>
      <c r="V426" s="1">
        <f t="shared" si="56"/>
        <v>0</v>
      </c>
      <c r="W426" s="1" t="str">
        <f t="shared" si="57"/>
        <v/>
      </c>
      <c r="X426" s="1"/>
      <c r="Y426" s="1"/>
      <c r="Z426" s="1"/>
      <c r="AA426" s="1"/>
      <c r="AB426" s="1"/>
      <c r="AC426" s="1"/>
      <c r="AD426" s="1">
        <f>IF($C426="",0,SUMPRODUCT((AY_SONU!$O$7:$O$42="Evet")*(AY_SONU!$B$7:$B$42=DATE(YEAR($C426),MONTH($C426),1))))</f>
        <v>0</v>
      </c>
      <c r="AE426" s="1" t="str">
        <f>IF($E426="","",$E426&amp;"|"&amp;COUNTIFS($E$7:$E426,$E426))</f>
        <v/>
      </c>
    </row>
    <row r="427" spans="1:31" ht="18" customHeight="1" x14ac:dyDescent="0.3">
      <c r="A427" s="2"/>
      <c r="B427" s="65" t="str">
        <f t="shared" si="50"/>
        <v/>
      </c>
      <c r="C427" s="66"/>
      <c r="D427" s="60"/>
      <c r="E427" s="61"/>
      <c r="F427" s="61"/>
      <c r="G427" s="67"/>
      <c r="H427" s="60"/>
      <c r="I427" s="60"/>
      <c r="J427" s="61"/>
      <c r="K427" s="61"/>
      <c r="L427" s="60"/>
      <c r="M427" s="74" t="str">
        <f t="shared" si="51"/>
        <v/>
      </c>
      <c r="N427" s="74" t="str">
        <f t="shared" si="52"/>
        <v/>
      </c>
      <c r="O427" s="73" t="str">
        <f t="shared" si="53"/>
        <v/>
      </c>
      <c r="P427" s="65" t="str">
        <f t="shared" ca="1" si="54"/>
        <v/>
      </c>
      <c r="Q427" s="2"/>
      <c r="R427" s="2"/>
      <c r="S427" s="1" t="str">
        <f t="shared" si="55"/>
        <v/>
      </c>
      <c r="T427" s="1" t="str">
        <f>IF(OR($C427="",$D427&lt;&gt;"Gelir",$L427=""),"",IFERROR(INDEX(MUSTERILER!$B$7:$B$156,MATCH($S427,MUSTERILER!$T$7:$T$156,0)),""))</f>
        <v/>
      </c>
      <c r="U427" s="1" t="str">
        <f>IF($T427="","",$T427&amp;"|"&amp;COUNTIFS($T$7:$T427,$T427))</f>
        <v/>
      </c>
      <c r="V427" s="1">
        <f t="shared" si="56"/>
        <v>0</v>
      </c>
      <c r="W427" s="1" t="str">
        <f t="shared" si="57"/>
        <v/>
      </c>
      <c r="X427" s="1"/>
      <c r="Y427" s="1"/>
      <c r="Z427" s="1"/>
      <c r="AA427" s="1"/>
      <c r="AB427" s="1"/>
      <c r="AC427" s="1"/>
      <c r="AD427" s="1">
        <f>IF($C427="",0,SUMPRODUCT((AY_SONU!$O$7:$O$42="Evet")*(AY_SONU!$B$7:$B$42=DATE(YEAR($C427),MONTH($C427),1))))</f>
        <v>0</v>
      </c>
      <c r="AE427" s="1" t="str">
        <f>IF($E427="","",$E427&amp;"|"&amp;COUNTIFS($E$7:$E427,$E427))</f>
        <v/>
      </c>
    </row>
    <row r="428" spans="1:31" ht="18" customHeight="1" x14ac:dyDescent="0.3">
      <c r="A428" s="2"/>
      <c r="B428" s="65" t="str">
        <f t="shared" si="50"/>
        <v/>
      </c>
      <c r="C428" s="66"/>
      <c r="D428" s="60"/>
      <c r="E428" s="61"/>
      <c r="F428" s="61"/>
      <c r="G428" s="67"/>
      <c r="H428" s="60"/>
      <c r="I428" s="60"/>
      <c r="J428" s="61"/>
      <c r="K428" s="61"/>
      <c r="L428" s="60"/>
      <c r="M428" s="74" t="str">
        <f t="shared" si="51"/>
        <v/>
      </c>
      <c r="N428" s="74" t="str">
        <f t="shared" si="52"/>
        <v/>
      </c>
      <c r="O428" s="73" t="str">
        <f t="shared" si="53"/>
        <v/>
      </c>
      <c r="P428" s="65" t="str">
        <f t="shared" ca="1" si="54"/>
        <v/>
      </c>
      <c r="Q428" s="2"/>
      <c r="R428" s="2"/>
      <c r="S428" s="1" t="str">
        <f t="shared" si="55"/>
        <v/>
      </c>
      <c r="T428" s="1" t="str">
        <f>IF(OR($C428="",$D428&lt;&gt;"Gelir",$L428=""),"",IFERROR(INDEX(MUSTERILER!$B$7:$B$156,MATCH($S428,MUSTERILER!$T$7:$T$156,0)),""))</f>
        <v/>
      </c>
      <c r="U428" s="1" t="str">
        <f>IF($T428="","",$T428&amp;"|"&amp;COUNTIFS($T$7:$T428,$T428))</f>
        <v/>
      </c>
      <c r="V428" s="1">
        <f t="shared" si="56"/>
        <v>0</v>
      </c>
      <c r="W428" s="1" t="str">
        <f t="shared" si="57"/>
        <v/>
      </c>
      <c r="X428" s="1"/>
      <c r="Y428" s="1"/>
      <c r="Z428" s="1"/>
      <c r="AA428" s="1"/>
      <c r="AB428" s="1"/>
      <c r="AC428" s="1"/>
      <c r="AD428" s="1">
        <f>IF($C428="",0,SUMPRODUCT((AY_SONU!$O$7:$O$42="Evet")*(AY_SONU!$B$7:$B$42=DATE(YEAR($C428),MONTH($C428),1))))</f>
        <v>0</v>
      </c>
      <c r="AE428" s="1" t="str">
        <f>IF($E428="","",$E428&amp;"|"&amp;COUNTIFS($E$7:$E428,$E428))</f>
        <v/>
      </c>
    </row>
    <row r="429" spans="1:31" ht="18" customHeight="1" x14ac:dyDescent="0.3">
      <c r="A429" s="2"/>
      <c r="B429" s="65" t="str">
        <f t="shared" si="50"/>
        <v/>
      </c>
      <c r="C429" s="66"/>
      <c r="D429" s="60"/>
      <c r="E429" s="61"/>
      <c r="F429" s="61"/>
      <c r="G429" s="67"/>
      <c r="H429" s="60"/>
      <c r="I429" s="60"/>
      <c r="J429" s="61"/>
      <c r="K429" s="61"/>
      <c r="L429" s="60"/>
      <c r="M429" s="74" t="str">
        <f t="shared" si="51"/>
        <v/>
      </c>
      <c r="N429" s="74" t="str">
        <f t="shared" si="52"/>
        <v/>
      </c>
      <c r="O429" s="73" t="str">
        <f t="shared" si="53"/>
        <v/>
      </c>
      <c r="P429" s="65" t="str">
        <f t="shared" ca="1" si="54"/>
        <v/>
      </c>
      <c r="Q429" s="2"/>
      <c r="R429" s="2"/>
      <c r="S429" s="1" t="str">
        <f t="shared" si="55"/>
        <v/>
      </c>
      <c r="T429" s="1" t="str">
        <f>IF(OR($C429="",$D429&lt;&gt;"Gelir",$L429=""),"",IFERROR(INDEX(MUSTERILER!$B$7:$B$156,MATCH($S429,MUSTERILER!$T$7:$T$156,0)),""))</f>
        <v/>
      </c>
      <c r="U429" s="1" t="str">
        <f>IF($T429="","",$T429&amp;"|"&amp;COUNTIFS($T$7:$T429,$T429))</f>
        <v/>
      </c>
      <c r="V429" s="1">
        <f t="shared" si="56"/>
        <v>0</v>
      </c>
      <c r="W429" s="1" t="str">
        <f t="shared" si="57"/>
        <v/>
      </c>
      <c r="X429" s="1"/>
      <c r="Y429" s="1"/>
      <c r="Z429" s="1"/>
      <c r="AA429" s="1"/>
      <c r="AB429" s="1"/>
      <c r="AC429" s="1"/>
      <c r="AD429" s="1">
        <f>IF($C429="",0,SUMPRODUCT((AY_SONU!$O$7:$O$42="Evet")*(AY_SONU!$B$7:$B$42=DATE(YEAR($C429),MONTH($C429),1))))</f>
        <v>0</v>
      </c>
      <c r="AE429" s="1" t="str">
        <f>IF($E429="","",$E429&amp;"|"&amp;COUNTIFS($E$7:$E429,$E429))</f>
        <v/>
      </c>
    </row>
    <row r="430" spans="1:31" ht="18" customHeight="1" x14ac:dyDescent="0.3">
      <c r="A430" s="2"/>
      <c r="B430" s="65" t="str">
        <f t="shared" si="50"/>
        <v/>
      </c>
      <c r="C430" s="66"/>
      <c r="D430" s="60"/>
      <c r="E430" s="61"/>
      <c r="F430" s="61"/>
      <c r="G430" s="67"/>
      <c r="H430" s="60"/>
      <c r="I430" s="60"/>
      <c r="J430" s="61"/>
      <c r="K430" s="61"/>
      <c r="L430" s="60"/>
      <c r="M430" s="74" t="str">
        <f t="shared" si="51"/>
        <v/>
      </c>
      <c r="N430" s="74" t="str">
        <f t="shared" si="52"/>
        <v/>
      </c>
      <c r="O430" s="73" t="str">
        <f t="shared" si="53"/>
        <v/>
      </c>
      <c r="P430" s="65" t="str">
        <f t="shared" ca="1" si="54"/>
        <v/>
      </c>
      <c r="Q430" s="2"/>
      <c r="R430" s="2"/>
      <c r="S430" s="1" t="str">
        <f t="shared" si="55"/>
        <v/>
      </c>
      <c r="T430" s="1" t="str">
        <f>IF(OR($C430="",$D430&lt;&gt;"Gelir",$L430=""),"",IFERROR(INDEX(MUSTERILER!$B$7:$B$156,MATCH($S430,MUSTERILER!$T$7:$T$156,0)),""))</f>
        <v/>
      </c>
      <c r="U430" s="1" t="str">
        <f>IF($T430="","",$T430&amp;"|"&amp;COUNTIFS($T$7:$T430,$T430))</f>
        <v/>
      </c>
      <c r="V430" s="1">
        <f t="shared" si="56"/>
        <v>0</v>
      </c>
      <c r="W430" s="1" t="str">
        <f t="shared" si="57"/>
        <v/>
      </c>
      <c r="X430" s="1"/>
      <c r="Y430" s="1"/>
      <c r="Z430" s="1"/>
      <c r="AA430" s="1"/>
      <c r="AB430" s="1"/>
      <c r="AC430" s="1"/>
      <c r="AD430" s="1">
        <f>IF($C430="",0,SUMPRODUCT((AY_SONU!$O$7:$O$42="Evet")*(AY_SONU!$B$7:$B$42=DATE(YEAR($C430),MONTH($C430),1))))</f>
        <v>0</v>
      </c>
      <c r="AE430" s="1" t="str">
        <f>IF($E430="","",$E430&amp;"|"&amp;COUNTIFS($E$7:$E430,$E430))</f>
        <v/>
      </c>
    </row>
    <row r="431" spans="1:31" ht="18" customHeight="1" x14ac:dyDescent="0.3">
      <c r="A431" s="2"/>
      <c r="B431" s="65" t="str">
        <f t="shared" si="50"/>
        <v/>
      </c>
      <c r="C431" s="66"/>
      <c r="D431" s="60"/>
      <c r="E431" s="61"/>
      <c r="F431" s="61"/>
      <c r="G431" s="67"/>
      <c r="H431" s="60"/>
      <c r="I431" s="60"/>
      <c r="J431" s="61"/>
      <c r="K431" s="61"/>
      <c r="L431" s="60"/>
      <c r="M431" s="74" t="str">
        <f t="shared" si="51"/>
        <v/>
      </c>
      <c r="N431" s="74" t="str">
        <f t="shared" si="52"/>
        <v/>
      </c>
      <c r="O431" s="73" t="str">
        <f t="shared" si="53"/>
        <v/>
      </c>
      <c r="P431" s="65" t="str">
        <f t="shared" ca="1" si="54"/>
        <v/>
      </c>
      <c r="Q431" s="2"/>
      <c r="R431" s="2"/>
      <c r="S431" s="1" t="str">
        <f t="shared" si="55"/>
        <v/>
      </c>
      <c r="T431" s="1" t="str">
        <f>IF(OR($C431="",$D431&lt;&gt;"Gelir",$L431=""),"",IFERROR(INDEX(MUSTERILER!$B$7:$B$156,MATCH($S431,MUSTERILER!$T$7:$T$156,0)),""))</f>
        <v/>
      </c>
      <c r="U431" s="1" t="str">
        <f>IF($T431="","",$T431&amp;"|"&amp;COUNTIFS($T$7:$T431,$T431))</f>
        <v/>
      </c>
      <c r="V431" s="1">
        <f t="shared" si="56"/>
        <v>0</v>
      </c>
      <c r="W431" s="1" t="str">
        <f t="shared" si="57"/>
        <v/>
      </c>
      <c r="X431" s="1"/>
      <c r="Y431" s="1"/>
      <c r="Z431" s="1"/>
      <c r="AA431" s="1"/>
      <c r="AB431" s="1"/>
      <c r="AC431" s="1"/>
      <c r="AD431" s="1">
        <f>IF($C431="",0,SUMPRODUCT((AY_SONU!$O$7:$O$42="Evet")*(AY_SONU!$B$7:$B$42=DATE(YEAR($C431),MONTH($C431),1))))</f>
        <v>0</v>
      </c>
      <c r="AE431" s="1" t="str">
        <f>IF($E431="","",$E431&amp;"|"&amp;COUNTIFS($E$7:$E431,$E431))</f>
        <v/>
      </c>
    </row>
    <row r="432" spans="1:31" ht="18" customHeight="1" x14ac:dyDescent="0.3">
      <c r="A432" s="2"/>
      <c r="B432" s="65" t="str">
        <f t="shared" si="50"/>
        <v/>
      </c>
      <c r="C432" s="66"/>
      <c r="D432" s="60"/>
      <c r="E432" s="61"/>
      <c r="F432" s="61"/>
      <c r="G432" s="67"/>
      <c r="H432" s="60"/>
      <c r="I432" s="60"/>
      <c r="J432" s="61"/>
      <c r="K432" s="61"/>
      <c r="L432" s="60"/>
      <c r="M432" s="74" t="str">
        <f t="shared" si="51"/>
        <v/>
      </c>
      <c r="N432" s="74" t="str">
        <f t="shared" si="52"/>
        <v/>
      </c>
      <c r="O432" s="73" t="str">
        <f t="shared" si="53"/>
        <v/>
      </c>
      <c r="P432" s="65" t="str">
        <f t="shared" ca="1" si="54"/>
        <v/>
      </c>
      <c r="Q432" s="2"/>
      <c r="R432" s="2"/>
      <c r="S432" s="1" t="str">
        <f t="shared" si="55"/>
        <v/>
      </c>
      <c r="T432" s="1" t="str">
        <f>IF(OR($C432="",$D432&lt;&gt;"Gelir",$L432=""),"",IFERROR(INDEX(MUSTERILER!$B$7:$B$156,MATCH($S432,MUSTERILER!$T$7:$T$156,0)),""))</f>
        <v/>
      </c>
      <c r="U432" s="1" t="str">
        <f>IF($T432="","",$T432&amp;"|"&amp;COUNTIFS($T$7:$T432,$T432))</f>
        <v/>
      </c>
      <c r="V432" s="1">
        <f t="shared" si="56"/>
        <v>0</v>
      </c>
      <c r="W432" s="1" t="str">
        <f t="shared" si="57"/>
        <v/>
      </c>
      <c r="X432" s="1"/>
      <c r="Y432" s="1"/>
      <c r="Z432" s="1"/>
      <c r="AA432" s="1"/>
      <c r="AB432" s="1"/>
      <c r="AC432" s="1"/>
      <c r="AD432" s="1">
        <f>IF($C432="",0,SUMPRODUCT((AY_SONU!$O$7:$O$42="Evet")*(AY_SONU!$B$7:$B$42=DATE(YEAR($C432),MONTH($C432),1))))</f>
        <v>0</v>
      </c>
      <c r="AE432" s="1" t="str">
        <f>IF($E432="","",$E432&amp;"|"&amp;COUNTIFS($E$7:$E432,$E432))</f>
        <v/>
      </c>
    </row>
    <row r="433" spans="1:31" ht="18" customHeight="1" x14ac:dyDescent="0.3">
      <c r="A433" s="2"/>
      <c r="B433" s="65" t="str">
        <f t="shared" si="50"/>
        <v/>
      </c>
      <c r="C433" s="66"/>
      <c r="D433" s="60"/>
      <c r="E433" s="61"/>
      <c r="F433" s="61"/>
      <c r="G433" s="67"/>
      <c r="H433" s="60"/>
      <c r="I433" s="60"/>
      <c r="J433" s="61"/>
      <c r="K433" s="61"/>
      <c r="L433" s="60"/>
      <c r="M433" s="74" t="str">
        <f t="shared" si="51"/>
        <v/>
      </c>
      <c r="N433" s="74" t="str">
        <f t="shared" si="52"/>
        <v/>
      </c>
      <c r="O433" s="73" t="str">
        <f t="shared" si="53"/>
        <v/>
      </c>
      <c r="P433" s="65" t="str">
        <f t="shared" ca="1" si="54"/>
        <v/>
      </c>
      <c r="Q433" s="2"/>
      <c r="R433" s="2"/>
      <c r="S433" s="1" t="str">
        <f t="shared" si="55"/>
        <v/>
      </c>
      <c r="T433" s="1" t="str">
        <f>IF(OR($C433="",$D433&lt;&gt;"Gelir",$L433=""),"",IFERROR(INDEX(MUSTERILER!$B$7:$B$156,MATCH($S433,MUSTERILER!$T$7:$T$156,0)),""))</f>
        <v/>
      </c>
      <c r="U433" s="1" t="str">
        <f>IF($T433="","",$T433&amp;"|"&amp;COUNTIFS($T$7:$T433,$T433))</f>
        <v/>
      </c>
      <c r="V433" s="1">
        <f t="shared" si="56"/>
        <v>0</v>
      </c>
      <c r="W433" s="1" t="str">
        <f t="shared" si="57"/>
        <v/>
      </c>
      <c r="X433" s="1"/>
      <c r="Y433" s="1"/>
      <c r="Z433" s="1"/>
      <c r="AA433" s="1"/>
      <c r="AB433" s="1"/>
      <c r="AC433" s="1"/>
      <c r="AD433" s="1">
        <f>IF($C433="",0,SUMPRODUCT((AY_SONU!$O$7:$O$42="Evet")*(AY_SONU!$B$7:$B$42=DATE(YEAR($C433),MONTH($C433),1))))</f>
        <v>0</v>
      </c>
      <c r="AE433" s="1" t="str">
        <f>IF($E433="","",$E433&amp;"|"&amp;COUNTIFS($E$7:$E433,$E433))</f>
        <v/>
      </c>
    </row>
    <row r="434" spans="1:31" ht="18" customHeight="1" x14ac:dyDescent="0.3">
      <c r="A434" s="2"/>
      <c r="B434" s="65" t="str">
        <f t="shared" si="50"/>
        <v/>
      </c>
      <c r="C434" s="66"/>
      <c r="D434" s="60"/>
      <c r="E434" s="61"/>
      <c r="F434" s="61"/>
      <c r="G434" s="67"/>
      <c r="H434" s="60"/>
      <c r="I434" s="60"/>
      <c r="J434" s="61"/>
      <c r="K434" s="61"/>
      <c r="L434" s="60"/>
      <c r="M434" s="74" t="str">
        <f t="shared" si="51"/>
        <v/>
      </c>
      <c r="N434" s="74" t="str">
        <f t="shared" si="52"/>
        <v/>
      </c>
      <c r="O434" s="73" t="str">
        <f t="shared" si="53"/>
        <v/>
      </c>
      <c r="P434" s="65" t="str">
        <f t="shared" ca="1" si="54"/>
        <v/>
      </c>
      <c r="Q434" s="2"/>
      <c r="R434" s="2"/>
      <c r="S434" s="1" t="str">
        <f t="shared" si="55"/>
        <v/>
      </c>
      <c r="T434" s="1" t="str">
        <f>IF(OR($C434="",$D434&lt;&gt;"Gelir",$L434=""),"",IFERROR(INDEX(MUSTERILER!$B$7:$B$156,MATCH($S434,MUSTERILER!$T$7:$T$156,0)),""))</f>
        <v/>
      </c>
      <c r="U434" s="1" t="str">
        <f>IF($T434="","",$T434&amp;"|"&amp;COUNTIFS($T$7:$T434,$T434))</f>
        <v/>
      </c>
      <c r="V434" s="1">
        <f t="shared" si="56"/>
        <v>0</v>
      </c>
      <c r="W434" s="1" t="str">
        <f t="shared" si="57"/>
        <v/>
      </c>
      <c r="X434" s="1"/>
      <c r="Y434" s="1"/>
      <c r="Z434" s="1"/>
      <c r="AA434" s="1"/>
      <c r="AB434" s="1"/>
      <c r="AC434" s="1"/>
      <c r="AD434" s="1">
        <f>IF($C434="",0,SUMPRODUCT((AY_SONU!$O$7:$O$42="Evet")*(AY_SONU!$B$7:$B$42=DATE(YEAR($C434),MONTH($C434),1))))</f>
        <v>0</v>
      </c>
      <c r="AE434" s="1" t="str">
        <f>IF($E434="","",$E434&amp;"|"&amp;COUNTIFS($E$7:$E434,$E434))</f>
        <v/>
      </c>
    </row>
    <row r="435" spans="1:31" ht="18" customHeight="1" x14ac:dyDescent="0.3">
      <c r="A435" s="2"/>
      <c r="B435" s="65" t="str">
        <f t="shared" si="50"/>
        <v/>
      </c>
      <c r="C435" s="66"/>
      <c r="D435" s="60"/>
      <c r="E435" s="61"/>
      <c r="F435" s="61"/>
      <c r="G435" s="67"/>
      <c r="H435" s="60"/>
      <c r="I435" s="60"/>
      <c r="J435" s="61"/>
      <c r="K435" s="61"/>
      <c r="L435" s="60"/>
      <c r="M435" s="74" t="str">
        <f t="shared" si="51"/>
        <v/>
      </c>
      <c r="N435" s="74" t="str">
        <f t="shared" si="52"/>
        <v/>
      </c>
      <c r="O435" s="73" t="str">
        <f t="shared" si="53"/>
        <v/>
      </c>
      <c r="P435" s="65" t="str">
        <f t="shared" ca="1" si="54"/>
        <v/>
      </c>
      <c r="Q435" s="2"/>
      <c r="R435" s="2"/>
      <c r="S435" s="1" t="str">
        <f t="shared" si="55"/>
        <v/>
      </c>
      <c r="T435" s="1" t="str">
        <f>IF(OR($C435="",$D435&lt;&gt;"Gelir",$L435=""),"",IFERROR(INDEX(MUSTERILER!$B$7:$B$156,MATCH($S435,MUSTERILER!$T$7:$T$156,0)),""))</f>
        <v/>
      </c>
      <c r="U435" s="1" t="str">
        <f>IF($T435="","",$T435&amp;"|"&amp;COUNTIFS($T$7:$T435,$T435))</f>
        <v/>
      </c>
      <c r="V435" s="1">
        <f t="shared" si="56"/>
        <v>0</v>
      </c>
      <c r="W435" s="1" t="str">
        <f t="shared" si="57"/>
        <v/>
      </c>
      <c r="X435" s="1"/>
      <c r="Y435" s="1"/>
      <c r="Z435" s="1"/>
      <c r="AA435" s="1"/>
      <c r="AB435" s="1"/>
      <c r="AC435" s="1"/>
      <c r="AD435" s="1">
        <f>IF($C435="",0,SUMPRODUCT((AY_SONU!$O$7:$O$42="Evet")*(AY_SONU!$B$7:$B$42=DATE(YEAR($C435),MONTH($C435),1))))</f>
        <v>0</v>
      </c>
      <c r="AE435" s="1" t="str">
        <f>IF($E435="","",$E435&amp;"|"&amp;COUNTIFS($E$7:$E435,$E435))</f>
        <v/>
      </c>
    </row>
    <row r="436" spans="1:31" ht="18" customHeight="1" x14ac:dyDescent="0.3">
      <c r="A436" s="2"/>
      <c r="B436" s="65" t="str">
        <f t="shared" si="50"/>
        <v/>
      </c>
      <c r="C436" s="66"/>
      <c r="D436" s="60"/>
      <c r="E436" s="61"/>
      <c r="F436" s="61"/>
      <c r="G436" s="67"/>
      <c r="H436" s="60"/>
      <c r="I436" s="60"/>
      <c r="J436" s="61"/>
      <c r="K436" s="61"/>
      <c r="L436" s="60"/>
      <c r="M436" s="74" t="str">
        <f t="shared" si="51"/>
        <v/>
      </c>
      <c r="N436" s="74" t="str">
        <f t="shared" si="52"/>
        <v/>
      </c>
      <c r="O436" s="73" t="str">
        <f t="shared" si="53"/>
        <v/>
      </c>
      <c r="P436" s="65" t="str">
        <f t="shared" ca="1" si="54"/>
        <v/>
      </c>
      <c r="Q436" s="2"/>
      <c r="R436" s="2"/>
      <c r="S436" s="1" t="str">
        <f t="shared" si="55"/>
        <v/>
      </c>
      <c r="T436" s="1" t="str">
        <f>IF(OR($C436="",$D436&lt;&gt;"Gelir",$L436=""),"",IFERROR(INDEX(MUSTERILER!$B$7:$B$156,MATCH($S436,MUSTERILER!$T$7:$T$156,0)),""))</f>
        <v/>
      </c>
      <c r="U436" s="1" t="str">
        <f>IF($T436="","",$T436&amp;"|"&amp;COUNTIFS($T$7:$T436,$T436))</f>
        <v/>
      </c>
      <c r="V436" s="1">
        <f t="shared" si="56"/>
        <v>0</v>
      </c>
      <c r="W436" s="1" t="str">
        <f t="shared" si="57"/>
        <v/>
      </c>
      <c r="X436" s="1"/>
      <c r="Y436" s="1"/>
      <c r="Z436" s="1"/>
      <c r="AA436" s="1"/>
      <c r="AB436" s="1"/>
      <c r="AC436" s="1"/>
      <c r="AD436" s="1">
        <f>IF($C436="",0,SUMPRODUCT((AY_SONU!$O$7:$O$42="Evet")*(AY_SONU!$B$7:$B$42=DATE(YEAR($C436),MONTH($C436),1))))</f>
        <v>0</v>
      </c>
      <c r="AE436" s="1" t="str">
        <f>IF($E436="","",$E436&amp;"|"&amp;COUNTIFS($E$7:$E436,$E436))</f>
        <v/>
      </c>
    </row>
    <row r="437" spans="1:31" ht="18" customHeight="1" x14ac:dyDescent="0.3">
      <c r="A437" s="2"/>
      <c r="B437" s="65" t="str">
        <f t="shared" si="50"/>
        <v/>
      </c>
      <c r="C437" s="66"/>
      <c r="D437" s="60"/>
      <c r="E437" s="61"/>
      <c r="F437" s="61"/>
      <c r="G437" s="67"/>
      <c r="H437" s="60"/>
      <c r="I437" s="60"/>
      <c r="J437" s="61"/>
      <c r="K437" s="61"/>
      <c r="L437" s="60"/>
      <c r="M437" s="74" t="str">
        <f t="shared" si="51"/>
        <v/>
      </c>
      <c r="N437" s="74" t="str">
        <f t="shared" si="52"/>
        <v/>
      </c>
      <c r="O437" s="73" t="str">
        <f t="shared" si="53"/>
        <v/>
      </c>
      <c r="P437" s="65" t="str">
        <f t="shared" ca="1" si="54"/>
        <v/>
      </c>
      <c r="Q437" s="2"/>
      <c r="R437" s="2"/>
      <c r="S437" s="1" t="str">
        <f t="shared" si="55"/>
        <v/>
      </c>
      <c r="T437" s="1" t="str">
        <f>IF(OR($C437="",$D437&lt;&gt;"Gelir",$L437=""),"",IFERROR(INDEX(MUSTERILER!$B$7:$B$156,MATCH($S437,MUSTERILER!$T$7:$T$156,0)),""))</f>
        <v/>
      </c>
      <c r="U437" s="1" t="str">
        <f>IF($T437="","",$T437&amp;"|"&amp;COUNTIFS($T$7:$T437,$T437))</f>
        <v/>
      </c>
      <c r="V437" s="1">
        <f t="shared" si="56"/>
        <v>0</v>
      </c>
      <c r="W437" s="1" t="str">
        <f t="shared" si="57"/>
        <v/>
      </c>
      <c r="X437" s="1"/>
      <c r="Y437" s="1"/>
      <c r="Z437" s="1"/>
      <c r="AA437" s="1"/>
      <c r="AB437" s="1"/>
      <c r="AC437" s="1"/>
      <c r="AD437" s="1">
        <f>IF($C437="",0,SUMPRODUCT((AY_SONU!$O$7:$O$42="Evet")*(AY_SONU!$B$7:$B$42=DATE(YEAR($C437),MONTH($C437),1))))</f>
        <v>0</v>
      </c>
      <c r="AE437" s="1" t="str">
        <f>IF($E437="","",$E437&amp;"|"&amp;COUNTIFS($E$7:$E437,$E437))</f>
        <v/>
      </c>
    </row>
    <row r="438" spans="1:31" ht="18" customHeight="1" x14ac:dyDescent="0.3">
      <c r="A438" s="2"/>
      <c r="B438" s="65" t="str">
        <f t="shared" si="50"/>
        <v/>
      </c>
      <c r="C438" s="66"/>
      <c r="D438" s="60"/>
      <c r="E438" s="61"/>
      <c r="F438" s="61"/>
      <c r="G438" s="67"/>
      <c r="H438" s="60"/>
      <c r="I438" s="60"/>
      <c r="J438" s="61"/>
      <c r="K438" s="61"/>
      <c r="L438" s="60"/>
      <c r="M438" s="74" t="str">
        <f t="shared" si="51"/>
        <v/>
      </c>
      <c r="N438" s="74" t="str">
        <f t="shared" si="52"/>
        <v/>
      </c>
      <c r="O438" s="73" t="str">
        <f t="shared" si="53"/>
        <v/>
      </c>
      <c r="P438" s="65" t="str">
        <f t="shared" ca="1" si="54"/>
        <v/>
      </c>
      <c r="Q438" s="2"/>
      <c r="R438" s="2"/>
      <c r="S438" s="1" t="str">
        <f t="shared" si="55"/>
        <v/>
      </c>
      <c r="T438" s="1" t="str">
        <f>IF(OR($C438="",$D438&lt;&gt;"Gelir",$L438=""),"",IFERROR(INDEX(MUSTERILER!$B$7:$B$156,MATCH($S438,MUSTERILER!$T$7:$T$156,0)),""))</f>
        <v/>
      </c>
      <c r="U438" s="1" t="str">
        <f>IF($T438="","",$T438&amp;"|"&amp;COUNTIFS($T$7:$T438,$T438))</f>
        <v/>
      </c>
      <c r="V438" s="1">
        <f t="shared" si="56"/>
        <v>0</v>
      </c>
      <c r="W438" s="1" t="str">
        <f t="shared" si="57"/>
        <v/>
      </c>
      <c r="X438" s="1"/>
      <c r="Y438" s="1"/>
      <c r="Z438" s="1"/>
      <c r="AA438" s="1"/>
      <c r="AB438" s="1"/>
      <c r="AC438" s="1"/>
      <c r="AD438" s="1">
        <f>IF($C438="",0,SUMPRODUCT((AY_SONU!$O$7:$O$42="Evet")*(AY_SONU!$B$7:$B$42=DATE(YEAR($C438),MONTH($C438),1))))</f>
        <v>0</v>
      </c>
      <c r="AE438" s="1" t="str">
        <f>IF($E438="","",$E438&amp;"|"&amp;COUNTIFS($E$7:$E438,$E438))</f>
        <v/>
      </c>
    </row>
    <row r="439" spans="1:31" ht="18" customHeight="1" x14ac:dyDescent="0.3">
      <c r="A439" s="2"/>
      <c r="B439" s="65" t="str">
        <f t="shared" si="50"/>
        <v/>
      </c>
      <c r="C439" s="66"/>
      <c r="D439" s="60"/>
      <c r="E439" s="61"/>
      <c r="F439" s="61"/>
      <c r="G439" s="67"/>
      <c r="H439" s="60"/>
      <c r="I439" s="60"/>
      <c r="J439" s="61"/>
      <c r="K439" s="61"/>
      <c r="L439" s="60"/>
      <c r="M439" s="74" t="str">
        <f t="shared" si="51"/>
        <v/>
      </c>
      <c r="N439" s="74" t="str">
        <f t="shared" si="52"/>
        <v/>
      </c>
      <c r="O439" s="73" t="str">
        <f t="shared" si="53"/>
        <v/>
      </c>
      <c r="P439" s="65" t="str">
        <f t="shared" ca="1" si="54"/>
        <v/>
      </c>
      <c r="Q439" s="2"/>
      <c r="R439" s="2"/>
      <c r="S439" s="1" t="str">
        <f t="shared" si="55"/>
        <v/>
      </c>
      <c r="T439" s="1" t="str">
        <f>IF(OR($C439="",$D439&lt;&gt;"Gelir",$L439=""),"",IFERROR(INDEX(MUSTERILER!$B$7:$B$156,MATCH($S439,MUSTERILER!$T$7:$T$156,0)),""))</f>
        <v/>
      </c>
      <c r="U439" s="1" t="str">
        <f>IF($T439="","",$T439&amp;"|"&amp;COUNTIFS($T$7:$T439,$T439))</f>
        <v/>
      </c>
      <c r="V439" s="1">
        <f t="shared" si="56"/>
        <v>0</v>
      </c>
      <c r="W439" s="1" t="str">
        <f t="shared" si="57"/>
        <v/>
      </c>
      <c r="X439" s="1"/>
      <c r="Y439" s="1"/>
      <c r="Z439" s="1"/>
      <c r="AA439" s="1"/>
      <c r="AB439" s="1"/>
      <c r="AC439" s="1"/>
      <c r="AD439" s="1">
        <f>IF($C439="",0,SUMPRODUCT((AY_SONU!$O$7:$O$42="Evet")*(AY_SONU!$B$7:$B$42=DATE(YEAR($C439),MONTH($C439),1))))</f>
        <v>0</v>
      </c>
      <c r="AE439" s="1" t="str">
        <f>IF($E439="","",$E439&amp;"|"&amp;COUNTIFS($E$7:$E439,$E439))</f>
        <v/>
      </c>
    </row>
    <row r="440" spans="1:31" ht="18" customHeight="1" x14ac:dyDescent="0.3">
      <c r="A440" s="2"/>
      <c r="B440" s="65" t="str">
        <f t="shared" si="50"/>
        <v/>
      </c>
      <c r="C440" s="66"/>
      <c r="D440" s="60"/>
      <c r="E440" s="61"/>
      <c r="F440" s="61"/>
      <c r="G440" s="67"/>
      <c r="H440" s="60"/>
      <c r="I440" s="60"/>
      <c r="J440" s="61"/>
      <c r="K440" s="61"/>
      <c r="L440" s="60"/>
      <c r="M440" s="74" t="str">
        <f t="shared" si="51"/>
        <v/>
      </c>
      <c r="N440" s="74" t="str">
        <f t="shared" si="52"/>
        <v/>
      </c>
      <c r="O440" s="73" t="str">
        <f t="shared" si="53"/>
        <v/>
      </c>
      <c r="P440" s="65" t="str">
        <f t="shared" ca="1" si="54"/>
        <v/>
      </c>
      <c r="Q440" s="2"/>
      <c r="R440" s="2"/>
      <c r="S440" s="1" t="str">
        <f t="shared" si="55"/>
        <v/>
      </c>
      <c r="T440" s="1" t="str">
        <f>IF(OR($C440="",$D440&lt;&gt;"Gelir",$L440=""),"",IFERROR(INDEX(MUSTERILER!$B$7:$B$156,MATCH($S440,MUSTERILER!$T$7:$T$156,0)),""))</f>
        <v/>
      </c>
      <c r="U440" s="1" t="str">
        <f>IF($T440="","",$T440&amp;"|"&amp;COUNTIFS($T$7:$T440,$T440))</f>
        <v/>
      </c>
      <c r="V440" s="1">
        <f t="shared" si="56"/>
        <v>0</v>
      </c>
      <c r="W440" s="1" t="str">
        <f t="shared" si="57"/>
        <v/>
      </c>
      <c r="X440" s="1"/>
      <c r="Y440" s="1"/>
      <c r="Z440" s="1"/>
      <c r="AA440" s="1"/>
      <c r="AB440" s="1"/>
      <c r="AC440" s="1"/>
      <c r="AD440" s="1">
        <f>IF($C440="",0,SUMPRODUCT((AY_SONU!$O$7:$O$42="Evet")*(AY_SONU!$B$7:$B$42=DATE(YEAR($C440),MONTH($C440),1))))</f>
        <v>0</v>
      </c>
      <c r="AE440" s="1" t="str">
        <f>IF($E440="","",$E440&amp;"|"&amp;COUNTIFS($E$7:$E440,$E440))</f>
        <v/>
      </c>
    </row>
    <row r="441" spans="1:31" ht="18" customHeight="1" x14ac:dyDescent="0.3">
      <c r="A441" s="2"/>
      <c r="B441" s="65" t="str">
        <f t="shared" si="50"/>
        <v/>
      </c>
      <c r="C441" s="66"/>
      <c r="D441" s="60"/>
      <c r="E441" s="61"/>
      <c r="F441" s="61"/>
      <c r="G441" s="67"/>
      <c r="H441" s="60"/>
      <c r="I441" s="60"/>
      <c r="J441" s="61"/>
      <c r="K441" s="61"/>
      <c r="L441" s="60"/>
      <c r="M441" s="74" t="str">
        <f t="shared" si="51"/>
        <v/>
      </c>
      <c r="N441" s="74" t="str">
        <f t="shared" si="52"/>
        <v/>
      </c>
      <c r="O441" s="73" t="str">
        <f t="shared" si="53"/>
        <v/>
      </c>
      <c r="P441" s="65" t="str">
        <f t="shared" ca="1" si="54"/>
        <v/>
      </c>
      <c r="Q441" s="2"/>
      <c r="R441" s="2"/>
      <c r="S441" s="1" t="str">
        <f t="shared" si="55"/>
        <v/>
      </c>
      <c r="T441" s="1" t="str">
        <f>IF(OR($C441="",$D441&lt;&gt;"Gelir",$L441=""),"",IFERROR(INDEX(MUSTERILER!$B$7:$B$156,MATCH($S441,MUSTERILER!$T$7:$T$156,0)),""))</f>
        <v/>
      </c>
      <c r="U441" s="1" t="str">
        <f>IF($T441="","",$T441&amp;"|"&amp;COUNTIFS($T$7:$T441,$T441))</f>
        <v/>
      </c>
      <c r="V441" s="1">
        <f t="shared" si="56"/>
        <v>0</v>
      </c>
      <c r="W441" s="1" t="str">
        <f t="shared" si="57"/>
        <v/>
      </c>
      <c r="X441" s="1"/>
      <c r="Y441" s="1"/>
      <c r="Z441" s="1"/>
      <c r="AA441" s="1"/>
      <c r="AB441" s="1"/>
      <c r="AC441" s="1"/>
      <c r="AD441" s="1">
        <f>IF($C441="",0,SUMPRODUCT((AY_SONU!$O$7:$O$42="Evet")*(AY_SONU!$B$7:$B$42=DATE(YEAR($C441),MONTH($C441),1))))</f>
        <v>0</v>
      </c>
      <c r="AE441" s="1" t="str">
        <f>IF($E441="","",$E441&amp;"|"&amp;COUNTIFS($E$7:$E441,$E441))</f>
        <v/>
      </c>
    </row>
    <row r="442" spans="1:31" ht="18" customHeight="1" x14ac:dyDescent="0.3">
      <c r="A442" s="2"/>
      <c r="B442" s="65" t="str">
        <f t="shared" si="50"/>
        <v/>
      </c>
      <c r="C442" s="66"/>
      <c r="D442" s="60"/>
      <c r="E442" s="61"/>
      <c r="F442" s="61"/>
      <c r="G442" s="67"/>
      <c r="H442" s="60"/>
      <c r="I442" s="60"/>
      <c r="J442" s="61"/>
      <c r="K442" s="61"/>
      <c r="L442" s="60"/>
      <c r="M442" s="74" t="str">
        <f t="shared" si="51"/>
        <v/>
      </c>
      <c r="N442" s="74" t="str">
        <f t="shared" si="52"/>
        <v/>
      </c>
      <c r="O442" s="73" t="str">
        <f t="shared" si="53"/>
        <v/>
      </c>
      <c r="P442" s="65" t="str">
        <f t="shared" ca="1" si="54"/>
        <v/>
      </c>
      <c r="Q442" s="2"/>
      <c r="R442" s="2"/>
      <c r="S442" s="1" t="str">
        <f t="shared" si="55"/>
        <v/>
      </c>
      <c r="T442" s="1" t="str">
        <f>IF(OR($C442="",$D442&lt;&gt;"Gelir",$L442=""),"",IFERROR(INDEX(MUSTERILER!$B$7:$B$156,MATCH($S442,MUSTERILER!$T$7:$T$156,0)),""))</f>
        <v/>
      </c>
      <c r="U442" s="1" t="str">
        <f>IF($T442="","",$T442&amp;"|"&amp;COUNTIFS($T$7:$T442,$T442))</f>
        <v/>
      </c>
      <c r="V442" s="1">
        <f t="shared" si="56"/>
        <v>0</v>
      </c>
      <c r="W442" s="1" t="str">
        <f t="shared" si="57"/>
        <v/>
      </c>
      <c r="X442" s="1"/>
      <c r="Y442" s="1"/>
      <c r="Z442" s="1"/>
      <c r="AA442" s="1"/>
      <c r="AB442" s="1"/>
      <c r="AC442" s="1"/>
      <c r="AD442" s="1">
        <f>IF($C442="",0,SUMPRODUCT((AY_SONU!$O$7:$O$42="Evet")*(AY_SONU!$B$7:$B$42=DATE(YEAR($C442),MONTH($C442),1))))</f>
        <v>0</v>
      </c>
      <c r="AE442" s="1" t="str">
        <f>IF($E442="","",$E442&amp;"|"&amp;COUNTIFS($E$7:$E442,$E442))</f>
        <v/>
      </c>
    </row>
    <row r="443" spans="1:31" ht="18" customHeight="1" x14ac:dyDescent="0.3">
      <c r="A443" s="2"/>
      <c r="B443" s="65" t="str">
        <f t="shared" si="50"/>
        <v/>
      </c>
      <c r="C443" s="66"/>
      <c r="D443" s="60"/>
      <c r="E443" s="61"/>
      <c r="F443" s="61"/>
      <c r="G443" s="67"/>
      <c r="H443" s="60"/>
      <c r="I443" s="60"/>
      <c r="J443" s="61"/>
      <c r="K443" s="61"/>
      <c r="L443" s="60"/>
      <c r="M443" s="74" t="str">
        <f t="shared" si="51"/>
        <v/>
      </c>
      <c r="N443" s="74" t="str">
        <f t="shared" si="52"/>
        <v/>
      </c>
      <c r="O443" s="73" t="str">
        <f t="shared" si="53"/>
        <v/>
      </c>
      <c r="P443" s="65" t="str">
        <f t="shared" ca="1" si="54"/>
        <v/>
      </c>
      <c r="Q443" s="2"/>
      <c r="R443" s="2"/>
      <c r="S443" s="1" t="str">
        <f t="shared" si="55"/>
        <v/>
      </c>
      <c r="T443" s="1" t="str">
        <f>IF(OR($C443="",$D443&lt;&gt;"Gelir",$L443=""),"",IFERROR(INDEX(MUSTERILER!$B$7:$B$156,MATCH($S443,MUSTERILER!$T$7:$T$156,0)),""))</f>
        <v/>
      </c>
      <c r="U443" s="1" t="str">
        <f>IF($T443="","",$T443&amp;"|"&amp;COUNTIFS($T$7:$T443,$T443))</f>
        <v/>
      </c>
      <c r="V443" s="1">
        <f t="shared" si="56"/>
        <v>0</v>
      </c>
      <c r="W443" s="1" t="str">
        <f t="shared" si="57"/>
        <v/>
      </c>
      <c r="X443" s="1"/>
      <c r="Y443" s="1"/>
      <c r="Z443" s="1"/>
      <c r="AA443" s="1"/>
      <c r="AB443" s="1"/>
      <c r="AC443" s="1"/>
      <c r="AD443" s="1">
        <f>IF($C443="",0,SUMPRODUCT((AY_SONU!$O$7:$O$42="Evet")*(AY_SONU!$B$7:$B$42=DATE(YEAR($C443),MONTH($C443),1))))</f>
        <v>0</v>
      </c>
      <c r="AE443" s="1" t="str">
        <f>IF($E443="","",$E443&amp;"|"&amp;COUNTIFS($E$7:$E443,$E443))</f>
        <v/>
      </c>
    </row>
    <row r="444" spans="1:31" ht="18" customHeight="1" x14ac:dyDescent="0.3">
      <c r="A444" s="2"/>
      <c r="B444" s="65" t="str">
        <f t="shared" si="50"/>
        <v/>
      </c>
      <c r="C444" s="66"/>
      <c r="D444" s="60"/>
      <c r="E444" s="61"/>
      <c r="F444" s="61"/>
      <c r="G444" s="67"/>
      <c r="H444" s="60"/>
      <c r="I444" s="60"/>
      <c r="J444" s="61"/>
      <c r="K444" s="61"/>
      <c r="L444" s="60"/>
      <c r="M444" s="74" t="str">
        <f t="shared" si="51"/>
        <v/>
      </c>
      <c r="N444" s="74" t="str">
        <f t="shared" si="52"/>
        <v/>
      </c>
      <c r="O444" s="73" t="str">
        <f t="shared" si="53"/>
        <v/>
      </c>
      <c r="P444" s="65" t="str">
        <f t="shared" ca="1" si="54"/>
        <v/>
      </c>
      <c r="Q444" s="2"/>
      <c r="R444" s="2"/>
      <c r="S444" s="1" t="str">
        <f t="shared" si="55"/>
        <v/>
      </c>
      <c r="T444" s="1" t="str">
        <f>IF(OR($C444="",$D444&lt;&gt;"Gelir",$L444=""),"",IFERROR(INDEX(MUSTERILER!$B$7:$B$156,MATCH($S444,MUSTERILER!$T$7:$T$156,0)),""))</f>
        <v/>
      </c>
      <c r="U444" s="1" t="str">
        <f>IF($T444="","",$T444&amp;"|"&amp;COUNTIFS($T$7:$T444,$T444))</f>
        <v/>
      </c>
      <c r="V444" s="1">
        <f t="shared" si="56"/>
        <v>0</v>
      </c>
      <c r="W444" s="1" t="str">
        <f t="shared" si="57"/>
        <v/>
      </c>
      <c r="X444" s="1"/>
      <c r="Y444" s="1"/>
      <c r="Z444" s="1"/>
      <c r="AA444" s="1"/>
      <c r="AB444" s="1"/>
      <c r="AC444" s="1"/>
      <c r="AD444" s="1">
        <f>IF($C444="",0,SUMPRODUCT((AY_SONU!$O$7:$O$42="Evet")*(AY_SONU!$B$7:$B$42=DATE(YEAR($C444),MONTH($C444),1))))</f>
        <v>0</v>
      </c>
      <c r="AE444" s="1" t="str">
        <f>IF($E444="","",$E444&amp;"|"&amp;COUNTIFS($E$7:$E444,$E444))</f>
        <v/>
      </c>
    </row>
    <row r="445" spans="1:31" ht="18" customHeight="1" x14ac:dyDescent="0.3">
      <c r="A445" s="2"/>
      <c r="B445" s="65" t="str">
        <f t="shared" si="50"/>
        <v/>
      </c>
      <c r="C445" s="66"/>
      <c r="D445" s="60"/>
      <c r="E445" s="61"/>
      <c r="F445" s="61"/>
      <c r="G445" s="67"/>
      <c r="H445" s="60"/>
      <c r="I445" s="60"/>
      <c r="J445" s="61"/>
      <c r="K445" s="61"/>
      <c r="L445" s="60"/>
      <c r="M445" s="74" t="str">
        <f t="shared" si="51"/>
        <v/>
      </c>
      <c r="N445" s="74" t="str">
        <f t="shared" si="52"/>
        <v/>
      </c>
      <c r="O445" s="73" t="str">
        <f t="shared" si="53"/>
        <v/>
      </c>
      <c r="P445" s="65" t="str">
        <f t="shared" ca="1" si="54"/>
        <v/>
      </c>
      <c r="Q445" s="2"/>
      <c r="R445" s="2"/>
      <c r="S445" s="1" t="str">
        <f t="shared" si="55"/>
        <v/>
      </c>
      <c r="T445" s="1" t="str">
        <f>IF(OR($C445="",$D445&lt;&gt;"Gelir",$L445=""),"",IFERROR(INDEX(MUSTERILER!$B$7:$B$156,MATCH($S445,MUSTERILER!$T$7:$T$156,0)),""))</f>
        <v/>
      </c>
      <c r="U445" s="1" t="str">
        <f>IF($T445="","",$T445&amp;"|"&amp;COUNTIFS($T$7:$T445,$T445))</f>
        <v/>
      </c>
      <c r="V445" s="1">
        <f t="shared" si="56"/>
        <v>0</v>
      </c>
      <c r="W445" s="1" t="str">
        <f t="shared" si="57"/>
        <v/>
      </c>
      <c r="X445" s="1"/>
      <c r="Y445" s="1"/>
      <c r="Z445" s="1"/>
      <c r="AA445" s="1"/>
      <c r="AB445" s="1"/>
      <c r="AC445" s="1"/>
      <c r="AD445" s="1">
        <f>IF($C445="",0,SUMPRODUCT((AY_SONU!$O$7:$O$42="Evet")*(AY_SONU!$B$7:$B$42=DATE(YEAR($C445),MONTH($C445),1))))</f>
        <v>0</v>
      </c>
      <c r="AE445" s="1" t="str">
        <f>IF($E445="","",$E445&amp;"|"&amp;COUNTIFS($E$7:$E445,$E445))</f>
        <v/>
      </c>
    </row>
    <row r="446" spans="1:31" ht="18" customHeight="1" x14ac:dyDescent="0.3">
      <c r="A446" s="2"/>
      <c r="B446" s="65" t="str">
        <f t="shared" si="50"/>
        <v/>
      </c>
      <c r="C446" s="66"/>
      <c r="D446" s="60"/>
      <c r="E446" s="61"/>
      <c r="F446" s="61"/>
      <c r="G446" s="67"/>
      <c r="H446" s="60"/>
      <c r="I446" s="60"/>
      <c r="J446" s="61"/>
      <c r="K446" s="61"/>
      <c r="L446" s="60"/>
      <c r="M446" s="74" t="str">
        <f t="shared" si="51"/>
        <v/>
      </c>
      <c r="N446" s="74" t="str">
        <f t="shared" si="52"/>
        <v/>
      </c>
      <c r="O446" s="73" t="str">
        <f t="shared" si="53"/>
        <v/>
      </c>
      <c r="P446" s="65" t="str">
        <f t="shared" ca="1" si="54"/>
        <v/>
      </c>
      <c r="Q446" s="2"/>
      <c r="R446" s="2"/>
      <c r="S446" s="1" t="str">
        <f t="shared" si="55"/>
        <v/>
      </c>
      <c r="T446" s="1" t="str">
        <f>IF(OR($C446="",$D446&lt;&gt;"Gelir",$L446=""),"",IFERROR(INDEX(MUSTERILER!$B$7:$B$156,MATCH($S446,MUSTERILER!$T$7:$T$156,0)),""))</f>
        <v/>
      </c>
      <c r="U446" s="1" t="str">
        <f>IF($T446="","",$T446&amp;"|"&amp;COUNTIFS($T$7:$T446,$T446))</f>
        <v/>
      </c>
      <c r="V446" s="1">
        <f t="shared" si="56"/>
        <v>0</v>
      </c>
      <c r="W446" s="1" t="str">
        <f t="shared" si="57"/>
        <v/>
      </c>
      <c r="X446" s="1"/>
      <c r="Y446" s="1"/>
      <c r="Z446" s="1"/>
      <c r="AA446" s="1"/>
      <c r="AB446" s="1"/>
      <c r="AC446" s="1"/>
      <c r="AD446" s="1">
        <f>IF($C446="",0,SUMPRODUCT((AY_SONU!$O$7:$O$42="Evet")*(AY_SONU!$B$7:$B$42=DATE(YEAR($C446),MONTH($C446),1))))</f>
        <v>0</v>
      </c>
      <c r="AE446" s="1" t="str">
        <f>IF($E446="","",$E446&amp;"|"&amp;COUNTIFS($E$7:$E446,$E446))</f>
        <v/>
      </c>
    </row>
    <row r="447" spans="1:31" ht="18" customHeight="1" x14ac:dyDescent="0.3">
      <c r="A447" s="2"/>
      <c r="B447" s="65" t="str">
        <f t="shared" si="50"/>
        <v/>
      </c>
      <c r="C447" s="66"/>
      <c r="D447" s="60"/>
      <c r="E447" s="61"/>
      <c r="F447" s="61"/>
      <c r="G447" s="67"/>
      <c r="H447" s="60"/>
      <c r="I447" s="60"/>
      <c r="J447" s="61"/>
      <c r="K447" s="61"/>
      <c r="L447" s="60"/>
      <c r="M447" s="74" t="str">
        <f t="shared" si="51"/>
        <v/>
      </c>
      <c r="N447" s="74" t="str">
        <f t="shared" si="52"/>
        <v/>
      </c>
      <c r="O447" s="73" t="str">
        <f t="shared" si="53"/>
        <v/>
      </c>
      <c r="P447" s="65" t="str">
        <f t="shared" ca="1" si="54"/>
        <v/>
      </c>
      <c r="Q447" s="2"/>
      <c r="R447" s="2"/>
      <c r="S447" s="1" t="str">
        <f t="shared" si="55"/>
        <v/>
      </c>
      <c r="T447" s="1" t="str">
        <f>IF(OR($C447="",$D447&lt;&gt;"Gelir",$L447=""),"",IFERROR(INDEX(MUSTERILER!$B$7:$B$156,MATCH($S447,MUSTERILER!$T$7:$T$156,0)),""))</f>
        <v/>
      </c>
      <c r="U447" s="1" t="str">
        <f>IF($T447="","",$T447&amp;"|"&amp;COUNTIFS($T$7:$T447,$T447))</f>
        <v/>
      </c>
      <c r="V447" s="1">
        <f t="shared" si="56"/>
        <v>0</v>
      </c>
      <c r="W447" s="1" t="str">
        <f t="shared" si="57"/>
        <v/>
      </c>
      <c r="X447" s="1"/>
      <c r="Y447" s="1"/>
      <c r="Z447" s="1"/>
      <c r="AA447" s="1"/>
      <c r="AB447" s="1"/>
      <c r="AC447" s="1"/>
      <c r="AD447" s="1">
        <f>IF($C447="",0,SUMPRODUCT((AY_SONU!$O$7:$O$42="Evet")*(AY_SONU!$B$7:$B$42=DATE(YEAR($C447),MONTH($C447),1))))</f>
        <v>0</v>
      </c>
      <c r="AE447" s="1" t="str">
        <f>IF($E447="","",$E447&amp;"|"&amp;COUNTIFS($E$7:$E447,$E447))</f>
        <v/>
      </c>
    </row>
    <row r="448" spans="1:31" ht="18" customHeight="1" x14ac:dyDescent="0.3">
      <c r="A448" s="2"/>
      <c r="B448" s="65" t="str">
        <f t="shared" si="50"/>
        <v/>
      </c>
      <c r="C448" s="66"/>
      <c r="D448" s="60"/>
      <c r="E448" s="61"/>
      <c r="F448" s="61"/>
      <c r="G448" s="67"/>
      <c r="H448" s="60"/>
      <c r="I448" s="60"/>
      <c r="J448" s="61"/>
      <c r="K448" s="61"/>
      <c r="L448" s="60"/>
      <c r="M448" s="74" t="str">
        <f t="shared" si="51"/>
        <v/>
      </c>
      <c r="N448" s="74" t="str">
        <f t="shared" si="52"/>
        <v/>
      </c>
      <c r="O448" s="73" t="str">
        <f t="shared" si="53"/>
        <v/>
      </c>
      <c r="P448" s="65" t="str">
        <f t="shared" ca="1" si="54"/>
        <v/>
      </c>
      <c r="Q448" s="2"/>
      <c r="R448" s="2"/>
      <c r="S448" s="1" t="str">
        <f t="shared" si="55"/>
        <v/>
      </c>
      <c r="T448" s="1" t="str">
        <f>IF(OR($C448="",$D448&lt;&gt;"Gelir",$L448=""),"",IFERROR(INDEX(MUSTERILER!$B$7:$B$156,MATCH($S448,MUSTERILER!$T$7:$T$156,0)),""))</f>
        <v/>
      </c>
      <c r="U448" s="1" t="str">
        <f>IF($T448="","",$T448&amp;"|"&amp;COUNTIFS($T$7:$T448,$T448))</f>
        <v/>
      </c>
      <c r="V448" s="1">
        <f t="shared" si="56"/>
        <v>0</v>
      </c>
      <c r="W448" s="1" t="str">
        <f t="shared" si="57"/>
        <v/>
      </c>
      <c r="X448" s="1"/>
      <c r="Y448" s="1"/>
      <c r="Z448" s="1"/>
      <c r="AA448" s="1"/>
      <c r="AB448" s="1"/>
      <c r="AC448" s="1"/>
      <c r="AD448" s="1">
        <f>IF($C448="",0,SUMPRODUCT((AY_SONU!$O$7:$O$42="Evet")*(AY_SONU!$B$7:$B$42=DATE(YEAR($C448),MONTH($C448),1))))</f>
        <v>0</v>
      </c>
      <c r="AE448" s="1" t="str">
        <f>IF($E448="","",$E448&amp;"|"&amp;COUNTIFS($E$7:$E448,$E448))</f>
        <v/>
      </c>
    </row>
    <row r="449" spans="1:31" ht="18" customHeight="1" x14ac:dyDescent="0.3">
      <c r="A449" s="2"/>
      <c r="B449" s="65" t="str">
        <f t="shared" si="50"/>
        <v/>
      </c>
      <c r="C449" s="66"/>
      <c r="D449" s="60"/>
      <c r="E449" s="61"/>
      <c r="F449" s="61"/>
      <c r="G449" s="67"/>
      <c r="H449" s="60"/>
      <c r="I449" s="60"/>
      <c r="J449" s="61"/>
      <c r="K449" s="61"/>
      <c r="L449" s="60"/>
      <c r="M449" s="74" t="str">
        <f t="shared" si="51"/>
        <v/>
      </c>
      <c r="N449" s="74" t="str">
        <f t="shared" si="52"/>
        <v/>
      </c>
      <c r="O449" s="73" t="str">
        <f t="shared" si="53"/>
        <v/>
      </c>
      <c r="P449" s="65" t="str">
        <f t="shared" ca="1" si="54"/>
        <v/>
      </c>
      <c r="Q449" s="2"/>
      <c r="R449" s="2"/>
      <c r="S449" s="1" t="str">
        <f t="shared" si="55"/>
        <v/>
      </c>
      <c r="T449" s="1" t="str">
        <f>IF(OR($C449="",$D449&lt;&gt;"Gelir",$L449=""),"",IFERROR(INDEX(MUSTERILER!$B$7:$B$156,MATCH($S449,MUSTERILER!$T$7:$T$156,0)),""))</f>
        <v/>
      </c>
      <c r="U449" s="1" t="str">
        <f>IF($T449="","",$T449&amp;"|"&amp;COUNTIFS($T$7:$T449,$T449))</f>
        <v/>
      </c>
      <c r="V449" s="1">
        <f t="shared" si="56"/>
        <v>0</v>
      </c>
      <c r="W449" s="1" t="str">
        <f t="shared" si="57"/>
        <v/>
      </c>
      <c r="X449" s="1"/>
      <c r="Y449" s="1"/>
      <c r="Z449" s="1"/>
      <c r="AA449" s="1"/>
      <c r="AB449" s="1"/>
      <c r="AC449" s="1"/>
      <c r="AD449" s="1">
        <f>IF($C449="",0,SUMPRODUCT((AY_SONU!$O$7:$O$42="Evet")*(AY_SONU!$B$7:$B$42=DATE(YEAR($C449),MONTH($C449),1))))</f>
        <v>0</v>
      </c>
      <c r="AE449" s="1" t="str">
        <f>IF($E449="","",$E449&amp;"|"&amp;COUNTIFS($E$7:$E449,$E449))</f>
        <v/>
      </c>
    </row>
    <row r="450" spans="1:31" ht="18" customHeight="1" x14ac:dyDescent="0.3">
      <c r="A450" s="2"/>
      <c r="B450" s="65" t="str">
        <f t="shared" si="50"/>
        <v/>
      </c>
      <c r="C450" s="66"/>
      <c r="D450" s="60"/>
      <c r="E450" s="61"/>
      <c r="F450" s="61"/>
      <c r="G450" s="67"/>
      <c r="H450" s="60"/>
      <c r="I450" s="60"/>
      <c r="J450" s="61"/>
      <c r="K450" s="61"/>
      <c r="L450" s="60"/>
      <c r="M450" s="74" t="str">
        <f t="shared" si="51"/>
        <v/>
      </c>
      <c r="N450" s="74" t="str">
        <f t="shared" si="52"/>
        <v/>
      </c>
      <c r="O450" s="73" t="str">
        <f t="shared" si="53"/>
        <v/>
      </c>
      <c r="P450" s="65" t="str">
        <f t="shared" ca="1" si="54"/>
        <v/>
      </c>
      <c r="Q450" s="2"/>
      <c r="R450" s="2"/>
      <c r="S450" s="1" t="str">
        <f t="shared" si="55"/>
        <v/>
      </c>
      <c r="T450" s="1" t="str">
        <f>IF(OR($C450="",$D450&lt;&gt;"Gelir",$L450=""),"",IFERROR(INDEX(MUSTERILER!$B$7:$B$156,MATCH($S450,MUSTERILER!$T$7:$T$156,0)),""))</f>
        <v/>
      </c>
      <c r="U450" s="1" t="str">
        <f>IF($T450="","",$T450&amp;"|"&amp;COUNTIFS($T$7:$T450,$T450))</f>
        <v/>
      </c>
      <c r="V450" s="1">
        <f t="shared" si="56"/>
        <v>0</v>
      </c>
      <c r="W450" s="1" t="str">
        <f t="shared" si="57"/>
        <v/>
      </c>
      <c r="X450" s="1"/>
      <c r="Y450" s="1"/>
      <c r="Z450" s="1"/>
      <c r="AA450" s="1"/>
      <c r="AB450" s="1"/>
      <c r="AC450" s="1"/>
      <c r="AD450" s="1">
        <f>IF($C450="",0,SUMPRODUCT((AY_SONU!$O$7:$O$42="Evet")*(AY_SONU!$B$7:$B$42=DATE(YEAR($C450),MONTH($C450),1))))</f>
        <v>0</v>
      </c>
      <c r="AE450" s="1" t="str">
        <f>IF($E450="","",$E450&amp;"|"&amp;COUNTIFS($E$7:$E450,$E450))</f>
        <v/>
      </c>
    </row>
    <row r="451" spans="1:31" ht="18" customHeight="1" x14ac:dyDescent="0.3">
      <c r="A451" s="2"/>
      <c r="B451" s="65" t="str">
        <f t="shared" si="50"/>
        <v/>
      </c>
      <c r="C451" s="66"/>
      <c r="D451" s="60"/>
      <c r="E451" s="61"/>
      <c r="F451" s="61"/>
      <c r="G451" s="67"/>
      <c r="H451" s="60"/>
      <c r="I451" s="60"/>
      <c r="J451" s="61"/>
      <c r="K451" s="61"/>
      <c r="L451" s="60"/>
      <c r="M451" s="74" t="str">
        <f t="shared" si="51"/>
        <v/>
      </c>
      <c r="N451" s="74" t="str">
        <f t="shared" si="52"/>
        <v/>
      </c>
      <c r="O451" s="73" t="str">
        <f t="shared" si="53"/>
        <v/>
      </c>
      <c r="P451" s="65" t="str">
        <f t="shared" ca="1" si="54"/>
        <v/>
      </c>
      <c r="Q451" s="2"/>
      <c r="R451" s="2"/>
      <c r="S451" s="1" t="str">
        <f t="shared" si="55"/>
        <v/>
      </c>
      <c r="T451" s="1" t="str">
        <f>IF(OR($C451="",$D451&lt;&gt;"Gelir",$L451=""),"",IFERROR(INDEX(MUSTERILER!$B$7:$B$156,MATCH($S451,MUSTERILER!$T$7:$T$156,0)),""))</f>
        <v/>
      </c>
      <c r="U451" s="1" t="str">
        <f>IF($T451="","",$T451&amp;"|"&amp;COUNTIFS($T$7:$T451,$T451))</f>
        <v/>
      </c>
      <c r="V451" s="1">
        <f t="shared" si="56"/>
        <v>0</v>
      </c>
      <c r="W451" s="1" t="str">
        <f t="shared" si="57"/>
        <v/>
      </c>
      <c r="X451" s="1"/>
      <c r="Y451" s="1"/>
      <c r="Z451" s="1"/>
      <c r="AA451" s="1"/>
      <c r="AB451" s="1"/>
      <c r="AC451" s="1"/>
      <c r="AD451" s="1">
        <f>IF($C451="",0,SUMPRODUCT((AY_SONU!$O$7:$O$42="Evet")*(AY_SONU!$B$7:$B$42=DATE(YEAR($C451),MONTH($C451),1))))</f>
        <v>0</v>
      </c>
      <c r="AE451" s="1" t="str">
        <f>IF($E451="","",$E451&amp;"|"&amp;COUNTIFS($E$7:$E451,$E451))</f>
        <v/>
      </c>
    </row>
    <row r="452" spans="1:31" ht="18" customHeight="1" x14ac:dyDescent="0.3">
      <c r="A452" s="2"/>
      <c r="B452" s="65" t="str">
        <f t="shared" si="50"/>
        <v/>
      </c>
      <c r="C452" s="66"/>
      <c r="D452" s="60"/>
      <c r="E452" s="61"/>
      <c r="F452" s="61"/>
      <c r="G452" s="67"/>
      <c r="H452" s="60"/>
      <c r="I452" s="60"/>
      <c r="J452" s="61"/>
      <c r="K452" s="61"/>
      <c r="L452" s="60"/>
      <c r="M452" s="74" t="str">
        <f t="shared" si="51"/>
        <v/>
      </c>
      <c r="N452" s="74" t="str">
        <f t="shared" si="52"/>
        <v/>
      </c>
      <c r="O452" s="73" t="str">
        <f t="shared" si="53"/>
        <v/>
      </c>
      <c r="P452" s="65" t="str">
        <f t="shared" ca="1" si="54"/>
        <v/>
      </c>
      <c r="Q452" s="2"/>
      <c r="R452" s="2"/>
      <c r="S452" s="1" t="str">
        <f t="shared" si="55"/>
        <v/>
      </c>
      <c r="T452" s="1" t="str">
        <f>IF(OR($C452="",$D452&lt;&gt;"Gelir",$L452=""),"",IFERROR(INDEX(MUSTERILER!$B$7:$B$156,MATCH($S452,MUSTERILER!$T$7:$T$156,0)),""))</f>
        <v/>
      </c>
      <c r="U452" s="1" t="str">
        <f>IF($T452="","",$T452&amp;"|"&amp;COUNTIFS($T$7:$T452,$T452))</f>
        <v/>
      </c>
      <c r="V452" s="1">
        <f t="shared" si="56"/>
        <v>0</v>
      </c>
      <c r="W452" s="1" t="str">
        <f t="shared" si="57"/>
        <v/>
      </c>
      <c r="X452" s="1"/>
      <c r="Y452" s="1"/>
      <c r="Z452" s="1"/>
      <c r="AA452" s="1"/>
      <c r="AB452" s="1"/>
      <c r="AC452" s="1"/>
      <c r="AD452" s="1">
        <f>IF($C452="",0,SUMPRODUCT((AY_SONU!$O$7:$O$42="Evet")*(AY_SONU!$B$7:$B$42=DATE(YEAR($C452),MONTH($C452),1))))</f>
        <v>0</v>
      </c>
      <c r="AE452" s="1" t="str">
        <f>IF($E452="","",$E452&amp;"|"&amp;COUNTIFS($E$7:$E452,$E452))</f>
        <v/>
      </c>
    </row>
    <row r="453" spans="1:31" ht="18" customHeight="1" x14ac:dyDescent="0.3">
      <c r="A453" s="2"/>
      <c r="B453" s="65" t="str">
        <f t="shared" si="50"/>
        <v/>
      </c>
      <c r="C453" s="66"/>
      <c r="D453" s="60"/>
      <c r="E453" s="61"/>
      <c r="F453" s="61"/>
      <c r="G453" s="67"/>
      <c r="H453" s="60"/>
      <c r="I453" s="60"/>
      <c r="J453" s="61"/>
      <c r="K453" s="61"/>
      <c r="L453" s="60"/>
      <c r="M453" s="74" t="str">
        <f t="shared" si="51"/>
        <v/>
      </c>
      <c r="N453" s="74" t="str">
        <f t="shared" si="52"/>
        <v/>
      </c>
      <c r="O453" s="73" t="str">
        <f t="shared" si="53"/>
        <v/>
      </c>
      <c r="P453" s="65" t="str">
        <f t="shared" ca="1" si="54"/>
        <v/>
      </c>
      <c r="Q453" s="2"/>
      <c r="R453" s="2"/>
      <c r="S453" s="1" t="str">
        <f t="shared" si="55"/>
        <v/>
      </c>
      <c r="T453" s="1" t="str">
        <f>IF(OR($C453="",$D453&lt;&gt;"Gelir",$L453=""),"",IFERROR(INDEX(MUSTERILER!$B$7:$B$156,MATCH($S453,MUSTERILER!$T$7:$T$156,0)),""))</f>
        <v/>
      </c>
      <c r="U453" s="1" t="str">
        <f>IF($T453="","",$T453&amp;"|"&amp;COUNTIFS($T$7:$T453,$T453))</f>
        <v/>
      </c>
      <c r="V453" s="1">
        <f t="shared" si="56"/>
        <v>0</v>
      </c>
      <c r="W453" s="1" t="str">
        <f t="shared" si="57"/>
        <v/>
      </c>
      <c r="X453" s="1"/>
      <c r="Y453" s="1"/>
      <c r="Z453" s="1"/>
      <c r="AA453" s="1"/>
      <c r="AB453" s="1"/>
      <c r="AC453" s="1"/>
      <c r="AD453" s="1">
        <f>IF($C453="",0,SUMPRODUCT((AY_SONU!$O$7:$O$42="Evet")*(AY_SONU!$B$7:$B$42=DATE(YEAR($C453),MONTH($C453),1))))</f>
        <v>0</v>
      </c>
      <c r="AE453" s="1" t="str">
        <f>IF($E453="","",$E453&amp;"|"&amp;COUNTIFS($E$7:$E453,$E453))</f>
        <v/>
      </c>
    </row>
    <row r="454" spans="1:31" ht="18" customHeight="1" x14ac:dyDescent="0.3">
      <c r="A454" s="2"/>
      <c r="B454" s="65" t="str">
        <f t="shared" si="50"/>
        <v/>
      </c>
      <c r="C454" s="66"/>
      <c r="D454" s="60"/>
      <c r="E454" s="61"/>
      <c r="F454" s="61"/>
      <c r="G454" s="67"/>
      <c r="H454" s="60"/>
      <c r="I454" s="60"/>
      <c r="J454" s="61"/>
      <c r="K454" s="61"/>
      <c r="L454" s="60"/>
      <c r="M454" s="74" t="str">
        <f t="shared" si="51"/>
        <v/>
      </c>
      <c r="N454" s="74" t="str">
        <f t="shared" si="52"/>
        <v/>
      </c>
      <c r="O454" s="73" t="str">
        <f t="shared" si="53"/>
        <v/>
      </c>
      <c r="P454" s="65" t="str">
        <f t="shared" ca="1" si="54"/>
        <v/>
      </c>
      <c r="Q454" s="2"/>
      <c r="R454" s="2"/>
      <c r="S454" s="1" t="str">
        <f t="shared" si="55"/>
        <v/>
      </c>
      <c r="T454" s="1" t="str">
        <f>IF(OR($C454="",$D454&lt;&gt;"Gelir",$L454=""),"",IFERROR(INDEX(MUSTERILER!$B$7:$B$156,MATCH($S454,MUSTERILER!$T$7:$T$156,0)),""))</f>
        <v/>
      </c>
      <c r="U454" s="1" t="str">
        <f>IF($T454="","",$T454&amp;"|"&amp;COUNTIFS($T$7:$T454,$T454))</f>
        <v/>
      </c>
      <c r="V454" s="1">
        <f t="shared" si="56"/>
        <v>0</v>
      </c>
      <c r="W454" s="1" t="str">
        <f t="shared" si="57"/>
        <v/>
      </c>
      <c r="X454" s="1"/>
      <c r="Y454" s="1"/>
      <c r="Z454" s="1"/>
      <c r="AA454" s="1"/>
      <c r="AB454" s="1"/>
      <c r="AC454" s="1"/>
      <c r="AD454" s="1">
        <f>IF($C454="",0,SUMPRODUCT((AY_SONU!$O$7:$O$42="Evet")*(AY_SONU!$B$7:$B$42=DATE(YEAR($C454),MONTH($C454),1))))</f>
        <v>0</v>
      </c>
      <c r="AE454" s="1" t="str">
        <f>IF($E454="","",$E454&amp;"|"&amp;COUNTIFS($E$7:$E454,$E454))</f>
        <v/>
      </c>
    </row>
    <row r="455" spans="1:31" ht="18" customHeight="1" x14ac:dyDescent="0.3">
      <c r="A455" s="2"/>
      <c r="B455" s="65" t="str">
        <f t="shared" ref="B455:B518" si="58">IF($C455="","","GG"&amp;TEXT(ROW()-6,"00000"))</f>
        <v/>
      </c>
      <c r="C455" s="66"/>
      <c r="D455" s="60"/>
      <c r="E455" s="61"/>
      <c r="F455" s="61"/>
      <c r="G455" s="67"/>
      <c r="H455" s="60"/>
      <c r="I455" s="60"/>
      <c r="J455" s="61"/>
      <c r="K455" s="61"/>
      <c r="L455" s="60"/>
      <c r="M455" s="74" t="str">
        <f t="shared" ref="M455:M518" si="59">IF($C455="","",IF($D455="Gider",$E455,IF($L455&lt;&gt;"",$L455,$H455)))</f>
        <v/>
      </c>
      <c r="N455" s="74" t="str">
        <f t="shared" ref="N455:N518" si="60">IF($C455="","",IF($D455="Gider",$H455,$E455))</f>
        <v/>
      </c>
      <c r="O455" s="73" t="str">
        <f t="shared" ref="O455:O518" si="61">IF($C455="","",DATE(YEAR($C455),MONTH($C455),1))</f>
        <v/>
      </c>
      <c r="P455" s="65" t="str">
        <f t="shared" ref="P455:P518" ca="1" si="62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TARİH",IF(COUNTIF($W$7:$W$3006,$W455)&gt;1,"MÜKERRER?",IF($AD455&gt;0,"KAPALI DÖNEM",IF($I455="Hayır","ÖDENECEK","UYGUN")))),"EKSİK"))))</f>
        <v/>
      </c>
      <c r="Q455" s="2"/>
      <c r="R455" s="2"/>
      <c r="S455" s="1" t="str">
        <f t="shared" ref="S455:S518" si="63"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1" t="str">
        <f>IF(OR($C455="",$D455&lt;&gt;"Gelir",$L455=""),"",IFERROR(INDEX(MUSTERILER!$B$7:$B$156,MATCH($S455,MUSTERILER!$T$7:$T$156,0)),""))</f>
        <v/>
      </c>
      <c r="U455" s="1" t="str">
        <f>IF($T455="","",$T455&amp;"|"&amp;COUNTIFS($T$7:$T455,$T455))</f>
        <v/>
      </c>
      <c r="V455" s="1">
        <f t="shared" ref="V455:V518" si="64">IF($T455="",0,1)</f>
        <v>0</v>
      </c>
      <c r="W455" s="1" t="str">
        <f t="shared" ref="W455:W518" si="65">IF($C455="","",$D455&amp;"|"&amp;$E455&amp;"|"&amp;TEXT($C455,"0")&amp;"|"&amp;TEXT($G455,"0")&amp;"|"&amp;$J455)</f>
        <v/>
      </c>
      <c r="X455" s="1"/>
      <c r="Y455" s="1"/>
      <c r="Z455" s="1"/>
      <c r="AA455" s="1"/>
      <c r="AB455" s="1"/>
      <c r="AC455" s="1"/>
      <c r="AD455" s="1">
        <f>IF($C455="",0,SUMPRODUCT((AY_SONU!$O$7:$O$42="Evet")*(AY_SONU!$B$7:$B$42=DATE(YEAR($C455),MONTH($C455),1))))</f>
        <v>0</v>
      </c>
      <c r="AE455" s="1" t="str">
        <f>IF($E455="","",$E455&amp;"|"&amp;COUNTIFS($E$7:$E455,$E455))</f>
        <v/>
      </c>
    </row>
    <row r="456" spans="1:31" ht="18" customHeight="1" x14ac:dyDescent="0.3">
      <c r="A456" s="2"/>
      <c r="B456" s="65" t="str">
        <f t="shared" si="58"/>
        <v/>
      </c>
      <c r="C456" s="66"/>
      <c r="D456" s="60"/>
      <c r="E456" s="61"/>
      <c r="F456" s="61"/>
      <c r="G456" s="67"/>
      <c r="H456" s="60"/>
      <c r="I456" s="60"/>
      <c r="J456" s="61"/>
      <c r="K456" s="61"/>
      <c r="L456" s="60"/>
      <c r="M456" s="74" t="str">
        <f t="shared" si="59"/>
        <v/>
      </c>
      <c r="N456" s="74" t="str">
        <f t="shared" si="60"/>
        <v/>
      </c>
      <c r="O456" s="73" t="str">
        <f t="shared" si="61"/>
        <v/>
      </c>
      <c r="P456" s="65" t="str">
        <f t="shared" ca="1" si="62"/>
        <v/>
      </c>
      <c r="Q456" s="2"/>
      <c r="R456" s="2"/>
      <c r="S456" s="1" t="str">
        <f t="shared" si="63"/>
        <v/>
      </c>
      <c r="T456" s="1" t="str">
        <f>IF(OR($C456="",$D456&lt;&gt;"Gelir",$L456=""),"",IFERROR(INDEX(MUSTERILER!$B$7:$B$156,MATCH($S456,MUSTERILER!$T$7:$T$156,0)),""))</f>
        <v/>
      </c>
      <c r="U456" s="1" t="str">
        <f>IF($T456="","",$T456&amp;"|"&amp;COUNTIFS($T$7:$T456,$T456))</f>
        <v/>
      </c>
      <c r="V456" s="1">
        <f t="shared" si="64"/>
        <v>0</v>
      </c>
      <c r="W456" s="1" t="str">
        <f t="shared" si="65"/>
        <v/>
      </c>
      <c r="X456" s="1"/>
      <c r="Y456" s="1"/>
      <c r="Z456" s="1"/>
      <c r="AA456" s="1"/>
      <c r="AB456" s="1"/>
      <c r="AC456" s="1"/>
      <c r="AD456" s="1">
        <f>IF($C456="",0,SUMPRODUCT((AY_SONU!$O$7:$O$42="Evet")*(AY_SONU!$B$7:$B$42=DATE(YEAR($C456),MONTH($C456),1))))</f>
        <v>0</v>
      </c>
      <c r="AE456" s="1" t="str">
        <f>IF($E456="","",$E456&amp;"|"&amp;COUNTIFS($E$7:$E456,$E456))</f>
        <v/>
      </c>
    </row>
    <row r="457" spans="1:31" ht="18" customHeight="1" x14ac:dyDescent="0.3">
      <c r="A457" s="2"/>
      <c r="B457" s="65" t="str">
        <f t="shared" si="58"/>
        <v/>
      </c>
      <c r="C457" s="66"/>
      <c r="D457" s="60"/>
      <c r="E457" s="61"/>
      <c r="F457" s="61"/>
      <c r="G457" s="67"/>
      <c r="H457" s="60"/>
      <c r="I457" s="60"/>
      <c r="J457" s="61"/>
      <c r="K457" s="61"/>
      <c r="L457" s="60"/>
      <c r="M457" s="74" t="str">
        <f t="shared" si="59"/>
        <v/>
      </c>
      <c r="N457" s="74" t="str">
        <f t="shared" si="60"/>
        <v/>
      </c>
      <c r="O457" s="73" t="str">
        <f t="shared" si="61"/>
        <v/>
      </c>
      <c r="P457" s="65" t="str">
        <f t="shared" ca="1" si="62"/>
        <v/>
      </c>
      <c r="Q457" s="2"/>
      <c r="R457" s="2"/>
      <c r="S457" s="1" t="str">
        <f t="shared" si="63"/>
        <v/>
      </c>
      <c r="T457" s="1" t="str">
        <f>IF(OR($C457="",$D457&lt;&gt;"Gelir",$L457=""),"",IFERROR(INDEX(MUSTERILER!$B$7:$B$156,MATCH($S457,MUSTERILER!$T$7:$T$156,0)),""))</f>
        <v/>
      </c>
      <c r="U457" s="1" t="str">
        <f>IF($T457="","",$T457&amp;"|"&amp;COUNTIFS($T$7:$T457,$T457))</f>
        <v/>
      </c>
      <c r="V457" s="1">
        <f t="shared" si="64"/>
        <v>0</v>
      </c>
      <c r="W457" s="1" t="str">
        <f t="shared" si="65"/>
        <v/>
      </c>
      <c r="X457" s="1"/>
      <c r="Y457" s="1"/>
      <c r="Z457" s="1"/>
      <c r="AA457" s="1"/>
      <c r="AB457" s="1"/>
      <c r="AC457" s="1"/>
      <c r="AD457" s="1">
        <f>IF($C457="",0,SUMPRODUCT((AY_SONU!$O$7:$O$42="Evet")*(AY_SONU!$B$7:$B$42=DATE(YEAR($C457),MONTH($C457),1))))</f>
        <v>0</v>
      </c>
      <c r="AE457" s="1" t="str">
        <f>IF($E457="","",$E457&amp;"|"&amp;COUNTIFS($E$7:$E457,$E457))</f>
        <v/>
      </c>
    </row>
    <row r="458" spans="1:31" ht="18" customHeight="1" x14ac:dyDescent="0.3">
      <c r="A458" s="2"/>
      <c r="B458" s="65" t="str">
        <f t="shared" si="58"/>
        <v/>
      </c>
      <c r="C458" s="66"/>
      <c r="D458" s="60"/>
      <c r="E458" s="61"/>
      <c r="F458" s="61"/>
      <c r="G458" s="67"/>
      <c r="H458" s="60"/>
      <c r="I458" s="60"/>
      <c r="J458" s="61"/>
      <c r="K458" s="61"/>
      <c r="L458" s="60"/>
      <c r="M458" s="74" t="str">
        <f t="shared" si="59"/>
        <v/>
      </c>
      <c r="N458" s="74" t="str">
        <f t="shared" si="60"/>
        <v/>
      </c>
      <c r="O458" s="73" t="str">
        <f t="shared" si="61"/>
        <v/>
      </c>
      <c r="P458" s="65" t="str">
        <f t="shared" ca="1" si="62"/>
        <v/>
      </c>
      <c r="Q458" s="2"/>
      <c r="R458" s="2"/>
      <c r="S458" s="1" t="str">
        <f t="shared" si="63"/>
        <v/>
      </c>
      <c r="T458" s="1" t="str">
        <f>IF(OR($C458="",$D458&lt;&gt;"Gelir",$L458=""),"",IFERROR(INDEX(MUSTERILER!$B$7:$B$156,MATCH($S458,MUSTERILER!$T$7:$T$156,0)),""))</f>
        <v/>
      </c>
      <c r="U458" s="1" t="str">
        <f>IF($T458="","",$T458&amp;"|"&amp;COUNTIFS($T$7:$T458,$T458))</f>
        <v/>
      </c>
      <c r="V458" s="1">
        <f t="shared" si="64"/>
        <v>0</v>
      </c>
      <c r="W458" s="1" t="str">
        <f t="shared" si="65"/>
        <v/>
      </c>
      <c r="X458" s="1"/>
      <c r="Y458" s="1"/>
      <c r="Z458" s="1"/>
      <c r="AA458" s="1"/>
      <c r="AB458" s="1"/>
      <c r="AC458" s="1"/>
      <c r="AD458" s="1">
        <f>IF($C458="",0,SUMPRODUCT((AY_SONU!$O$7:$O$42="Evet")*(AY_SONU!$B$7:$B$42=DATE(YEAR($C458),MONTH($C458),1))))</f>
        <v>0</v>
      </c>
      <c r="AE458" s="1" t="str">
        <f>IF($E458="","",$E458&amp;"|"&amp;COUNTIFS($E$7:$E458,$E458))</f>
        <v/>
      </c>
    </row>
    <row r="459" spans="1:31" ht="18" customHeight="1" x14ac:dyDescent="0.3">
      <c r="A459" s="2"/>
      <c r="B459" s="65" t="str">
        <f t="shared" si="58"/>
        <v/>
      </c>
      <c r="C459" s="66"/>
      <c r="D459" s="60"/>
      <c r="E459" s="61"/>
      <c r="F459" s="61"/>
      <c r="G459" s="67"/>
      <c r="H459" s="60"/>
      <c r="I459" s="60"/>
      <c r="J459" s="61"/>
      <c r="K459" s="61"/>
      <c r="L459" s="60"/>
      <c r="M459" s="74" t="str">
        <f t="shared" si="59"/>
        <v/>
      </c>
      <c r="N459" s="74" t="str">
        <f t="shared" si="60"/>
        <v/>
      </c>
      <c r="O459" s="73" t="str">
        <f t="shared" si="61"/>
        <v/>
      </c>
      <c r="P459" s="65" t="str">
        <f t="shared" ca="1" si="62"/>
        <v/>
      </c>
      <c r="Q459" s="2"/>
      <c r="R459" s="2"/>
      <c r="S459" s="1" t="str">
        <f t="shared" si="63"/>
        <v/>
      </c>
      <c r="T459" s="1" t="str">
        <f>IF(OR($C459="",$D459&lt;&gt;"Gelir",$L459=""),"",IFERROR(INDEX(MUSTERILER!$B$7:$B$156,MATCH($S459,MUSTERILER!$T$7:$T$156,0)),""))</f>
        <v/>
      </c>
      <c r="U459" s="1" t="str">
        <f>IF($T459="","",$T459&amp;"|"&amp;COUNTIFS($T$7:$T459,$T459))</f>
        <v/>
      </c>
      <c r="V459" s="1">
        <f t="shared" si="64"/>
        <v>0</v>
      </c>
      <c r="W459" s="1" t="str">
        <f t="shared" si="65"/>
        <v/>
      </c>
      <c r="X459" s="1"/>
      <c r="Y459" s="1"/>
      <c r="Z459" s="1"/>
      <c r="AA459" s="1"/>
      <c r="AB459" s="1"/>
      <c r="AC459" s="1"/>
      <c r="AD459" s="1">
        <f>IF($C459="",0,SUMPRODUCT((AY_SONU!$O$7:$O$42="Evet")*(AY_SONU!$B$7:$B$42=DATE(YEAR($C459),MONTH($C459),1))))</f>
        <v>0</v>
      </c>
      <c r="AE459" s="1" t="str">
        <f>IF($E459="","",$E459&amp;"|"&amp;COUNTIFS($E$7:$E459,$E459))</f>
        <v/>
      </c>
    </row>
    <row r="460" spans="1:31" ht="18" customHeight="1" x14ac:dyDescent="0.3">
      <c r="A460" s="2"/>
      <c r="B460" s="65" t="str">
        <f t="shared" si="58"/>
        <v/>
      </c>
      <c r="C460" s="66"/>
      <c r="D460" s="60"/>
      <c r="E460" s="61"/>
      <c r="F460" s="61"/>
      <c r="G460" s="67"/>
      <c r="H460" s="60"/>
      <c r="I460" s="60"/>
      <c r="J460" s="61"/>
      <c r="K460" s="61"/>
      <c r="L460" s="60"/>
      <c r="M460" s="74" t="str">
        <f t="shared" si="59"/>
        <v/>
      </c>
      <c r="N460" s="74" t="str">
        <f t="shared" si="60"/>
        <v/>
      </c>
      <c r="O460" s="73" t="str">
        <f t="shared" si="61"/>
        <v/>
      </c>
      <c r="P460" s="65" t="str">
        <f t="shared" ca="1" si="62"/>
        <v/>
      </c>
      <c r="Q460" s="2"/>
      <c r="R460" s="2"/>
      <c r="S460" s="1" t="str">
        <f t="shared" si="63"/>
        <v/>
      </c>
      <c r="T460" s="1" t="str">
        <f>IF(OR($C460="",$D460&lt;&gt;"Gelir",$L460=""),"",IFERROR(INDEX(MUSTERILER!$B$7:$B$156,MATCH($S460,MUSTERILER!$T$7:$T$156,0)),""))</f>
        <v/>
      </c>
      <c r="U460" s="1" t="str">
        <f>IF($T460="","",$T460&amp;"|"&amp;COUNTIFS($T$7:$T460,$T460))</f>
        <v/>
      </c>
      <c r="V460" s="1">
        <f t="shared" si="64"/>
        <v>0</v>
      </c>
      <c r="W460" s="1" t="str">
        <f t="shared" si="65"/>
        <v/>
      </c>
      <c r="X460" s="1"/>
      <c r="Y460" s="1"/>
      <c r="Z460" s="1"/>
      <c r="AA460" s="1"/>
      <c r="AB460" s="1"/>
      <c r="AC460" s="1"/>
      <c r="AD460" s="1">
        <f>IF($C460="",0,SUMPRODUCT((AY_SONU!$O$7:$O$42="Evet")*(AY_SONU!$B$7:$B$42=DATE(YEAR($C460),MONTH($C460),1))))</f>
        <v>0</v>
      </c>
      <c r="AE460" s="1" t="str">
        <f>IF($E460="","",$E460&amp;"|"&amp;COUNTIFS($E$7:$E460,$E460))</f>
        <v/>
      </c>
    </row>
    <row r="461" spans="1:31" ht="18" customHeight="1" x14ac:dyDescent="0.3">
      <c r="A461" s="2"/>
      <c r="B461" s="65" t="str">
        <f t="shared" si="58"/>
        <v/>
      </c>
      <c r="C461" s="66"/>
      <c r="D461" s="60"/>
      <c r="E461" s="61"/>
      <c r="F461" s="61"/>
      <c r="G461" s="67"/>
      <c r="H461" s="60"/>
      <c r="I461" s="60"/>
      <c r="J461" s="61"/>
      <c r="K461" s="61"/>
      <c r="L461" s="60"/>
      <c r="M461" s="74" t="str">
        <f t="shared" si="59"/>
        <v/>
      </c>
      <c r="N461" s="74" t="str">
        <f t="shared" si="60"/>
        <v/>
      </c>
      <c r="O461" s="73" t="str">
        <f t="shared" si="61"/>
        <v/>
      </c>
      <c r="P461" s="65" t="str">
        <f t="shared" ca="1" si="62"/>
        <v/>
      </c>
      <c r="Q461" s="2"/>
      <c r="R461" s="2"/>
      <c r="S461" s="1" t="str">
        <f t="shared" si="63"/>
        <v/>
      </c>
      <c r="T461" s="1" t="str">
        <f>IF(OR($C461="",$D461&lt;&gt;"Gelir",$L461=""),"",IFERROR(INDEX(MUSTERILER!$B$7:$B$156,MATCH($S461,MUSTERILER!$T$7:$T$156,0)),""))</f>
        <v/>
      </c>
      <c r="U461" s="1" t="str">
        <f>IF($T461="","",$T461&amp;"|"&amp;COUNTIFS($T$7:$T461,$T461))</f>
        <v/>
      </c>
      <c r="V461" s="1">
        <f t="shared" si="64"/>
        <v>0</v>
      </c>
      <c r="W461" s="1" t="str">
        <f t="shared" si="65"/>
        <v/>
      </c>
      <c r="X461" s="1"/>
      <c r="Y461" s="1"/>
      <c r="Z461" s="1"/>
      <c r="AA461" s="1"/>
      <c r="AB461" s="1"/>
      <c r="AC461" s="1"/>
      <c r="AD461" s="1">
        <f>IF($C461="",0,SUMPRODUCT((AY_SONU!$O$7:$O$42="Evet")*(AY_SONU!$B$7:$B$42=DATE(YEAR($C461),MONTH($C461),1))))</f>
        <v>0</v>
      </c>
      <c r="AE461" s="1" t="str">
        <f>IF($E461="","",$E461&amp;"|"&amp;COUNTIFS($E$7:$E461,$E461))</f>
        <v/>
      </c>
    </row>
    <row r="462" spans="1:31" ht="18" customHeight="1" x14ac:dyDescent="0.3">
      <c r="A462" s="2"/>
      <c r="B462" s="65" t="str">
        <f t="shared" si="58"/>
        <v/>
      </c>
      <c r="C462" s="66"/>
      <c r="D462" s="60"/>
      <c r="E462" s="61"/>
      <c r="F462" s="61"/>
      <c r="G462" s="67"/>
      <c r="H462" s="60"/>
      <c r="I462" s="60"/>
      <c r="J462" s="61"/>
      <c r="K462" s="61"/>
      <c r="L462" s="60"/>
      <c r="M462" s="74" t="str">
        <f t="shared" si="59"/>
        <v/>
      </c>
      <c r="N462" s="74" t="str">
        <f t="shared" si="60"/>
        <v/>
      </c>
      <c r="O462" s="73" t="str">
        <f t="shared" si="61"/>
        <v/>
      </c>
      <c r="P462" s="65" t="str">
        <f t="shared" ca="1" si="62"/>
        <v/>
      </c>
      <c r="Q462" s="2"/>
      <c r="R462" s="2"/>
      <c r="S462" s="1" t="str">
        <f t="shared" si="63"/>
        <v/>
      </c>
      <c r="T462" s="1" t="str">
        <f>IF(OR($C462="",$D462&lt;&gt;"Gelir",$L462=""),"",IFERROR(INDEX(MUSTERILER!$B$7:$B$156,MATCH($S462,MUSTERILER!$T$7:$T$156,0)),""))</f>
        <v/>
      </c>
      <c r="U462" s="1" t="str">
        <f>IF($T462="","",$T462&amp;"|"&amp;COUNTIFS($T$7:$T462,$T462))</f>
        <v/>
      </c>
      <c r="V462" s="1">
        <f t="shared" si="64"/>
        <v>0</v>
      </c>
      <c r="W462" s="1" t="str">
        <f t="shared" si="65"/>
        <v/>
      </c>
      <c r="X462" s="1"/>
      <c r="Y462" s="1"/>
      <c r="Z462" s="1"/>
      <c r="AA462" s="1"/>
      <c r="AB462" s="1"/>
      <c r="AC462" s="1"/>
      <c r="AD462" s="1">
        <f>IF($C462="",0,SUMPRODUCT((AY_SONU!$O$7:$O$42="Evet")*(AY_SONU!$B$7:$B$42=DATE(YEAR($C462),MONTH($C462),1))))</f>
        <v>0</v>
      </c>
      <c r="AE462" s="1" t="str">
        <f>IF($E462="","",$E462&amp;"|"&amp;COUNTIFS($E$7:$E462,$E462))</f>
        <v/>
      </c>
    </row>
    <row r="463" spans="1:31" ht="18" customHeight="1" x14ac:dyDescent="0.3">
      <c r="A463" s="2"/>
      <c r="B463" s="65" t="str">
        <f t="shared" si="58"/>
        <v/>
      </c>
      <c r="C463" s="66"/>
      <c r="D463" s="60"/>
      <c r="E463" s="61"/>
      <c r="F463" s="61"/>
      <c r="G463" s="67"/>
      <c r="H463" s="60"/>
      <c r="I463" s="60"/>
      <c r="J463" s="61"/>
      <c r="K463" s="61"/>
      <c r="L463" s="60"/>
      <c r="M463" s="74" t="str">
        <f t="shared" si="59"/>
        <v/>
      </c>
      <c r="N463" s="74" t="str">
        <f t="shared" si="60"/>
        <v/>
      </c>
      <c r="O463" s="73" t="str">
        <f t="shared" si="61"/>
        <v/>
      </c>
      <c r="P463" s="65" t="str">
        <f t="shared" ca="1" si="62"/>
        <v/>
      </c>
      <c r="Q463" s="2"/>
      <c r="R463" s="2"/>
      <c r="S463" s="1" t="str">
        <f t="shared" si="63"/>
        <v/>
      </c>
      <c r="T463" s="1" t="str">
        <f>IF(OR($C463="",$D463&lt;&gt;"Gelir",$L463=""),"",IFERROR(INDEX(MUSTERILER!$B$7:$B$156,MATCH($S463,MUSTERILER!$T$7:$T$156,0)),""))</f>
        <v/>
      </c>
      <c r="U463" s="1" t="str">
        <f>IF($T463="","",$T463&amp;"|"&amp;COUNTIFS($T$7:$T463,$T463))</f>
        <v/>
      </c>
      <c r="V463" s="1">
        <f t="shared" si="64"/>
        <v>0</v>
      </c>
      <c r="W463" s="1" t="str">
        <f t="shared" si="65"/>
        <v/>
      </c>
      <c r="X463" s="1"/>
      <c r="Y463" s="1"/>
      <c r="Z463" s="1"/>
      <c r="AA463" s="1"/>
      <c r="AB463" s="1"/>
      <c r="AC463" s="1"/>
      <c r="AD463" s="1">
        <f>IF($C463="",0,SUMPRODUCT((AY_SONU!$O$7:$O$42="Evet")*(AY_SONU!$B$7:$B$42=DATE(YEAR($C463),MONTH($C463),1))))</f>
        <v>0</v>
      </c>
      <c r="AE463" s="1" t="str">
        <f>IF($E463="","",$E463&amp;"|"&amp;COUNTIFS($E$7:$E463,$E463))</f>
        <v/>
      </c>
    </row>
    <row r="464" spans="1:31" ht="18" customHeight="1" x14ac:dyDescent="0.3">
      <c r="A464" s="2"/>
      <c r="B464" s="65" t="str">
        <f t="shared" si="58"/>
        <v/>
      </c>
      <c r="C464" s="66"/>
      <c r="D464" s="60"/>
      <c r="E464" s="61"/>
      <c r="F464" s="61"/>
      <c r="G464" s="67"/>
      <c r="H464" s="60"/>
      <c r="I464" s="60"/>
      <c r="J464" s="61"/>
      <c r="K464" s="61"/>
      <c r="L464" s="60"/>
      <c r="M464" s="74" t="str">
        <f t="shared" si="59"/>
        <v/>
      </c>
      <c r="N464" s="74" t="str">
        <f t="shared" si="60"/>
        <v/>
      </c>
      <c r="O464" s="73" t="str">
        <f t="shared" si="61"/>
        <v/>
      </c>
      <c r="P464" s="65" t="str">
        <f t="shared" ca="1" si="62"/>
        <v/>
      </c>
      <c r="Q464" s="2"/>
      <c r="R464" s="2"/>
      <c r="S464" s="1" t="str">
        <f t="shared" si="63"/>
        <v/>
      </c>
      <c r="T464" s="1" t="str">
        <f>IF(OR($C464="",$D464&lt;&gt;"Gelir",$L464=""),"",IFERROR(INDEX(MUSTERILER!$B$7:$B$156,MATCH($S464,MUSTERILER!$T$7:$T$156,0)),""))</f>
        <v/>
      </c>
      <c r="U464" s="1" t="str">
        <f>IF($T464="","",$T464&amp;"|"&amp;COUNTIFS($T$7:$T464,$T464))</f>
        <v/>
      </c>
      <c r="V464" s="1">
        <f t="shared" si="64"/>
        <v>0</v>
      </c>
      <c r="W464" s="1" t="str">
        <f t="shared" si="65"/>
        <v/>
      </c>
      <c r="X464" s="1"/>
      <c r="Y464" s="1"/>
      <c r="Z464" s="1"/>
      <c r="AA464" s="1"/>
      <c r="AB464" s="1"/>
      <c r="AC464" s="1"/>
      <c r="AD464" s="1">
        <f>IF($C464="",0,SUMPRODUCT((AY_SONU!$O$7:$O$42="Evet")*(AY_SONU!$B$7:$B$42=DATE(YEAR($C464),MONTH($C464),1))))</f>
        <v>0</v>
      </c>
      <c r="AE464" s="1" t="str">
        <f>IF($E464="","",$E464&amp;"|"&amp;COUNTIFS($E$7:$E464,$E464))</f>
        <v/>
      </c>
    </row>
    <row r="465" spans="1:31" ht="18" customHeight="1" x14ac:dyDescent="0.3">
      <c r="A465" s="2"/>
      <c r="B465" s="65" t="str">
        <f t="shared" si="58"/>
        <v/>
      </c>
      <c r="C465" s="66"/>
      <c r="D465" s="60"/>
      <c r="E465" s="61"/>
      <c r="F465" s="61"/>
      <c r="G465" s="67"/>
      <c r="H465" s="60"/>
      <c r="I465" s="60"/>
      <c r="J465" s="61"/>
      <c r="K465" s="61"/>
      <c r="L465" s="60"/>
      <c r="M465" s="74" t="str">
        <f t="shared" si="59"/>
        <v/>
      </c>
      <c r="N465" s="74" t="str">
        <f t="shared" si="60"/>
        <v/>
      </c>
      <c r="O465" s="73" t="str">
        <f t="shared" si="61"/>
        <v/>
      </c>
      <c r="P465" s="65" t="str">
        <f t="shared" ca="1" si="62"/>
        <v/>
      </c>
      <c r="Q465" s="2"/>
      <c r="R465" s="2"/>
      <c r="S465" s="1" t="str">
        <f t="shared" si="63"/>
        <v/>
      </c>
      <c r="T465" s="1" t="str">
        <f>IF(OR($C465="",$D465&lt;&gt;"Gelir",$L465=""),"",IFERROR(INDEX(MUSTERILER!$B$7:$B$156,MATCH($S465,MUSTERILER!$T$7:$T$156,0)),""))</f>
        <v/>
      </c>
      <c r="U465" s="1" t="str">
        <f>IF($T465="","",$T465&amp;"|"&amp;COUNTIFS($T$7:$T465,$T465))</f>
        <v/>
      </c>
      <c r="V465" s="1">
        <f t="shared" si="64"/>
        <v>0</v>
      </c>
      <c r="W465" s="1" t="str">
        <f t="shared" si="65"/>
        <v/>
      </c>
      <c r="X465" s="1"/>
      <c r="Y465" s="1"/>
      <c r="Z465" s="1"/>
      <c r="AA465" s="1"/>
      <c r="AB465" s="1"/>
      <c r="AC465" s="1"/>
      <c r="AD465" s="1">
        <f>IF($C465="",0,SUMPRODUCT((AY_SONU!$O$7:$O$42="Evet")*(AY_SONU!$B$7:$B$42=DATE(YEAR($C465),MONTH($C465),1))))</f>
        <v>0</v>
      </c>
      <c r="AE465" s="1" t="str">
        <f>IF($E465="","",$E465&amp;"|"&amp;COUNTIFS($E$7:$E465,$E465))</f>
        <v/>
      </c>
    </row>
    <row r="466" spans="1:31" ht="18" customHeight="1" x14ac:dyDescent="0.3">
      <c r="A466" s="2"/>
      <c r="B466" s="65" t="str">
        <f t="shared" si="58"/>
        <v/>
      </c>
      <c r="C466" s="66"/>
      <c r="D466" s="60"/>
      <c r="E466" s="61"/>
      <c r="F466" s="61"/>
      <c r="G466" s="67"/>
      <c r="H466" s="60"/>
      <c r="I466" s="60"/>
      <c r="J466" s="61"/>
      <c r="K466" s="61"/>
      <c r="L466" s="60"/>
      <c r="M466" s="74" t="str">
        <f t="shared" si="59"/>
        <v/>
      </c>
      <c r="N466" s="74" t="str">
        <f t="shared" si="60"/>
        <v/>
      </c>
      <c r="O466" s="73" t="str">
        <f t="shared" si="61"/>
        <v/>
      </c>
      <c r="P466" s="65" t="str">
        <f t="shared" ca="1" si="62"/>
        <v/>
      </c>
      <c r="Q466" s="2"/>
      <c r="R466" s="2"/>
      <c r="S466" s="1" t="str">
        <f t="shared" si="63"/>
        <v/>
      </c>
      <c r="T466" s="1" t="str">
        <f>IF(OR($C466="",$D466&lt;&gt;"Gelir",$L466=""),"",IFERROR(INDEX(MUSTERILER!$B$7:$B$156,MATCH($S466,MUSTERILER!$T$7:$T$156,0)),""))</f>
        <v/>
      </c>
      <c r="U466" s="1" t="str">
        <f>IF($T466="","",$T466&amp;"|"&amp;COUNTIFS($T$7:$T466,$T466))</f>
        <v/>
      </c>
      <c r="V466" s="1">
        <f t="shared" si="64"/>
        <v>0</v>
      </c>
      <c r="W466" s="1" t="str">
        <f t="shared" si="65"/>
        <v/>
      </c>
      <c r="X466" s="1"/>
      <c r="Y466" s="1"/>
      <c r="Z466" s="1"/>
      <c r="AA466" s="1"/>
      <c r="AB466" s="1"/>
      <c r="AC466" s="1"/>
      <c r="AD466" s="1">
        <f>IF($C466="",0,SUMPRODUCT((AY_SONU!$O$7:$O$42="Evet")*(AY_SONU!$B$7:$B$42=DATE(YEAR($C466),MONTH($C466),1))))</f>
        <v>0</v>
      </c>
      <c r="AE466" s="1" t="str">
        <f>IF($E466="","",$E466&amp;"|"&amp;COUNTIFS($E$7:$E466,$E466))</f>
        <v/>
      </c>
    </row>
    <row r="467" spans="1:31" ht="18" customHeight="1" x14ac:dyDescent="0.3">
      <c r="A467" s="2"/>
      <c r="B467" s="65" t="str">
        <f t="shared" si="58"/>
        <v/>
      </c>
      <c r="C467" s="66"/>
      <c r="D467" s="60"/>
      <c r="E467" s="61"/>
      <c r="F467" s="61"/>
      <c r="G467" s="67"/>
      <c r="H467" s="60"/>
      <c r="I467" s="60"/>
      <c r="J467" s="61"/>
      <c r="K467" s="61"/>
      <c r="L467" s="60"/>
      <c r="M467" s="74" t="str">
        <f t="shared" si="59"/>
        <v/>
      </c>
      <c r="N467" s="74" t="str">
        <f t="shared" si="60"/>
        <v/>
      </c>
      <c r="O467" s="73" t="str">
        <f t="shared" si="61"/>
        <v/>
      </c>
      <c r="P467" s="65" t="str">
        <f t="shared" ca="1" si="62"/>
        <v/>
      </c>
      <c r="Q467" s="2"/>
      <c r="R467" s="2"/>
      <c r="S467" s="1" t="str">
        <f t="shared" si="63"/>
        <v/>
      </c>
      <c r="T467" s="1" t="str">
        <f>IF(OR($C467="",$D467&lt;&gt;"Gelir",$L467=""),"",IFERROR(INDEX(MUSTERILER!$B$7:$B$156,MATCH($S467,MUSTERILER!$T$7:$T$156,0)),""))</f>
        <v/>
      </c>
      <c r="U467" s="1" t="str">
        <f>IF($T467="","",$T467&amp;"|"&amp;COUNTIFS($T$7:$T467,$T467))</f>
        <v/>
      </c>
      <c r="V467" s="1">
        <f t="shared" si="64"/>
        <v>0</v>
      </c>
      <c r="W467" s="1" t="str">
        <f t="shared" si="65"/>
        <v/>
      </c>
      <c r="X467" s="1"/>
      <c r="Y467" s="1"/>
      <c r="Z467" s="1"/>
      <c r="AA467" s="1"/>
      <c r="AB467" s="1"/>
      <c r="AC467" s="1"/>
      <c r="AD467" s="1">
        <f>IF($C467="",0,SUMPRODUCT((AY_SONU!$O$7:$O$42="Evet")*(AY_SONU!$B$7:$B$42=DATE(YEAR($C467),MONTH($C467),1))))</f>
        <v>0</v>
      </c>
      <c r="AE467" s="1" t="str">
        <f>IF($E467="","",$E467&amp;"|"&amp;COUNTIFS($E$7:$E467,$E467))</f>
        <v/>
      </c>
    </row>
    <row r="468" spans="1:31" ht="18" customHeight="1" x14ac:dyDescent="0.3">
      <c r="A468" s="2"/>
      <c r="B468" s="65" t="str">
        <f t="shared" si="58"/>
        <v/>
      </c>
      <c r="C468" s="66"/>
      <c r="D468" s="60"/>
      <c r="E468" s="61"/>
      <c r="F468" s="61"/>
      <c r="G468" s="67"/>
      <c r="H468" s="60"/>
      <c r="I468" s="60"/>
      <c r="J468" s="61"/>
      <c r="K468" s="61"/>
      <c r="L468" s="60"/>
      <c r="M468" s="74" t="str">
        <f t="shared" si="59"/>
        <v/>
      </c>
      <c r="N468" s="74" t="str">
        <f t="shared" si="60"/>
        <v/>
      </c>
      <c r="O468" s="73" t="str">
        <f t="shared" si="61"/>
        <v/>
      </c>
      <c r="P468" s="65" t="str">
        <f t="shared" ca="1" si="62"/>
        <v/>
      </c>
      <c r="Q468" s="2"/>
      <c r="R468" s="2"/>
      <c r="S468" s="1" t="str">
        <f t="shared" si="63"/>
        <v/>
      </c>
      <c r="T468" s="1" t="str">
        <f>IF(OR($C468="",$D468&lt;&gt;"Gelir",$L468=""),"",IFERROR(INDEX(MUSTERILER!$B$7:$B$156,MATCH($S468,MUSTERILER!$T$7:$T$156,0)),""))</f>
        <v/>
      </c>
      <c r="U468" s="1" t="str">
        <f>IF($T468="","",$T468&amp;"|"&amp;COUNTIFS($T$7:$T468,$T468))</f>
        <v/>
      </c>
      <c r="V468" s="1">
        <f t="shared" si="64"/>
        <v>0</v>
      </c>
      <c r="W468" s="1" t="str">
        <f t="shared" si="65"/>
        <v/>
      </c>
      <c r="X468" s="1"/>
      <c r="Y468" s="1"/>
      <c r="Z468" s="1"/>
      <c r="AA468" s="1"/>
      <c r="AB468" s="1"/>
      <c r="AC468" s="1"/>
      <c r="AD468" s="1">
        <f>IF($C468="",0,SUMPRODUCT((AY_SONU!$O$7:$O$42="Evet")*(AY_SONU!$B$7:$B$42=DATE(YEAR($C468),MONTH($C468),1))))</f>
        <v>0</v>
      </c>
      <c r="AE468" s="1" t="str">
        <f>IF($E468="","",$E468&amp;"|"&amp;COUNTIFS($E$7:$E468,$E468))</f>
        <v/>
      </c>
    </row>
    <row r="469" spans="1:31" ht="18" customHeight="1" x14ac:dyDescent="0.3">
      <c r="A469" s="2"/>
      <c r="B469" s="65" t="str">
        <f t="shared" si="58"/>
        <v/>
      </c>
      <c r="C469" s="66"/>
      <c r="D469" s="60"/>
      <c r="E469" s="61"/>
      <c r="F469" s="61"/>
      <c r="G469" s="67"/>
      <c r="H469" s="60"/>
      <c r="I469" s="60"/>
      <c r="J469" s="61"/>
      <c r="K469" s="61"/>
      <c r="L469" s="60"/>
      <c r="M469" s="74" t="str">
        <f t="shared" si="59"/>
        <v/>
      </c>
      <c r="N469" s="74" t="str">
        <f t="shared" si="60"/>
        <v/>
      </c>
      <c r="O469" s="73" t="str">
        <f t="shared" si="61"/>
        <v/>
      </c>
      <c r="P469" s="65" t="str">
        <f t="shared" ca="1" si="62"/>
        <v/>
      </c>
      <c r="Q469" s="2"/>
      <c r="R469" s="2"/>
      <c r="S469" s="1" t="str">
        <f t="shared" si="63"/>
        <v/>
      </c>
      <c r="T469" s="1" t="str">
        <f>IF(OR($C469="",$D469&lt;&gt;"Gelir",$L469=""),"",IFERROR(INDEX(MUSTERILER!$B$7:$B$156,MATCH($S469,MUSTERILER!$T$7:$T$156,0)),""))</f>
        <v/>
      </c>
      <c r="U469" s="1" t="str">
        <f>IF($T469="","",$T469&amp;"|"&amp;COUNTIFS($T$7:$T469,$T469))</f>
        <v/>
      </c>
      <c r="V469" s="1">
        <f t="shared" si="64"/>
        <v>0</v>
      </c>
      <c r="W469" s="1" t="str">
        <f t="shared" si="65"/>
        <v/>
      </c>
      <c r="X469" s="1"/>
      <c r="Y469" s="1"/>
      <c r="Z469" s="1"/>
      <c r="AA469" s="1"/>
      <c r="AB469" s="1"/>
      <c r="AC469" s="1"/>
      <c r="AD469" s="1">
        <f>IF($C469="",0,SUMPRODUCT((AY_SONU!$O$7:$O$42="Evet")*(AY_SONU!$B$7:$B$42=DATE(YEAR($C469),MONTH($C469),1))))</f>
        <v>0</v>
      </c>
      <c r="AE469" s="1" t="str">
        <f>IF($E469="","",$E469&amp;"|"&amp;COUNTIFS($E$7:$E469,$E469))</f>
        <v/>
      </c>
    </row>
    <row r="470" spans="1:31" ht="18" customHeight="1" x14ac:dyDescent="0.3">
      <c r="A470" s="2"/>
      <c r="B470" s="65" t="str">
        <f t="shared" si="58"/>
        <v/>
      </c>
      <c r="C470" s="66"/>
      <c r="D470" s="60"/>
      <c r="E470" s="61"/>
      <c r="F470" s="61"/>
      <c r="G470" s="67"/>
      <c r="H470" s="60"/>
      <c r="I470" s="60"/>
      <c r="J470" s="61"/>
      <c r="K470" s="61"/>
      <c r="L470" s="60"/>
      <c r="M470" s="74" t="str">
        <f t="shared" si="59"/>
        <v/>
      </c>
      <c r="N470" s="74" t="str">
        <f t="shared" si="60"/>
        <v/>
      </c>
      <c r="O470" s="73" t="str">
        <f t="shared" si="61"/>
        <v/>
      </c>
      <c r="P470" s="65" t="str">
        <f t="shared" ca="1" si="62"/>
        <v/>
      </c>
      <c r="Q470" s="2"/>
      <c r="R470" s="2"/>
      <c r="S470" s="1" t="str">
        <f t="shared" si="63"/>
        <v/>
      </c>
      <c r="T470" s="1" t="str">
        <f>IF(OR($C470="",$D470&lt;&gt;"Gelir",$L470=""),"",IFERROR(INDEX(MUSTERILER!$B$7:$B$156,MATCH($S470,MUSTERILER!$T$7:$T$156,0)),""))</f>
        <v/>
      </c>
      <c r="U470" s="1" t="str">
        <f>IF($T470="","",$T470&amp;"|"&amp;COUNTIFS($T$7:$T470,$T470))</f>
        <v/>
      </c>
      <c r="V470" s="1">
        <f t="shared" si="64"/>
        <v>0</v>
      </c>
      <c r="W470" s="1" t="str">
        <f t="shared" si="65"/>
        <v/>
      </c>
      <c r="X470" s="1"/>
      <c r="Y470" s="1"/>
      <c r="Z470" s="1"/>
      <c r="AA470" s="1"/>
      <c r="AB470" s="1"/>
      <c r="AC470" s="1"/>
      <c r="AD470" s="1">
        <f>IF($C470="",0,SUMPRODUCT((AY_SONU!$O$7:$O$42="Evet")*(AY_SONU!$B$7:$B$42=DATE(YEAR($C470),MONTH($C470),1))))</f>
        <v>0</v>
      </c>
      <c r="AE470" s="1" t="str">
        <f>IF($E470="","",$E470&amp;"|"&amp;COUNTIFS($E$7:$E470,$E470))</f>
        <v/>
      </c>
    </row>
    <row r="471" spans="1:31" ht="18" customHeight="1" x14ac:dyDescent="0.3">
      <c r="A471" s="2"/>
      <c r="B471" s="65" t="str">
        <f t="shared" si="58"/>
        <v/>
      </c>
      <c r="C471" s="66"/>
      <c r="D471" s="60"/>
      <c r="E471" s="61"/>
      <c r="F471" s="61"/>
      <c r="G471" s="67"/>
      <c r="H471" s="60"/>
      <c r="I471" s="60"/>
      <c r="J471" s="61"/>
      <c r="K471" s="61"/>
      <c r="L471" s="60"/>
      <c r="M471" s="74" t="str">
        <f t="shared" si="59"/>
        <v/>
      </c>
      <c r="N471" s="74" t="str">
        <f t="shared" si="60"/>
        <v/>
      </c>
      <c r="O471" s="73" t="str">
        <f t="shared" si="61"/>
        <v/>
      </c>
      <c r="P471" s="65" t="str">
        <f t="shared" ca="1" si="62"/>
        <v/>
      </c>
      <c r="Q471" s="2"/>
      <c r="R471" s="2"/>
      <c r="S471" s="1" t="str">
        <f t="shared" si="63"/>
        <v/>
      </c>
      <c r="T471" s="1" t="str">
        <f>IF(OR($C471="",$D471&lt;&gt;"Gelir",$L471=""),"",IFERROR(INDEX(MUSTERILER!$B$7:$B$156,MATCH($S471,MUSTERILER!$T$7:$T$156,0)),""))</f>
        <v/>
      </c>
      <c r="U471" s="1" t="str">
        <f>IF($T471="","",$T471&amp;"|"&amp;COUNTIFS($T$7:$T471,$T471))</f>
        <v/>
      </c>
      <c r="V471" s="1">
        <f t="shared" si="64"/>
        <v>0</v>
      </c>
      <c r="W471" s="1" t="str">
        <f t="shared" si="65"/>
        <v/>
      </c>
      <c r="X471" s="1"/>
      <c r="Y471" s="1"/>
      <c r="Z471" s="1"/>
      <c r="AA471" s="1"/>
      <c r="AB471" s="1"/>
      <c r="AC471" s="1"/>
      <c r="AD471" s="1">
        <f>IF($C471="",0,SUMPRODUCT((AY_SONU!$O$7:$O$42="Evet")*(AY_SONU!$B$7:$B$42=DATE(YEAR($C471),MONTH($C471),1))))</f>
        <v>0</v>
      </c>
      <c r="AE471" s="1" t="str">
        <f>IF($E471="","",$E471&amp;"|"&amp;COUNTIFS($E$7:$E471,$E471))</f>
        <v/>
      </c>
    </row>
    <row r="472" spans="1:31" ht="18" customHeight="1" x14ac:dyDescent="0.3">
      <c r="A472" s="2"/>
      <c r="B472" s="65" t="str">
        <f t="shared" si="58"/>
        <v/>
      </c>
      <c r="C472" s="66"/>
      <c r="D472" s="60"/>
      <c r="E472" s="61"/>
      <c r="F472" s="61"/>
      <c r="G472" s="67"/>
      <c r="H472" s="60"/>
      <c r="I472" s="60"/>
      <c r="J472" s="61"/>
      <c r="K472" s="61"/>
      <c r="L472" s="60"/>
      <c r="M472" s="74" t="str">
        <f t="shared" si="59"/>
        <v/>
      </c>
      <c r="N472" s="74" t="str">
        <f t="shared" si="60"/>
        <v/>
      </c>
      <c r="O472" s="73" t="str">
        <f t="shared" si="61"/>
        <v/>
      </c>
      <c r="P472" s="65" t="str">
        <f t="shared" ca="1" si="62"/>
        <v/>
      </c>
      <c r="Q472" s="2"/>
      <c r="R472" s="2"/>
      <c r="S472" s="1" t="str">
        <f t="shared" si="63"/>
        <v/>
      </c>
      <c r="T472" s="1" t="str">
        <f>IF(OR($C472="",$D472&lt;&gt;"Gelir",$L472=""),"",IFERROR(INDEX(MUSTERILER!$B$7:$B$156,MATCH($S472,MUSTERILER!$T$7:$T$156,0)),""))</f>
        <v/>
      </c>
      <c r="U472" s="1" t="str">
        <f>IF($T472="","",$T472&amp;"|"&amp;COUNTIFS($T$7:$T472,$T472))</f>
        <v/>
      </c>
      <c r="V472" s="1">
        <f t="shared" si="64"/>
        <v>0</v>
      </c>
      <c r="W472" s="1" t="str">
        <f t="shared" si="65"/>
        <v/>
      </c>
      <c r="X472" s="1"/>
      <c r="Y472" s="1"/>
      <c r="Z472" s="1"/>
      <c r="AA472" s="1"/>
      <c r="AB472" s="1"/>
      <c r="AC472" s="1"/>
      <c r="AD472" s="1">
        <f>IF($C472="",0,SUMPRODUCT((AY_SONU!$O$7:$O$42="Evet")*(AY_SONU!$B$7:$B$42=DATE(YEAR($C472),MONTH($C472),1))))</f>
        <v>0</v>
      </c>
      <c r="AE472" s="1" t="str">
        <f>IF($E472="","",$E472&amp;"|"&amp;COUNTIFS($E$7:$E472,$E472))</f>
        <v/>
      </c>
    </row>
    <row r="473" spans="1:31" ht="18" customHeight="1" x14ac:dyDescent="0.3">
      <c r="A473" s="2"/>
      <c r="B473" s="65" t="str">
        <f t="shared" si="58"/>
        <v/>
      </c>
      <c r="C473" s="66"/>
      <c r="D473" s="60"/>
      <c r="E473" s="61"/>
      <c r="F473" s="61"/>
      <c r="G473" s="67"/>
      <c r="H473" s="60"/>
      <c r="I473" s="60"/>
      <c r="J473" s="61"/>
      <c r="K473" s="61"/>
      <c r="L473" s="60"/>
      <c r="M473" s="74" t="str">
        <f t="shared" si="59"/>
        <v/>
      </c>
      <c r="N473" s="74" t="str">
        <f t="shared" si="60"/>
        <v/>
      </c>
      <c r="O473" s="73" t="str">
        <f t="shared" si="61"/>
        <v/>
      </c>
      <c r="P473" s="65" t="str">
        <f t="shared" ca="1" si="62"/>
        <v/>
      </c>
      <c r="Q473" s="2"/>
      <c r="R473" s="2"/>
      <c r="S473" s="1" t="str">
        <f t="shared" si="63"/>
        <v/>
      </c>
      <c r="T473" s="1" t="str">
        <f>IF(OR($C473="",$D473&lt;&gt;"Gelir",$L473=""),"",IFERROR(INDEX(MUSTERILER!$B$7:$B$156,MATCH($S473,MUSTERILER!$T$7:$T$156,0)),""))</f>
        <v/>
      </c>
      <c r="U473" s="1" t="str">
        <f>IF($T473="","",$T473&amp;"|"&amp;COUNTIFS($T$7:$T473,$T473))</f>
        <v/>
      </c>
      <c r="V473" s="1">
        <f t="shared" si="64"/>
        <v>0</v>
      </c>
      <c r="W473" s="1" t="str">
        <f t="shared" si="65"/>
        <v/>
      </c>
      <c r="X473" s="1"/>
      <c r="Y473" s="1"/>
      <c r="Z473" s="1"/>
      <c r="AA473" s="1"/>
      <c r="AB473" s="1"/>
      <c r="AC473" s="1"/>
      <c r="AD473" s="1">
        <f>IF($C473="",0,SUMPRODUCT((AY_SONU!$O$7:$O$42="Evet")*(AY_SONU!$B$7:$B$42=DATE(YEAR($C473),MONTH($C473),1))))</f>
        <v>0</v>
      </c>
      <c r="AE473" s="1" t="str">
        <f>IF($E473="","",$E473&amp;"|"&amp;COUNTIFS($E$7:$E473,$E473))</f>
        <v/>
      </c>
    </row>
    <row r="474" spans="1:31" ht="18" customHeight="1" x14ac:dyDescent="0.3">
      <c r="A474" s="2"/>
      <c r="B474" s="65" t="str">
        <f t="shared" si="58"/>
        <v/>
      </c>
      <c r="C474" s="66"/>
      <c r="D474" s="60"/>
      <c r="E474" s="61"/>
      <c r="F474" s="61"/>
      <c r="G474" s="67"/>
      <c r="H474" s="60"/>
      <c r="I474" s="60"/>
      <c r="J474" s="61"/>
      <c r="K474" s="61"/>
      <c r="L474" s="60"/>
      <c r="M474" s="74" t="str">
        <f t="shared" si="59"/>
        <v/>
      </c>
      <c r="N474" s="74" t="str">
        <f t="shared" si="60"/>
        <v/>
      </c>
      <c r="O474" s="73" t="str">
        <f t="shared" si="61"/>
        <v/>
      </c>
      <c r="P474" s="65" t="str">
        <f t="shared" ca="1" si="62"/>
        <v/>
      </c>
      <c r="Q474" s="2"/>
      <c r="R474" s="2"/>
      <c r="S474" s="1" t="str">
        <f t="shared" si="63"/>
        <v/>
      </c>
      <c r="T474" s="1" t="str">
        <f>IF(OR($C474="",$D474&lt;&gt;"Gelir",$L474=""),"",IFERROR(INDEX(MUSTERILER!$B$7:$B$156,MATCH($S474,MUSTERILER!$T$7:$T$156,0)),""))</f>
        <v/>
      </c>
      <c r="U474" s="1" t="str">
        <f>IF($T474="","",$T474&amp;"|"&amp;COUNTIFS($T$7:$T474,$T474))</f>
        <v/>
      </c>
      <c r="V474" s="1">
        <f t="shared" si="64"/>
        <v>0</v>
      </c>
      <c r="W474" s="1" t="str">
        <f t="shared" si="65"/>
        <v/>
      </c>
      <c r="X474" s="1"/>
      <c r="Y474" s="1"/>
      <c r="Z474" s="1"/>
      <c r="AA474" s="1"/>
      <c r="AB474" s="1"/>
      <c r="AC474" s="1"/>
      <c r="AD474" s="1">
        <f>IF($C474="",0,SUMPRODUCT((AY_SONU!$O$7:$O$42="Evet")*(AY_SONU!$B$7:$B$42=DATE(YEAR($C474),MONTH($C474),1))))</f>
        <v>0</v>
      </c>
      <c r="AE474" s="1" t="str">
        <f>IF($E474="","",$E474&amp;"|"&amp;COUNTIFS($E$7:$E474,$E474))</f>
        <v/>
      </c>
    </row>
    <row r="475" spans="1:31" ht="18" customHeight="1" x14ac:dyDescent="0.3">
      <c r="A475" s="2"/>
      <c r="B475" s="65" t="str">
        <f t="shared" si="58"/>
        <v/>
      </c>
      <c r="C475" s="66"/>
      <c r="D475" s="60"/>
      <c r="E475" s="61"/>
      <c r="F475" s="61"/>
      <c r="G475" s="67"/>
      <c r="H475" s="60"/>
      <c r="I475" s="60"/>
      <c r="J475" s="61"/>
      <c r="K475" s="61"/>
      <c r="L475" s="60"/>
      <c r="M475" s="74" t="str">
        <f t="shared" si="59"/>
        <v/>
      </c>
      <c r="N475" s="74" t="str">
        <f t="shared" si="60"/>
        <v/>
      </c>
      <c r="O475" s="73" t="str">
        <f t="shared" si="61"/>
        <v/>
      </c>
      <c r="P475" s="65" t="str">
        <f t="shared" ca="1" si="62"/>
        <v/>
      </c>
      <c r="Q475" s="2"/>
      <c r="R475" s="2"/>
      <c r="S475" s="1" t="str">
        <f t="shared" si="63"/>
        <v/>
      </c>
      <c r="T475" s="1" t="str">
        <f>IF(OR($C475="",$D475&lt;&gt;"Gelir",$L475=""),"",IFERROR(INDEX(MUSTERILER!$B$7:$B$156,MATCH($S475,MUSTERILER!$T$7:$T$156,0)),""))</f>
        <v/>
      </c>
      <c r="U475" s="1" t="str">
        <f>IF($T475="","",$T475&amp;"|"&amp;COUNTIFS($T$7:$T475,$T475))</f>
        <v/>
      </c>
      <c r="V475" s="1">
        <f t="shared" si="64"/>
        <v>0</v>
      </c>
      <c r="W475" s="1" t="str">
        <f t="shared" si="65"/>
        <v/>
      </c>
      <c r="X475" s="1"/>
      <c r="Y475" s="1"/>
      <c r="Z475" s="1"/>
      <c r="AA475" s="1"/>
      <c r="AB475" s="1"/>
      <c r="AC475" s="1"/>
      <c r="AD475" s="1">
        <f>IF($C475="",0,SUMPRODUCT((AY_SONU!$O$7:$O$42="Evet")*(AY_SONU!$B$7:$B$42=DATE(YEAR($C475),MONTH($C475),1))))</f>
        <v>0</v>
      </c>
      <c r="AE475" s="1" t="str">
        <f>IF($E475="","",$E475&amp;"|"&amp;COUNTIFS($E$7:$E475,$E475))</f>
        <v/>
      </c>
    </row>
    <row r="476" spans="1:31" ht="18" customHeight="1" x14ac:dyDescent="0.3">
      <c r="A476" s="2"/>
      <c r="B476" s="65" t="str">
        <f t="shared" si="58"/>
        <v/>
      </c>
      <c r="C476" s="66"/>
      <c r="D476" s="60"/>
      <c r="E476" s="61"/>
      <c r="F476" s="61"/>
      <c r="G476" s="67"/>
      <c r="H476" s="60"/>
      <c r="I476" s="60"/>
      <c r="J476" s="61"/>
      <c r="K476" s="61"/>
      <c r="L476" s="60"/>
      <c r="M476" s="74" t="str">
        <f t="shared" si="59"/>
        <v/>
      </c>
      <c r="N476" s="74" t="str">
        <f t="shared" si="60"/>
        <v/>
      </c>
      <c r="O476" s="73" t="str">
        <f t="shared" si="61"/>
        <v/>
      </c>
      <c r="P476" s="65" t="str">
        <f t="shared" ca="1" si="62"/>
        <v/>
      </c>
      <c r="Q476" s="2"/>
      <c r="R476" s="2"/>
      <c r="S476" s="1" t="str">
        <f t="shared" si="63"/>
        <v/>
      </c>
      <c r="T476" s="1" t="str">
        <f>IF(OR($C476="",$D476&lt;&gt;"Gelir",$L476=""),"",IFERROR(INDEX(MUSTERILER!$B$7:$B$156,MATCH($S476,MUSTERILER!$T$7:$T$156,0)),""))</f>
        <v/>
      </c>
      <c r="U476" s="1" t="str">
        <f>IF($T476="","",$T476&amp;"|"&amp;COUNTIFS($T$7:$T476,$T476))</f>
        <v/>
      </c>
      <c r="V476" s="1">
        <f t="shared" si="64"/>
        <v>0</v>
      </c>
      <c r="W476" s="1" t="str">
        <f t="shared" si="65"/>
        <v/>
      </c>
      <c r="X476" s="1"/>
      <c r="Y476" s="1"/>
      <c r="Z476" s="1"/>
      <c r="AA476" s="1"/>
      <c r="AB476" s="1"/>
      <c r="AC476" s="1"/>
      <c r="AD476" s="1">
        <f>IF($C476="",0,SUMPRODUCT((AY_SONU!$O$7:$O$42="Evet")*(AY_SONU!$B$7:$B$42=DATE(YEAR($C476),MONTH($C476),1))))</f>
        <v>0</v>
      </c>
      <c r="AE476" s="1" t="str">
        <f>IF($E476="","",$E476&amp;"|"&amp;COUNTIFS($E$7:$E476,$E476))</f>
        <v/>
      </c>
    </row>
    <row r="477" spans="1:31" ht="18" customHeight="1" x14ac:dyDescent="0.3">
      <c r="A477" s="2"/>
      <c r="B477" s="65" t="str">
        <f t="shared" si="58"/>
        <v/>
      </c>
      <c r="C477" s="66"/>
      <c r="D477" s="60"/>
      <c r="E477" s="61"/>
      <c r="F477" s="61"/>
      <c r="G477" s="67"/>
      <c r="H477" s="60"/>
      <c r="I477" s="60"/>
      <c r="J477" s="61"/>
      <c r="K477" s="61"/>
      <c r="L477" s="60"/>
      <c r="M477" s="74" t="str">
        <f t="shared" si="59"/>
        <v/>
      </c>
      <c r="N477" s="74" t="str">
        <f t="shared" si="60"/>
        <v/>
      </c>
      <c r="O477" s="73" t="str">
        <f t="shared" si="61"/>
        <v/>
      </c>
      <c r="P477" s="65" t="str">
        <f t="shared" ca="1" si="62"/>
        <v/>
      </c>
      <c r="Q477" s="2"/>
      <c r="R477" s="2"/>
      <c r="S477" s="1" t="str">
        <f t="shared" si="63"/>
        <v/>
      </c>
      <c r="T477" s="1" t="str">
        <f>IF(OR($C477="",$D477&lt;&gt;"Gelir",$L477=""),"",IFERROR(INDEX(MUSTERILER!$B$7:$B$156,MATCH($S477,MUSTERILER!$T$7:$T$156,0)),""))</f>
        <v/>
      </c>
      <c r="U477" s="1" t="str">
        <f>IF($T477="","",$T477&amp;"|"&amp;COUNTIFS($T$7:$T477,$T477))</f>
        <v/>
      </c>
      <c r="V477" s="1">
        <f t="shared" si="64"/>
        <v>0</v>
      </c>
      <c r="W477" s="1" t="str">
        <f t="shared" si="65"/>
        <v/>
      </c>
      <c r="X477" s="1"/>
      <c r="Y477" s="1"/>
      <c r="Z477" s="1"/>
      <c r="AA477" s="1"/>
      <c r="AB477" s="1"/>
      <c r="AC477" s="1"/>
      <c r="AD477" s="1">
        <f>IF($C477="",0,SUMPRODUCT((AY_SONU!$O$7:$O$42="Evet")*(AY_SONU!$B$7:$B$42=DATE(YEAR($C477),MONTH($C477),1))))</f>
        <v>0</v>
      </c>
      <c r="AE477" s="1" t="str">
        <f>IF($E477="","",$E477&amp;"|"&amp;COUNTIFS($E$7:$E477,$E477))</f>
        <v/>
      </c>
    </row>
    <row r="478" spans="1:31" ht="18" customHeight="1" x14ac:dyDescent="0.3">
      <c r="A478" s="2"/>
      <c r="B478" s="65" t="str">
        <f t="shared" si="58"/>
        <v/>
      </c>
      <c r="C478" s="66"/>
      <c r="D478" s="60"/>
      <c r="E478" s="61"/>
      <c r="F478" s="61"/>
      <c r="G478" s="67"/>
      <c r="H478" s="60"/>
      <c r="I478" s="60"/>
      <c r="J478" s="61"/>
      <c r="K478" s="61"/>
      <c r="L478" s="60"/>
      <c r="M478" s="74" t="str">
        <f t="shared" si="59"/>
        <v/>
      </c>
      <c r="N478" s="74" t="str">
        <f t="shared" si="60"/>
        <v/>
      </c>
      <c r="O478" s="73" t="str">
        <f t="shared" si="61"/>
        <v/>
      </c>
      <c r="P478" s="65" t="str">
        <f t="shared" ca="1" si="62"/>
        <v/>
      </c>
      <c r="Q478" s="2"/>
      <c r="R478" s="2"/>
      <c r="S478" s="1" t="str">
        <f t="shared" si="63"/>
        <v/>
      </c>
      <c r="T478" s="1" t="str">
        <f>IF(OR($C478="",$D478&lt;&gt;"Gelir",$L478=""),"",IFERROR(INDEX(MUSTERILER!$B$7:$B$156,MATCH($S478,MUSTERILER!$T$7:$T$156,0)),""))</f>
        <v/>
      </c>
      <c r="U478" s="1" t="str">
        <f>IF($T478="","",$T478&amp;"|"&amp;COUNTIFS($T$7:$T478,$T478))</f>
        <v/>
      </c>
      <c r="V478" s="1">
        <f t="shared" si="64"/>
        <v>0</v>
      </c>
      <c r="W478" s="1" t="str">
        <f t="shared" si="65"/>
        <v/>
      </c>
      <c r="X478" s="1"/>
      <c r="Y478" s="1"/>
      <c r="Z478" s="1"/>
      <c r="AA478" s="1"/>
      <c r="AB478" s="1"/>
      <c r="AC478" s="1"/>
      <c r="AD478" s="1">
        <f>IF($C478="",0,SUMPRODUCT((AY_SONU!$O$7:$O$42="Evet")*(AY_SONU!$B$7:$B$42=DATE(YEAR($C478),MONTH($C478),1))))</f>
        <v>0</v>
      </c>
      <c r="AE478" s="1" t="str">
        <f>IF($E478="","",$E478&amp;"|"&amp;COUNTIFS($E$7:$E478,$E478))</f>
        <v/>
      </c>
    </row>
    <row r="479" spans="1:31" ht="18" customHeight="1" x14ac:dyDescent="0.3">
      <c r="A479" s="2"/>
      <c r="B479" s="65" t="str">
        <f t="shared" si="58"/>
        <v/>
      </c>
      <c r="C479" s="66"/>
      <c r="D479" s="60"/>
      <c r="E479" s="61"/>
      <c r="F479" s="61"/>
      <c r="G479" s="67"/>
      <c r="H479" s="60"/>
      <c r="I479" s="60"/>
      <c r="J479" s="61"/>
      <c r="K479" s="61"/>
      <c r="L479" s="60"/>
      <c r="M479" s="74" t="str">
        <f t="shared" si="59"/>
        <v/>
      </c>
      <c r="N479" s="74" t="str">
        <f t="shared" si="60"/>
        <v/>
      </c>
      <c r="O479" s="73" t="str">
        <f t="shared" si="61"/>
        <v/>
      </c>
      <c r="P479" s="65" t="str">
        <f t="shared" ca="1" si="62"/>
        <v/>
      </c>
      <c r="Q479" s="2"/>
      <c r="R479" s="2"/>
      <c r="S479" s="1" t="str">
        <f t="shared" si="63"/>
        <v/>
      </c>
      <c r="T479" s="1" t="str">
        <f>IF(OR($C479="",$D479&lt;&gt;"Gelir",$L479=""),"",IFERROR(INDEX(MUSTERILER!$B$7:$B$156,MATCH($S479,MUSTERILER!$T$7:$T$156,0)),""))</f>
        <v/>
      </c>
      <c r="U479" s="1" t="str">
        <f>IF($T479="","",$T479&amp;"|"&amp;COUNTIFS($T$7:$T479,$T479))</f>
        <v/>
      </c>
      <c r="V479" s="1">
        <f t="shared" si="64"/>
        <v>0</v>
      </c>
      <c r="W479" s="1" t="str">
        <f t="shared" si="65"/>
        <v/>
      </c>
      <c r="X479" s="1"/>
      <c r="Y479" s="1"/>
      <c r="Z479" s="1"/>
      <c r="AA479" s="1"/>
      <c r="AB479" s="1"/>
      <c r="AC479" s="1"/>
      <c r="AD479" s="1">
        <f>IF($C479="",0,SUMPRODUCT((AY_SONU!$O$7:$O$42="Evet")*(AY_SONU!$B$7:$B$42=DATE(YEAR($C479),MONTH($C479),1))))</f>
        <v>0</v>
      </c>
      <c r="AE479" s="1" t="str">
        <f>IF($E479="","",$E479&amp;"|"&amp;COUNTIFS($E$7:$E479,$E479))</f>
        <v/>
      </c>
    </row>
    <row r="480" spans="1:31" ht="18" customHeight="1" x14ac:dyDescent="0.3">
      <c r="A480" s="2"/>
      <c r="B480" s="65" t="str">
        <f t="shared" si="58"/>
        <v/>
      </c>
      <c r="C480" s="66"/>
      <c r="D480" s="60"/>
      <c r="E480" s="61"/>
      <c r="F480" s="61"/>
      <c r="G480" s="67"/>
      <c r="H480" s="60"/>
      <c r="I480" s="60"/>
      <c r="J480" s="61"/>
      <c r="K480" s="61"/>
      <c r="L480" s="60"/>
      <c r="M480" s="74" t="str">
        <f t="shared" si="59"/>
        <v/>
      </c>
      <c r="N480" s="74" t="str">
        <f t="shared" si="60"/>
        <v/>
      </c>
      <c r="O480" s="73" t="str">
        <f t="shared" si="61"/>
        <v/>
      </c>
      <c r="P480" s="65" t="str">
        <f t="shared" ca="1" si="62"/>
        <v/>
      </c>
      <c r="Q480" s="2"/>
      <c r="R480" s="2"/>
      <c r="S480" s="1" t="str">
        <f t="shared" si="63"/>
        <v/>
      </c>
      <c r="T480" s="1" t="str">
        <f>IF(OR($C480="",$D480&lt;&gt;"Gelir",$L480=""),"",IFERROR(INDEX(MUSTERILER!$B$7:$B$156,MATCH($S480,MUSTERILER!$T$7:$T$156,0)),""))</f>
        <v/>
      </c>
      <c r="U480" s="1" t="str">
        <f>IF($T480="","",$T480&amp;"|"&amp;COUNTIFS($T$7:$T480,$T480))</f>
        <v/>
      </c>
      <c r="V480" s="1">
        <f t="shared" si="64"/>
        <v>0</v>
      </c>
      <c r="W480" s="1" t="str">
        <f t="shared" si="65"/>
        <v/>
      </c>
      <c r="X480" s="1"/>
      <c r="Y480" s="1"/>
      <c r="Z480" s="1"/>
      <c r="AA480" s="1"/>
      <c r="AB480" s="1"/>
      <c r="AC480" s="1"/>
      <c r="AD480" s="1">
        <f>IF($C480="",0,SUMPRODUCT((AY_SONU!$O$7:$O$42="Evet")*(AY_SONU!$B$7:$B$42=DATE(YEAR($C480),MONTH($C480),1))))</f>
        <v>0</v>
      </c>
      <c r="AE480" s="1" t="str">
        <f>IF($E480="","",$E480&amp;"|"&amp;COUNTIFS($E$7:$E480,$E480))</f>
        <v/>
      </c>
    </row>
    <row r="481" spans="1:31" ht="18" customHeight="1" x14ac:dyDescent="0.3">
      <c r="A481" s="2"/>
      <c r="B481" s="65" t="str">
        <f t="shared" si="58"/>
        <v/>
      </c>
      <c r="C481" s="66"/>
      <c r="D481" s="60"/>
      <c r="E481" s="61"/>
      <c r="F481" s="61"/>
      <c r="G481" s="67"/>
      <c r="H481" s="60"/>
      <c r="I481" s="60"/>
      <c r="J481" s="61"/>
      <c r="K481" s="61"/>
      <c r="L481" s="60"/>
      <c r="M481" s="74" t="str">
        <f t="shared" si="59"/>
        <v/>
      </c>
      <c r="N481" s="74" t="str">
        <f t="shared" si="60"/>
        <v/>
      </c>
      <c r="O481" s="73" t="str">
        <f t="shared" si="61"/>
        <v/>
      </c>
      <c r="P481" s="65" t="str">
        <f t="shared" ca="1" si="62"/>
        <v/>
      </c>
      <c r="Q481" s="2"/>
      <c r="R481" s="2"/>
      <c r="S481" s="1" t="str">
        <f t="shared" si="63"/>
        <v/>
      </c>
      <c r="T481" s="1" t="str">
        <f>IF(OR($C481="",$D481&lt;&gt;"Gelir",$L481=""),"",IFERROR(INDEX(MUSTERILER!$B$7:$B$156,MATCH($S481,MUSTERILER!$T$7:$T$156,0)),""))</f>
        <v/>
      </c>
      <c r="U481" s="1" t="str">
        <f>IF($T481="","",$T481&amp;"|"&amp;COUNTIFS($T$7:$T481,$T481))</f>
        <v/>
      </c>
      <c r="V481" s="1">
        <f t="shared" si="64"/>
        <v>0</v>
      </c>
      <c r="W481" s="1" t="str">
        <f t="shared" si="65"/>
        <v/>
      </c>
      <c r="X481" s="1"/>
      <c r="Y481" s="1"/>
      <c r="Z481" s="1"/>
      <c r="AA481" s="1"/>
      <c r="AB481" s="1"/>
      <c r="AC481" s="1"/>
      <c r="AD481" s="1">
        <f>IF($C481="",0,SUMPRODUCT((AY_SONU!$O$7:$O$42="Evet")*(AY_SONU!$B$7:$B$42=DATE(YEAR($C481),MONTH($C481),1))))</f>
        <v>0</v>
      </c>
      <c r="AE481" s="1" t="str">
        <f>IF($E481="","",$E481&amp;"|"&amp;COUNTIFS($E$7:$E481,$E481))</f>
        <v/>
      </c>
    </row>
    <row r="482" spans="1:31" ht="18" customHeight="1" x14ac:dyDescent="0.3">
      <c r="A482" s="2"/>
      <c r="B482" s="65" t="str">
        <f t="shared" si="58"/>
        <v/>
      </c>
      <c r="C482" s="66"/>
      <c r="D482" s="60"/>
      <c r="E482" s="61"/>
      <c r="F482" s="61"/>
      <c r="G482" s="67"/>
      <c r="H482" s="60"/>
      <c r="I482" s="60"/>
      <c r="J482" s="61"/>
      <c r="K482" s="61"/>
      <c r="L482" s="60"/>
      <c r="M482" s="74" t="str">
        <f t="shared" si="59"/>
        <v/>
      </c>
      <c r="N482" s="74" t="str">
        <f t="shared" si="60"/>
        <v/>
      </c>
      <c r="O482" s="73" t="str">
        <f t="shared" si="61"/>
        <v/>
      </c>
      <c r="P482" s="65" t="str">
        <f t="shared" ca="1" si="62"/>
        <v/>
      </c>
      <c r="Q482" s="2"/>
      <c r="R482" s="2"/>
      <c r="S482" s="1" t="str">
        <f t="shared" si="63"/>
        <v/>
      </c>
      <c r="T482" s="1" t="str">
        <f>IF(OR($C482="",$D482&lt;&gt;"Gelir",$L482=""),"",IFERROR(INDEX(MUSTERILER!$B$7:$B$156,MATCH($S482,MUSTERILER!$T$7:$T$156,0)),""))</f>
        <v/>
      </c>
      <c r="U482" s="1" t="str">
        <f>IF($T482="","",$T482&amp;"|"&amp;COUNTIFS($T$7:$T482,$T482))</f>
        <v/>
      </c>
      <c r="V482" s="1">
        <f t="shared" si="64"/>
        <v>0</v>
      </c>
      <c r="W482" s="1" t="str">
        <f t="shared" si="65"/>
        <v/>
      </c>
      <c r="X482" s="1"/>
      <c r="Y482" s="1"/>
      <c r="Z482" s="1"/>
      <c r="AA482" s="1"/>
      <c r="AB482" s="1"/>
      <c r="AC482" s="1"/>
      <c r="AD482" s="1">
        <f>IF($C482="",0,SUMPRODUCT((AY_SONU!$O$7:$O$42="Evet")*(AY_SONU!$B$7:$B$42=DATE(YEAR($C482),MONTH($C482),1))))</f>
        <v>0</v>
      </c>
      <c r="AE482" s="1" t="str">
        <f>IF($E482="","",$E482&amp;"|"&amp;COUNTIFS($E$7:$E482,$E482))</f>
        <v/>
      </c>
    </row>
    <row r="483" spans="1:31" ht="18" customHeight="1" x14ac:dyDescent="0.3">
      <c r="A483" s="2"/>
      <c r="B483" s="65" t="str">
        <f t="shared" si="58"/>
        <v/>
      </c>
      <c r="C483" s="66"/>
      <c r="D483" s="60"/>
      <c r="E483" s="61"/>
      <c r="F483" s="61"/>
      <c r="G483" s="67"/>
      <c r="H483" s="60"/>
      <c r="I483" s="60"/>
      <c r="J483" s="61"/>
      <c r="K483" s="61"/>
      <c r="L483" s="60"/>
      <c r="M483" s="74" t="str">
        <f t="shared" si="59"/>
        <v/>
      </c>
      <c r="N483" s="74" t="str">
        <f t="shared" si="60"/>
        <v/>
      </c>
      <c r="O483" s="73" t="str">
        <f t="shared" si="61"/>
        <v/>
      </c>
      <c r="P483" s="65" t="str">
        <f t="shared" ca="1" si="62"/>
        <v/>
      </c>
      <c r="Q483" s="2"/>
      <c r="R483" s="2"/>
      <c r="S483" s="1" t="str">
        <f t="shared" si="63"/>
        <v/>
      </c>
      <c r="T483" s="1" t="str">
        <f>IF(OR($C483="",$D483&lt;&gt;"Gelir",$L483=""),"",IFERROR(INDEX(MUSTERILER!$B$7:$B$156,MATCH($S483,MUSTERILER!$T$7:$T$156,0)),""))</f>
        <v/>
      </c>
      <c r="U483" s="1" t="str">
        <f>IF($T483="","",$T483&amp;"|"&amp;COUNTIFS($T$7:$T483,$T483))</f>
        <v/>
      </c>
      <c r="V483" s="1">
        <f t="shared" si="64"/>
        <v>0</v>
      </c>
      <c r="W483" s="1" t="str">
        <f t="shared" si="65"/>
        <v/>
      </c>
      <c r="X483" s="1"/>
      <c r="Y483" s="1"/>
      <c r="Z483" s="1"/>
      <c r="AA483" s="1"/>
      <c r="AB483" s="1"/>
      <c r="AC483" s="1"/>
      <c r="AD483" s="1">
        <f>IF($C483="",0,SUMPRODUCT((AY_SONU!$O$7:$O$42="Evet")*(AY_SONU!$B$7:$B$42=DATE(YEAR($C483),MONTH($C483),1))))</f>
        <v>0</v>
      </c>
      <c r="AE483" s="1" t="str">
        <f>IF($E483="","",$E483&amp;"|"&amp;COUNTIFS($E$7:$E483,$E483))</f>
        <v/>
      </c>
    </row>
    <row r="484" spans="1:31" ht="18" customHeight="1" x14ac:dyDescent="0.3">
      <c r="A484" s="2"/>
      <c r="B484" s="65" t="str">
        <f t="shared" si="58"/>
        <v/>
      </c>
      <c r="C484" s="66"/>
      <c r="D484" s="60"/>
      <c r="E484" s="61"/>
      <c r="F484" s="61"/>
      <c r="G484" s="67"/>
      <c r="H484" s="60"/>
      <c r="I484" s="60"/>
      <c r="J484" s="61"/>
      <c r="K484" s="61"/>
      <c r="L484" s="60"/>
      <c r="M484" s="74" t="str">
        <f t="shared" si="59"/>
        <v/>
      </c>
      <c r="N484" s="74" t="str">
        <f t="shared" si="60"/>
        <v/>
      </c>
      <c r="O484" s="73" t="str">
        <f t="shared" si="61"/>
        <v/>
      </c>
      <c r="P484" s="65" t="str">
        <f t="shared" ca="1" si="62"/>
        <v/>
      </c>
      <c r="Q484" s="2"/>
      <c r="R484" s="2"/>
      <c r="S484" s="1" t="str">
        <f t="shared" si="63"/>
        <v/>
      </c>
      <c r="T484" s="1" t="str">
        <f>IF(OR($C484="",$D484&lt;&gt;"Gelir",$L484=""),"",IFERROR(INDEX(MUSTERILER!$B$7:$B$156,MATCH($S484,MUSTERILER!$T$7:$T$156,0)),""))</f>
        <v/>
      </c>
      <c r="U484" s="1" t="str">
        <f>IF($T484="","",$T484&amp;"|"&amp;COUNTIFS($T$7:$T484,$T484))</f>
        <v/>
      </c>
      <c r="V484" s="1">
        <f t="shared" si="64"/>
        <v>0</v>
      </c>
      <c r="W484" s="1" t="str">
        <f t="shared" si="65"/>
        <v/>
      </c>
      <c r="X484" s="1"/>
      <c r="Y484" s="1"/>
      <c r="Z484" s="1"/>
      <c r="AA484" s="1"/>
      <c r="AB484" s="1"/>
      <c r="AC484" s="1"/>
      <c r="AD484" s="1">
        <f>IF($C484="",0,SUMPRODUCT((AY_SONU!$O$7:$O$42="Evet")*(AY_SONU!$B$7:$B$42=DATE(YEAR($C484),MONTH($C484),1))))</f>
        <v>0</v>
      </c>
      <c r="AE484" s="1" t="str">
        <f>IF($E484="","",$E484&amp;"|"&amp;COUNTIFS($E$7:$E484,$E484))</f>
        <v/>
      </c>
    </row>
    <row r="485" spans="1:31" ht="18" customHeight="1" x14ac:dyDescent="0.3">
      <c r="A485" s="2"/>
      <c r="B485" s="65" t="str">
        <f t="shared" si="58"/>
        <v/>
      </c>
      <c r="C485" s="66"/>
      <c r="D485" s="60"/>
      <c r="E485" s="61"/>
      <c r="F485" s="61"/>
      <c r="G485" s="67"/>
      <c r="H485" s="60"/>
      <c r="I485" s="60"/>
      <c r="J485" s="61"/>
      <c r="K485" s="61"/>
      <c r="L485" s="60"/>
      <c r="M485" s="74" t="str">
        <f t="shared" si="59"/>
        <v/>
      </c>
      <c r="N485" s="74" t="str">
        <f t="shared" si="60"/>
        <v/>
      </c>
      <c r="O485" s="73" t="str">
        <f t="shared" si="61"/>
        <v/>
      </c>
      <c r="P485" s="65" t="str">
        <f t="shared" ca="1" si="62"/>
        <v/>
      </c>
      <c r="Q485" s="2"/>
      <c r="R485" s="2"/>
      <c r="S485" s="1" t="str">
        <f t="shared" si="63"/>
        <v/>
      </c>
      <c r="T485" s="1" t="str">
        <f>IF(OR($C485="",$D485&lt;&gt;"Gelir",$L485=""),"",IFERROR(INDEX(MUSTERILER!$B$7:$B$156,MATCH($S485,MUSTERILER!$T$7:$T$156,0)),""))</f>
        <v/>
      </c>
      <c r="U485" s="1" t="str">
        <f>IF($T485="","",$T485&amp;"|"&amp;COUNTIFS($T$7:$T485,$T485))</f>
        <v/>
      </c>
      <c r="V485" s="1">
        <f t="shared" si="64"/>
        <v>0</v>
      </c>
      <c r="W485" s="1" t="str">
        <f t="shared" si="65"/>
        <v/>
      </c>
      <c r="X485" s="1"/>
      <c r="Y485" s="1"/>
      <c r="Z485" s="1"/>
      <c r="AA485" s="1"/>
      <c r="AB485" s="1"/>
      <c r="AC485" s="1"/>
      <c r="AD485" s="1">
        <f>IF($C485="",0,SUMPRODUCT((AY_SONU!$O$7:$O$42="Evet")*(AY_SONU!$B$7:$B$42=DATE(YEAR($C485),MONTH($C485),1))))</f>
        <v>0</v>
      </c>
      <c r="AE485" s="1" t="str">
        <f>IF($E485="","",$E485&amp;"|"&amp;COUNTIFS($E$7:$E485,$E485))</f>
        <v/>
      </c>
    </row>
    <row r="486" spans="1:31" ht="18" customHeight="1" x14ac:dyDescent="0.3">
      <c r="A486" s="2"/>
      <c r="B486" s="65" t="str">
        <f t="shared" si="58"/>
        <v/>
      </c>
      <c r="C486" s="66"/>
      <c r="D486" s="60"/>
      <c r="E486" s="61"/>
      <c r="F486" s="61"/>
      <c r="G486" s="67"/>
      <c r="H486" s="60"/>
      <c r="I486" s="60"/>
      <c r="J486" s="61"/>
      <c r="K486" s="61"/>
      <c r="L486" s="60"/>
      <c r="M486" s="74" t="str">
        <f t="shared" si="59"/>
        <v/>
      </c>
      <c r="N486" s="74" t="str">
        <f t="shared" si="60"/>
        <v/>
      </c>
      <c r="O486" s="73" t="str">
        <f t="shared" si="61"/>
        <v/>
      </c>
      <c r="P486" s="65" t="str">
        <f t="shared" ca="1" si="62"/>
        <v/>
      </c>
      <c r="Q486" s="2"/>
      <c r="R486" s="2"/>
      <c r="S486" s="1" t="str">
        <f t="shared" si="63"/>
        <v/>
      </c>
      <c r="T486" s="1" t="str">
        <f>IF(OR($C486="",$D486&lt;&gt;"Gelir",$L486=""),"",IFERROR(INDEX(MUSTERILER!$B$7:$B$156,MATCH($S486,MUSTERILER!$T$7:$T$156,0)),""))</f>
        <v/>
      </c>
      <c r="U486" s="1" t="str">
        <f>IF($T486="","",$T486&amp;"|"&amp;COUNTIFS($T$7:$T486,$T486))</f>
        <v/>
      </c>
      <c r="V486" s="1">
        <f t="shared" si="64"/>
        <v>0</v>
      </c>
      <c r="W486" s="1" t="str">
        <f t="shared" si="65"/>
        <v/>
      </c>
      <c r="X486" s="1"/>
      <c r="Y486" s="1"/>
      <c r="Z486" s="1"/>
      <c r="AA486" s="1"/>
      <c r="AB486" s="1"/>
      <c r="AC486" s="1"/>
      <c r="AD486" s="1">
        <f>IF($C486="",0,SUMPRODUCT((AY_SONU!$O$7:$O$42="Evet")*(AY_SONU!$B$7:$B$42=DATE(YEAR($C486),MONTH($C486),1))))</f>
        <v>0</v>
      </c>
      <c r="AE486" s="1" t="str">
        <f>IF($E486="","",$E486&amp;"|"&amp;COUNTIFS($E$7:$E486,$E486))</f>
        <v/>
      </c>
    </row>
    <row r="487" spans="1:31" ht="18" customHeight="1" x14ac:dyDescent="0.3">
      <c r="A487" s="2"/>
      <c r="B487" s="65" t="str">
        <f t="shared" si="58"/>
        <v/>
      </c>
      <c r="C487" s="66"/>
      <c r="D487" s="60"/>
      <c r="E487" s="61"/>
      <c r="F487" s="61"/>
      <c r="G487" s="67"/>
      <c r="H487" s="60"/>
      <c r="I487" s="60"/>
      <c r="J487" s="61"/>
      <c r="K487" s="61"/>
      <c r="L487" s="60"/>
      <c r="M487" s="74" t="str">
        <f t="shared" si="59"/>
        <v/>
      </c>
      <c r="N487" s="74" t="str">
        <f t="shared" si="60"/>
        <v/>
      </c>
      <c r="O487" s="73" t="str">
        <f t="shared" si="61"/>
        <v/>
      </c>
      <c r="P487" s="65" t="str">
        <f t="shared" ca="1" si="62"/>
        <v/>
      </c>
      <c r="Q487" s="2"/>
      <c r="R487" s="2"/>
      <c r="S487" s="1" t="str">
        <f t="shared" si="63"/>
        <v/>
      </c>
      <c r="T487" s="1" t="str">
        <f>IF(OR($C487="",$D487&lt;&gt;"Gelir",$L487=""),"",IFERROR(INDEX(MUSTERILER!$B$7:$B$156,MATCH($S487,MUSTERILER!$T$7:$T$156,0)),""))</f>
        <v/>
      </c>
      <c r="U487" s="1" t="str">
        <f>IF($T487="","",$T487&amp;"|"&amp;COUNTIFS($T$7:$T487,$T487))</f>
        <v/>
      </c>
      <c r="V487" s="1">
        <f t="shared" si="64"/>
        <v>0</v>
      </c>
      <c r="W487" s="1" t="str">
        <f t="shared" si="65"/>
        <v/>
      </c>
      <c r="X487" s="1"/>
      <c r="Y487" s="1"/>
      <c r="Z487" s="1"/>
      <c r="AA487" s="1"/>
      <c r="AB487" s="1"/>
      <c r="AC487" s="1"/>
      <c r="AD487" s="1">
        <f>IF($C487="",0,SUMPRODUCT((AY_SONU!$O$7:$O$42="Evet")*(AY_SONU!$B$7:$B$42=DATE(YEAR($C487),MONTH($C487),1))))</f>
        <v>0</v>
      </c>
      <c r="AE487" s="1" t="str">
        <f>IF($E487="","",$E487&amp;"|"&amp;COUNTIFS($E$7:$E487,$E487))</f>
        <v/>
      </c>
    </row>
    <row r="488" spans="1:31" ht="18" customHeight="1" x14ac:dyDescent="0.3">
      <c r="A488" s="2"/>
      <c r="B488" s="65" t="str">
        <f t="shared" si="58"/>
        <v/>
      </c>
      <c r="C488" s="66"/>
      <c r="D488" s="60"/>
      <c r="E488" s="61"/>
      <c r="F488" s="61"/>
      <c r="G488" s="67"/>
      <c r="H488" s="60"/>
      <c r="I488" s="60"/>
      <c r="J488" s="61"/>
      <c r="K488" s="61"/>
      <c r="L488" s="60"/>
      <c r="M488" s="74" t="str">
        <f t="shared" si="59"/>
        <v/>
      </c>
      <c r="N488" s="74" t="str">
        <f t="shared" si="60"/>
        <v/>
      </c>
      <c r="O488" s="73" t="str">
        <f t="shared" si="61"/>
        <v/>
      </c>
      <c r="P488" s="65" t="str">
        <f t="shared" ca="1" si="62"/>
        <v/>
      </c>
      <c r="Q488" s="2"/>
      <c r="R488" s="2"/>
      <c r="S488" s="1" t="str">
        <f t="shared" si="63"/>
        <v/>
      </c>
      <c r="T488" s="1" t="str">
        <f>IF(OR($C488="",$D488&lt;&gt;"Gelir",$L488=""),"",IFERROR(INDEX(MUSTERILER!$B$7:$B$156,MATCH($S488,MUSTERILER!$T$7:$T$156,0)),""))</f>
        <v/>
      </c>
      <c r="U488" s="1" t="str">
        <f>IF($T488="","",$T488&amp;"|"&amp;COUNTIFS($T$7:$T488,$T488))</f>
        <v/>
      </c>
      <c r="V488" s="1">
        <f t="shared" si="64"/>
        <v>0</v>
      </c>
      <c r="W488" s="1" t="str">
        <f t="shared" si="65"/>
        <v/>
      </c>
      <c r="X488" s="1"/>
      <c r="Y488" s="1"/>
      <c r="Z488" s="1"/>
      <c r="AA488" s="1"/>
      <c r="AB488" s="1"/>
      <c r="AC488" s="1"/>
      <c r="AD488" s="1">
        <f>IF($C488="",0,SUMPRODUCT((AY_SONU!$O$7:$O$42="Evet")*(AY_SONU!$B$7:$B$42=DATE(YEAR($C488),MONTH($C488),1))))</f>
        <v>0</v>
      </c>
      <c r="AE488" s="1" t="str">
        <f>IF($E488="","",$E488&amp;"|"&amp;COUNTIFS($E$7:$E488,$E488))</f>
        <v/>
      </c>
    </row>
    <row r="489" spans="1:31" ht="18" customHeight="1" x14ac:dyDescent="0.3">
      <c r="A489" s="2"/>
      <c r="B489" s="65" t="str">
        <f t="shared" si="58"/>
        <v/>
      </c>
      <c r="C489" s="66"/>
      <c r="D489" s="60"/>
      <c r="E489" s="61"/>
      <c r="F489" s="61"/>
      <c r="G489" s="67"/>
      <c r="H489" s="60"/>
      <c r="I489" s="60"/>
      <c r="J489" s="61"/>
      <c r="K489" s="61"/>
      <c r="L489" s="60"/>
      <c r="M489" s="74" t="str">
        <f t="shared" si="59"/>
        <v/>
      </c>
      <c r="N489" s="74" t="str">
        <f t="shared" si="60"/>
        <v/>
      </c>
      <c r="O489" s="73" t="str">
        <f t="shared" si="61"/>
        <v/>
      </c>
      <c r="P489" s="65" t="str">
        <f t="shared" ca="1" si="62"/>
        <v/>
      </c>
      <c r="Q489" s="2"/>
      <c r="R489" s="2"/>
      <c r="S489" s="1" t="str">
        <f t="shared" si="63"/>
        <v/>
      </c>
      <c r="T489" s="1" t="str">
        <f>IF(OR($C489="",$D489&lt;&gt;"Gelir",$L489=""),"",IFERROR(INDEX(MUSTERILER!$B$7:$B$156,MATCH($S489,MUSTERILER!$T$7:$T$156,0)),""))</f>
        <v/>
      </c>
      <c r="U489" s="1" t="str">
        <f>IF($T489="","",$T489&amp;"|"&amp;COUNTIFS($T$7:$T489,$T489))</f>
        <v/>
      </c>
      <c r="V489" s="1">
        <f t="shared" si="64"/>
        <v>0</v>
      </c>
      <c r="W489" s="1" t="str">
        <f t="shared" si="65"/>
        <v/>
      </c>
      <c r="X489" s="1"/>
      <c r="Y489" s="1"/>
      <c r="Z489" s="1"/>
      <c r="AA489" s="1"/>
      <c r="AB489" s="1"/>
      <c r="AC489" s="1"/>
      <c r="AD489" s="1">
        <f>IF($C489="",0,SUMPRODUCT((AY_SONU!$O$7:$O$42="Evet")*(AY_SONU!$B$7:$B$42=DATE(YEAR($C489),MONTH($C489),1))))</f>
        <v>0</v>
      </c>
      <c r="AE489" s="1" t="str">
        <f>IF($E489="","",$E489&amp;"|"&amp;COUNTIFS($E$7:$E489,$E489))</f>
        <v/>
      </c>
    </row>
    <row r="490" spans="1:31" ht="18" customHeight="1" x14ac:dyDescent="0.3">
      <c r="A490" s="2"/>
      <c r="B490" s="65" t="str">
        <f t="shared" si="58"/>
        <v/>
      </c>
      <c r="C490" s="66"/>
      <c r="D490" s="60"/>
      <c r="E490" s="61"/>
      <c r="F490" s="61"/>
      <c r="G490" s="67"/>
      <c r="H490" s="60"/>
      <c r="I490" s="60"/>
      <c r="J490" s="61"/>
      <c r="K490" s="61"/>
      <c r="L490" s="60"/>
      <c r="M490" s="74" t="str">
        <f t="shared" si="59"/>
        <v/>
      </c>
      <c r="N490" s="74" t="str">
        <f t="shared" si="60"/>
        <v/>
      </c>
      <c r="O490" s="73" t="str">
        <f t="shared" si="61"/>
        <v/>
      </c>
      <c r="P490" s="65" t="str">
        <f t="shared" ca="1" si="62"/>
        <v/>
      </c>
      <c r="Q490" s="2"/>
      <c r="R490" s="2"/>
      <c r="S490" s="1" t="str">
        <f t="shared" si="63"/>
        <v/>
      </c>
      <c r="T490" s="1" t="str">
        <f>IF(OR($C490="",$D490&lt;&gt;"Gelir",$L490=""),"",IFERROR(INDEX(MUSTERILER!$B$7:$B$156,MATCH($S490,MUSTERILER!$T$7:$T$156,0)),""))</f>
        <v/>
      </c>
      <c r="U490" s="1" t="str">
        <f>IF($T490="","",$T490&amp;"|"&amp;COUNTIFS($T$7:$T490,$T490))</f>
        <v/>
      </c>
      <c r="V490" s="1">
        <f t="shared" si="64"/>
        <v>0</v>
      </c>
      <c r="W490" s="1" t="str">
        <f t="shared" si="65"/>
        <v/>
      </c>
      <c r="X490" s="1"/>
      <c r="Y490" s="1"/>
      <c r="Z490" s="1"/>
      <c r="AA490" s="1"/>
      <c r="AB490" s="1"/>
      <c r="AC490" s="1"/>
      <c r="AD490" s="1">
        <f>IF($C490="",0,SUMPRODUCT((AY_SONU!$O$7:$O$42="Evet")*(AY_SONU!$B$7:$B$42=DATE(YEAR($C490),MONTH($C490),1))))</f>
        <v>0</v>
      </c>
      <c r="AE490" s="1" t="str">
        <f>IF($E490="","",$E490&amp;"|"&amp;COUNTIFS($E$7:$E490,$E490))</f>
        <v/>
      </c>
    </row>
    <row r="491" spans="1:31" ht="18" customHeight="1" x14ac:dyDescent="0.3">
      <c r="A491" s="2"/>
      <c r="B491" s="65" t="str">
        <f t="shared" si="58"/>
        <v/>
      </c>
      <c r="C491" s="66"/>
      <c r="D491" s="60"/>
      <c r="E491" s="61"/>
      <c r="F491" s="61"/>
      <c r="G491" s="67"/>
      <c r="H491" s="60"/>
      <c r="I491" s="60"/>
      <c r="J491" s="61"/>
      <c r="K491" s="61"/>
      <c r="L491" s="60"/>
      <c r="M491" s="74" t="str">
        <f t="shared" si="59"/>
        <v/>
      </c>
      <c r="N491" s="74" t="str">
        <f t="shared" si="60"/>
        <v/>
      </c>
      <c r="O491" s="73" t="str">
        <f t="shared" si="61"/>
        <v/>
      </c>
      <c r="P491" s="65" t="str">
        <f t="shared" ca="1" si="62"/>
        <v/>
      </c>
      <c r="Q491" s="2"/>
      <c r="R491" s="2"/>
      <c r="S491" s="1" t="str">
        <f t="shared" si="63"/>
        <v/>
      </c>
      <c r="T491" s="1" t="str">
        <f>IF(OR($C491="",$D491&lt;&gt;"Gelir",$L491=""),"",IFERROR(INDEX(MUSTERILER!$B$7:$B$156,MATCH($S491,MUSTERILER!$T$7:$T$156,0)),""))</f>
        <v/>
      </c>
      <c r="U491" s="1" t="str">
        <f>IF($T491="","",$T491&amp;"|"&amp;COUNTIFS($T$7:$T491,$T491))</f>
        <v/>
      </c>
      <c r="V491" s="1">
        <f t="shared" si="64"/>
        <v>0</v>
      </c>
      <c r="W491" s="1" t="str">
        <f t="shared" si="65"/>
        <v/>
      </c>
      <c r="X491" s="1"/>
      <c r="Y491" s="1"/>
      <c r="Z491" s="1"/>
      <c r="AA491" s="1"/>
      <c r="AB491" s="1"/>
      <c r="AC491" s="1"/>
      <c r="AD491" s="1">
        <f>IF($C491="",0,SUMPRODUCT((AY_SONU!$O$7:$O$42="Evet")*(AY_SONU!$B$7:$B$42=DATE(YEAR($C491),MONTH($C491),1))))</f>
        <v>0</v>
      </c>
      <c r="AE491" s="1" t="str">
        <f>IF($E491="","",$E491&amp;"|"&amp;COUNTIFS($E$7:$E491,$E491))</f>
        <v/>
      </c>
    </row>
    <row r="492" spans="1:31" ht="18" customHeight="1" x14ac:dyDescent="0.3">
      <c r="A492" s="2"/>
      <c r="B492" s="65" t="str">
        <f t="shared" si="58"/>
        <v/>
      </c>
      <c r="C492" s="66"/>
      <c r="D492" s="60"/>
      <c r="E492" s="61"/>
      <c r="F492" s="61"/>
      <c r="G492" s="67"/>
      <c r="H492" s="60"/>
      <c r="I492" s="60"/>
      <c r="J492" s="61"/>
      <c r="K492" s="61"/>
      <c r="L492" s="60"/>
      <c r="M492" s="74" t="str">
        <f t="shared" si="59"/>
        <v/>
      </c>
      <c r="N492" s="74" t="str">
        <f t="shared" si="60"/>
        <v/>
      </c>
      <c r="O492" s="73" t="str">
        <f t="shared" si="61"/>
        <v/>
      </c>
      <c r="P492" s="65" t="str">
        <f t="shared" ca="1" si="62"/>
        <v/>
      </c>
      <c r="Q492" s="2"/>
      <c r="R492" s="2"/>
      <c r="S492" s="1" t="str">
        <f t="shared" si="63"/>
        <v/>
      </c>
      <c r="T492" s="1" t="str">
        <f>IF(OR($C492="",$D492&lt;&gt;"Gelir",$L492=""),"",IFERROR(INDEX(MUSTERILER!$B$7:$B$156,MATCH($S492,MUSTERILER!$T$7:$T$156,0)),""))</f>
        <v/>
      </c>
      <c r="U492" s="1" t="str">
        <f>IF($T492="","",$T492&amp;"|"&amp;COUNTIFS($T$7:$T492,$T492))</f>
        <v/>
      </c>
      <c r="V492" s="1">
        <f t="shared" si="64"/>
        <v>0</v>
      </c>
      <c r="W492" s="1" t="str">
        <f t="shared" si="65"/>
        <v/>
      </c>
      <c r="X492" s="1"/>
      <c r="Y492" s="1"/>
      <c r="Z492" s="1"/>
      <c r="AA492" s="1"/>
      <c r="AB492" s="1"/>
      <c r="AC492" s="1"/>
      <c r="AD492" s="1">
        <f>IF($C492="",0,SUMPRODUCT((AY_SONU!$O$7:$O$42="Evet")*(AY_SONU!$B$7:$B$42=DATE(YEAR($C492),MONTH($C492),1))))</f>
        <v>0</v>
      </c>
      <c r="AE492" s="1" t="str">
        <f>IF($E492="","",$E492&amp;"|"&amp;COUNTIFS($E$7:$E492,$E492))</f>
        <v/>
      </c>
    </row>
    <row r="493" spans="1:31" ht="18" customHeight="1" x14ac:dyDescent="0.3">
      <c r="A493" s="2"/>
      <c r="B493" s="65" t="str">
        <f t="shared" si="58"/>
        <v/>
      </c>
      <c r="C493" s="66"/>
      <c r="D493" s="60"/>
      <c r="E493" s="61"/>
      <c r="F493" s="61"/>
      <c r="G493" s="67"/>
      <c r="H493" s="60"/>
      <c r="I493" s="60"/>
      <c r="J493" s="61"/>
      <c r="K493" s="61"/>
      <c r="L493" s="60"/>
      <c r="M493" s="74" t="str">
        <f t="shared" si="59"/>
        <v/>
      </c>
      <c r="N493" s="74" t="str">
        <f t="shared" si="60"/>
        <v/>
      </c>
      <c r="O493" s="73" t="str">
        <f t="shared" si="61"/>
        <v/>
      </c>
      <c r="P493" s="65" t="str">
        <f t="shared" ca="1" si="62"/>
        <v/>
      </c>
      <c r="Q493" s="2"/>
      <c r="R493" s="2"/>
      <c r="S493" s="1" t="str">
        <f t="shared" si="63"/>
        <v/>
      </c>
      <c r="T493" s="1" t="str">
        <f>IF(OR($C493="",$D493&lt;&gt;"Gelir",$L493=""),"",IFERROR(INDEX(MUSTERILER!$B$7:$B$156,MATCH($S493,MUSTERILER!$T$7:$T$156,0)),""))</f>
        <v/>
      </c>
      <c r="U493" s="1" t="str">
        <f>IF($T493="","",$T493&amp;"|"&amp;COUNTIFS($T$7:$T493,$T493))</f>
        <v/>
      </c>
      <c r="V493" s="1">
        <f t="shared" si="64"/>
        <v>0</v>
      </c>
      <c r="W493" s="1" t="str">
        <f t="shared" si="65"/>
        <v/>
      </c>
      <c r="X493" s="1"/>
      <c r="Y493" s="1"/>
      <c r="Z493" s="1"/>
      <c r="AA493" s="1"/>
      <c r="AB493" s="1"/>
      <c r="AC493" s="1"/>
      <c r="AD493" s="1">
        <f>IF($C493="",0,SUMPRODUCT((AY_SONU!$O$7:$O$42="Evet")*(AY_SONU!$B$7:$B$42=DATE(YEAR($C493),MONTH($C493),1))))</f>
        <v>0</v>
      </c>
      <c r="AE493" s="1" t="str">
        <f>IF($E493="","",$E493&amp;"|"&amp;COUNTIFS($E$7:$E493,$E493))</f>
        <v/>
      </c>
    </row>
    <row r="494" spans="1:31" ht="18" customHeight="1" x14ac:dyDescent="0.3">
      <c r="A494" s="2"/>
      <c r="B494" s="65" t="str">
        <f t="shared" si="58"/>
        <v/>
      </c>
      <c r="C494" s="66"/>
      <c r="D494" s="60"/>
      <c r="E494" s="61"/>
      <c r="F494" s="61"/>
      <c r="G494" s="67"/>
      <c r="H494" s="60"/>
      <c r="I494" s="60"/>
      <c r="J494" s="61"/>
      <c r="K494" s="61"/>
      <c r="L494" s="60"/>
      <c r="M494" s="74" t="str">
        <f t="shared" si="59"/>
        <v/>
      </c>
      <c r="N494" s="74" t="str">
        <f t="shared" si="60"/>
        <v/>
      </c>
      <c r="O494" s="73" t="str">
        <f t="shared" si="61"/>
        <v/>
      </c>
      <c r="P494" s="65" t="str">
        <f t="shared" ca="1" si="62"/>
        <v/>
      </c>
      <c r="Q494" s="2"/>
      <c r="R494" s="2"/>
      <c r="S494" s="1" t="str">
        <f t="shared" si="63"/>
        <v/>
      </c>
      <c r="T494" s="1" t="str">
        <f>IF(OR($C494="",$D494&lt;&gt;"Gelir",$L494=""),"",IFERROR(INDEX(MUSTERILER!$B$7:$B$156,MATCH($S494,MUSTERILER!$T$7:$T$156,0)),""))</f>
        <v/>
      </c>
      <c r="U494" s="1" t="str">
        <f>IF($T494="","",$T494&amp;"|"&amp;COUNTIFS($T$7:$T494,$T494))</f>
        <v/>
      </c>
      <c r="V494" s="1">
        <f t="shared" si="64"/>
        <v>0</v>
      </c>
      <c r="W494" s="1" t="str">
        <f t="shared" si="65"/>
        <v/>
      </c>
      <c r="X494" s="1"/>
      <c r="Y494" s="1"/>
      <c r="Z494" s="1"/>
      <c r="AA494" s="1"/>
      <c r="AB494" s="1"/>
      <c r="AC494" s="1"/>
      <c r="AD494" s="1">
        <f>IF($C494="",0,SUMPRODUCT((AY_SONU!$O$7:$O$42="Evet")*(AY_SONU!$B$7:$B$42=DATE(YEAR($C494),MONTH($C494),1))))</f>
        <v>0</v>
      </c>
      <c r="AE494" s="1" t="str">
        <f>IF($E494="","",$E494&amp;"|"&amp;COUNTIFS($E$7:$E494,$E494))</f>
        <v/>
      </c>
    </row>
    <row r="495" spans="1:31" ht="18" customHeight="1" x14ac:dyDescent="0.3">
      <c r="A495" s="2"/>
      <c r="B495" s="65" t="str">
        <f t="shared" si="58"/>
        <v/>
      </c>
      <c r="C495" s="66"/>
      <c r="D495" s="60"/>
      <c r="E495" s="61"/>
      <c r="F495" s="61"/>
      <c r="G495" s="67"/>
      <c r="H495" s="60"/>
      <c r="I495" s="60"/>
      <c r="J495" s="61"/>
      <c r="K495" s="61"/>
      <c r="L495" s="60"/>
      <c r="M495" s="74" t="str">
        <f t="shared" si="59"/>
        <v/>
      </c>
      <c r="N495" s="74" t="str">
        <f t="shared" si="60"/>
        <v/>
      </c>
      <c r="O495" s="73" t="str">
        <f t="shared" si="61"/>
        <v/>
      </c>
      <c r="P495" s="65" t="str">
        <f t="shared" ca="1" si="62"/>
        <v/>
      </c>
      <c r="Q495" s="2"/>
      <c r="R495" s="2"/>
      <c r="S495" s="1" t="str">
        <f t="shared" si="63"/>
        <v/>
      </c>
      <c r="T495" s="1" t="str">
        <f>IF(OR($C495="",$D495&lt;&gt;"Gelir",$L495=""),"",IFERROR(INDEX(MUSTERILER!$B$7:$B$156,MATCH($S495,MUSTERILER!$T$7:$T$156,0)),""))</f>
        <v/>
      </c>
      <c r="U495" s="1" t="str">
        <f>IF($T495="","",$T495&amp;"|"&amp;COUNTIFS($T$7:$T495,$T495))</f>
        <v/>
      </c>
      <c r="V495" s="1">
        <f t="shared" si="64"/>
        <v>0</v>
      </c>
      <c r="W495" s="1" t="str">
        <f t="shared" si="65"/>
        <v/>
      </c>
      <c r="X495" s="1"/>
      <c r="Y495" s="1"/>
      <c r="Z495" s="1"/>
      <c r="AA495" s="1"/>
      <c r="AB495" s="1"/>
      <c r="AC495" s="1"/>
      <c r="AD495" s="1">
        <f>IF($C495="",0,SUMPRODUCT((AY_SONU!$O$7:$O$42="Evet")*(AY_SONU!$B$7:$B$42=DATE(YEAR($C495),MONTH($C495),1))))</f>
        <v>0</v>
      </c>
      <c r="AE495" s="1" t="str">
        <f>IF($E495="","",$E495&amp;"|"&amp;COUNTIFS($E$7:$E495,$E495))</f>
        <v/>
      </c>
    </row>
    <row r="496" spans="1:31" ht="18" customHeight="1" x14ac:dyDescent="0.3">
      <c r="A496" s="2"/>
      <c r="B496" s="65" t="str">
        <f t="shared" si="58"/>
        <v/>
      </c>
      <c r="C496" s="66"/>
      <c r="D496" s="60"/>
      <c r="E496" s="61"/>
      <c r="F496" s="61"/>
      <c r="G496" s="67"/>
      <c r="H496" s="60"/>
      <c r="I496" s="60"/>
      <c r="J496" s="61"/>
      <c r="K496" s="61"/>
      <c r="L496" s="60"/>
      <c r="M496" s="74" t="str">
        <f t="shared" si="59"/>
        <v/>
      </c>
      <c r="N496" s="74" t="str">
        <f t="shared" si="60"/>
        <v/>
      </c>
      <c r="O496" s="73" t="str">
        <f t="shared" si="61"/>
        <v/>
      </c>
      <c r="P496" s="65" t="str">
        <f t="shared" ca="1" si="62"/>
        <v/>
      </c>
      <c r="Q496" s="2"/>
      <c r="R496" s="2"/>
      <c r="S496" s="1" t="str">
        <f t="shared" si="63"/>
        <v/>
      </c>
      <c r="T496" s="1" t="str">
        <f>IF(OR($C496="",$D496&lt;&gt;"Gelir",$L496=""),"",IFERROR(INDEX(MUSTERILER!$B$7:$B$156,MATCH($S496,MUSTERILER!$T$7:$T$156,0)),""))</f>
        <v/>
      </c>
      <c r="U496" s="1" t="str">
        <f>IF($T496="","",$T496&amp;"|"&amp;COUNTIFS($T$7:$T496,$T496))</f>
        <v/>
      </c>
      <c r="V496" s="1">
        <f t="shared" si="64"/>
        <v>0</v>
      </c>
      <c r="W496" s="1" t="str">
        <f t="shared" si="65"/>
        <v/>
      </c>
      <c r="X496" s="1"/>
      <c r="Y496" s="1"/>
      <c r="Z496" s="1"/>
      <c r="AA496" s="1"/>
      <c r="AB496" s="1"/>
      <c r="AC496" s="1"/>
      <c r="AD496" s="1">
        <f>IF($C496="",0,SUMPRODUCT((AY_SONU!$O$7:$O$42="Evet")*(AY_SONU!$B$7:$B$42=DATE(YEAR($C496),MONTH($C496),1))))</f>
        <v>0</v>
      </c>
      <c r="AE496" s="1" t="str">
        <f>IF($E496="","",$E496&amp;"|"&amp;COUNTIFS($E$7:$E496,$E496))</f>
        <v/>
      </c>
    </row>
    <row r="497" spans="1:31" ht="18" customHeight="1" x14ac:dyDescent="0.3">
      <c r="A497" s="2"/>
      <c r="B497" s="65" t="str">
        <f t="shared" si="58"/>
        <v/>
      </c>
      <c r="C497" s="66"/>
      <c r="D497" s="60"/>
      <c r="E497" s="61"/>
      <c r="F497" s="61"/>
      <c r="G497" s="67"/>
      <c r="H497" s="60"/>
      <c r="I497" s="60"/>
      <c r="J497" s="61"/>
      <c r="K497" s="61"/>
      <c r="L497" s="60"/>
      <c r="M497" s="74" t="str">
        <f t="shared" si="59"/>
        <v/>
      </c>
      <c r="N497" s="74" t="str">
        <f t="shared" si="60"/>
        <v/>
      </c>
      <c r="O497" s="73" t="str">
        <f t="shared" si="61"/>
        <v/>
      </c>
      <c r="P497" s="65" t="str">
        <f t="shared" ca="1" si="62"/>
        <v/>
      </c>
      <c r="Q497" s="2"/>
      <c r="R497" s="2"/>
      <c r="S497" s="1" t="str">
        <f t="shared" si="63"/>
        <v/>
      </c>
      <c r="T497" s="1" t="str">
        <f>IF(OR($C497="",$D497&lt;&gt;"Gelir",$L497=""),"",IFERROR(INDEX(MUSTERILER!$B$7:$B$156,MATCH($S497,MUSTERILER!$T$7:$T$156,0)),""))</f>
        <v/>
      </c>
      <c r="U497" s="1" t="str">
        <f>IF($T497="","",$T497&amp;"|"&amp;COUNTIFS($T$7:$T497,$T497))</f>
        <v/>
      </c>
      <c r="V497" s="1">
        <f t="shared" si="64"/>
        <v>0</v>
      </c>
      <c r="W497" s="1" t="str">
        <f t="shared" si="65"/>
        <v/>
      </c>
      <c r="X497" s="1"/>
      <c r="Y497" s="1"/>
      <c r="Z497" s="1"/>
      <c r="AA497" s="1"/>
      <c r="AB497" s="1"/>
      <c r="AC497" s="1"/>
      <c r="AD497" s="1">
        <f>IF($C497="",0,SUMPRODUCT((AY_SONU!$O$7:$O$42="Evet")*(AY_SONU!$B$7:$B$42=DATE(YEAR($C497),MONTH($C497),1))))</f>
        <v>0</v>
      </c>
      <c r="AE497" s="1" t="str">
        <f>IF($E497="","",$E497&amp;"|"&amp;COUNTIFS($E$7:$E497,$E497))</f>
        <v/>
      </c>
    </row>
    <row r="498" spans="1:31" ht="18" customHeight="1" x14ac:dyDescent="0.3">
      <c r="A498" s="2"/>
      <c r="B498" s="65" t="str">
        <f t="shared" si="58"/>
        <v/>
      </c>
      <c r="C498" s="66"/>
      <c r="D498" s="60"/>
      <c r="E498" s="61"/>
      <c r="F498" s="61"/>
      <c r="G498" s="67"/>
      <c r="H498" s="60"/>
      <c r="I498" s="60"/>
      <c r="J498" s="61"/>
      <c r="K498" s="61"/>
      <c r="L498" s="60"/>
      <c r="M498" s="74" t="str">
        <f t="shared" si="59"/>
        <v/>
      </c>
      <c r="N498" s="74" t="str">
        <f t="shared" si="60"/>
        <v/>
      </c>
      <c r="O498" s="73" t="str">
        <f t="shared" si="61"/>
        <v/>
      </c>
      <c r="P498" s="65" t="str">
        <f t="shared" ca="1" si="62"/>
        <v/>
      </c>
      <c r="Q498" s="2"/>
      <c r="R498" s="2"/>
      <c r="S498" s="1" t="str">
        <f t="shared" si="63"/>
        <v/>
      </c>
      <c r="T498" s="1" t="str">
        <f>IF(OR($C498="",$D498&lt;&gt;"Gelir",$L498=""),"",IFERROR(INDEX(MUSTERILER!$B$7:$B$156,MATCH($S498,MUSTERILER!$T$7:$T$156,0)),""))</f>
        <v/>
      </c>
      <c r="U498" s="1" t="str">
        <f>IF($T498="","",$T498&amp;"|"&amp;COUNTIFS($T$7:$T498,$T498))</f>
        <v/>
      </c>
      <c r="V498" s="1">
        <f t="shared" si="64"/>
        <v>0</v>
      </c>
      <c r="W498" s="1" t="str">
        <f t="shared" si="65"/>
        <v/>
      </c>
      <c r="X498" s="1"/>
      <c r="Y498" s="1"/>
      <c r="Z498" s="1"/>
      <c r="AA498" s="1"/>
      <c r="AB498" s="1"/>
      <c r="AC498" s="1"/>
      <c r="AD498" s="1">
        <f>IF($C498="",0,SUMPRODUCT((AY_SONU!$O$7:$O$42="Evet")*(AY_SONU!$B$7:$B$42=DATE(YEAR($C498),MONTH($C498),1))))</f>
        <v>0</v>
      </c>
      <c r="AE498" s="1" t="str">
        <f>IF($E498="","",$E498&amp;"|"&amp;COUNTIFS($E$7:$E498,$E498))</f>
        <v/>
      </c>
    </row>
    <row r="499" spans="1:31" ht="18" customHeight="1" x14ac:dyDescent="0.3">
      <c r="A499" s="2"/>
      <c r="B499" s="65" t="str">
        <f t="shared" si="58"/>
        <v/>
      </c>
      <c r="C499" s="66"/>
      <c r="D499" s="60"/>
      <c r="E499" s="61"/>
      <c r="F499" s="61"/>
      <c r="G499" s="67"/>
      <c r="H499" s="60"/>
      <c r="I499" s="60"/>
      <c r="J499" s="61"/>
      <c r="K499" s="61"/>
      <c r="L499" s="60"/>
      <c r="M499" s="74" t="str">
        <f t="shared" si="59"/>
        <v/>
      </c>
      <c r="N499" s="74" t="str">
        <f t="shared" si="60"/>
        <v/>
      </c>
      <c r="O499" s="73" t="str">
        <f t="shared" si="61"/>
        <v/>
      </c>
      <c r="P499" s="65" t="str">
        <f t="shared" ca="1" si="62"/>
        <v/>
      </c>
      <c r="Q499" s="2"/>
      <c r="R499" s="2"/>
      <c r="S499" s="1" t="str">
        <f t="shared" si="63"/>
        <v/>
      </c>
      <c r="T499" s="1" t="str">
        <f>IF(OR($C499="",$D499&lt;&gt;"Gelir",$L499=""),"",IFERROR(INDEX(MUSTERILER!$B$7:$B$156,MATCH($S499,MUSTERILER!$T$7:$T$156,0)),""))</f>
        <v/>
      </c>
      <c r="U499" s="1" t="str">
        <f>IF($T499="","",$T499&amp;"|"&amp;COUNTIFS($T$7:$T499,$T499))</f>
        <v/>
      </c>
      <c r="V499" s="1">
        <f t="shared" si="64"/>
        <v>0</v>
      </c>
      <c r="W499" s="1" t="str">
        <f t="shared" si="65"/>
        <v/>
      </c>
      <c r="X499" s="1"/>
      <c r="Y499" s="1"/>
      <c r="Z499" s="1"/>
      <c r="AA499" s="1"/>
      <c r="AB499" s="1"/>
      <c r="AC499" s="1"/>
      <c r="AD499" s="1">
        <f>IF($C499="",0,SUMPRODUCT((AY_SONU!$O$7:$O$42="Evet")*(AY_SONU!$B$7:$B$42=DATE(YEAR($C499),MONTH($C499),1))))</f>
        <v>0</v>
      </c>
      <c r="AE499" s="1" t="str">
        <f>IF($E499="","",$E499&amp;"|"&amp;COUNTIFS($E$7:$E499,$E499))</f>
        <v/>
      </c>
    </row>
    <row r="500" spans="1:31" ht="18" customHeight="1" x14ac:dyDescent="0.3">
      <c r="A500" s="2"/>
      <c r="B500" s="65" t="str">
        <f t="shared" si="58"/>
        <v/>
      </c>
      <c r="C500" s="66"/>
      <c r="D500" s="60"/>
      <c r="E500" s="61"/>
      <c r="F500" s="61"/>
      <c r="G500" s="67"/>
      <c r="H500" s="60"/>
      <c r="I500" s="60"/>
      <c r="J500" s="61"/>
      <c r="K500" s="61"/>
      <c r="L500" s="60"/>
      <c r="M500" s="74" t="str">
        <f t="shared" si="59"/>
        <v/>
      </c>
      <c r="N500" s="74" t="str">
        <f t="shared" si="60"/>
        <v/>
      </c>
      <c r="O500" s="73" t="str">
        <f t="shared" si="61"/>
        <v/>
      </c>
      <c r="P500" s="65" t="str">
        <f t="shared" ca="1" si="62"/>
        <v/>
      </c>
      <c r="Q500" s="2"/>
      <c r="R500" s="2"/>
      <c r="S500" s="1" t="str">
        <f t="shared" si="63"/>
        <v/>
      </c>
      <c r="T500" s="1" t="str">
        <f>IF(OR($C500="",$D500&lt;&gt;"Gelir",$L500=""),"",IFERROR(INDEX(MUSTERILER!$B$7:$B$156,MATCH($S500,MUSTERILER!$T$7:$T$156,0)),""))</f>
        <v/>
      </c>
      <c r="U500" s="1" t="str">
        <f>IF($T500="","",$T500&amp;"|"&amp;COUNTIFS($T$7:$T500,$T500))</f>
        <v/>
      </c>
      <c r="V500" s="1">
        <f t="shared" si="64"/>
        <v>0</v>
      </c>
      <c r="W500" s="1" t="str">
        <f t="shared" si="65"/>
        <v/>
      </c>
      <c r="X500" s="1"/>
      <c r="Y500" s="1"/>
      <c r="Z500" s="1"/>
      <c r="AA500" s="1"/>
      <c r="AB500" s="1"/>
      <c r="AC500" s="1"/>
      <c r="AD500" s="1">
        <f>IF($C500="",0,SUMPRODUCT((AY_SONU!$O$7:$O$42="Evet")*(AY_SONU!$B$7:$B$42=DATE(YEAR($C500),MONTH($C500),1))))</f>
        <v>0</v>
      </c>
      <c r="AE500" s="1" t="str">
        <f>IF($E500="","",$E500&amp;"|"&amp;COUNTIFS($E$7:$E500,$E500))</f>
        <v/>
      </c>
    </row>
    <row r="501" spans="1:31" ht="18" customHeight="1" x14ac:dyDescent="0.3">
      <c r="A501" s="2"/>
      <c r="B501" s="65" t="str">
        <f t="shared" si="58"/>
        <v/>
      </c>
      <c r="C501" s="66"/>
      <c r="D501" s="60"/>
      <c r="E501" s="61"/>
      <c r="F501" s="61"/>
      <c r="G501" s="67"/>
      <c r="H501" s="60"/>
      <c r="I501" s="60"/>
      <c r="J501" s="61"/>
      <c r="K501" s="61"/>
      <c r="L501" s="60"/>
      <c r="M501" s="74" t="str">
        <f t="shared" si="59"/>
        <v/>
      </c>
      <c r="N501" s="74" t="str">
        <f t="shared" si="60"/>
        <v/>
      </c>
      <c r="O501" s="73" t="str">
        <f t="shared" si="61"/>
        <v/>
      </c>
      <c r="P501" s="65" t="str">
        <f t="shared" ca="1" si="62"/>
        <v/>
      </c>
      <c r="Q501" s="2"/>
      <c r="R501" s="2"/>
      <c r="S501" s="1" t="str">
        <f t="shared" si="63"/>
        <v/>
      </c>
      <c r="T501" s="1" t="str">
        <f>IF(OR($C501="",$D501&lt;&gt;"Gelir",$L501=""),"",IFERROR(INDEX(MUSTERILER!$B$7:$B$156,MATCH($S501,MUSTERILER!$T$7:$T$156,0)),""))</f>
        <v/>
      </c>
      <c r="U501" s="1" t="str">
        <f>IF($T501="","",$T501&amp;"|"&amp;COUNTIFS($T$7:$T501,$T501))</f>
        <v/>
      </c>
      <c r="V501" s="1">
        <f t="shared" si="64"/>
        <v>0</v>
      </c>
      <c r="W501" s="1" t="str">
        <f t="shared" si="65"/>
        <v/>
      </c>
      <c r="X501" s="1"/>
      <c r="Y501" s="1"/>
      <c r="Z501" s="1"/>
      <c r="AA501" s="1"/>
      <c r="AB501" s="1"/>
      <c r="AC501" s="1"/>
      <c r="AD501" s="1">
        <f>IF($C501="",0,SUMPRODUCT((AY_SONU!$O$7:$O$42="Evet")*(AY_SONU!$B$7:$B$42=DATE(YEAR($C501),MONTH($C501),1))))</f>
        <v>0</v>
      </c>
      <c r="AE501" s="1" t="str">
        <f>IF($E501="","",$E501&amp;"|"&amp;COUNTIFS($E$7:$E501,$E501))</f>
        <v/>
      </c>
    </row>
    <row r="502" spans="1:31" ht="18" customHeight="1" x14ac:dyDescent="0.3">
      <c r="A502" s="2"/>
      <c r="B502" s="65" t="str">
        <f t="shared" si="58"/>
        <v/>
      </c>
      <c r="C502" s="66"/>
      <c r="D502" s="60"/>
      <c r="E502" s="61"/>
      <c r="F502" s="61"/>
      <c r="G502" s="67"/>
      <c r="H502" s="60"/>
      <c r="I502" s="60"/>
      <c r="J502" s="61"/>
      <c r="K502" s="61"/>
      <c r="L502" s="60"/>
      <c r="M502" s="74" t="str">
        <f t="shared" si="59"/>
        <v/>
      </c>
      <c r="N502" s="74" t="str">
        <f t="shared" si="60"/>
        <v/>
      </c>
      <c r="O502" s="73" t="str">
        <f t="shared" si="61"/>
        <v/>
      </c>
      <c r="P502" s="65" t="str">
        <f t="shared" ca="1" si="62"/>
        <v/>
      </c>
      <c r="Q502" s="2"/>
      <c r="R502" s="2"/>
      <c r="S502" s="1" t="str">
        <f t="shared" si="63"/>
        <v/>
      </c>
      <c r="T502" s="1" t="str">
        <f>IF(OR($C502="",$D502&lt;&gt;"Gelir",$L502=""),"",IFERROR(INDEX(MUSTERILER!$B$7:$B$156,MATCH($S502,MUSTERILER!$T$7:$T$156,0)),""))</f>
        <v/>
      </c>
      <c r="U502" s="1" t="str">
        <f>IF($T502="","",$T502&amp;"|"&amp;COUNTIFS($T$7:$T502,$T502))</f>
        <v/>
      </c>
      <c r="V502" s="1">
        <f t="shared" si="64"/>
        <v>0</v>
      </c>
      <c r="W502" s="1" t="str">
        <f t="shared" si="65"/>
        <v/>
      </c>
      <c r="X502" s="1"/>
      <c r="Y502" s="1"/>
      <c r="Z502" s="1"/>
      <c r="AA502" s="1"/>
      <c r="AB502" s="1"/>
      <c r="AC502" s="1"/>
      <c r="AD502" s="1">
        <f>IF($C502="",0,SUMPRODUCT((AY_SONU!$O$7:$O$42="Evet")*(AY_SONU!$B$7:$B$42=DATE(YEAR($C502),MONTH($C502),1))))</f>
        <v>0</v>
      </c>
      <c r="AE502" s="1" t="str">
        <f>IF($E502="","",$E502&amp;"|"&amp;COUNTIFS($E$7:$E502,$E502))</f>
        <v/>
      </c>
    </row>
    <row r="503" spans="1:31" ht="18" customHeight="1" x14ac:dyDescent="0.3">
      <c r="A503" s="2"/>
      <c r="B503" s="65" t="str">
        <f t="shared" si="58"/>
        <v/>
      </c>
      <c r="C503" s="66"/>
      <c r="D503" s="60"/>
      <c r="E503" s="61"/>
      <c r="F503" s="61"/>
      <c r="G503" s="67"/>
      <c r="H503" s="60"/>
      <c r="I503" s="60"/>
      <c r="J503" s="61"/>
      <c r="K503" s="61"/>
      <c r="L503" s="60"/>
      <c r="M503" s="74" t="str">
        <f t="shared" si="59"/>
        <v/>
      </c>
      <c r="N503" s="74" t="str">
        <f t="shared" si="60"/>
        <v/>
      </c>
      <c r="O503" s="73" t="str">
        <f t="shared" si="61"/>
        <v/>
      </c>
      <c r="P503" s="65" t="str">
        <f t="shared" ca="1" si="62"/>
        <v/>
      </c>
      <c r="Q503" s="2"/>
      <c r="R503" s="2"/>
      <c r="S503" s="1" t="str">
        <f t="shared" si="63"/>
        <v/>
      </c>
      <c r="T503" s="1" t="str">
        <f>IF(OR($C503="",$D503&lt;&gt;"Gelir",$L503=""),"",IFERROR(INDEX(MUSTERILER!$B$7:$B$156,MATCH($S503,MUSTERILER!$T$7:$T$156,0)),""))</f>
        <v/>
      </c>
      <c r="U503" s="1" t="str">
        <f>IF($T503="","",$T503&amp;"|"&amp;COUNTIFS($T$7:$T503,$T503))</f>
        <v/>
      </c>
      <c r="V503" s="1">
        <f t="shared" si="64"/>
        <v>0</v>
      </c>
      <c r="W503" s="1" t="str">
        <f t="shared" si="65"/>
        <v/>
      </c>
      <c r="X503" s="1"/>
      <c r="Y503" s="1"/>
      <c r="Z503" s="1"/>
      <c r="AA503" s="1"/>
      <c r="AB503" s="1"/>
      <c r="AC503" s="1"/>
      <c r="AD503" s="1">
        <f>IF($C503="",0,SUMPRODUCT((AY_SONU!$O$7:$O$42="Evet")*(AY_SONU!$B$7:$B$42=DATE(YEAR($C503),MONTH($C503),1))))</f>
        <v>0</v>
      </c>
      <c r="AE503" s="1" t="str">
        <f>IF($E503="","",$E503&amp;"|"&amp;COUNTIFS($E$7:$E503,$E503))</f>
        <v/>
      </c>
    </row>
    <row r="504" spans="1:31" ht="18" customHeight="1" x14ac:dyDescent="0.3">
      <c r="A504" s="2"/>
      <c r="B504" s="65" t="str">
        <f t="shared" si="58"/>
        <v/>
      </c>
      <c r="C504" s="66"/>
      <c r="D504" s="60"/>
      <c r="E504" s="61"/>
      <c r="F504" s="61"/>
      <c r="G504" s="67"/>
      <c r="H504" s="60"/>
      <c r="I504" s="60"/>
      <c r="J504" s="61"/>
      <c r="K504" s="61"/>
      <c r="L504" s="60"/>
      <c r="M504" s="74" t="str">
        <f t="shared" si="59"/>
        <v/>
      </c>
      <c r="N504" s="74" t="str">
        <f t="shared" si="60"/>
        <v/>
      </c>
      <c r="O504" s="73" t="str">
        <f t="shared" si="61"/>
        <v/>
      </c>
      <c r="P504" s="65" t="str">
        <f t="shared" ca="1" si="62"/>
        <v/>
      </c>
      <c r="Q504" s="2"/>
      <c r="R504" s="2"/>
      <c r="S504" s="1" t="str">
        <f t="shared" si="63"/>
        <v/>
      </c>
      <c r="T504" s="1" t="str">
        <f>IF(OR($C504="",$D504&lt;&gt;"Gelir",$L504=""),"",IFERROR(INDEX(MUSTERILER!$B$7:$B$156,MATCH($S504,MUSTERILER!$T$7:$T$156,0)),""))</f>
        <v/>
      </c>
      <c r="U504" s="1" t="str">
        <f>IF($T504="","",$T504&amp;"|"&amp;COUNTIFS($T$7:$T504,$T504))</f>
        <v/>
      </c>
      <c r="V504" s="1">
        <f t="shared" si="64"/>
        <v>0</v>
      </c>
      <c r="W504" s="1" t="str">
        <f t="shared" si="65"/>
        <v/>
      </c>
      <c r="X504" s="1"/>
      <c r="Y504" s="1"/>
      <c r="Z504" s="1"/>
      <c r="AA504" s="1"/>
      <c r="AB504" s="1"/>
      <c r="AC504" s="1"/>
      <c r="AD504" s="1">
        <f>IF($C504="",0,SUMPRODUCT((AY_SONU!$O$7:$O$42="Evet")*(AY_SONU!$B$7:$B$42=DATE(YEAR($C504),MONTH($C504),1))))</f>
        <v>0</v>
      </c>
      <c r="AE504" s="1" t="str">
        <f>IF($E504="","",$E504&amp;"|"&amp;COUNTIFS($E$7:$E504,$E504))</f>
        <v/>
      </c>
    </row>
    <row r="505" spans="1:31" ht="18" customHeight="1" x14ac:dyDescent="0.3">
      <c r="A505" s="2"/>
      <c r="B505" s="65" t="str">
        <f t="shared" si="58"/>
        <v/>
      </c>
      <c r="C505" s="66"/>
      <c r="D505" s="60"/>
      <c r="E505" s="61"/>
      <c r="F505" s="61"/>
      <c r="G505" s="67"/>
      <c r="H505" s="60"/>
      <c r="I505" s="60"/>
      <c r="J505" s="61"/>
      <c r="K505" s="61"/>
      <c r="L505" s="60"/>
      <c r="M505" s="74" t="str">
        <f t="shared" si="59"/>
        <v/>
      </c>
      <c r="N505" s="74" t="str">
        <f t="shared" si="60"/>
        <v/>
      </c>
      <c r="O505" s="73" t="str">
        <f t="shared" si="61"/>
        <v/>
      </c>
      <c r="P505" s="65" t="str">
        <f t="shared" ca="1" si="62"/>
        <v/>
      </c>
      <c r="Q505" s="2"/>
      <c r="R505" s="2"/>
      <c r="S505" s="1" t="str">
        <f t="shared" si="63"/>
        <v/>
      </c>
      <c r="T505" s="1" t="str">
        <f>IF(OR($C505="",$D505&lt;&gt;"Gelir",$L505=""),"",IFERROR(INDEX(MUSTERILER!$B$7:$B$156,MATCH($S505,MUSTERILER!$T$7:$T$156,0)),""))</f>
        <v/>
      </c>
      <c r="U505" s="1" t="str">
        <f>IF($T505="","",$T505&amp;"|"&amp;COUNTIFS($T$7:$T505,$T505))</f>
        <v/>
      </c>
      <c r="V505" s="1">
        <f t="shared" si="64"/>
        <v>0</v>
      </c>
      <c r="W505" s="1" t="str">
        <f t="shared" si="65"/>
        <v/>
      </c>
      <c r="X505" s="1"/>
      <c r="Y505" s="1"/>
      <c r="Z505" s="1"/>
      <c r="AA505" s="1"/>
      <c r="AB505" s="1"/>
      <c r="AC505" s="1"/>
      <c r="AD505" s="1">
        <f>IF($C505="",0,SUMPRODUCT((AY_SONU!$O$7:$O$42="Evet")*(AY_SONU!$B$7:$B$42=DATE(YEAR($C505),MONTH($C505),1))))</f>
        <v>0</v>
      </c>
      <c r="AE505" s="1" t="str">
        <f>IF($E505="","",$E505&amp;"|"&amp;COUNTIFS($E$7:$E505,$E505))</f>
        <v/>
      </c>
    </row>
    <row r="506" spans="1:31" ht="18" customHeight="1" x14ac:dyDescent="0.3">
      <c r="A506" s="2"/>
      <c r="B506" s="65" t="str">
        <f t="shared" si="58"/>
        <v/>
      </c>
      <c r="C506" s="66"/>
      <c r="D506" s="60"/>
      <c r="E506" s="61"/>
      <c r="F506" s="61"/>
      <c r="G506" s="67"/>
      <c r="H506" s="60"/>
      <c r="I506" s="60"/>
      <c r="J506" s="61"/>
      <c r="K506" s="61"/>
      <c r="L506" s="60"/>
      <c r="M506" s="74" t="str">
        <f t="shared" si="59"/>
        <v/>
      </c>
      <c r="N506" s="74" t="str">
        <f t="shared" si="60"/>
        <v/>
      </c>
      <c r="O506" s="73" t="str">
        <f t="shared" si="61"/>
        <v/>
      </c>
      <c r="P506" s="65" t="str">
        <f t="shared" ca="1" si="62"/>
        <v/>
      </c>
      <c r="Q506" s="2"/>
      <c r="R506" s="2"/>
      <c r="S506" s="1" t="str">
        <f t="shared" si="63"/>
        <v/>
      </c>
      <c r="T506" s="1" t="str">
        <f>IF(OR($C506="",$D506&lt;&gt;"Gelir",$L506=""),"",IFERROR(INDEX(MUSTERILER!$B$7:$B$156,MATCH($S506,MUSTERILER!$T$7:$T$156,0)),""))</f>
        <v/>
      </c>
      <c r="U506" s="1" t="str">
        <f>IF($T506="","",$T506&amp;"|"&amp;COUNTIFS($T$7:$T506,$T506))</f>
        <v/>
      </c>
      <c r="V506" s="1">
        <f t="shared" si="64"/>
        <v>0</v>
      </c>
      <c r="W506" s="1" t="str">
        <f t="shared" si="65"/>
        <v/>
      </c>
      <c r="X506" s="1"/>
      <c r="Y506" s="1"/>
      <c r="Z506" s="1"/>
      <c r="AA506" s="1"/>
      <c r="AB506" s="1"/>
      <c r="AC506" s="1"/>
      <c r="AD506" s="1">
        <f>IF($C506="",0,SUMPRODUCT((AY_SONU!$O$7:$O$42="Evet")*(AY_SONU!$B$7:$B$42=DATE(YEAR($C506),MONTH($C506),1))))</f>
        <v>0</v>
      </c>
      <c r="AE506" s="1" t="str">
        <f>IF($E506="","",$E506&amp;"|"&amp;COUNTIFS($E$7:$E506,$E506))</f>
        <v/>
      </c>
    </row>
    <row r="507" spans="1:31" ht="18" customHeight="1" x14ac:dyDescent="0.3">
      <c r="A507" s="2"/>
      <c r="B507" s="65" t="str">
        <f t="shared" si="58"/>
        <v/>
      </c>
      <c r="C507" s="66"/>
      <c r="D507" s="60"/>
      <c r="E507" s="61"/>
      <c r="F507" s="61"/>
      <c r="G507" s="67"/>
      <c r="H507" s="60"/>
      <c r="I507" s="60"/>
      <c r="J507" s="61"/>
      <c r="K507" s="61"/>
      <c r="L507" s="60"/>
      <c r="M507" s="74" t="str">
        <f t="shared" si="59"/>
        <v/>
      </c>
      <c r="N507" s="74" t="str">
        <f t="shared" si="60"/>
        <v/>
      </c>
      <c r="O507" s="73" t="str">
        <f t="shared" si="61"/>
        <v/>
      </c>
      <c r="P507" s="65" t="str">
        <f t="shared" ca="1" si="62"/>
        <v/>
      </c>
      <c r="Q507" s="2"/>
      <c r="R507" s="2"/>
      <c r="S507" s="1" t="str">
        <f t="shared" si="63"/>
        <v/>
      </c>
      <c r="T507" s="1" t="str">
        <f>IF(OR($C507="",$D507&lt;&gt;"Gelir",$L507=""),"",IFERROR(INDEX(MUSTERILER!$B$7:$B$156,MATCH($S507,MUSTERILER!$T$7:$T$156,0)),""))</f>
        <v/>
      </c>
      <c r="U507" s="1" t="str">
        <f>IF($T507="","",$T507&amp;"|"&amp;COUNTIFS($T$7:$T507,$T507))</f>
        <v/>
      </c>
      <c r="V507" s="1">
        <f t="shared" si="64"/>
        <v>0</v>
      </c>
      <c r="W507" s="1" t="str">
        <f t="shared" si="65"/>
        <v/>
      </c>
      <c r="X507" s="1"/>
      <c r="Y507" s="1"/>
      <c r="Z507" s="1"/>
      <c r="AA507" s="1"/>
      <c r="AB507" s="1"/>
      <c r="AC507" s="1"/>
      <c r="AD507" s="1">
        <f>IF($C507="",0,SUMPRODUCT((AY_SONU!$O$7:$O$42="Evet")*(AY_SONU!$B$7:$B$42=DATE(YEAR($C507),MONTH($C507),1))))</f>
        <v>0</v>
      </c>
      <c r="AE507" s="1" t="str">
        <f>IF($E507="","",$E507&amp;"|"&amp;COUNTIFS($E$7:$E507,$E507))</f>
        <v/>
      </c>
    </row>
    <row r="508" spans="1:31" ht="18" customHeight="1" x14ac:dyDescent="0.3">
      <c r="A508" s="2"/>
      <c r="B508" s="65" t="str">
        <f t="shared" si="58"/>
        <v/>
      </c>
      <c r="C508" s="66"/>
      <c r="D508" s="60"/>
      <c r="E508" s="61"/>
      <c r="F508" s="61"/>
      <c r="G508" s="67"/>
      <c r="H508" s="60"/>
      <c r="I508" s="60"/>
      <c r="J508" s="61"/>
      <c r="K508" s="61"/>
      <c r="L508" s="60"/>
      <c r="M508" s="74" t="str">
        <f t="shared" si="59"/>
        <v/>
      </c>
      <c r="N508" s="74" t="str">
        <f t="shared" si="60"/>
        <v/>
      </c>
      <c r="O508" s="73" t="str">
        <f t="shared" si="61"/>
        <v/>
      </c>
      <c r="P508" s="65" t="str">
        <f t="shared" ca="1" si="62"/>
        <v/>
      </c>
      <c r="Q508" s="2"/>
      <c r="R508" s="2"/>
      <c r="S508" s="1" t="str">
        <f t="shared" si="63"/>
        <v/>
      </c>
      <c r="T508" s="1" t="str">
        <f>IF(OR($C508="",$D508&lt;&gt;"Gelir",$L508=""),"",IFERROR(INDEX(MUSTERILER!$B$7:$B$156,MATCH($S508,MUSTERILER!$T$7:$T$156,0)),""))</f>
        <v/>
      </c>
      <c r="U508" s="1" t="str">
        <f>IF($T508="","",$T508&amp;"|"&amp;COUNTIFS($T$7:$T508,$T508))</f>
        <v/>
      </c>
      <c r="V508" s="1">
        <f t="shared" si="64"/>
        <v>0</v>
      </c>
      <c r="W508" s="1" t="str">
        <f t="shared" si="65"/>
        <v/>
      </c>
      <c r="X508" s="1"/>
      <c r="Y508" s="1"/>
      <c r="Z508" s="1"/>
      <c r="AA508" s="1"/>
      <c r="AB508" s="1"/>
      <c r="AC508" s="1"/>
      <c r="AD508" s="1">
        <f>IF($C508="",0,SUMPRODUCT((AY_SONU!$O$7:$O$42="Evet")*(AY_SONU!$B$7:$B$42=DATE(YEAR($C508),MONTH($C508),1))))</f>
        <v>0</v>
      </c>
      <c r="AE508" s="1" t="str">
        <f>IF($E508="","",$E508&amp;"|"&amp;COUNTIFS($E$7:$E508,$E508))</f>
        <v/>
      </c>
    </row>
    <row r="509" spans="1:31" ht="18" customHeight="1" x14ac:dyDescent="0.3">
      <c r="A509" s="2"/>
      <c r="B509" s="65" t="str">
        <f t="shared" si="58"/>
        <v/>
      </c>
      <c r="C509" s="66"/>
      <c r="D509" s="60"/>
      <c r="E509" s="61"/>
      <c r="F509" s="61"/>
      <c r="G509" s="67"/>
      <c r="H509" s="60"/>
      <c r="I509" s="60"/>
      <c r="J509" s="61"/>
      <c r="K509" s="61"/>
      <c r="L509" s="60"/>
      <c r="M509" s="74" t="str">
        <f t="shared" si="59"/>
        <v/>
      </c>
      <c r="N509" s="74" t="str">
        <f t="shared" si="60"/>
        <v/>
      </c>
      <c r="O509" s="73" t="str">
        <f t="shared" si="61"/>
        <v/>
      </c>
      <c r="P509" s="65" t="str">
        <f t="shared" ca="1" si="62"/>
        <v/>
      </c>
      <c r="Q509" s="2"/>
      <c r="R509" s="2"/>
      <c r="S509" s="1" t="str">
        <f t="shared" si="63"/>
        <v/>
      </c>
      <c r="T509" s="1" t="str">
        <f>IF(OR($C509="",$D509&lt;&gt;"Gelir",$L509=""),"",IFERROR(INDEX(MUSTERILER!$B$7:$B$156,MATCH($S509,MUSTERILER!$T$7:$T$156,0)),""))</f>
        <v/>
      </c>
      <c r="U509" s="1" t="str">
        <f>IF($T509="","",$T509&amp;"|"&amp;COUNTIFS($T$7:$T509,$T509))</f>
        <v/>
      </c>
      <c r="V509" s="1">
        <f t="shared" si="64"/>
        <v>0</v>
      </c>
      <c r="W509" s="1" t="str">
        <f t="shared" si="65"/>
        <v/>
      </c>
      <c r="X509" s="1"/>
      <c r="Y509" s="1"/>
      <c r="Z509" s="1"/>
      <c r="AA509" s="1"/>
      <c r="AB509" s="1"/>
      <c r="AC509" s="1"/>
      <c r="AD509" s="1">
        <f>IF($C509="",0,SUMPRODUCT((AY_SONU!$O$7:$O$42="Evet")*(AY_SONU!$B$7:$B$42=DATE(YEAR($C509),MONTH($C509),1))))</f>
        <v>0</v>
      </c>
      <c r="AE509" s="1" t="str">
        <f>IF($E509="","",$E509&amp;"|"&amp;COUNTIFS($E$7:$E509,$E509))</f>
        <v/>
      </c>
    </row>
    <row r="510" spans="1:31" ht="18" customHeight="1" x14ac:dyDescent="0.3">
      <c r="A510" s="2"/>
      <c r="B510" s="65" t="str">
        <f t="shared" si="58"/>
        <v/>
      </c>
      <c r="C510" s="66"/>
      <c r="D510" s="60"/>
      <c r="E510" s="61"/>
      <c r="F510" s="61"/>
      <c r="G510" s="67"/>
      <c r="H510" s="60"/>
      <c r="I510" s="60"/>
      <c r="J510" s="61"/>
      <c r="K510" s="61"/>
      <c r="L510" s="60"/>
      <c r="M510" s="74" t="str">
        <f t="shared" si="59"/>
        <v/>
      </c>
      <c r="N510" s="74" t="str">
        <f t="shared" si="60"/>
        <v/>
      </c>
      <c r="O510" s="73" t="str">
        <f t="shared" si="61"/>
        <v/>
      </c>
      <c r="P510" s="65" t="str">
        <f t="shared" ca="1" si="62"/>
        <v/>
      </c>
      <c r="Q510" s="2"/>
      <c r="R510" s="2"/>
      <c r="S510" s="1" t="str">
        <f t="shared" si="63"/>
        <v/>
      </c>
      <c r="T510" s="1" t="str">
        <f>IF(OR($C510="",$D510&lt;&gt;"Gelir",$L510=""),"",IFERROR(INDEX(MUSTERILER!$B$7:$B$156,MATCH($S510,MUSTERILER!$T$7:$T$156,0)),""))</f>
        <v/>
      </c>
      <c r="U510" s="1" t="str">
        <f>IF($T510="","",$T510&amp;"|"&amp;COUNTIFS($T$7:$T510,$T510))</f>
        <v/>
      </c>
      <c r="V510" s="1">
        <f t="shared" si="64"/>
        <v>0</v>
      </c>
      <c r="W510" s="1" t="str">
        <f t="shared" si="65"/>
        <v/>
      </c>
      <c r="X510" s="1"/>
      <c r="Y510" s="1"/>
      <c r="Z510" s="1"/>
      <c r="AA510" s="1"/>
      <c r="AB510" s="1"/>
      <c r="AC510" s="1"/>
      <c r="AD510" s="1">
        <f>IF($C510="",0,SUMPRODUCT((AY_SONU!$O$7:$O$42="Evet")*(AY_SONU!$B$7:$B$42=DATE(YEAR($C510),MONTH($C510),1))))</f>
        <v>0</v>
      </c>
      <c r="AE510" s="1" t="str">
        <f>IF($E510="","",$E510&amp;"|"&amp;COUNTIFS($E$7:$E510,$E510))</f>
        <v/>
      </c>
    </row>
    <row r="511" spans="1:31" ht="18" customHeight="1" x14ac:dyDescent="0.3">
      <c r="A511" s="2"/>
      <c r="B511" s="65" t="str">
        <f t="shared" si="58"/>
        <v/>
      </c>
      <c r="C511" s="66"/>
      <c r="D511" s="60"/>
      <c r="E511" s="61"/>
      <c r="F511" s="61"/>
      <c r="G511" s="67"/>
      <c r="H511" s="60"/>
      <c r="I511" s="60"/>
      <c r="J511" s="61"/>
      <c r="K511" s="61"/>
      <c r="L511" s="60"/>
      <c r="M511" s="74" t="str">
        <f t="shared" si="59"/>
        <v/>
      </c>
      <c r="N511" s="74" t="str">
        <f t="shared" si="60"/>
        <v/>
      </c>
      <c r="O511" s="73" t="str">
        <f t="shared" si="61"/>
        <v/>
      </c>
      <c r="P511" s="65" t="str">
        <f t="shared" ca="1" si="62"/>
        <v/>
      </c>
      <c r="Q511" s="2"/>
      <c r="R511" s="2"/>
      <c r="S511" s="1" t="str">
        <f t="shared" si="63"/>
        <v/>
      </c>
      <c r="T511" s="1" t="str">
        <f>IF(OR($C511="",$D511&lt;&gt;"Gelir",$L511=""),"",IFERROR(INDEX(MUSTERILER!$B$7:$B$156,MATCH($S511,MUSTERILER!$T$7:$T$156,0)),""))</f>
        <v/>
      </c>
      <c r="U511" s="1" t="str">
        <f>IF($T511="","",$T511&amp;"|"&amp;COUNTIFS($T$7:$T511,$T511))</f>
        <v/>
      </c>
      <c r="V511" s="1">
        <f t="shared" si="64"/>
        <v>0</v>
      </c>
      <c r="W511" s="1" t="str">
        <f t="shared" si="65"/>
        <v/>
      </c>
      <c r="X511" s="1"/>
      <c r="Y511" s="1"/>
      <c r="Z511" s="1"/>
      <c r="AA511" s="1"/>
      <c r="AB511" s="1"/>
      <c r="AC511" s="1"/>
      <c r="AD511" s="1">
        <f>IF($C511="",0,SUMPRODUCT((AY_SONU!$O$7:$O$42="Evet")*(AY_SONU!$B$7:$B$42=DATE(YEAR($C511),MONTH($C511),1))))</f>
        <v>0</v>
      </c>
      <c r="AE511" s="1" t="str">
        <f>IF($E511="","",$E511&amp;"|"&amp;COUNTIFS($E$7:$E511,$E511))</f>
        <v/>
      </c>
    </row>
    <row r="512" spans="1:31" ht="18" customHeight="1" x14ac:dyDescent="0.3">
      <c r="A512" s="2"/>
      <c r="B512" s="65" t="str">
        <f t="shared" si="58"/>
        <v/>
      </c>
      <c r="C512" s="66"/>
      <c r="D512" s="60"/>
      <c r="E512" s="61"/>
      <c r="F512" s="61"/>
      <c r="G512" s="67"/>
      <c r="H512" s="60"/>
      <c r="I512" s="60"/>
      <c r="J512" s="61"/>
      <c r="K512" s="61"/>
      <c r="L512" s="60"/>
      <c r="M512" s="74" t="str">
        <f t="shared" si="59"/>
        <v/>
      </c>
      <c r="N512" s="74" t="str">
        <f t="shared" si="60"/>
        <v/>
      </c>
      <c r="O512" s="73" t="str">
        <f t="shared" si="61"/>
        <v/>
      </c>
      <c r="P512" s="65" t="str">
        <f t="shared" ca="1" si="62"/>
        <v/>
      </c>
      <c r="Q512" s="2"/>
      <c r="R512" s="2"/>
      <c r="S512" s="1" t="str">
        <f t="shared" si="63"/>
        <v/>
      </c>
      <c r="T512" s="1" t="str">
        <f>IF(OR($C512="",$D512&lt;&gt;"Gelir",$L512=""),"",IFERROR(INDEX(MUSTERILER!$B$7:$B$156,MATCH($S512,MUSTERILER!$T$7:$T$156,0)),""))</f>
        <v/>
      </c>
      <c r="U512" s="1" t="str">
        <f>IF($T512="","",$T512&amp;"|"&amp;COUNTIFS($T$7:$T512,$T512))</f>
        <v/>
      </c>
      <c r="V512" s="1">
        <f t="shared" si="64"/>
        <v>0</v>
      </c>
      <c r="W512" s="1" t="str">
        <f t="shared" si="65"/>
        <v/>
      </c>
      <c r="X512" s="1"/>
      <c r="Y512" s="1"/>
      <c r="Z512" s="1"/>
      <c r="AA512" s="1"/>
      <c r="AB512" s="1"/>
      <c r="AC512" s="1"/>
      <c r="AD512" s="1">
        <f>IF($C512="",0,SUMPRODUCT((AY_SONU!$O$7:$O$42="Evet")*(AY_SONU!$B$7:$B$42=DATE(YEAR($C512),MONTH($C512),1))))</f>
        <v>0</v>
      </c>
      <c r="AE512" s="1" t="str">
        <f>IF($E512="","",$E512&amp;"|"&amp;COUNTIFS($E$7:$E512,$E512))</f>
        <v/>
      </c>
    </row>
    <row r="513" spans="1:31" ht="18" customHeight="1" x14ac:dyDescent="0.3">
      <c r="A513" s="2"/>
      <c r="B513" s="65" t="str">
        <f t="shared" si="58"/>
        <v/>
      </c>
      <c r="C513" s="66"/>
      <c r="D513" s="60"/>
      <c r="E513" s="61"/>
      <c r="F513" s="61"/>
      <c r="G513" s="67"/>
      <c r="H513" s="60"/>
      <c r="I513" s="60"/>
      <c r="J513" s="61"/>
      <c r="K513" s="61"/>
      <c r="L513" s="60"/>
      <c r="M513" s="74" t="str">
        <f t="shared" si="59"/>
        <v/>
      </c>
      <c r="N513" s="74" t="str">
        <f t="shared" si="60"/>
        <v/>
      </c>
      <c r="O513" s="73" t="str">
        <f t="shared" si="61"/>
        <v/>
      </c>
      <c r="P513" s="65" t="str">
        <f t="shared" ca="1" si="62"/>
        <v/>
      </c>
      <c r="Q513" s="2"/>
      <c r="R513" s="2"/>
      <c r="S513" s="1" t="str">
        <f t="shared" si="63"/>
        <v/>
      </c>
      <c r="T513" s="1" t="str">
        <f>IF(OR($C513="",$D513&lt;&gt;"Gelir",$L513=""),"",IFERROR(INDEX(MUSTERILER!$B$7:$B$156,MATCH($S513,MUSTERILER!$T$7:$T$156,0)),""))</f>
        <v/>
      </c>
      <c r="U513" s="1" t="str">
        <f>IF($T513="","",$T513&amp;"|"&amp;COUNTIFS($T$7:$T513,$T513))</f>
        <v/>
      </c>
      <c r="V513" s="1">
        <f t="shared" si="64"/>
        <v>0</v>
      </c>
      <c r="W513" s="1" t="str">
        <f t="shared" si="65"/>
        <v/>
      </c>
      <c r="X513" s="1"/>
      <c r="Y513" s="1"/>
      <c r="Z513" s="1"/>
      <c r="AA513" s="1"/>
      <c r="AB513" s="1"/>
      <c r="AC513" s="1"/>
      <c r="AD513" s="1">
        <f>IF($C513="",0,SUMPRODUCT((AY_SONU!$O$7:$O$42="Evet")*(AY_SONU!$B$7:$B$42=DATE(YEAR($C513),MONTH($C513),1))))</f>
        <v>0</v>
      </c>
      <c r="AE513" s="1" t="str">
        <f>IF($E513="","",$E513&amp;"|"&amp;COUNTIFS($E$7:$E513,$E513))</f>
        <v/>
      </c>
    </row>
    <row r="514" spans="1:31" ht="18" customHeight="1" x14ac:dyDescent="0.3">
      <c r="A514" s="2"/>
      <c r="B514" s="65" t="str">
        <f t="shared" si="58"/>
        <v/>
      </c>
      <c r="C514" s="66"/>
      <c r="D514" s="60"/>
      <c r="E514" s="61"/>
      <c r="F514" s="61"/>
      <c r="G514" s="67"/>
      <c r="H514" s="60"/>
      <c r="I514" s="60"/>
      <c r="J514" s="61"/>
      <c r="K514" s="61"/>
      <c r="L514" s="60"/>
      <c r="M514" s="74" t="str">
        <f t="shared" si="59"/>
        <v/>
      </c>
      <c r="N514" s="74" t="str">
        <f t="shared" si="60"/>
        <v/>
      </c>
      <c r="O514" s="73" t="str">
        <f t="shared" si="61"/>
        <v/>
      </c>
      <c r="P514" s="65" t="str">
        <f t="shared" ca="1" si="62"/>
        <v/>
      </c>
      <c r="Q514" s="2"/>
      <c r="R514" s="2"/>
      <c r="S514" s="1" t="str">
        <f t="shared" si="63"/>
        <v/>
      </c>
      <c r="T514" s="1" t="str">
        <f>IF(OR($C514="",$D514&lt;&gt;"Gelir",$L514=""),"",IFERROR(INDEX(MUSTERILER!$B$7:$B$156,MATCH($S514,MUSTERILER!$T$7:$T$156,0)),""))</f>
        <v/>
      </c>
      <c r="U514" s="1" t="str">
        <f>IF($T514="","",$T514&amp;"|"&amp;COUNTIFS($T$7:$T514,$T514))</f>
        <v/>
      </c>
      <c r="V514" s="1">
        <f t="shared" si="64"/>
        <v>0</v>
      </c>
      <c r="W514" s="1" t="str">
        <f t="shared" si="65"/>
        <v/>
      </c>
      <c r="X514" s="1"/>
      <c r="Y514" s="1"/>
      <c r="Z514" s="1"/>
      <c r="AA514" s="1"/>
      <c r="AB514" s="1"/>
      <c r="AC514" s="1"/>
      <c r="AD514" s="1">
        <f>IF($C514="",0,SUMPRODUCT((AY_SONU!$O$7:$O$42="Evet")*(AY_SONU!$B$7:$B$42=DATE(YEAR($C514),MONTH($C514),1))))</f>
        <v>0</v>
      </c>
      <c r="AE514" s="1" t="str">
        <f>IF($E514="","",$E514&amp;"|"&amp;COUNTIFS($E$7:$E514,$E514))</f>
        <v/>
      </c>
    </row>
    <row r="515" spans="1:31" ht="18" customHeight="1" x14ac:dyDescent="0.3">
      <c r="A515" s="2"/>
      <c r="B515" s="65" t="str">
        <f t="shared" si="58"/>
        <v/>
      </c>
      <c r="C515" s="66"/>
      <c r="D515" s="60"/>
      <c r="E515" s="61"/>
      <c r="F515" s="61"/>
      <c r="G515" s="67"/>
      <c r="H515" s="60"/>
      <c r="I515" s="60"/>
      <c r="J515" s="61"/>
      <c r="K515" s="61"/>
      <c r="L515" s="60"/>
      <c r="M515" s="74" t="str">
        <f t="shared" si="59"/>
        <v/>
      </c>
      <c r="N515" s="74" t="str">
        <f t="shared" si="60"/>
        <v/>
      </c>
      <c r="O515" s="73" t="str">
        <f t="shared" si="61"/>
        <v/>
      </c>
      <c r="P515" s="65" t="str">
        <f t="shared" ca="1" si="62"/>
        <v/>
      </c>
      <c r="Q515" s="2"/>
      <c r="R515" s="2"/>
      <c r="S515" s="1" t="str">
        <f t="shared" si="63"/>
        <v/>
      </c>
      <c r="T515" s="1" t="str">
        <f>IF(OR($C515="",$D515&lt;&gt;"Gelir",$L515=""),"",IFERROR(INDEX(MUSTERILER!$B$7:$B$156,MATCH($S515,MUSTERILER!$T$7:$T$156,0)),""))</f>
        <v/>
      </c>
      <c r="U515" s="1" t="str">
        <f>IF($T515="","",$T515&amp;"|"&amp;COUNTIFS($T$7:$T515,$T515))</f>
        <v/>
      </c>
      <c r="V515" s="1">
        <f t="shared" si="64"/>
        <v>0</v>
      </c>
      <c r="W515" s="1" t="str">
        <f t="shared" si="65"/>
        <v/>
      </c>
      <c r="X515" s="1"/>
      <c r="Y515" s="1"/>
      <c r="Z515" s="1"/>
      <c r="AA515" s="1"/>
      <c r="AB515" s="1"/>
      <c r="AC515" s="1"/>
      <c r="AD515" s="1">
        <f>IF($C515="",0,SUMPRODUCT((AY_SONU!$O$7:$O$42="Evet")*(AY_SONU!$B$7:$B$42=DATE(YEAR($C515),MONTH($C515),1))))</f>
        <v>0</v>
      </c>
      <c r="AE515" s="1" t="str">
        <f>IF($E515="","",$E515&amp;"|"&amp;COUNTIFS($E$7:$E515,$E515))</f>
        <v/>
      </c>
    </row>
    <row r="516" spans="1:31" ht="18" customHeight="1" x14ac:dyDescent="0.3">
      <c r="A516" s="2"/>
      <c r="B516" s="65" t="str">
        <f t="shared" si="58"/>
        <v/>
      </c>
      <c r="C516" s="66"/>
      <c r="D516" s="60"/>
      <c r="E516" s="61"/>
      <c r="F516" s="61"/>
      <c r="G516" s="67"/>
      <c r="H516" s="60"/>
      <c r="I516" s="60"/>
      <c r="J516" s="61"/>
      <c r="K516" s="61"/>
      <c r="L516" s="60"/>
      <c r="M516" s="74" t="str">
        <f t="shared" si="59"/>
        <v/>
      </c>
      <c r="N516" s="74" t="str">
        <f t="shared" si="60"/>
        <v/>
      </c>
      <c r="O516" s="73" t="str">
        <f t="shared" si="61"/>
        <v/>
      </c>
      <c r="P516" s="65" t="str">
        <f t="shared" ca="1" si="62"/>
        <v/>
      </c>
      <c r="Q516" s="2"/>
      <c r="R516" s="2"/>
      <c r="S516" s="1" t="str">
        <f t="shared" si="63"/>
        <v/>
      </c>
      <c r="T516" s="1" t="str">
        <f>IF(OR($C516="",$D516&lt;&gt;"Gelir",$L516=""),"",IFERROR(INDEX(MUSTERILER!$B$7:$B$156,MATCH($S516,MUSTERILER!$T$7:$T$156,0)),""))</f>
        <v/>
      </c>
      <c r="U516" s="1" t="str">
        <f>IF($T516="","",$T516&amp;"|"&amp;COUNTIFS($T$7:$T516,$T516))</f>
        <v/>
      </c>
      <c r="V516" s="1">
        <f t="shared" si="64"/>
        <v>0</v>
      </c>
      <c r="W516" s="1" t="str">
        <f t="shared" si="65"/>
        <v/>
      </c>
      <c r="X516" s="1"/>
      <c r="Y516" s="1"/>
      <c r="Z516" s="1"/>
      <c r="AA516" s="1"/>
      <c r="AB516" s="1"/>
      <c r="AC516" s="1"/>
      <c r="AD516" s="1">
        <f>IF($C516="",0,SUMPRODUCT((AY_SONU!$O$7:$O$42="Evet")*(AY_SONU!$B$7:$B$42=DATE(YEAR($C516),MONTH($C516),1))))</f>
        <v>0</v>
      </c>
      <c r="AE516" s="1" t="str">
        <f>IF($E516="","",$E516&amp;"|"&amp;COUNTIFS($E$7:$E516,$E516))</f>
        <v/>
      </c>
    </row>
    <row r="517" spans="1:31" ht="18" customHeight="1" x14ac:dyDescent="0.3">
      <c r="A517" s="2"/>
      <c r="B517" s="65" t="str">
        <f t="shared" si="58"/>
        <v/>
      </c>
      <c r="C517" s="66"/>
      <c r="D517" s="60"/>
      <c r="E517" s="61"/>
      <c r="F517" s="61"/>
      <c r="G517" s="67"/>
      <c r="H517" s="60"/>
      <c r="I517" s="60"/>
      <c r="J517" s="61"/>
      <c r="K517" s="61"/>
      <c r="L517" s="60"/>
      <c r="M517" s="74" t="str">
        <f t="shared" si="59"/>
        <v/>
      </c>
      <c r="N517" s="74" t="str">
        <f t="shared" si="60"/>
        <v/>
      </c>
      <c r="O517" s="73" t="str">
        <f t="shared" si="61"/>
        <v/>
      </c>
      <c r="P517" s="65" t="str">
        <f t="shared" ca="1" si="62"/>
        <v/>
      </c>
      <c r="Q517" s="2"/>
      <c r="R517" s="2"/>
      <c r="S517" s="1" t="str">
        <f t="shared" si="63"/>
        <v/>
      </c>
      <c r="T517" s="1" t="str">
        <f>IF(OR($C517="",$D517&lt;&gt;"Gelir",$L517=""),"",IFERROR(INDEX(MUSTERILER!$B$7:$B$156,MATCH($S517,MUSTERILER!$T$7:$T$156,0)),""))</f>
        <v/>
      </c>
      <c r="U517" s="1" t="str">
        <f>IF($T517="","",$T517&amp;"|"&amp;COUNTIFS($T$7:$T517,$T517))</f>
        <v/>
      </c>
      <c r="V517" s="1">
        <f t="shared" si="64"/>
        <v>0</v>
      </c>
      <c r="W517" s="1" t="str">
        <f t="shared" si="65"/>
        <v/>
      </c>
      <c r="X517" s="1"/>
      <c r="Y517" s="1"/>
      <c r="Z517" s="1"/>
      <c r="AA517" s="1"/>
      <c r="AB517" s="1"/>
      <c r="AC517" s="1"/>
      <c r="AD517" s="1">
        <f>IF($C517="",0,SUMPRODUCT((AY_SONU!$O$7:$O$42="Evet")*(AY_SONU!$B$7:$B$42=DATE(YEAR($C517),MONTH($C517),1))))</f>
        <v>0</v>
      </c>
      <c r="AE517" s="1" t="str">
        <f>IF($E517="","",$E517&amp;"|"&amp;COUNTIFS($E$7:$E517,$E517))</f>
        <v/>
      </c>
    </row>
    <row r="518" spans="1:31" ht="18" customHeight="1" x14ac:dyDescent="0.3">
      <c r="A518" s="2"/>
      <c r="B518" s="65" t="str">
        <f t="shared" si="58"/>
        <v/>
      </c>
      <c r="C518" s="66"/>
      <c r="D518" s="60"/>
      <c r="E518" s="61"/>
      <c r="F518" s="61"/>
      <c r="G518" s="67"/>
      <c r="H518" s="60"/>
      <c r="I518" s="60"/>
      <c r="J518" s="61"/>
      <c r="K518" s="61"/>
      <c r="L518" s="60"/>
      <c r="M518" s="74" t="str">
        <f t="shared" si="59"/>
        <v/>
      </c>
      <c r="N518" s="74" t="str">
        <f t="shared" si="60"/>
        <v/>
      </c>
      <c r="O518" s="73" t="str">
        <f t="shared" si="61"/>
        <v/>
      </c>
      <c r="P518" s="65" t="str">
        <f t="shared" ca="1" si="62"/>
        <v/>
      </c>
      <c r="Q518" s="2"/>
      <c r="R518" s="2"/>
      <c r="S518" s="1" t="str">
        <f t="shared" si="63"/>
        <v/>
      </c>
      <c r="T518" s="1" t="str">
        <f>IF(OR($C518="",$D518&lt;&gt;"Gelir",$L518=""),"",IFERROR(INDEX(MUSTERILER!$B$7:$B$156,MATCH($S518,MUSTERILER!$T$7:$T$156,0)),""))</f>
        <v/>
      </c>
      <c r="U518" s="1" t="str">
        <f>IF($T518="","",$T518&amp;"|"&amp;COUNTIFS($T$7:$T518,$T518))</f>
        <v/>
      </c>
      <c r="V518" s="1">
        <f t="shared" si="64"/>
        <v>0</v>
      </c>
      <c r="W518" s="1" t="str">
        <f t="shared" si="65"/>
        <v/>
      </c>
      <c r="X518" s="1"/>
      <c r="Y518" s="1"/>
      <c r="Z518" s="1"/>
      <c r="AA518" s="1"/>
      <c r="AB518" s="1"/>
      <c r="AC518" s="1"/>
      <c r="AD518" s="1">
        <f>IF($C518="",0,SUMPRODUCT((AY_SONU!$O$7:$O$42="Evet")*(AY_SONU!$B$7:$B$42=DATE(YEAR($C518),MONTH($C518),1))))</f>
        <v>0</v>
      </c>
      <c r="AE518" s="1" t="str">
        <f>IF($E518="","",$E518&amp;"|"&amp;COUNTIFS($E$7:$E518,$E518))</f>
        <v/>
      </c>
    </row>
    <row r="519" spans="1:31" ht="18" customHeight="1" x14ac:dyDescent="0.3">
      <c r="A519" s="2"/>
      <c r="B519" s="65" t="str">
        <f t="shared" ref="B519:B582" si="66">IF($C519="","","GG"&amp;TEXT(ROW()-6,"00000"))</f>
        <v/>
      </c>
      <c r="C519" s="66"/>
      <c r="D519" s="60"/>
      <c r="E519" s="61"/>
      <c r="F519" s="61"/>
      <c r="G519" s="67"/>
      <c r="H519" s="60"/>
      <c r="I519" s="60"/>
      <c r="J519" s="61"/>
      <c r="K519" s="61"/>
      <c r="L519" s="60"/>
      <c r="M519" s="74" t="str">
        <f t="shared" ref="M519:M582" si="67">IF($C519="","",IF($D519="Gider",$E519,IF($L519&lt;&gt;"",$L519,$H519)))</f>
        <v/>
      </c>
      <c r="N519" s="74" t="str">
        <f t="shared" ref="N519:N582" si="68">IF($C519="","",IF($D519="Gider",$H519,$E519))</f>
        <v/>
      </c>
      <c r="O519" s="73" t="str">
        <f t="shared" ref="O519:O582" si="69">IF($C519="","",DATE(YEAR($C519),MONTH($C519),1))</f>
        <v/>
      </c>
      <c r="P519" s="65" t="str">
        <f t="shared" ref="P519:P582" ca="1" si="70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TARİH",IF(COUNTIF($W$7:$W$3006,$W519)&gt;1,"MÜKERRER?",IF($AD519&gt;0,"KAPALI DÖNEM",IF($I519="Hayır","ÖDENECEK","UYGUN")))),"EKSİK"))))</f>
        <v/>
      </c>
      <c r="Q519" s="2"/>
      <c r="R519" s="2"/>
      <c r="S519" s="1" t="str">
        <f t="shared" ref="S519:S582" si="71"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1" t="str">
        <f>IF(OR($C519="",$D519&lt;&gt;"Gelir",$L519=""),"",IFERROR(INDEX(MUSTERILER!$B$7:$B$156,MATCH($S519,MUSTERILER!$T$7:$T$156,0)),""))</f>
        <v/>
      </c>
      <c r="U519" s="1" t="str">
        <f>IF($T519="","",$T519&amp;"|"&amp;COUNTIFS($T$7:$T519,$T519))</f>
        <v/>
      </c>
      <c r="V519" s="1">
        <f t="shared" ref="V519:V582" si="72">IF($T519="",0,1)</f>
        <v>0</v>
      </c>
      <c r="W519" s="1" t="str">
        <f t="shared" ref="W519:W582" si="73">IF($C519="","",$D519&amp;"|"&amp;$E519&amp;"|"&amp;TEXT($C519,"0")&amp;"|"&amp;TEXT($G519,"0")&amp;"|"&amp;$J519)</f>
        <v/>
      </c>
      <c r="X519" s="1"/>
      <c r="Y519" s="1"/>
      <c r="Z519" s="1"/>
      <c r="AA519" s="1"/>
      <c r="AB519" s="1"/>
      <c r="AC519" s="1"/>
      <c r="AD519" s="1">
        <f>IF($C519="",0,SUMPRODUCT((AY_SONU!$O$7:$O$42="Evet")*(AY_SONU!$B$7:$B$42=DATE(YEAR($C519),MONTH($C519),1))))</f>
        <v>0</v>
      </c>
      <c r="AE519" s="1" t="str">
        <f>IF($E519="","",$E519&amp;"|"&amp;COUNTIFS($E$7:$E519,$E519))</f>
        <v/>
      </c>
    </row>
    <row r="520" spans="1:31" ht="18" customHeight="1" x14ac:dyDescent="0.3">
      <c r="A520" s="2"/>
      <c r="B520" s="65" t="str">
        <f t="shared" si="66"/>
        <v/>
      </c>
      <c r="C520" s="66"/>
      <c r="D520" s="60"/>
      <c r="E520" s="61"/>
      <c r="F520" s="61"/>
      <c r="G520" s="67"/>
      <c r="H520" s="60"/>
      <c r="I520" s="60"/>
      <c r="J520" s="61"/>
      <c r="K520" s="61"/>
      <c r="L520" s="60"/>
      <c r="M520" s="74" t="str">
        <f t="shared" si="67"/>
        <v/>
      </c>
      <c r="N520" s="74" t="str">
        <f t="shared" si="68"/>
        <v/>
      </c>
      <c r="O520" s="73" t="str">
        <f t="shared" si="69"/>
        <v/>
      </c>
      <c r="P520" s="65" t="str">
        <f t="shared" ca="1" si="70"/>
        <v/>
      </c>
      <c r="Q520" s="2"/>
      <c r="R520" s="2"/>
      <c r="S520" s="1" t="str">
        <f t="shared" si="71"/>
        <v/>
      </c>
      <c r="T520" s="1" t="str">
        <f>IF(OR($C520="",$D520&lt;&gt;"Gelir",$L520=""),"",IFERROR(INDEX(MUSTERILER!$B$7:$B$156,MATCH($S520,MUSTERILER!$T$7:$T$156,0)),""))</f>
        <v/>
      </c>
      <c r="U520" s="1" t="str">
        <f>IF($T520="","",$T520&amp;"|"&amp;COUNTIFS($T$7:$T520,$T520))</f>
        <v/>
      </c>
      <c r="V520" s="1">
        <f t="shared" si="72"/>
        <v>0</v>
      </c>
      <c r="W520" s="1" t="str">
        <f t="shared" si="73"/>
        <v/>
      </c>
      <c r="X520" s="1"/>
      <c r="Y520" s="1"/>
      <c r="Z520" s="1"/>
      <c r="AA520" s="1"/>
      <c r="AB520" s="1"/>
      <c r="AC520" s="1"/>
      <c r="AD520" s="1">
        <f>IF($C520="",0,SUMPRODUCT((AY_SONU!$O$7:$O$42="Evet")*(AY_SONU!$B$7:$B$42=DATE(YEAR($C520),MONTH($C520),1))))</f>
        <v>0</v>
      </c>
      <c r="AE520" s="1" t="str">
        <f>IF($E520="","",$E520&amp;"|"&amp;COUNTIFS($E$7:$E520,$E520))</f>
        <v/>
      </c>
    </row>
    <row r="521" spans="1:31" ht="18" customHeight="1" x14ac:dyDescent="0.3">
      <c r="A521" s="2"/>
      <c r="B521" s="65" t="str">
        <f t="shared" si="66"/>
        <v/>
      </c>
      <c r="C521" s="66"/>
      <c r="D521" s="60"/>
      <c r="E521" s="61"/>
      <c r="F521" s="61"/>
      <c r="G521" s="67"/>
      <c r="H521" s="60"/>
      <c r="I521" s="60"/>
      <c r="J521" s="61"/>
      <c r="K521" s="61"/>
      <c r="L521" s="60"/>
      <c r="M521" s="74" t="str">
        <f t="shared" si="67"/>
        <v/>
      </c>
      <c r="N521" s="74" t="str">
        <f t="shared" si="68"/>
        <v/>
      </c>
      <c r="O521" s="73" t="str">
        <f t="shared" si="69"/>
        <v/>
      </c>
      <c r="P521" s="65" t="str">
        <f t="shared" ca="1" si="70"/>
        <v/>
      </c>
      <c r="Q521" s="2"/>
      <c r="R521" s="2"/>
      <c r="S521" s="1" t="str">
        <f t="shared" si="71"/>
        <v/>
      </c>
      <c r="T521" s="1" t="str">
        <f>IF(OR($C521="",$D521&lt;&gt;"Gelir",$L521=""),"",IFERROR(INDEX(MUSTERILER!$B$7:$B$156,MATCH($S521,MUSTERILER!$T$7:$T$156,0)),""))</f>
        <v/>
      </c>
      <c r="U521" s="1" t="str">
        <f>IF($T521="","",$T521&amp;"|"&amp;COUNTIFS($T$7:$T521,$T521))</f>
        <v/>
      </c>
      <c r="V521" s="1">
        <f t="shared" si="72"/>
        <v>0</v>
      </c>
      <c r="W521" s="1" t="str">
        <f t="shared" si="73"/>
        <v/>
      </c>
      <c r="X521" s="1"/>
      <c r="Y521" s="1"/>
      <c r="Z521" s="1"/>
      <c r="AA521" s="1"/>
      <c r="AB521" s="1"/>
      <c r="AC521" s="1"/>
      <c r="AD521" s="1">
        <f>IF($C521="",0,SUMPRODUCT((AY_SONU!$O$7:$O$42="Evet")*(AY_SONU!$B$7:$B$42=DATE(YEAR($C521),MONTH($C521),1))))</f>
        <v>0</v>
      </c>
      <c r="AE521" s="1" t="str">
        <f>IF($E521="","",$E521&amp;"|"&amp;COUNTIFS($E$7:$E521,$E521))</f>
        <v/>
      </c>
    </row>
    <row r="522" spans="1:31" ht="18" customHeight="1" x14ac:dyDescent="0.3">
      <c r="A522" s="2"/>
      <c r="B522" s="65" t="str">
        <f t="shared" si="66"/>
        <v/>
      </c>
      <c r="C522" s="66"/>
      <c r="D522" s="60"/>
      <c r="E522" s="61"/>
      <c r="F522" s="61"/>
      <c r="G522" s="67"/>
      <c r="H522" s="60"/>
      <c r="I522" s="60"/>
      <c r="J522" s="61"/>
      <c r="K522" s="61"/>
      <c r="L522" s="60"/>
      <c r="M522" s="74" t="str">
        <f t="shared" si="67"/>
        <v/>
      </c>
      <c r="N522" s="74" t="str">
        <f t="shared" si="68"/>
        <v/>
      </c>
      <c r="O522" s="73" t="str">
        <f t="shared" si="69"/>
        <v/>
      </c>
      <c r="P522" s="65" t="str">
        <f t="shared" ca="1" si="70"/>
        <v/>
      </c>
      <c r="Q522" s="2"/>
      <c r="R522" s="2"/>
      <c r="S522" s="1" t="str">
        <f t="shared" si="71"/>
        <v/>
      </c>
      <c r="T522" s="1" t="str">
        <f>IF(OR($C522="",$D522&lt;&gt;"Gelir",$L522=""),"",IFERROR(INDEX(MUSTERILER!$B$7:$B$156,MATCH($S522,MUSTERILER!$T$7:$T$156,0)),""))</f>
        <v/>
      </c>
      <c r="U522" s="1" t="str">
        <f>IF($T522="","",$T522&amp;"|"&amp;COUNTIFS($T$7:$T522,$T522))</f>
        <v/>
      </c>
      <c r="V522" s="1">
        <f t="shared" si="72"/>
        <v>0</v>
      </c>
      <c r="W522" s="1" t="str">
        <f t="shared" si="73"/>
        <v/>
      </c>
      <c r="X522" s="1"/>
      <c r="Y522" s="1"/>
      <c r="Z522" s="1"/>
      <c r="AA522" s="1"/>
      <c r="AB522" s="1"/>
      <c r="AC522" s="1"/>
      <c r="AD522" s="1">
        <f>IF($C522="",0,SUMPRODUCT((AY_SONU!$O$7:$O$42="Evet")*(AY_SONU!$B$7:$B$42=DATE(YEAR($C522),MONTH($C522),1))))</f>
        <v>0</v>
      </c>
      <c r="AE522" s="1" t="str">
        <f>IF($E522="","",$E522&amp;"|"&amp;COUNTIFS($E$7:$E522,$E522))</f>
        <v/>
      </c>
    </row>
    <row r="523" spans="1:31" ht="18" customHeight="1" x14ac:dyDescent="0.3">
      <c r="A523" s="2"/>
      <c r="B523" s="65" t="str">
        <f t="shared" si="66"/>
        <v/>
      </c>
      <c r="C523" s="66"/>
      <c r="D523" s="60"/>
      <c r="E523" s="61"/>
      <c r="F523" s="61"/>
      <c r="G523" s="67"/>
      <c r="H523" s="60"/>
      <c r="I523" s="60"/>
      <c r="J523" s="61"/>
      <c r="K523" s="61"/>
      <c r="L523" s="60"/>
      <c r="M523" s="74" t="str">
        <f t="shared" si="67"/>
        <v/>
      </c>
      <c r="N523" s="74" t="str">
        <f t="shared" si="68"/>
        <v/>
      </c>
      <c r="O523" s="73" t="str">
        <f t="shared" si="69"/>
        <v/>
      </c>
      <c r="P523" s="65" t="str">
        <f t="shared" ca="1" si="70"/>
        <v/>
      </c>
      <c r="Q523" s="2"/>
      <c r="R523" s="2"/>
      <c r="S523" s="1" t="str">
        <f t="shared" si="71"/>
        <v/>
      </c>
      <c r="T523" s="1" t="str">
        <f>IF(OR($C523="",$D523&lt;&gt;"Gelir",$L523=""),"",IFERROR(INDEX(MUSTERILER!$B$7:$B$156,MATCH($S523,MUSTERILER!$T$7:$T$156,0)),""))</f>
        <v/>
      </c>
      <c r="U523" s="1" t="str">
        <f>IF($T523="","",$T523&amp;"|"&amp;COUNTIFS($T$7:$T523,$T523))</f>
        <v/>
      </c>
      <c r="V523" s="1">
        <f t="shared" si="72"/>
        <v>0</v>
      </c>
      <c r="W523" s="1" t="str">
        <f t="shared" si="73"/>
        <v/>
      </c>
      <c r="X523" s="1"/>
      <c r="Y523" s="1"/>
      <c r="Z523" s="1"/>
      <c r="AA523" s="1"/>
      <c r="AB523" s="1"/>
      <c r="AC523" s="1"/>
      <c r="AD523" s="1">
        <f>IF($C523="",0,SUMPRODUCT((AY_SONU!$O$7:$O$42="Evet")*(AY_SONU!$B$7:$B$42=DATE(YEAR($C523),MONTH($C523),1))))</f>
        <v>0</v>
      </c>
      <c r="AE523" s="1" t="str">
        <f>IF($E523="","",$E523&amp;"|"&amp;COUNTIFS($E$7:$E523,$E523))</f>
        <v/>
      </c>
    </row>
    <row r="524" spans="1:31" ht="18" customHeight="1" x14ac:dyDescent="0.3">
      <c r="A524" s="2"/>
      <c r="B524" s="65" t="str">
        <f t="shared" si="66"/>
        <v/>
      </c>
      <c r="C524" s="66"/>
      <c r="D524" s="60"/>
      <c r="E524" s="61"/>
      <c r="F524" s="61"/>
      <c r="G524" s="67"/>
      <c r="H524" s="60"/>
      <c r="I524" s="60"/>
      <c r="J524" s="61"/>
      <c r="K524" s="61"/>
      <c r="L524" s="60"/>
      <c r="M524" s="74" t="str">
        <f t="shared" si="67"/>
        <v/>
      </c>
      <c r="N524" s="74" t="str">
        <f t="shared" si="68"/>
        <v/>
      </c>
      <c r="O524" s="73" t="str">
        <f t="shared" si="69"/>
        <v/>
      </c>
      <c r="P524" s="65" t="str">
        <f t="shared" ca="1" si="70"/>
        <v/>
      </c>
      <c r="Q524" s="2"/>
      <c r="R524" s="2"/>
      <c r="S524" s="1" t="str">
        <f t="shared" si="71"/>
        <v/>
      </c>
      <c r="T524" s="1" t="str">
        <f>IF(OR($C524="",$D524&lt;&gt;"Gelir",$L524=""),"",IFERROR(INDEX(MUSTERILER!$B$7:$B$156,MATCH($S524,MUSTERILER!$T$7:$T$156,0)),""))</f>
        <v/>
      </c>
      <c r="U524" s="1" t="str">
        <f>IF($T524="","",$T524&amp;"|"&amp;COUNTIFS($T$7:$T524,$T524))</f>
        <v/>
      </c>
      <c r="V524" s="1">
        <f t="shared" si="72"/>
        <v>0</v>
      </c>
      <c r="W524" s="1" t="str">
        <f t="shared" si="73"/>
        <v/>
      </c>
      <c r="X524" s="1"/>
      <c r="Y524" s="1"/>
      <c r="Z524" s="1"/>
      <c r="AA524" s="1"/>
      <c r="AB524" s="1"/>
      <c r="AC524" s="1"/>
      <c r="AD524" s="1">
        <f>IF($C524="",0,SUMPRODUCT((AY_SONU!$O$7:$O$42="Evet")*(AY_SONU!$B$7:$B$42=DATE(YEAR($C524),MONTH($C524),1))))</f>
        <v>0</v>
      </c>
      <c r="AE524" s="1" t="str">
        <f>IF($E524="","",$E524&amp;"|"&amp;COUNTIFS($E$7:$E524,$E524))</f>
        <v/>
      </c>
    </row>
    <row r="525" spans="1:31" ht="18" customHeight="1" x14ac:dyDescent="0.3">
      <c r="A525" s="2"/>
      <c r="B525" s="65" t="str">
        <f t="shared" si="66"/>
        <v/>
      </c>
      <c r="C525" s="66"/>
      <c r="D525" s="60"/>
      <c r="E525" s="61"/>
      <c r="F525" s="61"/>
      <c r="G525" s="67"/>
      <c r="H525" s="60"/>
      <c r="I525" s="60"/>
      <c r="J525" s="61"/>
      <c r="K525" s="61"/>
      <c r="L525" s="60"/>
      <c r="M525" s="74" t="str">
        <f t="shared" si="67"/>
        <v/>
      </c>
      <c r="N525" s="74" t="str">
        <f t="shared" si="68"/>
        <v/>
      </c>
      <c r="O525" s="73" t="str">
        <f t="shared" si="69"/>
        <v/>
      </c>
      <c r="P525" s="65" t="str">
        <f t="shared" ca="1" si="70"/>
        <v/>
      </c>
      <c r="Q525" s="2"/>
      <c r="R525" s="2"/>
      <c r="S525" s="1" t="str">
        <f t="shared" si="71"/>
        <v/>
      </c>
      <c r="T525" s="1" t="str">
        <f>IF(OR($C525="",$D525&lt;&gt;"Gelir",$L525=""),"",IFERROR(INDEX(MUSTERILER!$B$7:$B$156,MATCH($S525,MUSTERILER!$T$7:$T$156,0)),""))</f>
        <v/>
      </c>
      <c r="U525" s="1" t="str">
        <f>IF($T525="","",$T525&amp;"|"&amp;COUNTIFS($T$7:$T525,$T525))</f>
        <v/>
      </c>
      <c r="V525" s="1">
        <f t="shared" si="72"/>
        <v>0</v>
      </c>
      <c r="W525" s="1" t="str">
        <f t="shared" si="73"/>
        <v/>
      </c>
      <c r="X525" s="1"/>
      <c r="Y525" s="1"/>
      <c r="Z525" s="1"/>
      <c r="AA525" s="1"/>
      <c r="AB525" s="1"/>
      <c r="AC525" s="1"/>
      <c r="AD525" s="1">
        <f>IF($C525="",0,SUMPRODUCT((AY_SONU!$O$7:$O$42="Evet")*(AY_SONU!$B$7:$B$42=DATE(YEAR($C525),MONTH($C525),1))))</f>
        <v>0</v>
      </c>
      <c r="AE525" s="1" t="str">
        <f>IF($E525="","",$E525&amp;"|"&amp;COUNTIFS($E$7:$E525,$E525))</f>
        <v/>
      </c>
    </row>
    <row r="526" spans="1:31" ht="18" customHeight="1" x14ac:dyDescent="0.3">
      <c r="A526" s="2"/>
      <c r="B526" s="65" t="str">
        <f t="shared" si="66"/>
        <v/>
      </c>
      <c r="C526" s="66"/>
      <c r="D526" s="60"/>
      <c r="E526" s="61"/>
      <c r="F526" s="61"/>
      <c r="G526" s="67"/>
      <c r="H526" s="60"/>
      <c r="I526" s="60"/>
      <c r="J526" s="61"/>
      <c r="K526" s="61"/>
      <c r="L526" s="60"/>
      <c r="M526" s="74" t="str">
        <f t="shared" si="67"/>
        <v/>
      </c>
      <c r="N526" s="74" t="str">
        <f t="shared" si="68"/>
        <v/>
      </c>
      <c r="O526" s="73" t="str">
        <f t="shared" si="69"/>
        <v/>
      </c>
      <c r="P526" s="65" t="str">
        <f t="shared" ca="1" si="70"/>
        <v/>
      </c>
      <c r="Q526" s="2"/>
      <c r="R526" s="2"/>
      <c r="S526" s="1" t="str">
        <f t="shared" si="71"/>
        <v/>
      </c>
      <c r="T526" s="1" t="str">
        <f>IF(OR($C526="",$D526&lt;&gt;"Gelir",$L526=""),"",IFERROR(INDEX(MUSTERILER!$B$7:$B$156,MATCH($S526,MUSTERILER!$T$7:$T$156,0)),""))</f>
        <v/>
      </c>
      <c r="U526" s="1" t="str">
        <f>IF($T526="","",$T526&amp;"|"&amp;COUNTIFS($T$7:$T526,$T526))</f>
        <v/>
      </c>
      <c r="V526" s="1">
        <f t="shared" si="72"/>
        <v>0</v>
      </c>
      <c r="W526" s="1" t="str">
        <f t="shared" si="73"/>
        <v/>
      </c>
      <c r="X526" s="1"/>
      <c r="Y526" s="1"/>
      <c r="Z526" s="1"/>
      <c r="AA526" s="1"/>
      <c r="AB526" s="1"/>
      <c r="AC526" s="1"/>
      <c r="AD526" s="1">
        <f>IF($C526="",0,SUMPRODUCT((AY_SONU!$O$7:$O$42="Evet")*(AY_SONU!$B$7:$B$42=DATE(YEAR($C526),MONTH($C526),1))))</f>
        <v>0</v>
      </c>
      <c r="AE526" s="1" t="str">
        <f>IF($E526="","",$E526&amp;"|"&amp;COUNTIFS($E$7:$E526,$E526))</f>
        <v/>
      </c>
    </row>
    <row r="527" spans="1:31" ht="18" customHeight="1" x14ac:dyDescent="0.3">
      <c r="A527" s="2"/>
      <c r="B527" s="65" t="str">
        <f t="shared" si="66"/>
        <v/>
      </c>
      <c r="C527" s="66"/>
      <c r="D527" s="60"/>
      <c r="E527" s="61"/>
      <c r="F527" s="61"/>
      <c r="G527" s="67"/>
      <c r="H527" s="60"/>
      <c r="I527" s="60"/>
      <c r="J527" s="61"/>
      <c r="K527" s="61"/>
      <c r="L527" s="60"/>
      <c r="M527" s="74" t="str">
        <f t="shared" si="67"/>
        <v/>
      </c>
      <c r="N527" s="74" t="str">
        <f t="shared" si="68"/>
        <v/>
      </c>
      <c r="O527" s="73" t="str">
        <f t="shared" si="69"/>
        <v/>
      </c>
      <c r="P527" s="65" t="str">
        <f t="shared" ca="1" si="70"/>
        <v/>
      </c>
      <c r="Q527" s="2"/>
      <c r="R527" s="2"/>
      <c r="S527" s="1" t="str">
        <f t="shared" si="71"/>
        <v/>
      </c>
      <c r="T527" s="1" t="str">
        <f>IF(OR($C527="",$D527&lt;&gt;"Gelir",$L527=""),"",IFERROR(INDEX(MUSTERILER!$B$7:$B$156,MATCH($S527,MUSTERILER!$T$7:$T$156,0)),""))</f>
        <v/>
      </c>
      <c r="U527" s="1" t="str">
        <f>IF($T527="","",$T527&amp;"|"&amp;COUNTIFS($T$7:$T527,$T527))</f>
        <v/>
      </c>
      <c r="V527" s="1">
        <f t="shared" si="72"/>
        <v>0</v>
      </c>
      <c r="W527" s="1" t="str">
        <f t="shared" si="73"/>
        <v/>
      </c>
      <c r="X527" s="1"/>
      <c r="Y527" s="1"/>
      <c r="Z527" s="1"/>
      <c r="AA527" s="1"/>
      <c r="AB527" s="1"/>
      <c r="AC527" s="1"/>
      <c r="AD527" s="1">
        <f>IF($C527="",0,SUMPRODUCT((AY_SONU!$O$7:$O$42="Evet")*(AY_SONU!$B$7:$B$42=DATE(YEAR($C527),MONTH($C527),1))))</f>
        <v>0</v>
      </c>
      <c r="AE527" s="1" t="str">
        <f>IF($E527="","",$E527&amp;"|"&amp;COUNTIFS($E$7:$E527,$E527))</f>
        <v/>
      </c>
    </row>
    <row r="528" spans="1:31" ht="18" customHeight="1" x14ac:dyDescent="0.3">
      <c r="A528" s="2"/>
      <c r="B528" s="65" t="str">
        <f t="shared" si="66"/>
        <v/>
      </c>
      <c r="C528" s="66"/>
      <c r="D528" s="60"/>
      <c r="E528" s="61"/>
      <c r="F528" s="61"/>
      <c r="G528" s="67"/>
      <c r="H528" s="60"/>
      <c r="I528" s="60"/>
      <c r="J528" s="61"/>
      <c r="K528" s="61"/>
      <c r="L528" s="60"/>
      <c r="M528" s="74" t="str">
        <f t="shared" si="67"/>
        <v/>
      </c>
      <c r="N528" s="74" t="str">
        <f t="shared" si="68"/>
        <v/>
      </c>
      <c r="O528" s="73" t="str">
        <f t="shared" si="69"/>
        <v/>
      </c>
      <c r="P528" s="65" t="str">
        <f t="shared" ca="1" si="70"/>
        <v/>
      </c>
      <c r="Q528" s="2"/>
      <c r="R528" s="2"/>
      <c r="S528" s="1" t="str">
        <f t="shared" si="71"/>
        <v/>
      </c>
      <c r="T528" s="1" t="str">
        <f>IF(OR($C528="",$D528&lt;&gt;"Gelir",$L528=""),"",IFERROR(INDEX(MUSTERILER!$B$7:$B$156,MATCH($S528,MUSTERILER!$T$7:$T$156,0)),""))</f>
        <v/>
      </c>
      <c r="U528" s="1" t="str">
        <f>IF($T528="","",$T528&amp;"|"&amp;COUNTIFS($T$7:$T528,$T528))</f>
        <v/>
      </c>
      <c r="V528" s="1">
        <f t="shared" si="72"/>
        <v>0</v>
      </c>
      <c r="W528" s="1" t="str">
        <f t="shared" si="73"/>
        <v/>
      </c>
      <c r="X528" s="1"/>
      <c r="Y528" s="1"/>
      <c r="Z528" s="1"/>
      <c r="AA528" s="1"/>
      <c r="AB528" s="1"/>
      <c r="AC528" s="1"/>
      <c r="AD528" s="1">
        <f>IF($C528="",0,SUMPRODUCT((AY_SONU!$O$7:$O$42="Evet")*(AY_SONU!$B$7:$B$42=DATE(YEAR($C528),MONTH($C528),1))))</f>
        <v>0</v>
      </c>
      <c r="AE528" s="1" t="str">
        <f>IF($E528="","",$E528&amp;"|"&amp;COUNTIFS($E$7:$E528,$E528))</f>
        <v/>
      </c>
    </row>
    <row r="529" spans="1:31" ht="18" customHeight="1" x14ac:dyDescent="0.3">
      <c r="A529" s="2"/>
      <c r="B529" s="65" t="str">
        <f t="shared" si="66"/>
        <v/>
      </c>
      <c r="C529" s="66"/>
      <c r="D529" s="60"/>
      <c r="E529" s="61"/>
      <c r="F529" s="61"/>
      <c r="G529" s="67"/>
      <c r="H529" s="60"/>
      <c r="I529" s="60"/>
      <c r="J529" s="61"/>
      <c r="K529" s="61"/>
      <c r="L529" s="60"/>
      <c r="M529" s="74" t="str">
        <f t="shared" si="67"/>
        <v/>
      </c>
      <c r="N529" s="74" t="str">
        <f t="shared" si="68"/>
        <v/>
      </c>
      <c r="O529" s="73" t="str">
        <f t="shared" si="69"/>
        <v/>
      </c>
      <c r="P529" s="65" t="str">
        <f t="shared" ca="1" si="70"/>
        <v/>
      </c>
      <c r="Q529" s="2"/>
      <c r="R529" s="2"/>
      <c r="S529" s="1" t="str">
        <f t="shared" si="71"/>
        <v/>
      </c>
      <c r="T529" s="1" t="str">
        <f>IF(OR($C529="",$D529&lt;&gt;"Gelir",$L529=""),"",IFERROR(INDEX(MUSTERILER!$B$7:$B$156,MATCH($S529,MUSTERILER!$T$7:$T$156,0)),""))</f>
        <v/>
      </c>
      <c r="U529" s="1" t="str">
        <f>IF($T529="","",$T529&amp;"|"&amp;COUNTIFS($T$7:$T529,$T529))</f>
        <v/>
      </c>
      <c r="V529" s="1">
        <f t="shared" si="72"/>
        <v>0</v>
      </c>
      <c r="W529" s="1" t="str">
        <f t="shared" si="73"/>
        <v/>
      </c>
      <c r="X529" s="1"/>
      <c r="Y529" s="1"/>
      <c r="Z529" s="1"/>
      <c r="AA529" s="1"/>
      <c r="AB529" s="1"/>
      <c r="AC529" s="1"/>
      <c r="AD529" s="1">
        <f>IF($C529="",0,SUMPRODUCT((AY_SONU!$O$7:$O$42="Evet")*(AY_SONU!$B$7:$B$42=DATE(YEAR($C529),MONTH($C529),1))))</f>
        <v>0</v>
      </c>
      <c r="AE529" s="1" t="str">
        <f>IF($E529="","",$E529&amp;"|"&amp;COUNTIFS($E$7:$E529,$E529))</f>
        <v/>
      </c>
    </row>
    <row r="530" spans="1:31" ht="18" customHeight="1" x14ac:dyDescent="0.3">
      <c r="A530" s="2"/>
      <c r="B530" s="65" t="str">
        <f t="shared" si="66"/>
        <v/>
      </c>
      <c r="C530" s="66"/>
      <c r="D530" s="60"/>
      <c r="E530" s="61"/>
      <c r="F530" s="61"/>
      <c r="G530" s="67"/>
      <c r="H530" s="60"/>
      <c r="I530" s="60"/>
      <c r="J530" s="61"/>
      <c r="K530" s="61"/>
      <c r="L530" s="60"/>
      <c r="M530" s="74" t="str">
        <f t="shared" si="67"/>
        <v/>
      </c>
      <c r="N530" s="74" t="str">
        <f t="shared" si="68"/>
        <v/>
      </c>
      <c r="O530" s="73" t="str">
        <f t="shared" si="69"/>
        <v/>
      </c>
      <c r="P530" s="65" t="str">
        <f t="shared" ca="1" si="70"/>
        <v/>
      </c>
      <c r="Q530" s="2"/>
      <c r="R530" s="2"/>
      <c r="S530" s="1" t="str">
        <f t="shared" si="71"/>
        <v/>
      </c>
      <c r="T530" s="1" t="str">
        <f>IF(OR($C530="",$D530&lt;&gt;"Gelir",$L530=""),"",IFERROR(INDEX(MUSTERILER!$B$7:$B$156,MATCH($S530,MUSTERILER!$T$7:$T$156,0)),""))</f>
        <v/>
      </c>
      <c r="U530" s="1" t="str">
        <f>IF($T530="","",$T530&amp;"|"&amp;COUNTIFS($T$7:$T530,$T530))</f>
        <v/>
      </c>
      <c r="V530" s="1">
        <f t="shared" si="72"/>
        <v>0</v>
      </c>
      <c r="W530" s="1" t="str">
        <f t="shared" si="73"/>
        <v/>
      </c>
      <c r="X530" s="1"/>
      <c r="Y530" s="1"/>
      <c r="Z530" s="1"/>
      <c r="AA530" s="1"/>
      <c r="AB530" s="1"/>
      <c r="AC530" s="1"/>
      <c r="AD530" s="1">
        <f>IF($C530="",0,SUMPRODUCT((AY_SONU!$O$7:$O$42="Evet")*(AY_SONU!$B$7:$B$42=DATE(YEAR($C530),MONTH($C530),1))))</f>
        <v>0</v>
      </c>
      <c r="AE530" s="1" t="str">
        <f>IF($E530="","",$E530&amp;"|"&amp;COUNTIFS($E$7:$E530,$E530))</f>
        <v/>
      </c>
    </row>
    <row r="531" spans="1:31" ht="18" customHeight="1" x14ac:dyDescent="0.3">
      <c r="A531" s="2"/>
      <c r="B531" s="65" t="str">
        <f t="shared" si="66"/>
        <v/>
      </c>
      <c r="C531" s="66"/>
      <c r="D531" s="60"/>
      <c r="E531" s="61"/>
      <c r="F531" s="61"/>
      <c r="G531" s="67"/>
      <c r="H531" s="60"/>
      <c r="I531" s="60"/>
      <c r="J531" s="61"/>
      <c r="K531" s="61"/>
      <c r="L531" s="60"/>
      <c r="M531" s="74" t="str">
        <f t="shared" si="67"/>
        <v/>
      </c>
      <c r="N531" s="74" t="str">
        <f t="shared" si="68"/>
        <v/>
      </c>
      <c r="O531" s="73" t="str">
        <f t="shared" si="69"/>
        <v/>
      </c>
      <c r="P531" s="65" t="str">
        <f t="shared" ca="1" si="70"/>
        <v/>
      </c>
      <c r="Q531" s="2"/>
      <c r="R531" s="2"/>
      <c r="S531" s="1" t="str">
        <f t="shared" si="71"/>
        <v/>
      </c>
      <c r="T531" s="1" t="str">
        <f>IF(OR($C531="",$D531&lt;&gt;"Gelir",$L531=""),"",IFERROR(INDEX(MUSTERILER!$B$7:$B$156,MATCH($S531,MUSTERILER!$T$7:$T$156,0)),""))</f>
        <v/>
      </c>
      <c r="U531" s="1" t="str">
        <f>IF($T531="","",$T531&amp;"|"&amp;COUNTIFS($T$7:$T531,$T531))</f>
        <v/>
      </c>
      <c r="V531" s="1">
        <f t="shared" si="72"/>
        <v>0</v>
      </c>
      <c r="W531" s="1" t="str">
        <f t="shared" si="73"/>
        <v/>
      </c>
      <c r="X531" s="1"/>
      <c r="Y531" s="1"/>
      <c r="Z531" s="1"/>
      <c r="AA531" s="1"/>
      <c r="AB531" s="1"/>
      <c r="AC531" s="1"/>
      <c r="AD531" s="1">
        <f>IF($C531="",0,SUMPRODUCT((AY_SONU!$O$7:$O$42="Evet")*(AY_SONU!$B$7:$B$42=DATE(YEAR($C531),MONTH($C531),1))))</f>
        <v>0</v>
      </c>
      <c r="AE531" s="1" t="str">
        <f>IF($E531="","",$E531&amp;"|"&amp;COUNTIFS($E$7:$E531,$E531))</f>
        <v/>
      </c>
    </row>
    <row r="532" spans="1:31" ht="18" customHeight="1" x14ac:dyDescent="0.3">
      <c r="A532" s="2"/>
      <c r="B532" s="65" t="str">
        <f t="shared" si="66"/>
        <v/>
      </c>
      <c r="C532" s="66"/>
      <c r="D532" s="60"/>
      <c r="E532" s="61"/>
      <c r="F532" s="61"/>
      <c r="G532" s="67"/>
      <c r="H532" s="60"/>
      <c r="I532" s="60"/>
      <c r="J532" s="61"/>
      <c r="K532" s="61"/>
      <c r="L532" s="60"/>
      <c r="M532" s="74" t="str">
        <f t="shared" si="67"/>
        <v/>
      </c>
      <c r="N532" s="74" t="str">
        <f t="shared" si="68"/>
        <v/>
      </c>
      <c r="O532" s="73" t="str">
        <f t="shared" si="69"/>
        <v/>
      </c>
      <c r="P532" s="65" t="str">
        <f t="shared" ca="1" si="70"/>
        <v/>
      </c>
      <c r="Q532" s="2"/>
      <c r="R532" s="2"/>
      <c r="S532" s="1" t="str">
        <f t="shared" si="71"/>
        <v/>
      </c>
      <c r="T532" s="1" t="str">
        <f>IF(OR($C532="",$D532&lt;&gt;"Gelir",$L532=""),"",IFERROR(INDEX(MUSTERILER!$B$7:$B$156,MATCH($S532,MUSTERILER!$T$7:$T$156,0)),""))</f>
        <v/>
      </c>
      <c r="U532" s="1" t="str">
        <f>IF($T532="","",$T532&amp;"|"&amp;COUNTIFS($T$7:$T532,$T532))</f>
        <v/>
      </c>
      <c r="V532" s="1">
        <f t="shared" si="72"/>
        <v>0</v>
      </c>
      <c r="W532" s="1" t="str">
        <f t="shared" si="73"/>
        <v/>
      </c>
      <c r="X532" s="1"/>
      <c r="Y532" s="1"/>
      <c r="Z532" s="1"/>
      <c r="AA532" s="1"/>
      <c r="AB532" s="1"/>
      <c r="AC532" s="1"/>
      <c r="AD532" s="1">
        <f>IF($C532="",0,SUMPRODUCT((AY_SONU!$O$7:$O$42="Evet")*(AY_SONU!$B$7:$B$42=DATE(YEAR($C532),MONTH($C532),1))))</f>
        <v>0</v>
      </c>
      <c r="AE532" s="1" t="str">
        <f>IF($E532="","",$E532&amp;"|"&amp;COUNTIFS($E$7:$E532,$E532))</f>
        <v/>
      </c>
    </row>
    <row r="533" spans="1:31" ht="18" customHeight="1" x14ac:dyDescent="0.3">
      <c r="A533" s="2"/>
      <c r="B533" s="65" t="str">
        <f t="shared" si="66"/>
        <v/>
      </c>
      <c r="C533" s="66"/>
      <c r="D533" s="60"/>
      <c r="E533" s="61"/>
      <c r="F533" s="61"/>
      <c r="G533" s="67"/>
      <c r="H533" s="60"/>
      <c r="I533" s="60"/>
      <c r="J533" s="61"/>
      <c r="K533" s="61"/>
      <c r="L533" s="60"/>
      <c r="M533" s="74" t="str">
        <f t="shared" si="67"/>
        <v/>
      </c>
      <c r="N533" s="74" t="str">
        <f t="shared" si="68"/>
        <v/>
      </c>
      <c r="O533" s="73" t="str">
        <f t="shared" si="69"/>
        <v/>
      </c>
      <c r="P533" s="65" t="str">
        <f t="shared" ca="1" si="70"/>
        <v/>
      </c>
      <c r="Q533" s="2"/>
      <c r="R533" s="2"/>
      <c r="S533" s="1" t="str">
        <f t="shared" si="71"/>
        <v/>
      </c>
      <c r="T533" s="1" t="str">
        <f>IF(OR($C533="",$D533&lt;&gt;"Gelir",$L533=""),"",IFERROR(INDEX(MUSTERILER!$B$7:$B$156,MATCH($S533,MUSTERILER!$T$7:$T$156,0)),""))</f>
        <v/>
      </c>
      <c r="U533" s="1" t="str">
        <f>IF($T533="","",$T533&amp;"|"&amp;COUNTIFS($T$7:$T533,$T533))</f>
        <v/>
      </c>
      <c r="V533" s="1">
        <f t="shared" si="72"/>
        <v>0</v>
      </c>
      <c r="W533" s="1" t="str">
        <f t="shared" si="73"/>
        <v/>
      </c>
      <c r="X533" s="1"/>
      <c r="Y533" s="1"/>
      <c r="Z533" s="1"/>
      <c r="AA533" s="1"/>
      <c r="AB533" s="1"/>
      <c r="AC533" s="1"/>
      <c r="AD533" s="1">
        <f>IF($C533="",0,SUMPRODUCT((AY_SONU!$O$7:$O$42="Evet")*(AY_SONU!$B$7:$B$42=DATE(YEAR($C533),MONTH($C533),1))))</f>
        <v>0</v>
      </c>
      <c r="AE533" s="1" t="str">
        <f>IF($E533="","",$E533&amp;"|"&amp;COUNTIFS($E$7:$E533,$E533))</f>
        <v/>
      </c>
    </row>
    <row r="534" spans="1:31" ht="18" customHeight="1" x14ac:dyDescent="0.3">
      <c r="A534" s="2"/>
      <c r="B534" s="65" t="str">
        <f t="shared" si="66"/>
        <v/>
      </c>
      <c r="C534" s="66"/>
      <c r="D534" s="60"/>
      <c r="E534" s="61"/>
      <c r="F534" s="61"/>
      <c r="G534" s="67"/>
      <c r="H534" s="60"/>
      <c r="I534" s="60"/>
      <c r="J534" s="61"/>
      <c r="K534" s="61"/>
      <c r="L534" s="60"/>
      <c r="M534" s="74" t="str">
        <f t="shared" si="67"/>
        <v/>
      </c>
      <c r="N534" s="74" t="str">
        <f t="shared" si="68"/>
        <v/>
      </c>
      <c r="O534" s="73" t="str">
        <f t="shared" si="69"/>
        <v/>
      </c>
      <c r="P534" s="65" t="str">
        <f t="shared" ca="1" si="70"/>
        <v/>
      </c>
      <c r="Q534" s="2"/>
      <c r="R534" s="2"/>
      <c r="S534" s="1" t="str">
        <f t="shared" si="71"/>
        <v/>
      </c>
      <c r="T534" s="1" t="str">
        <f>IF(OR($C534="",$D534&lt;&gt;"Gelir",$L534=""),"",IFERROR(INDEX(MUSTERILER!$B$7:$B$156,MATCH($S534,MUSTERILER!$T$7:$T$156,0)),""))</f>
        <v/>
      </c>
      <c r="U534" s="1" t="str">
        <f>IF($T534="","",$T534&amp;"|"&amp;COUNTIFS($T$7:$T534,$T534))</f>
        <v/>
      </c>
      <c r="V534" s="1">
        <f t="shared" si="72"/>
        <v>0</v>
      </c>
      <c r="W534" s="1" t="str">
        <f t="shared" si="73"/>
        <v/>
      </c>
      <c r="X534" s="1"/>
      <c r="Y534" s="1"/>
      <c r="Z534" s="1"/>
      <c r="AA534" s="1"/>
      <c r="AB534" s="1"/>
      <c r="AC534" s="1"/>
      <c r="AD534" s="1">
        <f>IF($C534="",0,SUMPRODUCT((AY_SONU!$O$7:$O$42="Evet")*(AY_SONU!$B$7:$B$42=DATE(YEAR($C534),MONTH($C534),1))))</f>
        <v>0</v>
      </c>
      <c r="AE534" s="1" t="str">
        <f>IF($E534="","",$E534&amp;"|"&amp;COUNTIFS($E$7:$E534,$E534))</f>
        <v/>
      </c>
    </row>
    <row r="535" spans="1:31" ht="18" customHeight="1" x14ac:dyDescent="0.3">
      <c r="A535" s="2"/>
      <c r="B535" s="65" t="str">
        <f t="shared" si="66"/>
        <v/>
      </c>
      <c r="C535" s="66"/>
      <c r="D535" s="60"/>
      <c r="E535" s="61"/>
      <c r="F535" s="61"/>
      <c r="G535" s="67"/>
      <c r="H535" s="60"/>
      <c r="I535" s="60"/>
      <c r="J535" s="61"/>
      <c r="K535" s="61"/>
      <c r="L535" s="60"/>
      <c r="M535" s="74" t="str">
        <f t="shared" si="67"/>
        <v/>
      </c>
      <c r="N535" s="74" t="str">
        <f t="shared" si="68"/>
        <v/>
      </c>
      <c r="O535" s="73" t="str">
        <f t="shared" si="69"/>
        <v/>
      </c>
      <c r="P535" s="65" t="str">
        <f t="shared" ca="1" si="70"/>
        <v/>
      </c>
      <c r="Q535" s="2"/>
      <c r="R535" s="2"/>
      <c r="S535" s="1" t="str">
        <f t="shared" si="71"/>
        <v/>
      </c>
      <c r="T535" s="1" t="str">
        <f>IF(OR($C535="",$D535&lt;&gt;"Gelir",$L535=""),"",IFERROR(INDEX(MUSTERILER!$B$7:$B$156,MATCH($S535,MUSTERILER!$T$7:$T$156,0)),""))</f>
        <v/>
      </c>
      <c r="U535" s="1" t="str">
        <f>IF($T535="","",$T535&amp;"|"&amp;COUNTIFS($T$7:$T535,$T535))</f>
        <v/>
      </c>
      <c r="V535" s="1">
        <f t="shared" si="72"/>
        <v>0</v>
      </c>
      <c r="W535" s="1" t="str">
        <f t="shared" si="73"/>
        <v/>
      </c>
      <c r="X535" s="1"/>
      <c r="Y535" s="1"/>
      <c r="Z535" s="1"/>
      <c r="AA535" s="1"/>
      <c r="AB535" s="1"/>
      <c r="AC535" s="1"/>
      <c r="AD535" s="1">
        <f>IF($C535="",0,SUMPRODUCT((AY_SONU!$O$7:$O$42="Evet")*(AY_SONU!$B$7:$B$42=DATE(YEAR($C535),MONTH($C535),1))))</f>
        <v>0</v>
      </c>
      <c r="AE535" s="1" t="str">
        <f>IF($E535="","",$E535&amp;"|"&amp;COUNTIFS($E$7:$E535,$E535))</f>
        <v/>
      </c>
    </row>
    <row r="536" spans="1:31" ht="18" customHeight="1" x14ac:dyDescent="0.3">
      <c r="A536" s="2"/>
      <c r="B536" s="65" t="str">
        <f t="shared" si="66"/>
        <v/>
      </c>
      <c r="C536" s="66"/>
      <c r="D536" s="60"/>
      <c r="E536" s="61"/>
      <c r="F536" s="61"/>
      <c r="G536" s="67"/>
      <c r="H536" s="60"/>
      <c r="I536" s="60"/>
      <c r="J536" s="61"/>
      <c r="K536" s="61"/>
      <c r="L536" s="60"/>
      <c r="M536" s="74" t="str">
        <f t="shared" si="67"/>
        <v/>
      </c>
      <c r="N536" s="74" t="str">
        <f t="shared" si="68"/>
        <v/>
      </c>
      <c r="O536" s="73" t="str">
        <f t="shared" si="69"/>
        <v/>
      </c>
      <c r="P536" s="65" t="str">
        <f t="shared" ca="1" si="70"/>
        <v/>
      </c>
      <c r="Q536" s="2"/>
      <c r="R536" s="2"/>
      <c r="S536" s="1" t="str">
        <f t="shared" si="71"/>
        <v/>
      </c>
      <c r="T536" s="1" t="str">
        <f>IF(OR($C536="",$D536&lt;&gt;"Gelir",$L536=""),"",IFERROR(INDEX(MUSTERILER!$B$7:$B$156,MATCH($S536,MUSTERILER!$T$7:$T$156,0)),""))</f>
        <v/>
      </c>
      <c r="U536" s="1" t="str">
        <f>IF($T536="","",$T536&amp;"|"&amp;COUNTIFS($T$7:$T536,$T536))</f>
        <v/>
      </c>
      <c r="V536" s="1">
        <f t="shared" si="72"/>
        <v>0</v>
      </c>
      <c r="W536" s="1" t="str">
        <f t="shared" si="73"/>
        <v/>
      </c>
      <c r="X536" s="1"/>
      <c r="Y536" s="1"/>
      <c r="Z536" s="1"/>
      <c r="AA536" s="1"/>
      <c r="AB536" s="1"/>
      <c r="AC536" s="1"/>
      <c r="AD536" s="1">
        <f>IF($C536="",0,SUMPRODUCT((AY_SONU!$O$7:$O$42="Evet")*(AY_SONU!$B$7:$B$42=DATE(YEAR($C536),MONTH($C536),1))))</f>
        <v>0</v>
      </c>
      <c r="AE536" s="1" t="str">
        <f>IF($E536="","",$E536&amp;"|"&amp;COUNTIFS($E$7:$E536,$E536))</f>
        <v/>
      </c>
    </row>
    <row r="537" spans="1:31" ht="18" customHeight="1" x14ac:dyDescent="0.3">
      <c r="A537" s="2"/>
      <c r="B537" s="65" t="str">
        <f t="shared" si="66"/>
        <v/>
      </c>
      <c r="C537" s="66"/>
      <c r="D537" s="60"/>
      <c r="E537" s="61"/>
      <c r="F537" s="61"/>
      <c r="G537" s="67"/>
      <c r="H537" s="60"/>
      <c r="I537" s="60"/>
      <c r="J537" s="61"/>
      <c r="K537" s="61"/>
      <c r="L537" s="60"/>
      <c r="M537" s="74" t="str">
        <f t="shared" si="67"/>
        <v/>
      </c>
      <c r="N537" s="74" t="str">
        <f t="shared" si="68"/>
        <v/>
      </c>
      <c r="O537" s="73" t="str">
        <f t="shared" si="69"/>
        <v/>
      </c>
      <c r="P537" s="65" t="str">
        <f t="shared" ca="1" si="70"/>
        <v/>
      </c>
      <c r="Q537" s="2"/>
      <c r="R537" s="2"/>
      <c r="S537" s="1" t="str">
        <f t="shared" si="71"/>
        <v/>
      </c>
      <c r="T537" s="1" t="str">
        <f>IF(OR($C537="",$D537&lt;&gt;"Gelir",$L537=""),"",IFERROR(INDEX(MUSTERILER!$B$7:$B$156,MATCH($S537,MUSTERILER!$T$7:$T$156,0)),""))</f>
        <v/>
      </c>
      <c r="U537" s="1" t="str">
        <f>IF($T537="","",$T537&amp;"|"&amp;COUNTIFS($T$7:$T537,$T537))</f>
        <v/>
      </c>
      <c r="V537" s="1">
        <f t="shared" si="72"/>
        <v>0</v>
      </c>
      <c r="W537" s="1" t="str">
        <f t="shared" si="73"/>
        <v/>
      </c>
      <c r="X537" s="1"/>
      <c r="Y537" s="1"/>
      <c r="Z537" s="1"/>
      <c r="AA537" s="1"/>
      <c r="AB537" s="1"/>
      <c r="AC537" s="1"/>
      <c r="AD537" s="1">
        <f>IF($C537="",0,SUMPRODUCT((AY_SONU!$O$7:$O$42="Evet")*(AY_SONU!$B$7:$B$42=DATE(YEAR($C537),MONTH($C537),1))))</f>
        <v>0</v>
      </c>
      <c r="AE537" s="1" t="str">
        <f>IF($E537="","",$E537&amp;"|"&amp;COUNTIFS($E$7:$E537,$E537))</f>
        <v/>
      </c>
    </row>
    <row r="538" spans="1:31" ht="18" customHeight="1" x14ac:dyDescent="0.3">
      <c r="A538" s="2"/>
      <c r="B538" s="65" t="str">
        <f t="shared" si="66"/>
        <v/>
      </c>
      <c r="C538" s="66"/>
      <c r="D538" s="60"/>
      <c r="E538" s="61"/>
      <c r="F538" s="61"/>
      <c r="G538" s="67"/>
      <c r="H538" s="60"/>
      <c r="I538" s="60"/>
      <c r="J538" s="61"/>
      <c r="K538" s="61"/>
      <c r="L538" s="60"/>
      <c r="M538" s="74" t="str">
        <f t="shared" si="67"/>
        <v/>
      </c>
      <c r="N538" s="74" t="str">
        <f t="shared" si="68"/>
        <v/>
      </c>
      <c r="O538" s="73" t="str">
        <f t="shared" si="69"/>
        <v/>
      </c>
      <c r="P538" s="65" t="str">
        <f t="shared" ca="1" si="70"/>
        <v/>
      </c>
      <c r="Q538" s="2"/>
      <c r="R538" s="2"/>
      <c r="S538" s="1" t="str">
        <f t="shared" si="71"/>
        <v/>
      </c>
      <c r="T538" s="1" t="str">
        <f>IF(OR($C538="",$D538&lt;&gt;"Gelir",$L538=""),"",IFERROR(INDEX(MUSTERILER!$B$7:$B$156,MATCH($S538,MUSTERILER!$T$7:$T$156,0)),""))</f>
        <v/>
      </c>
      <c r="U538" s="1" t="str">
        <f>IF($T538="","",$T538&amp;"|"&amp;COUNTIFS($T$7:$T538,$T538))</f>
        <v/>
      </c>
      <c r="V538" s="1">
        <f t="shared" si="72"/>
        <v>0</v>
      </c>
      <c r="W538" s="1" t="str">
        <f t="shared" si="73"/>
        <v/>
      </c>
      <c r="X538" s="1"/>
      <c r="Y538" s="1"/>
      <c r="Z538" s="1"/>
      <c r="AA538" s="1"/>
      <c r="AB538" s="1"/>
      <c r="AC538" s="1"/>
      <c r="AD538" s="1">
        <f>IF($C538="",0,SUMPRODUCT((AY_SONU!$O$7:$O$42="Evet")*(AY_SONU!$B$7:$B$42=DATE(YEAR($C538),MONTH($C538),1))))</f>
        <v>0</v>
      </c>
      <c r="AE538" s="1" t="str">
        <f>IF($E538="","",$E538&amp;"|"&amp;COUNTIFS($E$7:$E538,$E538))</f>
        <v/>
      </c>
    </row>
    <row r="539" spans="1:31" ht="18" customHeight="1" x14ac:dyDescent="0.3">
      <c r="A539" s="2"/>
      <c r="B539" s="65" t="str">
        <f t="shared" si="66"/>
        <v/>
      </c>
      <c r="C539" s="66"/>
      <c r="D539" s="60"/>
      <c r="E539" s="61"/>
      <c r="F539" s="61"/>
      <c r="G539" s="67"/>
      <c r="H539" s="60"/>
      <c r="I539" s="60"/>
      <c r="J539" s="61"/>
      <c r="K539" s="61"/>
      <c r="L539" s="60"/>
      <c r="M539" s="74" t="str">
        <f t="shared" si="67"/>
        <v/>
      </c>
      <c r="N539" s="74" t="str">
        <f t="shared" si="68"/>
        <v/>
      </c>
      <c r="O539" s="73" t="str">
        <f t="shared" si="69"/>
        <v/>
      </c>
      <c r="P539" s="65" t="str">
        <f t="shared" ca="1" si="70"/>
        <v/>
      </c>
      <c r="Q539" s="2"/>
      <c r="R539" s="2"/>
      <c r="S539" s="1" t="str">
        <f t="shared" si="71"/>
        <v/>
      </c>
      <c r="T539" s="1" t="str">
        <f>IF(OR($C539="",$D539&lt;&gt;"Gelir",$L539=""),"",IFERROR(INDEX(MUSTERILER!$B$7:$B$156,MATCH($S539,MUSTERILER!$T$7:$T$156,0)),""))</f>
        <v/>
      </c>
      <c r="U539" s="1" t="str">
        <f>IF($T539="","",$T539&amp;"|"&amp;COUNTIFS($T$7:$T539,$T539))</f>
        <v/>
      </c>
      <c r="V539" s="1">
        <f t="shared" si="72"/>
        <v>0</v>
      </c>
      <c r="W539" s="1" t="str">
        <f t="shared" si="73"/>
        <v/>
      </c>
      <c r="X539" s="1"/>
      <c r="Y539" s="1"/>
      <c r="Z539" s="1"/>
      <c r="AA539" s="1"/>
      <c r="AB539" s="1"/>
      <c r="AC539" s="1"/>
      <c r="AD539" s="1">
        <f>IF($C539="",0,SUMPRODUCT((AY_SONU!$O$7:$O$42="Evet")*(AY_SONU!$B$7:$B$42=DATE(YEAR($C539),MONTH($C539),1))))</f>
        <v>0</v>
      </c>
      <c r="AE539" s="1" t="str">
        <f>IF($E539="","",$E539&amp;"|"&amp;COUNTIFS($E$7:$E539,$E539))</f>
        <v/>
      </c>
    </row>
    <row r="540" spans="1:31" ht="18" customHeight="1" x14ac:dyDescent="0.3">
      <c r="A540" s="2"/>
      <c r="B540" s="65" t="str">
        <f t="shared" si="66"/>
        <v/>
      </c>
      <c r="C540" s="66"/>
      <c r="D540" s="60"/>
      <c r="E540" s="61"/>
      <c r="F540" s="61"/>
      <c r="G540" s="67"/>
      <c r="H540" s="60"/>
      <c r="I540" s="60"/>
      <c r="J540" s="61"/>
      <c r="K540" s="61"/>
      <c r="L540" s="60"/>
      <c r="M540" s="74" t="str">
        <f t="shared" si="67"/>
        <v/>
      </c>
      <c r="N540" s="74" t="str">
        <f t="shared" si="68"/>
        <v/>
      </c>
      <c r="O540" s="73" t="str">
        <f t="shared" si="69"/>
        <v/>
      </c>
      <c r="P540" s="65" t="str">
        <f t="shared" ca="1" si="70"/>
        <v/>
      </c>
      <c r="Q540" s="2"/>
      <c r="R540" s="2"/>
      <c r="S540" s="1" t="str">
        <f t="shared" si="71"/>
        <v/>
      </c>
      <c r="T540" s="1" t="str">
        <f>IF(OR($C540="",$D540&lt;&gt;"Gelir",$L540=""),"",IFERROR(INDEX(MUSTERILER!$B$7:$B$156,MATCH($S540,MUSTERILER!$T$7:$T$156,0)),""))</f>
        <v/>
      </c>
      <c r="U540" s="1" t="str">
        <f>IF($T540="","",$T540&amp;"|"&amp;COUNTIFS($T$7:$T540,$T540))</f>
        <v/>
      </c>
      <c r="V540" s="1">
        <f t="shared" si="72"/>
        <v>0</v>
      </c>
      <c r="W540" s="1" t="str">
        <f t="shared" si="73"/>
        <v/>
      </c>
      <c r="X540" s="1"/>
      <c r="Y540" s="1"/>
      <c r="Z540" s="1"/>
      <c r="AA540" s="1"/>
      <c r="AB540" s="1"/>
      <c r="AC540" s="1"/>
      <c r="AD540" s="1">
        <f>IF($C540="",0,SUMPRODUCT((AY_SONU!$O$7:$O$42="Evet")*(AY_SONU!$B$7:$B$42=DATE(YEAR($C540),MONTH($C540),1))))</f>
        <v>0</v>
      </c>
      <c r="AE540" s="1" t="str">
        <f>IF($E540="","",$E540&amp;"|"&amp;COUNTIFS($E$7:$E540,$E540))</f>
        <v/>
      </c>
    </row>
    <row r="541" spans="1:31" ht="18" customHeight="1" x14ac:dyDescent="0.3">
      <c r="A541" s="2"/>
      <c r="B541" s="65" t="str">
        <f t="shared" si="66"/>
        <v/>
      </c>
      <c r="C541" s="66"/>
      <c r="D541" s="60"/>
      <c r="E541" s="61"/>
      <c r="F541" s="61"/>
      <c r="G541" s="67"/>
      <c r="H541" s="60"/>
      <c r="I541" s="60"/>
      <c r="J541" s="61"/>
      <c r="K541" s="61"/>
      <c r="L541" s="60"/>
      <c r="M541" s="74" t="str">
        <f t="shared" si="67"/>
        <v/>
      </c>
      <c r="N541" s="74" t="str">
        <f t="shared" si="68"/>
        <v/>
      </c>
      <c r="O541" s="73" t="str">
        <f t="shared" si="69"/>
        <v/>
      </c>
      <c r="P541" s="65" t="str">
        <f t="shared" ca="1" si="70"/>
        <v/>
      </c>
      <c r="Q541" s="2"/>
      <c r="R541" s="2"/>
      <c r="S541" s="1" t="str">
        <f t="shared" si="71"/>
        <v/>
      </c>
      <c r="T541" s="1" t="str">
        <f>IF(OR($C541="",$D541&lt;&gt;"Gelir",$L541=""),"",IFERROR(INDEX(MUSTERILER!$B$7:$B$156,MATCH($S541,MUSTERILER!$T$7:$T$156,0)),""))</f>
        <v/>
      </c>
      <c r="U541" s="1" t="str">
        <f>IF($T541="","",$T541&amp;"|"&amp;COUNTIFS($T$7:$T541,$T541))</f>
        <v/>
      </c>
      <c r="V541" s="1">
        <f t="shared" si="72"/>
        <v>0</v>
      </c>
      <c r="W541" s="1" t="str">
        <f t="shared" si="73"/>
        <v/>
      </c>
      <c r="X541" s="1"/>
      <c r="Y541" s="1"/>
      <c r="Z541" s="1"/>
      <c r="AA541" s="1"/>
      <c r="AB541" s="1"/>
      <c r="AC541" s="1"/>
      <c r="AD541" s="1">
        <f>IF($C541="",0,SUMPRODUCT((AY_SONU!$O$7:$O$42="Evet")*(AY_SONU!$B$7:$B$42=DATE(YEAR($C541),MONTH($C541),1))))</f>
        <v>0</v>
      </c>
      <c r="AE541" s="1" t="str">
        <f>IF($E541="","",$E541&amp;"|"&amp;COUNTIFS($E$7:$E541,$E541))</f>
        <v/>
      </c>
    </row>
    <row r="542" spans="1:31" ht="18" customHeight="1" x14ac:dyDescent="0.3">
      <c r="A542" s="2"/>
      <c r="B542" s="65" t="str">
        <f t="shared" si="66"/>
        <v/>
      </c>
      <c r="C542" s="66"/>
      <c r="D542" s="60"/>
      <c r="E542" s="61"/>
      <c r="F542" s="61"/>
      <c r="G542" s="67"/>
      <c r="H542" s="60"/>
      <c r="I542" s="60"/>
      <c r="J542" s="61"/>
      <c r="K542" s="61"/>
      <c r="L542" s="60"/>
      <c r="M542" s="74" t="str">
        <f t="shared" si="67"/>
        <v/>
      </c>
      <c r="N542" s="74" t="str">
        <f t="shared" si="68"/>
        <v/>
      </c>
      <c r="O542" s="73" t="str">
        <f t="shared" si="69"/>
        <v/>
      </c>
      <c r="P542" s="65" t="str">
        <f t="shared" ca="1" si="70"/>
        <v/>
      </c>
      <c r="Q542" s="2"/>
      <c r="R542" s="2"/>
      <c r="S542" s="1" t="str">
        <f t="shared" si="71"/>
        <v/>
      </c>
      <c r="T542" s="1" t="str">
        <f>IF(OR($C542="",$D542&lt;&gt;"Gelir",$L542=""),"",IFERROR(INDEX(MUSTERILER!$B$7:$B$156,MATCH($S542,MUSTERILER!$T$7:$T$156,0)),""))</f>
        <v/>
      </c>
      <c r="U542" s="1" t="str">
        <f>IF($T542="","",$T542&amp;"|"&amp;COUNTIFS($T$7:$T542,$T542))</f>
        <v/>
      </c>
      <c r="V542" s="1">
        <f t="shared" si="72"/>
        <v>0</v>
      </c>
      <c r="W542" s="1" t="str">
        <f t="shared" si="73"/>
        <v/>
      </c>
      <c r="X542" s="1"/>
      <c r="Y542" s="1"/>
      <c r="Z542" s="1"/>
      <c r="AA542" s="1"/>
      <c r="AB542" s="1"/>
      <c r="AC542" s="1"/>
      <c r="AD542" s="1">
        <f>IF($C542="",0,SUMPRODUCT((AY_SONU!$O$7:$O$42="Evet")*(AY_SONU!$B$7:$B$42=DATE(YEAR($C542),MONTH($C542),1))))</f>
        <v>0</v>
      </c>
      <c r="AE542" s="1" t="str">
        <f>IF($E542="","",$E542&amp;"|"&amp;COUNTIFS($E$7:$E542,$E542))</f>
        <v/>
      </c>
    </row>
    <row r="543" spans="1:31" ht="18" customHeight="1" x14ac:dyDescent="0.3">
      <c r="A543" s="2"/>
      <c r="B543" s="65" t="str">
        <f t="shared" si="66"/>
        <v/>
      </c>
      <c r="C543" s="66"/>
      <c r="D543" s="60"/>
      <c r="E543" s="61"/>
      <c r="F543" s="61"/>
      <c r="G543" s="67"/>
      <c r="H543" s="60"/>
      <c r="I543" s="60"/>
      <c r="J543" s="61"/>
      <c r="K543" s="61"/>
      <c r="L543" s="60"/>
      <c r="M543" s="74" t="str">
        <f t="shared" si="67"/>
        <v/>
      </c>
      <c r="N543" s="74" t="str">
        <f t="shared" si="68"/>
        <v/>
      </c>
      <c r="O543" s="73" t="str">
        <f t="shared" si="69"/>
        <v/>
      </c>
      <c r="P543" s="65" t="str">
        <f t="shared" ca="1" si="70"/>
        <v/>
      </c>
      <c r="Q543" s="2"/>
      <c r="R543" s="2"/>
      <c r="S543" s="1" t="str">
        <f t="shared" si="71"/>
        <v/>
      </c>
      <c r="T543" s="1" t="str">
        <f>IF(OR($C543="",$D543&lt;&gt;"Gelir",$L543=""),"",IFERROR(INDEX(MUSTERILER!$B$7:$B$156,MATCH($S543,MUSTERILER!$T$7:$T$156,0)),""))</f>
        <v/>
      </c>
      <c r="U543" s="1" t="str">
        <f>IF($T543="","",$T543&amp;"|"&amp;COUNTIFS($T$7:$T543,$T543))</f>
        <v/>
      </c>
      <c r="V543" s="1">
        <f t="shared" si="72"/>
        <v>0</v>
      </c>
      <c r="W543" s="1" t="str">
        <f t="shared" si="73"/>
        <v/>
      </c>
      <c r="X543" s="1"/>
      <c r="Y543" s="1"/>
      <c r="Z543" s="1"/>
      <c r="AA543" s="1"/>
      <c r="AB543" s="1"/>
      <c r="AC543" s="1"/>
      <c r="AD543" s="1">
        <f>IF($C543="",0,SUMPRODUCT((AY_SONU!$O$7:$O$42="Evet")*(AY_SONU!$B$7:$B$42=DATE(YEAR($C543),MONTH($C543),1))))</f>
        <v>0</v>
      </c>
      <c r="AE543" s="1" t="str">
        <f>IF($E543="","",$E543&amp;"|"&amp;COUNTIFS($E$7:$E543,$E543))</f>
        <v/>
      </c>
    </row>
    <row r="544" spans="1:31" ht="18" customHeight="1" x14ac:dyDescent="0.3">
      <c r="A544" s="2"/>
      <c r="B544" s="65" t="str">
        <f t="shared" si="66"/>
        <v/>
      </c>
      <c r="C544" s="66"/>
      <c r="D544" s="60"/>
      <c r="E544" s="61"/>
      <c r="F544" s="61"/>
      <c r="G544" s="67"/>
      <c r="H544" s="60"/>
      <c r="I544" s="60"/>
      <c r="J544" s="61"/>
      <c r="K544" s="61"/>
      <c r="L544" s="60"/>
      <c r="M544" s="74" t="str">
        <f t="shared" si="67"/>
        <v/>
      </c>
      <c r="N544" s="74" t="str">
        <f t="shared" si="68"/>
        <v/>
      </c>
      <c r="O544" s="73" t="str">
        <f t="shared" si="69"/>
        <v/>
      </c>
      <c r="P544" s="65" t="str">
        <f t="shared" ca="1" si="70"/>
        <v/>
      </c>
      <c r="Q544" s="2"/>
      <c r="R544" s="2"/>
      <c r="S544" s="1" t="str">
        <f t="shared" si="71"/>
        <v/>
      </c>
      <c r="T544" s="1" t="str">
        <f>IF(OR($C544="",$D544&lt;&gt;"Gelir",$L544=""),"",IFERROR(INDEX(MUSTERILER!$B$7:$B$156,MATCH($S544,MUSTERILER!$T$7:$T$156,0)),""))</f>
        <v/>
      </c>
      <c r="U544" s="1" t="str">
        <f>IF($T544="","",$T544&amp;"|"&amp;COUNTIFS($T$7:$T544,$T544))</f>
        <v/>
      </c>
      <c r="V544" s="1">
        <f t="shared" si="72"/>
        <v>0</v>
      </c>
      <c r="W544" s="1" t="str">
        <f t="shared" si="73"/>
        <v/>
      </c>
      <c r="X544" s="1"/>
      <c r="Y544" s="1"/>
      <c r="Z544" s="1"/>
      <c r="AA544" s="1"/>
      <c r="AB544" s="1"/>
      <c r="AC544" s="1"/>
      <c r="AD544" s="1">
        <f>IF($C544="",0,SUMPRODUCT((AY_SONU!$O$7:$O$42="Evet")*(AY_SONU!$B$7:$B$42=DATE(YEAR($C544),MONTH($C544),1))))</f>
        <v>0</v>
      </c>
      <c r="AE544" s="1" t="str">
        <f>IF($E544="","",$E544&amp;"|"&amp;COUNTIFS($E$7:$E544,$E544))</f>
        <v/>
      </c>
    </row>
    <row r="545" spans="1:31" ht="18" customHeight="1" x14ac:dyDescent="0.3">
      <c r="A545" s="2"/>
      <c r="B545" s="65" t="str">
        <f t="shared" si="66"/>
        <v/>
      </c>
      <c r="C545" s="66"/>
      <c r="D545" s="60"/>
      <c r="E545" s="61"/>
      <c r="F545" s="61"/>
      <c r="G545" s="67"/>
      <c r="H545" s="60"/>
      <c r="I545" s="60"/>
      <c r="J545" s="61"/>
      <c r="K545" s="61"/>
      <c r="L545" s="60"/>
      <c r="M545" s="74" t="str">
        <f t="shared" si="67"/>
        <v/>
      </c>
      <c r="N545" s="74" t="str">
        <f t="shared" si="68"/>
        <v/>
      </c>
      <c r="O545" s="73" t="str">
        <f t="shared" si="69"/>
        <v/>
      </c>
      <c r="P545" s="65" t="str">
        <f t="shared" ca="1" si="70"/>
        <v/>
      </c>
      <c r="Q545" s="2"/>
      <c r="R545" s="2"/>
      <c r="S545" s="1" t="str">
        <f t="shared" si="71"/>
        <v/>
      </c>
      <c r="T545" s="1" t="str">
        <f>IF(OR($C545="",$D545&lt;&gt;"Gelir",$L545=""),"",IFERROR(INDEX(MUSTERILER!$B$7:$B$156,MATCH($S545,MUSTERILER!$T$7:$T$156,0)),""))</f>
        <v/>
      </c>
      <c r="U545" s="1" t="str">
        <f>IF($T545="","",$T545&amp;"|"&amp;COUNTIFS($T$7:$T545,$T545))</f>
        <v/>
      </c>
      <c r="V545" s="1">
        <f t="shared" si="72"/>
        <v>0</v>
      </c>
      <c r="W545" s="1" t="str">
        <f t="shared" si="73"/>
        <v/>
      </c>
      <c r="X545" s="1"/>
      <c r="Y545" s="1"/>
      <c r="Z545" s="1"/>
      <c r="AA545" s="1"/>
      <c r="AB545" s="1"/>
      <c r="AC545" s="1"/>
      <c r="AD545" s="1">
        <f>IF($C545="",0,SUMPRODUCT((AY_SONU!$O$7:$O$42="Evet")*(AY_SONU!$B$7:$B$42=DATE(YEAR($C545),MONTH($C545),1))))</f>
        <v>0</v>
      </c>
      <c r="AE545" s="1" t="str">
        <f>IF($E545="","",$E545&amp;"|"&amp;COUNTIFS($E$7:$E545,$E545))</f>
        <v/>
      </c>
    </row>
    <row r="546" spans="1:31" ht="18" customHeight="1" x14ac:dyDescent="0.3">
      <c r="A546" s="2"/>
      <c r="B546" s="65" t="str">
        <f t="shared" si="66"/>
        <v/>
      </c>
      <c r="C546" s="66"/>
      <c r="D546" s="60"/>
      <c r="E546" s="61"/>
      <c r="F546" s="61"/>
      <c r="G546" s="67"/>
      <c r="H546" s="60"/>
      <c r="I546" s="60"/>
      <c r="J546" s="61"/>
      <c r="K546" s="61"/>
      <c r="L546" s="60"/>
      <c r="M546" s="74" t="str">
        <f t="shared" si="67"/>
        <v/>
      </c>
      <c r="N546" s="74" t="str">
        <f t="shared" si="68"/>
        <v/>
      </c>
      <c r="O546" s="73" t="str">
        <f t="shared" si="69"/>
        <v/>
      </c>
      <c r="P546" s="65" t="str">
        <f t="shared" ca="1" si="70"/>
        <v/>
      </c>
      <c r="Q546" s="2"/>
      <c r="R546" s="2"/>
      <c r="S546" s="1" t="str">
        <f t="shared" si="71"/>
        <v/>
      </c>
      <c r="T546" s="1" t="str">
        <f>IF(OR($C546="",$D546&lt;&gt;"Gelir",$L546=""),"",IFERROR(INDEX(MUSTERILER!$B$7:$B$156,MATCH($S546,MUSTERILER!$T$7:$T$156,0)),""))</f>
        <v/>
      </c>
      <c r="U546" s="1" t="str">
        <f>IF($T546="","",$T546&amp;"|"&amp;COUNTIFS($T$7:$T546,$T546))</f>
        <v/>
      </c>
      <c r="V546" s="1">
        <f t="shared" si="72"/>
        <v>0</v>
      </c>
      <c r="W546" s="1" t="str">
        <f t="shared" si="73"/>
        <v/>
      </c>
      <c r="X546" s="1"/>
      <c r="Y546" s="1"/>
      <c r="Z546" s="1"/>
      <c r="AA546" s="1"/>
      <c r="AB546" s="1"/>
      <c r="AC546" s="1"/>
      <c r="AD546" s="1">
        <f>IF($C546="",0,SUMPRODUCT((AY_SONU!$O$7:$O$42="Evet")*(AY_SONU!$B$7:$B$42=DATE(YEAR($C546),MONTH($C546),1))))</f>
        <v>0</v>
      </c>
      <c r="AE546" s="1" t="str">
        <f>IF($E546="","",$E546&amp;"|"&amp;COUNTIFS($E$7:$E546,$E546))</f>
        <v/>
      </c>
    </row>
    <row r="547" spans="1:31" ht="18" customHeight="1" x14ac:dyDescent="0.3">
      <c r="A547" s="2"/>
      <c r="B547" s="65" t="str">
        <f t="shared" si="66"/>
        <v/>
      </c>
      <c r="C547" s="66"/>
      <c r="D547" s="60"/>
      <c r="E547" s="61"/>
      <c r="F547" s="61"/>
      <c r="G547" s="67"/>
      <c r="H547" s="60"/>
      <c r="I547" s="60"/>
      <c r="J547" s="61"/>
      <c r="K547" s="61"/>
      <c r="L547" s="60"/>
      <c r="M547" s="74" t="str">
        <f t="shared" si="67"/>
        <v/>
      </c>
      <c r="N547" s="74" t="str">
        <f t="shared" si="68"/>
        <v/>
      </c>
      <c r="O547" s="73" t="str">
        <f t="shared" si="69"/>
        <v/>
      </c>
      <c r="P547" s="65" t="str">
        <f t="shared" ca="1" si="70"/>
        <v/>
      </c>
      <c r="Q547" s="2"/>
      <c r="R547" s="2"/>
      <c r="S547" s="1" t="str">
        <f t="shared" si="71"/>
        <v/>
      </c>
      <c r="T547" s="1" t="str">
        <f>IF(OR($C547="",$D547&lt;&gt;"Gelir",$L547=""),"",IFERROR(INDEX(MUSTERILER!$B$7:$B$156,MATCH($S547,MUSTERILER!$T$7:$T$156,0)),""))</f>
        <v/>
      </c>
      <c r="U547" s="1" t="str">
        <f>IF($T547="","",$T547&amp;"|"&amp;COUNTIFS($T$7:$T547,$T547))</f>
        <v/>
      </c>
      <c r="V547" s="1">
        <f t="shared" si="72"/>
        <v>0</v>
      </c>
      <c r="W547" s="1" t="str">
        <f t="shared" si="73"/>
        <v/>
      </c>
      <c r="X547" s="1"/>
      <c r="Y547" s="1"/>
      <c r="Z547" s="1"/>
      <c r="AA547" s="1"/>
      <c r="AB547" s="1"/>
      <c r="AC547" s="1"/>
      <c r="AD547" s="1">
        <f>IF($C547="",0,SUMPRODUCT((AY_SONU!$O$7:$O$42="Evet")*(AY_SONU!$B$7:$B$42=DATE(YEAR($C547),MONTH($C547),1))))</f>
        <v>0</v>
      </c>
      <c r="AE547" s="1" t="str">
        <f>IF($E547="","",$E547&amp;"|"&amp;COUNTIFS($E$7:$E547,$E547))</f>
        <v/>
      </c>
    </row>
    <row r="548" spans="1:31" ht="18" customHeight="1" x14ac:dyDescent="0.3">
      <c r="A548" s="2"/>
      <c r="B548" s="65" t="str">
        <f t="shared" si="66"/>
        <v/>
      </c>
      <c r="C548" s="66"/>
      <c r="D548" s="60"/>
      <c r="E548" s="61"/>
      <c r="F548" s="61"/>
      <c r="G548" s="67"/>
      <c r="H548" s="60"/>
      <c r="I548" s="60"/>
      <c r="J548" s="61"/>
      <c r="K548" s="61"/>
      <c r="L548" s="60"/>
      <c r="M548" s="74" t="str">
        <f t="shared" si="67"/>
        <v/>
      </c>
      <c r="N548" s="74" t="str">
        <f t="shared" si="68"/>
        <v/>
      </c>
      <c r="O548" s="73" t="str">
        <f t="shared" si="69"/>
        <v/>
      </c>
      <c r="P548" s="65" t="str">
        <f t="shared" ca="1" si="70"/>
        <v/>
      </c>
      <c r="Q548" s="2"/>
      <c r="R548" s="2"/>
      <c r="S548" s="1" t="str">
        <f t="shared" si="71"/>
        <v/>
      </c>
      <c r="T548" s="1" t="str">
        <f>IF(OR($C548="",$D548&lt;&gt;"Gelir",$L548=""),"",IFERROR(INDEX(MUSTERILER!$B$7:$B$156,MATCH($S548,MUSTERILER!$T$7:$T$156,0)),""))</f>
        <v/>
      </c>
      <c r="U548" s="1" t="str">
        <f>IF($T548="","",$T548&amp;"|"&amp;COUNTIFS($T$7:$T548,$T548))</f>
        <v/>
      </c>
      <c r="V548" s="1">
        <f t="shared" si="72"/>
        <v>0</v>
      </c>
      <c r="W548" s="1" t="str">
        <f t="shared" si="73"/>
        <v/>
      </c>
      <c r="X548" s="1"/>
      <c r="Y548" s="1"/>
      <c r="Z548" s="1"/>
      <c r="AA548" s="1"/>
      <c r="AB548" s="1"/>
      <c r="AC548" s="1"/>
      <c r="AD548" s="1">
        <f>IF($C548="",0,SUMPRODUCT((AY_SONU!$O$7:$O$42="Evet")*(AY_SONU!$B$7:$B$42=DATE(YEAR($C548),MONTH($C548),1))))</f>
        <v>0</v>
      </c>
      <c r="AE548" s="1" t="str">
        <f>IF($E548="","",$E548&amp;"|"&amp;COUNTIFS($E$7:$E548,$E548))</f>
        <v/>
      </c>
    </row>
    <row r="549" spans="1:31" ht="18" customHeight="1" x14ac:dyDescent="0.3">
      <c r="A549" s="2"/>
      <c r="B549" s="65" t="str">
        <f t="shared" si="66"/>
        <v/>
      </c>
      <c r="C549" s="66"/>
      <c r="D549" s="60"/>
      <c r="E549" s="61"/>
      <c r="F549" s="61"/>
      <c r="G549" s="67"/>
      <c r="H549" s="60"/>
      <c r="I549" s="60"/>
      <c r="J549" s="61"/>
      <c r="K549" s="61"/>
      <c r="L549" s="60"/>
      <c r="M549" s="74" t="str">
        <f t="shared" si="67"/>
        <v/>
      </c>
      <c r="N549" s="74" t="str">
        <f t="shared" si="68"/>
        <v/>
      </c>
      <c r="O549" s="73" t="str">
        <f t="shared" si="69"/>
        <v/>
      </c>
      <c r="P549" s="65" t="str">
        <f t="shared" ca="1" si="70"/>
        <v/>
      </c>
      <c r="Q549" s="2"/>
      <c r="R549" s="2"/>
      <c r="S549" s="1" t="str">
        <f t="shared" si="71"/>
        <v/>
      </c>
      <c r="T549" s="1" t="str">
        <f>IF(OR($C549="",$D549&lt;&gt;"Gelir",$L549=""),"",IFERROR(INDEX(MUSTERILER!$B$7:$B$156,MATCH($S549,MUSTERILER!$T$7:$T$156,0)),""))</f>
        <v/>
      </c>
      <c r="U549" s="1" t="str">
        <f>IF($T549="","",$T549&amp;"|"&amp;COUNTIFS($T$7:$T549,$T549))</f>
        <v/>
      </c>
      <c r="V549" s="1">
        <f t="shared" si="72"/>
        <v>0</v>
      </c>
      <c r="W549" s="1" t="str">
        <f t="shared" si="73"/>
        <v/>
      </c>
      <c r="X549" s="1"/>
      <c r="Y549" s="1"/>
      <c r="Z549" s="1"/>
      <c r="AA549" s="1"/>
      <c r="AB549" s="1"/>
      <c r="AC549" s="1"/>
      <c r="AD549" s="1">
        <f>IF($C549="",0,SUMPRODUCT((AY_SONU!$O$7:$O$42="Evet")*(AY_SONU!$B$7:$B$42=DATE(YEAR($C549),MONTH($C549),1))))</f>
        <v>0</v>
      </c>
      <c r="AE549" s="1" t="str">
        <f>IF($E549="","",$E549&amp;"|"&amp;COUNTIFS($E$7:$E549,$E549))</f>
        <v/>
      </c>
    </row>
    <row r="550" spans="1:31" ht="18" customHeight="1" x14ac:dyDescent="0.3">
      <c r="A550" s="2"/>
      <c r="B550" s="65" t="str">
        <f t="shared" si="66"/>
        <v/>
      </c>
      <c r="C550" s="66"/>
      <c r="D550" s="60"/>
      <c r="E550" s="61"/>
      <c r="F550" s="61"/>
      <c r="G550" s="67"/>
      <c r="H550" s="60"/>
      <c r="I550" s="60"/>
      <c r="J550" s="61"/>
      <c r="K550" s="61"/>
      <c r="L550" s="60"/>
      <c r="M550" s="74" t="str">
        <f t="shared" si="67"/>
        <v/>
      </c>
      <c r="N550" s="74" t="str">
        <f t="shared" si="68"/>
        <v/>
      </c>
      <c r="O550" s="73" t="str">
        <f t="shared" si="69"/>
        <v/>
      </c>
      <c r="P550" s="65" t="str">
        <f t="shared" ca="1" si="70"/>
        <v/>
      </c>
      <c r="Q550" s="2"/>
      <c r="R550" s="2"/>
      <c r="S550" s="1" t="str">
        <f t="shared" si="71"/>
        <v/>
      </c>
      <c r="T550" s="1" t="str">
        <f>IF(OR($C550="",$D550&lt;&gt;"Gelir",$L550=""),"",IFERROR(INDEX(MUSTERILER!$B$7:$B$156,MATCH($S550,MUSTERILER!$T$7:$T$156,0)),""))</f>
        <v/>
      </c>
      <c r="U550" s="1" t="str">
        <f>IF($T550="","",$T550&amp;"|"&amp;COUNTIFS($T$7:$T550,$T550))</f>
        <v/>
      </c>
      <c r="V550" s="1">
        <f t="shared" si="72"/>
        <v>0</v>
      </c>
      <c r="W550" s="1" t="str">
        <f t="shared" si="73"/>
        <v/>
      </c>
      <c r="X550" s="1"/>
      <c r="Y550" s="1"/>
      <c r="Z550" s="1"/>
      <c r="AA550" s="1"/>
      <c r="AB550" s="1"/>
      <c r="AC550" s="1"/>
      <c r="AD550" s="1">
        <f>IF($C550="",0,SUMPRODUCT((AY_SONU!$O$7:$O$42="Evet")*(AY_SONU!$B$7:$B$42=DATE(YEAR($C550),MONTH($C550),1))))</f>
        <v>0</v>
      </c>
      <c r="AE550" s="1" t="str">
        <f>IF($E550="","",$E550&amp;"|"&amp;COUNTIFS($E$7:$E550,$E550))</f>
        <v/>
      </c>
    </row>
    <row r="551" spans="1:31" ht="18" customHeight="1" x14ac:dyDescent="0.3">
      <c r="A551" s="2"/>
      <c r="B551" s="65" t="str">
        <f t="shared" si="66"/>
        <v/>
      </c>
      <c r="C551" s="66"/>
      <c r="D551" s="60"/>
      <c r="E551" s="61"/>
      <c r="F551" s="61"/>
      <c r="G551" s="67"/>
      <c r="H551" s="60"/>
      <c r="I551" s="60"/>
      <c r="J551" s="61"/>
      <c r="K551" s="61"/>
      <c r="L551" s="60"/>
      <c r="M551" s="74" t="str">
        <f t="shared" si="67"/>
        <v/>
      </c>
      <c r="N551" s="74" t="str">
        <f t="shared" si="68"/>
        <v/>
      </c>
      <c r="O551" s="73" t="str">
        <f t="shared" si="69"/>
        <v/>
      </c>
      <c r="P551" s="65" t="str">
        <f t="shared" ca="1" si="70"/>
        <v/>
      </c>
      <c r="Q551" s="2"/>
      <c r="R551" s="2"/>
      <c r="S551" s="1" t="str">
        <f t="shared" si="71"/>
        <v/>
      </c>
      <c r="T551" s="1" t="str">
        <f>IF(OR($C551="",$D551&lt;&gt;"Gelir",$L551=""),"",IFERROR(INDEX(MUSTERILER!$B$7:$B$156,MATCH($S551,MUSTERILER!$T$7:$T$156,0)),""))</f>
        <v/>
      </c>
      <c r="U551" s="1" t="str">
        <f>IF($T551="","",$T551&amp;"|"&amp;COUNTIFS($T$7:$T551,$T551))</f>
        <v/>
      </c>
      <c r="V551" s="1">
        <f t="shared" si="72"/>
        <v>0</v>
      </c>
      <c r="W551" s="1" t="str">
        <f t="shared" si="73"/>
        <v/>
      </c>
      <c r="X551" s="1"/>
      <c r="Y551" s="1"/>
      <c r="Z551" s="1"/>
      <c r="AA551" s="1"/>
      <c r="AB551" s="1"/>
      <c r="AC551" s="1"/>
      <c r="AD551" s="1">
        <f>IF($C551="",0,SUMPRODUCT((AY_SONU!$O$7:$O$42="Evet")*(AY_SONU!$B$7:$B$42=DATE(YEAR($C551),MONTH($C551),1))))</f>
        <v>0</v>
      </c>
      <c r="AE551" s="1" t="str">
        <f>IF($E551="","",$E551&amp;"|"&amp;COUNTIFS($E$7:$E551,$E551))</f>
        <v/>
      </c>
    </row>
    <row r="552" spans="1:31" ht="18" customHeight="1" x14ac:dyDescent="0.3">
      <c r="A552" s="2"/>
      <c r="B552" s="65" t="str">
        <f t="shared" si="66"/>
        <v/>
      </c>
      <c r="C552" s="66"/>
      <c r="D552" s="60"/>
      <c r="E552" s="61"/>
      <c r="F552" s="61"/>
      <c r="G552" s="67"/>
      <c r="H552" s="60"/>
      <c r="I552" s="60"/>
      <c r="J552" s="61"/>
      <c r="K552" s="61"/>
      <c r="L552" s="60"/>
      <c r="M552" s="74" t="str">
        <f t="shared" si="67"/>
        <v/>
      </c>
      <c r="N552" s="74" t="str">
        <f t="shared" si="68"/>
        <v/>
      </c>
      <c r="O552" s="73" t="str">
        <f t="shared" si="69"/>
        <v/>
      </c>
      <c r="P552" s="65" t="str">
        <f t="shared" ca="1" si="70"/>
        <v/>
      </c>
      <c r="Q552" s="2"/>
      <c r="R552" s="2"/>
      <c r="S552" s="1" t="str">
        <f t="shared" si="71"/>
        <v/>
      </c>
      <c r="T552" s="1" t="str">
        <f>IF(OR($C552="",$D552&lt;&gt;"Gelir",$L552=""),"",IFERROR(INDEX(MUSTERILER!$B$7:$B$156,MATCH($S552,MUSTERILER!$T$7:$T$156,0)),""))</f>
        <v/>
      </c>
      <c r="U552" s="1" t="str">
        <f>IF($T552="","",$T552&amp;"|"&amp;COUNTIFS($T$7:$T552,$T552))</f>
        <v/>
      </c>
      <c r="V552" s="1">
        <f t="shared" si="72"/>
        <v>0</v>
      </c>
      <c r="W552" s="1" t="str">
        <f t="shared" si="73"/>
        <v/>
      </c>
      <c r="X552" s="1"/>
      <c r="Y552" s="1"/>
      <c r="Z552" s="1"/>
      <c r="AA552" s="1"/>
      <c r="AB552" s="1"/>
      <c r="AC552" s="1"/>
      <c r="AD552" s="1">
        <f>IF($C552="",0,SUMPRODUCT((AY_SONU!$O$7:$O$42="Evet")*(AY_SONU!$B$7:$B$42=DATE(YEAR($C552),MONTH($C552),1))))</f>
        <v>0</v>
      </c>
      <c r="AE552" s="1" t="str">
        <f>IF($E552="","",$E552&amp;"|"&amp;COUNTIFS($E$7:$E552,$E552))</f>
        <v/>
      </c>
    </row>
    <row r="553" spans="1:31" ht="18" customHeight="1" x14ac:dyDescent="0.3">
      <c r="A553" s="2"/>
      <c r="B553" s="65" t="str">
        <f t="shared" si="66"/>
        <v/>
      </c>
      <c r="C553" s="66"/>
      <c r="D553" s="60"/>
      <c r="E553" s="61"/>
      <c r="F553" s="61"/>
      <c r="G553" s="67"/>
      <c r="H553" s="60"/>
      <c r="I553" s="60"/>
      <c r="J553" s="61"/>
      <c r="K553" s="61"/>
      <c r="L553" s="60"/>
      <c r="M553" s="74" t="str">
        <f t="shared" si="67"/>
        <v/>
      </c>
      <c r="N553" s="74" t="str">
        <f t="shared" si="68"/>
        <v/>
      </c>
      <c r="O553" s="73" t="str">
        <f t="shared" si="69"/>
        <v/>
      </c>
      <c r="P553" s="65" t="str">
        <f t="shared" ca="1" si="70"/>
        <v/>
      </c>
      <c r="Q553" s="2"/>
      <c r="R553" s="2"/>
      <c r="S553" s="1" t="str">
        <f t="shared" si="71"/>
        <v/>
      </c>
      <c r="T553" s="1" t="str">
        <f>IF(OR($C553="",$D553&lt;&gt;"Gelir",$L553=""),"",IFERROR(INDEX(MUSTERILER!$B$7:$B$156,MATCH($S553,MUSTERILER!$T$7:$T$156,0)),""))</f>
        <v/>
      </c>
      <c r="U553" s="1" t="str">
        <f>IF($T553="","",$T553&amp;"|"&amp;COUNTIFS($T$7:$T553,$T553))</f>
        <v/>
      </c>
      <c r="V553" s="1">
        <f t="shared" si="72"/>
        <v>0</v>
      </c>
      <c r="W553" s="1" t="str">
        <f t="shared" si="73"/>
        <v/>
      </c>
      <c r="X553" s="1"/>
      <c r="Y553" s="1"/>
      <c r="Z553" s="1"/>
      <c r="AA553" s="1"/>
      <c r="AB553" s="1"/>
      <c r="AC553" s="1"/>
      <c r="AD553" s="1">
        <f>IF($C553="",0,SUMPRODUCT((AY_SONU!$O$7:$O$42="Evet")*(AY_SONU!$B$7:$B$42=DATE(YEAR($C553),MONTH($C553),1))))</f>
        <v>0</v>
      </c>
      <c r="AE553" s="1" t="str">
        <f>IF($E553="","",$E553&amp;"|"&amp;COUNTIFS($E$7:$E553,$E553))</f>
        <v/>
      </c>
    </row>
    <row r="554" spans="1:31" ht="18" customHeight="1" x14ac:dyDescent="0.3">
      <c r="A554" s="2"/>
      <c r="B554" s="65" t="str">
        <f t="shared" si="66"/>
        <v/>
      </c>
      <c r="C554" s="66"/>
      <c r="D554" s="60"/>
      <c r="E554" s="61"/>
      <c r="F554" s="61"/>
      <c r="G554" s="67"/>
      <c r="H554" s="60"/>
      <c r="I554" s="60"/>
      <c r="J554" s="61"/>
      <c r="K554" s="61"/>
      <c r="L554" s="60"/>
      <c r="M554" s="74" t="str">
        <f t="shared" si="67"/>
        <v/>
      </c>
      <c r="N554" s="74" t="str">
        <f t="shared" si="68"/>
        <v/>
      </c>
      <c r="O554" s="73" t="str">
        <f t="shared" si="69"/>
        <v/>
      </c>
      <c r="P554" s="65" t="str">
        <f t="shared" ca="1" si="70"/>
        <v/>
      </c>
      <c r="Q554" s="2"/>
      <c r="R554" s="2"/>
      <c r="S554" s="1" t="str">
        <f t="shared" si="71"/>
        <v/>
      </c>
      <c r="T554" s="1" t="str">
        <f>IF(OR($C554="",$D554&lt;&gt;"Gelir",$L554=""),"",IFERROR(INDEX(MUSTERILER!$B$7:$B$156,MATCH($S554,MUSTERILER!$T$7:$T$156,0)),""))</f>
        <v/>
      </c>
      <c r="U554" s="1" t="str">
        <f>IF($T554="","",$T554&amp;"|"&amp;COUNTIFS($T$7:$T554,$T554))</f>
        <v/>
      </c>
      <c r="V554" s="1">
        <f t="shared" si="72"/>
        <v>0</v>
      </c>
      <c r="W554" s="1" t="str">
        <f t="shared" si="73"/>
        <v/>
      </c>
      <c r="X554" s="1"/>
      <c r="Y554" s="1"/>
      <c r="Z554" s="1"/>
      <c r="AA554" s="1"/>
      <c r="AB554" s="1"/>
      <c r="AC554" s="1"/>
      <c r="AD554" s="1">
        <f>IF($C554="",0,SUMPRODUCT((AY_SONU!$O$7:$O$42="Evet")*(AY_SONU!$B$7:$B$42=DATE(YEAR($C554),MONTH($C554),1))))</f>
        <v>0</v>
      </c>
      <c r="AE554" s="1" t="str">
        <f>IF($E554="","",$E554&amp;"|"&amp;COUNTIFS($E$7:$E554,$E554))</f>
        <v/>
      </c>
    </row>
    <row r="555" spans="1:31" ht="18" customHeight="1" x14ac:dyDescent="0.3">
      <c r="A555" s="2"/>
      <c r="B555" s="65" t="str">
        <f t="shared" si="66"/>
        <v/>
      </c>
      <c r="C555" s="66"/>
      <c r="D555" s="60"/>
      <c r="E555" s="61"/>
      <c r="F555" s="61"/>
      <c r="G555" s="67"/>
      <c r="H555" s="60"/>
      <c r="I555" s="60"/>
      <c r="J555" s="61"/>
      <c r="K555" s="61"/>
      <c r="L555" s="60"/>
      <c r="M555" s="74" t="str">
        <f t="shared" si="67"/>
        <v/>
      </c>
      <c r="N555" s="74" t="str">
        <f t="shared" si="68"/>
        <v/>
      </c>
      <c r="O555" s="73" t="str">
        <f t="shared" si="69"/>
        <v/>
      </c>
      <c r="P555" s="65" t="str">
        <f t="shared" ca="1" si="70"/>
        <v/>
      </c>
      <c r="Q555" s="2"/>
      <c r="R555" s="2"/>
      <c r="S555" s="1" t="str">
        <f t="shared" si="71"/>
        <v/>
      </c>
      <c r="T555" s="1" t="str">
        <f>IF(OR($C555="",$D555&lt;&gt;"Gelir",$L555=""),"",IFERROR(INDEX(MUSTERILER!$B$7:$B$156,MATCH($S555,MUSTERILER!$T$7:$T$156,0)),""))</f>
        <v/>
      </c>
      <c r="U555" s="1" t="str">
        <f>IF($T555="","",$T555&amp;"|"&amp;COUNTIFS($T$7:$T555,$T555))</f>
        <v/>
      </c>
      <c r="V555" s="1">
        <f t="shared" si="72"/>
        <v>0</v>
      </c>
      <c r="W555" s="1" t="str">
        <f t="shared" si="73"/>
        <v/>
      </c>
      <c r="X555" s="1"/>
      <c r="Y555" s="1"/>
      <c r="Z555" s="1"/>
      <c r="AA555" s="1"/>
      <c r="AB555" s="1"/>
      <c r="AC555" s="1"/>
      <c r="AD555" s="1">
        <f>IF($C555="",0,SUMPRODUCT((AY_SONU!$O$7:$O$42="Evet")*(AY_SONU!$B$7:$B$42=DATE(YEAR($C555),MONTH($C555),1))))</f>
        <v>0</v>
      </c>
      <c r="AE555" s="1" t="str">
        <f>IF($E555="","",$E555&amp;"|"&amp;COUNTIFS($E$7:$E555,$E555))</f>
        <v/>
      </c>
    </row>
    <row r="556" spans="1:31" ht="18" customHeight="1" x14ac:dyDescent="0.3">
      <c r="A556" s="2"/>
      <c r="B556" s="65" t="str">
        <f t="shared" si="66"/>
        <v/>
      </c>
      <c r="C556" s="66"/>
      <c r="D556" s="60"/>
      <c r="E556" s="61"/>
      <c r="F556" s="61"/>
      <c r="G556" s="67"/>
      <c r="H556" s="60"/>
      <c r="I556" s="60"/>
      <c r="J556" s="61"/>
      <c r="K556" s="61"/>
      <c r="L556" s="60"/>
      <c r="M556" s="74" t="str">
        <f t="shared" si="67"/>
        <v/>
      </c>
      <c r="N556" s="74" t="str">
        <f t="shared" si="68"/>
        <v/>
      </c>
      <c r="O556" s="73" t="str">
        <f t="shared" si="69"/>
        <v/>
      </c>
      <c r="P556" s="65" t="str">
        <f t="shared" ca="1" si="70"/>
        <v/>
      </c>
      <c r="Q556" s="2"/>
      <c r="R556" s="2"/>
      <c r="S556" s="1" t="str">
        <f t="shared" si="71"/>
        <v/>
      </c>
      <c r="T556" s="1" t="str">
        <f>IF(OR($C556="",$D556&lt;&gt;"Gelir",$L556=""),"",IFERROR(INDEX(MUSTERILER!$B$7:$B$156,MATCH($S556,MUSTERILER!$T$7:$T$156,0)),""))</f>
        <v/>
      </c>
      <c r="U556" s="1" t="str">
        <f>IF($T556="","",$T556&amp;"|"&amp;COUNTIFS($T$7:$T556,$T556))</f>
        <v/>
      </c>
      <c r="V556" s="1">
        <f t="shared" si="72"/>
        <v>0</v>
      </c>
      <c r="W556" s="1" t="str">
        <f t="shared" si="73"/>
        <v/>
      </c>
      <c r="X556" s="1"/>
      <c r="Y556" s="1"/>
      <c r="Z556" s="1"/>
      <c r="AA556" s="1"/>
      <c r="AB556" s="1"/>
      <c r="AC556" s="1"/>
      <c r="AD556" s="1">
        <f>IF($C556="",0,SUMPRODUCT((AY_SONU!$O$7:$O$42="Evet")*(AY_SONU!$B$7:$B$42=DATE(YEAR($C556),MONTH($C556),1))))</f>
        <v>0</v>
      </c>
      <c r="AE556" s="1" t="str">
        <f>IF($E556="","",$E556&amp;"|"&amp;COUNTIFS($E$7:$E556,$E556))</f>
        <v/>
      </c>
    </row>
    <row r="557" spans="1:31" ht="18" customHeight="1" x14ac:dyDescent="0.3">
      <c r="A557" s="2"/>
      <c r="B557" s="65" t="str">
        <f t="shared" si="66"/>
        <v/>
      </c>
      <c r="C557" s="66"/>
      <c r="D557" s="60"/>
      <c r="E557" s="61"/>
      <c r="F557" s="61"/>
      <c r="G557" s="67"/>
      <c r="H557" s="60"/>
      <c r="I557" s="60"/>
      <c r="J557" s="61"/>
      <c r="K557" s="61"/>
      <c r="L557" s="60"/>
      <c r="M557" s="74" t="str">
        <f t="shared" si="67"/>
        <v/>
      </c>
      <c r="N557" s="74" t="str">
        <f t="shared" si="68"/>
        <v/>
      </c>
      <c r="O557" s="73" t="str">
        <f t="shared" si="69"/>
        <v/>
      </c>
      <c r="P557" s="65" t="str">
        <f t="shared" ca="1" si="70"/>
        <v/>
      </c>
      <c r="Q557" s="2"/>
      <c r="R557" s="2"/>
      <c r="S557" s="1" t="str">
        <f t="shared" si="71"/>
        <v/>
      </c>
      <c r="T557" s="1" t="str">
        <f>IF(OR($C557="",$D557&lt;&gt;"Gelir",$L557=""),"",IFERROR(INDEX(MUSTERILER!$B$7:$B$156,MATCH($S557,MUSTERILER!$T$7:$T$156,0)),""))</f>
        <v/>
      </c>
      <c r="U557" s="1" t="str">
        <f>IF($T557="","",$T557&amp;"|"&amp;COUNTIFS($T$7:$T557,$T557))</f>
        <v/>
      </c>
      <c r="V557" s="1">
        <f t="shared" si="72"/>
        <v>0</v>
      </c>
      <c r="W557" s="1" t="str">
        <f t="shared" si="73"/>
        <v/>
      </c>
      <c r="X557" s="1"/>
      <c r="Y557" s="1"/>
      <c r="Z557" s="1"/>
      <c r="AA557" s="1"/>
      <c r="AB557" s="1"/>
      <c r="AC557" s="1"/>
      <c r="AD557" s="1">
        <f>IF($C557="",0,SUMPRODUCT((AY_SONU!$O$7:$O$42="Evet")*(AY_SONU!$B$7:$B$42=DATE(YEAR($C557),MONTH($C557),1))))</f>
        <v>0</v>
      </c>
      <c r="AE557" s="1" t="str">
        <f>IF($E557="","",$E557&amp;"|"&amp;COUNTIFS($E$7:$E557,$E557))</f>
        <v/>
      </c>
    </row>
    <row r="558" spans="1:31" ht="18" customHeight="1" x14ac:dyDescent="0.3">
      <c r="A558" s="2"/>
      <c r="B558" s="65" t="str">
        <f t="shared" si="66"/>
        <v/>
      </c>
      <c r="C558" s="66"/>
      <c r="D558" s="60"/>
      <c r="E558" s="61"/>
      <c r="F558" s="61"/>
      <c r="G558" s="67"/>
      <c r="H558" s="60"/>
      <c r="I558" s="60"/>
      <c r="J558" s="61"/>
      <c r="K558" s="61"/>
      <c r="L558" s="60"/>
      <c r="M558" s="74" t="str">
        <f t="shared" si="67"/>
        <v/>
      </c>
      <c r="N558" s="74" t="str">
        <f t="shared" si="68"/>
        <v/>
      </c>
      <c r="O558" s="73" t="str">
        <f t="shared" si="69"/>
        <v/>
      </c>
      <c r="P558" s="65" t="str">
        <f t="shared" ca="1" si="70"/>
        <v/>
      </c>
      <c r="Q558" s="2"/>
      <c r="R558" s="2"/>
      <c r="S558" s="1" t="str">
        <f t="shared" si="71"/>
        <v/>
      </c>
      <c r="T558" s="1" t="str">
        <f>IF(OR($C558="",$D558&lt;&gt;"Gelir",$L558=""),"",IFERROR(INDEX(MUSTERILER!$B$7:$B$156,MATCH($S558,MUSTERILER!$T$7:$T$156,0)),""))</f>
        <v/>
      </c>
      <c r="U558" s="1" t="str">
        <f>IF($T558="","",$T558&amp;"|"&amp;COUNTIFS($T$7:$T558,$T558))</f>
        <v/>
      </c>
      <c r="V558" s="1">
        <f t="shared" si="72"/>
        <v>0</v>
      </c>
      <c r="W558" s="1" t="str">
        <f t="shared" si="73"/>
        <v/>
      </c>
      <c r="X558" s="1"/>
      <c r="Y558" s="1"/>
      <c r="Z558" s="1"/>
      <c r="AA558" s="1"/>
      <c r="AB558" s="1"/>
      <c r="AC558" s="1"/>
      <c r="AD558" s="1">
        <f>IF($C558="",0,SUMPRODUCT((AY_SONU!$O$7:$O$42="Evet")*(AY_SONU!$B$7:$B$42=DATE(YEAR($C558),MONTH($C558),1))))</f>
        <v>0</v>
      </c>
      <c r="AE558" s="1" t="str">
        <f>IF($E558="","",$E558&amp;"|"&amp;COUNTIFS($E$7:$E558,$E558))</f>
        <v/>
      </c>
    </row>
    <row r="559" spans="1:31" ht="18" customHeight="1" x14ac:dyDescent="0.3">
      <c r="A559" s="2"/>
      <c r="B559" s="65" t="str">
        <f t="shared" si="66"/>
        <v/>
      </c>
      <c r="C559" s="66"/>
      <c r="D559" s="60"/>
      <c r="E559" s="61"/>
      <c r="F559" s="61"/>
      <c r="G559" s="67"/>
      <c r="H559" s="60"/>
      <c r="I559" s="60"/>
      <c r="J559" s="61"/>
      <c r="K559" s="61"/>
      <c r="L559" s="60"/>
      <c r="M559" s="74" t="str">
        <f t="shared" si="67"/>
        <v/>
      </c>
      <c r="N559" s="74" t="str">
        <f t="shared" si="68"/>
        <v/>
      </c>
      <c r="O559" s="73" t="str">
        <f t="shared" si="69"/>
        <v/>
      </c>
      <c r="P559" s="65" t="str">
        <f t="shared" ca="1" si="70"/>
        <v/>
      </c>
      <c r="Q559" s="2"/>
      <c r="R559" s="2"/>
      <c r="S559" s="1" t="str">
        <f t="shared" si="71"/>
        <v/>
      </c>
      <c r="T559" s="1" t="str">
        <f>IF(OR($C559="",$D559&lt;&gt;"Gelir",$L559=""),"",IFERROR(INDEX(MUSTERILER!$B$7:$B$156,MATCH($S559,MUSTERILER!$T$7:$T$156,0)),""))</f>
        <v/>
      </c>
      <c r="U559" s="1" t="str">
        <f>IF($T559="","",$T559&amp;"|"&amp;COUNTIFS($T$7:$T559,$T559))</f>
        <v/>
      </c>
      <c r="V559" s="1">
        <f t="shared" si="72"/>
        <v>0</v>
      </c>
      <c r="W559" s="1" t="str">
        <f t="shared" si="73"/>
        <v/>
      </c>
      <c r="X559" s="1"/>
      <c r="Y559" s="1"/>
      <c r="Z559" s="1"/>
      <c r="AA559" s="1"/>
      <c r="AB559" s="1"/>
      <c r="AC559" s="1"/>
      <c r="AD559" s="1">
        <f>IF($C559="",0,SUMPRODUCT((AY_SONU!$O$7:$O$42="Evet")*(AY_SONU!$B$7:$B$42=DATE(YEAR($C559),MONTH($C559),1))))</f>
        <v>0</v>
      </c>
      <c r="AE559" s="1" t="str">
        <f>IF($E559="","",$E559&amp;"|"&amp;COUNTIFS($E$7:$E559,$E559))</f>
        <v/>
      </c>
    </row>
    <row r="560" spans="1:31" ht="18" customHeight="1" x14ac:dyDescent="0.3">
      <c r="A560" s="2"/>
      <c r="B560" s="65" t="str">
        <f t="shared" si="66"/>
        <v/>
      </c>
      <c r="C560" s="66"/>
      <c r="D560" s="60"/>
      <c r="E560" s="61"/>
      <c r="F560" s="61"/>
      <c r="G560" s="67"/>
      <c r="H560" s="60"/>
      <c r="I560" s="60"/>
      <c r="J560" s="61"/>
      <c r="K560" s="61"/>
      <c r="L560" s="60"/>
      <c r="M560" s="74" t="str">
        <f t="shared" si="67"/>
        <v/>
      </c>
      <c r="N560" s="74" t="str">
        <f t="shared" si="68"/>
        <v/>
      </c>
      <c r="O560" s="73" t="str">
        <f t="shared" si="69"/>
        <v/>
      </c>
      <c r="P560" s="65" t="str">
        <f t="shared" ca="1" si="70"/>
        <v/>
      </c>
      <c r="Q560" s="2"/>
      <c r="R560" s="2"/>
      <c r="S560" s="1" t="str">
        <f t="shared" si="71"/>
        <v/>
      </c>
      <c r="T560" s="1" t="str">
        <f>IF(OR($C560="",$D560&lt;&gt;"Gelir",$L560=""),"",IFERROR(INDEX(MUSTERILER!$B$7:$B$156,MATCH($S560,MUSTERILER!$T$7:$T$156,0)),""))</f>
        <v/>
      </c>
      <c r="U560" s="1" t="str">
        <f>IF($T560="","",$T560&amp;"|"&amp;COUNTIFS($T$7:$T560,$T560))</f>
        <v/>
      </c>
      <c r="V560" s="1">
        <f t="shared" si="72"/>
        <v>0</v>
      </c>
      <c r="W560" s="1" t="str">
        <f t="shared" si="73"/>
        <v/>
      </c>
      <c r="X560" s="1"/>
      <c r="Y560" s="1"/>
      <c r="Z560" s="1"/>
      <c r="AA560" s="1"/>
      <c r="AB560" s="1"/>
      <c r="AC560" s="1"/>
      <c r="AD560" s="1">
        <f>IF($C560="",0,SUMPRODUCT((AY_SONU!$O$7:$O$42="Evet")*(AY_SONU!$B$7:$B$42=DATE(YEAR($C560),MONTH($C560),1))))</f>
        <v>0</v>
      </c>
      <c r="AE560" s="1" t="str">
        <f>IF($E560="","",$E560&amp;"|"&amp;COUNTIFS($E$7:$E560,$E560))</f>
        <v/>
      </c>
    </row>
    <row r="561" spans="1:31" ht="18" customHeight="1" x14ac:dyDescent="0.3">
      <c r="A561" s="2"/>
      <c r="B561" s="65" t="str">
        <f t="shared" si="66"/>
        <v/>
      </c>
      <c r="C561" s="66"/>
      <c r="D561" s="60"/>
      <c r="E561" s="61"/>
      <c r="F561" s="61"/>
      <c r="G561" s="67"/>
      <c r="H561" s="60"/>
      <c r="I561" s="60"/>
      <c r="J561" s="61"/>
      <c r="K561" s="61"/>
      <c r="L561" s="60"/>
      <c r="M561" s="74" t="str">
        <f t="shared" si="67"/>
        <v/>
      </c>
      <c r="N561" s="74" t="str">
        <f t="shared" si="68"/>
        <v/>
      </c>
      <c r="O561" s="73" t="str">
        <f t="shared" si="69"/>
        <v/>
      </c>
      <c r="P561" s="65" t="str">
        <f t="shared" ca="1" si="70"/>
        <v/>
      </c>
      <c r="Q561" s="2"/>
      <c r="R561" s="2"/>
      <c r="S561" s="1" t="str">
        <f t="shared" si="71"/>
        <v/>
      </c>
      <c r="T561" s="1" t="str">
        <f>IF(OR($C561="",$D561&lt;&gt;"Gelir",$L561=""),"",IFERROR(INDEX(MUSTERILER!$B$7:$B$156,MATCH($S561,MUSTERILER!$T$7:$T$156,0)),""))</f>
        <v/>
      </c>
      <c r="U561" s="1" t="str">
        <f>IF($T561="","",$T561&amp;"|"&amp;COUNTIFS($T$7:$T561,$T561))</f>
        <v/>
      </c>
      <c r="V561" s="1">
        <f t="shared" si="72"/>
        <v>0</v>
      </c>
      <c r="W561" s="1" t="str">
        <f t="shared" si="73"/>
        <v/>
      </c>
      <c r="X561" s="1"/>
      <c r="Y561" s="1"/>
      <c r="Z561" s="1"/>
      <c r="AA561" s="1"/>
      <c r="AB561" s="1"/>
      <c r="AC561" s="1"/>
      <c r="AD561" s="1">
        <f>IF($C561="",0,SUMPRODUCT((AY_SONU!$O$7:$O$42="Evet")*(AY_SONU!$B$7:$B$42=DATE(YEAR($C561),MONTH($C561),1))))</f>
        <v>0</v>
      </c>
      <c r="AE561" s="1" t="str">
        <f>IF($E561="","",$E561&amp;"|"&amp;COUNTIFS($E$7:$E561,$E561))</f>
        <v/>
      </c>
    </row>
    <row r="562" spans="1:31" ht="18" customHeight="1" x14ac:dyDescent="0.3">
      <c r="A562" s="2"/>
      <c r="B562" s="65" t="str">
        <f t="shared" si="66"/>
        <v/>
      </c>
      <c r="C562" s="66"/>
      <c r="D562" s="60"/>
      <c r="E562" s="61"/>
      <c r="F562" s="61"/>
      <c r="G562" s="67"/>
      <c r="H562" s="60"/>
      <c r="I562" s="60"/>
      <c r="J562" s="61"/>
      <c r="K562" s="61"/>
      <c r="L562" s="60"/>
      <c r="M562" s="74" t="str">
        <f t="shared" si="67"/>
        <v/>
      </c>
      <c r="N562" s="74" t="str">
        <f t="shared" si="68"/>
        <v/>
      </c>
      <c r="O562" s="73" t="str">
        <f t="shared" si="69"/>
        <v/>
      </c>
      <c r="P562" s="65" t="str">
        <f t="shared" ca="1" si="70"/>
        <v/>
      </c>
      <c r="Q562" s="2"/>
      <c r="R562" s="2"/>
      <c r="S562" s="1" t="str">
        <f t="shared" si="71"/>
        <v/>
      </c>
      <c r="T562" s="1" t="str">
        <f>IF(OR($C562="",$D562&lt;&gt;"Gelir",$L562=""),"",IFERROR(INDEX(MUSTERILER!$B$7:$B$156,MATCH($S562,MUSTERILER!$T$7:$T$156,0)),""))</f>
        <v/>
      </c>
      <c r="U562" s="1" t="str">
        <f>IF($T562="","",$T562&amp;"|"&amp;COUNTIFS($T$7:$T562,$T562))</f>
        <v/>
      </c>
      <c r="V562" s="1">
        <f t="shared" si="72"/>
        <v>0</v>
      </c>
      <c r="W562" s="1" t="str">
        <f t="shared" si="73"/>
        <v/>
      </c>
      <c r="X562" s="1"/>
      <c r="Y562" s="1"/>
      <c r="Z562" s="1"/>
      <c r="AA562" s="1"/>
      <c r="AB562" s="1"/>
      <c r="AC562" s="1"/>
      <c r="AD562" s="1">
        <f>IF($C562="",0,SUMPRODUCT((AY_SONU!$O$7:$O$42="Evet")*(AY_SONU!$B$7:$B$42=DATE(YEAR($C562),MONTH($C562),1))))</f>
        <v>0</v>
      </c>
      <c r="AE562" s="1" t="str">
        <f>IF($E562="","",$E562&amp;"|"&amp;COUNTIFS($E$7:$E562,$E562))</f>
        <v/>
      </c>
    </row>
    <row r="563" spans="1:31" ht="18" customHeight="1" x14ac:dyDescent="0.3">
      <c r="A563" s="2"/>
      <c r="B563" s="65" t="str">
        <f t="shared" si="66"/>
        <v/>
      </c>
      <c r="C563" s="66"/>
      <c r="D563" s="60"/>
      <c r="E563" s="61"/>
      <c r="F563" s="61"/>
      <c r="G563" s="67"/>
      <c r="H563" s="60"/>
      <c r="I563" s="60"/>
      <c r="J563" s="61"/>
      <c r="K563" s="61"/>
      <c r="L563" s="60"/>
      <c r="M563" s="74" t="str">
        <f t="shared" si="67"/>
        <v/>
      </c>
      <c r="N563" s="74" t="str">
        <f t="shared" si="68"/>
        <v/>
      </c>
      <c r="O563" s="73" t="str">
        <f t="shared" si="69"/>
        <v/>
      </c>
      <c r="P563" s="65" t="str">
        <f t="shared" ca="1" si="70"/>
        <v/>
      </c>
      <c r="Q563" s="2"/>
      <c r="R563" s="2"/>
      <c r="S563" s="1" t="str">
        <f t="shared" si="71"/>
        <v/>
      </c>
      <c r="T563" s="1" t="str">
        <f>IF(OR($C563="",$D563&lt;&gt;"Gelir",$L563=""),"",IFERROR(INDEX(MUSTERILER!$B$7:$B$156,MATCH($S563,MUSTERILER!$T$7:$T$156,0)),""))</f>
        <v/>
      </c>
      <c r="U563" s="1" t="str">
        <f>IF($T563="","",$T563&amp;"|"&amp;COUNTIFS($T$7:$T563,$T563))</f>
        <v/>
      </c>
      <c r="V563" s="1">
        <f t="shared" si="72"/>
        <v>0</v>
      </c>
      <c r="W563" s="1" t="str">
        <f t="shared" si="73"/>
        <v/>
      </c>
      <c r="X563" s="1"/>
      <c r="Y563" s="1"/>
      <c r="Z563" s="1"/>
      <c r="AA563" s="1"/>
      <c r="AB563" s="1"/>
      <c r="AC563" s="1"/>
      <c r="AD563" s="1">
        <f>IF($C563="",0,SUMPRODUCT((AY_SONU!$O$7:$O$42="Evet")*(AY_SONU!$B$7:$B$42=DATE(YEAR($C563),MONTH($C563),1))))</f>
        <v>0</v>
      </c>
      <c r="AE563" s="1" t="str">
        <f>IF($E563="","",$E563&amp;"|"&amp;COUNTIFS($E$7:$E563,$E563))</f>
        <v/>
      </c>
    </row>
    <row r="564" spans="1:31" ht="18" customHeight="1" x14ac:dyDescent="0.3">
      <c r="A564" s="2"/>
      <c r="B564" s="65" t="str">
        <f t="shared" si="66"/>
        <v/>
      </c>
      <c r="C564" s="66"/>
      <c r="D564" s="60"/>
      <c r="E564" s="61"/>
      <c r="F564" s="61"/>
      <c r="G564" s="67"/>
      <c r="H564" s="60"/>
      <c r="I564" s="60"/>
      <c r="J564" s="61"/>
      <c r="K564" s="61"/>
      <c r="L564" s="60"/>
      <c r="M564" s="74" t="str">
        <f t="shared" si="67"/>
        <v/>
      </c>
      <c r="N564" s="74" t="str">
        <f t="shared" si="68"/>
        <v/>
      </c>
      <c r="O564" s="73" t="str">
        <f t="shared" si="69"/>
        <v/>
      </c>
      <c r="P564" s="65" t="str">
        <f t="shared" ca="1" si="70"/>
        <v/>
      </c>
      <c r="Q564" s="2"/>
      <c r="R564" s="2"/>
      <c r="S564" s="1" t="str">
        <f t="shared" si="71"/>
        <v/>
      </c>
      <c r="T564" s="1" t="str">
        <f>IF(OR($C564="",$D564&lt;&gt;"Gelir",$L564=""),"",IFERROR(INDEX(MUSTERILER!$B$7:$B$156,MATCH($S564,MUSTERILER!$T$7:$T$156,0)),""))</f>
        <v/>
      </c>
      <c r="U564" s="1" t="str">
        <f>IF($T564="","",$T564&amp;"|"&amp;COUNTIFS($T$7:$T564,$T564))</f>
        <v/>
      </c>
      <c r="V564" s="1">
        <f t="shared" si="72"/>
        <v>0</v>
      </c>
      <c r="W564" s="1" t="str">
        <f t="shared" si="73"/>
        <v/>
      </c>
      <c r="X564" s="1"/>
      <c r="Y564" s="1"/>
      <c r="Z564" s="1"/>
      <c r="AA564" s="1"/>
      <c r="AB564" s="1"/>
      <c r="AC564" s="1"/>
      <c r="AD564" s="1">
        <f>IF($C564="",0,SUMPRODUCT((AY_SONU!$O$7:$O$42="Evet")*(AY_SONU!$B$7:$B$42=DATE(YEAR($C564),MONTH($C564),1))))</f>
        <v>0</v>
      </c>
      <c r="AE564" s="1" t="str">
        <f>IF($E564="","",$E564&amp;"|"&amp;COUNTIFS($E$7:$E564,$E564))</f>
        <v/>
      </c>
    </row>
    <row r="565" spans="1:31" ht="18" customHeight="1" x14ac:dyDescent="0.3">
      <c r="A565" s="2"/>
      <c r="B565" s="65" t="str">
        <f t="shared" si="66"/>
        <v/>
      </c>
      <c r="C565" s="66"/>
      <c r="D565" s="60"/>
      <c r="E565" s="61"/>
      <c r="F565" s="61"/>
      <c r="G565" s="67"/>
      <c r="H565" s="60"/>
      <c r="I565" s="60"/>
      <c r="J565" s="61"/>
      <c r="K565" s="61"/>
      <c r="L565" s="60"/>
      <c r="M565" s="74" t="str">
        <f t="shared" si="67"/>
        <v/>
      </c>
      <c r="N565" s="74" t="str">
        <f t="shared" si="68"/>
        <v/>
      </c>
      <c r="O565" s="73" t="str">
        <f t="shared" si="69"/>
        <v/>
      </c>
      <c r="P565" s="65" t="str">
        <f t="shared" ca="1" si="70"/>
        <v/>
      </c>
      <c r="Q565" s="2"/>
      <c r="R565" s="2"/>
      <c r="S565" s="1" t="str">
        <f t="shared" si="71"/>
        <v/>
      </c>
      <c r="T565" s="1" t="str">
        <f>IF(OR($C565="",$D565&lt;&gt;"Gelir",$L565=""),"",IFERROR(INDEX(MUSTERILER!$B$7:$B$156,MATCH($S565,MUSTERILER!$T$7:$T$156,0)),""))</f>
        <v/>
      </c>
      <c r="U565" s="1" t="str">
        <f>IF($T565="","",$T565&amp;"|"&amp;COUNTIFS($T$7:$T565,$T565))</f>
        <v/>
      </c>
      <c r="V565" s="1">
        <f t="shared" si="72"/>
        <v>0</v>
      </c>
      <c r="W565" s="1" t="str">
        <f t="shared" si="73"/>
        <v/>
      </c>
      <c r="X565" s="1"/>
      <c r="Y565" s="1"/>
      <c r="Z565" s="1"/>
      <c r="AA565" s="1"/>
      <c r="AB565" s="1"/>
      <c r="AC565" s="1"/>
      <c r="AD565" s="1">
        <f>IF($C565="",0,SUMPRODUCT((AY_SONU!$O$7:$O$42="Evet")*(AY_SONU!$B$7:$B$42=DATE(YEAR($C565),MONTH($C565),1))))</f>
        <v>0</v>
      </c>
      <c r="AE565" s="1" t="str">
        <f>IF($E565="","",$E565&amp;"|"&amp;COUNTIFS($E$7:$E565,$E565))</f>
        <v/>
      </c>
    </row>
    <row r="566" spans="1:31" ht="18" customHeight="1" x14ac:dyDescent="0.3">
      <c r="A566" s="2"/>
      <c r="B566" s="65" t="str">
        <f t="shared" si="66"/>
        <v/>
      </c>
      <c r="C566" s="66"/>
      <c r="D566" s="60"/>
      <c r="E566" s="61"/>
      <c r="F566" s="61"/>
      <c r="G566" s="67"/>
      <c r="H566" s="60"/>
      <c r="I566" s="60"/>
      <c r="J566" s="61"/>
      <c r="K566" s="61"/>
      <c r="L566" s="60"/>
      <c r="M566" s="74" t="str">
        <f t="shared" si="67"/>
        <v/>
      </c>
      <c r="N566" s="74" t="str">
        <f t="shared" si="68"/>
        <v/>
      </c>
      <c r="O566" s="73" t="str">
        <f t="shared" si="69"/>
        <v/>
      </c>
      <c r="P566" s="65" t="str">
        <f t="shared" ca="1" si="70"/>
        <v/>
      </c>
      <c r="Q566" s="2"/>
      <c r="R566" s="2"/>
      <c r="S566" s="1" t="str">
        <f t="shared" si="71"/>
        <v/>
      </c>
      <c r="T566" s="1" t="str">
        <f>IF(OR($C566="",$D566&lt;&gt;"Gelir",$L566=""),"",IFERROR(INDEX(MUSTERILER!$B$7:$B$156,MATCH($S566,MUSTERILER!$T$7:$T$156,0)),""))</f>
        <v/>
      </c>
      <c r="U566" s="1" t="str">
        <f>IF($T566="","",$T566&amp;"|"&amp;COUNTIFS($T$7:$T566,$T566))</f>
        <v/>
      </c>
      <c r="V566" s="1">
        <f t="shared" si="72"/>
        <v>0</v>
      </c>
      <c r="W566" s="1" t="str">
        <f t="shared" si="73"/>
        <v/>
      </c>
      <c r="X566" s="1"/>
      <c r="Y566" s="1"/>
      <c r="Z566" s="1"/>
      <c r="AA566" s="1"/>
      <c r="AB566" s="1"/>
      <c r="AC566" s="1"/>
      <c r="AD566" s="1">
        <f>IF($C566="",0,SUMPRODUCT((AY_SONU!$O$7:$O$42="Evet")*(AY_SONU!$B$7:$B$42=DATE(YEAR($C566),MONTH($C566),1))))</f>
        <v>0</v>
      </c>
      <c r="AE566" s="1" t="str">
        <f>IF($E566="","",$E566&amp;"|"&amp;COUNTIFS($E$7:$E566,$E566))</f>
        <v/>
      </c>
    </row>
    <row r="567" spans="1:31" ht="18" customHeight="1" x14ac:dyDescent="0.3">
      <c r="A567" s="2"/>
      <c r="B567" s="65" t="str">
        <f t="shared" si="66"/>
        <v/>
      </c>
      <c r="C567" s="66"/>
      <c r="D567" s="60"/>
      <c r="E567" s="61"/>
      <c r="F567" s="61"/>
      <c r="G567" s="67"/>
      <c r="H567" s="60"/>
      <c r="I567" s="60"/>
      <c r="J567" s="61"/>
      <c r="K567" s="61"/>
      <c r="L567" s="60"/>
      <c r="M567" s="74" t="str">
        <f t="shared" si="67"/>
        <v/>
      </c>
      <c r="N567" s="74" t="str">
        <f t="shared" si="68"/>
        <v/>
      </c>
      <c r="O567" s="73" t="str">
        <f t="shared" si="69"/>
        <v/>
      </c>
      <c r="P567" s="65" t="str">
        <f t="shared" ca="1" si="70"/>
        <v/>
      </c>
      <c r="Q567" s="2"/>
      <c r="R567" s="2"/>
      <c r="S567" s="1" t="str">
        <f t="shared" si="71"/>
        <v/>
      </c>
      <c r="T567" s="1" t="str">
        <f>IF(OR($C567="",$D567&lt;&gt;"Gelir",$L567=""),"",IFERROR(INDEX(MUSTERILER!$B$7:$B$156,MATCH($S567,MUSTERILER!$T$7:$T$156,0)),""))</f>
        <v/>
      </c>
      <c r="U567" s="1" t="str">
        <f>IF($T567="","",$T567&amp;"|"&amp;COUNTIFS($T$7:$T567,$T567))</f>
        <v/>
      </c>
      <c r="V567" s="1">
        <f t="shared" si="72"/>
        <v>0</v>
      </c>
      <c r="W567" s="1" t="str">
        <f t="shared" si="73"/>
        <v/>
      </c>
      <c r="X567" s="1"/>
      <c r="Y567" s="1"/>
      <c r="Z567" s="1"/>
      <c r="AA567" s="1"/>
      <c r="AB567" s="1"/>
      <c r="AC567" s="1"/>
      <c r="AD567" s="1">
        <f>IF($C567="",0,SUMPRODUCT((AY_SONU!$O$7:$O$42="Evet")*(AY_SONU!$B$7:$B$42=DATE(YEAR($C567),MONTH($C567),1))))</f>
        <v>0</v>
      </c>
      <c r="AE567" s="1" t="str">
        <f>IF($E567="","",$E567&amp;"|"&amp;COUNTIFS($E$7:$E567,$E567))</f>
        <v/>
      </c>
    </row>
    <row r="568" spans="1:31" ht="18" customHeight="1" x14ac:dyDescent="0.3">
      <c r="A568" s="2"/>
      <c r="B568" s="65" t="str">
        <f t="shared" si="66"/>
        <v/>
      </c>
      <c r="C568" s="66"/>
      <c r="D568" s="60"/>
      <c r="E568" s="61"/>
      <c r="F568" s="61"/>
      <c r="G568" s="67"/>
      <c r="H568" s="60"/>
      <c r="I568" s="60"/>
      <c r="J568" s="61"/>
      <c r="K568" s="61"/>
      <c r="L568" s="60"/>
      <c r="M568" s="74" t="str">
        <f t="shared" si="67"/>
        <v/>
      </c>
      <c r="N568" s="74" t="str">
        <f t="shared" si="68"/>
        <v/>
      </c>
      <c r="O568" s="73" t="str">
        <f t="shared" si="69"/>
        <v/>
      </c>
      <c r="P568" s="65" t="str">
        <f t="shared" ca="1" si="70"/>
        <v/>
      </c>
      <c r="Q568" s="2"/>
      <c r="R568" s="2"/>
      <c r="S568" s="1" t="str">
        <f t="shared" si="71"/>
        <v/>
      </c>
      <c r="T568" s="1" t="str">
        <f>IF(OR($C568="",$D568&lt;&gt;"Gelir",$L568=""),"",IFERROR(INDEX(MUSTERILER!$B$7:$B$156,MATCH($S568,MUSTERILER!$T$7:$T$156,0)),""))</f>
        <v/>
      </c>
      <c r="U568" s="1" t="str">
        <f>IF($T568="","",$T568&amp;"|"&amp;COUNTIFS($T$7:$T568,$T568))</f>
        <v/>
      </c>
      <c r="V568" s="1">
        <f t="shared" si="72"/>
        <v>0</v>
      </c>
      <c r="W568" s="1" t="str">
        <f t="shared" si="73"/>
        <v/>
      </c>
      <c r="X568" s="1"/>
      <c r="Y568" s="1"/>
      <c r="Z568" s="1"/>
      <c r="AA568" s="1"/>
      <c r="AB568" s="1"/>
      <c r="AC568" s="1"/>
      <c r="AD568" s="1">
        <f>IF($C568="",0,SUMPRODUCT((AY_SONU!$O$7:$O$42="Evet")*(AY_SONU!$B$7:$B$42=DATE(YEAR($C568),MONTH($C568),1))))</f>
        <v>0</v>
      </c>
      <c r="AE568" s="1" t="str">
        <f>IF($E568="","",$E568&amp;"|"&amp;COUNTIFS($E$7:$E568,$E568))</f>
        <v/>
      </c>
    </row>
    <row r="569" spans="1:31" ht="18" customHeight="1" x14ac:dyDescent="0.3">
      <c r="A569" s="2"/>
      <c r="B569" s="65" t="str">
        <f t="shared" si="66"/>
        <v/>
      </c>
      <c r="C569" s="66"/>
      <c r="D569" s="60"/>
      <c r="E569" s="61"/>
      <c r="F569" s="61"/>
      <c r="G569" s="67"/>
      <c r="H569" s="60"/>
      <c r="I569" s="60"/>
      <c r="J569" s="61"/>
      <c r="K569" s="61"/>
      <c r="L569" s="60"/>
      <c r="M569" s="74" t="str">
        <f t="shared" si="67"/>
        <v/>
      </c>
      <c r="N569" s="74" t="str">
        <f t="shared" si="68"/>
        <v/>
      </c>
      <c r="O569" s="73" t="str">
        <f t="shared" si="69"/>
        <v/>
      </c>
      <c r="P569" s="65" t="str">
        <f t="shared" ca="1" si="70"/>
        <v/>
      </c>
      <c r="Q569" s="2"/>
      <c r="R569" s="2"/>
      <c r="S569" s="1" t="str">
        <f t="shared" si="71"/>
        <v/>
      </c>
      <c r="T569" s="1" t="str">
        <f>IF(OR($C569="",$D569&lt;&gt;"Gelir",$L569=""),"",IFERROR(INDEX(MUSTERILER!$B$7:$B$156,MATCH($S569,MUSTERILER!$T$7:$T$156,0)),""))</f>
        <v/>
      </c>
      <c r="U569" s="1" t="str">
        <f>IF($T569="","",$T569&amp;"|"&amp;COUNTIFS($T$7:$T569,$T569))</f>
        <v/>
      </c>
      <c r="V569" s="1">
        <f t="shared" si="72"/>
        <v>0</v>
      </c>
      <c r="W569" s="1" t="str">
        <f t="shared" si="73"/>
        <v/>
      </c>
      <c r="X569" s="1"/>
      <c r="Y569" s="1"/>
      <c r="Z569" s="1"/>
      <c r="AA569" s="1"/>
      <c r="AB569" s="1"/>
      <c r="AC569" s="1"/>
      <c r="AD569" s="1">
        <f>IF($C569="",0,SUMPRODUCT((AY_SONU!$O$7:$O$42="Evet")*(AY_SONU!$B$7:$B$42=DATE(YEAR($C569),MONTH($C569),1))))</f>
        <v>0</v>
      </c>
      <c r="AE569" s="1" t="str">
        <f>IF($E569="","",$E569&amp;"|"&amp;COUNTIFS($E$7:$E569,$E569))</f>
        <v/>
      </c>
    </row>
    <row r="570" spans="1:31" ht="18" customHeight="1" x14ac:dyDescent="0.3">
      <c r="A570" s="2"/>
      <c r="B570" s="65" t="str">
        <f t="shared" si="66"/>
        <v/>
      </c>
      <c r="C570" s="66"/>
      <c r="D570" s="60"/>
      <c r="E570" s="61"/>
      <c r="F570" s="61"/>
      <c r="G570" s="67"/>
      <c r="H570" s="60"/>
      <c r="I570" s="60"/>
      <c r="J570" s="61"/>
      <c r="K570" s="61"/>
      <c r="L570" s="60"/>
      <c r="M570" s="74" t="str">
        <f t="shared" si="67"/>
        <v/>
      </c>
      <c r="N570" s="74" t="str">
        <f t="shared" si="68"/>
        <v/>
      </c>
      <c r="O570" s="73" t="str">
        <f t="shared" si="69"/>
        <v/>
      </c>
      <c r="P570" s="65" t="str">
        <f t="shared" ca="1" si="70"/>
        <v/>
      </c>
      <c r="Q570" s="2"/>
      <c r="R570" s="2"/>
      <c r="S570" s="1" t="str">
        <f t="shared" si="71"/>
        <v/>
      </c>
      <c r="T570" s="1" t="str">
        <f>IF(OR($C570="",$D570&lt;&gt;"Gelir",$L570=""),"",IFERROR(INDEX(MUSTERILER!$B$7:$B$156,MATCH($S570,MUSTERILER!$T$7:$T$156,0)),""))</f>
        <v/>
      </c>
      <c r="U570" s="1" t="str">
        <f>IF($T570="","",$T570&amp;"|"&amp;COUNTIFS($T$7:$T570,$T570))</f>
        <v/>
      </c>
      <c r="V570" s="1">
        <f t="shared" si="72"/>
        <v>0</v>
      </c>
      <c r="W570" s="1" t="str">
        <f t="shared" si="73"/>
        <v/>
      </c>
      <c r="X570" s="1"/>
      <c r="Y570" s="1"/>
      <c r="Z570" s="1"/>
      <c r="AA570" s="1"/>
      <c r="AB570" s="1"/>
      <c r="AC570" s="1"/>
      <c r="AD570" s="1">
        <f>IF($C570="",0,SUMPRODUCT((AY_SONU!$O$7:$O$42="Evet")*(AY_SONU!$B$7:$B$42=DATE(YEAR($C570),MONTH($C570),1))))</f>
        <v>0</v>
      </c>
      <c r="AE570" s="1" t="str">
        <f>IF($E570="","",$E570&amp;"|"&amp;COUNTIFS($E$7:$E570,$E570))</f>
        <v/>
      </c>
    </row>
    <row r="571" spans="1:31" ht="18" customHeight="1" x14ac:dyDescent="0.3">
      <c r="A571" s="2"/>
      <c r="B571" s="65" t="str">
        <f t="shared" si="66"/>
        <v/>
      </c>
      <c r="C571" s="66"/>
      <c r="D571" s="60"/>
      <c r="E571" s="61"/>
      <c r="F571" s="61"/>
      <c r="G571" s="67"/>
      <c r="H571" s="60"/>
      <c r="I571" s="60"/>
      <c r="J571" s="61"/>
      <c r="K571" s="61"/>
      <c r="L571" s="60"/>
      <c r="M571" s="74" t="str">
        <f t="shared" si="67"/>
        <v/>
      </c>
      <c r="N571" s="74" t="str">
        <f t="shared" si="68"/>
        <v/>
      </c>
      <c r="O571" s="73" t="str">
        <f t="shared" si="69"/>
        <v/>
      </c>
      <c r="P571" s="65" t="str">
        <f t="shared" ca="1" si="70"/>
        <v/>
      </c>
      <c r="Q571" s="2"/>
      <c r="R571" s="2"/>
      <c r="S571" s="1" t="str">
        <f t="shared" si="71"/>
        <v/>
      </c>
      <c r="T571" s="1" t="str">
        <f>IF(OR($C571="",$D571&lt;&gt;"Gelir",$L571=""),"",IFERROR(INDEX(MUSTERILER!$B$7:$B$156,MATCH($S571,MUSTERILER!$T$7:$T$156,0)),""))</f>
        <v/>
      </c>
      <c r="U571" s="1" t="str">
        <f>IF($T571="","",$T571&amp;"|"&amp;COUNTIFS($T$7:$T571,$T571))</f>
        <v/>
      </c>
      <c r="V571" s="1">
        <f t="shared" si="72"/>
        <v>0</v>
      </c>
      <c r="W571" s="1" t="str">
        <f t="shared" si="73"/>
        <v/>
      </c>
      <c r="X571" s="1"/>
      <c r="Y571" s="1"/>
      <c r="Z571" s="1"/>
      <c r="AA571" s="1"/>
      <c r="AB571" s="1"/>
      <c r="AC571" s="1"/>
      <c r="AD571" s="1">
        <f>IF($C571="",0,SUMPRODUCT((AY_SONU!$O$7:$O$42="Evet")*(AY_SONU!$B$7:$B$42=DATE(YEAR($C571),MONTH($C571),1))))</f>
        <v>0</v>
      </c>
      <c r="AE571" s="1" t="str">
        <f>IF($E571="","",$E571&amp;"|"&amp;COUNTIFS($E$7:$E571,$E571))</f>
        <v/>
      </c>
    </row>
    <row r="572" spans="1:31" ht="18" customHeight="1" x14ac:dyDescent="0.3">
      <c r="A572" s="2"/>
      <c r="B572" s="65" t="str">
        <f t="shared" si="66"/>
        <v/>
      </c>
      <c r="C572" s="66"/>
      <c r="D572" s="60"/>
      <c r="E572" s="61"/>
      <c r="F572" s="61"/>
      <c r="G572" s="67"/>
      <c r="H572" s="60"/>
      <c r="I572" s="60"/>
      <c r="J572" s="61"/>
      <c r="K572" s="61"/>
      <c r="L572" s="60"/>
      <c r="M572" s="74" t="str">
        <f t="shared" si="67"/>
        <v/>
      </c>
      <c r="N572" s="74" t="str">
        <f t="shared" si="68"/>
        <v/>
      </c>
      <c r="O572" s="73" t="str">
        <f t="shared" si="69"/>
        <v/>
      </c>
      <c r="P572" s="65" t="str">
        <f t="shared" ca="1" si="70"/>
        <v/>
      </c>
      <c r="Q572" s="2"/>
      <c r="R572" s="2"/>
      <c r="S572" s="1" t="str">
        <f t="shared" si="71"/>
        <v/>
      </c>
      <c r="T572" s="1" t="str">
        <f>IF(OR($C572="",$D572&lt;&gt;"Gelir",$L572=""),"",IFERROR(INDEX(MUSTERILER!$B$7:$B$156,MATCH($S572,MUSTERILER!$T$7:$T$156,0)),""))</f>
        <v/>
      </c>
      <c r="U572" s="1" t="str">
        <f>IF($T572="","",$T572&amp;"|"&amp;COUNTIFS($T$7:$T572,$T572))</f>
        <v/>
      </c>
      <c r="V572" s="1">
        <f t="shared" si="72"/>
        <v>0</v>
      </c>
      <c r="W572" s="1" t="str">
        <f t="shared" si="73"/>
        <v/>
      </c>
      <c r="X572" s="1"/>
      <c r="Y572" s="1"/>
      <c r="Z572" s="1"/>
      <c r="AA572" s="1"/>
      <c r="AB572" s="1"/>
      <c r="AC572" s="1"/>
      <c r="AD572" s="1">
        <f>IF($C572="",0,SUMPRODUCT((AY_SONU!$O$7:$O$42="Evet")*(AY_SONU!$B$7:$B$42=DATE(YEAR($C572),MONTH($C572),1))))</f>
        <v>0</v>
      </c>
      <c r="AE572" s="1" t="str">
        <f>IF($E572="","",$E572&amp;"|"&amp;COUNTIFS($E$7:$E572,$E572))</f>
        <v/>
      </c>
    </row>
    <row r="573" spans="1:31" ht="18" customHeight="1" x14ac:dyDescent="0.3">
      <c r="A573" s="2"/>
      <c r="B573" s="65" t="str">
        <f t="shared" si="66"/>
        <v/>
      </c>
      <c r="C573" s="66"/>
      <c r="D573" s="60"/>
      <c r="E573" s="61"/>
      <c r="F573" s="61"/>
      <c r="G573" s="67"/>
      <c r="H573" s="60"/>
      <c r="I573" s="60"/>
      <c r="J573" s="61"/>
      <c r="K573" s="61"/>
      <c r="L573" s="60"/>
      <c r="M573" s="74" t="str">
        <f t="shared" si="67"/>
        <v/>
      </c>
      <c r="N573" s="74" t="str">
        <f t="shared" si="68"/>
        <v/>
      </c>
      <c r="O573" s="73" t="str">
        <f t="shared" si="69"/>
        <v/>
      </c>
      <c r="P573" s="65" t="str">
        <f t="shared" ca="1" si="70"/>
        <v/>
      </c>
      <c r="Q573" s="2"/>
      <c r="R573" s="2"/>
      <c r="S573" s="1" t="str">
        <f t="shared" si="71"/>
        <v/>
      </c>
      <c r="T573" s="1" t="str">
        <f>IF(OR($C573="",$D573&lt;&gt;"Gelir",$L573=""),"",IFERROR(INDEX(MUSTERILER!$B$7:$B$156,MATCH($S573,MUSTERILER!$T$7:$T$156,0)),""))</f>
        <v/>
      </c>
      <c r="U573" s="1" t="str">
        <f>IF($T573="","",$T573&amp;"|"&amp;COUNTIFS($T$7:$T573,$T573))</f>
        <v/>
      </c>
      <c r="V573" s="1">
        <f t="shared" si="72"/>
        <v>0</v>
      </c>
      <c r="W573" s="1" t="str">
        <f t="shared" si="73"/>
        <v/>
      </c>
      <c r="X573" s="1"/>
      <c r="Y573" s="1"/>
      <c r="Z573" s="1"/>
      <c r="AA573" s="1"/>
      <c r="AB573" s="1"/>
      <c r="AC573" s="1"/>
      <c r="AD573" s="1">
        <f>IF($C573="",0,SUMPRODUCT((AY_SONU!$O$7:$O$42="Evet")*(AY_SONU!$B$7:$B$42=DATE(YEAR($C573),MONTH($C573),1))))</f>
        <v>0</v>
      </c>
      <c r="AE573" s="1" t="str">
        <f>IF($E573="","",$E573&amp;"|"&amp;COUNTIFS($E$7:$E573,$E573))</f>
        <v/>
      </c>
    </row>
    <row r="574" spans="1:31" ht="18" customHeight="1" x14ac:dyDescent="0.3">
      <c r="A574" s="2"/>
      <c r="B574" s="65" t="str">
        <f t="shared" si="66"/>
        <v/>
      </c>
      <c r="C574" s="66"/>
      <c r="D574" s="60"/>
      <c r="E574" s="61"/>
      <c r="F574" s="61"/>
      <c r="G574" s="67"/>
      <c r="H574" s="60"/>
      <c r="I574" s="60"/>
      <c r="J574" s="61"/>
      <c r="K574" s="61"/>
      <c r="L574" s="60"/>
      <c r="M574" s="74" t="str">
        <f t="shared" si="67"/>
        <v/>
      </c>
      <c r="N574" s="74" t="str">
        <f t="shared" si="68"/>
        <v/>
      </c>
      <c r="O574" s="73" t="str">
        <f t="shared" si="69"/>
        <v/>
      </c>
      <c r="P574" s="65" t="str">
        <f t="shared" ca="1" si="70"/>
        <v/>
      </c>
      <c r="Q574" s="2"/>
      <c r="R574" s="2"/>
      <c r="S574" s="1" t="str">
        <f t="shared" si="71"/>
        <v/>
      </c>
      <c r="T574" s="1" t="str">
        <f>IF(OR($C574="",$D574&lt;&gt;"Gelir",$L574=""),"",IFERROR(INDEX(MUSTERILER!$B$7:$B$156,MATCH($S574,MUSTERILER!$T$7:$T$156,0)),""))</f>
        <v/>
      </c>
      <c r="U574" s="1" t="str">
        <f>IF($T574="","",$T574&amp;"|"&amp;COUNTIFS($T$7:$T574,$T574))</f>
        <v/>
      </c>
      <c r="V574" s="1">
        <f t="shared" si="72"/>
        <v>0</v>
      </c>
      <c r="W574" s="1" t="str">
        <f t="shared" si="73"/>
        <v/>
      </c>
      <c r="X574" s="1"/>
      <c r="Y574" s="1"/>
      <c r="Z574" s="1"/>
      <c r="AA574" s="1"/>
      <c r="AB574" s="1"/>
      <c r="AC574" s="1"/>
      <c r="AD574" s="1">
        <f>IF($C574="",0,SUMPRODUCT((AY_SONU!$O$7:$O$42="Evet")*(AY_SONU!$B$7:$B$42=DATE(YEAR($C574),MONTH($C574),1))))</f>
        <v>0</v>
      </c>
      <c r="AE574" s="1" t="str">
        <f>IF($E574="","",$E574&amp;"|"&amp;COUNTIFS($E$7:$E574,$E574))</f>
        <v/>
      </c>
    </row>
    <row r="575" spans="1:31" ht="18" customHeight="1" x14ac:dyDescent="0.3">
      <c r="A575" s="2"/>
      <c r="B575" s="65" t="str">
        <f t="shared" si="66"/>
        <v/>
      </c>
      <c r="C575" s="66"/>
      <c r="D575" s="60"/>
      <c r="E575" s="61"/>
      <c r="F575" s="61"/>
      <c r="G575" s="67"/>
      <c r="H575" s="60"/>
      <c r="I575" s="60"/>
      <c r="J575" s="61"/>
      <c r="K575" s="61"/>
      <c r="L575" s="60"/>
      <c r="M575" s="74" t="str">
        <f t="shared" si="67"/>
        <v/>
      </c>
      <c r="N575" s="74" t="str">
        <f t="shared" si="68"/>
        <v/>
      </c>
      <c r="O575" s="73" t="str">
        <f t="shared" si="69"/>
        <v/>
      </c>
      <c r="P575" s="65" t="str">
        <f t="shared" ca="1" si="70"/>
        <v/>
      </c>
      <c r="Q575" s="2"/>
      <c r="R575" s="2"/>
      <c r="S575" s="1" t="str">
        <f t="shared" si="71"/>
        <v/>
      </c>
      <c r="T575" s="1" t="str">
        <f>IF(OR($C575="",$D575&lt;&gt;"Gelir",$L575=""),"",IFERROR(INDEX(MUSTERILER!$B$7:$B$156,MATCH($S575,MUSTERILER!$T$7:$T$156,0)),""))</f>
        <v/>
      </c>
      <c r="U575" s="1" t="str">
        <f>IF($T575="","",$T575&amp;"|"&amp;COUNTIFS($T$7:$T575,$T575))</f>
        <v/>
      </c>
      <c r="V575" s="1">
        <f t="shared" si="72"/>
        <v>0</v>
      </c>
      <c r="W575" s="1" t="str">
        <f t="shared" si="73"/>
        <v/>
      </c>
      <c r="X575" s="1"/>
      <c r="Y575" s="1"/>
      <c r="Z575" s="1"/>
      <c r="AA575" s="1"/>
      <c r="AB575" s="1"/>
      <c r="AC575" s="1"/>
      <c r="AD575" s="1">
        <f>IF($C575="",0,SUMPRODUCT((AY_SONU!$O$7:$O$42="Evet")*(AY_SONU!$B$7:$B$42=DATE(YEAR($C575),MONTH($C575),1))))</f>
        <v>0</v>
      </c>
      <c r="AE575" s="1" t="str">
        <f>IF($E575="","",$E575&amp;"|"&amp;COUNTIFS($E$7:$E575,$E575))</f>
        <v/>
      </c>
    </row>
    <row r="576" spans="1:31" ht="18" customHeight="1" x14ac:dyDescent="0.3">
      <c r="A576" s="2"/>
      <c r="B576" s="65" t="str">
        <f t="shared" si="66"/>
        <v/>
      </c>
      <c r="C576" s="66"/>
      <c r="D576" s="60"/>
      <c r="E576" s="61"/>
      <c r="F576" s="61"/>
      <c r="G576" s="67"/>
      <c r="H576" s="60"/>
      <c r="I576" s="60"/>
      <c r="J576" s="61"/>
      <c r="K576" s="61"/>
      <c r="L576" s="60"/>
      <c r="M576" s="74" t="str">
        <f t="shared" si="67"/>
        <v/>
      </c>
      <c r="N576" s="74" t="str">
        <f t="shared" si="68"/>
        <v/>
      </c>
      <c r="O576" s="73" t="str">
        <f t="shared" si="69"/>
        <v/>
      </c>
      <c r="P576" s="65" t="str">
        <f t="shared" ca="1" si="70"/>
        <v/>
      </c>
      <c r="Q576" s="2"/>
      <c r="R576" s="2"/>
      <c r="S576" s="1" t="str">
        <f t="shared" si="71"/>
        <v/>
      </c>
      <c r="T576" s="1" t="str">
        <f>IF(OR($C576="",$D576&lt;&gt;"Gelir",$L576=""),"",IFERROR(INDEX(MUSTERILER!$B$7:$B$156,MATCH($S576,MUSTERILER!$T$7:$T$156,0)),""))</f>
        <v/>
      </c>
      <c r="U576" s="1" t="str">
        <f>IF($T576="","",$T576&amp;"|"&amp;COUNTIFS($T$7:$T576,$T576))</f>
        <v/>
      </c>
      <c r="V576" s="1">
        <f t="shared" si="72"/>
        <v>0</v>
      </c>
      <c r="W576" s="1" t="str">
        <f t="shared" si="73"/>
        <v/>
      </c>
      <c r="X576" s="1"/>
      <c r="Y576" s="1"/>
      <c r="Z576" s="1"/>
      <c r="AA576" s="1"/>
      <c r="AB576" s="1"/>
      <c r="AC576" s="1"/>
      <c r="AD576" s="1">
        <f>IF($C576="",0,SUMPRODUCT((AY_SONU!$O$7:$O$42="Evet")*(AY_SONU!$B$7:$B$42=DATE(YEAR($C576),MONTH($C576),1))))</f>
        <v>0</v>
      </c>
      <c r="AE576" s="1" t="str">
        <f>IF($E576="","",$E576&amp;"|"&amp;COUNTIFS($E$7:$E576,$E576))</f>
        <v/>
      </c>
    </row>
    <row r="577" spans="1:31" ht="18" customHeight="1" x14ac:dyDescent="0.3">
      <c r="A577" s="2"/>
      <c r="B577" s="65" t="str">
        <f t="shared" si="66"/>
        <v/>
      </c>
      <c r="C577" s="66"/>
      <c r="D577" s="60"/>
      <c r="E577" s="61"/>
      <c r="F577" s="61"/>
      <c r="G577" s="67"/>
      <c r="H577" s="60"/>
      <c r="I577" s="60"/>
      <c r="J577" s="61"/>
      <c r="K577" s="61"/>
      <c r="L577" s="60"/>
      <c r="M577" s="74" t="str">
        <f t="shared" si="67"/>
        <v/>
      </c>
      <c r="N577" s="74" t="str">
        <f t="shared" si="68"/>
        <v/>
      </c>
      <c r="O577" s="73" t="str">
        <f t="shared" si="69"/>
        <v/>
      </c>
      <c r="P577" s="65" t="str">
        <f t="shared" ca="1" si="70"/>
        <v/>
      </c>
      <c r="Q577" s="2"/>
      <c r="R577" s="2"/>
      <c r="S577" s="1" t="str">
        <f t="shared" si="71"/>
        <v/>
      </c>
      <c r="T577" s="1" t="str">
        <f>IF(OR($C577="",$D577&lt;&gt;"Gelir",$L577=""),"",IFERROR(INDEX(MUSTERILER!$B$7:$B$156,MATCH($S577,MUSTERILER!$T$7:$T$156,0)),""))</f>
        <v/>
      </c>
      <c r="U577" s="1" t="str">
        <f>IF($T577="","",$T577&amp;"|"&amp;COUNTIFS($T$7:$T577,$T577))</f>
        <v/>
      </c>
      <c r="V577" s="1">
        <f t="shared" si="72"/>
        <v>0</v>
      </c>
      <c r="W577" s="1" t="str">
        <f t="shared" si="73"/>
        <v/>
      </c>
      <c r="X577" s="1"/>
      <c r="Y577" s="1"/>
      <c r="Z577" s="1"/>
      <c r="AA577" s="1"/>
      <c r="AB577" s="1"/>
      <c r="AC577" s="1"/>
      <c r="AD577" s="1">
        <f>IF($C577="",0,SUMPRODUCT((AY_SONU!$O$7:$O$42="Evet")*(AY_SONU!$B$7:$B$42=DATE(YEAR($C577),MONTH($C577),1))))</f>
        <v>0</v>
      </c>
      <c r="AE577" s="1" t="str">
        <f>IF($E577="","",$E577&amp;"|"&amp;COUNTIFS($E$7:$E577,$E577))</f>
        <v/>
      </c>
    </row>
    <row r="578" spans="1:31" ht="18" customHeight="1" x14ac:dyDescent="0.3">
      <c r="A578" s="2"/>
      <c r="B578" s="65" t="str">
        <f t="shared" si="66"/>
        <v/>
      </c>
      <c r="C578" s="66"/>
      <c r="D578" s="60"/>
      <c r="E578" s="61"/>
      <c r="F578" s="61"/>
      <c r="G578" s="67"/>
      <c r="H578" s="60"/>
      <c r="I578" s="60"/>
      <c r="J578" s="61"/>
      <c r="K578" s="61"/>
      <c r="L578" s="60"/>
      <c r="M578" s="74" t="str">
        <f t="shared" si="67"/>
        <v/>
      </c>
      <c r="N578" s="74" t="str">
        <f t="shared" si="68"/>
        <v/>
      </c>
      <c r="O578" s="73" t="str">
        <f t="shared" si="69"/>
        <v/>
      </c>
      <c r="P578" s="65" t="str">
        <f t="shared" ca="1" si="70"/>
        <v/>
      </c>
      <c r="Q578" s="2"/>
      <c r="R578" s="2"/>
      <c r="S578" s="1" t="str">
        <f t="shared" si="71"/>
        <v/>
      </c>
      <c r="T578" s="1" t="str">
        <f>IF(OR($C578="",$D578&lt;&gt;"Gelir",$L578=""),"",IFERROR(INDEX(MUSTERILER!$B$7:$B$156,MATCH($S578,MUSTERILER!$T$7:$T$156,0)),""))</f>
        <v/>
      </c>
      <c r="U578" s="1" t="str">
        <f>IF($T578="","",$T578&amp;"|"&amp;COUNTIFS($T$7:$T578,$T578))</f>
        <v/>
      </c>
      <c r="V578" s="1">
        <f t="shared" si="72"/>
        <v>0</v>
      </c>
      <c r="W578" s="1" t="str">
        <f t="shared" si="73"/>
        <v/>
      </c>
      <c r="X578" s="1"/>
      <c r="Y578" s="1"/>
      <c r="Z578" s="1"/>
      <c r="AA578" s="1"/>
      <c r="AB578" s="1"/>
      <c r="AC578" s="1"/>
      <c r="AD578" s="1">
        <f>IF($C578="",0,SUMPRODUCT((AY_SONU!$O$7:$O$42="Evet")*(AY_SONU!$B$7:$B$42=DATE(YEAR($C578),MONTH($C578),1))))</f>
        <v>0</v>
      </c>
      <c r="AE578" s="1" t="str">
        <f>IF($E578="","",$E578&amp;"|"&amp;COUNTIFS($E$7:$E578,$E578))</f>
        <v/>
      </c>
    </row>
    <row r="579" spans="1:31" ht="18" customHeight="1" x14ac:dyDescent="0.3">
      <c r="A579" s="2"/>
      <c r="B579" s="65" t="str">
        <f t="shared" si="66"/>
        <v/>
      </c>
      <c r="C579" s="66"/>
      <c r="D579" s="60"/>
      <c r="E579" s="61"/>
      <c r="F579" s="61"/>
      <c r="G579" s="67"/>
      <c r="H579" s="60"/>
      <c r="I579" s="60"/>
      <c r="J579" s="61"/>
      <c r="K579" s="61"/>
      <c r="L579" s="60"/>
      <c r="M579" s="74" t="str">
        <f t="shared" si="67"/>
        <v/>
      </c>
      <c r="N579" s="74" t="str">
        <f t="shared" si="68"/>
        <v/>
      </c>
      <c r="O579" s="73" t="str">
        <f t="shared" si="69"/>
        <v/>
      </c>
      <c r="P579" s="65" t="str">
        <f t="shared" ca="1" si="70"/>
        <v/>
      </c>
      <c r="Q579" s="2"/>
      <c r="R579" s="2"/>
      <c r="S579" s="1" t="str">
        <f t="shared" si="71"/>
        <v/>
      </c>
      <c r="T579" s="1" t="str">
        <f>IF(OR($C579="",$D579&lt;&gt;"Gelir",$L579=""),"",IFERROR(INDEX(MUSTERILER!$B$7:$B$156,MATCH($S579,MUSTERILER!$T$7:$T$156,0)),""))</f>
        <v/>
      </c>
      <c r="U579" s="1" t="str">
        <f>IF($T579="","",$T579&amp;"|"&amp;COUNTIFS($T$7:$T579,$T579))</f>
        <v/>
      </c>
      <c r="V579" s="1">
        <f t="shared" si="72"/>
        <v>0</v>
      </c>
      <c r="W579" s="1" t="str">
        <f t="shared" si="73"/>
        <v/>
      </c>
      <c r="X579" s="1"/>
      <c r="Y579" s="1"/>
      <c r="Z579" s="1"/>
      <c r="AA579" s="1"/>
      <c r="AB579" s="1"/>
      <c r="AC579" s="1"/>
      <c r="AD579" s="1">
        <f>IF($C579="",0,SUMPRODUCT((AY_SONU!$O$7:$O$42="Evet")*(AY_SONU!$B$7:$B$42=DATE(YEAR($C579),MONTH($C579),1))))</f>
        <v>0</v>
      </c>
      <c r="AE579" s="1" t="str">
        <f>IF($E579="","",$E579&amp;"|"&amp;COUNTIFS($E$7:$E579,$E579))</f>
        <v/>
      </c>
    </row>
    <row r="580" spans="1:31" ht="18" customHeight="1" x14ac:dyDescent="0.3">
      <c r="A580" s="2"/>
      <c r="B580" s="65" t="str">
        <f t="shared" si="66"/>
        <v/>
      </c>
      <c r="C580" s="66"/>
      <c r="D580" s="60"/>
      <c r="E580" s="61"/>
      <c r="F580" s="61"/>
      <c r="G580" s="67"/>
      <c r="H580" s="60"/>
      <c r="I580" s="60"/>
      <c r="J580" s="61"/>
      <c r="K580" s="61"/>
      <c r="L580" s="60"/>
      <c r="M580" s="74" t="str">
        <f t="shared" si="67"/>
        <v/>
      </c>
      <c r="N580" s="74" t="str">
        <f t="shared" si="68"/>
        <v/>
      </c>
      <c r="O580" s="73" t="str">
        <f t="shared" si="69"/>
        <v/>
      </c>
      <c r="P580" s="65" t="str">
        <f t="shared" ca="1" si="70"/>
        <v/>
      </c>
      <c r="Q580" s="2"/>
      <c r="R580" s="2"/>
      <c r="S580" s="1" t="str">
        <f t="shared" si="71"/>
        <v/>
      </c>
      <c r="T580" s="1" t="str">
        <f>IF(OR($C580="",$D580&lt;&gt;"Gelir",$L580=""),"",IFERROR(INDEX(MUSTERILER!$B$7:$B$156,MATCH($S580,MUSTERILER!$T$7:$T$156,0)),""))</f>
        <v/>
      </c>
      <c r="U580" s="1" t="str">
        <f>IF($T580="","",$T580&amp;"|"&amp;COUNTIFS($T$7:$T580,$T580))</f>
        <v/>
      </c>
      <c r="V580" s="1">
        <f t="shared" si="72"/>
        <v>0</v>
      </c>
      <c r="W580" s="1" t="str">
        <f t="shared" si="73"/>
        <v/>
      </c>
      <c r="X580" s="1"/>
      <c r="Y580" s="1"/>
      <c r="Z580" s="1"/>
      <c r="AA580" s="1"/>
      <c r="AB580" s="1"/>
      <c r="AC580" s="1"/>
      <c r="AD580" s="1">
        <f>IF($C580="",0,SUMPRODUCT((AY_SONU!$O$7:$O$42="Evet")*(AY_SONU!$B$7:$B$42=DATE(YEAR($C580),MONTH($C580),1))))</f>
        <v>0</v>
      </c>
      <c r="AE580" s="1" t="str">
        <f>IF($E580="","",$E580&amp;"|"&amp;COUNTIFS($E$7:$E580,$E580))</f>
        <v/>
      </c>
    </row>
    <row r="581" spans="1:31" ht="18" customHeight="1" x14ac:dyDescent="0.3">
      <c r="A581" s="2"/>
      <c r="B581" s="65" t="str">
        <f t="shared" si="66"/>
        <v/>
      </c>
      <c r="C581" s="66"/>
      <c r="D581" s="60"/>
      <c r="E581" s="61"/>
      <c r="F581" s="61"/>
      <c r="G581" s="67"/>
      <c r="H581" s="60"/>
      <c r="I581" s="60"/>
      <c r="J581" s="61"/>
      <c r="K581" s="61"/>
      <c r="L581" s="60"/>
      <c r="M581" s="74" t="str">
        <f t="shared" si="67"/>
        <v/>
      </c>
      <c r="N581" s="74" t="str">
        <f t="shared" si="68"/>
        <v/>
      </c>
      <c r="O581" s="73" t="str">
        <f t="shared" si="69"/>
        <v/>
      </c>
      <c r="P581" s="65" t="str">
        <f t="shared" ca="1" si="70"/>
        <v/>
      </c>
      <c r="Q581" s="2"/>
      <c r="R581" s="2"/>
      <c r="S581" s="1" t="str">
        <f t="shared" si="71"/>
        <v/>
      </c>
      <c r="T581" s="1" t="str">
        <f>IF(OR($C581="",$D581&lt;&gt;"Gelir",$L581=""),"",IFERROR(INDEX(MUSTERILER!$B$7:$B$156,MATCH($S581,MUSTERILER!$T$7:$T$156,0)),""))</f>
        <v/>
      </c>
      <c r="U581" s="1" t="str">
        <f>IF($T581="","",$T581&amp;"|"&amp;COUNTIFS($T$7:$T581,$T581))</f>
        <v/>
      </c>
      <c r="V581" s="1">
        <f t="shared" si="72"/>
        <v>0</v>
      </c>
      <c r="W581" s="1" t="str">
        <f t="shared" si="73"/>
        <v/>
      </c>
      <c r="X581" s="1"/>
      <c r="Y581" s="1"/>
      <c r="Z581" s="1"/>
      <c r="AA581" s="1"/>
      <c r="AB581" s="1"/>
      <c r="AC581" s="1"/>
      <c r="AD581" s="1">
        <f>IF($C581="",0,SUMPRODUCT((AY_SONU!$O$7:$O$42="Evet")*(AY_SONU!$B$7:$B$42=DATE(YEAR($C581),MONTH($C581),1))))</f>
        <v>0</v>
      </c>
      <c r="AE581" s="1" t="str">
        <f>IF($E581="","",$E581&amp;"|"&amp;COUNTIFS($E$7:$E581,$E581))</f>
        <v/>
      </c>
    </row>
    <row r="582" spans="1:31" ht="18" customHeight="1" x14ac:dyDescent="0.3">
      <c r="A582" s="2"/>
      <c r="B582" s="65" t="str">
        <f t="shared" si="66"/>
        <v/>
      </c>
      <c r="C582" s="66"/>
      <c r="D582" s="60"/>
      <c r="E582" s="61"/>
      <c r="F582" s="61"/>
      <c r="G582" s="67"/>
      <c r="H582" s="60"/>
      <c r="I582" s="60"/>
      <c r="J582" s="61"/>
      <c r="K582" s="61"/>
      <c r="L582" s="60"/>
      <c r="M582" s="74" t="str">
        <f t="shared" si="67"/>
        <v/>
      </c>
      <c r="N582" s="74" t="str">
        <f t="shared" si="68"/>
        <v/>
      </c>
      <c r="O582" s="73" t="str">
        <f t="shared" si="69"/>
        <v/>
      </c>
      <c r="P582" s="65" t="str">
        <f t="shared" ca="1" si="70"/>
        <v/>
      </c>
      <c r="Q582" s="2"/>
      <c r="R582" s="2"/>
      <c r="S582" s="1" t="str">
        <f t="shared" si="71"/>
        <v/>
      </c>
      <c r="T582" s="1" t="str">
        <f>IF(OR($C582="",$D582&lt;&gt;"Gelir",$L582=""),"",IFERROR(INDEX(MUSTERILER!$B$7:$B$156,MATCH($S582,MUSTERILER!$T$7:$T$156,0)),""))</f>
        <v/>
      </c>
      <c r="U582" s="1" t="str">
        <f>IF($T582="","",$T582&amp;"|"&amp;COUNTIFS($T$7:$T582,$T582))</f>
        <v/>
      </c>
      <c r="V582" s="1">
        <f t="shared" si="72"/>
        <v>0</v>
      </c>
      <c r="W582" s="1" t="str">
        <f t="shared" si="73"/>
        <v/>
      </c>
      <c r="X582" s="1"/>
      <c r="Y582" s="1"/>
      <c r="Z582" s="1"/>
      <c r="AA582" s="1"/>
      <c r="AB582" s="1"/>
      <c r="AC582" s="1"/>
      <c r="AD582" s="1">
        <f>IF($C582="",0,SUMPRODUCT((AY_SONU!$O$7:$O$42="Evet")*(AY_SONU!$B$7:$B$42=DATE(YEAR($C582),MONTH($C582),1))))</f>
        <v>0</v>
      </c>
      <c r="AE582" s="1" t="str">
        <f>IF($E582="","",$E582&amp;"|"&amp;COUNTIFS($E$7:$E582,$E582))</f>
        <v/>
      </c>
    </row>
    <row r="583" spans="1:31" ht="18" customHeight="1" x14ac:dyDescent="0.3">
      <c r="A583" s="2"/>
      <c r="B583" s="65" t="str">
        <f t="shared" ref="B583:B646" si="74">IF($C583="","","GG"&amp;TEXT(ROW()-6,"00000"))</f>
        <v/>
      </c>
      <c r="C583" s="66"/>
      <c r="D583" s="60"/>
      <c r="E583" s="61"/>
      <c r="F583" s="61"/>
      <c r="G583" s="67"/>
      <c r="H583" s="60"/>
      <c r="I583" s="60"/>
      <c r="J583" s="61"/>
      <c r="K583" s="61"/>
      <c r="L583" s="60"/>
      <c r="M583" s="74" t="str">
        <f t="shared" ref="M583:M646" si="75">IF($C583="","",IF($D583="Gider",$E583,IF($L583&lt;&gt;"",$L583,$H583)))</f>
        <v/>
      </c>
      <c r="N583" s="74" t="str">
        <f t="shared" ref="N583:N646" si="76">IF($C583="","",IF($D583="Gider",$H583,$E583))</f>
        <v/>
      </c>
      <c r="O583" s="73" t="str">
        <f t="shared" ref="O583:O646" si="77">IF($C583="","",DATE(YEAR($C583),MONTH($C583),1))</f>
        <v/>
      </c>
      <c r="P583" s="65" t="str">
        <f t="shared" ref="P583:P646" ca="1" si="78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TARİH",IF(COUNTIF($W$7:$W$3006,$W583)&gt;1,"MÜKERRER?",IF($AD583&gt;0,"KAPALI DÖNEM",IF($I583="Hayır","ÖDENECEK","UYGUN")))),"EKSİK"))))</f>
        <v/>
      </c>
      <c r="Q583" s="2"/>
      <c r="R583" s="2"/>
      <c r="S583" s="1" t="str">
        <f t="shared" ref="S583:S646" si="79"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1" t="str">
        <f>IF(OR($C583="",$D583&lt;&gt;"Gelir",$L583=""),"",IFERROR(INDEX(MUSTERILER!$B$7:$B$156,MATCH($S583,MUSTERILER!$T$7:$T$156,0)),""))</f>
        <v/>
      </c>
      <c r="U583" s="1" t="str">
        <f>IF($T583="","",$T583&amp;"|"&amp;COUNTIFS($T$7:$T583,$T583))</f>
        <v/>
      </c>
      <c r="V583" s="1">
        <f t="shared" ref="V583:V646" si="80">IF($T583="",0,1)</f>
        <v>0</v>
      </c>
      <c r="W583" s="1" t="str">
        <f t="shared" ref="W583:W646" si="81">IF($C583="","",$D583&amp;"|"&amp;$E583&amp;"|"&amp;TEXT($C583,"0")&amp;"|"&amp;TEXT($G583,"0")&amp;"|"&amp;$J583)</f>
        <v/>
      </c>
      <c r="X583" s="1"/>
      <c r="Y583" s="1"/>
      <c r="Z583" s="1"/>
      <c r="AA583" s="1"/>
      <c r="AB583" s="1"/>
      <c r="AC583" s="1"/>
      <c r="AD583" s="1">
        <f>IF($C583="",0,SUMPRODUCT((AY_SONU!$O$7:$O$42="Evet")*(AY_SONU!$B$7:$B$42=DATE(YEAR($C583),MONTH($C583),1))))</f>
        <v>0</v>
      </c>
      <c r="AE583" s="1" t="str">
        <f>IF($E583="","",$E583&amp;"|"&amp;COUNTIFS($E$7:$E583,$E583))</f>
        <v/>
      </c>
    </row>
    <row r="584" spans="1:31" ht="18" customHeight="1" x14ac:dyDescent="0.3">
      <c r="A584" s="2"/>
      <c r="B584" s="65" t="str">
        <f t="shared" si="74"/>
        <v/>
      </c>
      <c r="C584" s="66"/>
      <c r="D584" s="60"/>
      <c r="E584" s="61"/>
      <c r="F584" s="61"/>
      <c r="G584" s="67"/>
      <c r="H584" s="60"/>
      <c r="I584" s="60"/>
      <c r="J584" s="61"/>
      <c r="K584" s="61"/>
      <c r="L584" s="60"/>
      <c r="M584" s="74" t="str">
        <f t="shared" si="75"/>
        <v/>
      </c>
      <c r="N584" s="74" t="str">
        <f t="shared" si="76"/>
        <v/>
      </c>
      <c r="O584" s="73" t="str">
        <f t="shared" si="77"/>
        <v/>
      </c>
      <c r="P584" s="65" t="str">
        <f t="shared" ca="1" si="78"/>
        <v/>
      </c>
      <c r="Q584" s="2"/>
      <c r="R584" s="2"/>
      <c r="S584" s="1" t="str">
        <f t="shared" si="79"/>
        <v/>
      </c>
      <c r="T584" s="1" t="str">
        <f>IF(OR($C584="",$D584&lt;&gt;"Gelir",$L584=""),"",IFERROR(INDEX(MUSTERILER!$B$7:$B$156,MATCH($S584,MUSTERILER!$T$7:$T$156,0)),""))</f>
        <v/>
      </c>
      <c r="U584" s="1" t="str">
        <f>IF($T584="","",$T584&amp;"|"&amp;COUNTIFS($T$7:$T584,$T584))</f>
        <v/>
      </c>
      <c r="V584" s="1">
        <f t="shared" si="80"/>
        <v>0</v>
      </c>
      <c r="W584" s="1" t="str">
        <f t="shared" si="81"/>
        <v/>
      </c>
      <c r="X584" s="1"/>
      <c r="Y584" s="1"/>
      <c r="Z584" s="1"/>
      <c r="AA584" s="1"/>
      <c r="AB584" s="1"/>
      <c r="AC584" s="1"/>
      <c r="AD584" s="1">
        <f>IF($C584="",0,SUMPRODUCT((AY_SONU!$O$7:$O$42="Evet")*(AY_SONU!$B$7:$B$42=DATE(YEAR($C584),MONTH($C584),1))))</f>
        <v>0</v>
      </c>
      <c r="AE584" s="1" t="str">
        <f>IF($E584="","",$E584&amp;"|"&amp;COUNTIFS($E$7:$E584,$E584))</f>
        <v/>
      </c>
    </row>
    <row r="585" spans="1:31" ht="18" customHeight="1" x14ac:dyDescent="0.3">
      <c r="A585" s="2"/>
      <c r="B585" s="65" t="str">
        <f t="shared" si="74"/>
        <v/>
      </c>
      <c r="C585" s="66"/>
      <c r="D585" s="60"/>
      <c r="E585" s="61"/>
      <c r="F585" s="61"/>
      <c r="G585" s="67"/>
      <c r="H585" s="60"/>
      <c r="I585" s="60"/>
      <c r="J585" s="61"/>
      <c r="K585" s="61"/>
      <c r="L585" s="60"/>
      <c r="M585" s="74" t="str">
        <f t="shared" si="75"/>
        <v/>
      </c>
      <c r="N585" s="74" t="str">
        <f t="shared" si="76"/>
        <v/>
      </c>
      <c r="O585" s="73" t="str">
        <f t="shared" si="77"/>
        <v/>
      </c>
      <c r="P585" s="65" t="str">
        <f t="shared" ca="1" si="78"/>
        <v/>
      </c>
      <c r="Q585" s="2"/>
      <c r="R585" s="2"/>
      <c r="S585" s="1" t="str">
        <f t="shared" si="79"/>
        <v/>
      </c>
      <c r="T585" s="1" t="str">
        <f>IF(OR($C585="",$D585&lt;&gt;"Gelir",$L585=""),"",IFERROR(INDEX(MUSTERILER!$B$7:$B$156,MATCH($S585,MUSTERILER!$T$7:$T$156,0)),""))</f>
        <v/>
      </c>
      <c r="U585" s="1" t="str">
        <f>IF($T585="","",$T585&amp;"|"&amp;COUNTIFS($T$7:$T585,$T585))</f>
        <v/>
      </c>
      <c r="V585" s="1">
        <f t="shared" si="80"/>
        <v>0</v>
      </c>
      <c r="W585" s="1" t="str">
        <f t="shared" si="81"/>
        <v/>
      </c>
      <c r="X585" s="1"/>
      <c r="Y585" s="1"/>
      <c r="Z585" s="1"/>
      <c r="AA585" s="1"/>
      <c r="AB585" s="1"/>
      <c r="AC585" s="1"/>
      <c r="AD585" s="1">
        <f>IF($C585="",0,SUMPRODUCT((AY_SONU!$O$7:$O$42="Evet")*(AY_SONU!$B$7:$B$42=DATE(YEAR($C585),MONTH($C585),1))))</f>
        <v>0</v>
      </c>
      <c r="AE585" s="1" t="str">
        <f>IF($E585="","",$E585&amp;"|"&amp;COUNTIFS($E$7:$E585,$E585))</f>
        <v/>
      </c>
    </row>
    <row r="586" spans="1:31" ht="18" customHeight="1" x14ac:dyDescent="0.3">
      <c r="A586" s="2"/>
      <c r="B586" s="65" t="str">
        <f t="shared" si="74"/>
        <v/>
      </c>
      <c r="C586" s="66"/>
      <c r="D586" s="60"/>
      <c r="E586" s="61"/>
      <c r="F586" s="61"/>
      <c r="G586" s="67"/>
      <c r="H586" s="60"/>
      <c r="I586" s="60"/>
      <c r="J586" s="61"/>
      <c r="K586" s="61"/>
      <c r="L586" s="60"/>
      <c r="M586" s="74" t="str">
        <f t="shared" si="75"/>
        <v/>
      </c>
      <c r="N586" s="74" t="str">
        <f t="shared" si="76"/>
        <v/>
      </c>
      <c r="O586" s="73" t="str">
        <f t="shared" si="77"/>
        <v/>
      </c>
      <c r="P586" s="65" t="str">
        <f t="shared" ca="1" si="78"/>
        <v/>
      </c>
      <c r="Q586" s="2"/>
      <c r="R586" s="2"/>
      <c r="S586" s="1" t="str">
        <f t="shared" si="79"/>
        <v/>
      </c>
      <c r="T586" s="1" t="str">
        <f>IF(OR($C586="",$D586&lt;&gt;"Gelir",$L586=""),"",IFERROR(INDEX(MUSTERILER!$B$7:$B$156,MATCH($S586,MUSTERILER!$T$7:$T$156,0)),""))</f>
        <v/>
      </c>
      <c r="U586" s="1" t="str">
        <f>IF($T586="","",$T586&amp;"|"&amp;COUNTIFS($T$7:$T586,$T586))</f>
        <v/>
      </c>
      <c r="V586" s="1">
        <f t="shared" si="80"/>
        <v>0</v>
      </c>
      <c r="W586" s="1" t="str">
        <f t="shared" si="81"/>
        <v/>
      </c>
      <c r="X586" s="1"/>
      <c r="Y586" s="1"/>
      <c r="Z586" s="1"/>
      <c r="AA586" s="1"/>
      <c r="AB586" s="1"/>
      <c r="AC586" s="1"/>
      <c r="AD586" s="1">
        <f>IF($C586="",0,SUMPRODUCT((AY_SONU!$O$7:$O$42="Evet")*(AY_SONU!$B$7:$B$42=DATE(YEAR($C586),MONTH($C586),1))))</f>
        <v>0</v>
      </c>
      <c r="AE586" s="1" t="str">
        <f>IF($E586="","",$E586&amp;"|"&amp;COUNTIFS($E$7:$E586,$E586))</f>
        <v/>
      </c>
    </row>
    <row r="587" spans="1:31" ht="18" customHeight="1" x14ac:dyDescent="0.3">
      <c r="A587" s="2"/>
      <c r="B587" s="65" t="str">
        <f t="shared" si="74"/>
        <v/>
      </c>
      <c r="C587" s="66"/>
      <c r="D587" s="60"/>
      <c r="E587" s="61"/>
      <c r="F587" s="61"/>
      <c r="G587" s="67"/>
      <c r="H587" s="60"/>
      <c r="I587" s="60"/>
      <c r="J587" s="61"/>
      <c r="K587" s="61"/>
      <c r="L587" s="60"/>
      <c r="M587" s="74" t="str">
        <f t="shared" si="75"/>
        <v/>
      </c>
      <c r="N587" s="74" t="str">
        <f t="shared" si="76"/>
        <v/>
      </c>
      <c r="O587" s="73" t="str">
        <f t="shared" si="77"/>
        <v/>
      </c>
      <c r="P587" s="65" t="str">
        <f t="shared" ca="1" si="78"/>
        <v/>
      </c>
      <c r="Q587" s="2"/>
      <c r="R587" s="2"/>
      <c r="S587" s="1" t="str">
        <f t="shared" si="79"/>
        <v/>
      </c>
      <c r="T587" s="1" t="str">
        <f>IF(OR($C587="",$D587&lt;&gt;"Gelir",$L587=""),"",IFERROR(INDEX(MUSTERILER!$B$7:$B$156,MATCH($S587,MUSTERILER!$T$7:$T$156,0)),""))</f>
        <v/>
      </c>
      <c r="U587" s="1" t="str">
        <f>IF($T587="","",$T587&amp;"|"&amp;COUNTIFS($T$7:$T587,$T587))</f>
        <v/>
      </c>
      <c r="V587" s="1">
        <f t="shared" si="80"/>
        <v>0</v>
      </c>
      <c r="W587" s="1" t="str">
        <f t="shared" si="81"/>
        <v/>
      </c>
      <c r="X587" s="1"/>
      <c r="Y587" s="1"/>
      <c r="Z587" s="1"/>
      <c r="AA587" s="1"/>
      <c r="AB587" s="1"/>
      <c r="AC587" s="1"/>
      <c r="AD587" s="1">
        <f>IF($C587="",0,SUMPRODUCT((AY_SONU!$O$7:$O$42="Evet")*(AY_SONU!$B$7:$B$42=DATE(YEAR($C587),MONTH($C587),1))))</f>
        <v>0</v>
      </c>
      <c r="AE587" s="1" t="str">
        <f>IF($E587="","",$E587&amp;"|"&amp;COUNTIFS($E$7:$E587,$E587))</f>
        <v/>
      </c>
    </row>
    <row r="588" spans="1:31" ht="18" customHeight="1" x14ac:dyDescent="0.3">
      <c r="A588" s="2"/>
      <c r="B588" s="65" t="str">
        <f t="shared" si="74"/>
        <v/>
      </c>
      <c r="C588" s="66"/>
      <c r="D588" s="60"/>
      <c r="E588" s="61"/>
      <c r="F588" s="61"/>
      <c r="G588" s="67"/>
      <c r="H588" s="60"/>
      <c r="I588" s="60"/>
      <c r="J588" s="61"/>
      <c r="K588" s="61"/>
      <c r="L588" s="60"/>
      <c r="M588" s="74" t="str">
        <f t="shared" si="75"/>
        <v/>
      </c>
      <c r="N588" s="74" t="str">
        <f t="shared" si="76"/>
        <v/>
      </c>
      <c r="O588" s="73" t="str">
        <f t="shared" si="77"/>
        <v/>
      </c>
      <c r="P588" s="65" t="str">
        <f t="shared" ca="1" si="78"/>
        <v/>
      </c>
      <c r="Q588" s="2"/>
      <c r="R588" s="2"/>
      <c r="S588" s="1" t="str">
        <f t="shared" si="79"/>
        <v/>
      </c>
      <c r="T588" s="1" t="str">
        <f>IF(OR($C588="",$D588&lt;&gt;"Gelir",$L588=""),"",IFERROR(INDEX(MUSTERILER!$B$7:$B$156,MATCH($S588,MUSTERILER!$T$7:$T$156,0)),""))</f>
        <v/>
      </c>
      <c r="U588" s="1" t="str">
        <f>IF($T588="","",$T588&amp;"|"&amp;COUNTIFS($T$7:$T588,$T588))</f>
        <v/>
      </c>
      <c r="V588" s="1">
        <f t="shared" si="80"/>
        <v>0</v>
      </c>
      <c r="W588" s="1" t="str">
        <f t="shared" si="81"/>
        <v/>
      </c>
      <c r="X588" s="1"/>
      <c r="Y588" s="1"/>
      <c r="Z588" s="1"/>
      <c r="AA588" s="1"/>
      <c r="AB588" s="1"/>
      <c r="AC588" s="1"/>
      <c r="AD588" s="1">
        <f>IF($C588="",0,SUMPRODUCT((AY_SONU!$O$7:$O$42="Evet")*(AY_SONU!$B$7:$B$42=DATE(YEAR($C588),MONTH($C588),1))))</f>
        <v>0</v>
      </c>
      <c r="AE588" s="1" t="str">
        <f>IF($E588="","",$E588&amp;"|"&amp;COUNTIFS($E$7:$E588,$E588))</f>
        <v/>
      </c>
    </row>
    <row r="589" spans="1:31" ht="18" customHeight="1" x14ac:dyDescent="0.3">
      <c r="A589" s="2"/>
      <c r="B589" s="65" t="str">
        <f t="shared" si="74"/>
        <v/>
      </c>
      <c r="C589" s="66"/>
      <c r="D589" s="60"/>
      <c r="E589" s="61"/>
      <c r="F589" s="61"/>
      <c r="G589" s="67"/>
      <c r="H589" s="60"/>
      <c r="I589" s="60"/>
      <c r="J589" s="61"/>
      <c r="K589" s="61"/>
      <c r="L589" s="60"/>
      <c r="M589" s="74" t="str">
        <f t="shared" si="75"/>
        <v/>
      </c>
      <c r="N589" s="74" t="str">
        <f t="shared" si="76"/>
        <v/>
      </c>
      <c r="O589" s="73" t="str">
        <f t="shared" si="77"/>
        <v/>
      </c>
      <c r="P589" s="65" t="str">
        <f t="shared" ca="1" si="78"/>
        <v/>
      </c>
      <c r="Q589" s="2"/>
      <c r="R589" s="2"/>
      <c r="S589" s="1" t="str">
        <f t="shared" si="79"/>
        <v/>
      </c>
      <c r="T589" s="1" t="str">
        <f>IF(OR($C589="",$D589&lt;&gt;"Gelir",$L589=""),"",IFERROR(INDEX(MUSTERILER!$B$7:$B$156,MATCH($S589,MUSTERILER!$T$7:$T$156,0)),""))</f>
        <v/>
      </c>
      <c r="U589" s="1" t="str">
        <f>IF($T589="","",$T589&amp;"|"&amp;COUNTIFS($T$7:$T589,$T589))</f>
        <v/>
      </c>
      <c r="V589" s="1">
        <f t="shared" si="80"/>
        <v>0</v>
      </c>
      <c r="W589" s="1" t="str">
        <f t="shared" si="81"/>
        <v/>
      </c>
      <c r="X589" s="1"/>
      <c r="Y589" s="1"/>
      <c r="Z589" s="1"/>
      <c r="AA589" s="1"/>
      <c r="AB589" s="1"/>
      <c r="AC589" s="1"/>
      <c r="AD589" s="1">
        <f>IF($C589="",0,SUMPRODUCT((AY_SONU!$O$7:$O$42="Evet")*(AY_SONU!$B$7:$B$42=DATE(YEAR($C589),MONTH($C589),1))))</f>
        <v>0</v>
      </c>
      <c r="AE589" s="1" t="str">
        <f>IF($E589="","",$E589&amp;"|"&amp;COUNTIFS($E$7:$E589,$E589))</f>
        <v/>
      </c>
    </row>
    <row r="590" spans="1:31" ht="18" customHeight="1" x14ac:dyDescent="0.3">
      <c r="A590" s="2"/>
      <c r="B590" s="65" t="str">
        <f t="shared" si="74"/>
        <v/>
      </c>
      <c r="C590" s="66"/>
      <c r="D590" s="60"/>
      <c r="E590" s="61"/>
      <c r="F590" s="61"/>
      <c r="G590" s="67"/>
      <c r="H590" s="60"/>
      <c r="I590" s="60"/>
      <c r="J590" s="61"/>
      <c r="K590" s="61"/>
      <c r="L590" s="60"/>
      <c r="M590" s="74" t="str">
        <f t="shared" si="75"/>
        <v/>
      </c>
      <c r="N590" s="74" t="str">
        <f t="shared" si="76"/>
        <v/>
      </c>
      <c r="O590" s="73" t="str">
        <f t="shared" si="77"/>
        <v/>
      </c>
      <c r="P590" s="65" t="str">
        <f t="shared" ca="1" si="78"/>
        <v/>
      </c>
      <c r="Q590" s="2"/>
      <c r="R590" s="2"/>
      <c r="S590" s="1" t="str">
        <f t="shared" si="79"/>
        <v/>
      </c>
      <c r="T590" s="1" t="str">
        <f>IF(OR($C590="",$D590&lt;&gt;"Gelir",$L590=""),"",IFERROR(INDEX(MUSTERILER!$B$7:$B$156,MATCH($S590,MUSTERILER!$T$7:$T$156,0)),""))</f>
        <v/>
      </c>
      <c r="U590" s="1" t="str">
        <f>IF($T590="","",$T590&amp;"|"&amp;COUNTIFS($T$7:$T590,$T590))</f>
        <v/>
      </c>
      <c r="V590" s="1">
        <f t="shared" si="80"/>
        <v>0</v>
      </c>
      <c r="W590" s="1" t="str">
        <f t="shared" si="81"/>
        <v/>
      </c>
      <c r="X590" s="1"/>
      <c r="Y590" s="1"/>
      <c r="Z590" s="1"/>
      <c r="AA590" s="1"/>
      <c r="AB590" s="1"/>
      <c r="AC590" s="1"/>
      <c r="AD590" s="1">
        <f>IF($C590="",0,SUMPRODUCT((AY_SONU!$O$7:$O$42="Evet")*(AY_SONU!$B$7:$B$42=DATE(YEAR($C590),MONTH($C590),1))))</f>
        <v>0</v>
      </c>
      <c r="AE590" s="1" t="str">
        <f>IF($E590="","",$E590&amp;"|"&amp;COUNTIFS($E$7:$E590,$E590))</f>
        <v/>
      </c>
    </row>
    <row r="591" spans="1:31" ht="18" customHeight="1" x14ac:dyDescent="0.3">
      <c r="A591" s="2"/>
      <c r="B591" s="65" t="str">
        <f t="shared" si="74"/>
        <v/>
      </c>
      <c r="C591" s="66"/>
      <c r="D591" s="60"/>
      <c r="E591" s="61"/>
      <c r="F591" s="61"/>
      <c r="G591" s="67"/>
      <c r="H591" s="60"/>
      <c r="I591" s="60"/>
      <c r="J591" s="61"/>
      <c r="K591" s="61"/>
      <c r="L591" s="60"/>
      <c r="M591" s="74" t="str">
        <f t="shared" si="75"/>
        <v/>
      </c>
      <c r="N591" s="74" t="str">
        <f t="shared" si="76"/>
        <v/>
      </c>
      <c r="O591" s="73" t="str">
        <f t="shared" si="77"/>
        <v/>
      </c>
      <c r="P591" s="65" t="str">
        <f t="shared" ca="1" si="78"/>
        <v/>
      </c>
      <c r="Q591" s="2"/>
      <c r="R591" s="2"/>
      <c r="S591" s="1" t="str">
        <f t="shared" si="79"/>
        <v/>
      </c>
      <c r="T591" s="1" t="str">
        <f>IF(OR($C591="",$D591&lt;&gt;"Gelir",$L591=""),"",IFERROR(INDEX(MUSTERILER!$B$7:$B$156,MATCH($S591,MUSTERILER!$T$7:$T$156,0)),""))</f>
        <v/>
      </c>
      <c r="U591" s="1" t="str">
        <f>IF($T591="","",$T591&amp;"|"&amp;COUNTIFS($T$7:$T591,$T591))</f>
        <v/>
      </c>
      <c r="V591" s="1">
        <f t="shared" si="80"/>
        <v>0</v>
      </c>
      <c r="W591" s="1" t="str">
        <f t="shared" si="81"/>
        <v/>
      </c>
      <c r="X591" s="1"/>
      <c r="Y591" s="1"/>
      <c r="Z591" s="1"/>
      <c r="AA591" s="1"/>
      <c r="AB591" s="1"/>
      <c r="AC591" s="1"/>
      <c r="AD591" s="1">
        <f>IF($C591="",0,SUMPRODUCT((AY_SONU!$O$7:$O$42="Evet")*(AY_SONU!$B$7:$B$42=DATE(YEAR($C591),MONTH($C591),1))))</f>
        <v>0</v>
      </c>
      <c r="AE591" s="1" t="str">
        <f>IF($E591="","",$E591&amp;"|"&amp;COUNTIFS($E$7:$E591,$E591))</f>
        <v/>
      </c>
    </row>
    <row r="592" spans="1:31" ht="18" customHeight="1" x14ac:dyDescent="0.3">
      <c r="A592" s="2"/>
      <c r="B592" s="65" t="str">
        <f t="shared" si="74"/>
        <v/>
      </c>
      <c r="C592" s="66"/>
      <c r="D592" s="60"/>
      <c r="E592" s="61"/>
      <c r="F592" s="61"/>
      <c r="G592" s="67"/>
      <c r="H592" s="60"/>
      <c r="I592" s="60"/>
      <c r="J592" s="61"/>
      <c r="K592" s="61"/>
      <c r="L592" s="60"/>
      <c r="M592" s="74" t="str">
        <f t="shared" si="75"/>
        <v/>
      </c>
      <c r="N592" s="74" t="str">
        <f t="shared" si="76"/>
        <v/>
      </c>
      <c r="O592" s="73" t="str">
        <f t="shared" si="77"/>
        <v/>
      </c>
      <c r="P592" s="65" t="str">
        <f t="shared" ca="1" si="78"/>
        <v/>
      </c>
      <c r="Q592" s="2"/>
      <c r="R592" s="2"/>
      <c r="S592" s="1" t="str">
        <f t="shared" si="79"/>
        <v/>
      </c>
      <c r="T592" s="1" t="str">
        <f>IF(OR($C592="",$D592&lt;&gt;"Gelir",$L592=""),"",IFERROR(INDEX(MUSTERILER!$B$7:$B$156,MATCH($S592,MUSTERILER!$T$7:$T$156,0)),""))</f>
        <v/>
      </c>
      <c r="U592" s="1" t="str">
        <f>IF($T592="","",$T592&amp;"|"&amp;COUNTIFS($T$7:$T592,$T592))</f>
        <v/>
      </c>
      <c r="V592" s="1">
        <f t="shared" si="80"/>
        <v>0</v>
      </c>
      <c r="W592" s="1" t="str">
        <f t="shared" si="81"/>
        <v/>
      </c>
      <c r="X592" s="1"/>
      <c r="Y592" s="1"/>
      <c r="Z592" s="1"/>
      <c r="AA592" s="1"/>
      <c r="AB592" s="1"/>
      <c r="AC592" s="1"/>
      <c r="AD592" s="1">
        <f>IF($C592="",0,SUMPRODUCT((AY_SONU!$O$7:$O$42="Evet")*(AY_SONU!$B$7:$B$42=DATE(YEAR($C592),MONTH($C592),1))))</f>
        <v>0</v>
      </c>
      <c r="AE592" s="1" t="str">
        <f>IF($E592="","",$E592&amp;"|"&amp;COUNTIFS($E$7:$E592,$E592))</f>
        <v/>
      </c>
    </row>
    <row r="593" spans="1:31" ht="18" customHeight="1" x14ac:dyDescent="0.3">
      <c r="A593" s="2"/>
      <c r="B593" s="65" t="str">
        <f t="shared" si="74"/>
        <v/>
      </c>
      <c r="C593" s="66"/>
      <c r="D593" s="60"/>
      <c r="E593" s="61"/>
      <c r="F593" s="61"/>
      <c r="G593" s="67"/>
      <c r="H593" s="60"/>
      <c r="I593" s="60"/>
      <c r="J593" s="61"/>
      <c r="K593" s="61"/>
      <c r="L593" s="60"/>
      <c r="M593" s="74" t="str">
        <f t="shared" si="75"/>
        <v/>
      </c>
      <c r="N593" s="74" t="str">
        <f t="shared" si="76"/>
        <v/>
      </c>
      <c r="O593" s="73" t="str">
        <f t="shared" si="77"/>
        <v/>
      </c>
      <c r="P593" s="65" t="str">
        <f t="shared" ca="1" si="78"/>
        <v/>
      </c>
      <c r="Q593" s="2"/>
      <c r="R593" s="2"/>
      <c r="S593" s="1" t="str">
        <f t="shared" si="79"/>
        <v/>
      </c>
      <c r="T593" s="1" t="str">
        <f>IF(OR($C593="",$D593&lt;&gt;"Gelir",$L593=""),"",IFERROR(INDEX(MUSTERILER!$B$7:$B$156,MATCH($S593,MUSTERILER!$T$7:$T$156,0)),""))</f>
        <v/>
      </c>
      <c r="U593" s="1" t="str">
        <f>IF($T593="","",$T593&amp;"|"&amp;COUNTIFS($T$7:$T593,$T593))</f>
        <v/>
      </c>
      <c r="V593" s="1">
        <f t="shared" si="80"/>
        <v>0</v>
      </c>
      <c r="W593" s="1" t="str">
        <f t="shared" si="81"/>
        <v/>
      </c>
      <c r="X593" s="1"/>
      <c r="Y593" s="1"/>
      <c r="Z593" s="1"/>
      <c r="AA593" s="1"/>
      <c r="AB593" s="1"/>
      <c r="AC593" s="1"/>
      <c r="AD593" s="1">
        <f>IF($C593="",0,SUMPRODUCT((AY_SONU!$O$7:$O$42="Evet")*(AY_SONU!$B$7:$B$42=DATE(YEAR($C593),MONTH($C593),1))))</f>
        <v>0</v>
      </c>
      <c r="AE593" s="1" t="str">
        <f>IF($E593="","",$E593&amp;"|"&amp;COUNTIFS($E$7:$E593,$E593))</f>
        <v/>
      </c>
    </row>
    <row r="594" spans="1:31" ht="18" customHeight="1" x14ac:dyDescent="0.3">
      <c r="A594" s="2"/>
      <c r="B594" s="65" t="str">
        <f t="shared" si="74"/>
        <v/>
      </c>
      <c r="C594" s="66"/>
      <c r="D594" s="60"/>
      <c r="E594" s="61"/>
      <c r="F594" s="61"/>
      <c r="G594" s="67"/>
      <c r="H594" s="60"/>
      <c r="I594" s="60"/>
      <c r="J594" s="61"/>
      <c r="K594" s="61"/>
      <c r="L594" s="60"/>
      <c r="M594" s="74" t="str">
        <f t="shared" si="75"/>
        <v/>
      </c>
      <c r="N594" s="74" t="str">
        <f t="shared" si="76"/>
        <v/>
      </c>
      <c r="O594" s="73" t="str">
        <f t="shared" si="77"/>
        <v/>
      </c>
      <c r="P594" s="65" t="str">
        <f t="shared" ca="1" si="78"/>
        <v/>
      </c>
      <c r="Q594" s="2"/>
      <c r="R594" s="2"/>
      <c r="S594" s="1" t="str">
        <f t="shared" si="79"/>
        <v/>
      </c>
      <c r="T594" s="1" t="str">
        <f>IF(OR($C594="",$D594&lt;&gt;"Gelir",$L594=""),"",IFERROR(INDEX(MUSTERILER!$B$7:$B$156,MATCH($S594,MUSTERILER!$T$7:$T$156,0)),""))</f>
        <v/>
      </c>
      <c r="U594" s="1" t="str">
        <f>IF($T594="","",$T594&amp;"|"&amp;COUNTIFS($T$7:$T594,$T594))</f>
        <v/>
      </c>
      <c r="V594" s="1">
        <f t="shared" si="80"/>
        <v>0</v>
      </c>
      <c r="W594" s="1" t="str">
        <f t="shared" si="81"/>
        <v/>
      </c>
      <c r="X594" s="1"/>
      <c r="Y594" s="1"/>
      <c r="Z594" s="1"/>
      <c r="AA594" s="1"/>
      <c r="AB594" s="1"/>
      <c r="AC594" s="1"/>
      <c r="AD594" s="1">
        <f>IF($C594="",0,SUMPRODUCT((AY_SONU!$O$7:$O$42="Evet")*(AY_SONU!$B$7:$B$42=DATE(YEAR($C594),MONTH($C594),1))))</f>
        <v>0</v>
      </c>
      <c r="AE594" s="1" t="str">
        <f>IF($E594="","",$E594&amp;"|"&amp;COUNTIFS($E$7:$E594,$E594))</f>
        <v/>
      </c>
    </row>
    <row r="595" spans="1:31" ht="18" customHeight="1" x14ac:dyDescent="0.3">
      <c r="A595" s="2"/>
      <c r="B595" s="65" t="str">
        <f t="shared" si="74"/>
        <v/>
      </c>
      <c r="C595" s="66"/>
      <c r="D595" s="60"/>
      <c r="E595" s="61"/>
      <c r="F595" s="61"/>
      <c r="G595" s="67"/>
      <c r="H595" s="60"/>
      <c r="I595" s="60"/>
      <c r="J595" s="61"/>
      <c r="K595" s="61"/>
      <c r="L595" s="60"/>
      <c r="M595" s="74" t="str">
        <f t="shared" si="75"/>
        <v/>
      </c>
      <c r="N595" s="74" t="str">
        <f t="shared" si="76"/>
        <v/>
      </c>
      <c r="O595" s="73" t="str">
        <f t="shared" si="77"/>
        <v/>
      </c>
      <c r="P595" s="65" t="str">
        <f t="shared" ca="1" si="78"/>
        <v/>
      </c>
      <c r="Q595" s="2"/>
      <c r="R595" s="2"/>
      <c r="S595" s="1" t="str">
        <f t="shared" si="79"/>
        <v/>
      </c>
      <c r="T595" s="1" t="str">
        <f>IF(OR($C595="",$D595&lt;&gt;"Gelir",$L595=""),"",IFERROR(INDEX(MUSTERILER!$B$7:$B$156,MATCH($S595,MUSTERILER!$T$7:$T$156,0)),""))</f>
        <v/>
      </c>
      <c r="U595" s="1" t="str">
        <f>IF($T595="","",$T595&amp;"|"&amp;COUNTIFS($T$7:$T595,$T595))</f>
        <v/>
      </c>
      <c r="V595" s="1">
        <f t="shared" si="80"/>
        <v>0</v>
      </c>
      <c r="W595" s="1" t="str">
        <f t="shared" si="81"/>
        <v/>
      </c>
      <c r="X595" s="1"/>
      <c r="Y595" s="1"/>
      <c r="Z595" s="1"/>
      <c r="AA595" s="1"/>
      <c r="AB595" s="1"/>
      <c r="AC595" s="1"/>
      <c r="AD595" s="1">
        <f>IF($C595="",0,SUMPRODUCT((AY_SONU!$O$7:$O$42="Evet")*(AY_SONU!$B$7:$B$42=DATE(YEAR($C595),MONTH($C595),1))))</f>
        <v>0</v>
      </c>
      <c r="AE595" s="1" t="str">
        <f>IF($E595="","",$E595&amp;"|"&amp;COUNTIFS($E$7:$E595,$E595))</f>
        <v/>
      </c>
    </row>
    <row r="596" spans="1:31" ht="18" customHeight="1" x14ac:dyDescent="0.3">
      <c r="A596" s="2"/>
      <c r="B596" s="65" t="str">
        <f t="shared" si="74"/>
        <v/>
      </c>
      <c r="C596" s="66"/>
      <c r="D596" s="60"/>
      <c r="E596" s="61"/>
      <c r="F596" s="61"/>
      <c r="G596" s="67"/>
      <c r="H596" s="60"/>
      <c r="I596" s="60"/>
      <c r="J596" s="61"/>
      <c r="K596" s="61"/>
      <c r="L596" s="60"/>
      <c r="M596" s="74" t="str">
        <f t="shared" si="75"/>
        <v/>
      </c>
      <c r="N596" s="74" t="str">
        <f t="shared" si="76"/>
        <v/>
      </c>
      <c r="O596" s="73" t="str">
        <f t="shared" si="77"/>
        <v/>
      </c>
      <c r="P596" s="65" t="str">
        <f t="shared" ca="1" si="78"/>
        <v/>
      </c>
      <c r="Q596" s="2"/>
      <c r="R596" s="2"/>
      <c r="S596" s="1" t="str">
        <f t="shared" si="79"/>
        <v/>
      </c>
      <c r="T596" s="1" t="str">
        <f>IF(OR($C596="",$D596&lt;&gt;"Gelir",$L596=""),"",IFERROR(INDEX(MUSTERILER!$B$7:$B$156,MATCH($S596,MUSTERILER!$T$7:$T$156,0)),""))</f>
        <v/>
      </c>
      <c r="U596" s="1" t="str">
        <f>IF($T596="","",$T596&amp;"|"&amp;COUNTIFS($T$7:$T596,$T596))</f>
        <v/>
      </c>
      <c r="V596" s="1">
        <f t="shared" si="80"/>
        <v>0</v>
      </c>
      <c r="W596" s="1" t="str">
        <f t="shared" si="81"/>
        <v/>
      </c>
      <c r="X596" s="1"/>
      <c r="Y596" s="1"/>
      <c r="Z596" s="1"/>
      <c r="AA596" s="1"/>
      <c r="AB596" s="1"/>
      <c r="AC596" s="1"/>
      <c r="AD596" s="1">
        <f>IF($C596="",0,SUMPRODUCT((AY_SONU!$O$7:$O$42="Evet")*(AY_SONU!$B$7:$B$42=DATE(YEAR($C596),MONTH($C596),1))))</f>
        <v>0</v>
      </c>
      <c r="AE596" s="1" t="str">
        <f>IF($E596="","",$E596&amp;"|"&amp;COUNTIFS($E$7:$E596,$E596))</f>
        <v/>
      </c>
    </row>
    <row r="597" spans="1:31" ht="18" customHeight="1" x14ac:dyDescent="0.3">
      <c r="A597" s="2"/>
      <c r="B597" s="65" t="str">
        <f t="shared" si="74"/>
        <v/>
      </c>
      <c r="C597" s="66"/>
      <c r="D597" s="60"/>
      <c r="E597" s="61"/>
      <c r="F597" s="61"/>
      <c r="G597" s="67"/>
      <c r="H597" s="60"/>
      <c r="I597" s="60"/>
      <c r="J597" s="61"/>
      <c r="K597" s="61"/>
      <c r="L597" s="60"/>
      <c r="M597" s="74" t="str">
        <f t="shared" si="75"/>
        <v/>
      </c>
      <c r="N597" s="74" t="str">
        <f t="shared" si="76"/>
        <v/>
      </c>
      <c r="O597" s="73" t="str">
        <f t="shared" si="77"/>
        <v/>
      </c>
      <c r="P597" s="65" t="str">
        <f t="shared" ca="1" si="78"/>
        <v/>
      </c>
      <c r="Q597" s="2"/>
      <c r="R597" s="2"/>
      <c r="S597" s="1" t="str">
        <f t="shared" si="79"/>
        <v/>
      </c>
      <c r="T597" s="1" t="str">
        <f>IF(OR($C597="",$D597&lt;&gt;"Gelir",$L597=""),"",IFERROR(INDEX(MUSTERILER!$B$7:$B$156,MATCH($S597,MUSTERILER!$T$7:$T$156,0)),""))</f>
        <v/>
      </c>
      <c r="U597" s="1" t="str">
        <f>IF($T597="","",$T597&amp;"|"&amp;COUNTIFS($T$7:$T597,$T597))</f>
        <v/>
      </c>
      <c r="V597" s="1">
        <f t="shared" si="80"/>
        <v>0</v>
      </c>
      <c r="W597" s="1" t="str">
        <f t="shared" si="81"/>
        <v/>
      </c>
      <c r="X597" s="1"/>
      <c r="Y597" s="1"/>
      <c r="Z597" s="1"/>
      <c r="AA597" s="1"/>
      <c r="AB597" s="1"/>
      <c r="AC597" s="1"/>
      <c r="AD597" s="1">
        <f>IF($C597="",0,SUMPRODUCT((AY_SONU!$O$7:$O$42="Evet")*(AY_SONU!$B$7:$B$42=DATE(YEAR($C597),MONTH($C597),1))))</f>
        <v>0</v>
      </c>
      <c r="AE597" s="1" t="str">
        <f>IF($E597="","",$E597&amp;"|"&amp;COUNTIFS($E$7:$E597,$E597))</f>
        <v/>
      </c>
    </row>
    <row r="598" spans="1:31" ht="18" customHeight="1" x14ac:dyDescent="0.3">
      <c r="A598" s="2"/>
      <c r="B598" s="65" t="str">
        <f t="shared" si="74"/>
        <v/>
      </c>
      <c r="C598" s="66"/>
      <c r="D598" s="60"/>
      <c r="E598" s="61"/>
      <c r="F598" s="61"/>
      <c r="G598" s="67"/>
      <c r="H598" s="60"/>
      <c r="I598" s="60"/>
      <c r="J598" s="61"/>
      <c r="K598" s="61"/>
      <c r="L598" s="60"/>
      <c r="M598" s="74" t="str">
        <f t="shared" si="75"/>
        <v/>
      </c>
      <c r="N598" s="74" t="str">
        <f t="shared" si="76"/>
        <v/>
      </c>
      <c r="O598" s="73" t="str">
        <f t="shared" si="77"/>
        <v/>
      </c>
      <c r="P598" s="65" t="str">
        <f t="shared" ca="1" si="78"/>
        <v/>
      </c>
      <c r="Q598" s="2"/>
      <c r="R598" s="2"/>
      <c r="S598" s="1" t="str">
        <f t="shared" si="79"/>
        <v/>
      </c>
      <c r="T598" s="1" t="str">
        <f>IF(OR($C598="",$D598&lt;&gt;"Gelir",$L598=""),"",IFERROR(INDEX(MUSTERILER!$B$7:$B$156,MATCH($S598,MUSTERILER!$T$7:$T$156,0)),""))</f>
        <v/>
      </c>
      <c r="U598" s="1" t="str">
        <f>IF($T598="","",$T598&amp;"|"&amp;COUNTIFS($T$7:$T598,$T598))</f>
        <v/>
      </c>
      <c r="V598" s="1">
        <f t="shared" si="80"/>
        <v>0</v>
      </c>
      <c r="W598" s="1" t="str">
        <f t="shared" si="81"/>
        <v/>
      </c>
      <c r="X598" s="1"/>
      <c r="Y598" s="1"/>
      <c r="Z598" s="1"/>
      <c r="AA598" s="1"/>
      <c r="AB598" s="1"/>
      <c r="AC598" s="1"/>
      <c r="AD598" s="1">
        <f>IF($C598="",0,SUMPRODUCT((AY_SONU!$O$7:$O$42="Evet")*(AY_SONU!$B$7:$B$42=DATE(YEAR($C598),MONTH($C598),1))))</f>
        <v>0</v>
      </c>
      <c r="AE598" s="1" t="str">
        <f>IF($E598="","",$E598&amp;"|"&amp;COUNTIFS($E$7:$E598,$E598))</f>
        <v/>
      </c>
    </row>
    <row r="599" spans="1:31" ht="18" customHeight="1" x14ac:dyDescent="0.3">
      <c r="A599" s="2"/>
      <c r="B599" s="65" t="str">
        <f t="shared" si="74"/>
        <v/>
      </c>
      <c r="C599" s="66"/>
      <c r="D599" s="60"/>
      <c r="E599" s="61"/>
      <c r="F599" s="61"/>
      <c r="G599" s="67"/>
      <c r="H599" s="60"/>
      <c r="I599" s="60"/>
      <c r="J599" s="61"/>
      <c r="K599" s="61"/>
      <c r="L599" s="60"/>
      <c r="M599" s="74" t="str">
        <f t="shared" si="75"/>
        <v/>
      </c>
      <c r="N599" s="74" t="str">
        <f t="shared" si="76"/>
        <v/>
      </c>
      <c r="O599" s="73" t="str">
        <f t="shared" si="77"/>
        <v/>
      </c>
      <c r="P599" s="65" t="str">
        <f t="shared" ca="1" si="78"/>
        <v/>
      </c>
      <c r="Q599" s="2"/>
      <c r="R599" s="2"/>
      <c r="S599" s="1" t="str">
        <f t="shared" si="79"/>
        <v/>
      </c>
      <c r="T599" s="1" t="str">
        <f>IF(OR($C599="",$D599&lt;&gt;"Gelir",$L599=""),"",IFERROR(INDEX(MUSTERILER!$B$7:$B$156,MATCH($S599,MUSTERILER!$T$7:$T$156,0)),""))</f>
        <v/>
      </c>
      <c r="U599" s="1" t="str">
        <f>IF($T599="","",$T599&amp;"|"&amp;COUNTIFS($T$7:$T599,$T599))</f>
        <v/>
      </c>
      <c r="V599" s="1">
        <f t="shared" si="80"/>
        <v>0</v>
      </c>
      <c r="W599" s="1" t="str">
        <f t="shared" si="81"/>
        <v/>
      </c>
      <c r="X599" s="1"/>
      <c r="Y599" s="1"/>
      <c r="Z599" s="1"/>
      <c r="AA599" s="1"/>
      <c r="AB599" s="1"/>
      <c r="AC599" s="1"/>
      <c r="AD599" s="1">
        <f>IF($C599="",0,SUMPRODUCT((AY_SONU!$O$7:$O$42="Evet")*(AY_SONU!$B$7:$B$42=DATE(YEAR($C599),MONTH($C599),1))))</f>
        <v>0</v>
      </c>
      <c r="AE599" s="1" t="str">
        <f>IF($E599="","",$E599&amp;"|"&amp;COUNTIFS($E$7:$E599,$E599))</f>
        <v/>
      </c>
    </row>
    <row r="600" spans="1:31" ht="18" customHeight="1" x14ac:dyDescent="0.3">
      <c r="A600" s="2"/>
      <c r="B600" s="65" t="str">
        <f t="shared" si="74"/>
        <v/>
      </c>
      <c r="C600" s="66"/>
      <c r="D600" s="60"/>
      <c r="E600" s="61"/>
      <c r="F600" s="61"/>
      <c r="G600" s="67"/>
      <c r="H600" s="60"/>
      <c r="I600" s="60"/>
      <c r="J600" s="61"/>
      <c r="K600" s="61"/>
      <c r="L600" s="60"/>
      <c r="M600" s="74" t="str">
        <f t="shared" si="75"/>
        <v/>
      </c>
      <c r="N600" s="74" t="str">
        <f t="shared" si="76"/>
        <v/>
      </c>
      <c r="O600" s="73" t="str">
        <f t="shared" si="77"/>
        <v/>
      </c>
      <c r="P600" s="65" t="str">
        <f t="shared" ca="1" si="78"/>
        <v/>
      </c>
      <c r="Q600" s="2"/>
      <c r="R600" s="2"/>
      <c r="S600" s="1" t="str">
        <f t="shared" si="79"/>
        <v/>
      </c>
      <c r="T600" s="1" t="str">
        <f>IF(OR($C600="",$D600&lt;&gt;"Gelir",$L600=""),"",IFERROR(INDEX(MUSTERILER!$B$7:$B$156,MATCH($S600,MUSTERILER!$T$7:$T$156,0)),""))</f>
        <v/>
      </c>
      <c r="U600" s="1" t="str">
        <f>IF($T600="","",$T600&amp;"|"&amp;COUNTIFS($T$7:$T600,$T600))</f>
        <v/>
      </c>
      <c r="V600" s="1">
        <f t="shared" si="80"/>
        <v>0</v>
      </c>
      <c r="W600" s="1" t="str">
        <f t="shared" si="81"/>
        <v/>
      </c>
      <c r="X600" s="1"/>
      <c r="Y600" s="1"/>
      <c r="Z600" s="1"/>
      <c r="AA600" s="1"/>
      <c r="AB600" s="1"/>
      <c r="AC600" s="1"/>
      <c r="AD600" s="1">
        <f>IF($C600="",0,SUMPRODUCT((AY_SONU!$O$7:$O$42="Evet")*(AY_SONU!$B$7:$B$42=DATE(YEAR($C600),MONTH($C600),1))))</f>
        <v>0</v>
      </c>
      <c r="AE600" s="1" t="str">
        <f>IF($E600="","",$E600&amp;"|"&amp;COUNTIFS($E$7:$E600,$E600))</f>
        <v/>
      </c>
    </row>
    <row r="601" spans="1:31" ht="18" customHeight="1" x14ac:dyDescent="0.3">
      <c r="A601" s="2"/>
      <c r="B601" s="65" t="str">
        <f t="shared" si="74"/>
        <v/>
      </c>
      <c r="C601" s="66"/>
      <c r="D601" s="60"/>
      <c r="E601" s="61"/>
      <c r="F601" s="61"/>
      <c r="G601" s="67"/>
      <c r="H601" s="60"/>
      <c r="I601" s="60"/>
      <c r="J601" s="61"/>
      <c r="K601" s="61"/>
      <c r="L601" s="60"/>
      <c r="M601" s="74" t="str">
        <f t="shared" si="75"/>
        <v/>
      </c>
      <c r="N601" s="74" t="str">
        <f t="shared" si="76"/>
        <v/>
      </c>
      <c r="O601" s="73" t="str">
        <f t="shared" si="77"/>
        <v/>
      </c>
      <c r="P601" s="65" t="str">
        <f t="shared" ca="1" si="78"/>
        <v/>
      </c>
      <c r="Q601" s="2"/>
      <c r="R601" s="2"/>
      <c r="S601" s="1" t="str">
        <f t="shared" si="79"/>
        <v/>
      </c>
      <c r="T601" s="1" t="str">
        <f>IF(OR($C601="",$D601&lt;&gt;"Gelir",$L601=""),"",IFERROR(INDEX(MUSTERILER!$B$7:$B$156,MATCH($S601,MUSTERILER!$T$7:$T$156,0)),""))</f>
        <v/>
      </c>
      <c r="U601" s="1" t="str">
        <f>IF($T601="","",$T601&amp;"|"&amp;COUNTIFS($T$7:$T601,$T601))</f>
        <v/>
      </c>
      <c r="V601" s="1">
        <f t="shared" si="80"/>
        <v>0</v>
      </c>
      <c r="W601" s="1" t="str">
        <f t="shared" si="81"/>
        <v/>
      </c>
      <c r="X601" s="1"/>
      <c r="Y601" s="1"/>
      <c r="Z601" s="1"/>
      <c r="AA601" s="1"/>
      <c r="AB601" s="1"/>
      <c r="AC601" s="1"/>
      <c r="AD601" s="1">
        <f>IF($C601="",0,SUMPRODUCT((AY_SONU!$O$7:$O$42="Evet")*(AY_SONU!$B$7:$B$42=DATE(YEAR($C601),MONTH($C601),1))))</f>
        <v>0</v>
      </c>
      <c r="AE601" s="1" t="str">
        <f>IF($E601="","",$E601&amp;"|"&amp;COUNTIFS($E$7:$E601,$E601))</f>
        <v/>
      </c>
    </row>
    <row r="602" spans="1:31" ht="18" customHeight="1" x14ac:dyDescent="0.3">
      <c r="A602" s="2"/>
      <c r="B602" s="65" t="str">
        <f t="shared" si="74"/>
        <v/>
      </c>
      <c r="C602" s="66"/>
      <c r="D602" s="60"/>
      <c r="E602" s="61"/>
      <c r="F602" s="61"/>
      <c r="G602" s="67"/>
      <c r="H602" s="60"/>
      <c r="I602" s="60"/>
      <c r="J602" s="61"/>
      <c r="K602" s="61"/>
      <c r="L602" s="60"/>
      <c r="M602" s="74" t="str">
        <f t="shared" si="75"/>
        <v/>
      </c>
      <c r="N602" s="74" t="str">
        <f t="shared" si="76"/>
        <v/>
      </c>
      <c r="O602" s="73" t="str">
        <f t="shared" si="77"/>
        <v/>
      </c>
      <c r="P602" s="65" t="str">
        <f t="shared" ca="1" si="78"/>
        <v/>
      </c>
      <c r="Q602" s="2"/>
      <c r="R602" s="2"/>
      <c r="S602" s="1" t="str">
        <f t="shared" si="79"/>
        <v/>
      </c>
      <c r="T602" s="1" t="str">
        <f>IF(OR($C602="",$D602&lt;&gt;"Gelir",$L602=""),"",IFERROR(INDEX(MUSTERILER!$B$7:$B$156,MATCH($S602,MUSTERILER!$T$7:$T$156,0)),""))</f>
        <v/>
      </c>
      <c r="U602" s="1" t="str">
        <f>IF($T602="","",$T602&amp;"|"&amp;COUNTIFS($T$7:$T602,$T602))</f>
        <v/>
      </c>
      <c r="V602" s="1">
        <f t="shared" si="80"/>
        <v>0</v>
      </c>
      <c r="W602" s="1" t="str">
        <f t="shared" si="81"/>
        <v/>
      </c>
      <c r="X602" s="1"/>
      <c r="Y602" s="1"/>
      <c r="Z602" s="1"/>
      <c r="AA602" s="1"/>
      <c r="AB602" s="1"/>
      <c r="AC602" s="1"/>
      <c r="AD602" s="1">
        <f>IF($C602="",0,SUMPRODUCT((AY_SONU!$O$7:$O$42="Evet")*(AY_SONU!$B$7:$B$42=DATE(YEAR($C602),MONTH($C602),1))))</f>
        <v>0</v>
      </c>
      <c r="AE602" s="1" t="str">
        <f>IF($E602="","",$E602&amp;"|"&amp;COUNTIFS($E$7:$E602,$E602))</f>
        <v/>
      </c>
    </row>
    <row r="603" spans="1:31" ht="18" customHeight="1" x14ac:dyDescent="0.3">
      <c r="A603" s="2"/>
      <c r="B603" s="65" t="str">
        <f t="shared" si="74"/>
        <v/>
      </c>
      <c r="C603" s="66"/>
      <c r="D603" s="60"/>
      <c r="E603" s="61"/>
      <c r="F603" s="61"/>
      <c r="G603" s="67"/>
      <c r="H603" s="60"/>
      <c r="I603" s="60"/>
      <c r="J603" s="61"/>
      <c r="K603" s="61"/>
      <c r="L603" s="60"/>
      <c r="M603" s="74" t="str">
        <f t="shared" si="75"/>
        <v/>
      </c>
      <c r="N603" s="74" t="str">
        <f t="shared" si="76"/>
        <v/>
      </c>
      <c r="O603" s="73" t="str">
        <f t="shared" si="77"/>
        <v/>
      </c>
      <c r="P603" s="65" t="str">
        <f t="shared" ca="1" si="78"/>
        <v/>
      </c>
      <c r="Q603" s="2"/>
      <c r="R603" s="2"/>
      <c r="S603" s="1" t="str">
        <f t="shared" si="79"/>
        <v/>
      </c>
      <c r="T603" s="1" t="str">
        <f>IF(OR($C603="",$D603&lt;&gt;"Gelir",$L603=""),"",IFERROR(INDEX(MUSTERILER!$B$7:$B$156,MATCH($S603,MUSTERILER!$T$7:$T$156,0)),""))</f>
        <v/>
      </c>
      <c r="U603" s="1" t="str">
        <f>IF($T603="","",$T603&amp;"|"&amp;COUNTIFS($T$7:$T603,$T603))</f>
        <v/>
      </c>
      <c r="V603" s="1">
        <f t="shared" si="80"/>
        <v>0</v>
      </c>
      <c r="W603" s="1" t="str">
        <f t="shared" si="81"/>
        <v/>
      </c>
      <c r="X603" s="1"/>
      <c r="Y603" s="1"/>
      <c r="Z603" s="1"/>
      <c r="AA603" s="1"/>
      <c r="AB603" s="1"/>
      <c r="AC603" s="1"/>
      <c r="AD603" s="1">
        <f>IF($C603="",0,SUMPRODUCT((AY_SONU!$O$7:$O$42="Evet")*(AY_SONU!$B$7:$B$42=DATE(YEAR($C603),MONTH($C603),1))))</f>
        <v>0</v>
      </c>
      <c r="AE603" s="1" t="str">
        <f>IF($E603="","",$E603&amp;"|"&amp;COUNTIFS($E$7:$E603,$E603))</f>
        <v/>
      </c>
    </row>
    <row r="604" spans="1:31" ht="18" customHeight="1" x14ac:dyDescent="0.3">
      <c r="A604" s="2"/>
      <c r="B604" s="65" t="str">
        <f t="shared" si="74"/>
        <v/>
      </c>
      <c r="C604" s="66"/>
      <c r="D604" s="60"/>
      <c r="E604" s="61"/>
      <c r="F604" s="61"/>
      <c r="G604" s="67"/>
      <c r="H604" s="60"/>
      <c r="I604" s="60"/>
      <c r="J604" s="61"/>
      <c r="K604" s="61"/>
      <c r="L604" s="60"/>
      <c r="M604" s="74" t="str">
        <f t="shared" si="75"/>
        <v/>
      </c>
      <c r="N604" s="74" t="str">
        <f t="shared" si="76"/>
        <v/>
      </c>
      <c r="O604" s="73" t="str">
        <f t="shared" si="77"/>
        <v/>
      </c>
      <c r="P604" s="65" t="str">
        <f t="shared" ca="1" si="78"/>
        <v/>
      </c>
      <c r="Q604" s="2"/>
      <c r="R604" s="2"/>
      <c r="S604" s="1" t="str">
        <f t="shared" si="79"/>
        <v/>
      </c>
      <c r="T604" s="1" t="str">
        <f>IF(OR($C604="",$D604&lt;&gt;"Gelir",$L604=""),"",IFERROR(INDEX(MUSTERILER!$B$7:$B$156,MATCH($S604,MUSTERILER!$T$7:$T$156,0)),""))</f>
        <v/>
      </c>
      <c r="U604" s="1" t="str">
        <f>IF($T604="","",$T604&amp;"|"&amp;COUNTIFS($T$7:$T604,$T604))</f>
        <v/>
      </c>
      <c r="V604" s="1">
        <f t="shared" si="80"/>
        <v>0</v>
      </c>
      <c r="W604" s="1" t="str">
        <f t="shared" si="81"/>
        <v/>
      </c>
      <c r="X604" s="1"/>
      <c r="Y604" s="1"/>
      <c r="Z604" s="1"/>
      <c r="AA604" s="1"/>
      <c r="AB604" s="1"/>
      <c r="AC604" s="1"/>
      <c r="AD604" s="1">
        <f>IF($C604="",0,SUMPRODUCT((AY_SONU!$O$7:$O$42="Evet")*(AY_SONU!$B$7:$B$42=DATE(YEAR($C604),MONTH($C604),1))))</f>
        <v>0</v>
      </c>
      <c r="AE604" s="1" t="str">
        <f>IF($E604="","",$E604&amp;"|"&amp;COUNTIFS($E$7:$E604,$E604))</f>
        <v/>
      </c>
    </row>
    <row r="605" spans="1:31" ht="18" customHeight="1" x14ac:dyDescent="0.3">
      <c r="A605" s="2"/>
      <c r="B605" s="65" t="str">
        <f t="shared" si="74"/>
        <v/>
      </c>
      <c r="C605" s="66"/>
      <c r="D605" s="60"/>
      <c r="E605" s="61"/>
      <c r="F605" s="61"/>
      <c r="G605" s="67"/>
      <c r="H605" s="60"/>
      <c r="I605" s="60"/>
      <c r="J605" s="61"/>
      <c r="K605" s="61"/>
      <c r="L605" s="60"/>
      <c r="M605" s="74" t="str">
        <f t="shared" si="75"/>
        <v/>
      </c>
      <c r="N605" s="74" t="str">
        <f t="shared" si="76"/>
        <v/>
      </c>
      <c r="O605" s="73" t="str">
        <f t="shared" si="77"/>
        <v/>
      </c>
      <c r="P605" s="65" t="str">
        <f t="shared" ca="1" si="78"/>
        <v/>
      </c>
      <c r="Q605" s="2"/>
      <c r="R605" s="2"/>
      <c r="S605" s="1" t="str">
        <f t="shared" si="79"/>
        <v/>
      </c>
      <c r="T605" s="1" t="str">
        <f>IF(OR($C605="",$D605&lt;&gt;"Gelir",$L605=""),"",IFERROR(INDEX(MUSTERILER!$B$7:$B$156,MATCH($S605,MUSTERILER!$T$7:$T$156,0)),""))</f>
        <v/>
      </c>
      <c r="U605" s="1" t="str">
        <f>IF($T605="","",$T605&amp;"|"&amp;COUNTIFS($T$7:$T605,$T605))</f>
        <v/>
      </c>
      <c r="V605" s="1">
        <f t="shared" si="80"/>
        <v>0</v>
      </c>
      <c r="W605" s="1" t="str">
        <f t="shared" si="81"/>
        <v/>
      </c>
      <c r="X605" s="1"/>
      <c r="Y605" s="1"/>
      <c r="Z605" s="1"/>
      <c r="AA605" s="1"/>
      <c r="AB605" s="1"/>
      <c r="AC605" s="1"/>
      <c r="AD605" s="1">
        <f>IF($C605="",0,SUMPRODUCT((AY_SONU!$O$7:$O$42="Evet")*(AY_SONU!$B$7:$B$42=DATE(YEAR($C605),MONTH($C605),1))))</f>
        <v>0</v>
      </c>
      <c r="AE605" s="1" t="str">
        <f>IF($E605="","",$E605&amp;"|"&amp;COUNTIFS($E$7:$E605,$E605))</f>
        <v/>
      </c>
    </row>
    <row r="606" spans="1:31" ht="18" customHeight="1" x14ac:dyDescent="0.3">
      <c r="A606" s="2"/>
      <c r="B606" s="65" t="str">
        <f t="shared" si="74"/>
        <v/>
      </c>
      <c r="C606" s="66"/>
      <c r="D606" s="60"/>
      <c r="E606" s="61"/>
      <c r="F606" s="61"/>
      <c r="G606" s="67"/>
      <c r="H606" s="60"/>
      <c r="I606" s="60"/>
      <c r="J606" s="61"/>
      <c r="K606" s="61"/>
      <c r="L606" s="60"/>
      <c r="M606" s="74" t="str">
        <f t="shared" si="75"/>
        <v/>
      </c>
      <c r="N606" s="74" t="str">
        <f t="shared" si="76"/>
        <v/>
      </c>
      <c r="O606" s="73" t="str">
        <f t="shared" si="77"/>
        <v/>
      </c>
      <c r="P606" s="65" t="str">
        <f t="shared" ca="1" si="78"/>
        <v/>
      </c>
      <c r="Q606" s="2"/>
      <c r="R606" s="2"/>
      <c r="S606" s="1" t="str">
        <f t="shared" si="79"/>
        <v/>
      </c>
      <c r="T606" s="1" t="str">
        <f>IF(OR($C606="",$D606&lt;&gt;"Gelir",$L606=""),"",IFERROR(INDEX(MUSTERILER!$B$7:$B$156,MATCH($S606,MUSTERILER!$T$7:$T$156,0)),""))</f>
        <v/>
      </c>
      <c r="U606" s="1" t="str">
        <f>IF($T606="","",$T606&amp;"|"&amp;COUNTIFS($T$7:$T606,$T606))</f>
        <v/>
      </c>
      <c r="V606" s="1">
        <f t="shared" si="80"/>
        <v>0</v>
      </c>
      <c r="W606" s="1" t="str">
        <f t="shared" si="81"/>
        <v/>
      </c>
      <c r="X606" s="1"/>
      <c r="Y606" s="1"/>
      <c r="Z606" s="1"/>
      <c r="AA606" s="1"/>
      <c r="AB606" s="1"/>
      <c r="AC606" s="1"/>
      <c r="AD606" s="1">
        <f>IF($C606="",0,SUMPRODUCT((AY_SONU!$O$7:$O$42="Evet")*(AY_SONU!$B$7:$B$42=DATE(YEAR($C606),MONTH($C606),1))))</f>
        <v>0</v>
      </c>
      <c r="AE606" s="1" t="str">
        <f>IF($E606="","",$E606&amp;"|"&amp;COUNTIFS($E$7:$E606,$E606))</f>
        <v/>
      </c>
    </row>
    <row r="607" spans="1:31" ht="18" customHeight="1" x14ac:dyDescent="0.3">
      <c r="A607" s="2"/>
      <c r="B607" s="65" t="str">
        <f t="shared" si="74"/>
        <v/>
      </c>
      <c r="C607" s="66"/>
      <c r="D607" s="60"/>
      <c r="E607" s="61"/>
      <c r="F607" s="61"/>
      <c r="G607" s="67"/>
      <c r="H607" s="60"/>
      <c r="I607" s="60"/>
      <c r="J607" s="61"/>
      <c r="K607" s="61"/>
      <c r="L607" s="60"/>
      <c r="M607" s="74" t="str">
        <f t="shared" si="75"/>
        <v/>
      </c>
      <c r="N607" s="74" t="str">
        <f t="shared" si="76"/>
        <v/>
      </c>
      <c r="O607" s="73" t="str">
        <f t="shared" si="77"/>
        <v/>
      </c>
      <c r="P607" s="65" t="str">
        <f t="shared" ca="1" si="78"/>
        <v/>
      </c>
      <c r="Q607" s="2"/>
      <c r="R607" s="2"/>
      <c r="S607" s="1" t="str">
        <f t="shared" si="79"/>
        <v/>
      </c>
      <c r="T607" s="1" t="str">
        <f>IF(OR($C607="",$D607&lt;&gt;"Gelir",$L607=""),"",IFERROR(INDEX(MUSTERILER!$B$7:$B$156,MATCH($S607,MUSTERILER!$T$7:$T$156,0)),""))</f>
        <v/>
      </c>
      <c r="U607" s="1" t="str">
        <f>IF($T607="","",$T607&amp;"|"&amp;COUNTIFS($T$7:$T607,$T607))</f>
        <v/>
      </c>
      <c r="V607" s="1">
        <f t="shared" si="80"/>
        <v>0</v>
      </c>
      <c r="W607" s="1" t="str">
        <f t="shared" si="81"/>
        <v/>
      </c>
      <c r="X607" s="1"/>
      <c r="Y607" s="1"/>
      <c r="Z607" s="1"/>
      <c r="AA607" s="1"/>
      <c r="AB607" s="1"/>
      <c r="AC607" s="1"/>
      <c r="AD607" s="1">
        <f>IF($C607="",0,SUMPRODUCT((AY_SONU!$O$7:$O$42="Evet")*(AY_SONU!$B$7:$B$42=DATE(YEAR($C607),MONTH($C607),1))))</f>
        <v>0</v>
      </c>
      <c r="AE607" s="1" t="str">
        <f>IF($E607="","",$E607&amp;"|"&amp;COUNTIFS($E$7:$E607,$E607))</f>
        <v/>
      </c>
    </row>
    <row r="608" spans="1:31" ht="18" customHeight="1" x14ac:dyDescent="0.3">
      <c r="A608" s="2"/>
      <c r="B608" s="65" t="str">
        <f t="shared" si="74"/>
        <v/>
      </c>
      <c r="C608" s="66"/>
      <c r="D608" s="60"/>
      <c r="E608" s="61"/>
      <c r="F608" s="61"/>
      <c r="G608" s="67"/>
      <c r="H608" s="60"/>
      <c r="I608" s="60"/>
      <c r="J608" s="61"/>
      <c r="K608" s="61"/>
      <c r="L608" s="60"/>
      <c r="M608" s="74" t="str">
        <f t="shared" si="75"/>
        <v/>
      </c>
      <c r="N608" s="74" t="str">
        <f t="shared" si="76"/>
        <v/>
      </c>
      <c r="O608" s="73" t="str">
        <f t="shared" si="77"/>
        <v/>
      </c>
      <c r="P608" s="65" t="str">
        <f t="shared" ca="1" si="78"/>
        <v/>
      </c>
      <c r="Q608" s="2"/>
      <c r="R608" s="2"/>
      <c r="S608" s="1" t="str">
        <f t="shared" si="79"/>
        <v/>
      </c>
      <c r="T608" s="1" t="str">
        <f>IF(OR($C608="",$D608&lt;&gt;"Gelir",$L608=""),"",IFERROR(INDEX(MUSTERILER!$B$7:$B$156,MATCH($S608,MUSTERILER!$T$7:$T$156,0)),""))</f>
        <v/>
      </c>
      <c r="U608" s="1" t="str">
        <f>IF($T608="","",$T608&amp;"|"&amp;COUNTIFS($T$7:$T608,$T608))</f>
        <v/>
      </c>
      <c r="V608" s="1">
        <f t="shared" si="80"/>
        <v>0</v>
      </c>
      <c r="W608" s="1" t="str">
        <f t="shared" si="81"/>
        <v/>
      </c>
      <c r="X608" s="1"/>
      <c r="Y608" s="1"/>
      <c r="Z608" s="1"/>
      <c r="AA608" s="1"/>
      <c r="AB608" s="1"/>
      <c r="AC608" s="1"/>
      <c r="AD608" s="1">
        <f>IF($C608="",0,SUMPRODUCT((AY_SONU!$O$7:$O$42="Evet")*(AY_SONU!$B$7:$B$42=DATE(YEAR($C608),MONTH($C608),1))))</f>
        <v>0</v>
      </c>
      <c r="AE608" s="1" t="str">
        <f>IF($E608="","",$E608&amp;"|"&amp;COUNTIFS($E$7:$E608,$E608))</f>
        <v/>
      </c>
    </row>
    <row r="609" spans="1:31" ht="18" customHeight="1" x14ac:dyDescent="0.3">
      <c r="A609" s="2"/>
      <c r="B609" s="65" t="str">
        <f t="shared" si="74"/>
        <v/>
      </c>
      <c r="C609" s="66"/>
      <c r="D609" s="60"/>
      <c r="E609" s="61"/>
      <c r="F609" s="61"/>
      <c r="G609" s="67"/>
      <c r="H609" s="60"/>
      <c r="I609" s="60"/>
      <c r="J609" s="61"/>
      <c r="K609" s="61"/>
      <c r="L609" s="60"/>
      <c r="M609" s="74" t="str">
        <f t="shared" si="75"/>
        <v/>
      </c>
      <c r="N609" s="74" t="str">
        <f t="shared" si="76"/>
        <v/>
      </c>
      <c r="O609" s="73" t="str">
        <f t="shared" si="77"/>
        <v/>
      </c>
      <c r="P609" s="65" t="str">
        <f t="shared" ca="1" si="78"/>
        <v/>
      </c>
      <c r="Q609" s="2"/>
      <c r="R609" s="2"/>
      <c r="S609" s="1" t="str">
        <f t="shared" si="79"/>
        <v/>
      </c>
      <c r="T609" s="1" t="str">
        <f>IF(OR($C609="",$D609&lt;&gt;"Gelir",$L609=""),"",IFERROR(INDEX(MUSTERILER!$B$7:$B$156,MATCH($S609,MUSTERILER!$T$7:$T$156,0)),""))</f>
        <v/>
      </c>
      <c r="U609" s="1" t="str">
        <f>IF($T609="","",$T609&amp;"|"&amp;COUNTIFS($T$7:$T609,$T609))</f>
        <v/>
      </c>
      <c r="V609" s="1">
        <f t="shared" si="80"/>
        <v>0</v>
      </c>
      <c r="W609" s="1" t="str">
        <f t="shared" si="81"/>
        <v/>
      </c>
      <c r="X609" s="1"/>
      <c r="Y609" s="1"/>
      <c r="Z609" s="1"/>
      <c r="AA609" s="1"/>
      <c r="AB609" s="1"/>
      <c r="AC609" s="1"/>
      <c r="AD609" s="1">
        <f>IF($C609="",0,SUMPRODUCT((AY_SONU!$O$7:$O$42="Evet")*(AY_SONU!$B$7:$B$42=DATE(YEAR($C609),MONTH($C609),1))))</f>
        <v>0</v>
      </c>
      <c r="AE609" s="1" t="str">
        <f>IF($E609="","",$E609&amp;"|"&amp;COUNTIFS($E$7:$E609,$E609))</f>
        <v/>
      </c>
    </row>
    <row r="610" spans="1:31" ht="18" customHeight="1" x14ac:dyDescent="0.3">
      <c r="A610" s="2"/>
      <c r="B610" s="65" t="str">
        <f t="shared" si="74"/>
        <v/>
      </c>
      <c r="C610" s="66"/>
      <c r="D610" s="60"/>
      <c r="E610" s="61"/>
      <c r="F610" s="61"/>
      <c r="G610" s="67"/>
      <c r="H610" s="60"/>
      <c r="I610" s="60"/>
      <c r="J610" s="61"/>
      <c r="K610" s="61"/>
      <c r="L610" s="60"/>
      <c r="M610" s="74" t="str">
        <f t="shared" si="75"/>
        <v/>
      </c>
      <c r="N610" s="74" t="str">
        <f t="shared" si="76"/>
        <v/>
      </c>
      <c r="O610" s="73" t="str">
        <f t="shared" si="77"/>
        <v/>
      </c>
      <c r="P610" s="65" t="str">
        <f t="shared" ca="1" si="78"/>
        <v/>
      </c>
      <c r="Q610" s="2"/>
      <c r="R610" s="2"/>
      <c r="S610" s="1" t="str">
        <f t="shared" si="79"/>
        <v/>
      </c>
      <c r="T610" s="1" t="str">
        <f>IF(OR($C610="",$D610&lt;&gt;"Gelir",$L610=""),"",IFERROR(INDEX(MUSTERILER!$B$7:$B$156,MATCH($S610,MUSTERILER!$T$7:$T$156,0)),""))</f>
        <v/>
      </c>
      <c r="U610" s="1" t="str">
        <f>IF($T610="","",$T610&amp;"|"&amp;COUNTIFS($T$7:$T610,$T610))</f>
        <v/>
      </c>
      <c r="V610" s="1">
        <f t="shared" si="80"/>
        <v>0</v>
      </c>
      <c r="W610" s="1" t="str">
        <f t="shared" si="81"/>
        <v/>
      </c>
      <c r="X610" s="1"/>
      <c r="Y610" s="1"/>
      <c r="Z610" s="1"/>
      <c r="AA610" s="1"/>
      <c r="AB610" s="1"/>
      <c r="AC610" s="1"/>
      <c r="AD610" s="1">
        <f>IF($C610="",0,SUMPRODUCT((AY_SONU!$O$7:$O$42="Evet")*(AY_SONU!$B$7:$B$42=DATE(YEAR($C610),MONTH($C610),1))))</f>
        <v>0</v>
      </c>
      <c r="AE610" s="1" t="str">
        <f>IF($E610="","",$E610&amp;"|"&amp;COUNTIFS($E$7:$E610,$E610))</f>
        <v/>
      </c>
    </row>
    <row r="611" spans="1:31" ht="18" customHeight="1" x14ac:dyDescent="0.3">
      <c r="A611" s="2"/>
      <c r="B611" s="65" t="str">
        <f t="shared" si="74"/>
        <v/>
      </c>
      <c r="C611" s="66"/>
      <c r="D611" s="60"/>
      <c r="E611" s="61"/>
      <c r="F611" s="61"/>
      <c r="G611" s="67"/>
      <c r="H611" s="60"/>
      <c r="I611" s="60"/>
      <c r="J611" s="61"/>
      <c r="K611" s="61"/>
      <c r="L611" s="60"/>
      <c r="M611" s="74" t="str">
        <f t="shared" si="75"/>
        <v/>
      </c>
      <c r="N611" s="74" t="str">
        <f t="shared" si="76"/>
        <v/>
      </c>
      <c r="O611" s="73" t="str">
        <f t="shared" si="77"/>
        <v/>
      </c>
      <c r="P611" s="65" t="str">
        <f t="shared" ca="1" si="78"/>
        <v/>
      </c>
      <c r="Q611" s="2"/>
      <c r="R611" s="2"/>
      <c r="S611" s="1" t="str">
        <f t="shared" si="79"/>
        <v/>
      </c>
      <c r="T611" s="1" t="str">
        <f>IF(OR($C611="",$D611&lt;&gt;"Gelir",$L611=""),"",IFERROR(INDEX(MUSTERILER!$B$7:$B$156,MATCH($S611,MUSTERILER!$T$7:$T$156,0)),""))</f>
        <v/>
      </c>
      <c r="U611" s="1" t="str">
        <f>IF($T611="","",$T611&amp;"|"&amp;COUNTIFS($T$7:$T611,$T611))</f>
        <v/>
      </c>
      <c r="V611" s="1">
        <f t="shared" si="80"/>
        <v>0</v>
      </c>
      <c r="W611" s="1" t="str">
        <f t="shared" si="81"/>
        <v/>
      </c>
      <c r="X611" s="1"/>
      <c r="Y611" s="1"/>
      <c r="Z611" s="1"/>
      <c r="AA611" s="1"/>
      <c r="AB611" s="1"/>
      <c r="AC611" s="1"/>
      <c r="AD611" s="1">
        <f>IF($C611="",0,SUMPRODUCT((AY_SONU!$O$7:$O$42="Evet")*(AY_SONU!$B$7:$B$42=DATE(YEAR($C611),MONTH($C611),1))))</f>
        <v>0</v>
      </c>
      <c r="AE611" s="1" t="str">
        <f>IF($E611="","",$E611&amp;"|"&amp;COUNTIFS($E$7:$E611,$E611))</f>
        <v/>
      </c>
    </row>
    <row r="612" spans="1:31" ht="18" customHeight="1" x14ac:dyDescent="0.3">
      <c r="A612" s="2"/>
      <c r="B612" s="65" t="str">
        <f t="shared" si="74"/>
        <v/>
      </c>
      <c r="C612" s="66"/>
      <c r="D612" s="60"/>
      <c r="E612" s="61"/>
      <c r="F612" s="61"/>
      <c r="G612" s="67"/>
      <c r="H612" s="60"/>
      <c r="I612" s="60"/>
      <c r="J612" s="61"/>
      <c r="K612" s="61"/>
      <c r="L612" s="60"/>
      <c r="M612" s="74" t="str">
        <f t="shared" si="75"/>
        <v/>
      </c>
      <c r="N612" s="74" t="str">
        <f t="shared" si="76"/>
        <v/>
      </c>
      <c r="O612" s="73" t="str">
        <f t="shared" si="77"/>
        <v/>
      </c>
      <c r="P612" s="65" t="str">
        <f t="shared" ca="1" si="78"/>
        <v/>
      </c>
      <c r="Q612" s="2"/>
      <c r="R612" s="2"/>
      <c r="S612" s="1" t="str">
        <f t="shared" si="79"/>
        <v/>
      </c>
      <c r="T612" s="1" t="str">
        <f>IF(OR($C612="",$D612&lt;&gt;"Gelir",$L612=""),"",IFERROR(INDEX(MUSTERILER!$B$7:$B$156,MATCH($S612,MUSTERILER!$T$7:$T$156,0)),""))</f>
        <v/>
      </c>
      <c r="U612" s="1" t="str">
        <f>IF($T612="","",$T612&amp;"|"&amp;COUNTIFS($T$7:$T612,$T612))</f>
        <v/>
      </c>
      <c r="V612" s="1">
        <f t="shared" si="80"/>
        <v>0</v>
      </c>
      <c r="W612" s="1" t="str">
        <f t="shared" si="81"/>
        <v/>
      </c>
      <c r="X612" s="1"/>
      <c r="Y612" s="1"/>
      <c r="Z612" s="1"/>
      <c r="AA612" s="1"/>
      <c r="AB612" s="1"/>
      <c r="AC612" s="1"/>
      <c r="AD612" s="1">
        <f>IF($C612="",0,SUMPRODUCT((AY_SONU!$O$7:$O$42="Evet")*(AY_SONU!$B$7:$B$42=DATE(YEAR($C612),MONTH($C612),1))))</f>
        <v>0</v>
      </c>
      <c r="AE612" s="1" t="str">
        <f>IF($E612="","",$E612&amp;"|"&amp;COUNTIFS($E$7:$E612,$E612))</f>
        <v/>
      </c>
    </row>
    <row r="613" spans="1:31" ht="18" customHeight="1" x14ac:dyDescent="0.3">
      <c r="A613" s="2"/>
      <c r="B613" s="65" t="str">
        <f t="shared" si="74"/>
        <v/>
      </c>
      <c r="C613" s="66"/>
      <c r="D613" s="60"/>
      <c r="E613" s="61"/>
      <c r="F613" s="61"/>
      <c r="G613" s="67"/>
      <c r="H613" s="60"/>
      <c r="I613" s="60"/>
      <c r="J613" s="61"/>
      <c r="K613" s="61"/>
      <c r="L613" s="60"/>
      <c r="M613" s="74" t="str">
        <f t="shared" si="75"/>
        <v/>
      </c>
      <c r="N613" s="74" t="str">
        <f t="shared" si="76"/>
        <v/>
      </c>
      <c r="O613" s="73" t="str">
        <f t="shared" si="77"/>
        <v/>
      </c>
      <c r="P613" s="65" t="str">
        <f t="shared" ca="1" si="78"/>
        <v/>
      </c>
      <c r="Q613" s="2"/>
      <c r="R613" s="2"/>
      <c r="S613" s="1" t="str">
        <f t="shared" si="79"/>
        <v/>
      </c>
      <c r="T613" s="1" t="str">
        <f>IF(OR($C613="",$D613&lt;&gt;"Gelir",$L613=""),"",IFERROR(INDEX(MUSTERILER!$B$7:$B$156,MATCH($S613,MUSTERILER!$T$7:$T$156,0)),""))</f>
        <v/>
      </c>
      <c r="U613" s="1" t="str">
        <f>IF($T613="","",$T613&amp;"|"&amp;COUNTIFS($T$7:$T613,$T613))</f>
        <v/>
      </c>
      <c r="V613" s="1">
        <f t="shared" si="80"/>
        <v>0</v>
      </c>
      <c r="W613" s="1" t="str">
        <f t="shared" si="81"/>
        <v/>
      </c>
      <c r="X613" s="1"/>
      <c r="Y613" s="1"/>
      <c r="Z613" s="1"/>
      <c r="AA613" s="1"/>
      <c r="AB613" s="1"/>
      <c r="AC613" s="1"/>
      <c r="AD613" s="1">
        <f>IF($C613="",0,SUMPRODUCT((AY_SONU!$O$7:$O$42="Evet")*(AY_SONU!$B$7:$B$42=DATE(YEAR($C613),MONTH($C613),1))))</f>
        <v>0</v>
      </c>
      <c r="AE613" s="1" t="str">
        <f>IF($E613="","",$E613&amp;"|"&amp;COUNTIFS($E$7:$E613,$E613))</f>
        <v/>
      </c>
    </row>
    <row r="614" spans="1:31" ht="18" customHeight="1" x14ac:dyDescent="0.3">
      <c r="A614" s="2"/>
      <c r="B614" s="65" t="str">
        <f t="shared" si="74"/>
        <v/>
      </c>
      <c r="C614" s="66"/>
      <c r="D614" s="60"/>
      <c r="E614" s="61"/>
      <c r="F614" s="61"/>
      <c r="G614" s="67"/>
      <c r="H614" s="60"/>
      <c r="I614" s="60"/>
      <c r="J614" s="61"/>
      <c r="K614" s="61"/>
      <c r="L614" s="60"/>
      <c r="M614" s="74" t="str">
        <f t="shared" si="75"/>
        <v/>
      </c>
      <c r="N614" s="74" t="str">
        <f t="shared" si="76"/>
        <v/>
      </c>
      <c r="O614" s="73" t="str">
        <f t="shared" si="77"/>
        <v/>
      </c>
      <c r="P614" s="65" t="str">
        <f t="shared" ca="1" si="78"/>
        <v/>
      </c>
      <c r="Q614" s="2"/>
      <c r="R614" s="2"/>
      <c r="S614" s="1" t="str">
        <f t="shared" si="79"/>
        <v/>
      </c>
      <c r="T614" s="1" t="str">
        <f>IF(OR($C614="",$D614&lt;&gt;"Gelir",$L614=""),"",IFERROR(INDEX(MUSTERILER!$B$7:$B$156,MATCH($S614,MUSTERILER!$T$7:$T$156,0)),""))</f>
        <v/>
      </c>
      <c r="U614" s="1" t="str">
        <f>IF($T614="","",$T614&amp;"|"&amp;COUNTIFS($T$7:$T614,$T614))</f>
        <v/>
      </c>
      <c r="V614" s="1">
        <f t="shared" si="80"/>
        <v>0</v>
      </c>
      <c r="W614" s="1" t="str">
        <f t="shared" si="81"/>
        <v/>
      </c>
      <c r="X614" s="1"/>
      <c r="Y614" s="1"/>
      <c r="Z614" s="1"/>
      <c r="AA614" s="1"/>
      <c r="AB614" s="1"/>
      <c r="AC614" s="1"/>
      <c r="AD614" s="1">
        <f>IF($C614="",0,SUMPRODUCT((AY_SONU!$O$7:$O$42="Evet")*(AY_SONU!$B$7:$B$42=DATE(YEAR($C614),MONTH($C614),1))))</f>
        <v>0</v>
      </c>
      <c r="AE614" s="1" t="str">
        <f>IF($E614="","",$E614&amp;"|"&amp;COUNTIFS($E$7:$E614,$E614))</f>
        <v/>
      </c>
    </row>
    <row r="615" spans="1:31" ht="18" customHeight="1" x14ac:dyDescent="0.3">
      <c r="A615" s="2"/>
      <c r="B615" s="65" t="str">
        <f t="shared" si="74"/>
        <v/>
      </c>
      <c r="C615" s="66"/>
      <c r="D615" s="60"/>
      <c r="E615" s="61"/>
      <c r="F615" s="61"/>
      <c r="G615" s="67"/>
      <c r="H615" s="60"/>
      <c r="I615" s="60"/>
      <c r="J615" s="61"/>
      <c r="K615" s="61"/>
      <c r="L615" s="60"/>
      <c r="M615" s="74" t="str">
        <f t="shared" si="75"/>
        <v/>
      </c>
      <c r="N615" s="74" t="str">
        <f t="shared" si="76"/>
        <v/>
      </c>
      <c r="O615" s="73" t="str">
        <f t="shared" si="77"/>
        <v/>
      </c>
      <c r="P615" s="65" t="str">
        <f t="shared" ca="1" si="78"/>
        <v/>
      </c>
      <c r="Q615" s="2"/>
      <c r="R615" s="2"/>
      <c r="S615" s="1" t="str">
        <f t="shared" si="79"/>
        <v/>
      </c>
      <c r="T615" s="1" t="str">
        <f>IF(OR($C615="",$D615&lt;&gt;"Gelir",$L615=""),"",IFERROR(INDEX(MUSTERILER!$B$7:$B$156,MATCH($S615,MUSTERILER!$T$7:$T$156,0)),""))</f>
        <v/>
      </c>
      <c r="U615" s="1" t="str">
        <f>IF($T615="","",$T615&amp;"|"&amp;COUNTIFS($T$7:$T615,$T615))</f>
        <v/>
      </c>
      <c r="V615" s="1">
        <f t="shared" si="80"/>
        <v>0</v>
      </c>
      <c r="W615" s="1" t="str">
        <f t="shared" si="81"/>
        <v/>
      </c>
      <c r="X615" s="1"/>
      <c r="Y615" s="1"/>
      <c r="Z615" s="1"/>
      <c r="AA615" s="1"/>
      <c r="AB615" s="1"/>
      <c r="AC615" s="1"/>
      <c r="AD615" s="1">
        <f>IF($C615="",0,SUMPRODUCT((AY_SONU!$O$7:$O$42="Evet")*(AY_SONU!$B$7:$B$42=DATE(YEAR($C615),MONTH($C615),1))))</f>
        <v>0</v>
      </c>
      <c r="AE615" s="1" t="str">
        <f>IF($E615="","",$E615&amp;"|"&amp;COUNTIFS($E$7:$E615,$E615))</f>
        <v/>
      </c>
    </row>
    <row r="616" spans="1:31" ht="18" customHeight="1" x14ac:dyDescent="0.3">
      <c r="A616" s="2"/>
      <c r="B616" s="65" t="str">
        <f t="shared" si="74"/>
        <v/>
      </c>
      <c r="C616" s="66"/>
      <c r="D616" s="60"/>
      <c r="E616" s="61"/>
      <c r="F616" s="61"/>
      <c r="G616" s="67"/>
      <c r="H616" s="60"/>
      <c r="I616" s="60"/>
      <c r="J616" s="61"/>
      <c r="K616" s="61"/>
      <c r="L616" s="60"/>
      <c r="M616" s="74" t="str">
        <f t="shared" si="75"/>
        <v/>
      </c>
      <c r="N616" s="74" t="str">
        <f t="shared" si="76"/>
        <v/>
      </c>
      <c r="O616" s="73" t="str">
        <f t="shared" si="77"/>
        <v/>
      </c>
      <c r="P616" s="65" t="str">
        <f t="shared" ca="1" si="78"/>
        <v/>
      </c>
      <c r="Q616" s="2"/>
      <c r="R616" s="2"/>
      <c r="S616" s="1" t="str">
        <f t="shared" si="79"/>
        <v/>
      </c>
      <c r="T616" s="1" t="str">
        <f>IF(OR($C616="",$D616&lt;&gt;"Gelir",$L616=""),"",IFERROR(INDEX(MUSTERILER!$B$7:$B$156,MATCH($S616,MUSTERILER!$T$7:$T$156,0)),""))</f>
        <v/>
      </c>
      <c r="U616" s="1" t="str">
        <f>IF($T616="","",$T616&amp;"|"&amp;COUNTIFS($T$7:$T616,$T616))</f>
        <v/>
      </c>
      <c r="V616" s="1">
        <f t="shared" si="80"/>
        <v>0</v>
      </c>
      <c r="W616" s="1" t="str">
        <f t="shared" si="81"/>
        <v/>
      </c>
      <c r="X616" s="1"/>
      <c r="Y616" s="1"/>
      <c r="Z616" s="1"/>
      <c r="AA616" s="1"/>
      <c r="AB616" s="1"/>
      <c r="AC616" s="1"/>
      <c r="AD616" s="1">
        <f>IF($C616="",0,SUMPRODUCT((AY_SONU!$O$7:$O$42="Evet")*(AY_SONU!$B$7:$B$42=DATE(YEAR($C616),MONTH($C616),1))))</f>
        <v>0</v>
      </c>
      <c r="AE616" s="1" t="str">
        <f>IF($E616="","",$E616&amp;"|"&amp;COUNTIFS($E$7:$E616,$E616))</f>
        <v/>
      </c>
    </row>
    <row r="617" spans="1:31" ht="18" customHeight="1" x14ac:dyDescent="0.3">
      <c r="A617" s="2"/>
      <c r="B617" s="65" t="str">
        <f t="shared" si="74"/>
        <v/>
      </c>
      <c r="C617" s="66"/>
      <c r="D617" s="60"/>
      <c r="E617" s="61"/>
      <c r="F617" s="61"/>
      <c r="G617" s="67"/>
      <c r="H617" s="60"/>
      <c r="I617" s="60"/>
      <c r="J617" s="61"/>
      <c r="K617" s="61"/>
      <c r="L617" s="60"/>
      <c r="M617" s="74" t="str">
        <f t="shared" si="75"/>
        <v/>
      </c>
      <c r="N617" s="74" t="str">
        <f t="shared" si="76"/>
        <v/>
      </c>
      <c r="O617" s="73" t="str">
        <f t="shared" si="77"/>
        <v/>
      </c>
      <c r="P617" s="65" t="str">
        <f t="shared" ca="1" si="78"/>
        <v/>
      </c>
      <c r="Q617" s="2"/>
      <c r="R617" s="2"/>
      <c r="S617" s="1" t="str">
        <f t="shared" si="79"/>
        <v/>
      </c>
      <c r="T617" s="1" t="str">
        <f>IF(OR($C617="",$D617&lt;&gt;"Gelir",$L617=""),"",IFERROR(INDEX(MUSTERILER!$B$7:$B$156,MATCH($S617,MUSTERILER!$T$7:$T$156,0)),""))</f>
        <v/>
      </c>
      <c r="U617" s="1" t="str">
        <f>IF($T617="","",$T617&amp;"|"&amp;COUNTIFS($T$7:$T617,$T617))</f>
        <v/>
      </c>
      <c r="V617" s="1">
        <f t="shared" si="80"/>
        <v>0</v>
      </c>
      <c r="W617" s="1" t="str">
        <f t="shared" si="81"/>
        <v/>
      </c>
      <c r="X617" s="1"/>
      <c r="Y617" s="1"/>
      <c r="Z617" s="1"/>
      <c r="AA617" s="1"/>
      <c r="AB617" s="1"/>
      <c r="AC617" s="1"/>
      <c r="AD617" s="1">
        <f>IF($C617="",0,SUMPRODUCT((AY_SONU!$O$7:$O$42="Evet")*(AY_SONU!$B$7:$B$42=DATE(YEAR($C617),MONTH($C617),1))))</f>
        <v>0</v>
      </c>
      <c r="AE617" s="1" t="str">
        <f>IF($E617="","",$E617&amp;"|"&amp;COUNTIFS($E$7:$E617,$E617))</f>
        <v/>
      </c>
    </row>
    <row r="618" spans="1:31" ht="18" customHeight="1" x14ac:dyDescent="0.3">
      <c r="A618" s="2"/>
      <c r="B618" s="65" t="str">
        <f t="shared" si="74"/>
        <v/>
      </c>
      <c r="C618" s="66"/>
      <c r="D618" s="60"/>
      <c r="E618" s="61"/>
      <c r="F618" s="61"/>
      <c r="G618" s="67"/>
      <c r="H618" s="60"/>
      <c r="I618" s="60"/>
      <c r="J618" s="61"/>
      <c r="K618" s="61"/>
      <c r="L618" s="60"/>
      <c r="M618" s="74" t="str">
        <f t="shared" si="75"/>
        <v/>
      </c>
      <c r="N618" s="74" t="str">
        <f t="shared" si="76"/>
        <v/>
      </c>
      <c r="O618" s="73" t="str">
        <f t="shared" si="77"/>
        <v/>
      </c>
      <c r="P618" s="65" t="str">
        <f t="shared" ca="1" si="78"/>
        <v/>
      </c>
      <c r="Q618" s="2"/>
      <c r="R618" s="2"/>
      <c r="S618" s="1" t="str">
        <f t="shared" si="79"/>
        <v/>
      </c>
      <c r="T618" s="1" t="str">
        <f>IF(OR($C618="",$D618&lt;&gt;"Gelir",$L618=""),"",IFERROR(INDEX(MUSTERILER!$B$7:$B$156,MATCH($S618,MUSTERILER!$T$7:$T$156,0)),""))</f>
        <v/>
      </c>
      <c r="U618" s="1" t="str">
        <f>IF($T618="","",$T618&amp;"|"&amp;COUNTIFS($T$7:$T618,$T618))</f>
        <v/>
      </c>
      <c r="V618" s="1">
        <f t="shared" si="80"/>
        <v>0</v>
      </c>
      <c r="W618" s="1" t="str">
        <f t="shared" si="81"/>
        <v/>
      </c>
      <c r="X618" s="1"/>
      <c r="Y618" s="1"/>
      <c r="Z618" s="1"/>
      <c r="AA618" s="1"/>
      <c r="AB618" s="1"/>
      <c r="AC618" s="1"/>
      <c r="AD618" s="1">
        <f>IF($C618="",0,SUMPRODUCT((AY_SONU!$O$7:$O$42="Evet")*(AY_SONU!$B$7:$B$42=DATE(YEAR($C618),MONTH($C618),1))))</f>
        <v>0</v>
      </c>
      <c r="AE618" s="1" t="str">
        <f>IF($E618="","",$E618&amp;"|"&amp;COUNTIFS($E$7:$E618,$E618))</f>
        <v/>
      </c>
    </row>
    <row r="619" spans="1:31" ht="18" customHeight="1" x14ac:dyDescent="0.3">
      <c r="A619" s="2"/>
      <c r="B619" s="65" t="str">
        <f t="shared" si="74"/>
        <v/>
      </c>
      <c r="C619" s="66"/>
      <c r="D619" s="60"/>
      <c r="E619" s="61"/>
      <c r="F619" s="61"/>
      <c r="G619" s="67"/>
      <c r="H619" s="60"/>
      <c r="I619" s="60"/>
      <c r="J619" s="61"/>
      <c r="K619" s="61"/>
      <c r="L619" s="60"/>
      <c r="M619" s="74" t="str">
        <f t="shared" si="75"/>
        <v/>
      </c>
      <c r="N619" s="74" t="str">
        <f t="shared" si="76"/>
        <v/>
      </c>
      <c r="O619" s="73" t="str">
        <f t="shared" si="77"/>
        <v/>
      </c>
      <c r="P619" s="65" t="str">
        <f t="shared" ca="1" si="78"/>
        <v/>
      </c>
      <c r="Q619" s="2"/>
      <c r="R619" s="2"/>
      <c r="S619" s="1" t="str">
        <f t="shared" si="79"/>
        <v/>
      </c>
      <c r="T619" s="1" t="str">
        <f>IF(OR($C619="",$D619&lt;&gt;"Gelir",$L619=""),"",IFERROR(INDEX(MUSTERILER!$B$7:$B$156,MATCH($S619,MUSTERILER!$T$7:$T$156,0)),""))</f>
        <v/>
      </c>
      <c r="U619" s="1" t="str">
        <f>IF($T619="","",$T619&amp;"|"&amp;COUNTIFS($T$7:$T619,$T619))</f>
        <v/>
      </c>
      <c r="V619" s="1">
        <f t="shared" si="80"/>
        <v>0</v>
      </c>
      <c r="W619" s="1" t="str">
        <f t="shared" si="81"/>
        <v/>
      </c>
      <c r="X619" s="1"/>
      <c r="Y619" s="1"/>
      <c r="Z619" s="1"/>
      <c r="AA619" s="1"/>
      <c r="AB619" s="1"/>
      <c r="AC619" s="1"/>
      <c r="AD619" s="1">
        <f>IF($C619="",0,SUMPRODUCT((AY_SONU!$O$7:$O$42="Evet")*(AY_SONU!$B$7:$B$42=DATE(YEAR($C619),MONTH($C619),1))))</f>
        <v>0</v>
      </c>
      <c r="AE619" s="1" t="str">
        <f>IF($E619="","",$E619&amp;"|"&amp;COUNTIFS($E$7:$E619,$E619))</f>
        <v/>
      </c>
    </row>
    <row r="620" spans="1:31" ht="18" customHeight="1" x14ac:dyDescent="0.3">
      <c r="A620" s="2"/>
      <c r="B620" s="65" t="str">
        <f t="shared" si="74"/>
        <v/>
      </c>
      <c r="C620" s="66"/>
      <c r="D620" s="60"/>
      <c r="E620" s="61"/>
      <c r="F620" s="61"/>
      <c r="G620" s="67"/>
      <c r="H620" s="60"/>
      <c r="I620" s="60"/>
      <c r="J620" s="61"/>
      <c r="K620" s="61"/>
      <c r="L620" s="60"/>
      <c r="M620" s="74" t="str">
        <f t="shared" si="75"/>
        <v/>
      </c>
      <c r="N620" s="74" t="str">
        <f t="shared" si="76"/>
        <v/>
      </c>
      <c r="O620" s="73" t="str">
        <f t="shared" si="77"/>
        <v/>
      </c>
      <c r="P620" s="65" t="str">
        <f t="shared" ca="1" si="78"/>
        <v/>
      </c>
      <c r="Q620" s="2"/>
      <c r="R620" s="2"/>
      <c r="S620" s="1" t="str">
        <f t="shared" si="79"/>
        <v/>
      </c>
      <c r="T620" s="1" t="str">
        <f>IF(OR($C620="",$D620&lt;&gt;"Gelir",$L620=""),"",IFERROR(INDEX(MUSTERILER!$B$7:$B$156,MATCH($S620,MUSTERILER!$T$7:$T$156,0)),""))</f>
        <v/>
      </c>
      <c r="U620" s="1" t="str">
        <f>IF($T620="","",$T620&amp;"|"&amp;COUNTIFS($T$7:$T620,$T620))</f>
        <v/>
      </c>
      <c r="V620" s="1">
        <f t="shared" si="80"/>
        <v>0</v>
      </c>
      <c r="W620" s="1" t="str">
        <f t="shared" si="81"/>
        <v/>
      </c>
      <c r="X620" s="1"/>
      <c r="Y620" s="1"/>
      <c r="Z620" s="1"/>
      <c r="AA620" s="1"/>
      <c r="AB620" s="1"/>
      <c r="AC620" s="1"/>
      <c r="AD620" s="1">
        <f>IF($C620="",0,SUMPRODUCT((AY_SONU!$O$7:$O$42="Evet")*(AY_SONU!$B$7:$B$42=DATE(YEAR($C620),MONTH($C620),1))))</f>
        <v>0</v>
      </c>
      <c r="AE620" s="1" t="str">
        <f>IF($E620="","",$E620&amp;"|"&amp;COUNTIFS($E$7:$E620,$E620))</f>
        <v/>
      </c>
    </row>
    <row r="621" spans="1:31" ht="18" customHeight="1" x14ac:dyDescent="0.3">
      <c r="A621" s="2"/>
      <c r="B621" s="65" t="str">
        <f t="shared" si="74"/>
        <v/>
      </c>
      <c r="C621" s="66"/>
      <c r="D621" s="60"/>
      <c r="E621" s="61"/>
      <c r="F621" s="61"/>
      <c r="G621" s="67"/>
      <c r="H621" s="60"/>
      <c r="I621" s="60"/>
      <c r="J621" s="61"/>
      <c r="K621" s="61"/>
      <c r="L621" s="60"/>
      <c r="M621" s="74" t="str">
        <f t="shared" si="75"/>
        <v/>
      </c>
      <c r="N621" s="74" t="str">
        <f t="shared" si="76"/>
        <v/>
      </c>
      <c r="O621" s="73" t="str">
        <f t="shared" si="77"/>
        <v/>
      </c>
      <c r="P621" s="65" t="str">
        <f t="shared" ca="1" si="78"/>
        <v/>
      </c>
      <c r="Q621" s="2"/>
      <c r="R621" s="2"/>
      <c r="S621" s="1" t="str">
        <f t="shared" si="79"/>
        <v/>
      </c>
      <c r="T621" s="1" t="str">
        <f>IF(OR($C621="",$D621&lt;&gt;"Gelir",$L621=""),"",IFERROR(INDEX(MUSTERILER!$B$7:$B$156,MATCH($S621,MUSTERILER!$T$7:$T$156,0)),""))</f>
        <v/>
      </c>
      <c r="U621" s="1" t="str">
        <f>IF($T621="","",$T621&amp;"|"&amp;COUNTIFS($T$7:$T621,$T621))</f>
        <v/>
      </c>
      <c r="V621" s="1">
        <f t="shared" si="80"/>
        <v>0</v>
      </c>
      <c r="W621" s="1" t="str">
        <f t="shared" si="81"/>
        <v/>
      </c>
      <c r="X621" s="1"/>
      <c r="Y621" s="1"/>
      <c r="Z621" s="1"/>
      <c r="AA621" s="1"/>
      <c r="AB621" s="1"/>
      <c r="AC621" s="1"/>
      <c r="AD621" s="1">
        <f>IF($C621="",0,SUMPRODUCT((AY_SONU!$O$7:$O$42="Evet")*(AY_SONU!$B$7:$B$42=DATE(YEAR($C621),MONTH($C621),1))))</f>
        <v>0</v>
      </c>
      <c r="AE621" s="1" t="str">
        <f>IF($E621="","",$E621&amp;"|"&amp;COUNTIFS($E$7:$E621,$E621))</f>
        <v/>
      </c>
    </row>
    <row r="622" spans="1:31" ht="18" customHeight="1" x14ac:dyDescent="0.3">
      <c r="A622" s="2"/>
      <c r="B622" s="65" t="str">
        <f t="shared" si="74"/>
        <v/>
      </c>
      <c r="C622" s="66"/>
      <c r="D622" s="60"/>
      <c r="E622" s="61"/>
      <c r="F622" s="61"/>
      <c r="G622" s="67"/>
      <c r="H622" s="60"/>
      <c r="I622" s="60"/>
      <c r="J622" s="61"/>
      <c r="K622" s="61"/>
      <c r="L622" s="60"/>
      <c r="M622" s="74" t="str">
        <f t="shared" si="75"/>
        <v/>
      </c>
      <c r="N622" s="74" t="str">
        <f t="shared" si="76"/>
        <v/>
      </c>
      <c r="O622" s="73" t="str">
        <f t="shared" si="77"/>
        <v/>
      </c>
      <c r="P622" s="65" t="str">
        <f t="shared" ca="1" si="78"/>
        <v/>
      </c>
      <c r="Q622" s="2"/>
      <c r="R622" s="2"/>
      <c r="S622" s="1" t="str">
        <f t="shared" si="79"/>
        <v/>
      </c>
      <c r="T622" s="1" t="str">
        <f>IF(OR($C622="",$D622&lt;&gt;"Gelir",$L622=""),"",IFERROR(INDEX(MUSTERILER!$B$7:$B$156,MATCH($S622,MUSTERILER!$T$7:$T$156,0)),""))</f>
        <v/>
      </c>
      <c r="U622" s="1" t="str">
        <f>IF($T622="","",$T622&amp;"|"&amp;COUNTIFS($T$7:$T622,$T622))</f>
        <v/>
      </c>
      <c r="V622" s="1">
        <f t="shared" si="80"/>
        <v>0</v>
      </c>
      <c r="W622" s="1" t="str">
        <f t="shared" si="81"/>
        <v/>
      </c>
      <c r="X622" s="1"/>
      <c r="Y622" s="1"/>
      <c r="Z622" s="1"/>
      <c r="AA622" s="1"/>
      <c r="AB622" s="1"/>
      <c r="AC622" s="1"/>
      <c r="AD622" s="1">
        <f>IF($C622="",0,SUMPRODUCT((AY_SONU!$O$7:$O$42="Evet")*(AY_SONU!$B$7:$B$42=DATE(YEAR($C622),MONTH($C622),1))))</f>
        <v>0</v>
      </c>
      <c r="AE622" s="1" t="str">
        <f>IF($E622="","",$E622&amp;"|"&amp;COUNTIFS($E$7:$E622,$E622))</f>
        <v/>
      </c>
    </row>
    <row r="623" spans="1:31" ht="18" customHeight="1" x14ac:dyDescent="0.3">
      <c r="A623" s="2"/>
      <c r="B623" s="65" t="str">
        <f t="shared" si="74"/>
        <v/>
      </c>
      <c r="C623" s="66"/>
      <c r="D623" s="60"/>
      <c r="E623" s="61"/>
      <c r="F623" s="61"/>
      <c r="G623" s="67"/>
      <c r="H623" s="60"/>
      <c r="I623" s="60"/>
      <c r="J623" s="61"/>
      <c r="K623" s="61"/>
      <c r="L623" s="60"/>
      <c r="M623" s="74" t="str">
        <f t="shared" si="75"/>
        <v/>
      </c>
      <c r="N623" s="74" t="str">
        <f t="shared" si="76"/>
        <v/>
      </c>
      <c r="O623" s="73" t="str">
        <f t="shared" si="77"/>
        <v/>
      </c>
      <c r="P623" s="65" t="str">
        <f t="shared" ca="1" si="78"/>
        <v/>
      </c>
      <c r="Q623" s="2"/>
      <c r="R623" s="2"/>
      <c r="S623" s="1" t="str">
        <f t="shared" si="79"/>
        <v/>
      </c>
      <c r="T623" s="1" t="str">
        <f>IF(OR($C623="",$D623&lt;&gt;"Gelir",$L623=""),"",IFERROR(INDEX(MUSTERILER!$B$7:$B$156,MATCH($S623,MUSTERILER!$T$7:$T$156,0)),""))</f>
        <v/>
      </c>
      <c r="U623" s="1" t="str">
        <f>IF($T623="","",$T623&amp;"|"&amp;COUNTIFS($T$7:$T623,$T623))</f>
        <v/>
      </c>
      <c r="V623" s="1">
        <f t="shared" si="80"/>
        <v>0</v>
      </c>
      <c r="W623" s="1" t="str">
        <f t="shared" si="81"/>
        <v/>
      </c>
      <c r="X623" s="1"/>
      <c r="Y623" s="1"/>
      <c r="Z623" s="1"/>
      <c r="AA623" s="1"/>
      <c r="AB623" s="1"/>
      <c r="AC623" s="1"/>
      <c r="AD623" s="1">
        <f>IF($C623="",0,SUMPRODUCT((AY_SONU!$O$7:$O$42="Evet")*(AY_SONU!$B$7:$B$42=DATE(YEAR($C623),MONTH($C623),1))))</f>
        <v>0</v>
      </c>
      <c r="AE623" s="1" t="str">
        <f>IF($E623="","",$E623&amp;"|"&amp;COUNTIFS($E$7:$E623,$E623))</f>
        <v/>
      </c>
    </row>
    <row r="624" spans="1:31" ht="18" customHeight="1" x14ac:dyDescent="0.3">
      <c r="A624" s="2"/>
      <c r="B624" s="65" t="str">
        <f t="shared" si="74"/>
        <v/>
      </c>
      <c r="C624" s="66"/>
      <c r="D624" s="60"/>
      <c r="E624" s="61"/>
      <c r="F624" s="61"/>
      <c r="G624" s="67"/>
      <c r="H624" s="60"/>
      <c r="I624" s="60"/>
      <c r="J624" s="61"/>
      <c r="K624" s="61"/>
      <c r="L624" s="60"/>
      <c r="M624" s="74" t="str">
        <f t="shared" si="75"/>
        <v/>
      </c>
      <c r="N624" s="74" t="str">
        <f t="shared" si="76"/>
        <v/>
      </c>
      <c r="O624" s="73" t="str">
        <f t="shared" si="77"/>
        <v/>
      </c>
      <c r="P624" s="65" t="str">
        <f t="shared" ca="1" si="78"/>
        <v/>
      </c>
      <c r="Q624" s="2"/>
      <c r="R624" s="2"/>
      <c r="S624" s="1" t="str">
        <f t="shared" si="79"/>
        <v/>
      </c>
      <c r="T624" s="1" t="str">
        <f>IF(OR($C624="",$D624&lt;&gt;"Gelir",$L624=""),"",IFERROR(INDEX(MUSTERILER!$B$7:$B$156,MATCH($S624,MUSTERILER!$T$7:$T$156,0)),""))</f>
        <v/>
      </c>
      <c r="U624" s="1" t="str">
        <f>IF($T624="","",$T624&amp;"|"&amp;COUNTIFS($T$7:$T624,$T624))</f>
        <v/>
      </c>
      <c r="V624" s="1">
        <f t="shared" si="80"/>
        <v>0</v>
      </c>
      <c r="W624" s="1" t="str">
        <f t="shared" si="81"/>
        <v/>
      </c>
      <c r="X624" s="1"/>
      <c r="Y624" s="1"/>
      <c r="Z624" s="1"/>
      <c r="AA624" s="1"/>
      <c r="AB624" s="1"/>
      <c r="AC624" s="1"/>
      <c r="AD624" s="1">
        <f>IF($C624="",0,SUMPRODUCT((AY_SONU!$O$7:$O$42="Evet")*(AY_SONU!$B$7:$B$42=DATE(YEAR($C624),MONTH($C624),1))))</f>
        <v>0</v>
      </c>
      <c r="AE624" s="1" t="str">
        <f>IF($E624="","",$E624&amp;"|"&amp;COUNTIFS($E$7:$E624,$E624))</f>
        <v/>
      </c>
    </row>
    <row r="625" spans="1:31" ht="18" customHeight="1" x14ac:dyDescent="0.3">
      <c r="A625" s="2"/>
      <c r="B625" s="65" t="str">
        <f t="shared" si="74"/>
        <v/>
      </c>
      <c r="C625" s="66"/>
      <c r="D625" s="60"/>
      <c r="E625" s="61"/>
      <c r="F625" s="61"/>
      <c r="G625" s="67"/>
      <c r="H625" s="60"/>
      <c r="I625" s="60"/>
      <c r="J625" s="61"/>
      <c r="K625" s="61"/>
      <c r="L625" s="60"/>
      <c r="M625" s="74" t="str">
        <f t="shared" si="75"/>
        <v/>
      </c>
      <c r="N625" s="74" t="str">
        <f t="shared" si="76"/>
        <v/>
      </c>
      <c r="O625" s="73" t="str">
        <f t="shared" si="77"/>
        <v/>
      </c>
      <c r="P625" s="65" t="str">
        <f t="shared" ca="1" si="78"/>
        <v/>
      </c>
      <c r="Q625" s="2"/>
      <c r="R625" s="2"/>
      <c r="S625" s="1" t="str">
        <f t="shared" si="79"/>
        <v/>
      </c>
      <c r="T625" s="1" t="str">
        <f>IF(OR($C625="",$D625&lt;&gt;"Gelir",$L625=""),"",IFERROR(INDEX(MUSTERILER!$B$7:$B$156,MATCH($S625,MUSTERILER!$T$7:$T$156,0)),""))</f>
        <v/>
      </c>
      <c r="U625" s="1" t="str">
        <f>IF($T625="","",$T625&amp;"|"&amp;COUNTIFS($T$7:$T625,$T625))</f>
        <v/>
      </c>
      <c r="V625" s="1">
        <f t="shared" si="80"/>
        <v>0</v>
      </c>
      <c r="W625" s="1" t="str">
        <f t="shared" si="81"/>
        <v/>
      </c>
      <c r="X625" s="1"/>
      <c r="Y625" s="1"/>
      <c r="Z625" s="1"/>
      <c r="AA625" s="1"/>
      <c r="AB625" s="1"/>
      <c r="AC625" s="1"/>
      <c r="AD625" s="1">
        <f>IF($C625="",0,SUMPRODUCT((AY_SONU!$O$7:$O$42="Evet")*(AY_SONU!$B$7:$B$42=DATE(YEAR($C625),MONTH($C625),1))))</f>
        <v>0</v>
      </c>
      <c r="AE625" s="1" t="str">
        <f>IF($E625="","",$E625&amp;"|"&amp;COUNTIFS($E$7:$E625,$E625))</f>
        <v/>
      </c>
    </row>
    <row r="626" spans="1:31" ht="18" customHeight="1" x14ac:dyDescent="0.3">
      <c r="A626" s="2"/>
      <c r="B626" s="65" t="str">
        <f t="shared" si="74"/>
        <v/>
      </c>
      <c r="C626" s="66"/>
      <c r="D626" s="60"/>
      <c r="E626" s="61"/>
      <c r="F626" s="61"/>
      <c r="G626" s="67"/>
      <c r="H626" s="60"/>
      <c r="I626" s="60"/>
      <c r="J626" s="61"/>
      <c r="K626" s="61"/>
      <c r="L626" s="60"/>
      <c r="M626" s="74" t="str">
        <f t="shared" si="75"/>
        <v/>
      </c>
      <c r="N626" s="74" t="str">
        <f t="shared" si="76"/>
        <v/>
      </c>
      <c r="O626" s="73" t="str">
        <f t="shared" si="77"/>
        <v/>
      </c>
      <c r="P626" s="65" t="str">
        <f t="shared" ca="1" si="78"/>
        <v/>
      </c>
      <c r="Q626" s="2"/>
      <c r="R626" s="2"/>
      <c r="S626" s="1" t="str">
        <f t="shared" si="79"/>
        <v/>
      </c>
      <c r="T626" s="1" t="str">
        <f>IF(OR($C626="",$D626&lt;&gt;"Gelir",$L626=""),"",IFERROR(INDEX(MUSTERILER!$B$7:$B$156,MATCH($S626,MUSTERILER!$T$7:$T$156,0)),""))</f>
        <v/>
      </c>
      <c r="U626" s="1" t="str">
        <f>IF($T626="","",$T626&amp;"|"&amp;COUNTIFS($T$7:$T626,$T626))</f>
        <v/>
      </c>
      <c r="V626" s="1">
        <f t="shared" si="80"/>
        <v>0</v>
      </c>
      <c r="W626" s="1" t="str">
        <f t="shared" si="81"/>
        <v/>
      </c>
      <c r="X626" s="1"/>
      <c r="Y626" s="1"/>
      <c r="Z626" s="1"/>
      <c r="AA626" s="1"/>
      <c r="AB626" s="1"/>
      <c r="AC626" s="1"/>
      <c r="AD626" s="1">
        <f>IF($C626="",0,SUMPRODUCT((AY_SONU!$O$7:$O$42="Evet")*(AY_SONU!$B$7:$B$42=DATE(YEAR($C626),MONTH($C626),1))))</f>
        <v>0</v>
      </c>
      <c r="AE626" s="1" t="str">
        <f>IF($E626="","",$E626&amp;"|"&amp;COUNTIFS($E$7:$E626,$E626))</f>
        <v/>
      </c>
    </row>
    <row r="627" spans="1:31" ht="18" customHeight="1" x14ac:dyDescent="0.3">
      <c r="A627" s="2"/>
      <c r="B627" s="65" t="str">
        <f t="shared" si="74"/>
        <v/>
      </c>
      <c r="C627" s="66"/>
      <c r="D627" s="60"/>
      <c r="E627" s="61"/>
      <c r="F627" s="61"/>
      <c r="G627" s="67"/>
      <c r="H627" s="60"/>
      <c r="I627" s="60"/>
      <c r="J627" s="61"/>
      <c r="K627" s="61"/>
      <c r="L627" s="60"/>
      <c r="M627" s="74" t="str">
        <f t="shared" si="75"/>
        <v/>
      </c>
      <c r="N627" s="74" t="str">
        <f t="shared" si="76"/>
        <v/>
      </c>
      <c r="O627" s="73" t="str">
        <f t="shared" si="77"/>
        <v/>
      </c>
      <c r="P627" s="65" t="str">
        <f t="shared" ca="1" si="78"/>
        <v/>
      </c>
      <c r="Q627" s="2"/>
      <c r="R627" s="2"/>
      <c r="S627" s="1" t="str">
        <f t="shared" si="79"/>
        <v/>
      </c>
      <c r="T627" s="1" t="str">
        <f>IF(OR($C627="",$D627&lt;&gt;"Gelir",$L627=""),"",IFERROR(INDEX(MUSTERILER!$B$7:$B$156,MATCH($S627,MUSTERILER!$T$7:$T$156,0)),""))</f>
        <v/>
      </c>
      <c r="U627" s="1" t="str">
        <f>IF($T627="","",$T627&amp;"|"&amp;COUNTIFS($T$7:$T627,$T627))</f>
        <v/>
      </c>
      <c r="V627" s="1">
        <f t="shared" si="80"/>
        <v>0</v>
      </c>
      <c r="W627" s="1" t="str">
        <f t="shared" si="81"/>
        <v/>
      </c>
      <c r="X627" s="1"/>
      <c r="Y627" s="1"/>
      <c r="Z627" s="1"/>
      <c r="AA627" s="1"/>
      <c r="AB627" s="1"/>
      <c r="AC627" s="1"/>
      <c r="AD627" s="1">
        <f>IF($C627="",0,SUMPRODUCT((AY_SONU!$O$7:$O$42="Evet")*(AY_SONU!$B$7:$B$42=DATE(YEAR($C627),MONTH($C627),1))))</f>
        <v>0</v>
      </c>
      <c r="AE627" s="1" t="str">
        <f>IF($E627="","",$E627&amp;"|"&amp;COUNTIFS($E$7:$E627,$E627))</f>
        <v/>
      </c>
    </row>
    <row r="628" spans="1:31" ht="18" customHeight="1" x14ac:dyDescent="0.3">
      <c r="A628" s="2"/>
      <c r="B628" s="65" t="str">
        <f t="shared" si="74"/>
        <v/>
      </c>
      <c r="C628" s="66"/>
      <c r="D628" s="60"/>
      <c r="E628" s="61"/>
      <c r="F628" s="61"/>
      <c r="G628" s="67"/>
      <c r="H628" s="60"/>
      <c r="I628" s="60"/>
      <c r="J628" s="61"/>
      <c r="K628" s="61"/>
      <c r="L628" s="60"/>
      <c r="M628" s="74" t="str">
        <f t="shared" si="75"/>
        <v/>
      </c>
      <c r="N628" s="74" t="str">
        <f t="shared" si="76"/>
        <v/>
      </c>
      <c r="O628" s="73" t="str">
        <f t="shared" si="77"/>
        <v/>
      </c>
      <c r="P628" s="65" t="str">
        <f t="shared" ca="1" si="78"/>
        <v/>
      </c>
      <c r="Q628" s="2"/>
      <c r="R628" s="2"/>
      <c r="S628" s="1" t="str">
        <f t="shared" si="79"/>
        <v/>
      </c>
      <c r="T628" s="1" t="str">
        <f>IF(OR($C628="",$D628&lt;&gt;"Gelir",$L628=""),"",IFERROR(INDEX(MUSTERILER!$B$7:$B$156,MATCH($S628,MUSTERILER!$T$7:$T$156,0)),""))</f>
        <v/>
      </c>
      <c r="U628" s="1" t="str">
        <f>IF($T628="","",$T628&amp;"|"&amp;COUNTIFS($T$7:$T628,$T628))</f>
        <v/>
      </c>
      <c r="V628" s="1">
        <f t="shared" si="80"/>
        <v>0</v>
      </c>
      <c r="W628" s="1" t="str">
        <f t="shared" si="81"/>
        <v/>
      </c>
      <c r="X628" s="1"/>
      <c r="Y628" s="1"/>
      <c r="Z628" s="1"/>
      <c r="AA628" s="1"/>
      <c r="AB628" s="1"/>
      <c r="AC628" s="1"/>
      <c r="AD628" s="1">
        <f>IF($C628="",0,SUMPRODUCT((AY_SONU!$O$7:$O$42="Evet")*(AY_SONU!$B$7:$B$42=DATE(YEAR($C628),MONTH($C628),1))))</f>
        <v>0</v>
      </c>
      <c r="AE628" s="1" t="str">
        <f>IF($E628="","",$E628&amp;"|"&amp;COUNTIFS($E$7:$E628,$E628))</f>
        <v/>
      </c>
    </row>
    <row r="629" spans="1:31" ht="18" customHeight="1" x14ac:dyDescent="0.3">
      <c r="A629" s="2"/>
      <c r="B629" s="65" t="str">
        <f t="shared" si="74"/>
        <v/>
      </c>
      <c r="C629" s="66"/>
      <c r="D629" s="60"/>
      <c r="E629" s="61"/>
      <c r="F629" s="61"/>
      <c r="G629" s="67"/>
      <c r="H629" s="60"/>
      <c r="I629" s="60"/>
      <c r="J629" s="61"/>
      <c r="K629" s="61"/>
      <c r="L629" s="60"/>
      <c r="M629" s="74" t="str">
        <f t="shared" si="75"/>
        <v/>
      </c>
      <c r="N629" s="74" t="str">
        <f t="shared" si="76"/>
        <v/>
      </c>
      <c r="O629" s="73" t="str">
        <f t="shared" si="77"/>
        <v/>
      </c>
      <c r="P629" s="65" t="str">
        <f t="shared" ca="1" si="78"/>
        <v/>
      </c>
      <c r="Q629" s="2"/>
      <c r="R629" s="2"/>
      <c r="S629" s="1" t="str">
        <f t="shared" si="79"/>
        <v/>
      </c>
      <c r="T629" s="1" t="str">
        <f>IF(OR($C629="",$D629&lt;&gt;"Gelir",$L629=""),"",IFERROR(INDEX(MUSTERILER!$B$7:$B$156,MATCH($S629,MUSTERILER!$T$7:$T$156,0)),""))</f>
        <v/>
      </c>
      <c r="U629" s="1" t="str">
        <f>IF($T629="","",$T629&amp;"|"&amp;COUNTIFS($T$7:$T629,$T629))</f>
        <v/>
      </c>
      <c r="V629" s="1">
        <f t="shared" si="80"/>
        <v>0</v>
      </c>
      <c r="W629" s="1" t="str">
        <f t="shared" si="81"/>
        <v/>
      </c>
      <c r="X629" s="1"/>
      <c r="Y629" s="1"/>
      <c r="Z629" s="1"/>
      <c r="AA629" s="1"/>
      <c r="AB629" s="1"/>
      <c r="AC629" s="1"/>
      <c r="AD629" s="1">
        <f>IF($C629="",0,SUMPRODUCT((AY_SONU!$O$7:$O$42="Evet")*(AY_SONU!$B$7:$B$42=DATE(YEAR($C629),MONTH($C629),1))))</f>
        <v>0</v>
      </c>
      <c r="AE629" s="1" t="str">
        <f>IF($E629="","",$E629&amp;"|"&amp;COUNTIFS($E$7:$E629,$E629))</f>
        <v/>
      </c>
    </row>
    <row r="630" spans="1:31" ht="18" customHeight="1" x14ac:dyDescent="0.3">
      <c r="A630" s="2"/>
      <c r="B630" s="65" t="str">
        <f t="shared" si="74"/>
        <v/>
      </c>
      <c r="C630" s="66"/>
      <c r="D630" s="60"/>
      <c r="E630" s="61"/>
      <c r="F630" s="61"/>
      <c r="G630" s="67"/>
      <c r="H630" s="60"/>
      <c r="I630" s="60"/>
      <c r="J630" s="61"/>
      <c r="K630" s="61"/>
      <c r="L630" s="60"/>
      <c r="M630" s="74" t="str">
        <f t="shared" si="75"/>
        <v/>
      </c>
      <c r="N630" s="74" t="str">
        <f t="shared" si="76"/>
        <v/>
      </c>
      <c r="O630" s="73" t="str">
        <f t="shared" si="77"/>
        <v/>
      </c>
      <c r="P630" s="65" t="str">
        <f t="shared" ca="1" si="78"/>
        <v/>
      </c>
      <c r="Q630" s="2"/>
      <c r="R630" s="2"/>
      <c r="S630" s="1" t="str">
        <f t="shared" si="79"/>
        <v/>
      </c>
      <c r="T630" s="1" t="str">
        <f>IF(OR($C630="",$D630&lt;&gt;"Gelir",$L630=""),"",IFERROR(INDEX(MUSTERILER!$B$7:$B$156,MATCH($S630,MUSTERILER!$T$7:$T$156,0)),""))</f>
        <v/>
      </c>
      <c r="U630" s="1" t="str">
        <f>IF($T630="","",$T630&amp;"|"&amp;COUNTIFS($T$7:$T630,$T630))</f>
        <v/>
      </c>
      <c r="V630" s="1">
        <f t="shared" si="80"/>
        <v>0</v>
      </c>
      <c r="W630" s="1" t="str">
        <f t="shared" si="81"/>
        <v/>
      </c>
      <c r="X630" s="1"/>
      <c r="Y630" s="1"/>
      <c r="Z630" s="1"/>
      <c r="AA630" s="1"/>
      <c r="AB630" s="1"/>
      <c r="AC630" s="1"/>
      <c r="AD630" s="1">
        <f>IF($C630="",0,SUMPRODUCT((AY_SONU!$O$7:$O$42="Evet")*(AY_SONU!$B$7:$B$42=DATE(YEAR($C630),MONTH($C630),1))))</f>
        <v>0</v>
      </c>
      <c r="AE630" s="1" t="str">
        <f>IF($E630="","",$E630&amp;"|"&amp;COUNTIFS($E$7:$E630,$E630))</f>
        <v/>
      </c>
    </row>
    <row r="631" spans="1:31" ht="18" customHeight="1" x14ac:dyDescent="0.3">
      <c r="A631" s="2"/>
      <c r="B631" s="65" t="str">
        <f t="shared" si="74"/>
        <v/>
      </c>
      <c r="C631" s="66"/>
      <c r="D631" s="60"/>
      <c r="E631" s="61"/>
      <c r="F631" s="61"/>
      <c r="G631" s="67"/>
      <c r="H631" s="60"/>
      <c r="I631" s="60"/>
      <c r="J631" s="61"/>
      <c r="K631" s="61"/>
      <c r="L631" s="60"/>
      <c r="M631" s="74" t="str">
        <f t="shared" si="75"/>
        <v/>
      </c>
      <c r="N631" s="74" t="str">
        <f t="shared" si="76"/>
        <v/>
      </c>
      <c r="O631" s="73" t="str">
        <f t="shared" si="77"/>
        <v/>
      </c>
      <c r="P631" s="65" t="str">
        <f t="shared" ca="1" si="78"/>
        <v/>
      </c>
      <c r="Q631" s="2"/>
      <c r="R631" s="2"/>
      <c r="S631" s="1" t="str">
        <f t="shared" si="79"/>
        <v/>
      </c>
      <c r="T631" s="1" t="str">
        <f>IF(OR($C631="",$D631&lt;&gt;"Gelir",$L631=""),"",IFERROR(INDEX(MUSTERILER!$B$7:$B$156,MATCH($S631,MUSTERILER!$T$7:$T$156,0)),""))</f>
        <v/>
      </c>
      <c r="U631" s="1" t="str">
        <f>IF($T631="","",$T631&amp;"|"&amp;COUNTIFS($T$7:$T631,$T631))</f>
        <v/>
      </c>
      <c r="V631" s="1">
        <f t="shared" si="80"/>
        <v>0</v>
      </c>
      <c r="W631" s="1" t="str">
        <f t="shared" si="81"/>
        <v/>
      </c>
      <c r="X631" s="1"/>
      <c r="Y631" s="1"/>
      <c r="Z631" s="1"/>
      <c r="AA631" s="1"/>
      <c r="AB631" s="1"/>
      <c r="AC631" s="1"/>
      <c r="AD631" s="1">
        <f>IF($C631="",0,SUMPRODUCT((AY_SONU!$O$7:$O$42="Evet")*(AY_SONU!$B$7:$B$42=DATE(YEAR($C631),MONTH($C631),1))))</f>
        <v>0</v>
      </c>
      <c r="AE631" s="1" t="str">
        <f>IF($E631="","",$E631&amp;"|"&amp;COUNTIFS($E$7:$E631,$E631))</f>
        <v/>
      </c>
    </row>
    <row r="632" spans="1:31" ht="18" customHeight="1" x14ac:dyDescent="0.3">
      <c r="A632" s="2"/>
      <c r="B632" s="65" t="str">
        <f t="shared" si="74"/>
        <v/>
      </c>
      <c r="C632" s="66"/>
      <c r="D632" s="60"/>
      <c r="E632" s="61"/>
      <c r="F632" s="61"/>
      <c r="G632" s="67"/>
      <c r="H632" s="60"/>
      <c r="I632" s="60"/>
      <c r="J632" s="61"/>
      <c r="K632" s="61"/>
      <c r="L632" s="60"/>
      <c r="M632" s="74" t="str">
        <f t="shared" si="75"/>
        <v/>
      </c>
      <c r="N632" s="74" t="str">
        <f t="shared" si="76"/>
        <v/>
      </c>
      <c r="O632" s="73" t="str">
        <f t="shared" si="77"/>
        <v/>
      </c>
      <c r="P632" s="65" t="str">
        <f t="shared" ca="1" si="78"/>
        <v/>
      </c>
      <c r="Q632" s="2"/>
      <c r="R632" s="2"/>
      <c r="S632" s="1" t="str">
        <f t="shared" si="79"/>
        <v/>
      </c>
      <c r="T632" s="1" t="str">
        <f>IF(OR($C632="",$D632&lt;&gt;"Gelir",$L632=""),"",IFERROR(INDEX(MUSTERILER!$B$7:$B$156,MATCH($S632,MUSTERILER!$T$7:$T$156,0)),""))</f>
        <v/>
      </c>
      <c r="U632" s="1" t="str">
        <f>IF($T632="","",$T632&amp;"|"&amp;COUNTIFS($T$7:$T632,$T632))</f>
        <v/>
      </c>
      <c r="V632" s="1">
        <f t="shared" si="80"/>
        <v>0</v>
      </c>
      <c r="W632" s="1" t="str">
        <f t="shared" si="81"/>
        <v/>
      </c>
      <c r="X632" s="1"/>
      <c r="Y632" s="1"/>
      <c r="Z632" s="1"/>
      <c r="AA632" s="1"/>
      <c r="AB632" s="1"/>
      <c r="AC632" s="1"/>
      <c r="AD632" s="1">
        <f>IF($C632="",0,SUMPRODUCT((AY_SONU!$O$7:$O$42="Evet")*(AY_SONU!$B$7:$B$42=DATE(YEAR($C632),MONTH($C632),1))))</f>
        <v>0</v>
      </c>
      <c r="AE632" s="1" t="str">
        <f>IF($E632="","",$E632&amp;"|"&amp;COUNTIFS($E$7:$E632,$E632))</f>
        <v/>
      </c>
    </row>
    <row r="633" spans="1:31" ht="18" customHeight="1" x14ac:dyDescent="0.3">
      <c r="A633" s="2"/>
      <c r="B633" s="65" t="str">
        <f t="shared" si="74"/>
        <v/>
      </c>
      <c r="C633" s="66"/>
      <c r="D633" s="60"/>
      <c r="E633" s="61"/>
      <c r="F633" s="61"/>
      <c r="G633" s="67"/>
      <c r="H633" s="60"/>
      <c r="I633" s="60"/>
      <c r="J633" s="61"/>
      <c r="K633" s="61"/>
      <c r="L633" s="60"/>
      <c r="M633" s="74" t="str">
        <f t="shared" si="75"/>
        <v/>
      </c>
      <c r="N633" s="74" t="str">
        <f t="shared" si="76"/>
        <v/>
      </c>
      <c r="O633" s="73" t="str">
        <f t="shared" si="77"/>
        <v/>
      </c>
      <c r="P633" s="65" t="str">
        <f t="shared" ca="1" si="78"/>
        <v/>
      </c>
      <c r="Q633" s="2"/>
      <c r="R633" s="2"/>
      <c r="S633" s="1" t="str">
        <f t="shared" si="79"/>
        <v/>
      </c>
      <c r="T633" s="1" t="str">
        <f>IF(OR($C633="",$D633&lt;&gt;"Gelir",$L633=""),"",IFERROR(INDEX(MUSTERILER!$B$7:$B$156,MATCH($S633,MUSTERILER!$T$7:$T$156,0)),""))</f>
        <v/>
      </c>
      <c r="U633" s="1" t="str">
        <f>IF($T633="","",$T633&amp;"|"&amp;COUNTIFS($T$7:$T633,$T633))</f>
        <v/>
      </c>
      <c r="V633" s="1">
        <f t="shared" si="80"/>
        <v>0</v>
      </c>
      <c r="W633" s="1" t="str">
        <f t="shared" si="81"/>
        <v/>
      </c>
      <c r="X633" s="1"/>
      <c r="Y633" s="1"/>
      <c r="Z633" s="1"/>
      <c r="AA633" s="1"/>
      <c r="AB633" s="1"/>
      <c r="AC633" s="1"/>
      <c r="AD633" s="1">
        <f>IF($C633="",0,SUMPRODUCT((AY_SONU!$O$7:$O$42="Evet")*(AY_SONU!$B$7:$B$42=DATE(YEAR($C633),MONTH($C633),1))))</f>
        <v>0</v>
      </c>
      <c r="AE633" s="1" t="str">
        <f>IF($E633="","",$E633&amp;"|"&amp;COUNTIFS($E$7:$E633,$E633))</f>
        <v/>
      </c>
    </row>
    <row r="634" spans="1:31" ht="18" customHeight="1" x14ac:dyDescent="0.3">
      <c r="A634" s="2"/>
      <c r="B634" s="65" t="str">
        <f t="shared" si="74"/>
        <v/>
      </c>
      <c r="C634" s="66"/>
      <c r="D634" s="60"/>
      <c r="E634" s="61"/>
      <c r="F634" s="61"/>
      <c r="G634" s="67"/>
      <c r="H634" s="60"/>
      <c r="I634" s="60"/>
      <c r="J634" s="61"/>
      <c r="K634" s="61"/>
      <c r="L634" s="60"/>
      <c r="M634" s="74" t="str">
        <f t="shared" si="75"/>
        <v/>
      </c>
      <c r="N634" s="74" t="str">
        <f t="shared" si="76"/>
        <v/>
      </c>
      <c r="O634" s="73" t="str">
        <f t="shared" si="77"/>
        <v/>
      </c>
      <c r="P634" s="65" t="str">
        <f t="shared" ca="1" si="78"/>
        <v/>
      </c>
      <c r="Q634" s="2"/>
      <c r="R634" s="2"/>
      <c r="S634" s="1" t="str">
        <f t="shared" si="79"/>
        <v/>
      </c>
      <c r="T634" s="1" t="str">
        <f>IF(OR($C634="",$D634&lt;&gt;"Gelir",$L634=""),"",IFERROR(INDEX(MUSTERILER!$B$7:$B$156,MATCH($S634,MUSTERILER!$T$7:$T$156,0)),""))</f>
        <v/>
      </c>
      <c r="U634" s="1" t="str">
        <f>IF($T634="","",$T634&amp;"|"&amp;COUNTIFS($T$7:$T634,$T634))</f>
        <v/>
      </c>
      <c r="V634" s="1">
        <f t="shared" si="80"/>
        <v>0</v>
      </c>
      <c r="W634" s="1" t="str">
        <f t="shared" si="81"/>
        <v/>
      </c>
      <c r="X634" s="1"/>
      <c r="Y634" s="1"/>
      <c r="Z634" s="1"/>
      <c r="AA634" s="1"/>
      <c r="AB634" s="1"/>
      <c r="AC634" s="1"/>
      <c r="AD634" s="1">
        <f>IF($C634="",0,SUMPRODUCT((AY_SONU!$O$7:$O$42="Evet")*(AY_SONU!$B$7:$B$42=DATE(YEAR($C634),MONTH($C634),1))))</f>
        <v>0</v>
      </c>
      <c r="AE634" s="1" t="str">
        <f>IF($E634="","",$E634&amp;"|"&amp;COUNTIFS($E$7:$E634,$E634))</f>
        <v/>
      </c>
    </row>
    <row r="635" spans="1:31" ht="18" customHeight="1" x14ac:dyDescent="0.3">
      <c r="A635" s="2"/>
      <c r="B635" s="65" t="str">
        <f t="shared" si="74"/>
        <v/>
      </c>
      <c r="C635" s="66"/>
      <c r="D635" s="60"/>
      <c r="E635" s="61"/>
      <c r="F635" s="61"/>
      <c r="G635" s="67"/>
      <c r="H635" s="60"/>
      <c r="I635" s="60"/>
      <c r="J635" s="61"/>
      <c r="K635" s="61"/>
      <c r="L635" s="60"/>
      <c r="M635" s="74" t="str">
        <f t="shared" si="75"/>
        <v/>
      </c>
      <c r="N635" s="74" t="str">
        <f t="shared" si="76"/>
        <v/>
      </c>
      <c r="O635" s="73" t="str">
        <f t="shared" si="77"/>
        <v/>
      </c>
      <c r="P635" s="65" t="str">
        <f t="shared" ca="1" si="78"/>
        <v/>
      </c>
      <c r="Q635" s="2"/>
      <c r="R635" s="2"/>
      <c r="S635" s="1" t="str">
        <f t="shared" si="79"/>
        <v/>
      </c>
      <c r="T635" s="1" t="str">
        <f>IF(OR($C635="",$D635&lt;&gt;"Gelir",$L635=""),"",IFERROR(INDEX(MUSTERILER!$B$7:$B$156,MATCH($S635,MUSTERILER!$T$7:$T$156,0)),""))</f>
        <v/>
      </c>
      <c r="U635" s="1" t="str">
        <f>IF($T635="","",$T635&amp;"|"&amp;COUNTIFS($T$7:$T635,$T635))</f>
        <v/>
      </c>
      <c r="V635" s="1">
        <f t="shared" si="80"/>
        <v>0</v>
      </c>
      <c r="W635" s="1" t="str">
        <f t="shared" si="81"/>
        <v/>
      </c>
      <c r="X635" s="1"/>
      <c r="Y635" s="1"/>
      <c r="Z635" s="1"/>
      <c r="AA635" s="1"/>
      <c r="AB635" s="1"/>
      <c r="AC635" s="1"/>
      <c r="AD635" s="1">
        <f>IF($C635="",0,SUMPRODUCT((AY_SONU!$O$7:$O$42="Evet")*(AY_SONU!$B$7:$B$42=DATE(YEAR($C635),MONTH($C635),1))))</f>
        <v>0</v>
      </c>
      <c r="AE635" s="1" t="str">
        <f>IF($E635="","",$E635&amp;"|"&amp;COUNTIFS($E$7:$E635,$E635))</f>
        <v/>
      </c>
    </row>
    <row r="636" spans="1:31" ht="18" customHeight="1" x14ac:dyDescent="0.3">
      <c r="A636" s="2"/>
      <c r="B636" s="65" t="str">
        <f t="shared" si="74"/>
        <v/>
      </c>
      <c r="C636" s="66"/>
      <c r="D636" s="60"/>
      <c r="E636" s="61"/>
      <c r="F636" s="61"/>
      <c r="G636" s="67"/>
      <c r="H636" s="60"/>
      <c r="I636" s="60"/>
      <c r="J636" s="61"/>
      <c r="K636" s="61"/>
      <c r="L636" s="60"/>
      <c r="M636" s="74" t="str">
        <f t="shared" si="75"/>
        <v/>
      </c>
      <c r="N636" s="74" t="str">
        <f t="shared" si="76"/>
        <v/>
      </c>
      <c r="O636" s="73" t="str">
        <f t="shared" si="77"/>
        <v/>
      </c>
      <c r="P636" s="65" t="str">
        <f t="shared" ca="1" si="78"/>
        <v/>
      </c>
      <c r="Q636" s="2"/>
      <c r="R636" s="2"/>
      <c r="S636" s="1" t="str">
        <f t="shared" si="79"/>
        <v/>
      </c>
      <c r="T636" s="1" t="str">
        <f>IF(OR($C636="",$D636&lt;&gt;"Gelir",$L636=""),"",IFERROR(INDEX(MUSTERILER!$B$7:$B$156,MATCH($S636,MUSTERILER!$T$7:$T$156,0)),""))</f>
        <v/>
      </c>
      <c r="U636" s="1" t="str">
        <f>IF($T636="","",$T636&amp;"|"&amp;COUNTIFS($T$7:$T636,$T636))</f>
        <v/>
      </c>
      <c r="V636" s="1">
        <f t="shared" si="80"/>
        <v>0</v>
      </c>
      <c r="W636" s="1" t="str">
        <f t="shared" si="81"/>
        <v/>
      </c>
      <c r="X636" s="1"/>
      <c r="Y636" s="1"/>
      <c r="Z636" s="1"/>
      <c r="AA636" s="1"/>
      <c r="AB636" s="1"/>
      <c r="AC636" s="1"/>
      <c r="AD636" s="1">
        <f>IF($C636="",0,SUMPRODUCT((AY_SONU!$O$7:$O$42="Evet")*(AY_SONU!$B$7:$B$42=DATE(YEAR($C636),MONTH($C636),1))))</f>
        <v>0</v>
      </c>
      <c r="AE636" s="1" t="str">
        <f>IF($E636="","",$E636&amp;"|"&amp;COUNTIFS($E$7:$E636,$E636))</f>
        <v/>
      </c>
    </row>
    <row r="637" spans="1:31" ht="18" customHeight="1" x14ac:dyDescent="0.3">
      <c r="A637" s="2"/>
      <c r="B637" s="65" t="str">
        <f t="shared" si="74"/>
        <v/>
      </c>
      <c r="C637" s="66"/>
      <c r="D637" s="60"/>
      <c r="E637" s="61"/>
      <c r="F637" s="61"/>
      <c r="G637" s="67"/>
      <c r="H637" s="60"/>
      <c r="I637" s="60"/>
      <c r="J637" s="61"/>
      <c r="K637" s="61"/>
      <c r="L637" s="60"/>
      <c r="M637" s="74" t="str">
        <f t="shared" si="75"/>
        <v/>
      </c>
      <c r="N637" s="74" t="str">
        <f t="shared" si="76"/>
        <v/>
      </c>
      <c r="O637" s="73" t="str">
        <f t="shared" si="77"/>
        <v/>
      </c>
      <c r="P637" s="65" t="str">
        <f t="shared" ca="1" si="78"/>
        <v/>
      </c>
      <c r="Q637" s="2"/>
      <c r="R637" s="2"/>
      <c r="S637" s="1" t="str">
        <f t="shared" si="79"/>
        <v/>
      </c>
      <c r="T637" s="1" t="str">
        <f>IF(OR($C637="",$D637&lt;&gt;"Gelir",$L637=""),"",IFERROR(INDEX(MUSTERILER!$B$7:$B$156,MATCH($S637,MUSTERILER!$T$7:$T$156,0)),""))</f>
        <v/>
      </c>
      <c r="U637" s="1" t="str">
        <f>IF($T637="","",$T637&amp;"|"&amp;COUNTIFS($T$7:$T637,$T637))</f>
        <v/>
      </c>
      <c r="V637" s="1">
        <f t="shared" si="80"/>
        <v>0</v>
      </c>
      <c r="W637" s="1" t="str">
        <f t="shared" si="81"/>
        <v/>
      </c>
      <c r="X637" s="1"/>
      <c r="Y637" s="1"/>
      <c r="Z637" s="1"/>
      <c r="AA637" s="1"/>
      <c r="AB637" s="1"/>
      <c r="AC637" s="1"/>
      <c r="AD637" s="1">
        <f>IF($C637="",0,SUMPRODUCT((AY_SONU!$O$7:$O$42="Evet")*(AY_SONU!$B$7:$B$42=DATE(YEAR($C637),MONTH($C637),1))))</f>
        <v>0</v>
      </c>
      <c r="AE637" s="1" t="str">
        <f>IF($E637="","",$E637&amp;"|"&amp;COUNTIFS($E$7:$E637,$E637))</f>
        <v/>
      </c>
    </row>
    <row r="638" spans="1:31" ht="18" customHeight="1" x14ac:dyDescent="0.3">
      <c r="A638" s="2"/>
      <c r="B638" s="65" t="str">
        <f t="shared" si="74"/>
        <v/>
      </c>
      <c r="C638" s="66"/>
      <c r="D638" s="60"/>
      <c r="E638" s="61"/>
      <c r="F638" s="61"/>
      <c r="G638" s="67"/>
      <c r="H638" s="60"/>
      <c r="I638" s="60"/>
      <c r="J638" s="61"/>
      <c r="K638" s="61"/>
      <c r="L638" s="60"/>
      <c r="M638" s="74" t="str">
        <f t="shared" si="75"/>
        <v/>
      </c>
      <c r="N638" s="74" t="str">
        <f t="shared" si="76"/>
        <v/>
      </c>
      <c r="O638" s="73" t="str">
        <f t="shared" si="77"/>
        <v/>
      </c>
      <c r="P638" s="65" t="str">
        <f t="shared" ca="1" si="78"/>
        <v/>
      </c>
      <c r="Q638" s="2"/>
      <c r="R638" s="2"/>
      <c r="S638" s="1" t="str">
        <f t="shared" si="79"/>
        <v/>
      </c>
      <c r="T638" s="1" t="str">
        <f>IF(OR($C638="",$D638&lt;&gt;"Gelir",$L638=""),"",IFERROR(INDEX(MUSTERILER!$B$7:$B$156,MATCH($S638,MUSTERILER!$T$7:$T$156,0)),""))</f>
        <v/>
      </c>
      <c r="U638" s="1" t="str">
        <f>IF($T638="","",$T638&amp;"|"&amp;COUNTIFS($T$7:$T638,$T638))</f>
        <v/>
      </c>
      <c r="V638" s="1">
        <f t="shared" si="80"/>
        <v>0</v>
      </c>
      <c r="W638" s="1" t="str">
        <f t="shared" si="81"/>
        <v/>
      </c>
      <c r="X638" s="1"/>
      <c r="Y638" s="1"/>
      <c r="Z638" s="1"/>
      <c r="AA638" s="1"/>
      <c r="AB638" s="1"/>
      <c r="AC638" s="1"/>
      <c r="AD638" s="1">
        <f>IF($C638="",0,SUMPRODUCT((AY_SONU!$O$7:$O$42="Evet")*(AY_SONU!$B$7:$B$42=DATE(YEAR($C638),MONTH($C638),1))))</f>
        <v>0</v>
      </c>
      <c r="AE638" s="1" t="str">
        <f>IF($E638="","",$E638&amp;"|"&amp;COUNTIFS($E$7:$E638,$E638))</f>
        <v/>
      </c>
    </row>
    <row r="639" spans="1:31" ht="18" customHeight="1" x14ac:dyDescent="0.3">
      <c r="A639" s="2"/>
      <c r="B639" s="65" t="str">
        <f t="shared" si="74"/>
        <v/>
      </c>
      <c r="C639" s="66"/>
      <c r="D639" s="60"/>
      <c r="E639" s="61"/>
      <c r="F639" s="61"/>
      <c r="G639" s="67"/>
      <c r="H639" s="60"/>
      <c r="I639" s="60"/>
      <c r="J639" s="61"/>
      <c r="K639" s="61"/>
      <c r="L639" s="60"/>
      <c r="M639" s="74" t="str">
        <f t="shared" si="75"/>
        <v/>
      </c>
      <c r="N639" s="74" t="str">
        <f t="shared" si="76"/>
        <v/>
      </c>
      <c r="O639" s="73" t="str">
        <f t="shared" si="77"/>
        <v/>
      </c>
      <c r="P639" s="65" t="str">
        <f t="shared" ca="1" si="78"/>
        <v/>
      </c>
      <c r="Q639" s="2"/>
      <c r="R639" s="2"/>
      <c r="S639" s="1" t="str">
        <f t="shared" si="79"/>
        <v/>
      </c>
      <c r="T639" s="1" t="str">
        <f>IF(OR($C639="",$D639&lt;&gt;"Gelir",$L639=""),"",IFERROR(INDEX(MUSTERILER!$B$7:$B$156,MATCH($S639,MUSTERILER!$T$7:$T$156,0)),""))</f>
        <v/>
      </c>
      <c r="U639" s="1" t="str">
        <f>IF($T639="","",$T639&amp;"|"&amp;COUNTIFS($T$7:$T639,$T639))</f>
        <v/>
      </c>
      <c r="V639" s="1">
        <f t="shared" si="80"/>
        <v>0</v>
      </c>
      <c r="W639" s="1" t="str">
        <f t="shared" si="81"/>
        <v/>
      </c>
      <c r="X639" s="1"/>
      <c r="Y639" s="1"/>
      <c r="Z639" s="1"/>
      <c r="AA639" s="1"/>
      <c r="AB639" s="1"/>
      <c r="AC639" s="1"/>
      <c r="AD639" s="1">
        <f>IF($C639="",0,SUMPRODUCT((AY_SONU!$O$7:$O$42="Evet")*(AY_SONU!$B$7:$B$42=DATE(YEAR($C639),MONTH($C639),1))))</f>
        <v>0</v>
      </c>
      <c r="AE639" s="1" t="str">
        <f>IF($E639="","",$E639&amp;"|"&amp;COUNTIFS($E$7:$E639,$E639))</f>
        <v/>
      </c>
    </row>
    <row r="640" spans="1:31" ht="18" customHeight="1" x14ac:dyDescent="0.3">
      <c r="A640" s="2"/>
      <c r="B640" s="65" t="str">
        <f t="shared" si="74"/>
        <v/>
      </c>
      <c r="C640" s="66"/>
      <c r="D640" s="60"/>
      <c r="E640" s="61"/>
      <c r="F640" s="61"/>
      <c r="G640" s="67"/>
      <c r="H640" s="60"/>
      <c r="I640" s="60"/>
      <c r="J640" s="61"/>
      <c r="K640" s="61"/>
      <c r="L640" s="60"/>
      <c r="M640" s="74" t="str">
        <f t="shared" si="75"/>
        <v/>
      </c>
      <c r="N640" s="74" t="str">
        <f t="shared" si="76"/>
        <v/>
      </c>
      <c r="O640" s="73" t="str">
        <f t="shared" si="77"/>
        <v/>
      </c>
      <c r="P640" s="65" t="str">
        <f t="shared" ca="1" si="78"/>
        <v/>
      </c>
      <c r="Q640" s="2"/>
      <c r="R640" s="2"/>
      <c r="S640" s="1" t="str">
        <f t="shared" si="79"/>
        <v/>
      </c>
      <c r="T640" s="1" t="str">
        <f>IF(OR($C640="",$D640&lt;&gt;"Gelir",$L640=""),"",IFERROR(INDEX(MUSTERILER!$B$7:$B$156,MATCH($S640,MUSTERILER!$T$7:$T$156,0)),""))</f>
        <v/>
      </c>
      <c r="U640" s="1" t="str">
        <f>IF($T640="","",$T640&amp;"|"&amp;COUNTIFS($T$7:$T640,$T640))</f>
        <v/>
      </c>
      <c r="V640" s="1">
        <f t="shared" si="80"/>
        <v>0</v>
      </c>
      <c r="W640" s="1" t="str">
        <f t="shared" si="81"/>
        <v/>
      </c>
      <c r="X640" s="1"/>
      <c r="Y640" s="1"/>
      <c r="Z640" s="1"/>
      <c r="AA640" s="1"/>
      <c r="AB640" s="1"/>
      <c r="AC640" s="1"/>
      <c r="AD640" s="1">
        <f>IF($C640="",0,SUMPRODUCT((AY_SONU!$O$7:$O$42="Evet")*(AY_SONU!$B$7:$B$42=DATE(YEAR($C640),MONTH($C640),1))))</f>
        <v>0</v>
      </c>
      <c r="AE640" s="1" t="str">
        <f>IF($E640="","",$E640&amp;"|"&amp;COUNTIFS($E$7:$E640,$E640))</f>
        <v/>
      </c>
    </row>
    <row r="641" spans="1:31" ht="18" customHeight="1" x14ac:dyDescent="0.3">
      <c r="A641" s="2"/>
      <c r="B641" s="65" t="str">
        <f t="shared" si="74"/>
        <v/>
      </c>
      <c r="C641" s="66"/>
      <c r="D641" s="60"/>
      <c r="E641" s="61"/>
      <c r="F641" s="61"/>
      <c r="G641" s="67"/>
      <c r="H641" s="60"/>
      <c r="I641" s="60"/>
      <c r="J641" s="61"/>
      <c r="K641" s="61"/>
      <c r="L641" s="60"/>
      <c r="M641" s="74" t="str">
        <f t="shared" si="75"/>
        <v/>
      </c>
      <c r="N641" s="74" t="str">
        <f t="shared" si="76"/>
        <v/>
      </c>
      <c r="O641" s="73" t="str">
        <f t="shared" si="77"/>
        <v/>
      </c>
      <c r="P641" s="65" t="str">
        <f t="shared" ca="1" si="78"/>
        <v/>
      </c>
      <c r="Q641" s="2"/>
      <c r="R641" s="2"/>
      <c r="S641" s="1" t="str">
        <f t="shared" si="79"/>
        <v/>
      </c>
      <c r="T641" s="1" t="str">
        <f>IF(OR($C641="",$D641&lt;&gt;"Gelir",$L641=""),"",IFERROR(INDEX(MUSTERILER!$B$7:$B$156,MATCH($S641,MUSTERILER!$T$7:$T$156,0)),""))</f>
        <v/>
      </c>
      <c r="U641" s="1" t="str">
        <f>IF($T641="","",$T641&amp;"|"&amp;COUNTIFS($T$7:$T641,$T641))</f>
        <v/>
      </c>
      <c r="V641" s="1">
        <f t="shared" si="80"/>
        <v>0</v>
      </c>
      <c r="W641" s="1" t="str">
        <f t="shared" si="81"/>
        <v/>
      </c>
      <c r="X641" s="1"/>
      <c r="Y641" s="1"/>
      <c r="Z641" s="1"/>
      <c r="AA641" s="1"/>
      <c r="AB641" s="1"/>
      <c r="AC641" s="1"/>
      <c r="AD641" s="1">
        <f>IF($C641="",0,SUMPRODUCT((AY_SONU!$O$7:$O$42="Evet")*(AY_SONU!$B$7:$B$42=DATE(YEAR($C641),MONTH($C641),1))))</f>
        <v>0</v>
      </c>
      <c r="AE641" s="1" t="str">
        <f>IF($E641="","",$E641&amp;"|"&amp;COUNTIFS($E$7:$E641,$E641))</f>
        <v/>
      </c>
    </row>
    <row r="642" spans="1:31" ht="18" customHeight="1" x14ac:dyDescent="0.3">
      <c r="A642" s="2"/>
      <c r="B642" s="65" t="str">
        <f t="shared" si="74"/>
        <v/>
      </c>
      <c r="C642" s="66"/>
      <c r="D642" s="60"/>
      <c r="E642" s="61"/>
      <c r="F642" s="61"/>
      <c r="G642" s="67"/>
      <c r="H642" s="60"/>
      <c r="I642" s="60"/>
      <c r="J642" s="61"/>
      <c r="K642" s="61"/>
      <c r="L642" s="60"/>
      <c r="M642" s="74" t="str">
        <f t="shared" si="75"/>
        <v/>
      </c>
      <c r="N642" s="74" t="str">
        <f t="shared" si="76"/>
        <v/>
      </c>
      <c r="O642" s="73" t="str">
        <f t="shared" si="77"/>
        <v/>
      </c>
      <c r="P642" s="65" t="str">
        <f t="shared" ca="1" si="78"/>
        <v/>
      </c>
      <c r="Q642" s="2"/>
      <c r="R642" s="2"/>
      <c r="S642" s="1" t="str">
        <f t="shared" si="79"/>
        <v/>
      </c>
      <c r="T642" s="1" t="str">
        <f>IF(OR($C642="",$D642&lt;&gt;"Gelir",$L642=""),"",IFERROR(INDEX(MUSTERILER!$B$7:$B$156,MATCH($S642,MUSTERILER!$T$7:$T$156,0)),""))</f>
        <v/>
      </c>
      <c r="U642" s="1" t="str">
        <f>IF($T642="","",$T642&amp;"|"&amp;COUNTIFS($T$7:$T642,$T642))</f>
        <v/>
      </c>
      <c r="V642" s="1">
        <f t="shared" si="80"/>
        <v>0</v>
      </c>
      <c r="W642" s="1" t="str">
        <f t="shared" si="81"/>
        <v/>
      </c>
      <c r="X642" s="1"/>
      <c r="Y642" s="1"/>
      <c r="Z642" s="1"/>
      <c r="AA642" s="1"/>
      <c r="AB642" s="1"/>
      <c r="AC642" s="1"/>
      <c r="AD642" s="1">
        <f>IF($C642="",0,SUMPRODUCT((AY_SONU!$O$7:$O$42="Evet")*(AY_SONU!$B$7:$B$42=DATE(YEAR($C642),MONTH($C642),1))))</f>
        <v>0</v>
      </c>
      <c r="AE642" s="1" t="str">
        <f>IF($E642="","",$E642&amp;"|"&amp;COUNTIFS($E$7:$E642,$E642))</f>
        <v/>
      </c>
    </row>
    <row r="643" spans="1:31" ht="18" customHeight="1" x14ac:dyDescent="0.3">
      <c r="A643" s="2"/>
      <c r="B643" s="65" t="str">
        <f t="shared" si="74"/>
        <v/>
      </c>
      <c r="C643" s="66"/>
      <c r="D643" s="60"/>
      <c r="E643" s="61"/>
      <c r="F643" s="61"/>
      <c r="G643" s="67"/>
      <c r="H643" s="60"/>
      <c r="I643" s="60"/>
      <c r="J643" s="61"/>
      <c r="K643" s="61"/>
      <c r="L643" s="60"/>
      <c r="M643" s="74" t="str">
        <f t="shared" si="75"/>
        <v/>
      </c>
      <c r="N643" s="74" t="str">
        <f t="shared" si="76"/>
        <v/>
      </c>
      <c r="O643" s="73" t="str">
        <f t="shared" si="77"/>
        <v/>
      </c>
      <c r="P643" s="65" t="str">
        <f t="shared" ca="1" si="78"/>
        <v/>
      </c>
      <c r="Q643" s="2"/>
      <c r="R643" s="2"/>
      <c r="S643" s="1" t="str">
        <f t="shared" si="79"/>
        <v/>
      </c>
      <c r="T643" s="1" t="str">
        <f>IF(OR($C643="",$D643&lt;&gt;"Gelir",$L643=""),"",IFERROR(INDEX(MUSTERILER!$B$7:$B$156,MATCH($S643,MUSTERILER!$T$7:$T$156,0)),""))</f>
        <v/>
      </c>
      <c r="U643" s="1" t="str">
        <f>IF($T643="","",$T643&amp;"|"&amp;COUNTIFS($T$7:$T643,$T643))</f>
        <v/>
      </c>
      <c r="V643" s="1">
        <f t="shared" si="80"/>
        <v>0</v>
      </c>
      <c r="W643" s="1" t="str">
        <f t="shared" si="81"/>
        <v/>
      </c>
      <c r="X643" s="1"/>
      <c r="Y643" s="1"/>
      <c r="Z643" s="1"/>
      <c r="AA643" s="1"/>
      <c r="AB643" s="1"/>
      <c r="AC643" s="1"/>
      <c r="AD643" s="1">
        <f>IF($C643="",0,SUMPRODUCT((AY_SONU!$O$7:$O$42="Evet")*(AY_SONU!$B$7:$B$42=DATE(YEAR($C643),MONTH($C643),1))))</f>
        <v>0</v>
      </c>
      <c r="AE643" s="1" t="str">
        <f>IF($E643="","",$E643&amp;"|"&amp;COUNTIFS($E$7:$E643,$E643))</f>
        <v/>
      </c>
    </row>
    <row r="644" spans="1:31" ht="18" customHeight="1" x14ac:dyDescent="0.3">
      <c r="A644" s="2"/>
      <c r="B644" s="65" t="str">
        <f t="shared" si="74"/>
        <v/>
      </c>
      <c r="C644" s="66"/>
      <c r="D644" s="60"/>
      <c r="E644" s="61"/>
      <c r="F644" s="61"/>
      <c r="G644" s="67"/>
      <c r="H644" s="60"/>
      <c r="I644" s="60"/>
      <c r="J644" s="61"/>
      <c r="K644" s="61"/>
      <c r="L644" s="60"/>
      <c r="M644" s="74" t="str">
        <f t="shared" si="75"/>
        <v/>
      </c>
      <c r="N644" s="74" t="str">
        <f t="shared" si="76"/>
        <v/>
      </c>
      <c r="O644" s="73" t="str">
        <f t="shared" si="77"/>
        <v/>
      </c>
      <c r="P644" s="65" t="str">
        <f t="shared" ca="1" si="78"/>
        <v/>
      </c>
      <c r="Q644" s="2"/>
      <c r="R644" s="2"/>
      <c r="S644" s="1" t="str">
        <f t="shared" si="79"/>
        <v/>
      </c>
      <c r="T644" s="1" t="str">
        <f>IF(OR($C644="",$D644&lt;&gt;"Gelir",$L644=""),"",IFERROR(INDEX(MUSTERILER!$B$7:$B$156,MATCH($S644,MUSTERILER!$T$7:$T$156,0)),""))</f>
        <v/>
      </c>
      <c r="U644" s="1" t="str">
        <f>IF($T644="","",$T644&amp;"|"&amp;COUNTIFS($T$7:$T644,$T644))</f>
        <v/>
      </c>
      <c r="V644" s="1">
        <f t="shared" si="80"/>
        <v>0</v>
      </c>
      <c r="W644" s="1" t="str">
        <f t="shared" si="81"/>
        <v/>
      </c>
      <c r="X644" s="1"/>
      <c r="Y644" s="1"/>
      <c r="Z644" s="1"/>
      <c r="AA644" s="1"/>
      <c r="AB644" s="1"/>
      <c r="AC644" s="1"/>
      <c r="AD644" s="1">
        <f>IF($C644="",0,SUMPRODUCT((AY_SONU!$O$7:$O$42="Evet")*(AY_SONU!$B$7:$B$42=DATE(YEAR($C644),MONTH($C644),1))))</f>
        <v>0</v>
      </c>
      <c r="AE644" s="1" t="str">
        <f>IF($E644="","",$E644&amp;"|"&amp;COUNTIFS($E$7:$E644,$E644))</f>
        <v/>
      </c>
    </row>
    <row r="645" spans="1:31" ht="18" customHeight="1" x14ac:dyDescent="0.3">
      <c r="A645" s="2"/>
      <c r="B645" s="65" t="str">
        <f t="shared" si="74"/>
        <v/>
      </c>
      <c r="C645" s="66"/>
      <c r="D645" s="60"/>
      <c r="E645" s="61"/>
      <c r="F645" s="61"/>
      <c r="G645" s="67"/>
      <c r="H645" s="60"/>
      <c r="I645" s="60"/>
      <c r="J645" s="61"/>
      <c r="K645" s="61"/>
      <c r="L645" s="60"/>
      <c r="M645" s="74" t="str">
        <f t="shared" si="75"/>
        <v/>
      </c>
      <c r="N645" s="74" t="str">
        <f t="shared" si="76"/>
        <v/>
      </c>
      <c r="O645" s="73" t="str">
        <f t="shared" si="77"/>
        <v/>
      </c>
      <c r="P645" s="65" t="str">
        <f t="shared" ca="1" si="78"/>
        <v/>
      </c>
      <c r="Q645" s="2"/>
      <c r="R645" s="2"/>
      <c r="S645" s="1" t="str">
        <f t="shared" si="79"/>
        <v/>
      </c>
      <c r="T645" s="1" t="str">
        <f>IF(OR($C645="",$D645&lt;&gt;"Gelir",$L645=""),"",IFERROR(INDEX(MUSTERILER!$B$7:$B$156,MATCH($S645,MUSTERILER!$T$7:$T$156,0)),""))</f>
        <v/>
      </c>
      <c r="U645" s="1" t="str">
        <f>IF($T645="","",$T645&amp;"|"&amp;COUNTIFS($T$7:$T645,$T645))</f>
        <v/>
      </c>
      <c r="V645" s="1">
        <f t="shared" si="80"/>
        <v>0</v>
      </c>
      <c r="W645" s="1" t="str">
        <f t="shared" si="81"/>
        <v/>
      </c>
      <c r="X645" s="1"/>
      <c r="Y645" s="1"/>
      <c r="Z645" s="1"/>
      <c r="AA645" s="1"/>
      <c r="AB645" s="1"/>
      <c r="AC645" s="1"/>
      <c r="AD645" s="1">
        <f>IF($C645="",0,SUMPRODUCT((AY_SONU!$O$7:$O$42="Evet")*(AY_SONU!$B$7:$B$42=DATE(YEAR($C645),MONTH($C645),1))))</f>
        <v>0</v>
      </c>
      <c r="AE645" s="1" t="str">
        <f>IF($E645="","",$E645&amp;"|"&amp;COUNTIFS($E$7:$E645,$E645))</f>
        <v/>
      </c>
    </row>
    <row r="646" spans="1:31" ht="18" customHeight="1" x14ac:dyDescent="0.3">
      <c r="A646" s="2"/>
      <c r="B646" s="65" t="str">
        <f t="shared" si="74"/>
        <v/>
      </c>
      <c r="C646" s="66"/>
      <c r="D646" s="60"/>
      <c r="E646" s="61"/>
      <c r="F646" s="61"/>
      <c r="G646" s="67"/>
      <c r="H646" s="60"/>
      <c r="I646" s="60"/>
      <c r="J646" s="61"/>
      <c r="K646" s="61"/>
      <c r="L646" s="60"/>
      <c r="M646" s="74" t="str">
        <f t="shared" si="75"/>
        <v/>
      </c>
      <c r="N646" s="74" t="str">
        <f t="shared" si="76"/>
        <v/>
      </c>
      <c r="O646" s="73" t="str">
        <f t="shared" si="77"/>
        <v/>
      </c>
      <c r="P646" s="65" t="str">
        <f t="shared" ca="1" si="78"/>
        <v/>
      </c>
      <c r="Q646" s="2"/>
      <c r="R646" s="2"/>
      <c r="S646" s="1" t="str">
        <f t="shared" si="79"/>
        <v/>
      </c>
      <c r="T646" s="1" t="str">
        <f>IF(OR($C646="",$D646&lt;&gt;"Gelir",$L646=""),"",IFERROR(INDEX(MUSTERILER!$B$7:$B$156,MATCH($S646,MUSTERILER!$T$7:$T$156,0)),""))</f>
        <v/>
      </c>
      <c r="U646" s="1" t="str">
        <f>IF($T646="","",$T646&amp;"|"&amp;COUNTIFS($T$7:$T646,$T646))</f>
        <v/>
      </c>
      <c r="V646" s="1">
        <f t="shared" si="80"/>
        <v>0</v>
      </c>
      <c r="W646" s="1" t="str">
        <f t="shared" si="81"/>
        <v/>
      </c>
      <c r="X646" s="1"/>
      <c r="Y646" s="1"/>
      <c r="Z646" s="1"/>
      <c r="AA646" s="1"/>
      <c r="AB646" s="1"/>
      <c r="AC646" s="1"/>
      <c r="AD646" s="1">
        <f>IF($C646="",0,SUMPRODUCT((AY_SONU!$O$7:$O$42="Evet")*(AY_SONU!$B$7:$B$42=DATE(YEAR($C646),MONTH($C646),1))))</f>
        <v>0</v>
      </c>
      <c r="AE646" s="1" t="str">
        <f>IF($E646="","",$E646&amp;"|"&amp;COUNTIFS($E$7:$E646,$E646))</f>
        <v/>
      </c>
    </row>
    <row r="647" spans="1:31" ht="18" customHeight="1" x14ac:dyDescent="0.3">
      <c r="A647" s="2"/>
      <c r="B647" s="65" t="str">
        <f t="shared" ref="B647:B710" si="82">IF($C647="","","GG"&amp;TEXT(ROW()-6,"00000"))</f>
        <v/>
      </c>
      <c r="C647" s="66"/>
      <c r="D647" s="60"/>
      <c r="E647" s="61"/>
      <c r="F647" s="61"/>
      <c r="G647" s="67"/>
      <c r="H647" s="60"/>
      <c r="I647" s="60"/>
      <c r="J647" s="61"/>
      <c r="K647" s="61"/>
      <c r="L647" s="60"/>
      <c r="M647" s="74" t="str">
        <f t="shared" ref="M647:M710" si="83">IF($C647="","",IF($D647="Gider",$E647,IF($L647&lt;&gt;"",$L647,$H647)))</f>
        <v/>
      </c>
      <c r="N647" s="74" t="str">
        <f t="shared" ref="N647:N710" si="84">IF($C647="","",IF($D647="Gider",$H647,$E647))</f>
        <v/>
      </c>
      <c r="O647" s="73" t="str">
        <f t="shared" ref="O647:O710" si="85">IF($C647="","",DATE(YEAR($C647),MONTH($C647),1))</f>
        <v/>
      </c>
      <c r="P647" s="65" t="str">
        <f t="shared" ref="P647:P710" ca="1" si="86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TARİH",IF(COUNTIF($W$7:$W$3006,$W647)&gt;1,"MÜKERRER?",IF($AD647&gt;0,"KAPALI DÖNEM",IF($I647="Hayır","ÖDENECEK","UYGUN")))),"EKSİK"))))</f>
        <v/>
      </c>
      <c r="Q647" s="2"/>
      <c r="R647" s="2"/>
      <c r="S647" s="1" t="str">
        <f t="shared" ref="S647:S710" si="87"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1" t="str">
        <f>IF(OR($C647="",$D647&lt;&gt;"Gelir",$L647=""),"",IFERROR(INDEX(MUSTERILER!$B$7:$B$156,MATCH($S647,MUSTERILER!$T$7:$T$156,0)),""))</f>
        <v/>
      </c>
      <c r="U647" s="1" t="str">
        <f>IF($T647="","",$T647&amp;"|"&amp;COUNTIFS($T$7:$T647,$T647))</f>
        <v/>
      </c>
      <c r="V647" s="1">
        <f t="shared" ref="V647:V710" si="88">IF($T647="",0,1)</f>
        <v>0</v>
      </c>
      <c r="W647" s="1" t="str">
        <f t="shared" ref="W647:W710" si="89">IF($C647="","",$D647&amp;"|"&amp;$E647&amp;"|"&amp;TEXT($C647,"0")&amp;"|"&amp;TEXT($G647,"0")&amp;"|"&amp;$J647)</f>
        <v/>
      </c>
      <c r="X647" s="1"/>
      <c r="Y647" s="1"/>
      <c r="Z647" s="1"/>
      <c r="AA647" s="1"/>
      <c r="AB647" s="1"/>
      <c r="AC647" s="1"/>
      <c r="AD647" s="1">
        <f>IF($C647="",0,SUMPRODUCT((AY_SONU!$O$7:$O$42="Evet")*(AY_SONU!$B$7:$B$42=DATE(YEAR($C647),MONTH($C647),1))))</f>
        <v>0</v>
      </c>
      <c r="AE647" s="1" t="str">
        <f>IF($E647="","",$E647&amp;"|"&amp;COUNTIFS($E$7:$E647,$E647))</f>
        <v/>
      </c>
    </row>
    <row r="648" spans="1:31" ht="18" customHeight="1" x14ac:dyDescent="0.3">
      <c r="A648" s="2"/>
      <c r="B648" s="65" t="str">
        <f t="shared" si="82"/>
        <v/>
      </c>
      <c r="C648" s="66"/>
      <c r="D648" s="60"/>
      <c r="E648" s="61"/>
      <c r="F648" s="61"/>
      <c r="G648" s="67"/>
      <c r="H648" s="60"/>
      <c r="I648" s="60"/>
      <c r="J648" s="61"/>
      <c r="K648" s="61"/>
      <c r="L648" s="60"/>
      <c r="M648" s="74" t="str">
        <f t="shared" si="83"/>
        <v/>
      </c>
      <c r="N648" s="74" t="str">
        <f t="shared" si="84"/>
        <v/>
      </c>
      <c r="O648" s="73" t="str">
        <f t="shared" si="85"/>
        <v/>
      </c>
      <c r="P648" s="65" t="str">
        <f t="shared" ca="1" si="86"/>
        <v/>
      </c>
      <c r="Q648" s="2"/>
      <c r="R648" s="2"/>
      <c r="S648" s="1" t="str">
        <f t="shared" si="87"/>
        <v/>
      </c>
      <c r="T648" s="1" t="str">
        <f>IF(OR($C648="",$D648&lt;&gt;"Gelir",$L648=""),"",IFERROR(INDEX(MUSTERILER!$B$7:$B$156,MATCH($S648,MUSTERILER!$T$7:$T$156,0)),""))</f>
        <v/>
      </c>
      <c r="U648" s="1" t="str">
        <f>IF($T648="","",$T648&amp;"|"&amp;COUNTIFS($T$7:$T648,$T648))</f>
        <v/>
      </c>
      <c r="V648" s="1">
        <f t="shared" si="88"/>
        <v>0</v>
      </c>
      <c r="W648" s="1" t="str">
        <f t="shared" si="89"/>
        <v/>
      </c>
      <c r="X648" s="1"/>
      <c r="Y648" s="1"/>
      <c r="Z648" s="1"/>
      <c r="AA648" s="1"/>
      <c r="AB648" s="1"/>
      <c r="AC648" s="1"/>
      <c r="AD648" s="1">
        <f>IF($C648="",0,SUMPRODUCT((AY_SONU!$O$7:$O$42="Evet")*(AY_SONU!$B$7:$B$42=DATE(YEAR($C648),MONTH($C648),1))))</f>
        <v>0</v>
      </c>
      <c r="AE648" s="1" t="str">
        <f>IF($E648="","",$E648&amp;"|"&amp;COUNTIFS($E$7:$E648,$E648))</f>
        <v/>
      </c>
    </row>
    <row r="649" spans="1:31" ht="18" customHeight="1" x14ac:dyDescent="0.3">
      <c r="A649" s="2"/>
      <c r="B649" s="65" t="str">
        <f t="shared" si="82"/>
        <v/>
      </c>
      <c r="C649" s="66"/>
      <c r="D649" s="60"/>
      <c r="E649" s="61"/>
      <c r="F649" s="61"/>
      <c r="G649" s="67"/>
      <c r="H649" s="60"/>
      <c r="I649" s="60"/>
      <c r="J649" s="61"/>
      <c r="K649" s="61"/>
      <c r="L649" s="60"/>
      <c r="M649" s="74" t="str">
        <f t="shared" si="83"/>
        <v/>
      </c>
      <c r="N649" s="74" t="str">
        <f t="shared" si="84"/>
        <v/>
      </c>
      <c r="O649" s="73" t="str">
        <f t="shared" si="85"/>
        <v/>
      </c>
      <c r="P649" s="65" t="str">
        <f t="shared" ca="1" si="86"/>
        <v/>
      </c>
      <c r="Q649" s="2"/>
      <c r="R649" s="2"/>
      <c r="S649" s="1" t="str">
        <f t="shared" si="87"/>
        <v/>
      </c>
      <c r="T649" s="1" t="str">
        <f>IF(OR($C649="",$D649&lt;&gt;"Gelir",$L649=""),"",IFERROR(INDEX(MUSTERILER!$B$7:$B$156,MATCH($S649,MUSTERILER!$T$7:$T$156,0)),""))</f>
        <v/>
      </c>
      <c r="U649" s="1" t="str">
        <f>IF($T649="","",$T649&amp;"|"&amp;COUNTIFS($T$7:$T649,$T649))</f>
        <v/>
      </c>
      <c r="V649" s="1">
        <f t="shared" si="88"/>
        <v>0</v>
      </c>
      <c r="W649" s="1" t="str">
        <f t="shared" si="89"/>
        <v/>
      </c>
      <c r="X649" s="1"/>
      <c r="Y649" s="1"/>
      <c r="Z649" s="1"/>
      <c r="AA649" s="1"/>
      <c r="AB649" s="1"/>
      <c r="AC649" s="1"/>
      <c r="AD649" s="1">
        <f>IF($C649="",0,SUMPRODUCT((AY_SONU!$O$7:$O$42="Evet")*(AY_SONU!$B$7:$B$42=DATE(YEAR($C649),MONTH($C649),1))))</f>
        <v>0</v>
      </c>
      <c r="AE649" s="1" t="str">
        <f>IF($E649="","",$E649&amp;"|"&amp;COUNTIFS($E$7:$E649,$E649))</f>
        <v/>
      </c>
    </row>
    <row r="650" spans="1:31" ht="18" customHeight="1" x14ac:dyDescent="0.3">
      <c r="A650" s="2"/>
      <c r="B650" s="65" t="str">
        <f t="shared" si="82"/>
        <v/>
      </c>
      <c r="C650" s="66"/>
      <c r="D650" s="60"/>
      <c r="E650" s="61"/>
      <c r="F650" s="61"/>
      <c r="G650" s="67"/>
      <c r="H650" s="60"/>
      <c r="I650" s="60"/>
      <c r="J650" s="61"/>
      <c r="K650" s="61"/>
      <c r="L650" s="60"/>
      <c r="M650" s="74" t="str">
        <f t="shared" si="83"/>
        <v/>
      </c>
      <c r="N650" s="74" t="str">
        <f t="shared" si="84"/>
        <v/>
      </c>
      <c r="O650" s="73" t="str">
        <f t="shared" si="85"/>
        <v/>
      </c>
      <c r="P650" s="65" t="str">
        <f t="shared" ca="1" si="86"/>
        <v/>
      </c>
      <c r="Q650" s="2"/>
      <c r="R650" s="2"/>
      <c r="S650" s="1" t="str">
        <f t="shared" si="87"/>
        <v/>
      </c>
      <c r="T650" s="1" t="str">
        <f>IF(OR($C650="",$D650&lt;&gt;"Gelir",$L650=""),"",IFERROR(INDEX(MUSTERILER!$B$7:$B$156,MATCH($S650,MUSTERILER!$T$7:$T$156,0)),""))</f>
        <v/>
      </c>
      <c r="U650" s="1" t="str">
        <f>IF($T650="","",$T650&amp;"|"&amp;COUNTIFS($T$7:$T650,$T650))</f>
        <v/>
      </c>
      <c r="V650" s="1">
        <f t="shared" si="88"/>
        <v>0</v>
      </c>
      <c r="W650" s="1" t="str">
        <f t="shared" si="89"/>
        <v/>
      </c>
      <c r="X650" s="1"/>
      <c r="Y650" s="1"/>
      <c r="Z650" s="1"/>
      <c r="AA650" s="1"/>
      <c r="AB650" s="1"/>
      <c r="AC650" s="1"/>
      <c r="AD650" s="1">
        <f>IF($C650="",0,SUMPRODUCT((AY_SONU!$O$7:$O$42="Evet")*(AY_SONU!$B$7:$B$42=DATE(YEAR($C650),MONTH($C650),1))))</f>
        <v>0</v>
      </c>
      <c r="AE650" s="1" t="str">
        <f>IF($E650="","",$E650&amp;"|"&amp;COUNTIFS($E$7:$E650,$E650))</f>
        <v/>
      </c>
    </row>
    <row r="651" spans="1:31" ht="18" customHeight="1" x14ac:dyDescent="0.3">
      <c r="A651" s="2"/>
      <c r="B651" s="65" t="str">
        <f t="shared" si="82"/>
        <v/>
      </c>
      <c r="C651" s="66"/>
      <c r="D651" s="60"/>
      <c r="E651" s="61"/>
      <c r="F651" s="61"/>
      <c r="G651" s="67"/>
      <c r="H651" s="60"/>
      <c r="I651" s="60"/>
      <c r="J651" s="61"/>
      <c r="K651" s="61"/>
      <c r="L651" s="60"/>
      <c r="M651" s="74" t="str">
        <f t="shared" si="83"/>
        <v/>
      </c>
      <c r="N651" s="74" t="str">
        <f t="shared" si="84"/>
        <v/>
      </c>
      <c r="O651" s="73" t="str">
        <f t="shared" si="85"/>
        <v/>
      </c>
      <c r="P651" s="65" t="str">
        <f t="shared" ca="1" si="86"/>
        <v/>
      </c>
      <c r="Q651" s="2"/>
      <c r="R651" s="2"/>
      <c r="S651" s="1" t="str">
        <f t="shared" si="87"/>
        <v/>
      </c>
      <c r="T651" s="1" t="str">
        <f>IF(OR($C651="",$D651&lt;&gt;"Gelir",$L651=""),"",IFERROR(INDEX(MUSTERILER!$B$7:$B$156,MATCH($S651,MUSTERILER!$T$7:$T$156,0)),""))</f>
        <v/>
      </c>
      <c r="U651" s="1" t="str">
        <f>IF($T651="","",$T651&amp;"|"&amp;COUNTIFS($T$7:$T651,$T651))</f>
        <v/>
      </c>
      <c r="V651" s="1">
        <f t="shared" si="88"/>
        <v>0</v>
      </c>
      <c r="W651" s="1" t="str">
        <f t="shared" si="89"/>
        <v/>
      </c>
      <c r="X651" s="1"/>
      <c r="Y651" s="1"/>
      <c r="Z651" s="1"/>
      <c r="AA651" s="1"/>
      <c r="AB651" s="1"/>
      <c r="AC651" s="1"/>
      <c r="AD651" s="1">
        <f>IF($C651="",0,SUMPRODUCT((AY_SONU!$O$7:$O$42="Evet")*(AY_SONU!$B$7:$B$42=DATE(YEAR($C651),MONTH($C651),1))))</f>
        <v>0</v>
      </c>
      <c r="AE651" s="1" t="str">
        <f>IF($E651="","",$E651&amp;"|"&amp;COUNTIFS($E$7:$E651,$E651))</f>
        <v/>
      </c>
    </row>
    <row r="652" spans="1:31" ht="18" customHeight="1" x14ac:dyDescent="0.3">
      <c r="A652" s="2"/>
      <c r="B652" s="65" t="str">
        <f t="shared" si="82"/>
        <v/>
      </c>
      <c r="C652" s="66"/>
      <c r="D652" s="60"/>
      <c r="E652" s="61"/>
      <c r="F652" s="61"/>
      <c r="G652" s="67"/>
      <c r="H652" s="60"/>
      <c r="I652" s="60"/>
      <c r="J652" s="61"/>
      <c r="K652" s="61"/>
      <c r="L652" s="60"/>
      <c r="M652" s="74" t="str">
        <f t="shared" si="83"/>
        <v/>
      </c>
      <c r="N652" s="74" t="str">
        <f t="shared" si="84"/>
        <v/>
      </c>
      <c r="O652" s="73" t="str">
        <f t="shared" si="85"/>
        <v/>
      </c>
      <c r="P652" s="65" t="str">
        <f t="shared" ca="1" si="86"/>
        <v/>
      </c>
      <c r="Q652" s="2"/>
      <c r="R652" s="2"/>
      <c r="S652" s="1" t="str">
        <f t="shared" si="87"/>
        <v/>
      </c>
      <c r="T652" s="1" t="str">
        <f>IF(OR($C652="",$D652&lt;&gt;"Gelir",$L652=""),"",IFERROR(INDEX(MUSTERILER!$B$7:$B$156,MATCH($S652,MUSTERILER!$T$7:$T$156,0)),""))</f>
        <v/>
      </c>
      <c r="U652" s="1" t="str">
        <f>IF($T652="","",$T652&amp;"|"&amp;COUNTIFS($T$7:$T652,$T652))</f>
        <v/>
      </c>
      <c r="V652" s="1">
        <f t="shared" si="88"/>
        <v>0</v>
      </c>
      <c r="W652" s="1" t="str">
        <f t="shared" si="89"/>
        <v/>
      </c>
      <c r="X652" s="1"/>
      <c r="Y652" s="1"/>
      <c r="Z652" s="1"/>
      <c r="AA652" s="1"/>
      <c r="AB652" s="1"/>
      <c r="AC652" s="1"/>
      <c r="AD652" s="1">
        <f>IF($C652="",0,SUMPRODUCT((AY_SONU!$O$7:$O$42="Evet")*(AY_SONU!$B$7:$B$42=DATE(YEAR($C652),MONTH($C652),1))))</f>
        <v>0</v>
      </c>
      <c r="AE652" s="1" t="str">
        <f>IF($E652="","",$E652&amp;"|"&amp;COUNTIFS($E$7:$E652,$E652))</f>
        <v/>
      </c>
    </row>
    <row r="653" spans="1:31" ht="18" customHeight="1" x14ac:dyDescent="0.3">
      <c r="A653" s="2"/>
      <c r="B653" s="65" t="str">
        <f t="shared" si="82"/>
        <v/>
      </c>
      <c r="C653" s="66"/>
      <c r="D653" s="60"/>
      <c r="E653" s="61"/>
      <c r="F653" s="61"/>
      <c r="G653" s="67"/>
      <c r="H653" s="60"/>
      <c r="I653" s="60"/>
      <c r="J653" s="61"/>
      <c r="K653" s="61"/>
      <c r="L653" s="60"/>
      <c r="M653" s="74" t="str">
        <f t="shared" si="83"/>
        <v/>
      </c>
      <c r="N653" s="74" t="str">
        <f t="shared" si="84"/>
        <v/>
      </c>
      <c r="O653" s="73" t="str">
        <f t="shared" si="85"/>
        <v/>
      </c>
      <c r="P653" s="65" t="str">
        <f t="shared" ca="1" si="86"/>
        <v/>
      </c>
      <c r="Q653" s="2"/>
      <c r="R653" s="2"/>
      <c r="S653" s="1" t="str">
        <f t="shared" si="87"/>
        <v/>
      </c>
      <c r="T653" s="1" t="str">
        <f>IF(OR($C653="",$D653&lt;&gt;"Gelir",$L653=""),"",IFERROR(INDEX(MUSTERILER!$B$7:$B$156,MATCH($S653,MUSTERILER!$T$7:$T$156,0)),""))</f>
        <v/>
      </c>
      <c r="U653" s="1" t="str">
        <f>IF($T653="","",$T653&amp;"|"&amp;COUNTIFS($T$7:$T653,$T653))</f>
        <v/>
      </c>
      <c r="V653" s="1">
        <f t="shared" si="88"/>
        <v>0</v>
      </c>
      <c r="W653" s="1" t="str">
        <f t="shared" si="89"/>
        <v/>
      </c>
      <c r="X653" s="1"/>
      <c r="Y653" s="1"/>
      <c r="Z653" s="1"/>
      <c r="AA653" s="1"/>
      <c r="AB653" s="1"/>
      <c r="AC653" s="1"/>
      <c r="AD653" s="1">
        <f>IF($C653="",0,SUMPRODUCT((AY_SONU!$O$7:$O$42="Evet")*(AY_SONU!$B$7:$B$42=DATE(YEAR($C653),MONTH($C653),1))))</f>
        <v>0</v>
      </c>
      <c r="AE653" s="1" t="str">
        <f>IF($E653="","",$E653&amp;"|"&amp;COUNTIFS($E$7:$E653,$E653))</f>
        <v/>
      </c>
    </row>
    <row r="654" spans="1:31" ht="18" customHeight="1" x14ac:dyDescent="0.3">
      <c r="A654" s="2"/>
      <c r="B654" s="65" t="str">
        <f t="shared" si="82"/>
        <v/>
      </c>
      <c r="C654" s="66"/>
      <c r="D654" s="60"/>
      <c r="E654" s="61"/>
      <c r="F654" s="61"/>
      <c r="G654" s="67"/>
      <c r="H654" s="60"/>
      <c r="I654" s="60"/>
      <c r="J654" s="61"/>
      <c r="K654" s="61"/>
      <c r="L654" s="60"/>
      <c r="M654" s="74" t="str">
        <f t="shared" si="83"/>
        <v/>
      </c>
      <c r="N654" s="74" t="str">
        <f t="shared" si="84"/>
        <v/>
      </c>
      <c r="O654" s="73" t="str">
        <f t="shared" si="85"/>
        <v/>
      </c>
      <c r="P654" s="65" t="str">
        <f t="shared" ca="1" si="86"/>
        <v/>
      </c>
      <c r="Q654" s="2"/>
      <c r="R654" s="2"/>
      <c r="S654" s="1" t="str">
        <f t="shared" si="87"/>
        <v/>
      </c>
      <c r="T654" s="1" t="str">
        <f>IF(OR($C654="",$D654&lt;&gt;"Gelir",$L654=""),"",IFERROR(INDEX(MUSTERILER!$B$7:$B$156,MATCH($S654,MUSTERILER!$T$7:$T$156,0)),""))</f>
        <v/>
      </c>
      <c r="U654" s="1" t="str">
        <f>IF($T654="","",$T654&amp;"|"&amp;COUNTIFS($T$7:$T654,$T654))</f>
        <v/>
      </c>
      <c r="V654" s="1">
        <f t="shared" si="88"/>
        <v>0</v>
      </c>
      <c r="W654" s="1" t="str">
        <f t="shared" si="89"/>
        <v/>
      </c>
      <c r="X654" s="1"/>
      <c r="Y654" s="1"/>
      <c r="Z654" s="1"/>
      <c r="AA654" s="1"/>
      <c r="AB654" s="1"/>
      <c r="AC654" s="1"/>
      <c r="AD654" s="1">
        <f>IF($C654="",0,SUMPRODUCT((AY_SONU!$O$7:$O$42="Evet")*(AY_SONU!$B$7:$B$42=DATE(YEAR($C654),MONTH($C654),1))))</f>
        <v>0</v>
      </c>
      <c r="AE654" s="1" t="str">
        <f>IF($E654="","",$E654&amp;"|"&amp;COUNTIFS($E$7:$E654,$E654))</f>
        <v/>
      </c>
    </row>
    <row r="655" spans="1:31" ht="18" customHeight="1" x14ac:dyDescent="0.3">
      <c r="A655" s="2"/>
      <c r="B655" s="65" t="str">
        <f t="shared" si="82"/>
        <v/>
      </c>
      <c r="C655" s="66"/>
      <c r="D655" s="60"/>
      <c r="E655" s="61"/>
      <c r="F655" s="61"/>
      <c r="G655" s="67"/>
      <c r="H655" s="60"/>
      <c r="I655" s="60"/>
      <c r="J655" s="61"/>
      <c r="K655" s="61"/>
      <c r="L655" s="60"/>
      <c r="M655" s="74" t="str">
        <f t="shared" si="83"/>
        <v/>
      </c>
      <c r="N655" s="74" t="str">
        <f t="shared" si="84"/>
        <v/>
      </c>
      <c r="O655" s="73" t="str">
        <f t="shared" si="85"/>
        <v/>
      </c>
      <c r="P655" s="65" t="str">
        <f t="shared" ca="1" si="86"/>
        <v/>
      </c>
      <c r="Q655" s="2"/>
      <c r="R655" s="2"/>
      <c r="S655" s="1" t="str">
        <f t="shared" si="87"/>
        <v/>
      </c>
      <c r="T655" s="1" t="str">
        <f>IF(OR($C655="",$D655&lt;&gt;"Gelir",$L655=""),"",IFERROR(INDEX(MUSTERILER!$B$7:$B$156,MATCH($S655,MUSTERILER!$T$7:$T$156,0)),""))</f>
        <v/>
      </c>
      <c r="U655" s="1" t="str">
        <f>IF($T655="","",$T655&amp;"|"&amp;COUNTIFS($T$7:$T655,$T655))</f>
        <v/>
      </c>
      <c r="V655" s="1">
        <f t="shared" si="88"/>
        <v>0</v>
      </c>
      <c r="W655" s="1" t="str">
        <f t="shared" si="89"/>
        <v/>
      </c>
      <c r="X655" s="1"/>
      <c r="Y655" s="1"/>
      <c r="Z655" s="1"/>
      <c r="AA655" s="1"/>
      <c r="AB655" s="1"/>
      <c r="AC655" s="1"/>
      <c r="AD655" s="1">
        <f>IF($C655="",0,SUMPRODUCT((AY_SONU!$O$7:$O$42="Evet")*(AY_SONU!$B$7:$B$42=DATE(YEAR($C655),MONTH($C655),1))))</f>
        <v>0</v>
      </c>
      <c r="AE655" s="1" t="str">
        <f>IF($E655="","",$E655&amp;"|"&amp;COUNTIFS($E$7:$E655,$E655))</f>
        <v/>
      </c>
    </row>
    <row r="656" spans="1:31" ht="18" customHeight="1" x14ac:dyDescent="0.3">
      <c r="A656" s="2"/>
      <c r="B656" s="65" t="str">
        <f t="shared" si="82"/>
        <v/>
      </c>
      <c r="C656" s="66"/>
      <c r="D656" s="60"/>
      <c r="E656" s="61"/>
      <c r="F656" s="61"/>
      <c r="G656" s="67"/>
      <c r="H656" s="60"/>
      <c r="I656" s="60"/>
      <c r="J656" s="61"/>
      <c r="K656" s="61"/>
      <c r="L656" s="60"/>
      <c r="M656" s="74" t="str">
        <f t="shared" si="83"/>
        <v/>
      </c>
      <c r="N656" s="74" t="str">
        <f t="shared" si="84"/>
        <v/>
      </c>
      <c r="O656" s="73" t="str">
        <f t="shared" si="85"/>
        <v/>
      </c>
      <c r="P656" s="65" t="str">
        <f t="shared" ca="1" si="86"/>
        <v/>
      </c>
      <c r="Q656" s="2"/>
      <c r="R656" s="2"/>
      <c r="S656" s="1" t="str">
        <f t="shared" si="87"/>
        <v/>
      </c>
      <c r="T656" s="1" t="str">
        <f>IF(OR($C656="",$D656&lt;&gt;"Gelir",$L656=""),"",IFERROR(INDEX(MUSTERILER!$B$7:$B$156,MATCH($S656,MUSTERILER!$T$7:$T$156,0)),""))</f>
        <v/>
      </c>
      <c r="U656" s="1" t="str">
        <f>IF($T656="","",$T656&amp;"|"&amp;COUNTIFS($T$7:$T656,$T656))</f>
        <v/>
      </c>
      <c r="V656" s="1">
        <f t="shared" si="88"/>
        <v>0</v>
      </c>
      <c r="W656" s="1" t="str">
        <f t="shared" si="89"/>
        <v/>
      </c>
      <c r="X656" s="1"/>
      <c r="Y656" s="1"/>
      <c r="Z656" s="1"/>
      <c r="AA656" s="1"/>
      <c r="AB656" s="1"/>
      <c r="AC656" s="1"/>
      <c r="AD656" s="1">
        <f>IF($C656="",0,SUMPRODUCT((AY_SONU!$O$7:$O$42="Evet")*(AY_SONU!$B$7:$B$42=DATE(YEAR($C656),MONTH($C656),1))))</f>
        <v>0</v>
      </c>
      <c r="AE656" s="1" t="str">
        <f>IF($E656="","",$E656&amp;"|"&amp;COUNTIFS($E$7:$E656,$E656))</f>
        <v/>
      </c>
    </row>
    <row r="657" spans="1:31" ht="18" customHeight="1" x14ac:dyDescent="0.3">
      <c r="A657" s="2"/>
      <c r="B657" s="65" t="str">
        <f t="shared" si="82"/>
        <v/>
      </c>
      <c r="C657" s="66"/>
      <c r="D657" s="60"/>
      <c r="E657" s="61"/>
      <c r="F657" s="61"/>
      <c r="G657" s="67"/>
      <c r="H657" s="60"/>
      <c r="I657" s="60"/>
      <c r="J657" s="61"/>
      <c r="K657" s="61"/>
      <c r="L657" s="60"/>
      <c r="M657" s="74" t="str">
        <f t="shared" si="83"/>
        <v/>
      </c>
      <c r="N657" s="74" t="str">
        <f t="shared" si="84"/>
        <v/>
      </c>
      <c r="O657" s="73" t="str">
        <f t="shared" si="85"/>
        <v/>
      </c>
      <c r="P657" s="65" t="str">
        <f t="shared" ca="1" si="86"/>
        <v/>
      </c>
      <c r="Q657" s="2"/>
      <c r="R657" s="2"/>
      <c r="S657" s="1" t="str">
        <f t="shared" si="87"/>
        <v/>
      </c>
      <c r="T657" s="1" t="str">
        <f>IF(OR($C657="",$D657&lt;&gt;"Gelir",$L657=""),"",IFERROR(INDEX(MUSTERILER!$B$7:$B$156,MATCH($S657,MUSTERILER!$T$7:$T$156,0)),""))</f>
        <v/>
      </c>
      <c r="U657" s="1" t="str">
        <f>IF($T657="","",$T657&amp;"|"&amp;COUNTIFS($T$7:$T657,$T657))</f>
        <v/>
      </c>
      <c r="V657" s="1">
        <f t="shared" si="88"/>
        <v>0</v>
      </c>
      <c r="W657" s="1" t="str">
        <f t="shared" si="89"/>
        <v/>
      </c>
      <c r="X657" s="1"/>
      <c r="Y657" s="1"/>
      <c r="Z657" s="1"/>
      <c r="AA657" s="1"/>
      <c r="AB657" s="1"/>
      <c r="AC657" s="1"/>
      <c r="AD657" s="1">
        <f>IF($C657="",0,SUMPRODUCT((AY_SONU!$O$7:$O$42="Evet")*(AY_SONU!$B$7:$B$42=DATE(YEAR($C657),MONTH($C657),1))))</f>
        <v>0</v>
      </c>
      <c r="AE657" s="1" t="str">
        <f>IF($E657="","",$E657&amp;"|"&amp;COUNTIFS($E$7:$E657,$E657))</f>
        <v/>
      </c>
    </row>
    <row r="658" spans="1:31" ht="18" customHeight="1" x14ac:dyDescent="0.3">
      <c r="A658" s="2"/>
      <c r="B658" s="65" t="str">
        <f t="shared" si="82"/>
        <v/>
      </c>
      <c r="C658" s="66"/>
      <c r="D658" s="60"/>
      <c r="E658" s="61"/>
      <c r="F658" s="61"/>
      <c r="G658" s="67"/>
      <c r="H658" s="60"/>
      <c r="I658" s="60"/>
      <c r="J658" s="61"/>
      <c r="K658" s="61"/>
      <c r="L658" s="60"/>
      <c r="M658" s="74" t="str">
        <f t="shared" si="83"/>
        <v/>
      </c>
      <c r="N658" s="74" t="str">
        <f t="shared" si="84"/>
        <v/>
      </c>
      <c r="O658" s="73" t="str">
        <f t="shared" si="85"/>
        <v/>
      </c>
      <c r="P658" s="65" t="str">
        <f t="shared" ca="1" si="86"/>
        <v/>
      </c>
      <c r="Q658" s="2"/>
      <c r="R658" s="2"/>
      <c r="S658" s="1" t="str">
        <f t="shared" si="87"/>
        <v/>
      </c>
      <c r="T658" s="1" t="str">
        <f>IF(OR($C658="",$D658&lt;&gt;"Gelir",$L658=""),"",IFERROR(INDEX(MUSTERILER!$B$7:$B$156,MATCH($S658,MUSTERILER!$T$7:$T$156,0)),""))</f>
        <v/>
      </c>
      <c r="U658" s="1" t="str">
        <f>IF($T658="","",$T658&amp;"|"&amp;COUNTIFS($T$7:$T658,$T658))</f>
        <v/>
      </c>
      <c r="V658" s="1">
        <f t="shared" si="88"/>
        <v>0</v>
      </c>
      <c r="W658" s="1" t="str">
        <f t="shared" si="89"/>
        <v/>
      </c>
      <c r="X658" s="1"/>
      <c r="Y658" s="1"/>
      <c r="Z658" s="1"/>
      <c r="AA658" s="1"/>
      <c r="AB658" s="1"/>
      <c r="AC658" s="1"/>
      <c r="AD658" s="1">
        <f>IF($C658="",0,SUMPRODUCT((AY_SONU!$O$7:$O$42="Evet")*(AY_SONU!$B$7:$B$42=DATE(YEAR($C658),MONTH($C658),1))))</f>
        <v>0</v>
      </c>
      <c r="AE658" s="1" t="str">
        <f>IF($E658="","",$E658&amp;"|"&amp;COUNTIFS($E$7:$E658,$E658))</f>
        <v/>
      </c>
    </row>
    <row r="659" spans="1:31" ht="18" customHeight="1" x14ac:dyDescent="0.3">
      <c r="A659" s="2"/>
      <c r="B659" s="65" t="str">
        <f t="shared" si="82"/>
        <v/>
      </c>
      <c r="C659" s="66"/>
      <c r="D659" s="60"/>
      <c r="E659" s="61"/>
      <c r="F659" s="61"/>
      <c r="G659" s="67"/>
      <c r="H659" s="60"/>
      <c r="I659" s="60"/>
      <c r="J659" s="61"/>
      <c r="K659" s="61"/>
      <c r="L659" s="60"/>
      <c r="M659" s="74" t="str">
        <f t="shared" si="83"/>
        <v/>
      </c>
      <c r="N659" s="74" t="str">
        <f t="shared" si="84"/>
        <v/>
      </c>
      <c r="O659" s="73" t="str">
        <f t="shared" si="85"/>
        <v/>
      </c>
      <c r="P659" s="65" t="str">
        <f t="shared" ca="1" si="86"/>
        <v/>
      </c>
      <c r="Q659" s="2"/>
      <c r="R659" s="2"/>
      <c r="S659" s="1" t="str">
        <f t="shared" si="87"/>
        <v/>
      </c>
      <c r="T659" s="1" t="str">
        <f>IF(OR($C659="",$D659&lt;&gt;"Gelir",$L659=""),"",IFERROR(INDEX(MUSTERILER!$B$7:$B$156,MATCH($S659,MUSTERILER!$T$7:$T$156,0)),""))</f>
        <v/>
      </c>
      <c r="U659" s="1" t="str">
        <f>IF($T659="","",$T659&amp;"|"&amp;COUNTIFS($T$7:$T659,$T659))</f>
        <v/>
      </c>
      <c r="V659" s="1">
        <f t="shared" si="88"/>
        <v>0</v>
      </c>
      <c r="W659" s="1" t="str">
        <f t="shared" si="89"/>
        <v/>
      </c>
      <c r="X659" s="1"/>
      <c r="Y659" s="1"/>
      <c r="Z659" s="1"/>
      <c r="AA659" s="1"/>
      <c r="AB659" s="1"/>
      <c r="AC659" s="1"/>
      <c r="AD659" s="1">
        <f>IF($C659="",0,SUMPRODUCT((AY_SONU!$O$7:$O$42="Evet")*(AY_SONU!$B$7:$B$42=DATE(YEAR($C659),MONTH($C659),1))))</f>
        <v>0</v>
      </c>
      <c r="AE659" s="1" t="str">
        <f>IF($E659="","",$E659&amp;"|"&amp;COUNTIFS($E$7:$E659,$E659))</f>
        <v/>
      </c>
    </row>
    <row r="660" spans="1:31" ht="18" customHeight="1" x14ac:dyDescent="0.3">
      <c r="A660" s="2"/>
      <c r="B660" s="65" t="str">
        <f t="shared" si="82"/>
        <v/>
      </c>
      <c r="C660" s="66"/>
      <c r="D660" s="60"/>
      <c r="E660" s="61"/>
      <c r="F660" s="61"/>
      <c r="G660" s="67"/>
      <c r="H660" s="60"/>
      <c r="I660" s="60"/>
      <c r="J660" s="61"/>
      <c r="K660" s="61"/>
      <c r="L660" s="60"/>
      <c r="M660" s="74" t="str">
        <f t="shared" si="83"/>
        <v/>
      </c>
      <c r="N660" s="74" t="str">
        <f t="shared" si="84"/>
        <v/>
      </c>
      <c r="O660" s="73" t="str">
        <f t="shared" si="85"/>
        <v/>
      </c>
      <c r="P660" s="65" t="str">
        <f t="shared" ca="1" si="86"/>
        <v/>
      </c>
      <c r="Q660" s="2"/>
      <c r="R660" s="2"/>
      <c r="S660" s="1" t="str">
        <f t="shared" si="87"/>
        <v/>
      </c>
      <c r="T660" s="1" t="str">
        <f>IF(OR($C660="",$D660&lt;&gt;"Gelir",$L660=""),"",IFERROR(INDEX(MUSTERILER!$B$7:$B$156,MATCH($S660,MUSTERILER!$T$7:$T$156,0)),""))</f>
        <v/>
      </c>
      <c r="U660" s="1" t="str">
        <f>IF($T660="","",$T660&amp;"|"&amp;COUNTIFS($T$7:$T660,$T660))</f>
        <v/>
      </c>
      <c r="V660" s="1">
        <f t="shared" si="88"/>
        <v>0</v>
      </c>
      <c r="W660" s="1" t="str">
        <f t="shared" si="89"/>
        <v/>
      </c>
      <c r="X660" s="1"/>
      <c r="Y660" s="1"/>
      <c r="Z660" s="1"/>
      <c r="AA660" s="1"/>
      <c r="AB660" s="1"/>
      <c r="AC660" s="1"/>
      <c r="AD660" s="1">
        <f>IF($C660="",0,SUMPRODUCT((AY_SONU!$O$7:$O$42="Evet")*(AY_SONU!$B$7:$B$42=DATE(YEAR($C660),MONTH($C660),1))))</f>
        <v>0</v>
      </c>
      <c r="AE660" s="1" t="str">
        <f>IF($E660="","",$E660&amp;"|"&amp;COUNTIFS($E$7:$E660,$E660))</f>
        <v/>
      </c>
    </row>
    <row r="661" spans="1:31" ht="18" customHeight="1" x14ac:dyDescent="0.3">
      <c r="A661" s="2"/>
      <c r="B661" s="65" t="str">
        <f t="shared" si="82"/>
        <v/>
      </c>
      <c r="C661" s="66"/>
      <c r="D661" s="60"/>
      <c r="E661" s="61"/>
      <c r="F661" s="61"/>
      <c r="G661" s="67"/>
      <c r="H661" s="60"/>
      <c r="I661" s="60"/>
      <c r="J661" s="61"/>
      <c r="K661" s="61"/>
      <c r="L661" s="60"/>
      <c r="M661" s="74" t="str">
        <f t="shared" si="83"/>
        <v/>
      </c>
      <c r="N661" s="74" t="str">
        <f t="shared" si="84"/>
        <v/>
      </c>
      <c r="O661" s="73" t="str">
        <f t="shared" si="85"/>
        <v/>
      </c>
      <c r="P661" s="65" t="str">
        <f t="shared" ca="1" si="86"/>
        <v/>
      </c>
      <c r="Q661" s="2"/>
      <c r="R661" s="2"/>
      <c r="S661" s="1" t="str">
        <f t="shared" si="87"/>
        <v/>
      </c>
      <c r="T661" s="1" t="str">
        <f>IF(OR($C661="",$D661&lt;&gt;"Gelir",$L661=""),"",IFERROR(INDEX(MUSTERILER!$B$7:$B$156,MATCH($S661,MUSTERILER!$T$7:$T$156,0)),""))</f>
        <v/>
      </c>
      <c r="U661" s="1" t="str">
        <f>IF($T661="","",$T661&amp;"|"&amp;COUNTIFS($T$7:$T661,$T661))</f>
        <v/>
      </c>
      <c r="V661" s="1">
        <f t="shared" si="88"/>
        <v>0</v>
      </c>
      <c r="W661" s="1" t="str">
        <f t="shared" si="89"/>
        <v/>
      </c>
      <c r="X661" s="1"/>
      <c r="Y661" s="1"/>
      <c r="Z661" s="1"/>
      <c r="AA661" s="1"/>
      <c r="AB661" s="1"/>
      <c r="AC661" s="1"/>
      <c r="AD661" s="1">
        <f>IF($C661="",0,SUMPRODUCT((AY_SONU!$O$7:$O$42="Evet")*(AY_SONU!$B$7:$B$42=DATE(YEAR($C661),MONTH($C661),1))))</f>
        <v>0</v>
      </c>
      <c r="AE661" s="1" t="str">
        <f>IF($E661="","",$E661&amp;"|"&amp;COUNTIFS($E$7:$E661,$E661))</f>
        <v/>
      </c>
    </row>
    <row r="662" spans="1:31" ht="18" customHeight="1" x14ac:dyDescent="0.3">
      <c r="A662" s="2"/>
      <c r="B662" s="65" t="str">
        <f t="shared" si="82"/>
        <v/>
      </c>
      <c r="C662" s="66"/>
      <c r="D662" s="60"/>
      <c r="E662" s="61"/>
      <c r="F662" s="61"/>
      <c r="G662" s="67"/>
      <c r="H662" s="60"/>
      <c r="I662" s="60"/>
      <c r="J662" s="61"/>
      <c r="K662" s="61"/>
      <c r="L662" s="60"/>
      <c r="M662" s="74" t="str">
        <f t="shared" si="83"/>
        <v/>
      </c>
      <c r="N662" s="74" t="str">
        <f t="shared" si="84"/>
        <v/>
      </c>
      <c r="O662" s="73" t="str">
        <f t="shared" si="85"/>
        <v/>
      </c>
      <c r="P662" s="65" t="str">
        <f t="shared" ca="1" si="86"/>
        <v/>
      </c>
      <c r="Q662" s="2"/>
      <c r="R662" s="2"/>
      <c r="S662" s="1" t="str">
        <f t="shared" si="87"/>
        <v/>
      </c>
      <c r="T662" s="1" t="str">
        <f>IF(OR($C662="",$D662&lt;&gt;"Gelir",$L662=""),"",IFERROR(INDEX(MUSTERILER!$B$7:$B$156,MATCH($S662,MUSTERILER!$T$7:$T$156,0)),""))</f>
        <v/>
      </c>
      <c r="U662" s="1" t="str">
        <f>IF($T662="","",$T662&amp;"|"&amp;COUNTIFS($T$7:$T662,$T662))</f>
        <v/>
      </c>
      <c r="V662" s="1">
        <f t="shared" si="88"/>
        <v>0</v>
      </c>
      <c r="W662" s="1" t="str">
        <f t="shared" si="89"/>
        <v/>
      </c>
      <c r="X662" s="1"/>
      <c r="Y662" s="1"/>
      <c r="Z662" s="1"/>
      <c r="AA662" s="1"/>
      <c r="AB662" s="1"/>
      <c r="AC662" s="1"/>
      <c r="AD662" s="1">
        <f>IF($C662="",0,SUMPRODUCT((AY_SONU!$O$7:$O$42="Evet")*(AY_SONU!$B$7:$B$42=DATE(YEAR($C662),MONTH($C662),1))))</f>
        <v>0</v>
      </c>
      <c r="AE662" s="1" t="str">
        <f>IF($E662="","",$E662&amp;"|"&amp;COUNTIFS($E$7:$E662,$E662))</f>
        <v/>
      </c>
    </row>
    <row r="663" spans="1:31" ht="18" customHeight="1" x14ac:dyDescent="0.3">
      <c r="A663" s="2"/>
      <c r="B663" s="65" t="str">
        <f t="shared" si="82"/>
        <v/>
      </c>
      <c r="C663" s="66"/>
      <c r="D663" s="60"/>
      <c r="E663" s="61"/>
      <c r="F663" s="61"/>
      <c r="G663" s="67"/>
      <c r="H663" s="60"/>
      <c r="I663" s="60"/>
      <c r="J663" s="61"/>
      <c r="K663" s="61"/>
      <c r="L663" s="60"/>
      <c r="M663" s="74" t="str">
        <f t="shared" si="83"/>
        <v/>
      </c>
      <c r="N663" s="74" t="str">
        <f t="shared" si="84"/>
        <v/>
      </c>
      <c r="O663" s="73" t="str">
        <f t="shared" si="85"/>
        <v/>
      </c>
      <c r="P663" s="65" t="str">
        <f t="shared" ca="1" si="86"/>
        <v/>
      </c>
      <c r="Q663" s="2"/>
      <c r="R663" s="2"/>
      <c r="S663" s="1" t="str">
        <f t="shared" si="87"/>
        <v/>
      </c>
      <c r="T663" s="1" t="str">
        <f>IF(OR($C663="",$D663&lt;&gt;"Gelir",$L663=""),"",IFERROR(INDEX(MUSTERILER!$B$7:$B$156,MATCH($S663,MUSTERILER!$T$7:$T$156,0)),""))</f>
        <v/>
      </c>
      <c r="U663" s="1" t="str">
        <f>IF($T663="","",$T663&amp;"|"&amp;COUNTIFS($T$7:$T663,$T663))</f>
        <v/>
      </c>
      <c r="V663" s="1">
        <f t="shared" si="88"/>
        <v>0</v>
      </c>
      <c r="W663" s="1" t="str">
        <f t="shared" si="89"/>
        <v/>
      </c>
      <c r="X663" s="1"/>
      <c r="Y663" s="1"/>
      <c r="Z663" s="1"/>
      <c r="AA663" s="1"/>
      <c r="AB663" s="1"/>
      <c r="AC663" s="1"/>
      <c r="AD663" s="1">
        <f>IF($C663="",0,SUMPRODUCT((AY_SONU!$O$7:$O$42="Evet")*(AY_SONU!$B$7:$B$42=DATE(YEAR($C663),MONTH($C663),1))))</f>
        <v>0</v>
      </c>
      <c r="AE663" s="1" t="str">
        <f>IF($E663="","",$E663&amp;"|"&amp;COUNTIFS($E$7:$E663,$E663))</f>
        <v/>
      </c>
    </row>
    <row r="664" spans="1:31" ht="18" customHeight="1" x14ac:dyDescent="0.3">
      <c r="A664" s="2"/>
      <c r="B664" s="65" t="str">
        <f t="shared" si="82"/>
        <v/>
      </c>
      <c r="C664" s="66"/>
      <c r="D664" s="60"/>
      <c r="E664" s="61"/>
      <c r="F664" s="61"/>
      <c r="G664" s="67"/>
      <c r="H664" s="60"/>
      <c r="I664" s="60"/>
      <c r="J664" s="61"/>
      <c r="K664" s="61"/>
      <c r="L664" s="60"/>
      <c r="M664" s="74" t="str">
        <f t="shared" si="83"/>
        <v/>
      </c>
      <c r="N664" s="74" t="str">
        <f t="shared" si="84"/>
        <v/>
      </c>
      <c r="O664" s="73" t="str">
        <f t="shared" si="85"/>
        <v/>
      </c>
      <c r="P664" s="65" t="str">
        <f t="shared" ca="1" si="86"/>
        <v/>
      </c>
      <c r="Q664" s="2"/>
      <c r="R664" s="2"/>
      <c r="S664" s="1" t="str">
        <f t="shared" si="87"/>
        <v/>
      </c>
      <c r="T664" s="1" t="str">
        <f>IF(OR($C664="",$D664&lt;&gt;"Gelir",$L664=""),"",IFERROR(INDEX(MUSTERILER!$B$7:$B$156,MATCH($S664,MUSTERILER!$T$7:$T$156,0)),""))</f>
        <v/>
      </c>
      <c r="U664" s="1" t="str">
        <f>IF($T664="","",$T664&amp;"|"&amp;COUNTIFS($T$7:$T664,$T664))</f>
        <v/>
      </c>
      <c r="V664" s="1">
        <f t="shared" si="88"/>
        <v>0</v>
      </c>
      <c r="W664" s="1" t="str">
        <f t="shared" si="89"/>
        <v/>
      </c>
      <c r="X664" s="1"/>
      <c r="Y664" s="1"/>
      <c r="Z664" s="1"/>
      <c r="AA664" s="1"/>
      <c r="AB664" s="1"/>
      <c r="AC664" s="1"/>
      <c r="AD664" s="1">
        <f>IF($C664="",0,SUMPRODUCT((AY_SONU!$O$7:$O$42="Evet")*(AY_SONU!$B$7:$B$42=DATE(YEAR($C664),MONTH($C664),1))))</f>
        <v>0</v>
      </c>
      <c r="AE664" s="1" t="str">
        <f>IF($E664="","",$E664&amp;"|"&amp;COUNTIFS($E$7:$E664,$E664))</f>
        <v/>
      </c>
    </row>
    <row r="665" spans="1:31" ht="18" customHeight="1" x14ac:dyDescent="0.3">
      <c r="A665" s="2"/>
      <c r="B665" s="65" t="str">
        <f t="shared" si="82"/>
        <v/>
      </c>
      <c r="C665" s="66"/>
      <c r="D665" s="60"/>
      <c r="E665" s="61"/>
      <c r="F665" s="61"/>
      <c r="G665" s="67"/>
      <c r="H665" s="60"/>
      <c r="I665" s="60"/>
      <c r="J665" s="61"/>
      <c r="K665" s="61"/>
      <c r="L665" s="60"/>
      <c r="M665" s="74" t="str">
        <f t="shared" si="83"/>
        <v/>
      </c>
      <c r="N665" s="74" t="str">
        <f t="shared" si="84"/>
        <v/>
      </c>
      <c r="O665" s="73" t="str">
        <f t="shared" si="85"/>
        <v/>
      </c>
      <c r="P665" s="65" t="str">
        <f t="shared" ca="1" si="86"/>
        <v/>
      </c>
      <c r="Q665" s="2"/>
      <c r="R665" s="2"/>
      <c r="S665" s="1" t="str">
        <f t="shared" si="87"/>
        <v/>
      </c>
      <c r="T665" s="1" t="str">
        <f>IF(OR($C665="",$D665&lt;&gt;"Gelir",$L665=""),"",IFERROR(INDEX(MUSTERILER!$B$7:$B$156,MATCH($S665,MUSTERILER!$T$7:$T$156,0)),""))</f>
        <v/>
      </c>
      <c r="U665" s="1" t="str">
        <f>IF($T665="","",$T665&amp;"|"&amp;COUNTIFS($T$7:$T665,$T665))</f>
        <v/>
      </c>
      <c r="V665" s="1">
        <f t="shared" si="88"/>
        <v>0</v>
      </c>
      <c r="W665" s="1" t="str">
        <f t="shared" si="89"/>
        <v/>
      </c>
      <c r="X665" s="1"/>
      <c r="Y665" s="1"/>
      <c r="Z665" s="1"/>
      <c r="AA665" s="1"/>
      <c r="AB665" s="1"/>
      <c r="AC665" s="1"/>
      <c r="AD665" s="1">
        <f>IF($C665="",0,SUMPRODUCT((AY_SONU!$O$7:$O$42="Evet")*(AY_SONU!$B$7:$B$42=DATE(YEAR($C665),MONTH($C665),1))))</f>
        <v>0</v>
      </c>
      <c r="AE665" s="1" t="str">
        <f>IF($E665="","",$E665&amp;"|"&amp;COUNTIFS($E$7:$E665,$E665))</f>
        <v/>
      </c>
    </row>
    <row r="666" spans="1:31" ht="18" customHeight="1" x14ac:dyDescent="0.3">
      <c r="A666" s="2"/>
      <c r="B666" s="65" t="str">
        <f t="shared" si="82"/>
        <v/>
      </c>
      <c r="C666" s="66"/>
      <c r="D666" s="60"/>
      <c r="E666" s="61"/>
      <c r="F666" s="61"/>
      <c r="G666" s="67"/>
      <c r="H666" s="60"/>
      <c r="I666" s="60"/>
      <c r="J666" s="61"/>
      <c r="K666" s="61"/>
      <c r="L666" s="60"/>
      <c r="M666" s="74" t="str">
        <f t="shared" si="83"/>
        <v/>
      </c>
      <c r="N666" s="74" t="str">
        <f t="shared" si="84"/>
        <v/>
      </c>
      <c r="O666" s="73" t="str">
        <f t="shared" si="85"/>
        <v/>
      </c>
      <c r="P666" s="65" t="str">
        <f t="shared" ca="1" si="86"/>
        <v/>
      </c>
      <c r="Q666" s="2"/>
      <c r="R666" s="2"/>
      <c r="S666" s="1" t="str">
        <f t="shared" si="87"/>
        <v/>
      </c>
      <c r="T666" s="1" t="str">
        <f>IF(OR($C666="",$D666&lt;&gt;"Gelir",$L666=""),"",IFERROR(INDEX(MUSTERILER!$B$7:$B$156,MATCH($S666,MUSTERILER!$T$7:$T$156,0)),""))</f>
        <v/>
      </c>
      <c r="U666" s="1" t="str">
        <f>IF($T666="","",$T666&amp;"|"&amp;COUNTIFS($T$7:$T666,$T666))</f>
        <v/>
      </c>
      <c r="V666" s="1">
        <f t="shared" si="88"/>
        <v>0</v>
      </c>
      <c r="W666" s="1" t="str">
        <f t="shared" si="89"/>
        <v/>
      </c>
      <c r="X666" s="1"/>
      <c r="Y666" s="1"/>
      <c r="Z666" s="1"/>
      <c r="AA666" s="1"/>
      <c r="AB666" s="1"/>
      <c r="AC666" s="1"/>
      <c r="AD666" s="1">
        <f>IF($C666="",0,SUMPRODUCT((AY_SONU!$O$7:$O$42="Evet")*(AY_SONU!$B$7:$B$42=DATE(YEAR($C666),MONTH($C666),1))))</f>
        <v>0</v>
      </c>
      <c r="AE666" s="1" t="str">
        <f>IF($E666="","",$E666&amp;"|"&amp;COUNTIFS($E$7:$E666,$E666))</f>
        <v/>
      </c>
    </row>
    <row r="667" spans="1:31" ht="18" customHeight="1" x14ac:dyDescent="0.3">
      <c r="A667" s="2"/>
      <c r="B667" s="65" t="str">
        <f t="shared" si="82"/>
        <v/>
      </c>
      <c r="C667" s="66"/>
      <c r="D667" s="60"/>
      <c r="E667" s="61"/>
      <c r="F667" s="61"/>
      <c r="G667" s="67"/>
      <c r="H667" s="60"/>
      <c r="I667" s="60"/>
      <c r="J667" s="61"/>
      <c r="K667" s="61"/>
      <c r="L667" s="60"/>
      <c r="M667" s="74" t="str">
        <f t="shared" si="83"/>
        <v/>
      </c>
      <c r="N667" s="74" t="str">
        <f t="shared" si="84"/>
        <v/>
      </c>
      <c r="O667" s="73" t="str">
        <f t="shared" si="85"/>
        <v/>
      </c>
      <c r="P667" s="65" t="str">
        <f t="shared" ca="1" si="86"/>
        <v/>
      </c>
      <c r="Q667" s="2"/>
      <c r="R667" s="2"/>
      <c r="S667" s="1" t="str">
        <f t="shared" si="87"/>
        <v/>
      </c>
      <c r="T667" s="1" t="str">
        <f>IF(OR($C667="",$D667&lt;&gt;"Gelir",$L667=""),"",IFERROR(INDEX(MUSTERILER!$B$7:$B$156,MATCH($S667,MUSTERILER!$T$7:$T$156,0)),""))</f>
        <v/>
      </c>
      <c r="U667" s="1" t="str">
        <f>IF($T667="","",$T667&amp;"|"&amp;COUNTIFS($T$7:$T667,$T667))</f>
        <v/>
      </c>
      <c r="V667" s="1">
        <f t="shared" si="88"/>
        <v>0</v>
      </c>
      <c r="W667" s="1" t="str">
        <f t="shared" si="89"/>
        <v/>
      </c>
      <c r="X667" s="1"/>
      <c r="Y667" s="1"/>
      <c r="Z667" s="1"/>
      <c r="AA667" s="1"/>
      <c r="AB667" s="1"/>
      <c r="AC667" s="1"/>
      <c r="AD667" s="1">
        <f>IF($C667="",0,SUMPRODUCT((AY_SONU!$O$7:$O$42="Evet")*(AY_SONU!$B$7:$B$42=DATE(YEAR($C667),MONTH($C667),1))))</f>
        <v>0</v>
      </c>
      <c r="AE667" s="1" t="str">
        <f>IF($E667="","",$E667&amp;"|"&amp;COUNTIFS($E$7:$E667,$E667))</f>
        <v/>
      </c>
    </row>
    <row r="668" spans="1:31" ht="18" customHeight="1" x14ac:dyDescent="0.3">
      <c r="A668" s="2"/>
      <c r="B668" s="65" t="str">
        <f t="shared" si="82"/>
        <v/>
      </c>
      <c r="C668" s="66"/>
      <c r="D668" s="60"/>
      <c r="E668" s="61"/>
      <c r="F668" s="61"/>
      <c r="G668" s="67"/>
      <c r="H668" s="60"/>
      <c r="I668" s="60"/>
      <c r="J668" s="61"/>
      <c r="K668" s="61"/>
      <c r="L668" s="60"/>
      <c r="M668" s="74" t="str">
        <f t="shared" si="83"/>
        <v/>
      </c>
      <c r="N668" s="74" t="str">
        <f t="shared" si="84"/>
        <v/>
      </c>
      <c r="O668" s="73" t="str">
        <f t="shared" si="85"/>
        <v/>
      </c>
      <c r="P668" s="65" t="str">
        <f t="shared" ca="1" si="86"/>
        <v/>
      </c>
      <c r="Q668" s="2"/>
      <c r="R668" s="2"/>
      <c r="S668" s="1" t="str">
        <f t="shared" si="87"/>
        <v/>
      </c>
      <c r="T668" s="1" t="str">
        <f>IF(OR($C668="",$D668&lt;&gt;"Gelir",$L668=""),"",IFERROR(INDEX(MUSTERILER!$B$7:$B$156,MATCH($S668,MUSTERILER!$T$7:$T$156,0)),""))</f>
        <v/>
      </c>
      <c r="U668" s="1" t="str">
        <f>IF($T668="","",$T668&amp;"|"&amp;COUNTIFS($T$7:$T668,$T668))</f>
        <v/>
      </c>
      <c r="V668" s="1">
        <f t="shared" si="88"/>
        <v>0</v>
      </c>
      <c r="W668" s="1" t="str">
        <f t="shared" si="89"/>
        <v/>
      </c>
      <c r="X668" s="1"/>
      <c r="Y668" s="1"/>
      <c r="Z668" s="1"/>
      <c r="AA668" s="1"/>
      <c r="AB668" s="1"/>
      <c r="AC668" s="1"/>
      <c r="AD668" s="1">
        <f>IF($C668="",0,SUMPRODUCT((AY_SONU!$O$7:$O$42="Evet")*(AY_SONU!$B$7:$B$42=DATE(YEAR($C668),MONTH($C668),1))))</f>
        <v>0</v>
      </c>
      <c r="AE668" s="1" t="str">
        <f>IF($E668="","",$E668&amp;"|"&amp;COUNTIFS($E$7:$E668,$E668))</f>
        <v/>
      </c>
    </row>
    <row r="669" spans="1:31" ht="18" customHeight="1" x14ac:dyDescent="0.3">
      <c r="A669" s="2"/>
      <c r="B669" s="65" t="str">
        <f t="shared" si="82"/>
        <v/>
      </c>
      <c r="C669" s="66"/>
      <c r="D669" s="60"/>
      <c r="E669" s="61"/>
      <c r="F669" s="61"/>
      <c r="G669" s="67"/>
      <c r="H669" s="60"/>
      <c r="I669" s="60"/>
      <c r="J669" s="61"/>
      <c r="K669" s="61"/>
      <c r="L669" s="60"/>
      <c r="M669" s="74" t="str">
        <f t="shared" si="83"/>
        <v/>
      </c>
      <c r="N669" s="74" t="str">
        <f t="shared" si="84"/>
        <v/>
      </c>
      <c r="O669" s="73" t="str">
        <f t="shared" si="85"/>
        <v/>
      </c>
      <c r="P669" s="65" t="str">
        <f t="shared" ca="1" si="86"/>
        <v/>
      </c>
      <c r="Q669" s="2"/>
      <c r="R669" s="2"/>
      <c r="S669" s="1" t="str">
        <f t="shared" si="87"/>
        <v/>
      </c>
      <c r="T669" s="1" t="str">
        <f>IF(OR($C669="",$D669&lt;&gt;"Gelir",$L669=""),"",IFERROR(INDEX(MUSTERILER!$B$7:$B$156,MATCH($S669,MUSTERILER!$T$7:$T$156,0)),""))</f>
        <v/>
      </c>
      <c r="U669" s="1" t="str">
        <f>IF($T669="","",$T669&amp;"|"&amp;COUNTIFS($T$7:$T669,$T669))</f>
        <v/>
      </c>
      <c r="V669" s="1">
        <f t="shared" si="88"/>
        <v>0</v>
      </c>
      <c r="W669" s="1" t="str">
        <f t="shared" si="89"/>
        <v/>
      </c>
      <c r="X669" s="1"/>
      <c r="Y669" s="1"/>
      <c r="Z669" s="1"/>
      <c r="AA669" s="1"/>
      <c r="AB669" s="1"/>
      <c r="AC669" s="1"/>
      <c r="AD669" s="1">
        <f>IF($C669="",0,SUMPRODUCT((AY_SONU!$O$7:$O$42="Evet")*(AY_SONU!$B$7:$B$42=DATE(YEAR($C669),MONTH($C669),1))))</f>
        <v>0</v>
      </c>
      <c r="AE669" s="1" t="str">
        <f>IF($E669="","",$E669&amp;"|"&amp;COUNTIFS($E$7:$E669,$E669))</f>
        <v/>
      </c>
    </row>
    <row r="670" spans="1:31" ht="18" customHeight="1" x14ac:dyDescent="0.3">
      <c r="A670" s="2"/>
      <c r="B670" s="65" t="str">
        <f t="shared" si="82"/>
        <v/>
      </c>
      <c r="C670" s="66"/>
      <c r="D670" s="60"/>
      <c r="E670" s="61"/>
      <c r="F670" s="61"/>
      <c r="G670" s="67"/>
      <c r="H670" s="60"/>
      <c r="I670" s="60"/>
      <c r="J670" s="61"/>
      <c r="K670" s="61"/>
      <c r="L670" s="60"/>
      <c r="M670" s="74" t="str">
        <f t="shared" si="83"/>
        <v/>
      </c>
      <c r="N670" s="74" t="str">
        <f t="shared" si="84"/>
        <v/>
      </c>
      <c r="O670" s="73" t="str">
        <f t="shared" si="85"/>
        <v/>
      </c>
      <c r="P670" s="65" t="str">
        <f t="shared" ca="1" si="86"/>
        <v/>
      </c>
      <c r="Q670" s="2"/>
      <c r="R670" s="2"/>
      <c r="S670" s="1" t="str">
        <f t="shared" si="87"/>
        <v/>
      </c>
      <c r="T670" s="1" t="str">
        <f>IF(OR($C670="",$D670&lt;&gt;"Gelir",$L670=""),"",IFERROR(INDEX(MUSTERILER!$B$7:$B$156,MATCH($S670,MUSTERILER!$T$7:$T$156,0)),""))</f>
        <v/>
      </c>
      <c r="U670" s="1" t="str">
        <f>IF($T670="","",$T670&amp;"|"&amp;COUNTIFS($T$7:$T670,$T670))</f>
        <v/>
      </c>
      <c r="V670" s="1">
        <f t="shared" si="88"/>
        <v>0</v>
      </c>
      <c r="W670" s="1" t="str">
        <f t="shared" si="89"/>
        <v/>
      </c>
      <c r="X670" s="1"/>
      <c r="Y670" s="1"/>
      <c r="Z670" s="1"/>
      <c r="AA670" s="1"/>
      <c r="AB670" s="1"/>
      <c r="AC670" s="1"/>
      <c r="AD670" s="1">
        <f>IF($C670="",0,SUMPRODUCT((AY_SONU!$O$7:$O$42="Evet")*(AY_SONU!$B$7:$B$42=DATE(YEAR($C670),MONTH($C670),1))))</f>
        <v>0</v>
      </c>
      <c r="AE670" s="1" t="str">
        <f>IF($E670="","",$E670&amp;"|"&amp;COUNTIFS($E$7:$E670,$E670))</f>
        <v/>
      </c>
    </row>
    <row r="671" spans="1:31" ht="18" customHeight="1" x14ac:dyDescent="0.3">
      <c r="A671" s="2"/>
      <c r="B671" s="65" t="str">
        <f t="shared" si="82"/>
        <v/>
      </c>
      <c r="C671" s="66"/>
      <c r="D671" s="60"/>
      <c r="E671" s="61"/>
      <c r="F671" s="61"/>
      <c r="G671" s="67"/>
      <c r="H671" s="60"/>
      <c r="I671" s="60"/>
      <c r="J671" s="61"/>
      <c r="K671" s="61"/>
      <c r="L671" s="60"/>
      <c r="M671" s="74" t="str">
        <f t="shared" si="83"/>
        <v/>
      </c>
      <c r="N671" s="74" t="str">
        <f t="shared" si="84"/>
        <v/>
      </c>
      <c r="O671" s="73" t="str">
        <f t="shared" si="85"/>
        <v/>
      </c>
      <c r="P671" s="65" t="str">
        <f t="shared" ca="1" si="86"/>
        <v/>
      </c>
      <c r="Q671" s="2"/>
      <c r="R671" s="2"/>
      <c r="S671" s="1" t="str">
        <f t="shared" si="87"/>
        <v/>
      </c>
      <c r="T671" s="1" t="str">
        <f>IF(OR($C671="",$D671&lt;&gt;"Gelir",$L671=""),"",IFERROR(INDEX(MUSTERILER!$B$7:$B$156,MATCH($S671,MUSTERILER!$T$7:$T$156,0)),""))</f>
        <v/>
      </c>
      <c r="U671" s="1" t="str">
        <f>IF($T671="","",$T671&amp;"|"&amp;COUNTIFS($T$7:$T671,$T671))</f>
        <v/>
      </c>
      <c r="V671" s="1">
        <f t="shared" si="88"/>
        <v>0</v>
      </c>
      <c r="W671" s="1" t="str">
        <f t="shared" si="89"/>
        <v/>
      </c>
      <c r="X671" s="1"/>
      <c r="Y671" s="1"/>
      <c r="Z671" s="1"/>
      <c r="AA671" s="1"/>
      <c r="AB671" s="1"/>
      <c r="AC671" s="1"/>
      <c r="AD671" s="1">
        <f>IF($C671="",0,SUMPRODUCT((AY_SONU!$O$7:$O$42="Evet")*(AY_SONU!$B$7:$B$42=DATE(YEAR($C671),MONTH($C671),1))))</f>
        <v>0</v>
      </c>
      <c r="AE671" s="1" t="str">
        <f>IF($E671="","",$E671&amp;"|"&amp;COUNTIFS($E$7:$E671,$E671))</f>
        <v/>
      </c>
    </row>
    <row r="672" spans="1:31" ht="18" customHeight="1" x14ac:dyDescent="0.3">
      <c r="A672" s="2"/>
      <c r="B672" s="65" t="str">
        <f t="shared" si="82"/>
        <v/>
      </c>
      <c r="C672" s="66"/>
      <c r="D672" s="60"/>
      <c r="E672" s="61"/>
      <c r="F672" s="61"/>
      <c r="G672" s="67"/>
      <c r="H672" s="60"/>
      <c r="I672" s="60"/>
      <c r="J672" s="61"/>
      <c r="K672" s="61"/>
      <c r="L672" s="60"/>
      <c r="M672" s="74" t="str">
        <f t="shared" si="83"/>
        <v/>
      </c>
      <c r="N672" s="74" t="str">
        <f t="shared" si="84"/>
        <v/>
      </c>
      <c r="O672" s="73" t="str">
        <f t="shared" si="85"/>
        <v/>
      </c>
      <c r="P672" s="65" t="str">
        <f t="shared" ca="1" si="86"/>
        <v/>
      </c>
      <c r="Q672" s="2"/>
      <c r="R672" s="2"/>
      <c r="S672" s="1" t="str">
        <f t="shared" si="87"/>
        <v/>
      </c>
      <c r="T672" s="1" t="str">
        <f>IF(OR($C672="",$D672&lt;&gt;"Gelir",$L672=""),"",IFERROR(INDEX(MUSTERILER!$B$7:$B$156,MATCH($S672,MUSTERILER!$T$7:$T$156,0)),""))</f>
        <v/>
      </c>
      <c r="U672" s="1" t="str">
        <f>IF($T672="","",$T672&amp;"|"&amp;COUNTIFS($T$7:$T672,$T672))</f>
        <v/>
      </c>
      <c r="V672" s="1">
        <f t="shared" si="88"/>
        <v>0</v>
      </c>
      <c r="W672" s="1" t="str">
        <f t="shared" si="89"/>
        <v/>
      </c>
      <c r="X672" s="1"/>
      <c r="Y672" s="1"/>
      <c r="Z672" s="1"/>
      <c r="AA672" s="1"/>
      <c r="AB672" s="1"/>
      <c r="AC672" s="1"/>
      <c r="AD672" s="1">
        <f>IF($C672="",0,SUMPRODUCT((AY_SONU!$O$7:$O$42="Evet")*(AY_SONU!$B$7:$B$42=DATE(YEAR($C672),MONTH($C672),1))))</f>
        <v>0</v>
      </c>
      <c r="AE672" s="1" t="str">
        <f>IF($E672="","",$E672&amp;"|"&amp;COUNTIFS($E$7:$E672,$E672))</f>
        <v/>
      </c>
    </row>
    <row r="673" spans="1:31" ht="18" customHeight="1" x14ac:dyDescent="0.3">
      <c r="A673" s="2"/>
      <c r="B673" s="65" t="str">
        <f t="shared" si="82"/>
        <v/>
      </c>
      <c r="C673" s="66"/>
      <c r="D673" s="60"/>
      <c r="E673" s="61"/>
      <c r="F673" s="61"/>
      <c r="G673" s="67"/>
      <c r="H673" s="60"/>
      <c r="I673" s="60"/>
      <c r="J673" s="61"/>
      <c r="K673" s="61"/>
      <c r="L673" s="60"/>
      <c r="M673" s="74" t="str">
        <f t="shared" si="83"/>
        <v/>
      </c>
      <c r="N673" s="74" t="str">
        <f t="shared" si="84"/>
        <v/>
      </c>
      <c r="O673" s="73" t="str">
        <f t="shared" si="85"/>
        <v/>
      </c>
      <c r="P673" s="65" t="str">
        <f t="shared" ca="1" si="86"/>
        <v/>
      </c>
      <c r="Q673" s="2"/>
      <c r="R673" s="2"/>
      <c r="S673" s="1" t="str">
        <f t="shared" si="87"/>
        <v/>
      </c>
      <c r="T673" s="1" t="str">
        <f>IF(OR($C673="",$D673&lt;&gt;"Gelir",$L673=""),"",IFERROR(INDEX(MUSTERILER!$B$7:$B$156,MATCH($S673,MUSTERILER!$T$7:$T$156,0)),""))</f>
        <v/>
      </c>
      <c r="U673" s="1" t="str">
        <f>IF($T673="","",$T673&amp;"|"&amp;COUNTIFS($T$7:$T673,$T673))</f>
        <v/>
      </c>
      <c r="V673" s="1">
        <f t="shared" si="88"/>
        <v>0</v>
      </c>
      <c r="W673" s="1" t="str">
        <f t="shared" si="89"/>
        <v/>
      </c>
      <c r="X673" s="1"/>
      <c r="Y673" s="1"/>
      <c r="Z673" s="1"/>
      <c r="AA673" s="1"/>
      <c r="AB673" s="1"/>
      <c r="AC673" s="1"/>
      <c r="AD673" s="1">
        <f>IF($C673="",0,SUMPRODUCT((AY_SONU!$O$7:$O$42="Evet")*(AY_SONU!$B$7:$B$42=DATE(YEAR($C673),MONTH($C673),1))))</f>
        <v>0</v>
      </c>
      <c r="AE673" s="1" t="str">
        <f>IF($E673="","",$E673&amp;"|"&amp;COUNTIFS($E$7:$E673,$E673))</f>
        <v/>
      </c>
    </row>
    <row r="674" spans="1:31" ht="18" customHeight="1" x14ac:dyDescent="0.3">
      <c r="A674" s="2"/>
      <c r="B674" s="65" t="str">
        <f t="shared" si="82"/>
        <v/>
      </c>
      <c r="C674" s="66"/>
      <c r="D674" s="60"/>
      <c r="E674" s="61"/>
      <c r="F674" s="61"/>
      <c r="G674" s="67"/>
      <c r="H674" s="60"/>
      <c r="I674" s="60"/>
      <c r="J674" s="61"/>
      <c r="K674" s="61"/>
      <c r="L674" s="60"/>
      <c r="M674" s="74" t="str">
        <f t="shared" si="83"/>
        <v/>
      </c>
      <c r="N674" s="74" t="str">
        <f t="shared" si="84"/>
        <v/>
      </c>
      <c r="O674" s="73" t="str">
        <f t="shared" si="85"/>
        <v/>
      </c>
      <c r="P674" s="65" t="str">
        <f t="shared" ca="1" si="86"/>
        <v/>
      </c>
      <c r="Q674" s="2"/>
      <c r="R674" s="2"/>
      <c r="S674" s="1" t="str">
        <f t="shared" si="87"/>
        <v/>
      </c>
      <c r="T674" s="1" t="str">
        <f>IF(OR($C674="",$D674&lt;&gt;"Gelir",$L674=""),"",IFERROR(INDEX(MUSTERILER!$B$7:$B$156,MATCH($S674,MUSTERILER!$T$7:$T$156,0)),""))</f>
        <v/>
      </c>
      <c r="U674" s="1" t="str">
        <f>IF($T674="","",$T674&amp;"|"&amp;COUNTIFS($T$7:$T674,$T674))</f>
        <v/>
      </c>
      <c r="V674" s="1">
        <f t="shared" si="88"/>
        <v>0</v>
      </c>
      <c r="W674" s="1" t="str">
        <f t="shared" si="89"/>
        <v/>
      </c>
      <c r="X674" s="1"/>
      <c r="Y674" s="1"/>
      <c r="Z674" s="1"/>
      <c r="AA674" s="1"/>
      <c r="AB674" s="1"/>
      <c r="AC674" s="1"/>
      <c r="AD674" s="1">
        <f>IF($C674="",0,SUMPRODUCT((AY_SONU!$O$7:$O$42="Evet")*(AY_SONU!$B$7:$B$42=DATE(YEAR($C674),MONTH($C674),1))))</f>
        <v>0</v>
      </c>
      <c r="AE674" s="1" t="str">
        <f>IF($E674="","",$E674&amp;"|"&amp;COUNTIFS($E$7:$E674,$E674))</f>
        <v/>
      </c>
    </row>
    <row r="675" spans="1:31" ht="18" customHeight="1" x14ac:dyDescent="0.3">
      <c r="A675" s="2"/>
      <c r="B675" s="65" t="str">
        <f t="shared" si="82"/>
        <v/>
      </c>
      <c r="C675" s="66"/>
      <c r="D675" s="60"/>
      <c r="E675" s="61"/>
      <c r="F675" s="61"/>
      <c r="G675" s="67"/>
      <c r="H675" s="60"/>
      <c r="I675" s="60"/>
      <c r="J675" s="61"/>
      <c r="K675" s="61"/>
      <c r="L675" s="60"/>
      <c r="M675" s="74" t="str">
        <f t="shared" si="83"/>
        <v/>
      </c>
      <c r="N675" s="74" t="str">
        <f t="shared" si="84"/>
        <v/>
      </c>
      <c r="O675" s="73" t="str">
        <f t="shared" si="85"/>
        <v/>
      </c>
      <c r="P675" s="65" t="str">
        <f t="shared" ca="1" si="86"/>
        <v/>
      </c>
      <c r="Q675" s="2"/>
      <c r="R675" s="2"/>
      <c r="S675" s="1" t="str">
        <f t="shared" si="87"/>
        <v/>
      </c>
      <c r="T675" s="1" t="str">
        <f>IF(OR($C675="",$D675&lt;&gt;"Gelir",$L675=""),"",IFERROR(INDEX(MUSTERILER!$B$7:$B$156,MATCH($S675,MUSTERILER!$T$7:$T$156,0)),""))</f>
        <v/>
      </c>
      <c r="U675" s="1" t="str">
        <f>IF($T675="","",$T675&amp;"|"&amp;COUNTIFS($T$7:$T675,$T675))</f>
        <v/>
      </c>
      <c r="V675" s="1">
        <f t="shared" si="88"/>
        <v>0</v>
      </c>
      <c r="W675" s="1" t="str">
        <f t="shared" si="89"/>
        <v/>
      </c>
      <c r="X675" s="1"/>
      <c r="Y675" s="1"/>
      <c r="Z675" s="1"/>
      <c r="AA675" s="1"/>
      <c r="AB675" s="1"/>
      <c r="AC675" s="1"/>
      <c r="AD675" s="1">
        <f>IF($C675="",0,SUMPRODUCT((AY_SONU!$O$7:$O$42="Evet")*(AY_SONU!$B$7:$B$42=DATE(YEAR($C675),MONTH($C675),1))))</f>
        <v>0</v>
      </c>
      <c r="AE675" s="1" t="str">
        <f>IF($E675="","",$E675&amp;"|"&amp;COUNTIFS($E$7:$E675,$E675))</f>
        <v/>
      </c>
    </row>
    <row r="676" spans="1:31" ht="18" customHeight="1" x14ac:dyDescent="0.3">
      <c r="A676" s="2"/>
      <c r="B676" s="65" t="str">
        <f t="shared" si="82"/>
        <v/>
      </c>
      <c r="C676" s="66"/>
      <c r="D676" s="60"/>
      <c r="E676" s="61"/>
      <c r="F676" s="61"/>
      <c r="G676" s="67"/>
      <c r="H676" s="60"/>
      <c r="I676" s="60"/>
      <c r="J676" s="61"/>
      <c r="K676" s="61"/>
      <c r="L676" s="60"/>
      <c r="M676" s="74" t="str">
        <f t="shared" si="83"/>
        <v/>
      </c>
      <c r="N676" s="74" t="str">
        <f t="shared" si="84"/>
        <v/>
      </c>
      <c r="O676" s="73" t="str">
        <f t="shared" si="85"/>
        <v/>
      </c>
      <c r="P676" s="65" t="str">
        <f t="shared" ca="1" si="86"/>
        <v/>
      </c>
      <c r="Q676" s="2"/>
      <c r="R676" s="2"/>
      <c r="S676" s="1" t="str">
        <f t="shared" si="87"/>
        <v/>
      </c>
      <c r="T676" s="1" t="str">
        <f>IF(OR($C676="",$D676&lt;&gt;"Gelir",$L676=""),"",IFERROR(INDEX(MUSTERILER!$B$7:$B$156,MATCH($S676,MUSTERILER!$T$7:$T$156,0)),""))</f>
        <v/>
      </c>
      <c r="U676" s="1" t="str">
        <f>IF($T676="","",$T676&amp;"|"&amp;COUNTIFS($T$7:$T676,$T676))</f>
        <v/>
      </c>
      <c r="V676" s="1">
        <f t="shared" si="88"/>
        <v>0</v>
      </c>
      <c r="W676" s="1" t="str">
        <f t="shared" si="89"/>
        <v/>
      </c>
      <c r="X676" s="1"/>
      <c r="Y676" s="1"/>
      <c r="Z676" s="1"/>
      <c r="AA676" s="1"/>
      <c r="AB676" s="1"/>
      <c r="AC676" s="1"/>
      <c r="AD676" s="1">
        <f>IF($C676="",0,SUMPRODUCT((AY_SONU!$O$7:$O$42="Evet")*(AY_SONU!$B$7:$B$42=DATE(YEAR($C676),MONTH($C676),1))))</f>
        <v>0</v>
      </c>
      <c r="AE676" s="1" t="str">
        <f>IF($E676="","",$E676&amp;"|"&amp;COUNTIFS($E$7:$E676,$E676))</f>
        <v/>
      </c>
    </row>
    <row r="677" spans="1:31" ht="18" customHeight="1" x14ac:dyDescent="0.3">
      <c r="A677" s="2"/>
      <c r="B677" s="65" t="str">
        <f t="shared" si="82"/>
        <v/>
      </c>
      <c r="C677" s="66"/>
      <c r="D677" s="60"/>
      <c r="E677" s="61"/>
      <c r="F677" s="61"/>
      <c r="G677" s="67"/>
      <c r="H677" s="60"/>
      <c r="I677" s="60"/>
      <c r="J677" s="61"/>
      <c r="K677" s="61"/>
      <c r="L677" s="60"/>
      <c r="M677" s="74" t="str">
        <f t="shared" si="83"/>
        <v/>
      </c>
      <c r="N677" s="74" t="str">
        <f t="shared" si="84"/>
        <v/>
      </c>
      <c r="O677" s="73" t="str">
        <f t="shared" si="85"/>
        <v/>
      </c>
      <c r="P677" s="65" t="str">
        <f t="shared" ca="1" si="86"/>
        <v/>
      </c>
      <c r="Q677" s="2"/>
      <c r="R677" s="2"/>
      <c r="S677" s="1" t="str">
        <f t="shared" si="87"/>
        <v/>
      </c>
      <c r="T677" s="1" t="str">
        <f>IF(OR($C677="",$D677&lt;&gt;"Gelir",$L677=""),"",IFERROR(INDEX(MUSTERILER!$B$7:$B$156,MATCH($S677,MUSTERILER!$T$7:$T$156,0)),""))</f>
        <v/>
      </c>
      <c r="U677" s="1" t="str">
        <f>IF($T677="","",$T677&amp;"|"&amp;COUNTIFS($T$7:$T677,$T677))</f>
        <v/>
      </c>
      <c r="V677" s="1">
        <f t="shared" si="88"/>
        <v>0</v>
      </c>
      <c r="W677" s="1" t="str">
        <f t="shared" si="89"/>
        <v/>
      </c>
      <c r="X677" s="1"/>
      <c r="Y677" s="1"/>
      <c r="Z677" s="1"/>
      <c r="AA677" s="1"/>
      <c r="AB677" s="1"/>
      <c r="AC677" s="1"/>
      <c r="AD677" s="1">
        <f>IF($C677="",0,SUMPRODUCT((AY_SONU!$O$7:$O$42="Evet")*(AY_SONU!$B$7:$B$42=DATE(YEAR($C677),MONTH($C677),1))))</f>
        <v>0</v>
      </c>
      <c r="AE677" s="1" t="str">
        <f>IF($E677="","",$E677&amp;"|"&amp;COUNTIFS($E$7:$E677,$E677))</f>
        <v/>
      </c>
    </row>
    <row r="678" spans="1:31" ht="18" customHeight="1" x14ac:dyDescent="0.3">
      <c r="A678" s="2"/>
      <c r="B678" s="65" t="str">
        <f t="shared" si="82"/>
        <v/>
      </c>
      <c r="C678" s="66"/>
      <c r="D678" s="60"/>
      <c r="E678" s="61"/>
      <c r="F678" s="61"/>
      <c r="G678" s="67"/>
      <c r="H678" s="60"/>
      <c r="I678" s="60"/>
      <c r="J678" s="61"/>
      <c r="K678" s="61"/>
      <c r="L678" s="60"/>
      <c r="M678" s="74" t="str">
        <f t="shared" si="83"/>
        <v/>
      </c>
      <c r="N678" s="74" t="str">
        <f t="shared" si="84"/>
        <v/>
      </c>
      <c r="O678" s="73" t="str">
        <f t="shared" si="85"/>
        <v/>
      </c>
      <c r="P678" s="65" t="str">
        <f t="shared" ca="1" si="86"/>
        <v/>
      </c>
      <c r="Q678" s="2"/>
      <c r="R678" s="2"/>
      <c r="S678" s="1" t="str">
        <f t="shared" si="87"/>
        <v/>
      </c>
      <c r="T678" s="1" t="str">
        <f>IF(OR($C678="",$D678&lt;&gt;"Gelir",$L678=""),"",IFERROR(INDEX(MUSTERILER!$B$7:$B$156,MATCH($S678,MUSTERILER!$T$7:$T$156,0)),""))</f>
        <v/>
      </c>
      <c r="U678" s="1" t="str">
        <f>IF($T678="","",$T678&amp;"|"&amp;COUNTIFS($T$7:$T678,$T678))</f>
        <v/>
      </c>
      <c r="V678" s="1">
        <f t="shared" si="88"/>
        <v>0</v>
      </c>
      <c r="W678" s="1" t="str">
        <f t="shared" si="89"/>
        <v/>
      </c>
      <c r="X678" s="1"/>
      <c r="Y678" s="1"/>
      <c r="Z678" s="1"/>
      <c r="AA678" s="1"/>
      <c r="AB678" s="1"/>
      <c r="AC678" s="1"/>
      <c r="AD678" s="1">
        <f>IF($C678="",0,SUMPRODUCT((AY_SONU!$O$7:$O$42="Evet")*(AY_SONU!$B$7:$B$42=DATE(YEAR($C678),MONTH($C678),1))))</f>
        <v>0</v>
      </c>
      <c r="AE678" s="1" t="str">
        <f>IF($E678="","",$E678&amp;"|"&amp;COUNTIFS($E$7:$E678,$E678))</f>
        <v/>
      </c>
    </row>
    <row r="679" spans="1:31" ht="18" customHeight="1" x14ac:dyDescent="0.3">
      <c r="A679" s="2"/>
      <c r="B679" s="65" t="str">
        <f t="shared" si="82"/>
        <v/>
      </c>
      <c r="C679" s="66"/>
      <c r="D679" s="60"/>
      <c r="E679" s="61"/>
      <c r="F679" s="61"/>
      <c r="G679" s="67"/>
      <c r="H679" s="60"/>
      <c r="I679" s="60"/>
      <c r="J679" s="61"/>
      <c r="K679" s="61"/>
      <c r="L679" s="60"/>
      <c r="M679" s="74" t="str">
        <f t="shared" si="83"/>
        <v/>
      </c>
      <c r="N679" s="74" t="str">
        <f t="shared" si="84"/>
        <v/>
      </c>
      <c r="O679" s="73" t="str">
        <f t="shared" si="85"/>
        <v/>
      </c>
      <c r="P679" s="65" t="str">
        <f t="shared" ca="1" si="86"/>
        <v/>
      </c>
      <c r="Q679" s="2"/>
      <c r="R679" s="2"/>
      <c r="S679" s="1" t="str">
        <f t="shared" si="87"/>
        <v/>
      </c>
      <c r="T679" s="1" t="str">
        <f>IF(OR($C679="",$D679&lt;&gt;"Gelir",$L679=""),"",IFERROR(INDEX(MUSTERILER!$B$7:$B$156,MATCH($S679,MUSTERILER!$T$7:$T$156,0)),""))</f>
        <v/>
      </c>
      <c r="U679" s="1" t="str">
        <f>IF($T679="","",$T679&amp;"|"&amp;COUNTIFS($T$7:$T679,$T679))</f>
        <v/>
      </c>
      <c r="V679" s="1">
        <f t="shared" si="88"/>
        <v>0</v>
      </c>
      <c r="W679" s="1" t="str">
        <f t="shared" si="89"/>
        <v/>
      </c>
      <c r="X679" s="1"/>
      <c r="Y679" s="1"/>
      <c r="Z679" s="1"/>
      <c r="AA679" s="1"/>
      <c r="AB679" s="1"/>
      <c r="AC679" s="1"/>
      <c r="AD679" s="1">
        <f>IF($C679="",0,SUMPRODUCT((AY_SONU!$O$7:$O$42="Evet")*(AY_SONU!$B$7:$B$42=DATE(YEAR($C679),MONTH($C679),1))))</f>
        <v>0</v>
      </c>
      <c r="AE679" s="1" t="str">
        <f>IF($E679="","",$E679&amp;"|"&amp;COUNTIFS($E$7:$E679,$E679))</f>
        <v/>
      </c>
    </row>
    <row r="680" spans="1:31" ht="18" customHeight="1" x14ac:dyDescent="0.3">
      <c r="A680" s="2"/>
      <c r="B680" s="65" t="str">
        <f t="shared" si="82"/>
        <v/>
      </c>
      <c r="C680" s="66"/>
      <c r="D680" s="60"/>
      <c r="E680" s="61"/>
      <c r="F680" s="61"/>
      <c r="G680" s="67"/>
      <c r="H680" s="60"/>
      <c r="I680" s="60"/>
      <c r="J680" s="61"/>
      <c r="K680" s="61"/>
      <c r="L680" s="60"/>
      <c r="M680" s="74" t="str">
        <f t="shared" si="83"/>
        <v/>
      </c>
      <c r="N680" s="74" t="str">
        <f t="shared" si="84"/>
        <v/>
      </c>
      <c r="O680" s="73" t="str">
        <f t="shared" si="85"/>
        <v/>
      </c>
      <c r="P680" s="65" t="str">
        <f t="shared" ca="1" si="86"/>
        <v/>
      </c>
      <c r="Q680" s="2"/>
      <c r="R680" s="2"/>
      <c r="S680" s="1" t="str">
        <f t="shared" si="87"/>
        <v/>
      </c>
      <c r="T680" s="1" t="str">
        <f>IF(OR($C680="",$D680&lt;&gt;"Gelir",$L680=""),"",IFERROR(INDEX(MUSTERILER!$B$7:$B$156,MATCH($S680,MUSTERILER!$T$7:$T$156,0)),""))</f>
        <v/>
      </c>
      <c r="U680" s="1" t="str">
        <f>IF($T680="","",$T680&amp;"|"&amp;COUNTIFS($T$7:$T680,$T680))</f>
        <v/>
      </c>
      <c r="V680" s="1">
        <f t="shared" si="88"/>
        <v>0</v>
      </c>
      <c r="W680" s="1" t="str">
        <f t="shared" si="89"/>
        <v/>
      </c>
      <c r="X680" s="1"/>
      <c r="Y680" s="1"/>
      <c r="Z680" s="1"/>
      <c r="AA680" s="1"/>
      <c r="AB680" s="1"/>
      <c r="AC680" s="1"/>
      <c r="AD680" s="1">
        <f>IF($C680="",0,SUMPRODUCT((AY_SONU!$O$7:$O$42="Evet")*(AY_SONU!$B$7:$B$42=DATE(YEAR($C680),MONTH($C680),1))))</f>
        <v>0</v>
      </c>
      <c r="AE680" s="1" t="str">
        <f>IF($E680="","",$E680&amp;"|"&amp;COUNTIFS($E$7:$E680,$E680))</f>
        <v/>
      </c>
    </row>
    <row r="681" spans="1:31" ht="18" customHeight="1" x14ac:dyDescent="0.3">
      <c r="A681" s="2"/>
      <c r="B681" s="65" t="str">
        <f t="shared" si="82"/>
        <v/>
      </c>
      <c r="C681" s="66"/>
      <c r="D681" s="60"/>
      <c r="E681" s="61"/>
      <c r="F681" s="61"/>
      <c r="G681" s="67"/>
      <c r="H681" s="60"/>
      <c r="I681" s="60"/>
      <c r="J681" s="61"/>
      <c r="K681" s="61"/>
      <c r="L681" s="60"/>
      <c r="M681" s="74" t="str">
        <f t="shared" si="83"/>
        <v/>
      </c>
      <c r="N681" s="74" t="str">
        <f t="shared" si="84"/>
        <v/>
      </c>
      <c r="O681" s="73" t="str">
        <f t="shared" si="85"/>
        <v/>
      </c>
      <c r="P681" s="65" t="str">
        <f t="shared" ca="1" si="86"/>
        <v/>
      </c>
      <c r="Q681" s="2"/>
      <c r="R681" s="2"/>
      <c r="S681" s="1" t="str">
        <f t="shared" si="87"/>
        <v/>
      </c>
      <c r="T681" s="1" t="str">
        <f>IF(OR($C681="",$D681&lt;&gt;"Gelir",$L681=""),"",IFERROR(INDEX(MUSTERILER!$B$7:$B$156,MATCH($S681,MUSTERILER!$T$7:$T$156,0)),""))</f>
        <v/>
      </c>
      <c r="U681" s="1" t="str">
        <f>IF($T681="","",$T681&amp;"|"&amp;COUNTIFS($T$7:$T681,$T681))</f>
        <v/>
      </c>
      <c r="V681" s="1">
        <f t="shared" si="88"/>
        <v>0</v>
      </c>
      <c r="W681" s="1" t="str">
        <f t="shared" si="89"/>
        <v/>
      </c>
      <c r="X681" s="1"/>
      <c r="Y681" s="1"/>
      <c r="Z681" s="1"/>
      <c r="AA681" s="1"/>
      <c r="AB681" s="1"/>
      <c r="AC681" s="1"/>
      <c r="AD681" s="1">
        <f>IF($C681="",0,SUMPRODUCT((AY_SONU!$O$7:$O$42="Evet")*(AY_SONU!$B$7:$B$42=DATE(YEAR($C681),MONTH($C681),1))))</f>
        <v>0</v>
      </c>
      <c r="AE681" s="1" t="str">
        <f>IF($E681="","",$E681&amp;"|"&amp;COUNTIFS($E$7:$E681,$E681))</f>
        <v/>
      </c>
    </row>
    <row r="682" spans="1:31" ht="18" customHeight="1" x14ac:dyDescent="0.3">
      <c r="A682" s="2"/>
      <c r="B682" s="65" t="str">
        <f t="shared" si="82"/>
        <v/>
      </c>
      <c r="C682" s="66"/>
      <c r="D682" s="60"/>
      <c r="E682" s="61"/>
      <c r="F682" s="61"/>
      <c r="G682" s="67"/>
      <c r="H682" s="60"/>
      <c r="I682" s="60"/>
      <c r="J682" s="61"/>
      <c r="K682" s="61"/>
      <c r="L682" s="60"/>
      <c r="M682" s="74" t="str">
        <f t="shared" si="83"/>
        <v/>
      </c>
      <c r="N682" s="74" t="str">
        <f t="shared" si="84"/>
        <v/>
      </c>
      <c r="O682" s="73" t="str">
        <f t="shared" si="85"/>
        <v/>
      </c>
      <c r="P682" s="65" t="str">
        <f t="shared" ca="1" si="86"/>
        <v/>
      </c>
      <c r="Q682" s="2"/>
      <c r="R682" s="2"/>
      <c r="S682" s="1" t="str">
        <f t="shared" si="87"/>
        <v/>
      </c>
      <c r="T682" s="1" t="str">
        <f>IF(OR($C682="",$D682&lt;&gt;"Gelir",$L682=""),"",IFERROR(INDEX(MUSTERILER!$B$7:$B$156,MATCH($S682,MUSTERILER!$T$7:$T$156,0)),""))</f>
        <v/>
      </c>
      <c r="U682" s="1" t="str">
        <f>IF($T682="","",$T682&amp;"|"&amp;COUNTIFS($T$7:$T682,$T682))</f>
        <v/>
      </c>
      <c r="V682" s="1">
        <f t="shared" si="88"/>
        <v>0</v>
      </c>
      <c r="W682" s="1" t="str">
        <f t="shared" si="89"/>
        <v/>
      </c>
      <c r="X682" s="1"/>
      <c r="Y682" s="1"/>
      <c r="Z682" s="1"/>
      <c r="AA682" s="1"/>
      <c r="AB682" s="1"/>
      <c r="AC682" s="1"/>
      <c r="AD682" s="1">
        <f>IF($C682="",0,SUMPRODUCT((AY_SONU!$O$7:$O$42="Evet")*(AY_SONU!$B$7:$B$42=DATE(YEAR($C682),MONTH($C682),1))))</f>
        <v>0</v>
      </c>
      <c r="AE682" s="1" t="str">
        <f>IF($E682="","",$E682&amp;"|"&amp;COUNTIFS($E$7:$E682,$E682))</f>
        <v/>
      </c>
    </row>
    <row r="683" spans="1:31" ht="18" customHeight="1" x14ac:dyDescent="0.3">
      <c r="A683" s="2"/>
      <c r="B683" s="65" t="str">
        <f t="shared" si="82"/>
        <v/>
      </c>
      <c r="C683" s="66"/>
      <c r="D683" s="60"/>
      <c r="E683" s="61"/>
      <c r="F683" s="61"/>
      <c r="G683" s="67"/>
      <c r="H683" s="60"/>
      <c r="I683" s="60"/>
      <c r="J683" s="61"/>
      <c r="K683" s="61"/>
      <c r="L683" s="60"/>
      <c r="M683" s="74" t="str">
        <f t="shared" si="83"/>
        <v/>
      </c>
      <c r="N683" s="74" t="str">
        <f t="shared" si="84"/>
        <v/>
      </c>
      <c r="O683" s="73" t="str">
        <f t="shared" si="85"/>
        <v/>
      </c>
      <c r="P683" s="65" t="str">
        <f t="shared" ca="1" si="86"/>
        <v/>
      </c>
      <c r="Q683" s="2"/>
      <c r="R683" s="2"/>
      <c r="S683" s="1" t="str">
        <f t="shared" si="87"/>
        <v/>
      </c>
      <c r="T683" s="1" t="str">
        <f>IF(OR($C683="",$D683&lt;&gt;"Gelir",$L683=""),"",IFERROR(INDEX(MUSTERILER!$B$7:$B$156,MATCH($S683,MUSTERILER!$T$7:$T$156,0)),""))</f>
        <v/>
      </c>
      <c r="U683" s="1" t="str">
        <f>IF($T683="","",$T683&amp;"|"&amp;COUNTIFS($T$7:$T683,$T683))</f>
        <v/>
      </c>
      <c r="V683" s="1">
        <f t="shared" si="88"/>
        <v>0</v>
      </c>
      <c r="W683" s="1" t="str">
        <f t="shared" si="89"/>
        <v/>
      </c>
      <c r="X683" s="1"/>
      <c r="Y683" s="1"/>
      <c r="Z683" s="1"/>
      <c r="AA683" s="1"/>
      <c r="AB683" s="1"/>
      <c r="AC683" s="1"/>
      <c r="AD683" s="1">
        <f>IF($C683="",0,SUMPRODUCT((AY_SONU!$O$7:$O$42="Evet")*(AY_SONU!$B$7:$B$42=DATE(YEAR($C683),MONTH($C683),1))))</f>
        <v>0</v>
      </c>
      <c r="AE683" s="1" t="str">
        <f>IF($E683="","",$E683&amp;"|"&amp;COUNTIFS($E$7:$E683,$E683))</f>
        <v/>
      </c>
    </row>
    <row r="684" spans="1:31" ht="18" customHeight="1" x14ac:dyDescent="0.3">
      <c r="A684" s="2"/>
      <c r="B684" s="65" t="str">
        <f t="shared" si="82"/>
        <v/>
      </c>
      <c r="C684" s="66"/>
      <c r="D684" s="60"/>
      <c r="E684" s="61"/>
      <c r="F684" s="61"/>
      <c r="G684" s="67"/>
      <c r="H684" s="60"/>
      <c r="I684" s="60"/>
      <c r="J684" s="61"/>
      <c r="K684" s="61"/>
      <c r="L684" s="60"/>
      <c r="M684" s="74" t="str">
        <f t="shared" si="83"/>
        <v/>
      </c>
      <c r="N684" s="74" t="str">
        <f t="shared" si="84"/>
        <v/>
      </c>
      <c r="O684" s="73" t="str">
        <f t="shared" si="85"/>
        <v/>
      </c>
      <c r="P684" s="65" t="str">
        <f t="shared" ca="1" si="86"/>
        <v/>
      </c>
      <c r="Q684" s="2"/>
      <c r="R684" s="2"/>
      <c r="S684" s="1" t="str">
        <f t="shared" si="87"/>
        <v/>
      </c>
      <c r="T684" s="1" t="str">
        <f>IF(OR($C684="",$D684&lt;&gt;"Gelir",$L684=""),"",IFERROR(INDEX(MUSTERILER!$B$7:$B$156,MATCH($S684,MUSTERILER!$T$7:$T$156,0)),""))</f>
        <v/>
      </c>
      <c r="U684" s="1" t="str">
        <f>IF($T684="","",$T684&amp;"|"&amp;COUNTIFS($T$7:$T684,$T684))</f>
        <v/>
      </c>
      <c r="V684" s="1">
        <f t="shared" si="88"/>
        <v>0</v>
      </c>
      <c r="W684" s="1" t="str">
        <f t="shared" si="89"/>
        <v/>
      </c>
      <c r="X684" s="1"/>
      <c r="Y684" s="1"/>
      <c r="Z684" s="1"/>
      <c r="AA684" s="1"/>
      <c r="AB684" s="1"/>
      <c r="AC684" s="1"/>
      <c r="AD684" s="1">
        <f>IF($C684="",0,SUMPRODUCT((AY_SONU!$O$7:$O$42="Evet")*(AY_SONU!$B$7:$B$42=DATE(YEAR($C684),MONTH($C684),1))))</f>
        <v>0</v>
      </c>
      <c r="AE684" s="1" t="str">
        <f>IF($E684="","",$E684&amp;"|"&amp;COUNTIFS($E$7:$E684,$E684))</f>
        <v/>
      </c>
    </row>
    <row r="685" spans="1:31" ht="18" customHeight="1" x14ac:dyDescent="0.3">
      <c r="A685" s="2"/>
      <c r="B685" s="65" t="str">
        <f t="shared" si="82"/>
        <v/>
      </c>
      <c r="C685" s="66"/>
      <c r="D685" s="60"/>
      <c r="E685" s="61"/>
      <c r="F685" s="61"/>
      <c r="G685" s="67"/>
      <c r="H685" s="60"/>
      <c r="I685" s="60"/>
      <c r="J685" s="61"/>
      <c r="K685" s="61"/>
      <c r="L685" s="60"/>
      <c r="M685" s="74" t="str">
        <f t="shared" si="83"/>
        <v/>
      </c>
      <c r="N685" s="74" t="str">
        <f t="shared" si="84"/>
        <v/>
      </c>
      <c r="O685" s="73" t="str">
        <f t="shared" si="85"/>
        <v/>
      </c>
      <c r="P685" s="65" t="str">
        <f t="shared" ca="1" si="86"/>
        <v/>
      </c>
      <c r="Q685" s="2"/>
      <c r="R685" s="2"/>
      <c r="S685" s="1" t="str">
        <f t="shared" si="87"/>
        <v/>
      </c>
      <c r="T685" s="1" t="str">
        <f>IF(OR($C685="",$D685&lt;&gt;"Gelir",$L685=""),"",IFERROR(INDEX(MUSTERILER!$B$7:$B$156,MATCH($S685,MUSTERILER!$T$7:$T$156,0)),""))</f>
        <v/>
      </c>
      <c r="U685" s="1" t="str">
        <f>IF($T685="","",$T685&amp;"|"&amp;COUNTIFS($T$7:$T685,$T685))</f>
        <v/>
      </c>
      <c r="V685" s="1">
        <f t="shared" si="88"/>
        <v>0</v>
      </c>
      <c r="W685" s="1" t="str">
        <f t="shared" si="89"/>
        <v/>
      </c>
      <c r="X685" s="1"/>
      <c r="Y685" s="1"/>
      <c r="Z685" s="1"/>
      <c r="AA685" s="1"/>
      <c r="AB685" s="1"/>
      <c r="AC685" s="1"/>
      <c r="AD685" s="1">
        <f>IF($C685="",0,SUMPRODUCT((AY_SONU!$O$7:$O$42="Evet")*(AY_SONU!$B$7:$B$42=DATE(YEAR($C685),MONTH($C685),1))))</f>
        <v>0</v>
      </c>
      <c r="AE685" s="1" t="str">
        <f>IF($E685="","",$E685&amp;"|"&amp;COUNTIFS($E$7:$E685,$E685))</f>
        <v/>
      </c>
    </row>
    <row r="686" spans="1:31" ht="18" customHeight="1" x14ac:dyDescent="0.3">
      <c r="A686" s="2"/>
      <c r="B686" s="65" t="str">
        <f t="shared" si="82"/>
        <v/>
      </c>
      <c r="C686" s="66"/>
      <c r="D686" s="60"/>
      <c r="E686" s="61"/>
      <c r="F686" s="61"/>
      <c r="G686" s="67"/>
      <c r="H686" s="60"/>
      <c r="I686" s="60"/>
      <c r="J686" s="61"/>
      <c r="K686" s="61"/>
      <c r="L686" s="60"/>
      <c r="M686" s="74" t="str">
        <f t="shared" si="83"/>
        <v/>
      </c>
      <c r="N686" s="74" t="str">
        <f t="shared" si="84"/>
        <v/>
      </c>
      <c r="O686" s="73" t="str">
        <f t="shared" si="85"/>
        <v/>
      </c>
      <c r="P686" s="65" t="str">
        <f t="shared" ca="1" si="86"/>
        <v/>
      </c>
      <c r="Q686" s="2"/>
      <c r="R686" s="2"/>
      <c r="S686" s="1" t="str">
        <f t="shared" si="87"/>
        <v/>
      </c>
      <c r="T686" s="1" t="str">
        <f>IF(OR($C686="",$D686&lt;&gt;"Gelir",$L686=""),"",IFERROR(INDEX(MUSTERILER!$B$7:$B$156,MATCH($S686,MUSTERILER!$T$7:$T$156,0)),""))</f>
        <v/>
      </c>
      <c r="U686" s="1" t="str">
        <f>IF($T686="","",$T686&amp;"|"&amp;COUNTIFS($T$7:$T686,$T686))</f>
        <v/>
      </c>
      <c r="V686" s="1">
        <f t="shared" si="88"/>
        <v>0</v>
      </c>
      <c r="W686" s="1" t="str">
        <f t="shared" si="89"/>
        <v/>
      </c>
      <c r="X686" s="1"/>
      <c r="Y686" s="1"/>
      <c r="Z686" s="1"/>
      <c r="AA686" s="1"/>
      <c r="AB686" s="1"/>
      <c r="AC686" s="1"/>
      <c r="AD686" s="1">
        <f>IF($C686="",0,SUMPRODUCT((AY_SONU!$O$7:$O$42="Evet")*(AY_SONU!$B$7:$B$42=DATE(YEAR($C686),MONTH($C686),1))))</f>
        <v>0</v>
      </c>
      <c r="AE686" s="1" t="str">
        <f>IF($E686="","",$E686&amp;"|"&amp;COUNTIFS($E$7:$E686,$E686))</f>
        <v/>
      </c>
    </row>
    <row r="687" spans="1:31" ht="18" customHeight="1" x14ac:dyDescent="0.3">
      <c r="A687" s="2"/>
      <c r="B687" s="65" t="str">
        <f t="shared" si="82"/>
        <v/>
      </c>
      <c r="C687" s="66"/>
      <c r="D687" s="60"/>
      <c r="E687" s="61"/>
      <c r="F687" s="61"/>
      <c r="G687" s="67"/>
      <c r="H687" s="60"/>
      <c r="I687" s="60"/>
      <c r="J687" s="61"/>
      <c r="K687" s="61"/>
      <c r="L687" s="60"/>
      <c r="M687" s="74" t="str">
        <f t="shared" si="83"/>
        <v/>
      </c>
      <c r="N687" s="74" t="str">
        <f t="shared" si="84"/>
        <v/>
      </c>
      <c r="O687" s="73" t="str">
        <f t="shared" si="85"/>
        <v/>
      </c>
      <c r="P687" s="65" t="str">
        <f t="shared" ca="1" si="86"/>
        <v/>
      </c>
      <c r="Q687" s="2"/>
      <c r="R687" s="2"/>
      <c r="S687" s="1" t="str">
        <f t="shared" si="87"/>
        <v/>
      </c>
      <c r="T687" s="1" t="str">
        <f>IF(OR($C687="",$D687&lt;&gt;"Gelir",$L687=""),"",IFERROR(INDEX(MUSTERILER!$B$7:$B$156,MATCH($S687,MUSTERILER!$T$7:$T$156,0)),""))</f>
        <v/>
      </c>
      <c r="U687" s="1" t="str">
        <f>IF($T687="","",$T687&amp;"|"&amp;COUNTIFS($T$7:$T687,$T687))</f>
        <v/>
      </c>
      <c r="V687" s="1">
        <f t="shared" si="88"/>
        <v>0</v>
      </c>
      <c r="W687" s="1" t="str">
        <f t="shared" si="89"/>
        <v/>
      </c>
      <c r="X687" s="1"/>
      <c r="Y687" s="1"/>
      <c r="Z687" s="1"/>
      <c r="AA687" s="1"/>
      <c r="AB687" s="1"/>
      <c r="AC687" s="1"/>
      <c r="AD687" s="1">
        <f>IF($C687="",0,SUMPRODUCT((AY_SONU!$O$7:$O$42="Evet")*(AY_SONU!$B$7:$B$42=DATE(YEAR($C687),MONTH($C687),1))))</f>
        <v>0</v>
      </c>
      <c r="AE687" s="1" t="str">
        <f>IF($E687="","",$E687&amp;"|"&amp;COUNTIFS($E$7:$E687,$E687))</f>
        <v/>
      </c>
    </row>
    <row r="688" spans="1:31" ht="18" customHeight="1" x14ac:dyDescent="0.3">
      <c r="A688" s="2"/>
      <c r="B688" s="65" t="str">
        <f t="shared" si="82"/>
        <v/>
      </c>
      <c r="C688" s="66"/>
      <c r="D688" s="60"/>
      <c r="E688" s="61"/>
      <c r="F688" s="61"/>
      <c r="G688" s="67"/>
      <c r="H688" s="60"/>
      <c r="I688" s="60"/>
      <c r="J688" s="61"/>
      <c r="K688" s="61"/>
      <c r="L688" s="60"/>
      <c r="M688" s="74" t="str">
        <f t="shared" si="83"/>
        <v/>
      </c>
      <c r="N688" s="74" t="str">
        <f t="shared" si="84"/>
        <v/>
      </c>
      <c r="O688" s="73" t="str">
        <f t="shared" si="85"/>
        <v/>
      </c>
      <c r="P688" s="65" t="str">
        <f t="shared" ca="1" si="86"/>
        <v/>
      </c>
      <c r="Q688" s="2"/>
      <c r="R688" s="2"/>
      <c r="S688" s="1" t="str">
        <f t="shared" si="87"/>
        <v/>
      </c>
      <c r="T688" s="1" t="str">
        <f>IF(OR($C688="",$D688&lt;&gt;"Gelir",$L688=""),"",IFERROR(INDEX(MUSTERILER!$B$7:$B$156,MATCH($S688,MUSTERILER!$T$7:$T$156,0)),""))</f>
        <v/>
      </c>
      <c r="U688" s="1" t="str">
        <f>IF($T688="","",$T688&amp;"|"&amp;COUNTIFS($T$7:$T688,$T688))</f>
        <v/>
      </c>
      <c r="V688" s="1">
        <f t="shared" si="88"/>
        <v>0</v>
      </c>
      <c r="W688" s="1" t="str">
        <f t="shared" si="89"/>
        <v/>
      </c>
      <c r="X688" s="1"/>
      <c r="Y688" s="1"/>
      <c r="Z688" s="1"/>
      <c r="AA688" s="1"/>
      <c r="AB688" s="1"/>
      <c r="AC688" s="1"/>
      <c r="AD688" s="1">
        <f>IF($C688="",0,SUMPRODUCT((AY_SONU!$O$7:$O$42="Evet")*(AY_SONU!$B$7:$B$42=DATE(YEAR($C688),MONTH($C688),1))))</f>
        <v>0</v>
      </c>
      <c r="AE688" s="1" t="str">
        <f>IF($E688="","",$E688&amp;"|"&amp;COUNTIFS($E$7:$E688,$E688))</f>
        <v/>
      </c>
    </row>
    <row r="689" spans="1:31" ht="18" customHeight="1" x14ac:dyDescent="0.3">
      <c r="A689" s="2"/>
      <c r="B689" s="65" t="str">
        <f t="shared" si="82"/>
        <v/>
      </c>
      <c r="C689" s="66"/>
      <c r="D689" s="60"/>
      <c r="E689" s="61"/>
      <c r="F689" s="61"/>
      <c r="G689" s="67"/>
      <c r="H689" s="60"/>
      <c r="I689" s="60"/>
      <c r="J689" s="61"/>
      <c r="K689" s="61"/>
      <c r="L689" s="60"/>
      <c r="M689" s="74" t="str">
        <f t="shared" si="83"/>
        <v/>
      </c>
      <c r="N689" s="74" t="str">
        <f t="shared" si="84"/>
        <v/>
      </c>
      <c r="O689" s="73" t="str">
        <f t="shared" si="85"/>
        <v/>
      </c>
      <c r="P689" s="65" t="str">
        <f t="shared" ca="1" si="86"/>
        <v/>
      </c>
      <c r="Q689" s="2"/>
      <c r="R689" s="2"/>
      <c r="S689" s="1" t="str">
        <f t="shared" si="87"/>
        <v/>
      </c>
      <c r="T689" s="1" t="str">
        <f>IF(OR($C689="",$D689&lt;&gt;"Gelir",$L689=""),"",IFERROR(INDEX(MUSTERILER!$B$7:$B$156,MATCH($S689,MUSTERILER!$T$7:$T$156,0)),""))</f>
        <v/>
      </c>
      <c r="U689" s="1" t="str">
        <f>IF($T689="","",$T689&amp;"|"&amp;COUNTIFS($T$7:$T689,$T689))</f>
        <v/>
      </c>
      <c r="V689" s="1">
        <f t="shared" si="88"/>
        <v>0</v>
      </c>
      <c r="W689" s="1" t="str">
        <f t="shared" si="89"/>
        <v/>
      </c>
      <c r="X689" s="1"/>
      <c r="Y689" s="1"/>
      <c r="Z689" s="1"/>
      <c r="AA689" s="1"/>
      <c r="AB689" s="1"/>
      <c r="AC689" s="1"/>
      <c r="AD689" s="1">
        <f>IF($C689="",0,SUMPRODUCT((AY_SONU!$O$7:$O$42="Evet")*(AY_SONU!$B$7:$B$42=DATE(YEAR($C689),MONTH($C689),1))))</f>
        <v>0</v>
      </c>
      <c r="AE689" s="1" t="str">
        <f>IF($E689="","",$E689&amp;"|"&amp;COUNTIFS($E$7:$E689,$E689))</f>
        <v/>
      </c>
    </row>
    <row r="690" spans="1:31" ht="18" customHeight="1" x14ac:dyDescent="0.3">
      <c r="A690" s="2"/>
      <c r="B690" s="65" t="str">
        <f t="shared" si="82"/>
        <v/>
      </c>
      <c r="C690" s="66"/>
      <c r="D690" s="60"/>
      <c r="E690" s="61"/>
      <c r="F690" s="61"/>
      <c r="G690" s="67"/>
      <c r="H690" s="60"/>
      <c r="I690" s="60"/>
      <c r="J690" s="61"/>
      <c r="K690" s="61"/>
      <c r="L690" s="60"/>
      <c r="M690" s="74" t="str">
        <f t="shared" si="83"/>
        <v/>
      </c>
      <c r="N690" s="74" t="str">
        <f t="shared" si="84"/>
        <v/>
      </c>
      <c r="O690" s="73" t="str">
        <f t="shared" si="85"/>
        <v/>
      </c>
      <c r="P690" s="65" t="str">
        <f t="shared" ca="1" si="86"/>
        <v/>
      </c>
      <c r="Q690" s="2"/>
      <c r="R690" s="2"/>
      <c r="S690" s="1" t="str">
        <f t="shared" si="87"/>
        <v/>
      </c>
      <c r="T690" s="1" t="str">
        <f>IF(OR($C690="",$D690&lt;&gt;"Gelir",$L690=""),"",IFERROR(INDEX(MUSTERILER!$B$7:$B$156,MATCH($S690,MUSTERILER!$T$7:$T$156,0)),""))</f>
        <v/>
      </c>
      <c r="U690" s="1" t="str">
        <f>IF($T690="","",$T690&amp;"|"&amp;COUNTIFS($T$7:$T690,$T690))</f>
        <v/>
      </c>
      <c r="V690" s="1">
        <f t="shared" si="88"/>
        <v>0</v>
      </c>
      <c r="W690" s="1" t="str">
        <f t="shared" si="89"/>
        <v/>
      </c>
      <c r="X690" s="1"/>
      <c r="Y690" s="1"/>
      <c r="Z690" s="1"/>
      <c r="AA690" s="1"/>
      <c r="AB690" s="1"/>
      <c r="AC690" s="1"/>
      <c r="AD690" s="1">
        <f>IF($C690="",0,SUMPRODUCT((AY_SONU!$O$7:$O$42="Evet")*(AY_SONU!$B$7:$B$42=DATE(YEAR($C690),MONTH($C690),1))))</f>
        <v>0</v>
      </c>
      <c r="AE690" s="1" t="str">
        <f>IF($E690="","",$E690&amp;"|"&amp;COUNTIFS($E$7:$E690,$E690))</f>
        <v/>
      </c>
    </row>
    <row r="691" spans="1:31" ht="18" customHeight="1" x14ac:dyDescent="0.3">
      <c r="A691" s="2"/>
      <c r="B691" s="65" t="str">
        <f t="shared" si="82"/>
        <v/>
      </c>
      <c r="C691" s="66"/>
      <c r="D691" s="60"/>
      <c r="E691" s="61"/>
      <c r="F691" s="61"/>
      <c r="G691" s="67"/>
      <c r="H691" s="60"/>
      <c r="I691" s="60"/>
      <c r="J691" s="61"/>
      <c r="K691" s="61"/>
      <c r="L691" s="60"/>
      <c r="M691" s="74" t="str">
        <f t="shared" si="83"/>
        <v/>
      </c>
      <c r="N691" s="74" t="str">
        <f t="shared" si="84"/>
        <v/>
      </c>
      <c r="O691" s="73" t="str">
        <f t="shared" si="85"/>
        <v/>
      </c>
      <c r="P691" s="65" t="str">
        <f t="shared" ca="1" si="86"/>
        <v/>
      </c>
      <c r="Q691" s="2"/>
      <c r="R691" s="2"/>
      <c r="S691" s="1" t="str">
        <f t="shared" si="87"/>
        <v/>
      </c>
      <c r="T691" s="1" t="str">
        <f>IF(OR($C691="",$D691&lt;&gt;"Gelir",$L691=""),"",IFERROR(INDEX(MUSTERILER!$B$7:$B$156,MATCH($S691,MUSTERILER!$T$7:$T$156,0)),""))</f>
        <v/>
      </c>
      <c r="U691" s="1" t="str">
        <f>IF($T691="","",$T691&amp;"|"&amp;COUNTIFS($T$7:$T691,$T691))</f>
        <v/>
      </c>
      <c r="V691" s="1">
        <f t="shared" si="88"/>
        <v>0</v>
      </c>
      <c r="W691" s="1" t="str">
        <f t="shared" si="89"/>
        <v/>
      </c>
      <c r="X691" s="1"/>
      <c r="Y691" s="1"/>
      <c r="Z691" s="1"/>
      <c r="AA691" s="1"/>
      <c r="AB691" s="1"/>
      <c r="AC691" s="1"/>
      <c r="AD691" s="1">
        <f>IF($C691="",0,SUMPRODUCT((AY_SONU!$O$7:$O$42="Evet")*(AY_SONU!$B$7:$B$42=DATE(YEAR($C691),MONTH($C691),1))))</f>
        <v>0</v>
      </c>
      <c r="AE691" s="1" t="str">
        <f>IF($E691="","",$E691&amp;"|"&amp;COUNTIFS($E$7:$E691,$E691))</f>
        <v/>
      </c>
    </row>
    <row r="692" spans="1:31" ht="18" customHeight="1" x14ac:dyDescent="0.3">
      <c r="A692" s="2"/>
      <c r="B692" s="65" t="str">
        <f t="shared" si="82"/>
        <v/>
      </c>
      <c r="C692" s="66"/>
      <c r="D692" s="60"/>
      <c r="E692" s="61"/>
      <c r="F692" s="61"/>
      <c r="G692" s="67"/>
      <c r="H692" s="60"/>
      <c r="I692" s="60"/>
      <c r="J692" s="61"/>
      <c r="K692" s="61"/>
      <c r="L692" s="60"/>
      <c r="M692" s="74" t="str">
        <f t="shared" si="83"/>
        <v/>
      </c>
      <c r="N692" s="74" t="str">
        <f t="shared" si="84"/>
        <v/>
      </c>
      <c r="O692" s="73" t="str">
        <f t="shared" si="85"/>
        <v/>
      </c>
      <c r="P692" s="65" t="str">
        <f t="shared" ca="1" si="86"/>
        <v/>
      </c>
      <c r="Q692" s="2"/>
      <c r="R692" s="2"/>
      <c r="S692" s="1" t="str">
        <f t="shared" si="87"/>
        <v/>
      </c>
      <c r="T692" s="1" t="str">
        <f>IF(OR($C692="",$D692&lt;&gt;"Gelir",$L692=""),"",IFERROR(INDEX(MUSTERILER!$B$7:$B$156,MATCH($S692,MUSTERILER!$T$7:$T$156,0)),""))</f>
        <v/>
      </c>
      <c r="U692" s="1" t="str">
        <f>IF($T692="","",$T692&amp;"|"&amp;COUNTIFS($T$7:$T692,$T692))</f>
        <v/>
      </c>
      <c r="V692" s="1">
        <f t="shared" si="88"/>
        <v>0</v>
      </c>
      <c r="W692" s="1" t="str">
        <f t="shared" si="89"/>
        <v/>
      </c>
      <c r="X692" s="1"/>
      <c r="Y692" s="1"/>
      <c r="Z692" s="1"/>
      <c r="AA692" s="1"/>
      <c r="AB692" s="1"/>
      <c r="AC692" s="1"/>
      <c r="AD692" s="1">
        <f>IF($C692="",0,SUMPRODUCT((AY_SONU!$O$7:$O$42="Evet")*(AY_SONU!$B$7:$B$42=DATE(YEAR($C692),MONTH($C692),1))))</f>
        <v>0</v>
      </c>
      <c r="AE692" s="1" t="str">
        <f>IF($E692="","",$E692&amp;"|"&amp;COUNTIFS($E$7:$E692,$E692))</f>
        <v/>
      </c>
    </row>
    <row r="693" spans="1:31" ht="18" customHeight="1" x14ac:dyDescent="0.3">
      <c r="A693" s="2"/>
      <c r="B693" s="65" t="str">
        <f t="shared" si="82"/>
        <v/>
      </c>
      <c r="C693" s="66"/>
      <c r="D693" s="60"/>
      <c r="E693" s="61"/>
      <c r="F693" s="61"/>
      <c r="G693" s="67"/>
      <c r="H693" s="60"/>
      <c r="I693" s="60"/>
      <c r="J693" s="61"/>
      <c r="K693" s="61"/>
      <c r="L693" s="60"/>
      <c r="M693" s="74" t="str">
        <f t="shared" si="83"/>
        <v/>
      </c>
      <c r="N693" s="74" t="str">
        <f t="shared" si="84"/>
        <v/>
      </c>
      <c r="O693" s="73" t="str">
        <f t="shared" si="85"/>
        <v/>
      </c>
      <c r="P693" s="65" t="str">
        <f t="shared" ca="1" si="86"/>
        <v/>
      </c>
      <c r="Q693" s="2"/>
      <c r="R693" s="2"/>
      <c r="S693" s="1" t="str">
        <f t="shared" si="87"/>
        <v/>
      </c>
      <c r="T693" s="1" t="str">
        <f>IF(OR($C693="",$D693&lt;&gt;"Gelir",$L693=""),"",IFERROR(INDEX(MUSTERILER!$B$7:$B$156,MATCH($S693,MUSTERILER!$T$7:$T$156,0)),""))</f>
        <v/>
      </c>
      <c r="U693" s="1" t="str">
        <f>IF($T693="","",$T693&amp;"|"&amp;COUNTIFS($T$7:$T693,$T693))</f>
        <v/>
      </c>
      <c r="V693" s="1">
        <f t="shared" si="88"/>
        <v>0</v>
      </c>
      <c r="W693" s="1" t="str">
        <f t="shared" si="89"/>
        <v/>
      </c>
      <c r="X693" s="1"/>
      <c r="Y693" s="1"/>
      <c r="Z693" s="1"/>
      <c r="AA693" s="1"/>
      <c r="AB693" s="1"/>
      <c r="AC693" s="1"/>
      <c r="AD693" s="1">
        <f>IF($C693="",0,SUMPRODUCT((AY_SONU!$O$7:$O$42="Evet")*(AY_SONU!$B$7:$B$42=DATE(YEAR($C693),MONTH($C693),1))))</f>
        <v>0</v>
      </c>
      <c r="AE693" s="1" t="str">
        <f>IF($E693="","",$E693&amp;"|"&amp;COUNTIFS($E$7:$E693,$E693))</f>
        <v/>
      </c>
    </row>
    <row r="694" spans="1:31" ht="18" customHeight="1" x14ac:dyDescent="0.3">
      <c r="A694" s="2"/>
      <c r="B694" s="65" t="str">
        <f t="shared" si="82"/>
        <v/>
      </c>
      <c r="C694" s="66"/>
      <c r="D694" s="60"/>
      <c r="E694" s="61"/>
      <c r="F694" s="61"/>
      <c r="G694" s="67"/>
      <c r="H694" s="60"/>
      <c r="I694" s="60"/>
      <c r="J694" s="61"/>
      <c r="K694" s="61"/>
      <c r="L694" s="60"/>
      <c r="M694" s="74" t="str">
        <f t="shared" si="83"/>
        <v/>
      </c>
      <c r="N694" s="74" t="str">
        <f t="shared" si="84"/>
        <v/>
      </c>
      <c r="O694" s="73" t="str">
        <f t="shared" si="85"/>
        <v/>
      </c>
      <c r="P694" s="65" t="str">
        <f t="shared" ca="1" si="86"/>
        <v/>
      </c>
      <c r="Q694" s="2"/>
      <c r="R694" s="2"/>
      <c r="S694" s="1" t="str">
        <f t="shared" si="87"/>
        <v/>
      </c>
      <c r="T694" s="1" t="str">
        <f>IF(OR($C694="",$D694&lt;&gt;"Gelir",$L694=""),"",IFERROR(INDEX(MUSTERILER!$B$7:$B$156,MATCH($S694,MUSTERILER!$T$7:$T$156,0)),""))</f>
        <v/>
      </c>
      <c r="U694" s="1" t="str">
        <f>IF($T694="","",$T694&amp;"|"&amp;COUNTIFS($T$7:$T694,$T694))</f>
        <v/>
      </c>
      <c r="V694" s="1">
        <f t="shared" si="88"/>
        <v>0</v>
      </c>
      <c r="W694" s="1" t="str">
        <f t="shared" si="89"/>
        <v/>
      </c>
      <c r="X694" s="1"/>
      <c r="Y694" s="1"/>
      <c r="Z694" s="1"/>
      <c r="AA694" s="1"/>
      <c r="AB694" s="1"/>
      <c r="AC694" s="1"/>
      <c r="AD694" s="1">
        <f>IF($C694="",0,SUMPRODUCT((AY_SONU!$O$7:$O$42="Evet")*(AY_SONU!$B$7:$B$42=DATE(YEAR($C694),MONTH($C694),1))))</f>
        <v>0</v>
      </c>
      <c r="AE694" s="1" t="str">
        <f>IF($E694="","",$E694&amp;"|"&amp;COUNTIFS($E$7:$E694,$E694))</f>
        <v/>
      </c>
    </row>
    <row r="695" spans="1:31" ht="18" customHeight="1" x14ac:dyDescent="0.3">
      <c r="A695" s="2"/>
      <c r="B695" s="65" t="str">
        <f t="shared" si="82"/>
        <v/>
      </c>
      <c r="C695" s="66"/>
      <c r="D695" s="60"/>
      <c r="E695" s="61"/>
      <c r="F695" s="61"/>
      <c r="G695" s="67"/>
      <c r="H695" s="60"/>
      <c r="I695" s="60"/>
      <c r="J695" s="61"/>
      <c r="K695" s="61"/>
      <c r="L695" s="60"/>
      <c r="M695" s="74" t="str">
        <f t="shared" si="83"/>
        <v/>
      </c>
      <c r="N695" s="74" t="str">
        <f t="shared" si="84"/>
        <v/>
      </c>
      <c r="O695" s="73" t="str">
        <f t="shared" si="85"/>
        <v/>
      </c>
      <c r="P695" s="65" t="str">
        <f t="shared" ca="1" si="86"/>
        <v/>
      </c>
      <c r="Q695" s="2"/>
      <c r="R695" s="2"/>
      <c r="S695" s="1" t="str">
        <f t="shared" si="87"/>
        <v/>
      </c>
      <c r="T695" s="1" t="str">
        <f>IF(OR($C695="",$D695&lt;&gt;"Gelir",$L695=""),"",IFERROR(INDEX(MUSTERILER!$B$7:$B$156,MATCH($S695,MUSTERILER!$T$7:$T$156,0)),""))</f>
        <v/>
      </c>
      <c r="U695" s="1" t="str">
        <f>IF($T695="","",$T695&amp;"|"&amp;COUNTIFS($T$7:$T695,$T695))</f>
        <v/>
      </c>
      <c r="V695" s="1">
        <f t="shared" si="88"/>
        <v>0</v>
      </c>
      <c r="W695" s="1" t="str">
        <f t="shared" si="89"/>
        <v/>
      </c>
      <c r="X695" s="1"/>
      <c r="Y695" s="1"/>
      <c r="Z695" s="1"/>
      <c r="AA695" s="1"/>
      <c r="AB695" s="1"/>
      <c r="AC695" s="1"/>
      <c r="AD695" s="1">
        <f>IF($C695="",0,SUMPRODUCT((AY_SONU!$O$7:$O$42="Evet")*(AY_SONU!$B$7:$B$42=DATE(YEAR($C695),MONTH($C695),1))))</f>
        <v>0</v>
      </c>
      <c r="AE695" s="1" t="str">
        <f>IF($E695="","",$E695&amp;"|"&amp;COUNTIFS($E$7:$E695,$E695))</f>
        <v/>
      </c>
    </row>
    <row r="696" spans="1:31" ht="18" customHeight="1" x14ac:dyDescent="0.3">
      <c r="A696" s="2"/>
      <c r="B696" s="65" t="str">
        <f t="shared" si="82"/>
        <v/>
      </c>
      <c r="C696" s="66"/>
      <c r="D696" s="60"/>
      <c r="E696" s="61"/>
      <c r="F696" s="61"/>
      <c r="G696" s="67"/>
      <c r="H696" s="60"/>
      <c r="I696" s="60"/>
      <c r="J696" s="61"/>
      <c r="K696" s="61"/>
      <c r="L696" s="60"/>
      <c r="M696" s="74" t="str">
        <f t="shared" si="83"/>
        <v/>
      </c>
      <c r="N696" s="74" t="str">
        <f t="shared" si="84"/>
        <v/>
      </c>
      <c r="O696" s="73" t="str">
        <f t="shared" si="85"/>
        <v/>
      </c>
      <c r="P696" s="65" t="str">
        <f t="shared" ca="1" si="86"/>
        <v/>
      </c>
      <c r="Q696" s="2"/>
      <c r="R696" s="2"/>
      <c r="S696" s="1" t="str">
        <f t="shared" si="87"/>
        <v/>
      </c>
      <c r="T696" s="1" t="str">
        <f>IF(OR($C696="",$D696&lt;&gt;"Gelir",$L696=""),"",IFERROR(INDEX(MUSTERILER!$B$7:$B$156,MATCH($S696,MUSTERILER!$T$7:$T$156,0)),""))</f>
        <v/>
      </c>
      <c r="U696" s="1" t="str">
        <f>IF($T696="","",$T696&amp;"|"&amp;COUNTIFS($T$7:$T696,$T696))</f>
        <v/>
      </c>
      <c r="V696" s="1">
        <f t="shared" si="88"/>
        <v>0</v>
      </c>
      <c r="W696" s="1" t="str">
        <f t="shared" si="89"/>
        <v/>
      </c>
      <c r="X696" s="1"/>
      <c r="Y696" s="1"/>
      <c r="Z696" s="1"/>
      <c r="AA696" s="1"/>
      <c r="AB696" s="1"/>
      <c r="AC696" s="1"/>
      <c r="AD696" s="1">
        <f>IF($C696="",0,SUMPRODUCT((AY_SONU!$O$7:$O$42="Evet")*(AY_SONU!$B$7:$B$42=DATE(YEAR($C696),MONTH($C696),1))))</f>
        <v>0</v>
      </c>
      <c r="AE696" s="1" t="str">
        <f>IF($E696="","",$E696&amp;"|"&amp;COUNTIFS($E$7:$E696,$E696))</f>
        <v/>
      </c>
    </row>
    <row r="697" spans="1:31" ht="18" customHeight="1" x14ac:dyDescent="0.3">
      <c r="A697" s="2"/>
      <c r="B697" s="65" t="str">
        <f t="shared" si="82"/>
        <v/>
      </c>
      <c r="C697" s="66"/>
      <c r="D697" s="60"/>
      <c r="E697" s="61"/>
      <c r="F697" s="61"/>
      <c r="G697" s="67"/>
      <c r="H697" s="60"/>
      <c r="I697" s="60"/>
      <c r="J697" s="61"/>
      <c r="K697" s="61"/>
      <c r="L697" s="60"/>
      <c r="M697" s="74" t="str">
        <f t="shared" si="83"/>
        <v/>
      </c>
      <c r="N697" s="74" t="str">
        <f t="shared" si="84"/>
        <v/>
      </c>
      <c r="O697" s="73" t="str">
        <f t="shared" si="85"/>
        <v/>
      </c>
      <c r="P697" s="65" t="str">
        <f t="shared" ca="1" si="86"/>
        <v/>
      </c>
      <c r="Q697" s="2"/>
      <c r="R697" s="2"/>
      <c r="S697" s="1" t="str">
        <f t="shared" si="87"/>
        <v/>
      </c>
      <c r="T697" s="1" t="str">
        <f>IF(OR($C697="",$D697&lt;&gt;"Gelir",$L697=""),"",IFERROR(INDEX(MUSTERILER!$B$7:$B$156,MATCH($S697,MUSTERILER!$T$7:$T$156,0)),""))</f>
        <v/>
      </c>
      <c r="U697" s="1" t="str">
        <f>IF($T697="","",$T697&amp;"|"&amp;COUNTIFS($T$7:$T697,$T697))</f>
        <v/>
      </c>
      <c r="V697" s="1">
        <f t="shared" si="88"/>
        <v>0</v>
      </c>
      <c r="W697" s="1" t="str">
        <f t="shared" si="89"/>
        <v/>
      </c>
      <c r="X697" s="1"/>
      <c r="Y697" s="1"/>
      <c r="Z697" s="1"/>
      <c r="AA697" s="1"/>
      <c r="AB697" s="1"/>
      <c r="AC697" s="1"/>
      <c r="AD697" s="1">
        <f>IF($C697="",0,SUMPRODUCT((AY_SONU!$O$7:$O$42="Evet")*(AY_SONU!$B$7:$B$42=DATE(YEAR($C697),MONTH($C697),1))))</f>
        <v>0</v>
      </c>
      <c r="AE697" s="1" t="str">
        <f>IF($E697="","",$E697&amp;"|"&amp;COUNTIFS($E$7:$E697,$E697))</f>
        <v/>
      </c>
    </row>
    <row r="698" spans="1:31" ht="18" customHeight="1" x14ac:dyDescent="0.3">
      <c r="A698" s="2"/>
      <c r="B698" s="65" t="str">
        <f t="shared" si="82"/>
        <v/>
      </c>
      <c r="C698" s="66"/>
      <c r="D698" s="60"/>
      <c r="E698" s="61"/>
      <c r="F698" s="61"/>
      <c r="G698" s="67"/>
      <c r="H698" s="60"/>
      <c r="I698" s="60"/>
      <c r="J698" s="61"/>
      <c r="K698" s="61"/>
      <c r="L698" s="60"/>
      <c r="M698" s="74" t="str">
        <f t="shared" si="83"/>
        <v/>
      </c>
      <c r="N698" s="74" t="str">
        <f t="shared" si="84"/>
        <v/>
      </c>
      <c r="O698" s="73" t="str">
        <f t="shared" si="85"/>
        <v/>
      </c>
      <c r="P698" s="65" t="str">
        <f t="shared" ca="1" si="86"/>
        <v/>
      </c>
      <c r="Q698" s="2"/>
      <c r="R698" s="2"/>
      <c r="S698" s="1" t="str">
        <f t="shared" si="87"/>
        <v/>
      </c>
      <c r="T698" s="1" t="str">
        <f>IF(OR($C698="",$D698&lt;&gt;"Gelir",$L698=""),"",IFERROR(INDEX(MUSTERILER!$B$7:$B$156,MATCH($S698,MUSTERILER!$T$7:$T$156,0)),""))</f>
        <v/>
      </c>
      <c r="U698" s="1" t="str">
        <f>IF($T698="","",$T698&amp;"|"&amp;COUNTIFS($T$7:$T698,$T698))</f>
        <v/>
      </c>
      <c r="V698" s="1">
        <f t="shared" si="88"/>
        <v>0</v>
      </c>
      <c r="W698" s="1" t="str">
        <f t="shared" si="89"/>
        <v/>
      </c>
      <c r="X698" s="1"/>
      <c r="Y698" s="1"/>
      <c r="Z698" s="1"/>
      <c r="AA698" s="1"/>
      <c r="AB698" s="1"/>
      <c r="AC698" s="1"/>
      <c r="AD698" s="1">
        <f>IF($C698="",0,SUMPRODUCT((AY_SONU!$O$7:$O$42="Evet")*(AY_SONU!$B$7:$B$42=DATE(YEAR($C698),MONTH($C698),1))))</f>
        <v>0</v>
      </c>
      <c r="AE698" s="1" t="str">
        <f>IF($E698="","",$E698&amp;"|"&amp;COUNTIFS($E$7:$E698,$E698))</f>
        <v/>
      </c>
    </row>
    <row r="699" spans="1:31" ht="18" customHeight="1" x14ac:dyDescent="0.3">
      <c r="A699" s="2"/>
      <c r="B699" s="65" t="str">
        <f t="shared" si="82"/>
        <v/>
      </c>
      <c r="C699" s="66"/>
      <c r="D699" s="60"/>
      <c r="E699" s="61"/>
      <c r="F699" s="61"/>
      <c r="G699" s="67"/>
      <c r="H699" s="60"/>
      <c r="I699" s="60"/>
      <c r="J699" s="61"/>
      <c r="K699" s="61"/>
      <c r="L699" s="60"/>
      <c r="M699" s="74" t="str">
        <f t="shared" si="83"/>
        <v/>
      </c>
      <c r="N699" s="74" t="str">
        <f t="shared" si="84"/>
        <v/>
      </c>
      <c r="O699" s="73" t="str">
        <f t="shared" si="85"/>
        <v/>
      </c>
      <c r="P699" s="65" t="str">
        <f t="shared" ca="1" si="86"/>
        <v/>
      </c>
      <c r="Q699" s="2"/>
      <c r="R699" s="2"/>
      <c r="S699" s="1" t="str">
        <f t="shared" si="87"/>
        <v/>
      </c>
      <c r="T699" s="1" t="str">
        <f>IF(OR($C699="",$D699&lt;&gt;"Gelir",$L699=""),"",IFERROR(INDEX(MUSTERILER!$B$7:$B$156,MATCH($S699,MUSTERILER!$T$7:$T$156,0)),""))</f>
        <v/>
      </c>
      <c r="U699" s="1" t="str">
        <f>IF($T699="","",$T699&amp;"|"&amp;COUNTIFS($T$7:$T699,$T699))</f>
        <v/>
      </c>
      <c r="V699" s="1">
        <f t="shared" si="88"/>
        <v>0</v>
      </c>
      <c r="W699" s="1" t="str">
        <f t="shared" si="89"/>
        <v/>
      </c>
      <c r="X699" s="1"/>
      <c r="Y699" s="1"/>
      <c r="Z699" s="1"/>
      <c r="AA699" s="1"/>
      <c r="AB699" s="1"/>
      <c r="AC699" s="1"/>
      <c r="AD699" s="1">
        <f>IF($C699="",0,SUMPRODUCT((AY_SONU!$O$7:$O$42="Evet")*(AY_SONU!$B$7:$B$42=DATE(YEAR($C699),MONTH($C699),1))))</f>
        <v>0</v>
      </c>
      <c r="AE699" s="1" t="str">
        <f>IF($E699="","",$E699&amp;"|"&amp;COUNTIFS($E$7:$E699,$E699))</f>
        <v/>
      </c>
    </row>
    <row r="700" spans="1:31" ht="18" customHeight="1" x14ac:dyDescent="0.3">
      <c r="A700" s="2"/>
      <c r="B700" s="65" t="str">
        <f t="shared" si="82"/>
        <v/>
      </c>
      <c r="C700" s="66"/>
      <c r="D700" s="60"/>
      <c r="E700" s="61"/>
      <c r="F700" s="61"/>
      <c r="G700" s="67"/>
      <c r="H700" s="60"/>
      <c r="I700" s="60"/>
      <c r="J700" s="61"/>
      <c r="K700" s="61"/>
      <c r="L700" s="60"/>
      <c r="M700" s="74" t="str">
        <f t="shared" si="83"/>
        <v/>
      </c>
      <c r="N700" s="74" t="str">
        <f t="shared" si="84"/>
        <v/>
      </c>
      <c r="O700" s="73" t="str">
        <f t="shared" si="85"/>
        <v/>
      </c>
      <c r="P700" s="65" t="str">
        <f t="shared" ca="1" si="86"/>
        <v/>
      </c>
      <c r="Q700" s="2"/>
      <c r="R700" s="2"/>
      <c r="S700" s="1" t="str">
        <f t="shared" si="87"/>
        <v/>
      </c>
      <c r="T700" s="1" t="str">
        <f>IF(OR($C700="",$D700&lt;&gt;"Gelir",$L700=""),"",IFERROR(INDEX(MUSTERILER!$B$7:$B$156,MATCH($S700,MUSTERILER!$T$7:$T$156,0)),""))</f>
        <v/>
      </c>
      <c r="U700" s="1" t="str">
        <f>IF($T700="","",$T700&amp;"|"&amp;COUNTIFS($T$7:$T700,$T700))</f>
        <v/>
      </c>
      <c r="V700" s="1">
        <f t="shared" si="88"/>
        <v>0</v>
      </c>
      <c r="W700" s="1" t="str">
        <f t="shared" si="89"/>
        <v/>
      </c>
      <c r="X700" s="1"/>
      <c r="Y700" s="1"/>
      <c r="Z700" s="1"/>
      <c r="AA700" s="1"/>
      <c r="AB700" s="1"/>
      <c r="AC700" s="1"/>
      <c r="AD700" s="1">
        <f>IF($C700="",0,SUMPRODUCT((AY_SONU!$O$7:$O$42="Evet")*(AY_SONU!$B$7:$B$42=DATE(YEAR($C700),MONTH($C700),1))))</f>
        <v>0</v>
      </c>
      <c r="AE700" s="1" t="str">
        <f>IF($E700="","",$E700&amp;"|"&amp;COUNTIFS($E$7:$E700,$E700))</f>
        <v/>
      </c>
    </row>
    <row r="701" spans="1:31" ht="18" customHeight="1" x14ac:dyDescent="0.3">
      <c r="A701" s="2"/>
      <c r="B701" s="65" t="str">
        <f t="shared" si="82"/>
        <v/>
      </c>
      <c r="C701" s="66"/>
      <c r="D701" s="60"/>
      <c r="E701" s="61"/>
      <c r="F701" s="61"/>
      <c r="G701" s="67"/>
      <c r="H701" s="60"/>
      <c r="I701" s="60"/>
      <c r="J701" s="61"/>
      <c r="K701" s="61"/>
      <c r="L701" s="60"/>
      <c r="M701" s="74" t="str">
        <f t="shared" si="83"/>
        <v/>
      </c>
      <c r="N701" s="74" t="str">
        <f t="shared" si="84"/>
        <v/>
      </c>
      <c r="O701" s="73" t="str">
        <f t="shared" si="85"/>
        <v/>
      </c>
      <c r="P701" s="65" t="str">
        <f t="shared" ca="1" si="86"/>
        <v/>
      </c>
      <c r="Q701" s="2"/>
      <c r="R701" s="2"/>
      <c r="S701" s="1" t="str">
        <f t="shared" si="87"/>
        <v/>
      </c>
      <c r="T701" s="1" t="str">
        <f>IF(OR($C701="",$D701&lt;&gt;"Gelir",$L701=""),"",IFERROR(INDEX(MUSTERILER!$B$7:$B$156,MATCH($S701,MUSTERILER!$T$7:$T$156,0)),""))</f>
        <v/>
      </c>
      <c r="U701" s="1" t="str">
        <f>IF($T701="","",$T701&amp;"|"&amp;COUNTIFS($T$7:$T701,$T701))</f>
        <v/>
      </c>
      <c r="V701" s="1">
        <f t="shared" si="88"/>
        <v>0</v>
      </c>
      <c r="W701" s="1" t="str">
        <f t="shared" si="89"/>
        <v/>
      </c>
      <c r="X701" s="1"/>
      <c r="Y701" s="1"/>
      <c r="Z701" s="1"/>
      <c r="AA701" s="1"/>
      <c r="AB701" s="1"/>
      <c r="AC701" s="1"/>
      <c r="AD701" s="1">
        <f>IF($C701="",0,SUMPRODUCT((AY_SONU!$O$7:$O$42="Evet")*(AY_SONU!$B$7:$B$42=DATE(YEAR($C701),MONTH($C701),1))))</f>
        <v>0</v>
      </c>
      <c r="AE701" s="1" t="str">
        <f>IF($E701="","",$E701&amp;"|"&amp;COUNTIFS($E$7:$E701,$E701))</f>
        <v/>
      </c>
    </row>
    <row r="702" spans="1:31" ht="18" customHeight="1" x14ac:dyDescent="0.3">
      <c r="A702" s="2"/>
      <c r="B702" s="65" t="str">
        <f t="shared" si="82"/>
        <v/>
      </c>
      <c r="C702" s="66"/>
      <c r="D702" s="60"/>
      <c r="E702" s="61"/>
      <c r="F702" s="61"/>
      <c r="G702" s="67"/>
      <c r="H702" s="60"/>
      <c r="I702" s="60"/>
      <c r="J702" s="61"/>
      <c r="K702" s="61"/>
      <c r="L702" s="60"/>
      <c r="M702" s="74" t="str">
        <f t="shared" si="83"/>
        <v/>
      </c>
      <c r="N702" s="74" t="str">
        <f t="shared" si="84"/>
        <v/>
      </c>
      <c r="O702" s="73" t="str">
        <f t="shared" si="85"/>
        <v/>
      </c>
      <c r="P702" s="65" t="str">
        <f t="shared" ca="1" si="86"/>
        <v/>
      </c>
      <c r="Q702" s="2"/>
      <c r="R702" s="2"/>
      <c r="S702" s="1" t="str">
        <f t="shared" si="87"/>
        <v/>
      </c>
      <c r="T702" s="1" t="str">
        <f>IF(OR($C702="",$D702&lt;&gt;"Gelir",$L702=""),"",IFERROR(INDEX(MUSTERILER!$B$7:$B$156,MATCH($S702,MUSTERILER!$T$7:$T$156,0)),""))</f>
        <v/>
      </c>
      <c r="U702" s="1" t="str">
        <f>IF($T702="","",$T702&amp;"|"&amp;COUNTIFS($T$7:$T702,$T702))</f>
        <v/>
      </c>
      <c r="V702" s="1">
        <f t="shared" si="88"/>
        <v>0</v>
      </c>
      <c r="W702" s="1" t="str">
        <f t="shared" si="89"/>
        <v/>
      </c>
      <c r="X702" s="1"/>
      <c r="Y702" s="1"/>
      <c r="Z702" s="1"/>
      <c r="AA702" s="1"/>
      <c r="AB702" s="1"/>
      <c r="AC702" s="1"/>
      <c r="AD702" s="1">
        <f>IF($C702="",0,SUMPRODUCT((AY_SONU!$O$7:$O$42="Evet")*(AY_SONU!$B$7:$B$42=DATE(YEAR($C702),MONTH($C702),1))))</f>
        <v>0</v>
      </c>
      <c r="AE702" s="1" t="str">
        <f>IF($E702="","",$E702&amp;"|"&amp;COUNTIFS($E$7:$E702,$E702))</f>
        <v/>
      </c>
    </row>
    <row r="703" spans="1:31" ht="18" customHeight="1" x14ac:dyDescent="0.3">
      <c r="A703" s="2"/>
      <c r="B703" s="65" t="str">
        <f t="shared" si="82"/>
        <v/>
      </c>
      <c r="C703" s="66"/>
      <c r="D703" s="60"/>
      <c r="E703" s="61"/>
      <c r="F703" s="61"/>
      <c r="G703" s="67"/>
      <c r="H703" s="60"/>
      <c r="I703" s="60"/>
      <c r="J703" s="61"/>
      <c r="K703" s="61"/>
      <c r="L703" s="60"/>
      <c r="M703" s="74" t="str">
        <f t="shared" si="83"/>
        <v/>
      </c>
      <c r="N703" s="74" t="str">
        <f t="shared" si="84"/>
        <v/>
      </c>
      <c r="O703" s="73" t="str">
        <f t="shared" si="85"/>
        <v/>
      </c>
      <c r="P703" s="65" t="str">
        <f t="shared" ca="1" si="86"/>
        <v/>
      </c>
      <c r="Q703" s="2"/>
      <c r="R703" s="2"/>
      <c r="S703" s="1" t="str">
        <f t="shared" si="87"/>
        <v/>
      </c>
      <c r="T703" s="1" t="str">
        <f>IF(OR($C703="",$D703&lt;&gt;"Gelir",$L703=""),"",IFERROR(INDEX(MUSTERILER!$B$7:$B$156,MATCH($S703,MUSTERILER!$T$7:$T$156,0)),""))</f>
        <v/>
      </c>
      <c r="U703" s="1" t="str">
        <f>IF($T703="","",$T703&amp;"|"&amp;COUNTIFS($T$7:$T703,$T703))</f>
        <v/>
      </c>
      <c r="V703" s="1">
        <f t="shared" si="88"/>
        <v>0</v>
      </c>
      <c r="W703" s="1" t="str">
        <f t="shared" si="89"/>
        <v/>
      </c>
      <c r="X703" s="1"/>
      <c r="Y703" s="1"/>
      <c r="Z703" s="1"/>
      <c r="AA703" s="1"/>
      <c r="AB703" s="1"/>
      <c r="AC703" s="1"/>
      <c r="AD703" s="1">
        <f>IF($C703="",0,SUMPRODUCT((AY_SONU!$O$7:$O$42="Evet")*(AY_SONU!$B$7:$B$42=DATE(YEAR($C703),MONTH($C703),1))))</f>
        <v>0</v>
      </c>
      <c r="AE703" s="1" t="str">
        <f>IF($E703="","",$E703&amp;"|"&amp;COUNTIFS($E$7:$E703,$E703))</f>
        <v/>
      </c>
    </row>
    <row r="704" spans="1:31" ht="18" customHeight="1" x14ac:dyDescent="0.3">
      <c r="A704" s="2"/>
      <c r="B704" s="65" t="str">
        <f t="shared" si="82"/>
        <v/>
      </c>
      <c r="C704" s="66"/>
      <c r="D704" s="60"/>
      <c r="E704" s="61"/>
      <c r="F704" s="61"/>
      <c r="G704" s="67"/>
      <c r="H704" s="60"/>
      <c r="I704" s="60"/>
      <c r="J704" s="61"/>
      <c r="K704" s="61"/>
      <c r="L704" s="60"/>
      <c r="M704" s="74" t="str">
        <f t="shared" si="83"/>
        <v/>
      </c>
      <c r="N704" s="74" t="str">
        <f t="shared" si="84"/>
        <v/>
      </c>
      <c r="O704" s="73" t="str">
        <f t="shared" si="85"/>
        <v/>
      </c>
      <c r="P704" s="65" t="str">
        <f t="shared" ca="1" si="86"/>
        <v/>
      </c>
      <c r="Q704" s="2"/>
      <c r="R704" s="2"/>
      <c r="S704" s="1" t="str">
        <f t="shared" si="87"/>
        <v/>
      </c>
      <c r="T704" s="1" t="str">
        <f>IF(OR($C704="",$D704&lt;&gt;"Gelir",$L704=""),"",IFERROR(INDEX(MUSTERILER!$B$7:$B$156,MATCH($S704,MUSTERILER!$T$7:$T$156,0)),""))</f>
        <v/>
      </c>
      <c r="U704" s="1" t="str">
        <f>IF($T704="","",$T704&amp;"|"&amp;COUNTIFS($T$7:$T704,$T704))</f>
        <v/>
      </c>
      <c r="V704" s="1">
        <f t="shared" si="88"/>
        <v>0</v>
      </c>
      <c r="W704" s="1" t="str">
        <f t="shared" si="89"/>
        <v/>
      </c>
      <c r="X704" s="1"/>
      <c r="Y704" s="1"/>
      <c r="Z704" s="1"/>
      <c r="AA704" s="1"/>
      <c r="AB704" s="1"/>
      <c r="AC704" s="1"/>
      <c r="AD704" s="1">
        <f>IF($C704="",0,SUMPRODUCT((AY_SONU!$O$7:$O$42="Evet")*(AY_SONU!$B$7:$B$42=DATE(YEAR($C704),MONTH($C704),1))))</f>
        <v>0</v>
      </c>
      <c r="AE704" s="1" t="str">
        <f>IF($E704="","",$E704&amp;"|"&amp;COUNTIFS($E$7:$E704,$E704))</f>
        <v/>
      </c>
    </row>
    <row r="705" spans="1:31" ht="18" customHeight="1" x14ac:dyDescent="0.3">
      <c r="A705" s="2"/>
      <c r="B705" s="65" t="str">
        <f t="shared" si="82"/>
        <v/>
      </c>
      <c r="C705" s="66"/>
      <c r="D705" s="60"/>
      <c r="E705" s="61"/>
      <c r="F705" s="61"/>
      <c r="G705" s="67"/>
      <c r="H705" s="60"/>
      <c r="I705" s="60"/>
      <c r="J705" s="61"/>
      <c r="K705" s="61"/>
      <c r="L705" s="60"/>
      <c r="M705" s="74" t="str">
        <f t="shared" si="83"/>
        <v/>
      </c>
      <c r="N705" s="74" t="str">
        <f t="shared" si="84"/>
        <v/>
      </c>
      <c r="O705" s="73" t="str">
        <f t="shared" si="85"/>
        <v/>
      </c>
      <c r="P705" s="65" t="str">
        <f t="shared" ca="1" si="86"/>
        <v/>
      </c>
      <c r="Q705" s="2"/>
      <c r="R705" s="2"/>
      <c r="S705" s="1" t="str">
        <f t="shared" si="87"/>
        <v/>
      </c>
      <c r="T705" s="1" t="str">
        <f>IF(OR($C705="",$D705&lt;&gt;"Gelir",$L705=""),"",IFERROR(INDEX(MUSTERILER!$B$7:$B$156,MATCH($S705,MUSTERILER!$T$7:$T$156,0)),""))</f>
        <v/>
      </c>
      <c r="U705" s="1" t="str">
        <f>IF($T705="","",$T705&amp;"|"&amp;COUNTIFS($T$7:$T705,$T705))</f>
        <v/>
      </c>
      <c r="V705" s="1">
        <f t="shared" si="88"/>
        <v>0</v>
      </c>
      <c r="W705" s="1" t="str">
        <f t="shared" si="89"/>
        <v/>
      </c>
      <c r="X705" s="1"/>
      <c r="Y705" s="1"/>
      <c r="Z705" s="1"/>
      <c r="AA705" s="1"/>
      <c r="AB705" s="1"/>
      <c r="AC705" s="1"/>
      <c r="AD705" s="1">
        <f>IF($C705="",0,SUMPRODUCT((AY_SONU!$O$7:$O$42="Evet")*(AY_SONU!$B$7:$B$42=DATE(YEAR($C705),MONTH($C705),1))))</f>
        <v>0</v>
      </c>
      <c r="AE705" s="1" t="str">
        <f>IF($E705="","",$E705&amp;"|"&amp;COUNTIFS($E$7:$E705,$E705))</f>
        <v/>
      </c>
    </row>
    <row r="706" spans="1:31" ht="18" customHeight="1" x14ac:dyDescent="0.3">
      <c r="A706" s="2"/>
      <c r="B706" s="65" t="str">
        <f t="shared" si="82"/>
        <v/>
      </c>
      <c r="C706" s="66"/>
      <c r="D706" s="60"/>
      <c r="E706" s="61"/>
      <c r="F706" s="61"/>
      <c r="G706" s="67"/>
      <c r="H706" s="60"/>
      <c r="I706" s="60"/>
      <c r="J706" s="61"/>
      <c r="K706" s="61"/>
      <c r="L706" s="60"/>
      <c r="M706" s="74" t="str">
        <f t="shared" si="83"/>
        <v/>
      </c>
      <c r="N706" s="74" t="str">
        <f t="shared" si="84"/>
        <v/>
      </c>
      <c r="O706" s="73" t="str">
        <f t="shared" si="85"/>
        <v/>
      </c>
      <c r="P706" s="65" t="str">
        <f t="shared" ca="1" si="86"/>
        <v/>
      </c>
      <c r="Q706" s="2"/>
      <c r="R706" s="2"/>
      <c r="S706" s="1" t="str">
        <f t="shared" si="87"/>
        <v/>
      </c>
      <c r="T706" s="1" t="str">
        <f>IF(OR($C706="",$D706&lt;&gt;"Gelir",$L706=""),"",IFERROR(INDEX(MUSTERILER!$B$7:$B$156,MATCH($S706,MUSTERILER!$T$7:$T$156,0)),""))</f>
        <v/>
      </c>
      <c r="U706" s="1" t="str">
        <f>IF($T706="","",$T706&amp;"|"&amp;COUNTIFS($T$7:$T706,$T706))</f>
        <v/>
      </c>
      <c r="V706" s="1">
        <f t="shared" si="88"/>
        <v>0</v>
      </c>
      <c r="W706" s="1" t="str">
        <f t="shared" si="89"/>
        <v/>
      </c>
      <c r="X706" s="1"/>
      <c r="Y706" s="1"/>
      <c r="Z706" s="1"/>
      <c r="AA706" s="1"/>
      <c r="AB706" s="1"/>
      <c r="AC706" s="1"/>
      <c r="AD706" s="1">
        <f>IF($C706="",0,SUMPRODUCT((AY_SONU!$O$7:$O$42="Evet")*(AY_SONU!$B$7:$B$42=DATE(YEAR($C706),MONTH($C706),1))))</f>
        <v>0</v>
      </c>
      <c r="AE706" s="1" t="str">
        <f>IF($E706="","",$E706&amp;"|"&amp;COUNTIFS($E$7:$E706,$E706))</f>
        <v/>
      </c>
    </row>
    <row r="707" spans="1:31" ht="18" customHeight="1" x14ac:dyDescent="0.3">
      <c r="A707" s="2"/>
      <c r="B707" s="65" t="str">
        <f t="shared" si="82"/>
        <v/>
      </c>
      <c r="C707" s="66"/>
      <c r="D707" s="60"/>
      <c r="E707" s="61"/>
      <c r="F707" s="61"/>
      <c r="G707" s="67"/>
      <c r="H707" s="60"/>
      <c r="I707" s="60"/>
      <c r="J707" s="61"/>
      <c r="K707" s="61"/>
      <c r="L707" s="60"/>
      <c r="M707" s="74" t="str">
        <f t="shared" si="83"/>
        <v/>
      </c>
      <c r="N707" s="74" t="str">
        <f t="shared" si="84"/>
        <v/>
      </c>
      <c r="O707" s="73" t="str">
        <f t="shared" si="85"/>
        <v/>
      </c>
      <c r="P707" s="65" t="str">
        <f t="shared" ca="1" si="86"/>
        <v/>
      </c>
      <c r="Q707" s="2"/>
      <c r="R707" s="2"/>
      <c r="S707" s="1" t="str">
        <f t="shared" si="87"/>
        <v/>
      </c>
      <c r="T707" s="1" t="str">
        <f>IF(OR($C707="",$D707&lt;&gt;"Gelir",$L707=""),"",IFERROR(INDEX(MUSTERILER!$B$7:$B$156,MATCH($S707,MUSTERILER!$T$7:$T$156,0)),""))</f>
        <v/>
      </c>
      <c r="U707" s="1" t="str">
        <f>IF($T707="","",$T707&amp;"|"&amp;COUNTIFS($T$7:$T707,$T707))</f>
        <v/>
      </c>
      <c r="V707" s="1">
        <f t="shared" si="88"/>
        <v>0</v>
      </c>
      <c r="W707" s="1" t="str">
        <f t="shared" si="89"/>
        <v/>
      </c>
      <c r="X707" s="1"/>
      <c r="Y707" s="1"/>
      <c r="Z707" s="1"/>
      <c r="AA707" s="1"/>
      <c r="AB707" s="1"/>
      <c r="AC707" s="1"/>
      <c r="AD707" s="1">
        <f>IF($C707="",0,SUMPRODUCT((AY_SONU!$O$7:$O$42="Evet")*(AY_SONU!$B$7:$B$42=DATE(YEAR($C707),MONTH($C707),1))))</f>
        <v>0</v>
      </c>
      <c r="AE707" s="1" t="str">
        <f>IF($E707="","",$E707&amp;"|"&amp;COUNTIFS($E$7:$E707,$E707))</f>
        <v/>
      </c>
    </row>
    <row r="708" spans="1:31" ht="18" customHeight="1" x14ac:dyDescent="0.3">
      <c r="A708" s="2"/>
      <c r="B708" s="65" t="str">
        <f t="shared" si="82"/>
        <v/>
      </c>
      <c r="C708" s="66"/>
      <c r="D708" s="60"/>
      <c r="E708" s="61"/>
      <c r="F708" s="61"/>
      <c r="G708" s="67"/>
      <c r="H708" s="60"/>
      <c r="I708" s="60"/>
      <c r="J708" s="61"/>
      <c r="K708" s="61"/>
      <c r="L708" s="60"/>
      <c r="M708" s="74" t="str">
        <f t="shared" si="83"/>
        <v/>
      </c>
      <c r="N708" s="74" t="str">
        <f t="shared" si="84"/>
        <v/>
      </c>
      <c r="O708" s="73" t="str">
        <f t="shared" si="85"/>
        <v/>
      </c>
      <c r="P708" s="65" t="str">
        <f t="shared" ca="1" si="86"/>
        <v/>
      </c>
      <c r="Q708" s="2"/>
      <c r="R708" s="2"/>
      <c r="S708" s="1" t="str">
        <f t="shared" si="87"/>
        <v/>
      </c>
      <c r="T708" s="1" t="str">
        <f>IF(OR($C708="",$D708&lt;&gt;"Gelir",$L708=""),"",IFERROR(INDEX(MUSTERILER!$B$7:$B$156,MATCH($S708,MUSTERILER!$T$7:$T$156,0)),""))</f>
        <v/>
      </c>
      <c r="U708" s="1" t="str">
        <f>IF($T708="","",$T708&amp;"|"&amp;COUNTIFS($T$7:$T708,$T708))</f>
        <v/>
      </c>
      <c r="V708" s="1">
        <f t="shared" si="88"/>
        <v>0</v>
      </c>
      <c r="W708" s="1" t="str">
        <f t="shared" si="89"/>
        <v/>
      </c>
      <c r="X708" s="1"/>
      <c r="Y708" s="1"/>
      <c r="Z708" s="1"/>
      <c r="AA708" s="1"/>
      <c r="AB708" s="1"/>
      <c r="AC708" s="1"/>
      <c r="AD708" s="1">
        <f>IF($C708="",0,SUMPRODUCT((AY_SONU!$O$7:$O$42="Evet")*(AY_SONU!$B$7:$B$42=DATE(YEAR($C708),MONTH($C708),1))))</f>
        <v>0</v>
      </c>
      <c r="AE708" s="1" t="str">
        <f>IF($E708="","",$E708&amp;"|"&amp;COUNTIFS($E$7:$E708,$E708))</f>
        <v/>
      </c>
    </row>
    <row r="709" spans="1:31" ht="18" customHeight="1" x14ac:dyDescent="0.3">
      <c r="A709" s="2"/>
      <c r="B709" s="65" t="str">
        <f t="shared" si="82"/>
        <v/>
      </c>
      <c r="C709" s="66"/>
      <c r="D709" s="60"/>
      <c r="E709" s="61"/>
      <c r="F709" s="61"/>
      <c r="G709" s="67"/>
      <c r="H709" s="60"/>
      <c r="I709" s="60"/>
      <c r="J709" s="61"/>
      <c r="K709" s="61"/>
      <c r="L709" s="60"/>
      <c r="M709" s="74" t="str">
        <f t="shared" si="83"/>
        <v/>
      </c>
      <c r="N709" s="74" t="str">
        <f t="shared" si="84"/>
        <v/>
      </c>
      <c r="O709" s="73" t="str">
        <f t="shared" si="85"/>
        <v/>
      </c>
      <c r="P709" s="65" t="str">
        <f t="shared" ca="1" si="86"/>
        <v/>
      </c>
      <c r="Q709" s="2"/>
      <c r="R709" s="2"/>
      <c r="S709" s="1" t="str">
        <f t="shared" si="87"/>
        <v/>
      </c>
      <c r="T709" s="1" t="str">
        <f>IF(OR($C709="",$D709&lt;&gt;"Gelir",$L709=""),"",IFERROR(INDEX(MUSTERILER!$B$7:$B$156,MATCH($S709,MUSTERILER!$T$7:$T$156,0)),""))</f>
        <v/>
      </c>
      <c r="U709" s="1" t="str">
        <f>IF($T709="","",$T709&amp;"|"&amp;COUNTIFS($T$7:$T709,$T709))</f>
        <v/>
      </c>
      <c r="V709" s="1">
        <f t="shared" si="88"/>
        <v>0</v>
      </c>
      <c r="W709" s="1" t="str">
        <f t="shared" si="89"/>
        <v/>
      </c>
      <c r="X709" s="1"/>
      <c r="Y709" s="1"/>
      <c r="Z709" s="1"/>
      <c r="AA709" s="1"/>
      <c r="AB709" s="1"/>
      <c r="AC709" s="1"/>
      <c r="AD709" s="1">
        <f>IF($C709="",0,SUMPRODUCT((AY_SONU!$O$7:$O$42="Evet")*(AY_SONU!$B$7:$B$42=DATE(YEAR($C709),MONTH($C709),1))))</f>
        <v>0</v>
      </c>
      <c r="AE709" s="1" t="str">
        <f>IF($E709="","",$E709&amp;"|"&amp;COUNTIFS($E$7:$E709,$E709))</f>
        <v/>
      </c>
    </row>
    <row r="710" spans="1:31" ht="18" customHeight="1" x14ac:dyDescent="0.3">
      <c r="A710" s="2"/>
      <c r="B710" s="65" t="str">
        <f t="shared" si="82"/>
        <v/>
      </c>
      <c r="C710" s="66"/>
      <c r="D710" s="60"/>
      <c r="E710" s="61"/>
      <c r="F710" s="61"/>
      <c r="G710" s="67"/>
      <c r="H710" s="60"/>
      <c r="I710" s="60"/>
      <c r="J710" s="61"/>
      <c r="K710" s="61"/>
      <c r="L710" s="60"/>
      <c r="M710" s="74" t="str">
        <f t="shared" si="83"/>
        <v/>
      </c>
      <c r="N710" s="74" t="str">
        <f t="shared" si="84"/>
        <v/>
      </c>
      <c r="O710" s="73" t="str">
        <f t="shared" si="85"/>
        <v/>
      </c>
      <c r="P710" s="65" t="str">
        <f t="shared" ca="1" si="86"/>
        <v/>
      </c>
      <c r="Q710" s="2"/>
      <c r="R710" s="2"/>
      <c r="S710" s="1" t="str">
        <f t="shared" si="87"/>
        <v/>
      </c>
      <c r="T710" s="1" t="str">
        <f>IF(OR($C710="",$D710&lt;&gt;"Gelir",$L710=""),"",IFERROR(INDEX(MUSTERILER!$B$7:$B$156,MATCH($S710,MUSTERILER!$T$7:$T$156,0)),""))</f>
        <v/>
      </c>
      <c r="U710" s="1" t="str">
        <f>IF($T710="","",$T710&amp;"|"&amp;COUNTIFS($T$7:$T710,$T710))</f>
        <v/>
      </c>
      <c r="V710" s="1">
        <f t="shared" si="88"/>
        <v>0</v>
      </c>
      <c r="W710" s="1" t="str">
        <f t="shared" si="89"/>
        <v/>
      </c>
      <c r="X710" s="1"/>
      <c r="Y710" s="1"/>
      <c r="Z710" s="1"/>
      <c r="AA710" s="1"/>
      <c r="AB710" s="1"/>
      <c r="AC710" s="1"/>
      <c r="AD710" s="1">
        <f>IF($C710="",0,SUMPRODUCT((AY_SONU!$O$7:$O$42="Evet")*(AY_SONU!$B$7:$B$42=DATE(YEAR($C710),MONTH($C710),1))))</f>
        <v>0</v>
      </c>
      <c r="AE710" s="1" t="str">
        <f>IF($E710="","",$E710&amp;"|"&amp;COUNTIFS($E$7:$E710,$E710))</f>
        <v/>
      </c>
    </row>
    <row r="711" spans="1:31" ht="18" customHeight="1" x14ac:dyDescent="0.3">
      <c r="A711" s="2"/>
      <c r="B711" s="65" t="str">
        <f t="shared" ref="B711:B774" si="90">IF($C711="","","GG"&amp;TEXT(ROW()-6,"00000"))</f>
        <v/>
      </c>
      <c r="C711" s="66"/>
      <c r="D711" s="60"/>
      <c r="E711" s="61"/>
      <c r="F711" s="61"/>
      <c r="G711" s="67"/>
      <c r="H711" s="60"/>
      <c r="I711" s="60"/>
      <c r="J711" s="61"/>
      <c r="K711" s="61"/>
      <c r="L711" s="60"/>
      <c r="M711" s="74" t="str">
        <f t="shared" ref="M711:M774" si="91">IF($C711="","",IF($D711="Gider",$E711,IF($L711&lt;&gt;"",$L711,$H711)))</f>
        <v/>
      </c>
      <c r="N711" s="74" t="str">
        <f t="shared" ref="N711:N774" si="92">IF($C711="","",IF($D711="Gider",$H711,$E711))</f>
        <v/>
      </c>
      <c r="O711" s="73" t="str">
        <f t="shared" ref="O711:O774" si="93">IF($C711="","",DATE(YEAR($C711),MONTH($C711),1))</f>
        <v/>
      </c>
      <c r="P711" s="65" t="str">
        <f t="shared" ref="P711:P774" ca="1" si="94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TARİH",IF(COUNTIF($W$7:$W$3006,$W711)&gt;1,"MÜKERRER?",IF($AD711&gt;0,"KAPALI DÖNEM",IF($I711="Hayır","ÖDENECEK","UYGUN")))),"EKSİK"))))</f>
        <v/>
      </c>
      <c r="Q711" s="2"/>
      <c r="R711" s="2"/>
      <c r="S711" s="1" t="str">
        <f t="shared" ref="S711:S774" si="95"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1" t="str">
        <f>IF(OR($C711="",$D711&lt;&gt;"Gelir",$L711=""),"",IFERROR(INDEX(MUSTERILER!$B$7:$B$156,MATCH($S711,MUSTERILER!$T$7:$T$156,0)),""))</f>
        <v/>
      </c>
      <c r="U711" s="1" t="str">
        <f>IF($T711="","",$T711&amp;"|"&amp;COUNTIFS($T$7:$T711,$T711))</f>
        <v/>
      </c>
      <c r="V711" s="1">
        <f t="shared" ref="V711:V774" si="96">IF($T711="",0,1)</f>
        <v>0</v>
      </c>
      <c r="W711" s="1" t="str">
        <f t="shared" ref="W711:W774" si="97">IF($C711="","",$D711&amp;"|"&amp;$E711&amp;"|"&amp;TEXT($C711,"0")&amp;"|"&amp;TEXT($G711,"0")&amp;"|"&amp;$J711)</f>
        <v/>
      </c>
      <c r="X711" s="1"/>
      <c r="Y711" s="1"/>
      <c r="Z711" s="1"/>
      <c r="AA711" s="1"/>
      <c r="AB711" s="1"/>
      <c r="AC711" s="1"/>
      <c r="AD711" s="1">
        <f>IF($C711="",0,SUMPRODUCT((AY_SONU!$O$7:$O$42="Evet")*(AY_SONU!$B$7:$B$42=DATE(YEAR($C711),MONTH($C711),1))))</f>
        <v>0</v>
      </c>
      <c r="AE711" s="1" t="str">
        <f>IF($E711="","",$E711&amp;"|"&amp;COUNTIFS($E$7:$E711,$E711))</f>
        <v/>
      </c>
    </row>
    <row r="712" spans="1:31" ht="18" customHeight="1" x14ac:dyDescent="0.3">
      <c r="A712" s="2"/>
      <c r="B712" s="65" t="str">
        <f t="shared" si="90"/>
        <v/>
      </c>
      <c r="C712" s="66"/>
      <c r="D712" s="60"/>
      <c r="E712" s="61"/>
      <c r="F712" s="61"/>
      <c r="G712" s="67"/>
      <c r="H712" s="60"/>
      <c r="I712" s="60"/>
      <c r="J712" s="61"/>
      <c r="K712" s="61"/>
      <c r="L712" s="60"/>
      <c r="M712" s="74" t="str">
        <f t="shared" si="91"/>
        <v/>
      </c>
      <c r="N712" s="74" t="str">
        <f t="shared" si="92"/>
        <v/>
      </c>
      <c r="O712" s="73" t="str">
        <f t="shared" si="93"/>
        <v/>
      </c>
      <c r="P712" s="65" t="str">
        <f t="shared" ca="1" si="94"/>
        <v/>
      </c>
      <c r="Q712" s="2"/>
      <c r="R712" s="2"/>
      <c r="S712" s="1" t="str">
        <f t="shared" si="95"/>
        <v/>
      </c>
      <c r="T712" s="1" t="str">
        <f>IF(OR($C712="",$D712&lt;&gt;"Gelir",$L712=""),"",IFERROR(INDEX(MUSTERILER!$B$7:$B$156,MATCH($S712,MUSTERILER!$T$7:$T$156,0)),""))</f>
        <v/>
      </c>
      <c r="U712" s="1" t="str">
        <f>IF($T712="","",$T712&amp;"|"&amp;COUNTIFS($T$7:$T712,$T712))</f>
        <v/>
      </c>
      <c r="V712" s="1">
        <f t="shared" si="96"/>
        <v>0</v>
      </c>
      <c r="W712" s="1" t="str">
        <f t="shared" si="97"/>
        <v/>
      </c>
      <c r="X712" s="1"/>
      <c r="Y712" s="1"/>
      <c r="Z712" s="1"/>
      <c r="AA712" s="1"/>
      <c r="AB712" s="1"/>
      <c r="AC712" s="1"/>
      <c r="AD712" s="1">
        <f>IF($C712="",0,SUMPRODUCT((AY_SONU!$O$7:$O$42="Evet")*(AY_SONU!$B$7:$B$42=DATE(YEAR($C712),MONTH($C712),1))))</f>
        <v>0</v>
      </c>
      <c r="AE712" s="1" t="str">
        <f>IF($E712="","",$E712&amp;"|"&amp;COUNTIFS($E$7:$E712,$E712))</f>
        <v/>
      </c>
    </row>
    <row r="713" spans="1:31" ht="18" customHeight="1" x14ac:dyDescent="0.3">
      <c r="A713" s="2"/>
      <c r="B713" s="65" t="str">
        <f t="shared" si="90"/>
        <v/>
      </c>
      <c r="C713" s="66"/>
      <c r="D713" s="60"/>
      <c r="E713" s="61"/>
      <c r="F713" s="61"/>
      <c r="G713" s="67"/>
      <c r="H713" s="60"/>
      <c r="I713" s="60"/>
      <c r="J713" s="61"/>
      <c r="K713" s="61"/>
      <c r="L713" s="60"/>
      <c r="M713" s="74" t="str">
        <f t="shared" si="91"/>
        <v/>
      </c>
      <c r="N713" s="74" t="str">
        <f t="shared" si="92"/>
        <v/>
      </c>
      <c r="O713" s="73" t="str">
        <f t="shared" si="93"/>
        <v/>
      </c>
      <c r="P713" s="65" t="str">
        <f t="shared" ca="1" si="94"/>
        <v/>
      </c>
      <c r="Q713" s="2"/>
      <c r="R713" s="2"/>
      <c r="S713" s="1" t="str">
        <f t="shared" si="95"/>
        <v/>
      </c>
      <c r="T713" s="1" t="str">
        <f>IF(OR($C713="",$D713&lt;&gt;"Gelir",$L713=""),"",IFERROR(INDEX(MUSTERILER!$B$7:$B$156,MATCH($S713,MUSTERILER!$T$7:$T$156,0)),""))</f>
        <v/>
      </c>
      <c r="U713" s="1" t="str">
        <f>IF($T713="","",$T713&amp;"|"&amp;COUNTIFS($T$7:$T713,$T713))</f>
        <v/>
      </c>
      <c r="V713" s="1">
        <f t="shared" si="96"/>
        <v>0</v>
      </c>
      <c r="W713" s="1" t="str">
        <f t="shared" si="97"/>
        <v/>
      </c>
      <c r="X713" s="1"/>
      <c r="Y713" s="1"/>
      <c r="Z713" s="1"/>
      <c r="AA713" s="1"/>
      <c r="AB713" s="1"/>
      <c r="AC713" s="1"/>
      <c r="AD713" s="1">
        <f>IF($C713="",0,SUMPRODUCT((AY_SONU!$O$7:$O$42="Evet")*(AY_SONU!$B$7:$B$42=DATE(YEAR($C713),MONTH($C713),1))))</f>
        <v>0</v>
      </c>
      <c r="AE713" s="1" t="str">
        <f>IF($E713="","",$E713&amp;"|"&amp;COUNTIFS($E$7:$E713,$E713))</f>
        <v/>
      </c>
    </row>
    <row r="714" spans="1:31" ht="18" customHeight="1" x14ac:dyDescent="0.3">
      <c r="A714" s="2"/>
      <c r="B714" s="65" t="str">
        <f t="shared" si="90"/>
        <v/>
      </c>
      <c r="C714" s="66"/>
      <c r="D714" s="60"/>
      <c r="E714" s="61"/>
      <c r="F714" s="61"/>
      <c r="G714" s="67"/>
      <c r="H714" s="60"/>
      <c r="I714" s="60"/>
      <c r="J714" s="61"/>
      <c r="K714" s="61"/>
      <c r="L714" s="60"/>
      <c r="M714" s="74" t="str">
        <f t="shared" si="91"/>
        <v/>
      </c>
      <c r="N714" s="74" t="str">
        <f t="shared" si="92"/>
        <v/>
      </c>
      <c r="O714" s="73" t="str">
        <f t="shared" si="93"/>
        <v/>
      </c>
      <c r="P714" s="65" t="str">
        <f t="shared" ca="1" si="94"/>
        <v/>
      </c>
      <c r="Q714" s="2"/>
      <c r="R714" s="2"/>
      <c r="S714" s="1" t="str">
        <f t="shared" si="95"/>
        <v/>
      </c>
      <c r="T714" s="1" t="str">
        <f>IF(OR($C714="",$D714&lt;&gt;"Gelir",$L714=""),"",IFERROR(INDEX(MUSTERILER!$B$7:$B$156,MATCH($S714,MUSTERILER!$T$7:$T$156,0)),""))</f>
        <v/>
      </c>
      <c r="U714" s="1" t="str">
        <f>IF($T714="","",$T714&amp;"|"&amp;COUNTIFS($T$7:$T714,$T714))</f>
        <v/>
      </c>
      <c r="V714" s="1">
        <f t="shared" si="96"/>
        <v>0</v>
      </c>
      <c r="W714" s="1" t="str">
        <f t="shared" si="97"/>
        <v/>
      </c>
      <c r="X714" s="1"/>
      <c r="Y714" s="1"/>
      <c r="Z714" s="1"/>
      <c r="AA714" s="1"/>
      <c r="AB714" s="1"/>
      <c r="AC714" s="1"/>
      <c r="AD714" s="1">
        <f>IF($C714="",0,SUMPRODUCT((AY_SONU!$O$7:$O$42="Evet")*(AY_SONU!$B$7:$B$42=DATE(YEAR($C714),MONTH($C714),1))))</f>
        <v>0</v>
      </c>
      <c r="AE714" s="1" t="str">
        <f>IF($E714="","",$E714&amp;"|"&amp;COUNTIFS($E$7:$E714,$E714))</f>
        <v/>
      </c>
    </row>
    <row r="715" spans="1:31" ht="18" customHeight="1" x14ac:dyDescent="0.3">
      <c r="A715" s="2"/>
      <c r="B715" s="65" t="str">
        <f t="shared" si="90"/>
        <v/>
      </c>
      <c r="C715" s="66"/>
      <c r="D715" s="60"/>
      <c r="E715" s="61"/>
      <c r="F715" s="61"/>
      <c r="G715" s="67"/>
      <c r="H715" s="60"/>
      <c r="I715" s="60"/>
      <c r="J715" s="61"/>
      <c r="K715" s="61"/>
      <c r="L715" s="60"/>
      <c r="M715" s="74" t="str">
        <f t="shared" si="91"/>
        <v/>
      </c>
      <c r="N715" s="74" t="str">
        <f t="shared" si="92"/>
        <v/>
      </c>
      <c r="O715" s="73" t="str">
        <f t="shared" si="93"/>
        <v/>
      </c>
      <c r="P715" s="65" t="str">
        <f t="shared" ca="1" si="94"/>
        <v/>
      </c>
      <c r="Q715" s="2"/>
      <c r="R715" s="2"/>
      <c r="S715" s="1" t="str">
        <f t="shared" si="95"/>
        <v/>
      </c>
      <c r="T715" s="1" t="str">
        <f>IF(OR($C715="",$D715&lt;&gt;"Gelir",$L715=""),"",IFERROR(INDEX(MUSTERILER!$B$7:$B$156,MATCH($S715,MUSTERILER!$T$7:$T$156,0)),""))</f>
        <v/>
      </c>
      <c r="U715" s="1" t="str">
        <f>IF($T715="","",$T715&amp;"|"&amp;COUNTIFS($T$7:$T715,$T715))</f>
        <v/>
      </c>
      <c r="V715" s="1">
        <f t="shared" si="96"/>
        <v>0</v>
      </c>
      <c r="W715" s="1" t="str">
        <f t="shared" si="97"/>
        <v/>
      </c>
      <c r="X715" s="1"/>
      <c r="Y715" s="1"/>
      <c r="Z715" s="1"/>
      <c r="AA715" s="1"/>
      <c r="AB715" s="1"/>
      <c r="AC715" s="1"/>
      <c r="AD715" s="1">
        <f>IF($C715="",0,SUMPRODUCT((AY_SONU!$O$7:$O$42="Evet")*(AY_SONU!$B$7:$B$42=DATE(YEAR($C715),MONTH($C715),1))))</f>
        <v>0</v>
      </c>
      <c r="AE715" s="1" t="str">
        <f>IF($E715="","",$E715&amp;"|"&amp;COUNTIFS($E$7:$E715,$E715))</f>
        <v/>
      </c>
    </row>
    <row r="716" spans="1:31" ht="18" customHeight="1" x14ac:dyDescent="0.3">
      <c r="A716" s="2"/>
      <c r="B716" s="65" t="str">
        <f t="shared" si="90"/>
        <v/>
      </c>
      <c r="C716" s="66"/>
      <c r="D716" s="60"/>
      <c r="E716" s="61"/>
      <c r="F716" s="61"/>
      <c r="G716" s="67"/>
      <c r="H716" s="60"/>
      <c r="I716" s="60"/>
      <c r="J716" s="61"/>
      <c r="K716" s="61"/>
      <c r="L716" s="60"/>
      <c r="M716" s="74" t="str">
        <f t="shared" si="91"/>
        <v/>
      </c>
      <c r="N716" s="74" t="str">
        <f t="shared" si="92"/>
        <v/>
      </c>
      <c r="O716" s="73" t="str">
        <f t="shared" si="93"/>
        <v/>
      </c>
      <c r="P716" s="65" t="str">
        <f t="shared" ca="1" si="94"/>
        <v/>
      </c>
      <c r="Q716" s="2"/>
      <c r="R716" s="2"/>
      <c r="S716" s="1" t="str">
        <f t="shared" si="95"/>
        <v/>
      </c>
      <c r="T716" s="1" t="str">
        <f>IF(OR($C716="",$D716&lt;&gt;"Gelir",$L716=""),"",IFERROR(INDEX(MUSTERILER!$B$7:$B$156,MATCH($S716,MUSTERILER!$T$7:$T$156,0)),""))</f>
        <v/>
      </c>
      <c r="U716" s="1" t="str">
        <f>IF($T716="","",$T716&amp;"|"&amp;COUNTIFS($T$7:$T716,$T716))</f>
        <v/>
      </c>
      <c r="V716" s="1">
        <f t="shared" si="96"/>
        <v>0</v>
      </c>
      <c r="W716" s="1" t="str">
        <f t="shared" si="97"/>
        <v/>
      </c>
      <c r="X716" s="1"/>
      <c r="Y716" s="1"/>
      <c r="Z716" s="1"/>
      <c r="AA716" s="1"/>
      <c r="AB716" s="1"/>
      <c r="AC716" s="1"/>
      <c r="AD716" s="1">
        <f>IF($C716="",0,SUMPRODUCT((AY_SONU!$O$7:$O$42="Evet")*(AY_SONU!$B$7:$B$42=DATE(YEAR($C716),MONTH($C716),1))))</f>
        <v>0</v>
      </c>
      <c r="AE716" s="1" t="str">
        <f>IF($E716="","",$E716&amp;"|"&amp;COUNTIFS($E$7:$E716,$E716))</f>
        <v/>
      </c>
    </row>
    <row r="717" spans="1:31" ht="18" customHeight="1" x14ac:dyDescent="0.3">
      <c r="A717" s="2"/>
      <c r="B717" s="65" t="str">
        <f t="shared" si="90"/>
        <v/>
      </c>
      <c r="C717" s="66"/>
      <c r="D717" s="60"/>
      <c r="E717" s="61"/>
      <c r="F717" s="61"/>
      <c r="G717" s="67"/>
      <c r="H717" s="60"/>
      <c r="I717" s="60"/>
      <c r="J717" s="61"/>
      <c r="K717" s="61"/>
      <c r="L717" s="60"/>
      <c r="M717" s="74" t="str">
        <f t="shared" si="91"/>
        <v/>
      </c>
      <c r="N717" s="74" t="str">
        <f t="shared" si="92"/>
        <v/>
      </c>
      <c r="O717" s="73" t="str">
        <f t="shared" si="93"/>
        <v/>
      </c>
      <c r="P717" s="65" t="str">
        <f t="shared" ca="1" si="94"/>
        <v/>
      </c>
      <c r="Q717" s="2"/>
      <c r="R717" s="2"/>
      <c r="S717" s="1" t="str">
        <f t="shared" si="95"/>
        <v/>
      </c>
      <c r="T717" s="1" t="str">
        <f>IF(OR($C717="",$D717&lt;&gt;"Gelir",$L717=""),"",IFERROR(INDEX(MUSTERILER!$B$7:$B$156,MATCH($S717,MUSTERILER!$T$7:$T$156,0)),""))</f>
        <v/>
      </c>
      <c r="U717" s="1" t="str">
        <f>IF($T717="","",$T717&amp;"|"&amp;COUNTIFS($T$7:$T717,$T717))</f>
        <v/>
      </c>
      <c r="V717" s="1">
        <f t="shared" si="96"/>
        <v>0</v>
      </c>
      <c r="W717" s="1" t="str">
        <f t="shared" si="97"/>
        <v/>
      </c>
      <c r="X717" s="1"/>
      <c r="Y717" s="1"/>
      <c r="Z717" s="1"/>
      <c r="AA717" s="1"/>
      <c r="AB717" s="1"/>
      <c r="AC717" s="1"/>
      <c r="AD717" s="1">
        <f>IF($C717="",0,SUMPRODUCT((AY_SONU!$O$7:$O$42="Evet")*(AY_SONU!$B$7:$B$42=DATE(YEAR($C717),MONTH($C717),1))))</f>
        <v>0</v>
      </c>
      <c r="AE717" s="1" t="str">
        <f>IF($E717="","",$E717&amp;"|"&amp;COUNTIFS($E$7:$E717,$E717))</f>
        <v/>
      </c>
    </row>
    <row r="718" spans="1:31" ht="18" customHeight="1" x14ac:dyDescent="0.3">
      <c r="A718" s="2"/>
      <c r="B718" s="65" t="str">
        <f t="shared" si="90"/>
        <v/>
      </c>
      <c r="C718" s="66"/>
      <c r="D718" s="60"/>
      <c r="E718" s="61"/>
      <c r="F718" s="61"/>
      <c r="G718" s="67"/>
      <c r="H718" s="60"/>
      <c r="I718" s="60"/>
      <c r="J718" s="61"/>
      <c r="K718" s="61"/>
      <c r="L718" s="60"/>
      <c r="M718" s="74" t="str">
        <f t="shared" si="91"/>
        <v/>
      </c>
      <c r="N718" s="74" t="str">
        <f t="shared" si="92"/>
        <v/>
      </c>
      <c r="O718" s="73" t="str">
        <f t="shared" si="93"/>
        <v/>
      </c>
      <c r="P718" s="65" t="str">
        <f t="shared" ca="1" si="94"/>
        <v/>
      </c>
      <c r="Q718" s="2"/>
      <c r="R718" s="2"/>
      <c r="S718" s="1" t="str">
        <f t="shared" si="95"/>
        <v/>
      </c>
      <c r="T718" s="1" t="str">
        <f>IF(OR($C718="",$D718&lt;&gt;"Gelir",$L718=""),"",IFERROR(INDEX(MUSTERILER!$B$7:$B$156,MATCH($S718,MUSTERILER!$T$7:$T$156,0)),""))</f>
        <v/>
      </c>
      <c r="U718" s="1" t="str">
        <f>IF($T718="","",$T718&amp;"|"&amp;COUNTIFS($T$7:$T718,$T718))</f>
        <v/>
      </c>
      <c r="V718" s="1">
        <f t="shared" si="96"/>
        <v>0</v>
      </c>
      <c r="W718" s="1" t="str">
        <f t="shared" si="97"/>
        <v/>
      </c>
      <c r="X718" s="1"/>
      <c r="Y718" s="1"/>
      <c r="Z718" s="1"/>
      <c r="AA718" s="1"/>
      <c r="AB718" s="1"/>
      <c r="AC718" s="1"/>
      <c r="AD718" s="1">
        <f>IF($C718="",0,SUMPRODUCT((AY_SONU!$O$7:$O$42="Evet")*(AY_SONU!$B$7:$B$42=DATE(YEAR($C718),MONTH($C718),1))))</f>
        <v>0</v>
      </c>
      <c r="AE718" s="1" t="str">
        <f>IF($E718="","",$E718&amp;"|"&amp;COUNTIFS($E$7:$E718,$E718))</f>
        <v/>
      </c>
    </row>
    <row r="719" spans="1:31" ht="18" customHeight="1" x14ac:dyDescent="0.3">
      <c r="A719" s="2"/>
      <c r="B719" s="65" t="str">
        <f t="shared" si="90"/>
        <v/>
      </c>
      <c r="C719" s="66"/>
      <c r="D719" s="60"/>
      <c r="E719" s="61"/>
      <c r="F719" s="61"/>
      <c r="G719" s="67"/>
      <c r="H719" s="60"/>
      <c r="I719" s="60"/>
      <c r="J719" s="61"/>
      <c r="K719" s="61"/>
      <c r="L719" s="60"/>
      <c r="M719" s="74" t="str">
        <f t="shared" si="91"/>
        <v/>
      </c>
      <c r="N719" s="74" t="str">
        <f t="shared" si="92"/>
        <v/>
      </c>
      <c r="O719" s="73" t="str">
        <f t="shared" si="93"/>
        <v/>
      </c>
      <c r="P719" s="65" t="str">
        <f t="shared" ca="1" si="94"/>
        <v/>
      </c>
      <c r="Q719" s="2"/>
      <c r="R719" s="2"/>
      <c r="S719" s="1" t="str">
        <f t="shared" si="95"/>
        <v/>
      </c>
      <c r="T719" s="1" t="str">
        <f>IF(OR($C719="",$D719&lt;&gt;"Gelir",$L719=""),"",IFERROR(INDEX(MUSTERILER!$B$7:$B$156,MATCH($S719,MUSTERILER!$T$7:$T$156,0)),""))</f>
        <v/>
      </c>
      <c r="U719" s="1" t="str">
        <f>IF($T719="","",$T719&amp;"|"&amp;COUNTIFS($T$7:$T719,$T719))</f>
        <v/>
      </c>
      <c r="V719" s="1">
        <f t="shared" si="96"/>
        <v>0</v>
      </c>
      <c r="W719" s="1" t="str">
        <f t="shared" si="97"/>
        <v/>
      </c>
      <c r="X719" s="1"/>
      <c r="Y719" s="1"/>
      <c r="Z719" s="1"/>
      <c r="AA719" s="1"/>
      <c r="AB719" s="1"/>
      <c r="AC719" s="1"/>
      <c r="AD719" s="1">
        <f>IF($C719="",0,SUMPRODUCT((AY_SONU!$O$7:$O$42="Evet")*(AY_SONU!$B$7:$B$42=DATE(YEAR($C719),MONTH($C719),1))))</f>
        <v>0</v>
      </c>
      <c r="AE719" s="1" t="str">
        <f>IF($E719="","",$E719&amp;"|"&amp;COUNTIFS($E$7:$E719,$E719))</f>
        <v/>
      </c>
    </row>
    <row r="720" spans="1:31" ht="18" customHeight="1" x14ac:dyDescent="0.3">
      <c r="A720" s="2"/>
      <c r="B720" s="65" t="str">
        <f t="shared" si="90"/>
        <v/>
      </c>
      <c r="C720" s="66"/>
      <c r="D720" s="60"/>
      <c r="E720" s="61"/>
      <c r="F720" s="61"/>
      <c r="G720" s="67"/>
      <c r="H720" s="60"/>
      <c r="I720" s="60"/>
      <c r="J720" s="61"/>
      <c r="K720" s="61"/>
      <c r="L720" s="60"/>
      <c r="M720" s="74" t="str">
        <f t="shared" si="91"/>
        <v/>
      </c>
      <c r="N720" s="74" t="str">
        <f t="shared" si="92"/>
        <v/>
      </c>
      <c r="O720" s="73" t="str">
        <f t="shared" si="93"/>
        <v/>
      </c>
      <c r="P720" s="65" t="str">
        <f t="shared" ca="1" si="94"/>
        <v/>
      </c>
      <c r="Q720" s="2"/>
      <c r="R720" s="2"/>
      <c r="S720" s="1" t="str">
        <f t="shared" si="95"/>
        <v/>
      </c>
      <c r="T720" s="1" t="str">
        <f>IF(OR($C720="",$D720&lt;&gt;"Gelir",$L720=""),"",IFERROR(INDEX(MUSTERILER!$B$7:$B$156,MATCH($S720,MUSTERILER!$T$7:$T$156,0)),""))</f>
        <v/>
      </c>
      <c r="U720" s="1" t="str">
        <f>IF($T720="","",$T720&amp;"|"&amp;COUNTIFS($T$7:$T720,$T720))</f>
        <v/>
      </c>
      <c r="V720" s="1">
        <f t="shared" si="96"/>
        <v>0</v>
      </c>
      <c r="W720" s="1" t="str">
        <f t="shared" si="97"/>
        <v/>
      </c>
      <c r="X720" s="1"/>
      <c r="Y720" s="1"/>
      <c r="Z720" s="1"/>
      <c r="AA720" s="1"/>
      <c r="AB720" s="1"/>
      <c r="AC720" s="1"/>
      <c r="AD720" s="1">
        <f>IF($C720="",0,SUMPRODUCT((AY_SONU!$O$7:$O$42="Evet")*(AY_SONU!$B$7:$B$42=DATE(YEAR($C720),MONTH($C720),1))))</f>
        <v>0</v>
      </c>
      <c r="AE720" s="1" t="str">
        <f>IF($E720="","",$E720&amp;"|"&amp;COUNTIFS($E$7:$E720,$E720))</f>
        <v/>
      </c>
    </row>
    <row r="721" spans="1:31" ht="18" customHeight="1" x14ac:dyDescent="0.3">
      <c r="A721" s="2"/>
      <c r="B721" s="65" t="str">
        <f t="shared" si="90"/>
        <v/>
      </c>
      <c r="C721" s="66"/>
      <c r="D721" s="60"/>
      <c r="E721" s="61"/>
      <c r="F721" s="61"/>
      <c r="G721" s="67"/>
      <c r="H721" s="60"/>
      <c r="I721" s="60"/>
      <c r="J721" s="61"/>
      <c r="K721" s="61"/>
      <c r="L721" s="60"/>
      <c r="M721" s="74" t="str">
        <f t="shared" si="91"/>
        <v/>
      </c>
      <c r="N721" s="74" t="str">
        <f t="shared" si="92"/>
        <v/>
      </c>
      <c r="O721" s="73" t="str">
        <f t="shared" si="93"/>
        <v/>
      </c>
      <c r="P721" s="65" t="str">
        <f t="shared" ca="1" si="94"/>
        <v/>
      </c>
      <c r="Q721" s="2"/>
      <c r="R721" s="2"/>
      <c r="S721" s="1" t="str">
        <f t="shared" si="95"/>
        <v/>
      </c>
      <c r="T721" s="1" t="str">
        <f>IF(OR($C721="",$D721&lt;&gt;"Gelir",$L721=""),"",IFERROR(INDEX(MUSTERILER!$B$7:$B$156,MATCH($S721,MUSTERILER!$T$7:$T$156,0)),""))</f>
        <v/>
      </c>
      <c r="U721" s="1" t="str">
        <f>IF($T721="","",$T721&amp;"|"&amp;COUNTIFS($T$7:$T721,$T721))</f>
        <v/>
      </c>
      <c r="V721" s="1">
        <f t="shared" si="96"/>
        <v>0</v>
      </c>
      <c r="W721" s="1" t="str">
        <f t="shared" si="97"/>
        <v/>
      </c>
      <c r="X721" s="1"/>
      <c r="Y721" s="1"/>
      <c r="Z721" s="1"/>
      <c r="AA721" s="1"/>
      <c r="AB721" s="1"/>
      <c r="AC721" s="1"/>
      <c r="AD721" s="1">
        <f>IF($C721="",0,SUMPRODUCT((AY_SONU!$O$7:$O$42="Evet")*(AY_SONU!$B$7:$B$42=DATE(YEAR($C721),MONTH($C721),1))))</f>
        <v>0</v>
      </c>
      <c r="AE721" s="1" t="str">
        <f>IF($E721="","",$E721&amp;"|"&amp;COUNTIFS($E$7:$E721,$E721))</f>
        <v/>
      </c>
    </row>
    <row r="722" spans="1:31" ht="18" customHeight="1" x14ac:dyDescent="0.3">
      <c r="A722" s="2"/>
      <c r="B722" s="65" t="str">
        <f t="shared" si="90"/>
        <v/>
      </c>
      <c r="C722" s="66"/>
      <c r="D722" s="60"/>
      <c r="E722" s="61"/>
      <c r="F722" s="61"/>
      <c r="G722" s="67"/>
      <c r="H722" s="60"/>
      <c r="I722" s="60"/>
      <c r="J722" s="61"/>
      <c r="K722" s="61"/>
      <c r="L722" s="60"/>
      <c r="M722" s="74" t="str">
        <f t="shared" si="91"/>
        <v/>
      </c>
      <c r="N722" s="74" t="str">
        <f t="shared" si="92"/>
        <v/>
      </c>
      <c r="O722" s="73" t="str">
        <f t="shared" si="93"/>
        <v/>
      </c>
      <c r="P722" s="65" t="str">
        <f t="shared" ca="1" si="94"/>
        <v/>
      </c>
      <c r="Q722" s="2"/>
      <c r="R722" s="2"/>
      <c r="S722" s="1" t="str">
        <f t="shared" si="95"/>
        <v/>
      </c>
      <c r="T722" s="1" t="str">
        <f>IF(OR($C722="",$D722&lt;&gt;"Gelir",$L722=""),"",IFERROR(INDEX(MUSTERILER!$B$7:$B$156,MATCH($S722,MUSTERILER!$T$7:$T$156,0)),""))</f>
        <v/>
      </c>
      <c r="U722" s="1" t="str">
        <f>IF($T722="","",$T722&amp;"|"&amp;COUNTIFS($T$7:$T722,$T722))</f>
        <v/>
      </c>
      <c r="V722" s="1">
        <f t="shared" si="96"/>
        <v>0</v>
      </c>
      <c r="W722" s="1" t="str">
        <f t="shared" si="97"/>
        <v/>
      </c>
      <c r="X722" s="1"/>
      <c r="Y722" s="1"/>
      <c r="Z722" s="1"/>
      <c r="AA722" s="1"/>
      <c r="AB722" s="1"/>
      <c r="AC722" s="1"/>
      <c r="AD722" s="1">
        <f>IF($C722="",0,SUMPRODUCT((AY_SONU!$O$7:$O$42="Evet")*(AY_SONU!$B$7:$B$42=DATE(YEAR($C722),MONTH($C722),1))))</f>
        <v>0</v>
      </c>
      <c r="AE722" s="1" t="str">
        <f>IF($E722="","",$E722&amp;"|"&amp;COUNTIFS($E$7:$E722,$E722))</f>
        <v/>
      </c>
    </row>
    <row r="723" spans="1:31" ht="18" customHeight="1" x14ac:dyDescent="0.3">
      <c r="A723" s="2"/>
      <c r="B723" s="65" t="str">
        <f t="shared" si="90"/>
        <v/>
      </c>
      <c r="C723" s="66"/>
      <c r="D723" s="60"/>
      <c r="E723" s="61"/>
      <c r="F723" s="61"/>
      <c r="G723" s="67"/>
      <c r="H723" s="60"/>
      <c r="I723" s="60"/>
      <c r="J723" s="61"/>
      <c r="K723" s="61"/>
      <c r="L723" s="60"/>
      <c r="M723" s="74" t="str">
        <f t="shared" si="91"/>
        <v/>
      </c>
      <c r="N723" s="74" t="str">
        <f t="shared" si="92"/>
        <v/>
      </c>
      <c r="O723" s="73" t="str">
        <f t="shared" si="93"/>
        <v/>
      </c>
      <c r="P723" s="65" t="str">
        <f t="shared" ca="1" si="94"/>
        <v/>
      </c>
      <c r="Q723" s="2"/>
      <c r="R723" s="2"/>
      <c r="S723" s="1" t="str">
        <f t="shared" si="95"/>
        <v/>
      </c>
      <c r="T723" s="1" t="str">
        <f>IF(OR($C723="",$D723&lt;&gt;"Gelir",$L723=""),"",IFERROR(INDEX(MUSTERILER!$B$7:$B$156,MATCH($S723,MUSTERILER!$T$7:$T$156,0)),""))</f>
        <v/>
      </c>
      <c r="U723" s="1" t="str">
        <f>IF($T723="","",$T723&amp;"|"&amp;COUNTIFS($T$7:$T723,$T723))</f>
        <v/>
      </c>
      <c r="V723" s="1">
        <f t="shared" si="96"/>
        <v>0</v>
      </c>
      <c r="W723" s="1" t="str">
        <f t="shared" si="97"/>
        <v/>
      </c>
      <c r="X723" s="1"/>
      <c r="Y723" s="1"/>
      <c r="Z723" s="1"/>
      <c r="AA723" s="1"/>
      <c r="AB723" s="1"/>
      <c r="AC723" s="1"/>
      <c r="AD723" s="1">
        <f>IF($C723="",0,SUMPRODUCT((AY_SONU!$O$7:$O$42="Evet")*(AY_SONU!$B$7:$B$42=DATE(YEAR($C723),MONTH($C723),1))))</f>
        <v>0</v>
      </c>
      <c r="AE723" s="1" t="str">
        <f>IF($E723="","",$E723&amp;"|"&amp;COUNTIFS($E$7:$E723,$E723))</f>
        <v/>
      </c>
    </row>
    <row r="724" spans="1:31" ht="18" customHeight="1" x14ac:dyDescent="0.3">
      <c r="A724" s="2"/>
      <c r="B724" s="65" t="str">
        <f t="shared" si="90"/>
        <v/>
      </c>
      <c r="C724" s="66"/>
      <c r="D724" s="60"/>
      <c r="E724" s="61"/>
      <c r="F724" s="61"/>
      <c r="G724" s="67"/>
      <c r="H724" s="60"/>
      <c r="I724" s="60"/>
      <c r="J724" s="61"/>
      <c r="K724" s="61"/>
      <c r="L724" s="60"/>
      <c r="M724" s="74" t="str">
        <f t="shared" si="91"/>
        <v/>
      </c>
      <c r="N724" s="74" t="str">
        <f t="shared" si="92"/>
        <v/>
      </c>
      <c r="O724" s="73" t="str">
        <f t="shared" si="93"/>
        <v/>
      </c>
      <c r="P724" s="65" t="str">
        <f t="shared" ca="1" si="94"/>
        <v/>
      </c>
      <c r="Q724" s="2"/>
      <c r="R724" s="2"/>
      <c r="S724" s="1" t="str">
        <f t="shared" si="95"/>
        <v/>
      </c>
      <c r="T724" s="1" t="str">
        <f>IF(OR($C724="",$D724&lt;&gt;"Gelir",$L724=""),"",IFERROR(INDEX(MUSTERILER!$B$7:$B$156,MATCH($S724,MUSTERILER!$T$7:$T$156,0)),""))</f>
        <v/>
      </c>
      <c r="U724" s="1" t="str">
        <f>IF($T724="","",$T724&amp;"|"&amp;COUNTIFS($T$7:$T724,$T724))</f>
        <v/>
      </c>
      <c r="V724" s="1">
        <f t="shared" si="96"/>
        <v>0</v>
      </c>
      <c r="W724" s="1" t="str">
        <f t="shared" si="97"/>
        <v/>
      </c>
      <c r="X724" s="1"/>
      <c r="Y724" s="1"/>
      <c r="Z724" s="1"/>
      <c r="AA724" s="1"/>
      <c r="AB724" s="1"/>
      <c r="AC724" s="1"/>
      <c r="AD724" s="1">
        <f>IF($C724="",0,SUMPRODUCT((AY_SONU!$O$7:$O$42="Evet")*(AY_SONU!$B$7:$B$42=DATE(YEAR($C724),MONTH($C724),1))))</f>
        <v>0</v>
      </c>
      <c r="AE724" s="1" t="str">
        <f>IF($E724="","",$E724&amp;"|"&amp;COUNTIFS($E$7:$E724,$E724))</f>
        <v/>
      </c>
    </row>
    <row r="725" spans="1:31" ht="18" customHeight="1" x14ac:dyDescent="0.3">
      <c r="A725" s="2"/>
      <c r="B725" s="65" t="str">
        <f t="shared" si="90"/>
        <v/>
      </c>
      <c r="C725" s="66"/>
      <c r="D725" s="60"/>
      <c r="E725" s="61"/>
      <c r="F725" s="61"/>
      <c r="G725" s="67"/>
      <c r="H725" s="60"/>
      <c r="I725" s="60"/>
      <c r="J725" s="61"/>
      <c r="K725" s="61"/>
      <c r="L725" s="60"/>
      <c r="M725" s="74" t="str">
        <f t="shared" si="91"/>
        <v/>
      </c>
      <c r="N725" s="74" t="str">
        <f t="shared" si="92"/>
        <v/>
      </c>
      <c r="O725" s="73" t="str">
        <f t="shared" si="93"/>
        <v/>
      </c>
      <c r="P725" s="65" t="str">
        <f t="shared" ca="1" si="94"/>
        <v/>
      </c>
      <c r="Q725" s="2"/>
      <c r="R725" s="2"/>
      <c r="S725" s="1" t="str">
        <f t="shared" si="95"/>
        <v/>
      </c>
      <c r="T725" s="1" t="str">
        <f>IF(OR($C725="",$D725&lt;&gt;"Gelir",$L725=""),"",IFERROR(INDEX(MUSTERILER!$B$7:$B$156,MATCH($S725,MUSTERILER!$T$7:$T$156,0)),""))</f>
        <v/>
      </c>
      <c r="U725" s="1" t="str">
        <f>IF($T725="","",$T725&amp;"|"&amp;COUNTIFS($T$7:$T725,$T725))</f>
        <v/>
      </c>
      <c r="V725" s="1">
        <f t="shared" si="96"/>
        <v>0</v>
      </c>
      <c r="W725" s="1" t="str">
        <f t="shared" si="97"/>
        <v/>
      </c>
      <c r="X725" s="1"/>
      <c r="Y725" s="1"/>
      <c r="Z725" s="1"/>
      <c r="AA725" s="1"/>
      <c r="AB725" s="1"/>
      <c r="AC725" s="1"/>
      <c r="AD725" s="1">
        <f>IF($C725="",0,SUMPRODUCT((AY_SONU!$O$7:$O$42="Evet")*(AY_SONU!$B$7:$B$42=DATE(YEAR($C725),MONTH($C725),1))))</f>
        <v>0</v>
      </c>
      <c r="AE725" s="1" t="str">
        <f>IF($E725="","",$E725&amp;"|"&amp;COUNTIFS($E$7:$E725,$E725))</f>
        <v/>
      </c>
    </row>
    <row r="726" spans="1:31" ht="18" customHeight="1" x14ac:dyDescent="0.3">
      <c r="A726" s="2"/>
      <c r="B726" s="65" t="str">
        <f t="shared" si="90"/>
        <v/>
      </c>
      <c r="C726" s="66"/>
      <c r="D726" s="60"/>
      <c r="E726" s="61"/>
      <c r="F726" s="61"/>
      <c r="G726" s="67"/>
      <c r="H726" s="60"/>
      <c r="I726" s="60"/>
      <c r="J726" s="61"/>
      <c r="K726" s="61"/>
      <c r="L726" s="60"/>
      <c r="M726" s="74" t="str">
        <f t="shared" si="91"/>
        <v/>
      </c>
      <c r="N726" s="74" t="str">
        <f t="shared" si="92"/>
        <v/>
      </c>
      <c r="O726" s="73" t="str">
        <f t="shared" si="93"/>
        <v/>
      </c>
      <c r="P726" s="65" t="str">
        <f t="shared" ca="1" si="94"/>
        <v/>
      </c>
      <c r="Q726" s="2"/>
      <c r="R726" s="2"/>
      <c r="S726" s="1" t="str">
        <f t="shared" si="95"/>
        <v/>
      </c>
      <c r="T726" s="1" t="str">
        <f>IF(OR($C726="",$D726&lt;&gt;"Gelir",$L726=""),"",IFERROR(INDEX(MUSTERILER!$B$7:$B$156,MATCH($S726,MUSTERILER!$T$7:$T$156,0)),""))</f>
        <v/>
      </c>
      <c r="U726" s="1" t="str">
        <f>IF($T726="","",$T726&amp;"|"&amp;COUNTIFS($T$7:$T726,$T726))</f>
        <v/>
      </c>
      <c r="V726" s="1">
        <f t="shared" si="96"/>
        <v>0</v>
      </c>
      <c r="W726" s="1" t="str">
        <f t="shared" si="97"/>
        <v/>
      </c>
      <c r="X726" s="1"/>
      <c r="Y726" s="1"/>
      <c r="Z726" s="1"/>
      <c r="AA726" s="1"/>
      <c r="AB726" s="1"/>
      <c r="AC726" s="1"/>
      <c r="AD726" s="1">
        <f>IF($C726="",0,SUMPRODUCT((AY_SONU!$O$7:$O$42="Evet")*(AY_SONU!$B$7:$B$42=DATE(YEAR($C726),MONTH($C726),1))))</f>
        <v>0</v>
      </c>
      <c r="AE726" s="1" t="str">
        <f>IF($E726="","",$E726&amp;"|"&amp;COUNTIFS($E$7:$E726,$E726))</f>
        <v/>
      </c>
    </row>
    <row r="727" spans="1:31" ht="18" customHeight="1" x14ac:dyDescent="0.3">
      <c r="A727" s="2"/>
      <c r="B727" s="65" t="str">
        <f t="shared" si="90"/>
        <v/>
      </c>
      <c r="C727" s="66"/>
      <c r="D727" s="60"/>
      <c r="E727" s="61"/>
      <c r="F727" s="61"/>
      <c r="G727" s="67"/>
      <c r="H727" s="60"/>
      <c r="I727" s="60"/>
      <c r="J727" s="61"/>
      <c r="K727" s="61"/>
      <c r="L727" s="60"/>
      <c r="M727" s="74" t="str">
        <f t="shared" si="91"/>
        <v/>
      </c>
      <c r="N727" s="74" t="str">
        <f t="shared" si="92"/>
        <v/>
      </c>
      <c r="O727" s="73" t="str">
        <f t="shared" si="93"/>
        <v/>
      </c>
      <c r="P727" s="65" t="str">
        <f t="shared" ca="1" si="94"/>
        <v/>
      </c>
      <c r="Q727" s="2"/>
      <c r="R727" s="2"/>
      <c r="S727" s="1" t="str">
        <f t="shared" si="95"/>
        <v/>
      </c>
      <c r="T727" s="1" t="str">
        <f>IF(OR($C727="",$D727&lt;&gt;"Gelir",$L727=""),"",IFERROR(INDEX(MUSTERILER!$B$7:$B$156,MATCH($S727,MUSTERILER!$T$7:$T$156,0)),""))</f>
        <v/>
      </c>
      <c r="U727" s="1" t="str">
        <f>IF($T727="","",$T727&amp;"|"&amp;COUNTIFS($T$7:$T727,$T727))</f>
        <v/>
      </c>
      <c r="V727" s="1">
        <f t="shared" si="96"/>
        <v>0</v>
      </c>
      <c r="W727" s="1" t="str">
        <f t="shared" si="97"/>
        <v/>
      </c>
      <c r="X727" s="1"/>
      <c r="Y727" s="1"/>
      <c r="Z727" s="1"/>
      <c r="AA727" s="1"/>
      <c r="AB727" s="1"/>
      <c r="AC727" s="1"/>
      <c r="AD727" s="1">
        <f>IF($C727="",0,SUMPRODUCT((AY_SONU!$O$7:$O$42="Evet")*(AY_SONU!$B$7:$B$42=DATE(YEAR($C727),MONTH($C727),1))))</f>
        <v>0</v>
      </c>
      <c r="AE727" s="1" t="str">
        <f>IF($E727="","",$E727&amp;"|"&amp;COUNTIFS($E$7:$E727,$E727))</f>
        <v/>
      </c>
    </row>
    <row r="728" spans="1:31" ht="18" customHeight="1" x14ac:dyDescent="0.3">
      <c r="A728" s="2"/>
      <c r="B728" s="65" t="str">
        <f t="shared" si="90"/>
        <v/>
      </c>
      <c r="C728" s="66"/>
      <c r="D728" s="60"/>
      <c r="E728" s="61"/>
      <c r="F728" s="61"/>
      <c r="G728" s="67"/>
      <c r="H728" s="60"/>
      <c r="I728" s="60"/>
      <c r="J728" s="61"/>
      <c r="K728" s="61"/>
      <c r="L728" s="60"/>
      <c r="M728" s="74" t="str">
        <f t="shared" si="91"/>
        <v/>
      </c>
      <c r="N728" s="74" t="str">
        <f t="shared" si="92"/>
        <v/>
      </c>
      <c r="O728" s="73" t="str">
        <f t="shared" si="93"/>
        <v/>
      </c>
      <c r="P728" s="65" t="str">
        <f t="shared" ca="1" si="94"/>
        <v/>
      </c>
      <c r="Q728" s="2"/>
      <c r="R728" s="2"/>
      <c r="S728" s="1" t="str">
        <f t="shared" si="95"/>
        <v/>
      </c>
      <c r="T728" s="1" t="str">
        <f>IF(OR($C728="",$D728&lt;&gt;"Gelir",$L728=""),"",IFERROR(INDEX(MUSTERILER!$B$7:$B$156,MATCH($S728,MUSTERILER!$T$7:$T$156,0)),""))</f>
        <v/>
      </c>
      <c r="U728" s="1" t="str">
        <f>IF($T728="","",$T728&amp;"|"&amp;COUNTIFS($T$7:$T728,$T728))</f>
        <v/>
      </c>
      <c r="V728" s="1">
        <f t="shared" si="96"/>
        <v>0</v>
      </c>
      <c r="W728" s="1" t="str">
        <f t="shared" si="97"/>
        <v/>
      </c>
      <c r="X728" s="1"/>
      <c r="Y728" s="1"/>
      <c r="Z728" s="1"/>
      <c r="AA728" s="1"/>
      <c r="AB728" s="1"/>
      <c r="AC728" s="1"/>
      <c r="AD728" s="1">
        <f>IF($C728="",0,SUMPRODUCT((AY_SONU!$O$7:$O$42="Evet")*(AY_SONU!$B$7:$B$42=DATE(YEAR($C728),MONTH($C728),1))))</f>
        <v>0</v>
      </c>
      <c r="AE728" s="1" t="str">
        <f>IF($E728="","",$E728&amp;"|"&amp;COUNTIFS($E$7:$E728,$E728))</f>
        <v/>
      </c>
    </row>
    <row r="729" spans="1:31" ht="18" customHeight="1" x14ac:dyDescent="0.3">
      <c r="A729" s="2"/>
      <c r="B729" s="65" t="str">
        <f t="shared" si="90"/>
        <v/>
      </c>
      <c r="C729" s="66"/>
      <c r="D729" s="60"/>
      <c r="E729" s="61"/>
      <c r="F729" s="61"/>
      <c r="G729" s="67"/>
      <c r="H729" s="60"/>
      <c r="I729" s="60"/>
      <c r="J729" s="61"/>
      <c r="K729" s="61"/>
      <c r="L729" s="60"/>
      <c r="M729" s="74" t="str">
        <f t="shared" si="91"/>
        <v/>
      </c>
      <c r="N729" s="74" t="str">
        <f t="shared" si="92"/>
        <v/>
      </c>
      <c r="O729" s="73" t="str">
        <f t="shared" si="93"/>
        <v/>
      </c>
      <c r="P729" s="65" t="str">
        <f t="shared" ca="1" si="94"/>
        <v/>
      </c>
      <c r="Q729" s="2"/>
      <c r="R729" s="2"/>
      <c r="S729" s="1" t="str">
        <f t="shared" si="95"/>
        <v/>
      </c>
      <c r="T729" s="1" t="str">
        <f>IF(OR($C729="",$D729&lt;&gt;"Gelir",$L729=""),"",IFERROR(INDEX(MUSTERILER!$B$7:$B$156,MATCH($S729,MUSTERILER!$T$7:$T$156,0)),""))</f>
        <v/>
      </c>
      <c r="U729" s="1" t="str">
        <f>IF($T729="","",$T729&amp;"|"&amp;COUNTIFS($T$7:$T729,$T729))</f>
        <v/>
      </c>
      <c r="V729" s="1">
        <f t="shared" si="96"/>
        <v>0</v>
      </c>
      <c r="W729" s="1" t="str">
        <f t="shared" si="97"/>
        <v/>
      </c>
      <c r="X729" s="1"/>
      <c r="Y729" s="1"/>
      <c r="Z729" s="1"/>
      <c r="AA729" s="1"/>
      <c r="AB729" s="1"/>
      <c r="AC729" s="1"/>
      <c r="AD729" s="1">
        <f>IF($C729="",0,SUMPRODUCT((AY_SONU!$O$7:$O$42="Evet")*(AY_SONU!$B$7:$B$42=DATE(YEAR($C729),MONTH($C729),1))))</f>
        <v>0</v>
      </c>
      <c r="AE729" s="1" t="str">
        <f>IF($E729="","",$E729&amp;"|"&amp;COUNTIFS($E$7:$E729,$E729))</f>
        <v/>
      </c>
    </row>
    <row r="730" spans="1:31" ht="18" customHeight="1" x14ac:dyDescent="0.3">
      <c r="A730" s="2"/>
      <c r="B730" s="65" t="str">
        <f t="shared" si="90"/>
        <v/>
      </c>
      <c r="C730" s="66"/>
      <c r="D730" s="60"/>
      <c r="E730" s="61"/>
      <c r="F730" s="61"/>
      <c r="G730" s="67"/>
      <c r="H730" s="60"/>
      <c r="I730" s="60"/>
      <c r="J730" s="61"/>
      <c r="K730" s="61"/>
      <c r="L730" s="60"/>
      <c r="M730" s="74" t="str">
        <f t="shared" si="91"/>
        <v/>
      </c>
      <c r="N730" s="74" t="str">
        <f t="shared" si="92"/>
        <v/>
      </c>
      <c r="O730" s="73" t="str">
        <f t="shared" si="93"/>
        <v/>
      </c>
      <c r="P730" s="65" t="str">
        <f t="shared" ca="1" si="94"/>
        <v/>
      </c>
      <c r="Q730" s="2"/>
      <c r="R730" s="2"/>
      <c r="S730" s="1" t="str">
        <f t="shared" si="95"/>
        <v/>
      </c>
      <c r="T730" s="1" t="str">
        <f>IF(OR($C730="",$D730&lt;&gt;"Gelir",$L730=""),"",IFERROR(INDEX(MUSTERILER!$B$7:$B$156,MATCH($S730,MUSTERILER!$T$7:$T$156,0)),""))</f>
        <v/>
      </c>
      <c r="U730" s="1" t="str">
        <f>IF($T730="","",$T730&amp;"|"&amp;COUNTIFS($T$7:$T730,$T730))</f>
        <v/>
      </c>
      <c r="V730" s="1">
        <f t="shared" si="96"/>
        <v>0</v>
      </c>
      <c r="W730" s="1" t="str">
        <f t="shared" si="97"/>
        <v/>
      </c>
      <c r="X730" s="1"/>
      <c r="Y730" s="1"/>
      <c r="Z730" s="1"/>
      <c r="AA730" s="1"/>
      <c r="AB730" s="1"/>
      <c r="AC730" s="1"/>
      <c r="AD730" s="1">
        <f>IF($C730="",0,SUMPRODUCT((AY_SONU!$O$7:$O$42="Evet")*(AY_SONU!$B$7:$B$42=DATE(YEAR($C730),MONTH($C730),1))))</f>
        <v>0</v>
      </c>
      <c r="AE730" s="1" t="str">
        <f>IF($E730="","",$E730&amp;"|"&amp;COUNTIFS($E$7:$E730,$E730))</f>
        <v/>
      </c>
    </row>
    <row r="731" spans="1:31" ht="18" customHeight="1" x14ac:dyDescent="0.3">
      <c r="A731" s="2"/>
      <c r="B731" s="65" t="str">
        <f t="shared" si="90"/>
        <v/>
      </c>
      <c r="C731" s="66"/>
      <c r="D731" s="60"/>
      <c r="E731" s="61"/>
      <c r="F731" s="61"/>
      <c r="G731" s="67"/>
      <c r="H731" s="60"/>
      <c r="I731" s="60"/>
      <c r="J731" s="61"/>
      <c r="K731" s="61"/>
      <c r="L731" s="60"/>
      <c r="M731" s="74" t="str">
        <f t="shared" si="91"/>
        <v/>
      </c>
      <c r="N731" s="74" t="str">
        <f t="shared" si="92"/>
        <v/>
      </c>
      <c r="O731" s="73" t="str">
        <f t="shared" si="93"/>
        <v/>
      </c>
      <c r="P731" s="65" t="str">
        <f t="shared" ca="1" si="94"/>
        <v/>
      </c>
      <c r="Q731" s="2"/>
      <c r="R731" s="2"/>
      <c r="S731" s="1" t="str">
        <f t="shared" si="95"/>
        <v/>
      </c>
      <c r="T731" s="1" t="str">
        <f>IF(OR($C731="",$D731&lt;&gt;"Gelir",$L731=""),"",IFERROR(INDEX(MUSTERILER!$B$7:$B$156,MATCH($S731,MUSTERILER!$T$7:$T$156,0)),""))</f>
        <v/>
      </c>
      <c r="U731" s="1" t="str">
        <f>IF($T731="","",$T731&amp;"|"&amp;COUNTIFS($T$7:$T731,$T731))</f>
        <v/>
      </c>
      <c r="V731" s="1">
        <f t="shared" si="96"/>
        <v>0</v>
      </c>
      <c r="W731" s="1" t="str">
        <f t="shared" si="97"/>
        <v/>
      </c>
      <c r="X731" s="1"/>
      <c r="Y731" s="1"/>
      <c r="Z731" s="1"/>
      <c r="AA731" s="1"/>
      <c r="AB731" s="1"/>
      <c r="AC731" s="1"/>
      <c r="AD731" s="1">
        <f>IF($C731="",0,SUMPRODUCT((AY_SONU!$O$7:$O$42="Evet")*(AY_SONU!$B$7:$B$42=DATE(YEAR($C731),MONTH($C731),1))))</f>
        <v>0</v>
      </c>
      <c r="AE731" s="1" t="str">
        <f>IF($E731="","",$E731&amp;"|"&amp;COUNTIFS($E$7:$E731,$E731))</f>
        <v/>
      </c>
    </row>
    <row r="732" spans="1:31" ht="18" customHeight="1" x14ac:dyDescent="0.3">
      <c r="A732" s="2"/>
      <c r="B732" s="65" t="str">
        <f t="shared" si="90"/>
        <v/>
      </c>
      <c r="C732" s="66"/>
      <c r="D732" s="60"/>
      <c r="E732" s="61"/>
      <c r="F732" s="61"/>
      <c r="G732" s="67"/>
      <c r="H732" s="60"/>
      <c r="I732" s="60"/>
      <c r="J732" s="61"/>
      <c r="K732" s="61"/>
      <c r="L732" s="60"/>
      <c r="M732" s="74" t="str">
        <f t="shared" si="91"/>
        <v/>
      </c>
      <c r="N732" s="74" t="str">
        <f t="shared" si="92"/>
        <v/>
      </c>
      <c r="O732" s="73" t="str">
        <f t="shared" si="93"/>
        <v/>
      </c>
      <c r="P732" s="65" t="str">
        <f t="shared" ca="1" si="94"/>
        <v/>
      </c>
      <c r="Q732" s="2"/>
      <c r="R732" s="2"/>
      <c r="S732" s="1" t="str">
        <f t="shared" si="95"/>
        <v/>
      </c>
      <c r="T732" s="1" t="str">
        <f>IF(OR($C732="",$D732&lt;&gt;"Gelir",$L732=""),"",IFERROR(INDEX(MUSTERILER!$B$7:$B$156,MATCH($S732,MUSTERILER!$T$7:$T$156,0)),""))</f>
        <v/>
      </c>
      <c r="U732" s="1" t="str">
        <f>IF($T732="","",$T732&amp;"|"&amp;COUNTIFS($T$7:$T732,$T732))</f>
        <v/>
      </c>
      <c r="V732" s="1">
        <f t="shared" si="96"/>
        <v>0</v>
      </c>
      <c r="W732" s="1" t="str">
        <f t="shared" si="97"/>
        <v/>
      </c>
      <c r="X732" s="1"/>
      <c r="Y732" s="1"/>
      <c r="Z732" s="1"/>
      <c r="AA732" s="1"/>
      <c r="AB732" s="1"/>
      <c r="AC732" s="1"/>
      <c r="AD732" s="1">
        <f>IF($C732="",0,SUMPRODUCT((AY_SONU!$O$7:$O$42="Evet")*(AY_SONU!$B$7:$B$42=DATE(YEAR($C732),MONTH($C732),1))))</f>
        <v>0</v>
      </c>
      <c r="AE732" s="1" t="str">
        <f>IF($E732="","",$E732&amp;"|"&amp;COUNTIFS($E$7:$E732,$E732))</f>
        <v/>
      </c>
    </row>
    <row r="733" spans="1:31" ht="18" customHeight="1" x14ac:dyDescent="0.3">
      <c r="A733" s="2"/>
      <c r="B733" s="65" t="str">
        <f t="shared" si="90"/>
        <v/>
      </c>
      <c r="C733" s="66"/>
      <c r="D733" s="60"/>
      <c r="E733" s="61"/>
      <c r="F733" s="61"/>
      <c r="G733" s="67"/>
      <c r="H733" s="60"/>
      <c r="I733" s="60"/>
      <c r="J733" s="61"/>
      <c r="K733" s="61"/>
      <c r="L733" s="60"/>
      <c r="M733" s="74" t="str">
        <f t="shared" si="91"/>
        <v/>
      </c>
      <c r="N733" s="74" t="str">
        <f t="shared" si="92"/>
        <v/>
      </c>
      <c r="O733" s="73" t="str">
        <f t="shared" si="93"/>
        <v/>
      </c>
      <c r="P733" s="65" t="str">
        <f t="shared" ca="1" si="94"/>
        <v/>
      </c>
      <c r="Q733" s="2"/>
      <c r="R733" s="2"/>
      <c r="S733" s="1" t="str">
        <f t="shared" si="95"/>
        <v/>
      </c>
      <c r="T733" s="1" t="str">
        <f>IF(OR($C733="",$D733&lt;&gt;"Gelir",$L733=""),"",IFERROR(INDEX(MUSTERILER!$B$7:$B$156,MATCH($S733,MUSTERILER!$T$7:$T$156,0)),""))</f>
        <v/>
      </c>
      <c r="U733" s="1" t="str">
        <f>IF($T733="","",$T733&amp;"|"&amp;COUNTIFS($T$7:$T733,$T733))</f>
        <v/>
      </c>
      <c r="V733" s="1">
        <f t="shared" si="96"/>
        <v>0</v>
      </c>
      <c r="W733" s="1" t="str">
        <f t="shared" si="97"/>
        <v/>
      </c>
      <c r="X733" s="1"/>
      <c r="Y733" s="1"/>
      <c r="Z733" s="1"/>
      <c r="AA733" s="1"/>
      <c r="AB733" s="1"/>
      <c r="AC733" s="1"/>
      <c r="AD733" s="1">
        <f>IF($C733="",0,SUMPRODUCT((AY_SONU!$O$7:$O$42="Evet")*(AY_SONU!$B$7:$B$42=DATE(YEAR($C733),MONTH($C733),1))))</f>
        <v>0</v>
      </c>
      <c r="AE733" s="1" t="str">
        <f>IF($E733="","",$E733&amp;"|"&amp;COUNTIFS($E$7:$E733,$E733))</f>
        <v/>
      </c>
    </row>
    <row r="734" spans="1:31" ht="18" customHeight="1" x14ac:dyDescent="0.3">
      <c r="A734" s="2"/>
      <c r="B734" s="65" t="str">
        <f t="shared" si="90"/>
        <v/>
      </c>
      <c r="C734" s="66"/>
      <c r="D734" s="60"/>
      <c r="E734" s="61"/>
      <c r="F734" s="61"/>
      <c r="G734" s="67"/>
      <c r="H734" s="60"/>
      <c r="I734" s="60"/>
      <c r="J734" s="61"/>
      <c r="K734" s="61"/>
      <c r="L734" s="60"/>
      <c r="M734" s="74" t="str">
        <f t="shared" si="91"/>
        <v/>
      </c>
      <c r="N734" s="74" t="str">
        <f t="shared" si="92"/>
        <v/>
      </c>
      <c r="O734" s="73" t="str">
        <f t="shared" si="93"/>
        <v/>
      </c>
      <c r="P734" s="65" t="str">
        <f t="shared" ca="1" si="94"/>
        <v/>
      </c>
      <c r="Q734" s="2"/>
      <c r="R734" s="2"/>
      <c r="S734" s="1" t="str">
        <f t="shared" si="95"/>
        <v/>
      </c>
      <c r="T734" s="1" t="str">
        <f>IF(OR($C734="",$D734&lt;&gt;"Gelir",$L734=""),"",IFERROR(INDEX(MUSTERILER!$B$7:$B$156,MATCH($S734,MUSTERILER!$T$7:$T$156,0)),""))</f>
        <v/>
      </c>
      <c r="U734" s="1" t="str">
        <f>IF($T734="","",$T734&amp;"|"&amp;COUNTIFS($T$7:$T734,$T734))</f>
        <v/>
      </c>
      <c r="V734" s="1">
        <f t="shared" si="96"/>
        <v>0</v>
      </c>
      <c r="W734" s="1" t="str">
        <f t="shared" si="97"/>
        <v/>
      </c>
      <c r="X734" s="1"/>
      <c r="Y734" s="1"/>
      <c r="Z734" s="1"/>
      <c r="AA734" s="1"/>
      <c r="AB734" s="1"/>
      <c r="AC734" s="1"/>
      <c r="AD734" s="1">
        <f>IF($C734="",0,SUMPRODUCT((AY_SONU!$O$7:$O$42="Evet")*(AY_SONU!$B$7:$B$42=DATE(YEAR($C734),MONTH($C734),1))))</f>
        <v>0</v>
      </c>
      <c r="AE734" s="1" t="str">
        <f>IF($E734="","",$E734&amp;"|"&amp;COUNTIFS($E$7:$E734,$E734))</f>
        <v/>
      </c>
    </row>
    <row r="735" spans="1:31" ht="18" customHeight="1" x14ac:dyDescent="0.3">
      <c r="A735" s="2"/>
      <c r="B735" s="65" t="str">
        <f t="shared" si="90"/>
        <v/>
      </c>
      <c r="C735" s="66"/>
      <c r="D735" s="60"/>
      <c r="E735" s="61"/>
      <c r="F735" s="61"/>
      <c r="G735" s="67"/>
      <c r="H735" s="60"/>
      <c r="I735" s="60"/>
      <c r="J735" s="61"/>
      <c r="K735" s="61"/>
      <c r="L735" s="60"/>
      <c r="M735" s="74" t="str">
        <f t="shared" si="91"/>
        <v/>
      </c>
      <c r="N735" s="74" t="str">
        <f t="shared" si="92"/>
        <v/>
      </c>
      <c r="O735" s="73" t="str">
        <f t="shared" si="93"/>
        <v/>
      </c>
      <c r="P735" s="65" t="str">
        <f t="shared" ca="1" si="94"/>
        <v/>
      </c>
      <c r="Q735" s="2"/>
      <c r="R735" s="2"/>
      <c r="S735" s="1" t="str">
        <f t="shared" si="95"/>
        <v/>
      </c>
      <c r="T735" s="1" t="str">
        <f>IF(OR($C735="",$D735&lt;&gt;"Gelir",$L735=""),"",IFERROR(INDEX(MUSTERILER!$B$7:$B$156,MATCH($S735,MUSTERILER!$T$7:$T$156,0)),""))</f>
        <v/>
      </c>
      <c r="U735" s="1" t="str">
        <f>IF($T735="","",$T735&amp;"|"&amp;COUNTIFS($T$7:$T735,$T735))</f>
        <v/>
      </c>
      <c r="V735" s="1">
        <f t="shared" si="96"/>
        <v>0</v>
      </c>
      <c r="W735" s="1" t="str">
        <f t="shared" si="97"/>
        <v/>
      </c>
      <c r="X735" s="1"/>
      <c r="Y735" s="1"/>
      <c r="Z735" s="1"/>
      <c r="AA735" s="1"/>
      <c r="AB735" s="1"/>
      <c r="AC735" s="1"/>
      <c r="AD735" s="1">
        <f>IF($C735="",0,SUMPRODUCT((AY_SONU!$O$7:$O$42="Evet")*(AY_SONU!$B$7:$B$42=DATE(YEAR($C735),MONTH($C735),1))))</f>
        <v>0</v>
      </c>
      <c r="AE735" s="1" t="str">
        <f>IF($E735="","",$E735&amp;"|"&amp;COUNTIFS($E$7:$E735,$E735))</f>
        <v/>
      </c>
    </row>
    <row r="736" spans="1:31" ht="18" customHeight="1" x14ac:dyDescent="0.3">
      <c r="A736" s="2"/>
      <c r="B736" s="65" t="str">
        <f t="shared" si="90"/>
        <v/>
      </c>
      <c r="C736" s="66"/>
      <c r="D736" s="60"/>
      <c r="E736" s="61"/>
      <c r="F736" s="61"/>
      <c r="G736" s="67"/>
      <c r="H736" s="60"/>
      <c r="I736" s="60"/>
      <c r="J736" s="61"/>
      <c r="K736" s="61"/>
      <c r="L736" s="60"/>
      <c r="M736" s="74" t="str">
        <f t="shared" si="91"/>
        <v/>
      </c>
      <c r="N736" s="74" t="str">
        <f t="shared" si="92"/>
        <v/>
      </c>
      <c r="O736" s="73" t="str">
        <f t="shared" si="93"/>
        <v/>
      </c>
      <c r="P736" s="65" t="str">
        <f t="shared" ca="1" si="94"/>
        <v/>
      </c>
      <c r="Q736" s="2"/>
      <c r="R736" s="2"/>
      <c r="S736" s="1" t="str">
        <f t="shared" si="95"/>
        <v/>
      </c>
      <c r="T736" s="1" t="str">
        <f>IF(OR($C736="",$D736&lt;&gt;"Gelir",$L736=""),"",IFERROR(INDEX(MUSTERILER!$B$7:$B$156,MATCH($S736,MUSTERILER!$T$7:$T$156,0)),""))</f>
        <v/>
      </c>
      <c r="U736" s="1" t="str">
        <f>IF($T736="","",$T736&amp;"|"&amp;COUNTIFS($T$7:$T736,$T736))</f>
        <v/>
      </c>
      <c r="V736" s="1">
        <f t="shared" si="96"/>
        <v>0</v>
      </c>
      <c r="W736" s="1" t="str">
        <f t="shared" si="97"/>
        <v/>
      </c>
      <c r="X736" s="1"/>
      <c r="Y736" s="1"/>
      <c r="Z736" s="1"/>
      <c r="AA736" s="1"/>
      <c r="AB736" s="1"/>
      <c r="AC736" s="1"/>
      <c r="AD736" s="1">
        <f>IF($C736="",0,SUMPRODUCT((AY_SONU!$O$7:$O$42="Evet")*(AY_SONU!$B$7:$B$42=DATE(YEAR($C736),MONTH($C736),1))))</f>
        <v>0</v>
      </c>
      <c r="AE736" s="1" t="str">
        <f>IF($E736="","",$E736&amp;"|"&amp;COUNTIFS($E$7:$E736,$E736))</f>
        <v/>
      </c>
    </row>
    <row r="737" spans="1:31" ht="18" customHeight="1" x14ac:dyDescent="0.3">
      <c r="A737" s="2"/>
      <c r="B737" s="65" t="str">
        <f t="shared" si="90"/>
        <v/>
      </c>
      <c r="C737" s="66"/>
      <c r="D737" s="60"/>
      <c r="E737" s="61"/>
      <c r="F737" s="61"/>
      <c r="G737" s="67"/>
      <c r="H737" s="60"/>
      <c r="I737" s="60"/>
      <c r="J737" s="61"/>
      <c r="K737" s="61"/>
      <c r="L737" s="60"/>
      <c r="M737" s="74" t="str">
        <f t="shared" si="91"/>
        <v/>
      </c>
      <c r="N737" s="74" t="str">
        <f t="shared" si="92"/>
        <v/>
      </c>
      <c r="O737" s="73" t="str">
        <f t="shared" si="93"/>
        <v/>
      </c>
      <c r="P737" s="65" t="str">
        <f t="shared" ca="1" si="94"/>
        <v/>
      </c>
      <c r="Q737" s="2"/>
      <c r="R737" s="2"/>
      <c r="S737" s="1" t="str">
        <f t="shared" si="95"/>
        <v/>
      </c>
      <c r="T737" s="1" t="str">
        <f>IF(OR($C737="",$D737&lt;&gt;"Gelir",$L737=""),"",IFERROR(INDEX(MUSTERILER!$B$7:$B$156,MATCH($S737,MUSTERILER!$T$7:$T$156,0)),""))</f>
        <v/>
      </c>
      <c r="U737" s="1" t="str">
        <f>IF($T737="","",$T737&amp;"|"&amp;COUNTIFS($T$7:$T737,$T737))</f>
        <v/>
      </c>
      <c r="V737" s="1">
        <f t="shared" si="96"/>
        <v>0</v>
      </c>
      <c r="W737" s="1" t="str">
        <f t="shared" si="97"/>
        <v/>
      </c>
      <c r="X737" s="1"/>
      <c r="Y737" s="1"/>
      <c r="Z737" s="1"/>
      <c r="AA737" s="1"/>
      <c r="AB737" s="1"/>
      <c r="AC737" s="1"/>
      <c r="AD737" s="1">
        <f>IF($C737="",0,SUMPRODUCT((AY_SONU!$O$7:$O$42="Evet")*(AY_SONU!$B$7:$B$42=DATE(YEAR($C737),MONTH($C737),1))))</f>
        <v>0</v>
      </c>
      <c r="AE737" s="1" t="str">
        <f>IF($E737="","",$E737&amp;"|"&amp;COUNTIFS($E$7:$E737,$E737))</f>
        <v/>
      </c>
    </row>
    <row r="738" spans="1:31" ht="18" customHeight="1" x14ac:dyDescent="0.3">
      <c r="A738" s="2"/>
      <c r="B738" s="65" t="str">
        <f t="shared" si="90"/>
        <v/>
      </c>
      <c r="C738" s="66"/>
      <c r="D738" s="60"/>
      <c r="E738" s="61"/>
      <c r="F738" s="61"/>
      <c r="G738" s="67"/>
      <c r="H738" s="60"/>
      <c r="I738" s="60"/>
      <c r="J738" s="61"/>
      <c r="K738" s="61"/>
      <c r="L738" s="60"/>
      <c r="M738" s="74" t="str">
        <f t="shared" si="91"/>
        <v/>
      </c>
      <c r="N738" s="74" t="str">
        <f t="shared" si="92"/>
        <v/>
      </c>
      <c r="O738" s="73" t="str">
        <f t="shared" si="93"/>
        <v/>
      </c>
      <c r="P738" s="65" t="str">
        <f t="shared" ca="1" si="94"/>
        <v/>
      </c>
      <c r="Q738" s="2"/>
      <c r="R738" s="2"/>
      <c r="S738" s="1" t="str">
        <f t="shared" si="95"/>
        <v/>
      </c>
      <c r="T738" s="1" t="str">
        <f>IF(OR($C738="",$D738&lt;&gt;"Gelir",$L738=""),"",IFERROR(INDEX(MUSTERILER!$B$7:$B$156,MATCH($S738,MUSTERILER!$T$7:$T$156,0)),""))</f>
        <v/>
      </c>
      <c r="U738" s="1" t="str">
        <f>IF($T738="","",$T738&amp;"|"&amp;COUNTIFS($T$7:$T738,$T738))</f>
        <v/>
      </c>
      <c r="V738" s="1">
        <f t="shared" si="96"/>
        <v>0</v>
      </c>
      <c r="W738" s="1" t="str">
        <f t="shared" si="97"/>
        <v/>
      </c>
      <c r="X738" s="1"/>
      <c r="Y738" s="1"/>
      <c r="Z738" s="1"/>
      <c r="AA738" s="1"/>
      <c r="AB738" s="1"/>
      <c r="AC738" s="1"/>
      <c r="AD738" s="1">
        <f>IF($C738="",0,SUMPRODUCT((AY_SONU!$O$7:$O$42="Evet")*(AY_SONU!$B$7:$B$42=DATE(YEAR($C738),MONTH($C738),1))))</f>
        <v>0</v>
      </c>
      <c r="AE738" s="1" t="str">
        <f>IF($E738="","",$E738&amp;"|"&amp;COUNTIFS($E$7:$E738,$E738))</f>
        <v/>
      </c>
    </row>
    <row r="739" spans="1:31" ht="18" customHeight="1" x14ac:dyDescent="0.3">
      <c r="A739" s="2"/>
      <c r="B739" s="65" t="str">
        <f t="shared" si="90"/>
        <v/>
      </c>
      <c r="C739" s="66"/>
      <c r="D739" s="60"/>
      <c r="E739" s="61"/>
      <c r="F739" s="61"/>
      <c r="G739" s="67"/>
      <c r="H739" s="60"/>
      <c r="I739" s="60"/>
      <c r="J739" s="61"/>
      <c r="K739" s="61"/>
      <c r="L739" s="60"/>
      <c r="M739" s="74" t="str">
        <f t="shared" si="91"/>
        <v/>
      </c>
      <c r="N739" s="74" t="str">
        <f t="shared" si="92"/>
        <v/>
      </c>
      <c r="O739" s="73" t="str">
        <f t="shared" si="93"/>
        <v/>
      </c>
      <c r="P739" s="65" t="str">
        <f t="shared" ca="1" si="94"/>
        <v/>
      </c>
      <c r="Q739" s="2"/>
      <c r="R739" s="2"/>
      <c r="S739" s="1" t="str">
        <f t="shared" si="95"/>
        <v/>
      </c>
      <c r="T739" s="1" t="str">
        <f>IF(OR($C739="",$D739&lt;&gt;"Gelir",$L739=""),"",IFERROR(INDEX(MUSTERILER!$B$7:$B$156,MATCH($S739,MUSTERILER!$T$7:$T$156,0)),""))</f>
        <v/>
      </c>
      <c r="U739" s="1" t="str">
        <f>IF($T739="","",$T739&amp;"|"&amp;COUNTIFS($T$7:$T739,$T739))</f>
        <v/>
      </c>
      <c r="V739" s="1">
        <f t="shared" si="96"/>
        <v>0</v>
      </c>
      <c r="W739" s="1" t="str">
        <f t="shared" si="97"/>
        <v/>
      </c>
      <c r="X739" s="1"/>
      <c r="Y739" s="1"/>
      <c r="Z739" s="1"/>
      <c r="AA739" s="1"/>
      <c r="AB739" s="1"/>
      <c r="AC739" s="1"/>
      <c r="AD739" s="1">
        <f>IF($C739="",0,SUMPRODUCT((AY_SONU!$O$7:$O$42="Evet")*(AY_SONU!$B$7:$B$42=DATE(YEAR($C739),MONTH($C739),1))))</f>
        <v>0</v>
      </c>
      <c r="AE739" s="1" t="str">
        <f>IF($E739="","",$E739&amp;"|"&amp;COUNTIFS($E$7:$E739,$E739))</f>
        <v/>
      </c>
    </row>
    <row r="740" spans="1:31" ht="18" customHeight="1" x14ac:dyDescent="0.3">
      <c r="A740" s="2"/>
      <c r="B740" s="65" t="str">
        <f t="shared" si="90"/>
        <v/>
      </c>
      <c r="C740" s="66"/>
      <c r="D740" s="60"/>
      <c r="E740" s="61"/>
      <c r="F740" s="61"/>
      <c r="G740" s="67"/>
      <c r="H740" s="60"/>
      <c r="I740" s="60"/>
      <c r="J740" s="61"/>
      <c r="K740" s="61"/>
      <c r="L740" s="60"/>
      <c r="M740" s="74" t="str">
        <f t="shared" si="91"/>
        <v/>
      </c>
      <c r="N740" s="74" t="str">
        <f t="shared" si="92"/>
        <v/>
      </c>
      <c r="O740" s="73" t="str">
        <f t="shared" si="93"/>
        <v/>
      </c>
      <c r="P740" s="65" t="str">
        <f t="shared" ca="1" si="94"/>
        <v/>
      </c>
      <c r="Q740" s="2"/>
      <c r="R740" s="2"/>
      <c r="S740" s="1" t="str">
        <f t="shared" si="95"/>
        <v/>
      </c>
      <c r="T740" s="1" t="str">
        <f>IF(OR($C740="",$D740&lt;&gt;"Gelir",$L740=""),"",IFERROR(INDEX(MUSTERILER!$B$7:$B$156,MATCH($S740,MUSTERILER!$T$7:$T$156,0)),""))</f>
        <v/>
      </c>
      <c r="U740" s="1" t="str">
        <f>IF($T740="","",$T740&amp;"|"&amp;COUNTIFS($T$7:$T740,$T740))</f>
        <v/>
      </c>
      <c r="V740" s="1">
        <f t="shared" si="96"/>
        <v>0</v>
      </c>
      <c r="W740" s="1" t="str">
        <f t="shared" si="97"/>
        <v/>
      </c>
      <c r="X740" s="1"/>
      <c r="Y740" s="1"/>
      <c r="Z740" s="1"/>
      <c r="AA740" s="1"/>
      <c r="AB740" s="1"/>
      <c r="AC740" s="1"/>
      <c r="AD740" s="1">
        <f>IF($C740="",0,SUMPRODUCT((AY_SONU!$O$7:$O$42="Evet")*(AY_SONU!$B$7:$B$42=DATE(YEAR($C740),MONTH($C740),1))))</f>
        <v>0</v>
      </c>
      <c r="AE740" s="1" t="str">
        <f>IF($E740="","",$E740&amp;"|"&amp;COUNTIFS($E$7:$E740,$E740))</f>
        <v/>
      </c>
    </row>
    <row r="741" spans="1:31" ht="18" customHeight="1" x14ac:dyDescent="0.3">
      <c r="A741" s="2"/>
      <c r="B741" s="65" t="str">
        <f t="shared" si="90"/>
        <v/>
      </c>
      <c r="C741" s="66"/>
      <c r="D741" s="60"/>
      <c r="E741" s="61"/>
      <c r="F741" s="61"/>
      <c r="G741" s="67"/>
      <c r="H741" s="60"/>
      <c r="I741" s="60"/>
      <c r="J741" s="61"/>
      <c r="K741" s="61"/>
      <c r="L741" s="60"/>
      <c r="M741" s="74" t="str">
        <f t="shared" si="91"/>
        <v/>
      </c>
      <c r="N741" s="74" t="str">
        <f t="shared" si="92"/>
        <v/>
      </c>
      <c r="O741" s="73" t="str">
        <f t="shared" si="93"/>
        <v/>
      </c>
      <c r="P741" s="65" t="str">
        <f t="shared" ca="1" si="94"/>
        <v/>
      </c>
      <c r="Q741" s="2"/>
      <c r="R741" s="2"/>
      <c r="S741" s="1" t="str">
        <f t="shared" si="95"/>
        <v/>
      </c>
      <c r="T741" s="1" t="str">
        <f>IF(OR($C741="",$D741&lt;&gt;"Gelir",$L741=""),"",IFERROR(INDEX(MUSTERILER!$B$7:$B$156,MATCH($S741,MUSTERILER!$T$7:$T$156,0)),""))</f>
        <v/>
      </c>
      <c r="U741" s="1" t="str">
        <f>IF($T741="","",$T741&amp;"|"&amp;COUNTIFS($T$7:$T741,$T741))</f>
        <v/>
      </c>
      <c r="V741" s="1">
        <f t="shared" si="96"/>
        <v>0</v>
      </c>
      <c r="W741" s="1" t="str">
        <f t="shared" si="97"/>
        <v/>
      </c>
      <c r="X741" s="1"/>
      <c r="Y741" s="1"/>
      <c r="Z741" s="1"/>
      <c r="AA741" s="1"/>
      <c r="AB741" s="1"/>
      <c r="AC741" s="1"/>
      <c r="AD741" s="1">
        <f>IF($C741="",0,SUMPRODUCT((AY_SONU!$O$7:$O$42="Evet")*(AY_SONU!$B$7:$B$42=DATE(YEAR($C741),MONTH($C741),1))))</f>
        <v>0</v>
      </c>
      <c r="AE741" s="1" t="str">
        <f>IF($E741="","",$E741&amp;"|"&amp;COUNTIFS($E$7:$E741,$E741))</f>
        <v/>
      </c>
    </row>
    <row r="742" spans="1:31" ht="18" customHeight="1" x14ac:dyDescent="0.3">
      <c r="A742" s="2"/>
      <c r="B742" s="65" t="str">
        <f t="shared" si="90"/>
        <v/>
      </c>
      <c r="C742" s="66"/>
      <c r="D742" s="60"/>
      <c r="E742" s="61"/>
      <c r="F742" s="61"/>
      <c r="G742" s="67"/>
      <c r="H742" s="60"/>
      <c r="I742" s="60"/>
      <c r="J742" s="61"/>
      <c r="K742" s="61"/>
      <c r="L742" s="60"/>
      <c r="M742" s="74" t="str">
        <f t="shared" si="91"/>
        <v/>
      </c>
      <c r="N742" s="74" t="str">
        <f t="shared" si="92"/>
        <v/>
      </c>
      <c r="O742" s="73" t="str">
        <f t="shared" si="93"/>
        <v/>
      </c>
      <c r="P742" s="65" t="str">
        <f t="shared" ca="1" si="94"/>
        <v/>
      </c>
      <c r="Q742" s="2"/>
      <c r="R742" s="2"/>
      <c r="S742" s="1" t="str">
        <f t="shared" si="95"/>
        <v/>
      </c>
      <c r="T742" s="1" t="str">
        <f>IF(OR($C742="",$D742&lt;&gt;"Gelir",$L742=""),"",IFERROR(INDEX(MUSTERILER!$B$7:$B$156,MATCH($S742,MUSTERILER!$T$7:$T$156,0)),""))</f>
        <v/>
      </c>
      <c r="U742" s="1" t="str">
        <f>IF($T742="","",$T742&amp;"|"&amp;COUNTIFS($T$7:$T742,$T742))</f>
        <v/>
      </c>
      <c r="V742" s="1">
        <f t="shared" si="96"/>
        <v>0</v>
      </c>
      <c r="W742" s="1" t="str">
        <f t="shared" si="97"/>
        <v/>
      </c>
      <c r="X742" s="1"/>
      <c r="Y742" s="1"/>
      <c r="Z742" s="1"/>
      <c r="AA742" s="1"/>
      <c r="AB742" s="1"/>
      <c r="AC742" s="1"/>
      <c r="AD742" s="1">
        <f>IF($C742="",0,SUMPRODUCT((AY_SONU!$O$7:$O$42="Evet")*(AY_SONU!$B$7:$B$42=DATE(YEAR($C742),MONTH($C742),1))))</f>
        <v>0</v>
      </c>
      <c r="AE742" s="1" t="str">
        <f>IF($E742="","",$E742&amp;"|"&amp;COUNTIFS($E$7:$E742,$E742))</f>
        <v/>
      </c>
    </row>
    <row r="743" spans="1:31" ht="18" customHeight="1" x14ac:dyDescent="0.3">
      <c r="A743" s="2"/>
      <c r="B743" s="65" t="str">
        <f t="shared" si="90"/>
        <v/>
      </c>
      <c r="C743" s="66"/>
      <c r="D743" s="60"/>
      <c r="E743" s="61"/>
      <c r="F743" s="61"/>
      <c r="G743" s="67"/>
      <c r="H743" s="60"/>
      <c r="I743" s="60"/>
      <c r="J743" s="61"/>
      <c r="K743" s="61"/>
      <c r="L743" s="60"/>
      <c r="M743" s="74" t="str">
        <f t="shared" si="91"/>
        <v/>
      </c>
      <c r="N743" s="74" t="str">
        <f t="shared" si="92"/>
        <v/>
      </c>
      <c r="O743" s="73" t="str">
        <f t="shared" si="93"/>
        <v/>
      </c>
      <c r="P743" s="65" t="str">
        <f t="shared" ca="1" si="94"/>
        <v/>
      </c>
      <c r="Q743" s="2"/>
      <c r="R743" s="2"/>
      <c r="S743" s="1" t="str">
        <f t="shared" si="95"/>
        <v/>
      </c>
      <c r="T743" s="1" t="str">
        <f>IF(OR($C743="",$D743&lt;&gt;"Gelir",$L743=""),"",IFERROR(INDEX(MUSTERILER!$B$7:$B$156,MATCH($S743,MUSTERILER!$T$7:$T$156,0)),""))</f>
        <v/>
      </c>
      <c r="U743" s="1" t="str">
        <f>IF($T743="","",$T743&amp;"|"&amp;COUNTIFS($T$7:$T743,$T743))</f>
        <v/>
      </c>
      <c r="V743" s="1">
        <f t="shared" si="96"/>
        <v>0</v>
      </c>
      <c r="W743" s="1" t="str">
        <f t="shared" si="97"/>
        <v/>
      </c>
      <c r="X743" s="1"/>
      <c r="Y743" s="1"/>
      <c r="Z743" s="1"/>
      <c r="AA743" s="1"/>
      <c r="AB743" s="1"/>
      <c r="AC743" s="1"/>
      <c r="AD743" s="1">
        <f>IF($C743="",0,SUMPRODUCT((AY_SONU!$O$7:$O$42="Evet")*(AY_SONU!$B$7:$B$42=DATE(YEAR($C743),MONTH($C743),1))))</f>
        <v>0</v>
      </c>
      <c r="AE743" s="1" t="str">
        <f>IF($E743="","",$E743&amp;"|"&amp;COUNTIFS($E$7:$E743,$E743))</f>
        <v/>
      </c>
    </row>
    <row r="744" spans="1:31" ht="18" customHeight="1" x14ac:dyDescent="0.3">
      <c r="A744" s="2"/>
      <c r="B744" s="65" t="str">
        <f t="shared" si="90"/>
        <v/>
      </c>
      <c r="C744" s="66"/>
      <c r="D744" s="60"/>
      <c r="E744" s="61"/>
      <c r="F744" s="61"/>
      <c r="G744" s="67"/>
      <c r="H744" s="60"/>
      <c r="I744" s="60"/>
      <c r="J744" s="61"/>
      <c r="K744" s="61"/>
      <c r="L744" s="60"/>
      <c r="M744" s="74" t="str">
        <f t="shared" si="91"/>
        <v/>
      </c>
      <c r="N744" s="74" t="str">
        <f t="shared" si="92"/>
        <v/>
      </c>
      <c r="O744" s="73" t="str">
        <f t="shared" si="93"/>
        <v/>
      </c>
      <c r="P744" s="65" t="str">
        <f t="shared" ca="1" si="94"/>
        <v/>
      </c>
      <c r="Q744" s="2"/>
      <c r="R744" s="2"/>
      <c r="S744" s="1" t="str">
        <f t="shared" si="95"/>
        <v/>
      </c>
      <c r="T744" s="1" t="str">
        <f>IF(OR($C744="",$D744&lt;&gt;"Gelir",$L744=""),"",IFERROR(INDEX(MUSTERILER!$B$7:$B$156,MATCH($S744,MUSTERILER!$T$7:$T$156,0)),""))</f>
        <v/>
      </c>
      <c r="U744" s="1" t="str">
        <f>IF($T744="","",$T744&amp;"|"&amp;COUNTIFS($T$7:$T744,$T744))</f>
        <v/>
      </c>
      <c r="V744" s="1">
        <f t="shared" si="96"/>
        <v>0</v>
      </c>
      <c r="W744" s="1" t="str">
        <f t="shared" si="97"/>
        <v/>
      </c>
      <c r="X744" s="1"/>
      <c r="Y744" s="1"/>
      <c r="Z744" s="1"/>
      <c r="AA744" s="1"/>
      <c r="AB744" s="1"/>
      <c r="AC744" s="1"/>
      <c r="AD744" s="1">
        <f>IF($C744="",0,SUMPRODUCT((AY_SONU!$O$7:$O$42="Evet")*(AY_SONU!$B$7:$B$42=DATE(YEAR($C744),MONTH($C744),1))))</f>
        <v>0</v>
      </c>
      <c r="AE744" s="1" t="str">
        <f>IF($E744="","",$E744&amp;"|"&amp;COUNTIFS($E$7:$E744,$E744))</f>
        <v/>
      </c>
    </row>
    <row r="745" spans="1:31" ht="18" customHeight="1" x14ac:dyDescent="0.3">
      <c r="A745" s="2"/>
      <c r="B745" s="65" t="str">
        <f t="shared" si="90"/>
        <v/>
      </c>
      <c r="C745" s="66"/>
      <c r="D745" s="60"/>
      <c r="E745" s="61"/>
      <c r="F745" s="61"/>
      <c r="G745" s="67"/>
      <c r="H745" s="60"/>
      <c r="I745" s="60"/>
      <c r="J745" s="61"/>
      <c r="K745" s="61"/>
      <c r="L745" s="60"/>
      <c r="M745" s="74" t="str">
        <f t="shared" si="91"/>
        <v/>
      </c>
      <c r="N745" s="74" t="str">
        <f t="shared" si="92"/>
        <v/>
      </c>
      <c r="O745" s="73" t="str">
        <f t="shared" si="93"/>
        <v/>
      </c>
      <c r="P745" s="65" t="str">
        <f t="shared" ca="1" si="94"/>
        <v/>
      </c>
      <c r="Q745" s="2"/>
      <c r="R745" s="2"/>
      <c r="S745" s="1" t="str">
        <f t="shared" si="95"/>
        <v/>
      </c>
      <c r="T745" s="1" t="str">
        <f>IF(OR($C745="",$D745&lt;&gt;"Gelir",$L745=""),"",IFERROR(INDEX(MUSTERILER!$B$7:$B$156,MATCH($S745,MUSTERILER!$T$7:$T$156,0)),""))</f>
        <v/>
      </c>
      <c r="U745" s="1" t="str">
        <f>IF($T745="","",$T745&amp;"|"&amp;COUNTIFS($T$7:$T745,$T745))</f>
        <v/>
      </c>
      <c r="V745" s="1">
        <f t="shared" si="96"/>
        <v>0</v>
      </c>
      <c r="W745" s="1" t="str">
        <f t="shared" si="97"/>
        <v/>
      </c>
      <c r="X745" s="1"/>
      <c r="Y745" s="1"/>
      <c r="Z745" s="1"/>
      <c r="AA745" s="1"/>
      <c r="AB745" s="1"/>
      <c r="AC745" s="1"/>
      <c r="AD745" s="1">
        <f>IF($C745="",0,SUMPRODUCT((AY_SONU!$O$7:$O$42="Evet")*(AY_SONU!$B$7:$B$42=DATE(YEAR($C745),MONTH($C745),1))))</f>
        <v>0</v>
      </c>
      <c r="AE745" s="1" t="str">
        <f>IF($E745="","",$E745&amp;"|"&amp;COUNTIFS($E$7:$E745,$E745))</f>
        <v/>
      </c>
    </row>
    <row r="746" spans="1:31" ht="18" customHeight="1" x14ac:dyDescent="0.3">
      <c r="A746" s="2"/>
      <c r="B746" s="65" t="str">
        <f t="shared" si="90"/>
        <v/>
      </c>
      <c r="C746" s="66"/>
      <c r="D746" s="60"/>
      <c r="E746" s="61"/>
      <c r="F746" s="61"/>
      <c r="G746" s="67"/>
      <c r="H746" s="60"/>
      <c r="I746" s="60"/>
      <c r="J746" s="61"/>
      <c r="K746" s="61"/>
      <c r="L746" s="60"/>
      <c r="M746" s="74" t="str">
        <f t="shared" si="91"/>
        <v/>
      </c>
      <c r="N746" s="74" t="str">
        <f t="shared" si="92"/>
        <v/>
      </c>
      <c r="O746" s="73" t="str">
        <f t="shared" si="93"/>
        <v/>
      </c>
      <c r="P746" s="65" t="str">
        <f t="shared" ca="1" si="94"/>
        <v/>
      </c>
      <c r="Q746" s="2"/>
      <c r="R746" s="2"/>
      <c r="S746" s="1" t="str">
        <f t="shared" si="95"/>
        <v/>
      </c>
      <c r="T746" s="1" t="str">
        <f>IF(OR($C746="",$D746&lt;&gt;"Gelir",$L746=""),"",IFERROR(INDEX(MUSTERILER!$B$7:$B$156,MATCH($S746,MUSTERILER!$T$7:$T$156,0)),""))</f>
        <v/>
      </c>
      <c r="U746" s="1" t="str">
        <f>IF($T746="","",$T746&amp;"|"&amp;COUNTIFS($T$7:$T746,$T746))</f>
        <v/>
      </c>
      <c r="V746" s="1">
        <f t="shared" si="96"/>
        <v>0</v>
      </c>
      <c r="W746" s="1" t="str">
        <f t="shared" si="97"/>
        <v/>
      </c>
      <c r="X746" s="1"/>
      <c r="Y746" s="1"/>
      <c r="Z746" s="1"/>
      <c r="AA746" s="1"/>
      <c r="AB746" s="1"/>
      <c r="AC746" s="1"/>
      <c r="AD746" s="1">
        <f>IF($C746="",0,SUMPRODUCT((AY_SONU!$O$7:$O$42="Evet")*(AY_SONU!$B$7:$B$42=DATE(YEAR($C746),MONTH($C746),1))))</f>
        <v>0</v>
      </c>
      <c r="AE746" s="1" t="str">
        <f>IF($E746="","",$E746&amp;"|"&amp;COUNTIFS($E$7:$E746,$E746))</f>
        <v/>
      </c>
    </row>
    <row r="747" spans="1:31" ht="18" customHeight="1" x14ac:dyDescent="0.3">
      <c r="A747" s="2"/>
      <c r="B747" s="65" t="str">
        <f t="shared" si="90"/>
        <v/>
      </c>
      <c r="C747" s="66"/>
      <c r="D747" s="60"/>
      <c r="E747" s="61"/>
      <c r="F747" s="61"/>
      <c r="G747" s="67"/>
      <c r="H747" s="60"/>
      <c r="I747" s="60"/>
      <c r="J747" s="61"/>
      <c r="K747" s="61"/>
      <c r="L747" s="60"/>
      <c r="M747" s="74" t="str">
        <f t="shared" si="91"/>
        <v/>
      </c>
      <c r="N747" s="74" t="str">
        <f t="shared" si="92"/>
        <v/>
      </c>
      <c r="O747" s="73" t="str">
        <f t="shared" si="93"/>
        <v/>
      </c>
      <c r="P747" s="65" t="str">
        <f t="shared" ca="1" si="94"/>
        <v/>
      </c>
      <c r="Q747" s="2"/>
      <c r="R747" s="2"/>
      <c r="S747" s="1" t="str">
        <f t="shared" si="95"/>
        <v/>
      </c>
      <c r="T747" s="1" t="str">
        <f>IF(OR($C747="",$D747&lt;&gt;"Gelir",$L747=""),"",IFERROR(INDEX(MUSTERILER!$B$7:$B$156,MATCH($S747,MUSTERILER!$T$7:$T$156,0)),""))</f>
        <v/>
      </c>
      <c r="U747" s="1" t="str">
        <f>IF($T747="","",$T747&amp;"|"&amp;COUNTIFS($T$7:$T747,$T747))</f>
        <v/>
      </c>
      <c r="V747" s="1">
        <f t="shared" si="96"/>
        <v>0</v>
      </c>
      <c r="W747" s="1" t="str">
        <f t="shared" si="97"/>
        <v/>
      </c>
      <c r="X747" s="1"/>
      <c r="Y747" s="1"/>
      <c r="Z747" s="1"/>
      <c r="AA747" s="1"/>
      <c r="AB747" s="1"/>
      <c r="AC747" s="1"/>
      <c r="AD747" s="1">
        <f>IF($C747="",0,SUMPRODUCT((AY_SONU!$O$7:$O$42="Evet")*(AY_SONU!$B$7:$B$42=DATE(YEAR($C747),MONTH($C747),1))))</f>
        <v>0</v>
      </c>
      <c r="AE747" s="1" t="str">
        <f>IF($E747="","",$E747&amp;"|"&amp;COUNTIFS($E$7:$E747,$E747))</f>
        <v/>
      </c>
    </row>
    <row r="748" spans="1:31" ht="18" customHeight="1" x14ac:dyDescent="0.3">
      <c r="A748" s="2"/>
      <c r="B748" s="65" t="str">
        <f t="shared" si="90"/>
        <v/>
      </c>
      <c r="C748" s="66"/>
      <c r="D748" s="60"/>
      <c r="E748" s="61"/>
      <c r="F748" s="61"/>
      <c r="G748" s="67"/>
      <c r="H748" s="60"/>
      <c r="I748" s="60"/>
      <c r="J748" s="61"/>
      <c r="K748" s="61"/>
      <c r="L748" s="60"/>
      <c r="M748" s="74" t="str">
        <f t="shared" si="91"/>
        <v/>
      </c>
      <c r="N748" s="74" t="str">
        <f t="shared" si="92"/>
        <v/>
      </c>
      <c r="O748" s="73" t="str">
        <f t="shared" si="93"/>
        <v/>
      </c>
      <c r="P748" s="65" t="str">
        <f t="shared" ca="1" si="94"/>
        <v/>
      </c>
      <c r="Q748" s="2"/>
      <c r="R748" s="2"/>
      <c r="S748" s="1" t="str">
        <f t="shared" si="95"/>
        <v/>
      </c>
      <c r="T748" s="1" t="str">
        <f>IF(OR($C748="",$D748&lt;&gt;"Gelir",$L748=""),"",IFERROR(INDEX(MUSTERILER!$B$7:$B$156,MATCH($S748,MUSTERILER!$T$7:$T$156,0)),""))</f>
        <v/>
      </c>
      <c r="U748" s="1" t="str">
        <f>IF($T748="","",$T748&amp;"|"&amp;COUNTIFS($T$7:$T748,$T748))</f>
        <v/>
      </c>
      <c r="V748" s="1">
        <f t="shared" si="96"/>
        <v>0</v>
      </c>
      <c r="W748" s="1" t="str">
        <f t="shared" si="97"/>
        <v/>
      </c>
      <c r="X748" s="1"/>
      <c r="Y748" s="1"/>
      <c r="Z748" s="1"/>
      <c r="AA748" s="1"/>
      <c r="AB748" s="1"/>
      <c r="AC748" s="1"/>
      <c r="AD748" s="1">
        <f>IF($C748="",0,SUMPRODUCT((AY_SONU!$O$7:$O$42="Evet")*(AY_SONU!$B$7:$B$42=DATE(YEAR($C748),MONTH($C748),1))))</f>
        <v>0</v>
      </c>
      <c r="AE748" s="1" t="str">
        <f>IF($E748="","",$E748&amp;"|"&amp;COUNTIFS($E$7:$E748,$E748))</f>
        <v/>
      </c>
    </row>
    <row r="749" spans="1:31" ht="18" customHeight="1" x14ac:dyDescent="0.3">
      <c r="A749" s="2"/>
      <c r="B749" s="65" t="str">
        <f t="shared" si="90"/>
        <v/>
      </c>
      <c r="C749" s="66"/>
      <c r="D749" s="60"/>
      <c r="E749" s="61"/>
      <c r="F749" s="61"/>
      <c r="G749" s="67"/>
      <c r="H749" s="60"/>
      <c r="I749" s="60"/>
      <c r="J749" s="61"/>
      <c r="K749" s="61"/>
      <c r="L749" s="60"/>
      <c r="M749" s="74" t="str">
        <f t="shared" si="91"/>
        <v/>
      </c>
      <c r="N749" s="74" t="str">
        <f t="shared" si="92"/>
        <v/>
      </c>
      <c r="O749" s="73" t="str">
        <f t="shared" si="93"/>
        <v/>
      </c>
      <c r="P749" s="65" t="str">
        <f t="shared" ca="1" si="94"/>
        <v/>
      </c>
      <c r="Q749" s="2"/>
      <c r="R749" s="2"/>
      <c r="S749" s="1" t="str">
        <f t="shared" si="95"/>
        <v/>
      </c>
      <c r="T749" s="1" t="str">
        <f>IF(OR($C749="",$D749&lt;&gt;"Gelir",$L749=""),"",IFERROR(INDEX(MUSTERILER!$B$7:$B$156,MATCH($S749,MUSTERILER!$T$7:$T$156,0)),""))</f>
        <v/>
      </c>
      <c r="U749" s="1" t="str">
        <f>IF($T749="","",$T749&amp;"|"&amp;COUNTIFS($T$7:$T749,$T749))</f>
        <v/>
      </c>
      <c r="V749" s="1">
        <f t="shared" si="96"/>
        <v>0</v>
      </c>
      <c r="W749" s="1" t="str">
        <f t="shared" si="97"/>
        <v/>
      </c>
      <c r="X749" s="1"/>
      <c r="Y749" s="1"/>
      <c r="Z749" s="1"/>
      <c r="AA749" s="1"/>
      <c r="AB749" s="1"/>
      <c r="AC749" s="1"/>
      <c r="AD749" s="1">
        <f>IF($C749="",0,SUMPRODUCT((AY_SONU!$O$7:$O$42="Evet")*(AY_SONU!$B$7:$B$42=DATE(YEAR($C749),MONTH($C749),1))))</f>
        <v>0</v>
      </c>
      <c r="AE749" s="1" t="str">
        <f>IF($E749="","",$E749&amp;"|"&amp;COUNTIFS($E$7:$E749,$E749))</f>
        <v/>
      </c>
    </row>
    <row r="750" spans="1:31" ht="18" customHeight="1" x14ac:dyDescent="0.3">
      <c r="A750" s="2"/>
      <c r="B750" s="65" t="str">
        <f t="shared" si="90"/>
        <v/>
      </c>
      <c r="C750" s="66"/>
      <c r="D750" s="60"/>
      <c r="E750" s="61"/>
      <c r="F750" s="61"/>
      <c r="G750" s="67"/>
      <c r="H750" s="60"/>
      <c r="I750" s="60"/>
      <c r="J750" s="61"/>
      <c r="K750" s="61"/>
      <c r="L750" s="60"/>
      <c r="M750" s="74" t="str">
        <f t="shared" si="91"/>
        <v/>
      </c>
      <c r="N750" s="74" t="str">
        <f t="shared" si="92"/>
        <v/>
      </c>
      <c r="O750" s="73" t="str">
        <f t="shared" si="93"/>
        <v/>
      </c>
      <c r="P750" s="65" t="str">
        <f t="shared" ca="1" si="94"/>
        <v/>
      </c>
      <c r="Q750" s="2"/>
      <c r="R750" s="2"/>
      <c r="S750" s="1" t="str">
        <f t="shared" si="95"/>
        <v/>
      </c>
      <c r="T750" s="1" t="str">
        <f>IF(OR($C750="",$D750&lt;&gt;"Gelir",$L750=""),"",IFERROR(INDEX(MUSTERILER!$B$7:$B$156,MATCH($S750,MUSTERILER!$T$7:$T$156,0)),""))</f>
        <v/>
      </c>
      <c r="U750" s="1" t="str">
        <f>IF($T750="","",$T750&amp;"|"&amp;COUNTIFS($T$7:$T750,$T750))</f>
        <v/>
      </c>
      <c r="V750" s="1">
        <f t="shared" si="96"/>
        <v>0</v>
      </c>
      <c r="W750" s="1" t="str">
        <f t="shared" si="97"/>
        <v/>
      </c>
      <c r="X750" s="1"/>
      <c r="Y750" s="1"/>
      <c r="Z750" s="1"/>
      <c r="AA750" s="1"/>
      <c r="AB750" s="1"/>
      <c r="AC750" s="1"/>
      <c r="AD750" s="1">
        <f>IF($C750="",0,SUMPRODUCT((AY_SONU!$O$7:$O$42="Evet")*(AY_SONU!$B$7:$B$42=DATE(YEAR($C750),MONTH($C750),1))))</f>
        <v>0</v>
      </c>
      <c r="AE750" s="1" t="str">
        <f>IF($E750="","",$E750&amp;"|"&amp;COUNTIFS($E$7:$E750,$E750))</f>
        <v/>
      </c>
    </row>
    <row r="751" spans="1:31" ht="18" customHeight="1" x14ac:dyDescent="0.3">
      <c r="A751" s="2"/>
      <c r="B751" s="65" t="str">
        <f t="shared" si="90"/>
        <v/>
      </c>
      <c r="C751" s="66"/>
      <c r="D751" s="60"/>
      <c r="E751" s="61"/>
      <c r="F751" s="61"/>
      <c r="G751" s="67"/>
      <c r="H751" s="60"/>
      <c r="I751" s="60"/>
      <c r="J751" s="61"/>
      <c r="K751" s="61"/>
      <c r="L751" s="60"/>
      <c r="M751" s="74" t="str">
        <f t="shared" si="91"/>
        <v/>
      </c>
      <c r="N751" s="74" t="str">
        <f t="shared" si="92"/>
        <v/>
      </c>
      <c r="O751" s="73" t="str">
        <f t="shared" si="93"/>
        <v/>
      </c>
      <c r="P751" s="65" t="str">
        <f t="shared" ca="1" si="94"/>
        <v/>
      </c>
      <c r="Q751" s="2"/>
      <c r="R751" s="2"/>
      <c r="S751" s="1" t="str">
        <f t="shared" si="95"/>
        <v/>
      </c>
      <c r="T751" s="1" t="str">
        <f>IF(OR($C751="",$D751&lt;&gt;"Gelir",$L751=""),"",IFERROR(INDEX(MUSTERILER!$B$7:$B$156,MATCH($S751,MUSTERILER!$T$7:$T$156,0)),""))</f>
        <v/>
      </c>
      <c r="U751" s="1" t="str">
        <f>IF($T751="","",$T751&amp;"|"&amp;COUNTIFS($T$7:$T751,$T751))</f>
        <v/>
      </c>
      <c r="V751" s="1">
        <f t="shared" si="96"/>
        <v>0</v>
      </c>
      <c r="W751" s="1" t="str">
        <f t="shared" si="97"/>
        <v/>
      </c>
      <c r="X751" s="1"/>
      <c r="Y751" s="1"/>
      <c r="Z751" s="1"/>
      <c r="AA751" s="1"/>
      <c r="AB751" s="1"/>
      <c r="AC751" s="1"/>
      <c r="AD751" s="1">
        <f>IF($C751="",0,SUMPRODUCT((AY_SONU!$O$7:$O$42="Evet")*(AY_SONU!$B$7:$B$42=DATE(YEAR($C751),MONTH($C751),1))))</f>
        <v>0</v>
      </c>
      <c r="AE751" s="1" t="str">
        <f>IF($E751="","",$E751&amp;"|"&amp;COUNTIFS($E$7:$E751,$E751))</f>
        <v/>
      </c>
    </row>
    <row r="752" spans="1:31" ht="18" customHeight="1" x14ac:dyDescent="0.3">
      <c r="A752" s="2"/>
      <c r="B752" s="65" t="str">
        <f t="shared" si="90"/>
        <v/>
      </c>
      <c r="C752" s="66"/>
      <c r="D752" s="60"/>
      <c r="E752" s="61"/>
      <c r="F752" s="61"/>
      <c r="G752" s="67"/>
      <c r="H752" s="60"/>
      <c r="I752" s="60"/>
      <c r="J752" s="61"/>
      <c r="K752" s="61"/>
      <c r="L752" s="60"/>
      <c r="M752" s="74" t="str">
        <f t="shared" si="91"/>
        <v/>
      </c>
      <c r="N752" s="74" t="str">
        <f t="shared" si="92"/>
        <v/>
      </c>
      <c r="O752" s="73" t="str">
        <f t="shared" si="93"/>
        <v/>
      </c>
      <c r="P752" s="65" t="str">
        <f t="shared" ca="1" si="94"/>
        <v/>
      </c>
      <c r="Q752" s="2"/>
      <c r="R752" s="2"/>
      <c r="S752" s="1" t="str">
        <f t="shared" si="95"/>
        <v/>
      </c>
      <c r="T752" s="1" t="str">
        <f>IF(OR($C752="",$D752&lt;&gt;"Gelir",$L752=""),"",IFERROR(INDEX(MUSTERILER!$B$7:$B$156,MATCH($S752,MUSTERILER!$T$7:$T$156,0)),""))</f>
        <v/>
      </c>
      <c r="U752" s="1" t="str">
        <f>IF($T752="","",$T752&amp;"|"&amp;COUNTIFS($T$7:$T752,$T752))</f>
        <v/>
      </c>
      <c r="V752" s="1">
        <f t="shared" si="96"/>
        <v>0</v>
      </c>
      <c r="W752" s="1" t="str">
        <f t="shared" si="97"/>
        <v/>
      </c>
      <c r="X752" s="1"/>
      <c r="Y752" s="1"/>
      <c r="Z752" s="1"/>
      <c r="AA752" s="1"/>
      <c r="AB752" s="1"/>
      <c r="AC752" s="1"/>
      <c r="AD752" s="1">
        <f>IF($C752="",0,SUMPRODUCT((AY_SONU!$O$7:$O$42="Evet")*(AY_SONU!$B$7:$B$42=DATE(YEAR($C752),MONTH($C752),1))))</f>
        <v>0</v>
      </c>
      <c r="AE752" s="1" t="str">
        <f>IF($E752="","",$E752&amp;"|"&amp;COUNTIFS($E$7:$E752,$E752))</f>
        <v/>
      </c>
    </row>
    <row r="753" spans="1:31" ht="18" customHeight="1" x14ac:dyDescent="0.3">
      <c r="A753" s="2"/>
      <c r="B753" s="65" t="str">
        <f t="shared" si="90"/>
        <v/>
      </c>
      <c r="C753" s="66"/>
      <c r="D753" s="60"/>
      <c r="E753" s="61"/>
      <c r="F753" s="61"/>
      <c r="G753" s="67"/>
      <c r="H753" s="60"/>
      <c r="I753" s="60"/>
      <c r="J753" s="61"/>
      <c r="K753" s="61"/>
      <c r="L753" s="60"/>
      <c r="M753" s="74" t="str">
        <f t="shared" si="91"/>
        <v/>
      </c>
      <c r="N753" s="74" t="str">
        <f t="shared" si="92"/>
        <v/>
      </c>
      <c r="O753" s="73" t="str">
        <f t="shared" si="93"/>
        <v/>
      </c>
      <c r="P753" s="65" t="str">
        <f t="shared" ca="1" si="94"/>
        <v/>
      </c>
      <c r="Q753" s="2"/>
      <c r="R753" s="2"/>
      <c r="S753" s="1" t="str">
        <f t="shared" si="95"/>
        <v/>
      </c>
      <c r="T753" s="1" t="str">
        <f>IF(OR($C753="",$D753&lt;&gt;"Gelir",$L753=""),"",IFERROR(INDEX(MUSTERILER!$B$7:$B$156,MATCH($S753,MUSTERILER!$T$7:$T$156,0)),""))</f>
        <v/>
      </c>
      <c r="U753" s="1" t="str">
        <f>IF($T753="","",$T753&amp;"|"&amp;COUNTIFS($T$7:$T753,$T753))</f>
        <v/>
      </c>
      <c r="V753" s="1">
        <f t="shared" si="96"/>
        <v>0</v>
      </c>
      <c r="W753" s="1" t="str">
        <f t="shared" si="97"/>
        <v/>
      </c>
      <c r="X753" s="1"/>
      <c r="Y753" s="1"/>
      <c r="Z753" s="1"/>
      <c r="AA753" s="1"/>
      <c r="AB753" s="1"/>
      <c r="AC753" s="1"/>
      <c r="AD753" s="1">
        <f>IF($C753="",0,SUMPRODUCT((AY_SONU!$O$7:$O$42="Evet")*(AY_SONU!$B$7:$B$42=DATE(YEAR($C753),MONTH($C753),1))))</f>
        <v>0</v>
      </c>
      <c r="AE753" s="1" t="str">
        <f>IF($E753="","",$E753&amp;"|"&amp;COUNTIFS($E$7:$E753,$E753))</f>
        <v/>
      </c>
    </row>
    <row r="754" spans="1:31" ht="18" customHeight="1" x14ac:dyDescent="0.3">
      <c r="A754" s="2"/>
      <c r="B754" s="65" t="str">
        <f t="shared" si="90"/>
        <v/>
      </c>
      <c r="C754" s="66"/>
      <c r="D754" s="60"/>
      <c r="E754" s="61"/>
      <c r="F754" s="61"/>
      <c r="G754" s="67"/>
      <c r="H754" s="60"/>
      <c r="I754" s="60"/>
      <c r="J754" s="61"/>
      <c r="K754" s="61"/>
      <c r="L754" s="60"/>
      <c r="M754" s="74" t="str">
        <f t="shared" si="91"/>
        <v/>
      </c>
      <c r="N754" s="74" t="str">
        <f t="shared" si="92"/>
        <v/>
      </c>
      <c r="O754" s="73" t="str">
        <f t="shared" si="93"/>
        <v/>
      </c>
      <c r="P754" s="65" t="str">
        <f t="shared" ca="1" si="94"/>
        <v/>
      </c>
      <c r="Q754" s="2"/>
      <c r="R754" s="2"/>
      <c r="S754" s="1" t="str">
        <f t="shared" si="95"/>
        <v/>
      </c>
      <c r="T754" s="1" t="str">
        <f>IF(OR($C754="",$D754&lt;&gt;"Gelir",$L754=""),"",IFERROR(INDEX(MUSTERILER!$B$7:$B$156,MATCH($S754,MUSTERILER!$T$7:$T$156,0)),""))</f>
        <v/>
      </c>
      <c r="U754" s="1" t="str">
        <f>IF($T754="","",$T754&amp;"|"&amp;COUNTIFS($T$7:$T754,$T754))</f>
        <v/>
      </c>
      <c r="V754" s="1">
        <f t="shared" si="96"/>
        <v>0</v>
      </c>
      <c r="W754" s="1" t="str">
        <f t="shared" si="97"/>
        <v/>
      </c>
      <c r="X754" s="1"/>
      <c r="Y754" s="1"/>
      <c r="Z754" s="1"/>
      <c r="AA754" s="1"/>
      <c r="AB754" s="1"/>
      <c r="AC754" s="1"/>
      <c r="AD754" s="1">
        <f>IF($C754="",0,SUMPRODUCT((AY_SONU!$O$7:$O$42="Evet")*(AY_SONU!$B$7:$B$42=DATE(YEAR($C754),MONTH($C754),1))))</f>
        <v>0</v>
      </c>
      <c r="AE754" s="1" t="str">
        <f>IF($E754="","",$E754&amp;"|"&amp;COUNTIFS($E$7:$E754,$E754))</f>
        <v/>
      </c>
    </row>
    <row r="755" spans="1:31" ht="18" customHeight="1" x14ac:dyDescent="0.3">
      <c r="A755" s="2"/>
      <c r="B755" s="65" t="str">
        <f t="shared" si="90"/>
        <v/>
      </c>
      <c r="C755" s="66"/>
      <c r="D755" s="60"/>
      <c r="E755" s="61"/>
      <c r="F755" s="61"/>
      <c r="G755" s="67"/>
      <c r="H755" s="60"/>
      <c r="I755" s="60"/>
      <c r="J755" s="61"/>
      <c r="K755" s="61"/>
      <c r="L755" s="60"/>
      <c r="M755" s="74" t="str">
        <f t="shared" si="91"/>
        <v/>
      </c>
      <c r="N755" s="74" t="str">
        <f t="shared" si="92"/>
        <v/>
      </c>
      <c r="O755" s="73" t="str">
        <f t="shared" si="93"/>
        <v/>
      </c>
      <c r="P755" s="65" t="str">
        <f t="shared" ca="1" si="94"/>
        <v/>
      </c>
      <c r="Q755" s="2"/>
      <c r="R755" s="2"/>
      <c r="S755" s="1" t="str">
        <f t="shared" si="95"/>
        <v/>
      </c>
      <c r="T755" s="1" t="str">
        <f>IF(OR($C755="",$D755&lt;&gt;"Gelir",$L755=""),"",IFERROR(INDEX(MUSTERILER!$B$7:$B$156,MATCH($S755,MUSTERILER!$T$7:$T$156,0)),""))</f>
        <v/>
      </c>
      <c r="U755" s="1" t="str">
        <f>IF($T755="","",$T755&amp;"|"&amp;COUNTIFS($T$7:$T755,$T755))</f>
        <v/>
      </c>
      <c r="V755" s="1">
        <f t="shared" si="96"/>
        <v>0</v>
      </c>
      <c r="W755" s="1" t="str">
        <f t="shared" si="97"/>
        <v/>
      </c>
      <c r="X755" s="1"/>
      <c r="Y755" s="1"/>
      <c r="Z755" s="1"/>
      <c r="AA755" s="1"/>
      <c r="AB755" s="1"/>
      <c r="AC755" s="1"/>
      <c r="AD755" s="1">
        <f>IF($C755="",0,SUMPRODUCT((AY_SONU!$O$7:$O$42="Evet")*(AY_SONU!$B$7:$B$42=DATE(YEAR($C755),MONTH($C755),1))))</f>
        <v>0</v>
      </c>
      <c r="AE755" s="1" t="str">
        <f>IF($E755="","",$E755&amp;"|"&amp;COUNTIFS($E$7:$E755,$E755))</f>
        <v/>
      </c>
    </row>
    <row r="756" spans="1:31" ht="18" customHeight="1" x14ac:dyDescent="0.3">
      <c r="A756" s="2"/>
      <c r="B756" s="65" t="str">
        <f t="shared" si="90"/>
        <v/>
      </c>
      <c r="C756" s="66"/>
      <c r="D756" s="60"/>
      <c r="E756" s="61"/>
      <c r="F756" s="61"/>
      <c r="G756" s="67"/>
      <c r="H756" s="60"/>
      <c r="I756" s="60"/>
      <c r="J756" s="61"/>
      <c r="K756" s="61"/>
      <c r="L756" s="60"/>
      <c r="M756" s="74" t="str">
        <f t="shared" si="91"/>
        <v/>
      </c>
      <c r="N756" s="74" t="str">
        <f t="shared" si="92"/>
        <v/>
      </c>
      <c r="O756" s="73" t="str">
        <f t="shared" si="93"/>
        <v/>
      </c>
      <c r="P756" s="65" t="str">
        <f t="shared" ca="1" si="94"/>
        <v/>
      </c>
      <c r="Q756" s="2"/>
      <c r="R756" s="2"/>
      <c r="S756" s="1" t="str">
        <f t="shared" si="95"/>
        <v/>
      </c>
      <c r="T756" s="1" t="str">
        <f>IF(OR($C756="",$D756&lt;&gt;"Gelir",$L756=""),"",IFERROR(INDEX(MUSTERILER!$B$7:$B$156,MATCH($S756,MUSTERILER!$T$7:$T$156,0)),""))</f>
        <v/>
      </c>
      <c r="U756" s="1" t="str">
        <f>IF($T756="","",$T756&amp;"|"&amp;COUNTIFS($T$7:$T756,$T756))</f>
        <v/>
      </c>
      <c r="V756" s="1">
        <f t="shared" si="96"/>
        <v>0</v>
      </c>
      <c r="W756" s="1" t="str">
        <f t="shared" si="97"/>
        <v/>
      </c>
      <c r="X756" s="1"/>
      <c r="Y756" s="1"/>
      <c r="Z756" s="1"/>
      <c r="AA756" s="1"/>
      <c r="AB756" s="1"/>
      <c r="AC756" s="1"/>
      <c r="AD756" s="1">
        <f>IF($C756="",0,SUMPRODUCT((AY_SONU!$O$7:$O$42="Evet")*(AY_SONU!$B$7:$B$42=DATE(YEAR($C756),MONTH($C756),1))))</f>
        <v>0</v>
      </c>
      <c r="AE756" s="1" t="str">
        <f>IF($E756="","",$E756&amp;"|"&amp;COUNTIFS($E$7:$E756,$E756))</f>
        <v/>
      </c>
    </row>
    <row r="757" spans="1:31" ht="18" customHeight="1" x14ac:dyDescent="0.3">
      <c r="A757" s="2"/>
      <c r="B757" s="65" t="str">
        <f t="shared" si="90"/>
        <v/>
      </c>
      <c r="C757" s="66"/>
      <c r="D757" s="60"/>
      <c r="E757" s="61"/>
      <c r="F757" s="61"/>
      <c r="G757" s="67"/>
      <c r="H757" s="60"/>
      <c r="I757" s="60"/>
      <c r="J757" s="61"/>
      <c r="K757" s="61"/>
      <c r="L757" s="60"/>
      <c r="M757" s="74" t="str">
        <f t="shared" si="91"/>
        <v/>
      </c>
      <c r="N757" s="74" t="str">
        <f t="shared" si="92"/>
        <v/>
      </c>
      <c r="O757" s="73" t="str">
        <f t="shared" si="93"/>
        <v/>
      </c>
      <c r="P757" s="65" t="str">
        <f t="shared" ca="1" si="94"/>
        <v/>
      </c>
      <c r="Q757" s="2"/>
      <c r="R757" s="2"/>
      <c r="S757" s="1" t="str">
        <f t="shared" si="95"/>
        <v/>
      </c>
      <c r="T757" s="1" t="str">
        <f>IF(OR($C757="",$D757&lt;&gt;"Gelir",$L757=""),"",IFERROR(INDEX(MUSTERILER!$B$7:$B$156,MATCH($S757,MUSTERILER!$T$7:$T$156,0)),""))</f>
        <v/>
      </c>
      <c r="U757" s="1" t="str">
        <f>IF($T757="","",$T757&amp;"|"&amp;COUNTIFS($T$7:$T757,$T757))</f>
        <v/>
      </c>
      <c r="V757" s="1">
        <f t="shared" si="96"/>
        <v>0</v>
      </c>
      <c r="W757" s="1" t="str">
        <f t="shared" si="97"/>
        <v/>
      </c>
      <c r="X757" s="1"/>
      <c r="Y757" s="1"/>
      <c r="Z757" s="1"/>
      <c r="AA757" s="1"/>
      <c r="AB757" s="1"/>
      <c r="AC757" s="1"/>
      <c r="AD757" s="1">
        <f>IF($C757="",0,SUMPRODUCT((AY_SONU!$O$7:$O$42="Evet")*(AY_SONU!$B$7:$B$42=DATE(YEAR($C757),MONTH($C757),1))))</f>
        <v>0</v>
      </c>
      <c r="AE757" s="1" t="str">
        <f>IF($E757="","",$E757&amp;"|"&amp;COUNTIFS($E$7:$E757,$E757))</f>
        <v/>
      </c>
    </row>
    <row r="758" spans="1:31" ht="18" customHeight="1" x14ac:dyDescent="0.3">
      <c r="A758" s="2"/>
      <c r="B758" s="65" t="str">
        <f t="shared" si="90"/>
        <v/>
      </c>
      <c r="C758" s="66"/>
      <c r="D758" s="60"/>
      <c r="E758" s="61"/>
      <c r="F758" s="61"/>
      <c r="G758" s="67"/>
      <c r="H758" s="60"/>
      <c r="I758" s="60"/>
      <c r="J758" s="61"/>
      <c r="K758" s="61"/>
      <c r="L758" s="60"/>
      <c r="M758" s="74" t="str">
        <f t="shared" si="91"/>
        <v/>
      </c>
      <c r="N758" s="74" t="str">
        <f t="shared" si="92"/>
        <v/>
      </c>
      <c r="O758" s="73" t="str">
        <f t="shared" si="93"/>
        <v/>
      </c>
      <c r="P758" s="65" t="str">
        <f t="shared" ca="1" si="94"/>
        <v/>
      </c>
      <c r="Q758" s="2"/>
      <c r="R758" s="2"/>
      <c r="S758" s="1" t="str">
        <f t="shared" si="95"/>
        <v/>
      </c>
      <c r="T758" s="1" t="str">
        <f>IF(OR($C758="",$D758&lt;&gt;"Gelir",$L758=""),"",IFERROR(INDEX(MUSTERILER!$B$7:$B$156,MATCH($S758,MUSTERILER!$T$7:$T$156,0)),""))</f>
        <v/>
      </c>
      <c r="U758" s="1" t="str">
        <f>IF($T758="","",$T758&amp;"|"&amp;COUNTIFS($T$7:$T758,$T758))</f>
        <v/>
      </c>
      <c r="V758" s="1">
        <f t="shared" si="96"/>
        <v>0</v>
      </c>
      <c r="W758" s="1" t="str">
        <f t="shared" si="97"/>
        <v/>
      </c>
      <c r="X758" s="1"/>
      <c r="Y758" s="1"/>
      <c r="Z758" s="1"/>
      <c r="AA758" s="1"/>
      <c r="AB758" s="1"/>
      <c r="AC758" s="1"/>
      <c r="AD758" s="1">
        <f>IF($C758="",0,SUMPRODUCT((AY_SONU!$O$7:$O$42="Evet")*(AY_SONU!$B$7:$B$42=DATE(YEAR($C758),MONTH($C758),1))))</f>
        <v>0</v>
      </c>
      <c r="AE758" s="1" t="str">
        <f>IF($E758="","",$E758&amp;"|"&amp;COUNTIFS($E$7:$E758,$E758))</f>
        <v/>
      </c>
    </row>
    <row r="759" spans="1:31" ht="18" customHeight="1" x14ac:dyDescent="0.3">
      <c r="A759" s="2"/>
      <c r="B759" s="65" t="str">
        <f t="shared" si="90"/>
        <v/>
      </c>
      <c r="C759" s="66"/>
      <c r="D759" s="60"/>
      <c r="E759" s="61"/>
      <c r="F759" s="61"/>
      <c r="G759" s="67"/>
      <c r="H759" s="60"/>
      <c r="I759" s="60"/>
      <c r="J759" s="61"/>
      <c r="K759" s="61"/>
      <c r="L759" s="60"/>
      <c r="M759" s="74" t="str">
        <f t="shared" si="91"/>
        <v/>
      </c>
      <c r="N759" s="74" t="str">
        <f t="shared" si="92"/>
        <v/>
      </c>
      <c r="O759" s="73" t="str">
        <f t="shared" si="93"/>
        <v/>
      </c>
      <c r="P759" s="65" t="str">
        <f t="shared" ca="1" si="94"/>
        <v/>
      </c>
      <c r="Q759" s="2"/>
      <c r="R759" s="2"/>
      <c r="S759" s="1" t="str">
        <f t="shared" si="95"/>
        <v/>
      </c>
      <c r="T759" s="1" t="str">
        <f>IF(OR($C759="",$D759&lt;&gt;"Gelir",$L759=""),"",IFERROR(INDEX(MUSTERILER!$B$7:$B$156,MATCH($S759,MUSTERILER!$T$7:$T$156,0)),""))</f>
        <v/>
      </c>
      <c r="U759" s="1" t="str">
        <f>IF($T759="","",$T759&amp;"|"&amp;COUNTIFS($T$7:$T759,$T759))</f>
        <v/>
      </c>
      <c r="V759" s="1">
        <f t="shared" si="96"/>
        <v>0</v>
      </c>
      <c r="W759" s="1" t="str">
        <f t="shared" si="97"/>
        <v/>
      </c>
      <c r="X759" s="1"/>
      <c r="Y759" s="1"/>
      <c r="Z759" s="1"/>
      <c r="AA759" s="1"/>
      <c r="AB759" s="1"/>
      <c r="AC759" s="1"/>
      <c r="AD759" s="1">
        <f>IF($C759="",0,SUMPRODUCT((AY_SONU!$O$7:$O$42="Evet")*(AY_SONU!$B$7:$B$42=DATE(YEAR($C759),MONTH($C759),1))))</f>
        <v>0</v>
      </c>
      <c r="AE759" s="1" t="str">
        <f>IF($E759="","",$E759&amp;"|"&amp;COUNTIFS($E$7:$E759,$E759))</f>
        <v/>
      </c>
    </row>
    <row r="760" spans="1:31" ht="18" customHeight="1" x14ac:dyDescent="0.3">
      <c r="A760" s="2"/>
      <c r="B760" s="65" t="str">
        <f t="shared" si="90"/>
        <v/>
      </c>
      <c r="C760" s="66"/>
      <c r="D760" s="60"/>
      <c r="E760" s="61"/>
      <c r="F760" s="61"/>
      <c r="G760" s="67"/>
      <c r="H760" s="60"/>
      <c r="I760" s="60"/>
      <c r="J760" s="61"/>
      <c r="K760" s="61"/>
      <c r="L760" s="60"/>
      <c r="M760" s="74" t="str">
        <f t="shared" si="91"/>
        <v/>
      </c>
      <c r="N760" s="74" t="str">
        <f t="shared" si="92"/>
        <v/>
      </c>
      <c r="O760" s="73" t="str">
        <f t="shared" si="93"/>
        <v/>
      </c>
      <c r="P760" s="65" t="str">
        <f t="shared" ca="1" si="94"/>
        <v/>
      </c>
      <c r="Q760" s="2"/>
      <c r="R760" s="2"/>
      <c r="S760" s="1" t="str">
        <f t="shared" si="95"/>
        <v/>
      </c>
      <c r="T760" s="1" t="str">
        <f>IF(OR($C760="",$D760&lt;&gt;"Gelir",$L760=""),"",IFERROR(INDEX(MUSTERILER!$B$7:$B$156,MATCH($S760,MUSTERILER!$T$7:$T$156,0)),""))</f>
        <v/>
      </c>
      <c r="U760" s="1" t="str">
        <f>IF($T760="","",$T760&amp;"|"&amp;COUNTIFS($T$7:$T760,$T760))</f>
        <v/>
      </c>
      <c r="V760" s="1">
        <f t="shared" si="96"/>
        <v>0</v>
      </c>
      <c r="W760" s="1" t="str">
        <f t="shared" si="97"/>
        <v/>
      </c>
      <c r="X760" s="1"/>
      <c r="Y760" s="1"/>
      <c r="Z760" s="1"/>
      <c r="AA760" s="1"/>
      <c r="AB760" s="1"/>
      <c r="AC760" s="1"/>
      <c r="AD760" s="1">
        <f>IF($C760="",0,SUMPRODUCT((AY_SONU!$O$7:$O$42="Evet")*(AY_SONU!$B$7:$B$42=DATE(YEAR($C760),MONTH($C760),1))))</f>
        <v>0</v>
      </c>
      <c r="AE760" s="1" t="str">
        <f>IF($E760="","",$E760&amp;"|"&amp;COUNTIFS($E$7:$E760,$E760))</f>
        <v/>
      </c>
    </row>
    <row r="761" spans="1:31" ht="18" customHeight="1" x14ac:dyDescent="0.3">
      <c r="A761" s="2"/>
      <c r="B761" s="65" t="str">
        <f t="shared" si="90"/>
        <v/>
      </c>
      <c r="C761" s="66"/>
      <c r="D761" s="60"/>
      <c r="E761" s="61"/>
      <c r="F761" s="61"/>
      <c r="G761" s="67"/>
      <c r="H761" s="60"/>
      <c r="I761" s="60"/>
      <c r="J761" s="61"/>
      <c r="K761" s="61"/>
      <c r="L761" s="60"/>
      <c r="M761" s="74" t="str">
        <f t="shared" si="91"/>
        <v/>
      </c>
      <c r="N761" s="74" t="str">
        <f t="shared" si="92"/>
        <v/>
      </c>
      <c r="O761" s="73" t="str">
        <f t="shared" si="93"/>
        <v/>
      </c>
      <c r="P761" s="65" t="str">
        <f t="shared" ca="1" si="94"/>
        <v/>
      </c>
      <c r="Q761" s="2"/>
      <c r="R761" s="2"/>
      <c r="S761" s="1" t="str">
        <f t="shared" si="95"/>
        <v/>
      </c>
      <c r="T761" s="1" t="str">
        <f>IF(OR($C761="",$D761&lt;&gt;"Gelir",$L761=""),"",IFERROR(INDEX(MUSTERILER!$B$7:$B$156,MATCH($S761,MUSTERILER!$T$7:$T$156,0)),""))</f>
        <v/>
      </c>
      <c r="U761" s="1" t="str">
        <f>IF($T761="","",$T761&amp;"|"&amp;COUNTIFS($T$7:$T761,$T761))</f>
        <v/>
      </c>
      <c r="V761" s="1">
        <f t="shared" si="96"/>
        <v>0</v>
      </c>
      <c r="W761" s="1" t="str">
        <f t="shared" si="97"/>
        <v/>
      </c>
      <c r="X761" s="1"/>
      <c r="Y761" s="1"/>
      <c r="Z761" s="1"/>
      <c r="AA761" s="1"/>
      <c r="AB761" s="1"/>
      <c r="AC761" s="1"/>
      <c r="AD761" s="1">
        <f>IF($C761="",0,SUMPRODUCT((AY_SONU!$O$7:$O$42="Evet")*(AY_SONU!$B$7:$B$42=DATE(YEAR($C761),MONTH($C761),1))))</f>
        <v>0</v>
      </c>
      <c r="AE761" s="1" t="str">
        <f>IF($E761="","",$E761&amp;"|"&amp;COUNTIFS($E$7:$E761,$E761))</f>
        <v/>
      </c>
    </row>
    <row r="762" spans="1:31" ht="18" customHeight="1" x14ac:dyDescent="0.3">
      <c r="A762" s="2"/>
      <c r="B762" s="65" t="str">
        <f t="shared" si="90"/>
        <v/>
      </c>
      <c r="C762" s="66"/>
      <c r="D762" s="60"/>
      <c r="E762" s="61"/>
      <c r="F762" s="61"/>
      <c r="G762" s="67"/>
      <c r="H762" s="60"/>
      <c r="I762" s="60"/>
      <c r="J762" s="61"/>
      <c r="K762" s="61"/>
      <c r="L762" s="60"/>
      <c r="M762" s="74" t="str">
        <f t="shared" si="91"/>
        <v/>
      </c>
      <c r="N762" s="74" t="str">
        <f t="shared" si="92"/>
        <v/>
      </c>
      <c r="O762" s="73" t="str">
        <f t="shared" si="93"/>
        <v/>
      </c>
      <c r="P762" s="65" t="str">
        <f t="shared" ca="1" si="94"/>
        <v/>
      </c>
      <c r="Q762" s="2"/>
      <c r="R762" s="2"/>
      <c r="S762" s="1" t="str">
        <f t="shared" si="95"/>
        <v/>
      </c>
      <c r="T762" s="1" t="str">
        <f>IF(OR($C762="",$D762&lt;&gt;"Gelir",$L762=""),"",IFERROR(INDEX(MUSTERILER!$B$7:$B$156,MATCH($S762,MUSTERILER!$T$7:$T$156,0)),""))</f>
        <v/>
      </c>
      <c r="U762" s="1" t="str">
        <f>IF($T762="","",$T762&amp;"|"&amp;COUNTIFS($T$7:$T762,$T762))</f>
        <v/>
      </c>
      <c r="V762" s="1">
        <f t="shared" si="96"/>
        <v>0</v>
      </c>
      <c r="W762" s="1" t="str">
        <f t="shared" si="97"/>
        <v/>
      </c>
      <c r="X762" s="1"/>
      <c r="Y762" s="1"/>
      <c r="Z762" s="1"/>
      <c r="AA762" s="1"/>
      <c r="AB762" s="1"/>
      <c r="AC762" s="1"/>
      <c r="AD762" s="1">
        <f>IF($C762="",0,SUMPRODUCT((AY_SONU!$O$7:$O$42="Evet")*(AY_SONU!$B$7:$B$42=DATE(YEAR($C762),MONTH($C762),1))))</f>
        <v>0</v>
      </c>
      <c r="AE762" s="1" t="str">
        <f>IF($E762="","",$E762&amp;"|"&amp;COUNTIFS($E$7:$E762,$E762))</f>
        <v/>
      </c>
    </row>
    <row r="763" spans="1:31" ht="18" customHeight="1" x14ac:dyDescent="0.3">
      <c r="A763" s="2"/>
      <c r="B763" s="65" t="str">
        <f t="shared" si="90"/>
        <v/>
      </c>
      <c r="C763" s="66"/>
      <c r="D763" s="60"/>
      <c r="E763" s="61"/>
      <c r="F763" s="61"/>
      <c r="G763" s="67"/>
      <c r="H763" s="60"/>
      <c r="I763" s="60"/>
      <c r="J763" s="61"/>
      <c r="K763" s="61"/>
      <c r="L763" s="60"/>
      <c r="M763" s="74" t="str">
        <f t="shared" si="91"/>
        <v/>
      </c>
      <c r="N763" s="74" t="str">
        <f t="shared" si="92"/>
        <v/>
      </c>
      <c r="O763" s="73" t="str">
        <f t="shared" si="93"/>
        <v/>
      </c>
      <c r="P763" s="65" t="str">
        <f t="shared" ca="1" si="94"/>
        <v/>
      </c>
      <c r="Q763" s="2"/>
      <c r="R763" s="2"/>
      <c r="S763" s="1" t="str">
        <f t="shared" si="95"/>
        <v/>
      </c>
      <c r="T763" s="1" t="str">
        <f>IF(OR($C763="",$D763&lt;&gt;"Gelir",$L763=""),"",IFERROR(INDEX(MUSTERILER!$B$7:$B$156,MATCH($S763,MUSTERILER!$T$7:$T$156,0)),""))</f>
        <v/>
      </c>
      <c r="U763" s="1" t="str">
        <f>IF($T763="","",$T763&amp;"|"&amp;COUNTIFS($T$7:$T763,$T763))</f>
        <v/>
      </c>
      <c r="V763" s="1">
        <f t="shared" si="96"/>
        <v>0</v>
      </c>
      <c r="W763" s="1" t="str">
        <f t="shared" si="97"/>
        <v/>
      </c>
      <c r="X763" s="1"/>
      <c r="Y763" s="1"/>
      <c r="Z763" s="1"/>
      <c r="AA763" s="1"/>
      <c r="AB763" s="1"/>
      <c r="AC763" s="1"/>
      <c r="AD763" s="1">
        <f>IF($C763="",0,SUMPRODUCT((AY_SONU!$O$7:$O$42="Evet")*(AY_SONU!$B$7:$B$42=DATE(YEAR($C763),MONTH($C763),1))))</f>
        <v>0</v>
      </c>
      <c r="AE763" s="1" t="str">
        <f>IF($E763="","",$E763&amp;"|"&amp;COUNTIFS($E$7:$E763,$E763))</f>
        <v/>
      </c>
    </row>
    <row r="764" spans="1:31" ht="18" customHeight="1" x14ac:dyDescent="0.3">
      <c r="A764" s="2"/>
      <c r="B764" s="65" t="str">
        <f t="shared" si="90"/>
        <v/>
      </c>
      <c r="C764" s="66"/>
      <c r="D764" s="60"/>
      <c r="E764" s="61"/>
      <c r="F764" s="61"/>
      <c r="G764" s="67"/>
      <c r="H764" s="60"/>
      <c r="I764" s="60"/>
      <c r="J764" s="61"/>
      <c r="K764" s="61"/>
      <c r="L764" s="60"/>
      <c r="M764" s="74" t="str">
        <f t="shared" si="91"/>
        <v/>
      </c>
      <c r="N764" s="74" t="str">
        <f t="shared" si="92"/>
        <v/>
      </c>
      <c r="O764" s="73" t="str">
        <f t="shared" si="93"/>
        <v/>
      </c>
      <c r="P764" s="65" t="str">
        <f t="shared" ca="1" si="94"/>
        <v/>
      </c>
      <c r="Q764" s="2"/>
      <c r="R764" s="2"/>
      <c r="S764" s="1" t="str">
        <f t="shared" si="95"/>
        <v/>
      </c>
      <c r="T764" s="1" t="str">
        <f>IF(OR($C764="",$D764&lt;&gt;"Gelir",$L764=""),"",IFERROR(INDEX(MUSTERILER!$B$7:$B$156,MATCH($S764,MUSTERILER!$T$7:$T$156,0)),""))</f>
        <v/>
      </c>
      <c r="U764" s="1" t="str">
        <f>IF($T764="","",$T764&amp;"|"&amp;COUNTIFS($T$7:$T764,$T764))</f>
        <v/>
      </c>
      <c r="V764" s="1">
        <f t="shared" si="96"/>
        <v>0</v>
      </c>
      <c r="W764" s="1" t="str">
        <f t="shared" si="97"/>
        <v/>
      </c>
      <c r="X764" s="1"/>
      <c r="Y764" s="1"/>
      <c r="Z764" s="1"/>
      <c r="AA764" s="1"/>
      <c r="AB764" s="1"/>
      <c r="AC764" s="1"/>
      <c r="AD764" s="1">
        <f>IF($C764="",0,SUMPRODUCT((AY_SONU!$O$7:$O$42="Evet")*(AY_SONU!$B$7:$B$42=DATE(YEAR($C764),MONTH($C764),1))))</f>
        <v>0</v>
      </c>
      <c r="AE764" s="1" t="str">
        <f>IF($E764="","",$E764&amp;"|"&amp;COUNTIFS($E$7:$E764,$E764))</f>
        <v/>
      </c>
    </row>
    <row r="765" spans="1:31" ht="18" customHeight="1" x14ac:dyDescent="0.3">
      <c r="A765" s="2"/>
      <c r="B765" s="65" t="str">
        <f t="shared" si="90"/>
        <v/>
      </c>
      <c r="C765" s="66"/>
      <c r="D765" s="60"/>
      <c r="E765" s="61"/>
      <c r="F765" s="61"/>
      <c r="G765" s="67"/>
      <c r="H765" s="60"/>
      <c r="I765" s="60"/>
      <c r="J765" s="61"/>
      <c r="K765" s="61"/>
      <c r="L765" s="60"/>
      <c r="M765" s="74" t="str">
        <f t="shared" si="91"/>
        <v/>
      </c>
      <c r="N765" s="74" t="str">
        <f t="shared" si="92"/>
        <v/>
      </c>
      <c r="O765" s="73" t="str">
        <f t="shared" si="93"/>
        <v/>
      </c>
      <c r="P765" s="65" t="str">
        <f t="shared" ca="1" si="94"/>
        <v/>
      </c>
      <c r="Q765" s="2"/>
      <c r="R765" s="2"/>
      <c r="S765" s="1" t="str">
        <f t="shared" si="95"/>
        <v/>
      </c>
      <c r="T765" s="1" t="str">
        <f>IF(OR($C765="",$D765&lt;&gt;"Gelir",$L765=""),"",IFERROR(INDEX(MUSTERILER!$B$7:$B$156,MATCH($S765,MUSTERILER!$T$7:$T$156,0)),""))</f>
        <v/>
      </c>
      <c r="U765" s="1" t="str">
        <f>IF($T765="","",$T765&amp;"|"&amp;COUNTIFS($T$7:$T765,$T765))</f>
        <v/>
      </c>
      <c r="V765" s="1">
        <f t="shared" si="96"/>
        <v>0</v>
      </c>
      <c r="W765" s="1" t="str">
        <f t="shared" si="97"/>
        <v/>
      </c>
      <c r="X765" s="1"/>
      <c r="Y765" s="1"/>
      <c r="Z765" s="1"/>
      <c r="AA765" s="1"/>
      <c r="AB765" s="1"/>
      <c r="AC765" s="1"/>
      <c r="AD765" s="1">
        <f>IF($C765="",0,SUMPRODUCT((AY_SONU!$O$7:$O$42="Evet")*(AY_SONU!$B$7:$B$42=DATE(YEAR($C765),MONTH($C765),1))))</f>
        <v>0</v>
      </c>
      <c r="AE765" s="1" t="str">
        <f>IF($E765="","",$E765&amp;"|"&amp;COUNTIFS($E$7:$E765,$E765))</f>
        <v/>
      </c>
    </row>
    <row r="766" spans="1:31" ht="18" customHeight="1" x14ac:dyDescent="0.3">
      <c r="A766" s="2"/>
      <c r="B766" s="65" t="str">
        <f t="shared" si="90"/>
        <v/>
      </c>
      <c r="C766" s="66"/>
      <c r="D766" s="60"/>
      <c r="E766" s="61"/>
      <c r="F766" s="61"/>
      <c r="G766" s="67"/>
      <c r="H766" s="60"/>
      <c r="I766" s="60"/>
      <c r="J766" s="61"/>
      <c r="K766" s="61"/>
      <c r="L766" s="60"/>
      <c r="M766" s="74" t="str">
        <f t="shared" si="91"/>
        <v/>
      </c>
      <c r="N766" s="74" t="str">
        <f t="shared" si="92"/>
        <v/>
      </c>
      <c r="O766" s="73" t="str">
        <f t="shared" si="93"/>
        <v/>
      </c>
      <c r="P766" s="65" t="str">
        <f t="shared" ca="1" si="94"/>
        <v/>
      </c>
      <c r="Q766" s="2"/>
      <c r="R766" s="2"/>
      <c r="S766" s="1" t="str">
        <f t="shared" si="95"/>
        <v/>
      </c>
      <c r="T766" s="1" t="str">
        <f>IF(OR($C766="",$D766&lt;&gt;"Gelir",$L766=""),"",IFERROR(INDEX(MUSTERILER!$B$7:$B$156,MATCH($S766,MUSTERILER!$T$7:$T$156,0)),""))</f>
        <v/>
      </c>
      <c r="U766" s="1" t="str">
        <f>IF($T766="","",$T766&amp;"|"&amp;COUNTIFS($T$7:$T766,$T766))</f>
        <v/>
      </c>
      <c r="V766" s="1">
        <f t="shared" si="96"/>
        <v>0</v>
      </c>
      <c r="W766" s="1" t="str">
        <f t="shared" si="97"/>
        <v/>
      </c>
      <c r="X766" s="1"/>
      <c r="Y766" s="1"/>
      <c r="Z766" s="1"/>
      <c r="AA766" s="1"/>
      <c r="AB766" s="1"/>
      <c r="AC766" s="1"/>
      <c r="AD766" s="1">
        <f>IF($C766="",0,SUMPRODUCT((AY_SONU!$O$7:$O$42="Evet")*(AY_SONU!$B$7:$B$42=DATE(YEAR($C766),MONTH($C766),1))))</f>
        <v>0</v>
      </c>
      <c r="AE766" s="1" t="str">
        <f>IF($E766="","",$E766&amp;"|"&amp;COUNTIFS($E$7:$E766,$E766))</f>
        <v/>
      </c>
    </row>
    <row r="767" spans="1:31" ht="18" customHeight="1" x14ac:dyDescent="0.3">
      <c r="A767" s="2"/>
      <c r="B767" s="65" t="str">
        <f t="shared" si="90"/>
        <v/>
      </c>
      <c r="C767" s="66"/>
      <c r="D767" s="60"/>
      <c r="E767" s="61"/>
      <c r="F767" s="61"/>
      <c r="G767" s="67"/>
      <c r="H767" s="60"/>
      <c r="I767" s="60"/>
      <c r="J767" s="61"/>
      <c r="K767" s="61"/>
      <c r="L767" s="60"/>
      <c r="M767" s="74" t="str">
        <f t="shared" si="91"/>
        <v/>
      </c>
      <c r="N767" s="74" t="str">
        <f t="shared" si="92"/>
        <v/>
      </c>
      <c r="O767" s="73" t="str">
        <f t="shared" si="93"/>
        <v/>
      </c>
      <c r="P767" s="65" t="str">
        <f t="shared" ca="1" si="94"/>
        <v/>
      </c>
      <c r="Q767" s="2"/>
      <c r="R767" s="2"/>
      <c r="S767" s="1" t="str">
        <f t="shared" si="95"/>
        <v/>
      </c>
      <c r="T767" s="1" t="str">
        <f>IF(OR($C767="",$D767&lt;&gt;"Gelir",$L767=""),"",IFERROR(INDEX(MUSTERILER!$B$7:$B$156,MATCH($S767,MUSTERILER!$T$7:$T$156,0)),""))</f>
        <v/>
      </c>
      <c r="U767" s="1" t="str">
        <f>IF($T767="","",$T767&amp;"|"&amp;COUNTIFS($T$7:$T767,$T767))</f>
        <v/>
      </c>
      <c r="V767" s="1">
        <f t="shared" si="96"/>
        <v>0</v>
      </c>
      <c r="W767" s="1" t="str">
        <f t="shared" si="97"/>
        <v/>
      </c>
      <c r="X767" s="1"/>
      <c r="Y767" s="1"/>
      <c r="Z767" s="1"/>
      <c r="AA767" s="1"/>
      <c r="AB767" s="1"/>
      <c r="AC767" s="1"/>
      <c r="AD767" s="1">
        <f>IF($C767="",0,SUMPRODUCT((AY_SONU!$O$7:$O$42="Evet")*(AY_SONU!$B$7:$B$42=DATE(YEAR($C767),MONTH($C767),1))))</f>
        <v>0</v>
      </c>
      <c r="AE767" s="1" t="str">
        <f>IF($E767="","",$E767&amp;"|"&amp;COUNTIFS($E$7:$E767,$E767))</f>
        <v/>
      </c>
    </row>
    <row r="768" spans="1:31" ht="18" customHeight="1" x14ac:dyDescent="0.3">
      <c r="A768" s="2"/>
      <c r="B768" s="65" t="str">
        <f t="shared" si="90"/>
        <v/>
      </c>
      <c r="C768" s="66"/>
      <c r="D768" s="60"/>
      <c r="E768" s="61"/>
      <c r="F768" s="61"/>
      <c r="G768" s="67"/>
      <c r="H768" s="60"/>
      <c r="I768" s="60"/>
      <c r="J768" s="61"/>
      <c r="K768" s="61"/>
      <c r="L768" s="60"/>
      <c r="M768" s="74" t="str">
        <f t="shared" si="91"/>
        <v/>
      </c>
      <c r="N768" s="74" t="str">
        <f t="shared" si="92"/>
        <v/>
      </c>
      <c r="O768" s="73" t="str">
        <f t="shared" si="93"/>
        <v/>
      </c>
      <c r="P768" s="65" t="str">
        <f t="shared" ca="1" si="94"/>
        <v/>
      </c>
      <c r="Q768" s="2"/>
      <c r="R768" s="2"/>
      <c r="S768" s="1" t="str">
        <f t="shared" si="95"/>
        <v/>
      </c>
      <c r="T768" s="1" t="str">
        <f>IF(OR($C768="",$D768&lt;&gt;"Gelir",$L768=""),"",IFERROR(INDEX(MUSTERILER!$B$7:$B$156,MATCH($S768,MUSTERILER!$T$7:$T$156,0)),""))</f>
        <v/>
      </c>
      <c r="U768" s="1" t="str">
        <f>IF($T768="","",$T768&amp;"|"&amp;COUNTIFS($T$7:$T768,$T768))</f>
        <v/>
      </c>
      <c r="V768" s="1">
        <f t="shared" si="96"/>
        <v>0</v>
      </c>
      <c r="W768" s="1" t="str">
        <f t="shared" si="97"/>
        <v/>
      </c>
      <c r="X768" s="1"/>
      <c r="Y768" s="1"/>
      <c r="Z768" s="1"/>
      <c r="AA768" s="1"/>
      <c r="AB768" s="1"/>
      <c r="AC768" s="1"/>
      <c r="AD768" s="1">
        <f>IF($C768="",0,SUMPRODUCT((AY_SONU!$O$7:$O$42="Evet")*(AY_SONU!$B$7:$B$42=DATE(YEAR($C768),MONTH($C768),1))))</f>
        <v>0</v>
      </c>
      <c r="AE768" s="1" t="str">
        <f>IF($E768="","",$E768&amp;"|"&amp;COUNTIFS($E$7:$E768,$E768))</f>
        <v/>
      </c>
    </row>
    <row r="769" spans="1:31" ht="18" customHeight="1" x14ac:dyDescent="0.3">
      <c r="A769" s="2"/>
      <c r="B769" s="65" t="str">
        <f t="shared" si="90"/>
        <v/>
      </c>
      <c r="C769" s="66"/>
      <c r="D769" s="60"/>
      <c r="E769" s="61"/>
      <c r="F769" s="61"/>
      <c r="G769" s="67"/>
      <c r="H769" s="60"/>
      <c r="I769" s="60"/>
      <c r="J769" s="61"/>
      <c r="K769" s="61"/>
      <c r="L769" s="60"/>
      <c r="M769" s="74" t="str">
        <f t="shared" si="91"/>
        <v/>
      </c>
      <c r="N769" s="74" t="str">
        <f t="shared" si="92"/>
        <v/>
      </c>
      <c r="O769" s="73" t="str">
        <f t="shared" si="93"/>
        <v/>
      </c>
      <c r="P769" s="65" t="str">
        <f t="shared" ca="1" si="94"/>
        <v/>
      </c>
      <c r="Q769" s="2"/>
      <c r="R769" s="2"/>
      <c r="S769" s="1" t="str">
        <f t="shared" si="95"/>
        <v/>
      </c>
      <c r="T769" s="1" t="str">
        <f>IF(OR($C769="",$D769&lt;&gt;"Gelir",$L769=""),"",IFERROR(INDEX(MUSTERILER!$B$7:$B$156,MATCH($S769,MUSTERILER!$T$7:$T$156,0)),""))</f>
        <v/>
      </c>
      <c r="U769" s="1" t="str">
        <f>IF($T769="","",$T769&amp;"|"&amp;COUNTIFS($T$7:$T769,$T769))</f>
        <v/>
      </c>
      <c r="V769" s="1">
        <f t="shared" si="96"/>
        <v>0</v>
      </c>
      <c r="W769" s="1" t="str">
        <f t="shared" si="97"/>
        <v/>
      </c>
      <c r="X769" s="1"/>
      <c r="Y769" s="1"/>
      <c r="Z769" s="1"/>
      <c r="AA769" s="1"/>
      <c r="AB769" s="1"/>
      <c r="AC769" s="1"/>
      <c r="AD769" s="1">
        <f>IF($C769="",0,SUMPRODUCT((AY_SONU!$O$7:$O$42="Evet")*(AY_SONU!$B$7:$B$42=DATE(YEAR($C769),MONTH($C769),1))))</f>
        <v>0</v>
      </c>
      <c r="AE769" s="1" t="str">
        <f>IF($E769="","",$E769&amp;"|"&amp;COUNTIFS($E$7:$E769,$E769))</f>
        <v/>
      </c>
    </row>
    <row r="770" spans="1:31" ht="18" customHeight="1" x14ac:dyDescent="0.3">
      <c r="A770" s="2"/>
      <c r="B770" s="65" t="str">
        <f t="shared" si="90"/>
        <v/>
      </c>
      <c r="C770" s="66"/>
      <c r="D770" s="60"/>
      <c r="E770" s="61"/>
      <c r="F770" s="61"/>
      <c r="G770" s="67"/>
      <c r="H770" s="60"/>
      <c r="I770" s="60"/>
      <c r="J770" s="61"/>
      <c r="K770" s="61"/>
      <c r="L770" s="60"/>
      <c r="M770" s="74" t="str">
        <f t="shared" si="91"/>
        <v/>
      </c>
      <c r="N770" s="74" t="str">
        <f t="shared" si="92"/>
        <v/>
      </c>
      <c r="O770" s="73" t="str">
        <f t="shared" si="93"/>
        <v/>
      </c>
      <c r="P770" s="65" t="str">
        <f t="shared" ca="1" si="94"/>
        <v/>
      </c>
      <c r="Q770" s="2"/>
      <c r="R770" s="2"/>
      <c r="S770" s="1" t="str">
        <f t="shared" si="95"/>
        <v/>
      </c>
      <c r="T770" s="1" t="str">
        <f>IF(OR($C770="",$D770&lt;&gt;"Gelir",$L770=""),"",IFERROR(INDEX(MUSTERILER!$B$7:$B$156,MATCH($S770,MUSTERILER!$T$7:$T$156,0)),""))</f>
        <v/>
      </c>
      <c r="U770" s="1" t="str">
        <f>IF($T770="","",$T770&amp;"|"&amp;COUNTIFS($T$7:$T770,$T770))</f>
        <v/>
      </c>
      <c r="V770" s="1">
        <f t="shared" si="96"/>
        <v>0</v>
      </c>
      <c r="W770" s="1" t="str">
        <f t="shared" si="97"/>
        <v/>
      </c>
      <c r="X770" s="1"/>
      <c r="Y770" s="1"/>
      <c r="Z770" s="1"/>
      <c r="AA770" s="1"/>
      <c r="AB770" s="1"/>
      <c r="AC770" s="1"/>
      <c r="AD770" s="1">
        <f>IF($C770="",0,SUMPRODUCT((AY_SONU!$O$7:$O$42="Evet")*(AY_SONU!$B$7:$B$42=DATE(YEAR($C770),MONTH($C770),1))))</f>
        <v>0</v>
      </c>
      <c r="AE770" s="1" t="str">
        <f>IF($E770="","",$E770&amp;"|"&amp;COUNTIFS($E$7:$E770,$E770))</f>
        <v/>
      </c>
    </row>
    <row r="771" spans="1:31" ht="18" customHeight="1" x14ac:dyDescent="0.3">
      <c r="A771" s="2"/>
      <c r="B771" s="65" t="str">
        <f t="shared" si="90"/>
        <v/>
      </c>
      <c r="C771" s="66"/>
      <c r="D771" s="60"/>
      <c r="E771" s="61"/>
      <c r="F771" s="61"/>
      <c r="G771" s="67"/>
      <c r="H771" s="60"/>
      <c r="I771" s="60"/>
      <c r="J771" s="61"/>
      <c r="K771" s="61"/>
      <c r="L771" s="60"/>
      <c r="M771" s="74" t="str">
        <f t="shared" si="91"/>
        <v/>
      </c>
      <c r="N771" s="74" t="str">
        <f t="shared" si="92"/>
        <v/>
      </c>
      <c r="O771" s="73" t="str">
        <f t="shared" si="93"/>
        <v/>
      </c>
      <c r="P771" s="65" t="str">
        <f t="shared" ca="1" si="94"/>
        <v/>
      </c>
      <c r="Q771" s="2"/>
      <c r="R771" s="2"/>
      <c r="S771" s="1" t="str">
        <f t="shared" si="95"/>
        <v/>
      </c>
      <c r="T771" s="1" t="str">
        <f>IF(OR($C771="",$D771&lt;&gt;"Gelir",$L771=""),"",IFERROR(INDEX(MUSTERILER!$B$7:$B$156,MATCH($S771,MUSTERILER!$T$7:$T$156,0)),""))</f>
        <v/>
      </c>
      <c r="U771" s="1" t="str">
        <f>IF($T771="","",$T771&amp;"|"&amp;COUNTIFS($T$7:$T771,$T771))</f>
        <v/>
      </c>
      <c r="V771" s="1">
        <f t="shared" si="96"/>
        <v>0</v>
      </c>
      <c r="W771" s="1" t="str">
        <f t="shared" si="97"/>
        <v/>
      </c>
      <c r="X771" s="1"/>
      <c r="Y771" s="1"/>
      <c r="Z771" s="1"/>
      <c r="AA771" s="1"/>
      <c r="AB771" s="1"/>
      <c r="AC771" s="1"/>
      <c r="AD771" s="1">
        <f>IF($C771="",0,SUMPRODUCT((AY_SONU!$O$7:$O$42="Evet")*(AY_SONU!$B$7:$B$42=DATE(YEAR($C771),MONTH($C771),1))))</f>
        <v>0</v>
      </c>
      <c r="AE771" s="1" t="str">
        <f>IF($E771="","",$E771&amp;"|"&amp;COUNTIFS($E$7:$E771,$E771))</f>
        <v/>
      </c>
    </row>
    <row r="772" spans="1:31" ht="18" customHeight="1" x14ac:dyDescent="0.3">
      <c r="A772" s="2"/>
      <c r="B772" s="65" t="str">
        <f t="shared" si="90"/>
        <v/>
      </c>
      <c r="C772" s="66"/>
      <c r="D772" s="60"/>
      <c r="E772" s="61"/>
      <c r="F772" s="61"/>
      <c r="G772" s="67"/>
      <c r="H772" s="60"/>
      <c r="I772" s="60"/>
      <c r="J772" s="61"/>
      <c r="K772" s="61"/>
      <c r="L772" s="60"/>
      <c r="M772" s="74" t="str">
        <f t="shared" si="91"/>
        <v/>
      </c>
      <c r="N772" s="74" t="str">
        <f t="shared" si="92"/>
        <v/>
      </c>
      <c r="O772" s="73" t="str">
        <f t="shared" si="93"/>
        <v/>
      </c>
      <c r="P772" s="65" t="str">
        <f t="shared" ca="1" si="94"/>
        <v/>
      </c>
      <c r="Q772" s="2"/>
      <c r="R772" s="2"/>
      <c r="S772" s="1" t="str">
        <f t="shared" si="95"/>
        <v/>
      </c>
      <c r="T772" s="1" t="str">
        <f>IF(OR($C772="",$D772&lt;&gt;"Gelir",$L772=""),"",IFERROR(INDEX(MUSTERILER!$B$7:$B$156,MATCH($S772,MUSTERILER!$T$7:$T$156,0)),""))</f>
        <v/>
      </c>
      <c r="U772" s="1" t="str">
        <f>IF($T772="","",$T772&amp;"|"&amp;COUNTIFS($T$7:$T772,$T772))</f>
        <v/>
      </c>
      <c r="V772" s="1">
        <f t="shared" si="96"/>
        <v>0</v>
      </c>
      <c r="W772" s="1" t="str">
        <f t="shared" si="97"/>
        <v/>
      </c>
      <c r="X772" s="1"/>
      <c r="Y772" s="1"/>
      <c r="Z772" s="1"/>
      <c r="AA772" s="1"/>
      <c r="AB772" s="1"/>
      <c r="AC772" s="1"/>
      <c r="AD772" s="1">
        <f>IF($C772="",0,SUMPRODUCT((AY_SONU!$O$7:$O$42="Evet")*(AY_SONU!$B$7:$B$42=DATE(YEAR($C772),MONTH($C772),1))))</f>
        <v>0</v>
      </c>
      <c r="AE772" s="1" t="str">
        <f>IF($E772="","",$E772&amp;"|"&amp;COUNTIFS($E$7:$E772,$E772))</f>
        <v/>
      </c>
    </row>
    <row r="773" spans="1:31" ht="18" customHeight="1" x14ac:dyDescent="0.3">
      <c r="A773" s="2"/>
      <c r="B773" s="65" t="str">
        <f t="shared" si="90"/>
        <v/>
      </c>
      <c r="C773" s="66"/>
      <c r="D773" s="60"/>
      <c r="E773" s="61"/>
      <c r="F773" s="61"/>
      <c r="G773" s="67"/>
      <c r="H773" s="60"/>
      <c r="I773" s="60"/>
      <c r="J773" s="61"/>
      <c r="K773" s="61"/>
      <c r="L773" s="60"/>
      <c r="M773" s="74" t="str">
        <f t="shared" si="91"/>
        <v/>
      </c>
      <c r="N773" s="74" t="str">
        <f t="shared" si="92"/>
        <v/>
      </c>
      <c r="O773" s="73" t="str">
        <f t="shared" si="93"/>
        <v/>
      </c>
      <c r="P773" s="65" t="str">
        <f t="shared" ca="1" si="94"/>
        <v/>
      </c>
      <c r="Q773" s="2"/>
      <c r="R773" s="2"/>
      <c r="S773" s="1" t="str">
        <f t="shared" si="95"/>
        <v/>
      </c>
      <c r="T773" s="1" t="str">
        <f>IF(OR($C773="",$D773&lt;&gt;"Gelir",$L773=""),"",IFERROR(INDEX(MUSTERILER!$B$7:$B$156,MATCH($S773,MUSTERILER!$T$7:$T$156,0)),""))</f>
        <v/>
      </c>
      <c r="U773" s="1" t="str">
        <f>IF($T773="","",$T773&amp;"|"&amp;COUNTIFS($T$7:$T773,$T773))</f>
        <v/>
      </c>
      <c r="V773" s="1">
        <f t="shared" si="96"/>
        <v>0</v>
      </c>
      <c r="W773" s="1" t="str">
        <f t="shared" si="97"/>
        <v/>
      </c>
      <c r="X773" s="1"/>
      <c r="Y773" s="1"/>
      <c r="Z773" s="1"/>
      <c r="AA773" s="1"/>
      <c r="AB773" s="1"/>
      <c r="AC773" s="1"/>
      <c r="AD773" s="1">
        <f>IF($C773="",0,SUMPRODUCT((AY_SONU!$O$7:$O$42="Evet")*(AY_SONU!$B$7:$B$42=DATE(YEAR($C773),MONTH($C773),1))))</f>
        <v>0</v>
      </c>
      <c r="AE773" s="1" t="str">
        <f>IF($E773="","",$E773&amp;"|"&amp;COUNTIFS($E$7:$E773,$E773))</f>
        <v/>
      </c>
    </row>
    <row r="774" spans="1:31" ht="18" customHeight="1" x14ac:dyDescent="0.3">
      <c r="A774" s="2"/>
      <c r="B774" s="65" t="str">
        <f t="shared" si="90"/>
        <v/>
      </c>
      <c r="C774" s="66"/>
      <c r="D774" s="60"/>
      <c r="E774" s="61"/>
      <c r="F774" s="61"/>
      <c r="G774" s="67"/>
      <c r="H774" s="60"/>
      <c r="I774" s="60"/>
      <c r="J774" s="61"/>
      <c r="K774" s="61"/>
      <c r="L774" s="60"/>
      <c r="M774" s="74" t="str">
        <f t="shared" si="91"/>
        <v/>
      </c>
      <c r="N774" s="74" t="str">
        <f t="shared" si="92"/>
        <v/>
      </c>
      <c r="O774" s="73" t="str">
        <f t="shared" si="93"/>
        <v/>
      </c>
      <c r="P774" s="65" t="str">
        <f t="shared" ca="1" si="94"/>
        <v/>
      </c>
      <c r="Q774" s="2"/>
      <c r="R774" s="2"/>
      <c r="S774" s="1" t="str">
        <f t="shared" si="95"/>
        <v/>
      </c>
      <c r="T774" s="1" t="str">
        <f>IF(OR($C774="",$D774&lt;&gt;"Gelir",$L774=""),"",IFERROR(INDEX(MUSTERILER!$B$7:$B$156,MATCH($S774,MUSTERILER!$T$7:$T$156,0)),""))</f>
        <v/>
      </c>
      <c r="U774" s="1" t="str">
        <f>IF($T774="","",$T774&amp;"|"&amp;COUNTIFS($T$7:$T774,$T774))</f>
        <v/>
      </c>
      <c r="V774" s="1">
        <f t="shared" si="96"/>
        <v>0</v>
      </c>
      <c r="W774" s="1" t="str">
        <f t="shared" si="97"/>
        <v/>
      </c>
      <c r="X774" s="1"/>
      <c r="Y774" s="1"/>
      <c r="Z774" s="1"/>
      <c r="AA774" s="1"/>
      <c r="AB774" s="1"/>
      <c r="AC774" s="1"/>
      <c r="AD774" s="1">
        <f>IF($C774="",0,SUMPRODUCT((AY_SONU!$O$7:$O$42="Evet")*(AY_SONU!$B$7:$B$42=DATE(YEAR($C774),MONTH($C774),1))))</f>
        <v>0</v>
      </c>
      <c r="AE774" s="1" t="str">
        <f>IF($E774="","",$E774&amp;"|"&amp;COUNTIFS($E$7:$E774,$E774))</f>
        <v/>
      </c>
    </row>
    <row r="775" spans="1:31" ht="18" customHeight="1" x14ac:dyDescent="0.3">
      <c r="A775" s="2"/>
      <c r="B775" s="65" t="str">
        <f t="shared" ref="B775:B838" si="98">IF($C775="","","GG"&amp;TEXT(ROW()-6,"00000"))</f>
        <v/>
      </c>
      <c r="C775" s="66"/>
      <c r="D775" s="60"/>
      <c r="E775" s="61"/>
      <c r="F775" s="61"/>
      <c r="G775" s="67"/>
      <c r="H775" s="60"/>
      <c r="I775" s="60"/>
      <c r="J775" s="61"/>
      <c r="K775" s="61"/>
      <c r="L775" s="60"/>
      <c r="M775" s="74" t="str">
        <f t="shared" ref="M775:M838" si="99">IF($C775="","",IF($D775="Gider",$E775,IF($L775&lt;&gt;"",$L775,$H775)))</f>
        <v/>
      </c>
      <c r="N775" s="74" t="str">
        <f t="shared" ref="N775:N838" si="100">IF($C775="","",IF($D775="Gider",$H775,$E775))</f>
        <v/>
      </c>
      <c r="O775" s="73" t="str">
        <f t="shared" ref="O775:O838" si="101">IF($C775="","",DATE(YEAR($C775),MONTH($C775),1))</f>
        <v/>
      </c>
      <c r="P775" s="65" t="str">
        <f t="shared" ref="P775:P838" ca="1" si="102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TARİH",IF(COUNTIF($W$7:$W$3006,$W775)&gt;1,"MÜKERRER?",IF($AD775&gt;0,"KAPALI DÖNEM",IF($I775="Hayır","ÖDENECEK","UYGUN")))),"EKSİK"))))</f>
        <v/>
      </c>
      <c r="Q775" s="2"/>
      <c r="R775" s="2"/>
      <c r="S775" s="1" t="str">
        <f t="shared" ref="S775:S838" si="103"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1" t="str">
        <f>IF(OR($C775="",$D775&lt;&gt;"Gelir",$L775=""),"",IFERROR(INDEX(MUSTERILER!$B$7:$B$156,MATCH($S775,MUSTERILER!$T$7:$T$156,0)),""))</f>
        <v/>
      </c>
      <c r="U775" s="1" t="str">
        <f>IF($T775="","",$T775&amp;"|"&amp;COUNTIFS($T$7:$T775,$T775))</f>
        <v/>
      </c>
      <c r="V775" s="1">
        <f t="shared" ref="V775:V838" si="104">IF($T775="",0,1)</f>
        <v>0</v>
      </c>
      <c r="W775" s="1" t="str">
        <f t="shared" ref="W775:W838" si="105">IF($C775="","",$D775&amp;"|"&amp;$E775&amp;"|"&amp;TEXT($C775,"0")&amp;"|"&amp;TEXT($G775,"0")&amp;"|"&amp;$J775)</f>
        <v/>
      </c>
      <c r="X775" s="1"/>
      <c r="Y775" s="1"/>
      <c r="Z775" s="1"/>
      <c r="AA775" s="1"/>
      <c r="AB775" s="1"/>
      <c r="AC775" s="1"/>
      <c r="AD775" s="1">
        <f>IF($C775="",0,SUMPRODUCT((AY_SONU!$O$7:$O$42="Evet")*(AY_SONU!$B$7:$B$42=DATE(YEAR($C775),MONTH($C775),1))))</f>
        <v>0</v>
      </c>
      <c r="AE775" s="1" t="str">
        <f>IF($E775="","",$E775&amp;"|"&amp;COUNTIFS($E$7:$E775,$E775))</f>
        <v/>
      </c>
    </row>
    <row r="776" spans="1:31" ht="18" customHeight="1" x14ac:dyDescent="0.3">
      <c r="A776" s="2"/>
      <c r="B776" s="65" t="str">
        <f t="shared" si="98"/>
        <v/>
      </c>
      <c r="C776" s="66"/>
      <c r="D776" s="60"/>
      <c r="E776" s="61"/>
      <c r="F776" s="61"/>
      <c r="G776" s="67"/>
      <c r="H776" s="60"/>
      <c r="I776" s="60"/>
      <c r="J776" s="61"/>
      <c r="K776" s="61"/>
      <c r="L776" s="60"/>
      <c r="M776" s="74" t="str">
        <f t="shared" si="99"/>
        <v/>
      </c>
      <c r="N776" s="74" t="str">
        <f t="shared" si="100"/>
        <v/>
      </c>
      <c r="O776" s="73" t="str">
        <f t="shared" si="101"/>
        <v/>
      </c>
      <c r="P776" s="65" t="str">
        <f t="shared" ca="1" si="102"/>
        <v/>
      </c>
      <c r="Q776" s="2"/>
      <c r="R776" s="2"/>
      <c r="S776" s="1" t="str">
        <f t="shared" si="103"/>
        <v/>
      </c>
      <c r="T776" s="1" t="str">
        <f>IF(OR($C776="",$D776&lt;&gt;"Gelir",$L776=""),"",IFERROR(INDEX(MUSTERILER!$B$7:$B$156,MATCH($S776,MUSTERILER!$T$7:$T$156,0)),""))</f>
        <v/>
      </c>
      <c r="U776" s="1" t="str">
        <f>IF($T776="","",$T776&amp;"|"&amp;COUNTIFS($T$7:$T776,$T776))</f>
        <v/>
      </c>
      <c r="V776" s="1">
        <f t="shared" si="104"/>
        <v>0</v>
      </c>
      <c r="W776" s="1" t="str">
        <f t="shared" si="105"/>
        <v/>
      </c>
      <c r="X776" s="1"/>
      <c r="Y776" s="1"/>
      <c r="Z776" s="1"/>
      <c r="AA776" s="1"/>
      <c r="AB776" s="1"/>
      <c r="AC776" s="1"/>
      <c r="AD776" s="1">
        <f>IF($C776="",0,SUMPRODUCT((AY_SONU!$O$7:$O$42="Evet")*(AY_SONU!$B$7:$B$42=DATE(YEAR($C776),MONTH($C776),1))))</f>
        <v>0</v>
      </c>
      <c r="AE776" s="1" t="str">
        <f>IF($E776="","",$E776&amp;"|"&amp;COUNTIFS($E$7:$E776,$E776))</f>
        <v/>
      </c>
    </row>
    <row r="777" spans="1:31" ht="18" customHeight="1" x14ac:dyDescent="0.3">
      <c r="A777" s="2"/>
      <c r="B777" s="65" t="str">
        <f t="shared" si="98"/>
        <v/>
      </c>
      <c r="C777" s="66"/>
      <c r="D777" s="60"/>
      <c r="E777" s="61"/>
      <c r="F777" s="61"/>
      <c r="G777" s="67"/>
      <c r="H777" s="60"/>
      <c r="I777" s="60"/>
      <c r="J777" s="61"/>
      <c r="K777" s="61"/>
      <c r="L777" s="60"/>
      <c r="M777" s="74" t="str">
        <f t="shared" si="99"/>
        <v/>
      </c>
      <c r="N777" s="74" t="str">
        <f t="shared" si="100"/>
        <v/>
      </c>
      <c r="O777" s="73" t="str">
        <f t="shared" si="101"/>
        <v/>
      </c>
      <c r="P777" s="65" t="str">
        <f t="shared" ca="1" si="102"/>
        <v/>
      </c>
      <c r="Q777" s="2"/>
      <c r="R777" s="2"/>
      <c r="S777" s="1" t="str">
        <f t="shared" si="103"/>
        <v/>
      </c>
      <c r="T777" s="1" t="str">
        <f>IF(OR($C777="",$D777&lt;&gt;"Gelir",$L777=""),"",IFERROR(INDEX(MUSTERILER!$B$7:$B$156,MATCH($S777,MUSTERILER!$T$7:$T$156,0)),""))</f>
        <v/>
      </c>
      <c r="U777" s="1" t="str">
        <f>IF($T777="","",$T777&amp;"|"&amp;COUNTIFS($T$7:$T777,$T777))</f>
        <v/>
      </c>
      <c r="V777" s="1">
        <f t="shared" si="104"/>
        <v>0</v>
      </c>
      <c r="W777" s="1" t="str">
        <f t="shared" si="105"/>
        <v/>
      </c>
      <c r="X777" s="1"/>
      <c r="Y777" s="1"/>
      <c r="Z777" s="1"/>
      <c r="AA777" s="1"/>
      <c r="AB777" s="1"/>
      <c r="AC777" s="1"/>
      <c r="AD777" s="1">
        <f>IF($C777="",0,SUMPRODUCT((AY_SONU!$O$7:$O$42="Evet")*(AY_SONU!$B$7:$B$42=DATE(YEAR($C777),MONTH($C777),1))))</f>
        <v>0</v>
      </c>
      <c r="AE777" s="1" t="str">
        <f>IF($E777="","",$E777&amp;"|"&amp;COUNTIFS($E$7:$E777,$E777))</f>
        <v/>
      </c>
    </row>
    <row r="778" spans="1:31" ht="18" customHeight="1" x14ac:dyDescent="0.3">
      <c r="A778" s="2"/>
      <c r="B778" s="65" t="str">
        <f t="shared" si="98"/>
        <v/>
      </c>
      <c r="C778" s="66"/>
      <c r="D778" s="60"/>
      <c r="E778" s="61"/>
      <c r="F778" s="61"/>
      <c r="G778" s="67"/>
      <c r="H778" s="60"/>
      <c r="I778" s="60"/>
      <c r="J778" s="61"/>
      <c r="K778" s="61"/>
      <c r="L778" s="60"/>
      <c r="M778" s="74" t="str">
        <f t="shared" si="99"/>
        <v/>
      </c>
      <c r="N778" s="74" t="str">
        <f t="shared" si="100"/>
        <v/>
      </c>
      <c r="O778" s="73" t="str">
        <f t="shared" si="101"/>
        <v/>
      </c>
      <c r="P778" s="65" t="str">
        <f t="shared" ca="1" si="102"/>
        <v/>
      </c>
      <c r="Q778" s="2"/>
      <c r="R778" s="2"/>
      <c r="S778" s="1" t="str">
        <f t="shared" si="103"/>
        <v/>
      </c>
      <c r="T778" s="1" t="str">
        <f>IF(OR($C778="",$D778&lt;&gt;"Gelir",$L778=""),"",IFERROR(INDEX(MUSTERILER!$B$7:$B$156,MATCH($S778,MUSTERILER!$T$7:$T$156,0)),""))</f>
        <v/>
      </c>
      <c r="U778" s="1" t="str">
        <f>IF($T778="","",$T778&amp;"|"&amp;COUNTIFS($T$7:$T778,$T778))</f>
        <v/>
      </c>
      <c r="V778" s="1">
        <f t="shared" si="104"/>
        <v>0</v>
      </c>
      <c r="W778" s="1" t="str">
        <f t="shared" si="105"/>
        <v/>
      </c>
      <c r="X778" s="1"/>
      <c r="Y778" s="1"/>
      <c r="Z778" s="1"/>
      <c r="AA778" s="1"/>
      <c r="AB778" s="1"/>
      <c r="AC778" s="1"/>
      <c r="AD778" s="1">
        <f>IF($C778="",0,SUMPRODUCT((AY_SONU!$O$7:$O$42="Evet")*(AY_SONU!$B$7:$B$42=DATE(YEAR($C778),MONTH($C778),1))))</f>
        <v>0</v>
      </c>
      <c r="AE778" s="1" t="str">
        <f>IF($E778="","",$E778&amp;"|"&amp;COUNTIFS($E$7:$E778,$E778))</f>
        <v/>
      </c>
    </row>
    <row r="779" spans="1:31" ht="18" customHeight="1" x14ac:dyDescent="0.3">
      <c r="A779" s="2"/>
      <c r="B779" s="65" t="str">
        <f t="shared" si="98"/>
        <v/>
      </c>
      <c r="C779" s="66"/>
      <c r="D779" s="60"/>
      <c r="E779" s="61"/>
      <c r="F779" s="61"/>
      <c r="G779" s="67"/>
      <c r="H779" s="60"/>
      <c r="I779" s="60"/>
      <c r="J779" s="61"/>
      <c r="K779" s="61"/>
      <c r="L779" s="60"/>
      <c r="M779" s="74" t="str">
        <f t="shared" si="99"/>
        <v/>
      </c>
      <c r="N779" s="74" t="str">
        <f t="shared" si="100"/>
        <v/>
      </c>
      <c r="O779" s="73" t="str">
        <f t="shared" si="101"/>
        <v/>
      </c>
      <c r="P779" s="65" t="str">
        <f t="shared" ca="1" si="102"/>
        <v/>
      </c>
      <c r="Q779" s="2"/>
      <c r="R779" s="2"/>
      <c r="S779" s="1" t="str">
        <f t="shared" si="103"/>
        <v/>
      </c>
      <c r="T779" s="1" t="str">
        <f>IF(OR($C779="",$D779&lt;&gt;"Gelir",$L779=""),"",IFERROR(INDEX(MUSTERILER!$B$7:$B$156,MATCH($S779,MUSTERILER!$T$7:$T$156,0)),""))</f>
        <v/>
      </c>
      <c r="U779" s="1" t="str">
        <f>IF($T779="","",$T779&amp;"|"&amp;COUNTIFS($T$7:$T779,$T779))</f>
        <v/>
      </c>
      <c r="V779" s="1">
        <f t="shared" si="104"/>
        <v>0</v>
      </c>
      <c r="W779" s="1" t="str">
        <f t="shared" si="105"/>
        <v/>
      </c>
      <c r="X779" s="1"/>
      <c r="Y779" s="1"/>
      <c r="Z779" s="1"/>
      <c r="AA779" s="1"/>
      <c r="AB779" s="1"/>
      <c r="AC779" s="1"/>
      <c r="AD779" s="1">
        <f>IF($C779="",0,SUMPRODUCT((AY_SONU!$O$7:$O$42="Evet")*(AY_SONU!$B$7:$B$42=DATE(YEAR($C779),MONTH($C779),1))))</f>
        <v>0</v>
      </c>
      <c r="AE779" s="1" t="str">
        <f>IF($E779="","",$E779&amp;"|"&amp;COUNTIFS($E$7:$E779,$E779))</f>
        <v/>
      </c>
    </row>
    <row r="780" spans="1:31" ht="18" customHeight="1" x14ac:dyDescent="0.3">
      <c r="A780" s="2"/>
      <c r="B780" s="65" t="str">
        <f t="shared" si="98"/>
        <v/>
      </c>
      <c r="C780" s="66"/>
      <c r="D780" s="60"/>
      <c r="E780" s="61"/>
      <c r="F780" s="61"/>
      <c r="G780" s="67"/>
      <c r="H780" s="60"/>
      <c r="I780" s="60"/>
      <c r="J780" s="61"/>
      <c r="K780" s="61"/>
      <c r="L780" s="60"/>
      <c r="M780" s="74" t="str">
        <f t="shared" si="99"/>
        <v/>
      </c>
      <c r="N780" s="74" t="str">
        <f t="shared" si="100"/>
        <v/>
      </c>
      <c r="O780" s="73" t="str">
        <f t="shared" si="101"/>
        <v/>
      </c>
      <c r="P780" s="65" t="str">
        <f t="shared" ca="1" si="102"/>
        <v/>
      </c>
      <c r="Q780" s="2"/>
      <c r="R780" s="2"/>
      <c r="S780" s="1" t="str">
        <f t="shared" si="103"/>
        <v/>
      </c>
      <c r="T780" s="1" t="str">
        <f>IF(OR($C780="",$D780&lt;&gt;"Gelir",$L780=""),"",IFERROR(INDEX(MUSTERILER!$B$7:$B$156,MATCH($S780,MUSTERILER!$T$7:$T$156,0)),""))</f>
        <v/>
      </c>
      <c r="U780" s="1" t="str">
        <f>IF($T780="","",$T780&amp;"|"&amp;COUNTIFS($T$7:$T780,$T780))</f>
        <v/>
      </c>
      <c r="V780" s="1">
        <f t="shared" si="104"/>
        <v>0</v>
      </c>
      <c r="W780" s="1" t="str">
        <f t="shared" si="105"/>
        <v/>
      </c>
      <c r="X780" s="1"/>
      <c r="Y780" s="1"/>
      <c r="Z780" s="1"/>
      <c r="AA780" s="1"/>
      <c r="AB780" s="1"/>
      <c r="AC780" s="1"/>
      <c r="AD780" s="1">
        <f>IF($C780="",0,SUMPRODUCT((AY_SONU!$O$7:$O$42="Evet")*(AY_SONU!$B$7:$B$42=DATE(YEAR($C780),MONTH($C780),1))))</f>
        <v>0</v>
      </c>
      <c r="AE780" s="1" t="str">
        <f>IF($E780="","",$E780&amp;"|"&amp;COUNTIFS($E$7:$E780,$E780))</f>
        <v/>
      </c>
    </row>
    <row r="781" spans="1:31" ht="18" customHeight="1" x14ac:dyDescent="0.3">
      <c r="A781" s="2"/>
      <c r="B781" s="65" t="str">
        <f t="shared" si="98"/>
        <v/>
      </c>
      <c r="C781" s="66"/>
      <c r="D781" s="60"/>
      <c r="E781" s="61"/>
      <c r="F781" s="61"/>
      <c r="G781" s="67"/>
      <c r="H781" s="60"/>
      <c r="I781" s="60"/>
      <c r="J781" s="61"/>
      <c r="K781" s="61"/>
      <c r="L781" s="60"/>
      <c r="M781" s="74" t="str">
        <f t="shared" si="99"/>
        <v/>
      </c>
      <c r="N781" s="74" t="str">
        <f t="shared" si="100"/>
        <v/>
      </c>
      <c r="O781" s="73" t="str">
        <f t="shared" si="101"/>
        <v/>
      </c>
      <c r="P781" s="65" t="str">
        <f t="shared" ca="1" si="102"/>
        <v/>
      </c>
      <c r="Q781" s="2"/>
      <c r="R781" s="2"/>
      <c r="S781" s="1" t="str">
        <f t="shared" si="103"/>
        <v/>
      </c>
      <c r="T781" s="1" t="str">
        <f>IF(OR($C781="",$D781&lt;&gt;"Gelir",$L781=""),"",IFERROR(INDEX(MUSTERILER!$B$7:$B$156,MATCH($S781,MUSTERILER!$T$7:$T$156,0)),""))</f>
        <v/>
      </c>
      <c r="U781" s="1" t="str">
        <f>IF($T781="","",$T781&amp;"|"&amp;COUNTIFS($T$7:$T781,$T781))</f>
        <v/>
      </c>
      <c r="V781" s="1">
        <f t="shared" si="104"/>
        <v>0</v>
      </c>
      <c r="W781" s="1" t="str">
        <f t="shared" si="105"/>
        <v/>
      </c>
      <c r="X781" s="1"/>
      <c r="Y781" s="1"/>
      <c r="Z781" s="1"/>
      <c r="AA781" s="1"/>
      <c r="AB781" s="1"/>
      <c r="AC781" s="1"/>
      <c r="AD781" s="1">
        <f>IF($C781="",0,SUMPRODUCT((AY_SONU!$O$7:$O$42="Evet")*(AY_SONU!$B$7:$B$42=DATE(YEAR($C781),MONTH($C781),1))))</f>
        <v>0</v>
      </c>
      <c r="AE781" s="1" t="str">
        <f>IF($E781="","",$E781&amp;"|"&amp;COUNTIFS($E$7:$E781,$E781))</f>
        <v/>
      </c>
    </row>
    <row r="782" spans="1:31" ht="18" customHeight="1" x14ac:dyDescent="0.3">
      <c r="A782" s="2"/>
      <c r="B782" s="65" t="str">
        <f t="shared" si="98"/>
        <v/>
      </c>
      <c r="C782" s="66"/>
      <c r="D782" s="60"/>
      <c r="E782" s="61"/>
      <c r="F782" s="61"/>
      <c r="G782" s="67"/>
      <c r="H782" s="60"/>
      <c r="I782" s="60"/>
      <c r="J782" s="61"/>
      <c r="K782" s="61"/>
      <c r="L782" s="60"/>
      <c r="M782" s="74" t="str">
        <f t="shared" si="99"/>
        <v/>
      </c>
      <c r="N782" s="74" t="str">
        <f t="shared" si="100"/>
        <v/>
      </c>
      <c r="O782" s="73" t="str">
        <f t="shared" si="101"/>
        <v/>
      </c>
      <c r="P782" s="65" t="str">
        <f t="shared" ca="1" si="102"/>
        <v/>
      </c>
      <c r="Q782" s="2"/>
      <c r="R782" s="2"/>
      <c r="S782" s="1" t="str">
        <f t="shared" si="103"/>
        <v/>
      </c>
      <c r="T782" s="1" t="str">
        <f>IF(OR($C782="",$D782&lt;&gt;"Gelir",$L782=""),"",IFERROR(INDEX(MUSTERILER!$B$7:$B$156,MATCH($S782,MUSTERILER!$T$7:$T$156,0)),""))</f>
        <v/>
      </c>
      <c r="U782" s="1" t="str">
        <f>IF($T782="","",$T782&amp;"|"&amp;COUNTIFS($T$7:$T782,$T782))</f>
        <v/>
      </c>
      <c r="V782" s="1">
        <f t="shared" si="104"/>
        <v>0</v>
      </c>
      <c r="W782" s="1" t="str">
        <f t="shared" si="105"/>
        <v/>
      </c>
      <c r="X782" s="1"/>
      <c r="Y782" s="1"/>
      <c r="Z782" s="1"/>
      <c r="AA782" s="1"/>
      <c r="AB782" s="1"/>
      <c r="AC782" s="1"/>
      <c r="AD782" s="1">
        <f>IF($C782="",0,SUMPRODUCT((AY_SONU!$O$7:$O$42="Evet")*(AY_SONU!$B$7:$B$42=DATE(YEAR($C782),MONTH($C782),1))))</f>
        <v>0</v>
      </c>
      <c r="AE782" s="1" t="str">
        <f>IF($E782="","",$E782&amp;"|"&amp;COUNTIFS($E$7:$E782,$E782))</f>
        <v/>
      </c>
    </row>
    <row r="783" spans="1:31" ht="18" customHeight="1" x14ac:dyDescent="0.3">
      <c r="A783" s="2"/>
      <c r="B783" s="65" t="str">
        <f t="shared" si="98"/>
        <v/>
      </c>
      <c r="C783" s="66"/>
      <c r="D783" s="60"/>
      <c r="E783" s="61"/>
      <c r="F783" s="61"/>
      <c r="G783" s="67"/>
      <c r="H783" s="60"/>
      <c r="I783" s="60"/>
      <c r="J783" s="61"/>
      <c r="K783" s="61"/>
      <c r="L783" s="60"/>
      <c r="M783" s="74" t="str">
        <f t="shared" si="99"/>
        <v/>
      </c>
      <c r="N783" s="74" t="str">
        <f t="shared" si="100"/>
        <v/>
      </c>
      <c r="O783" s="73" t="str">
        <f t="shared" si="101"/>
        <v/>
      </c>
      <c r="P783" s="65" t="str">
        <f t="shared" ca="1" si="102"/>
        <v/>
      </c>
      <c r="Q783" s="2"/>
      <c r="R783" s="2"/>
      <c r="S783" s="1" t="str">
        <f t="shared" si="103"/>
        <v/>
      </c>
      <c r="T783" s="1" t="str">
        <f>IF(OR($C783="",$D783&lt;&gt;"Gelir",$L783=""),"",IFERROR(INDEX(MUSTERILER!$B$7:$B$156,MATCH($S783,MUSTERILER!$T$7:$T$156,0)),""))</f>
        <v/>
      </c>
      <c r="U783" s="1" t="str">
        <f>IF($T783="","",$T783&amp;"|"&amp;COUNTIFS($T$7:$T783,$T783))</f>
        <v/>
      </c>
      <c r="V783" s="1">
        <f t="shared" si="104"/>
        <v>0</v>
      </c>
      <c r="W783" s="1" t="str">
        <f t="shared" si="105"/>
        <v/>
      </c>
      <c r="X783" s="1"/>
      <c r="Y783" s="1"/>
      <c r="Z783" s="1"/>
      <c r="AA783" s="1"/>
      <c r="AB783" s="1"/>
      <c r="AC783" s="1"/>
      <c r="AD783" s="1">
        <f>IF($C783="",0,SUMPRODUCT((AY_SONU!$O$7:$O$42="Evet")*(AY_SONU!$B$7:$B$42=DATE(YEAR($C783),MONTH($C783),1))))</f>
        <v>0</v>
      </c>
      <c r="AE783" s="1" t="str">
        <f>IF($E783="","",$E783&amp;"|"&amp;COUNTIFS($E$7:$E783,$E783))</f>
        <v/>
      </c>
    </row>
    <row r="784" spans="1:31" ht="18" customHeight="1" x14ac:dyDescent="0.3">
      <c r="A784" s="2"/>
      <c r="B784" s="65" t="str">
        <f t="shared" si="98"/>
        <v/>
      </c>
      <c r="C784" s="66"/>
      <c r="D784" s="60"/>
      <c r="E784" s="61"/>
      <c r="F784" s="61"/>
      <c r="G784" s="67"/>
      <c r="H784" s="60"/>
      <c r="I784" s="60"/>
      <c r="J784" s="61"/>
      <c r="K784" s="61"/>
      <c r="L784" s="60"/>
      <c r="M784" s="74" t="str">
        <f t="shared" si="99"/>
        <v/>
      </c>
      <c r="N784" s="74" t="str">
        <f t="shared" si="100"/>
        <v/>
      </c>
      <c r="O784" s="73" t="str">
        <f t="shared" si="101"/>
        <v/>
      </c>
      <c r="P784" s="65" t="str">
        <f t="shared" ca="1" si="102"/>
        <v/>
      </c>
      <c r="Q784" s="2"/>
      <c r="R784" s="2"/>
      <c r="S784" s="1" t="str">
        <f t="shared" si="103"/>
        <v/>
      </c>
      <c r="T784" s="1" t="str">
        <f>IF(OR($C784="",$D784&lt;&gt;"Gelir",$L784=""),"",IFERROR(INDEX(MUSTERILER!$B$7:$B$156,MATCH($S784,MUSTERILER!$T$7:$T$156,0)),""))</f>
        <v/>
      </c>
      <c r="U784" s="1" t="str">
        <f>IF($T784="","",$T784&amp;"|"&amp;COUNTIFS($T$7:$T784,$T784))</f>
        <v/>
      </c>
      <c r="V784" s="1">
        <f t="shared" si="104"/>
        <v>0</v>
      </c>
      <c r="W784" s="1" t="str">
        <f t="shared" si="105"/>
        <v/>
      </c>
      <c r="X784" s="1"/>
      <c r="Y784" s="1"/>
      <c r="Z784" s="1"/>
      <c r="AA784" s="1"/>
      <c r="AB784" s="1"/>
      <c r="AC784" s="1"/>
      <c r="AD784" s="1">
        <f>IF($C784="",0,SUMPRODUCT((AY_SONU!$O$7:$O$42="Evet")*(AY_SONU!$B$7:$B$42=DATE(YEAR($C784),MONTH($C784),1))))</f>
        <v>0</v>
      </c>
      <c r="AE784" s="1" t="str">
        <f>IF($E784="","",$E784&amp;"|"&amp;COUNTIFS($E$7:$E784,$E784))</f>
        <v/>
      </c>
    </row>
    <row r="785" spans="1:31" ht="18" customHeight="1" x14ac:dyDescent="0.3">
      <c r="A785" s="2"/>
      <c r="B785" s="65" t="str">
        <f t="shared" si="98"/>
        <v/>
      </c>
      <c r="C785" s="66"/>
      <c r="D785" s="60"/>
      <c r="E785" s="61"/>
      <c r="F785" s="61"/>
      <c r="G785" s="67"/>
      <c r="H785" s="60"/>
      <c r="I785" s="60"/>
      <c r="J785" s="61"/>
      <c r="K785" s="61"/>
      <c r="L785" s="60"/>
      <c r="M785" s="74" t="str">
        <f t="shared" si="99"/>
        <v/>
      </c>
      <c r="N785" s="74" t="str">
        <f t="shared" si="100"/>
        <v/>
      </c>
      <c r="O785" s="73" t="str">
        <f t="shared" si="101"/>
        <v/>
      </c>
      <c r="P785" s="65" t="str">
        <f t="shared" ca="1" si="102"/>
        <v/>
      </c>
      <c r="Q785" s="2"/>
      <c r="R785" s="2"/>
      <c r="S785" s="1" t="str">
        <f t="shared" si="103"/>
        <v/>
      </c>
      <c r="T785" s="1" t="str">
        <f>IF(OR($C785="",$D785&lt;&gt;"Gelir",$L785=""),"",IFERROR(INDEX(MUSTERILER!$B$7:$B$156,MATCH($S785,MUSTERILER!$T$7:$T$156,0)),""))</f>
        <v/>
      </c>
      <c r="U785" s="1" t="str">
        <f>IF($T785="","",$T785&amp;"|"&amp;COUNTIFS($T$7:$T785,$T785))</f>
        <v/>
      </c>
      <c r="V785" s="1">
        <f t="shared" si="104"/>
        <v>0</v>
      </c>
      <c r="W785" s="1" t="str">
        <f t="shared" si="105"/>
        <v/>
      </c>
      <c r="X785" s="1"/>
      <c r="Y785" s="1"/>
      <c r="Z785" s="1"/>
      <c r="AA785" s="1"/>
      <c r="AB785" s="1"/>
      <c r="AC785" s="1"/>
      <c r="AD785" s="1">
        <f>IF($C785="",0,SUMPRODUCT((AY_SONU!$O$7:$O$42="Evet")*(AY_SONU!$B$7:$B$42=DATE(YEAR($C785),MONTH($C785),1))))</f>
        <v>0</v>
      </c>
      <c r="AE785" s="1" t="str">
        <f>IF($E785="","",$E785&amp;"|"&amp;COUNTIFS($E$7:$E785,$E785))</f>
        <v/>
      </c>
    </row>
    <row r="786" spans="1:31" ht="18" customHeight="1" x14ac:dyDescent="0.3">
      <c r="A786" s="2"/>
      <c r="B786" s="65" t="str">
        <f t="shared" si="98"/>
        <v/>
      </c>
      <c r="C786" s="66"/>
      <c r="D786" s="60"/>
      <c r="E786" s="61"/>
      <c r="F786" s="61"/>
      <c r="G786" s="67"/>
      <c r="H786" s="60"/>
      <c r="I786" s="60"/>
      <c r="J786" s="61"/>
      <c r="K786" s="61"/>
      <c r="L786" s="60"/>
      <c r="M786" s="74" t="str">
        <f t="shared" si="99"/>
        <v/>
      </c>
      <c r="N786" s="74" t="str">
        <f t="shared" si="100"/>
        <v/>
      </c>
      <c r="O786" s="73" t="str">
        <f t="shared" si="101"/>
        <v/>
      </c>
      <c r="P786" s="65" t="str">
        <f t="shared" ca="1" si="102"/>
        <v/>
      </c>
      <c r="Q786" s="2"/>
      <c r="R786" s="2"/>
      <c r="S786" s="1" t="str">
        <f t="shared" si="103"/>
        <v/>
      </c>
      <c r="T786" s="1" t="str">
        <f>IF(OR($C786="",$D786&lt;&gt;"Gelir",$L786=""),"",IFERROR(INDEX(MUSTERILER!$B$7:$B$156,MATCH($S786,MUSTERILER!$T$7:$T$156,0)),""))</f>
        <v/>
      </c>
      <c r="U786" s="1" t="str">
        <f>IF($T786="","",$T786&amp;"|"&amp;COUNTIFS($T$7:$T786,$T786))</f>
        <v/>
      </c>
      <c r="V786" s="1">
        <f t="shared" si="104"/>
        <v>0</v>
      </c>
      <c r="W786" s="1" t="str">
        <f t="shared" si="105"/>
        <v/>
      </c>
      <c r="X786" s="1"/>
      <c r="Y786" s="1"/>
      <c r="Z786" s="1"/>
      <c r="AA786" s="1"/>
      <c r="AB786" s="1"/>
      <c r="AC786" s="1"/>
      <c r="AD786" s="1">
        <f>IF($C786="",0,SUMPRODUCT((AY_SONU!$O$7:$O$42="Evet")*(AY_SONU!$B$7:$B$42=DATE(YEAR($C786),MONTH($C786),1))))</f>
        <v>0</v>
      </c>
      <c r="AE786" s="1" t="str">
        <f>IF($E786="","",$E786&amp;"|"&amp;COUNTIFS($E$7:$E786,$E786))</f>
        <v/>
      </c>
    </row>
    <row r="787" spans="1:31" ht="18" customHeight="1" x14ac:dyDescent="0.3">
      <c r="A787" s="2"/>
      <c r="B787" s="65" t="str">
        <f t="shared" si="98"/>
        <v/>
      </c>
      <c r="C787" s="66"/>
      <c r="D787" s="60"/>
      <c r="E787" s="61"/>
      <c r="F787" s="61"/>
      <c r="G787" s="67"/>
      <c r="H787" s="60"/>
      <c r="I787" s="60"/>
      <c r="J787" s="61"/>
      <c r="K787" s="61"/>
      <c r="L787" s="60"/>
      <c r="M787" s="74" t="str">
        <f t="shared" si="99"/>
        <v/>
      </c>
      <c r="N787" s="74" t="str">
        <f t="shared" si="100"/>
        <v/>
      </c>
      <c r="O787" s="73" t="str">
        <f t="shared" si="101"/>
        <v/>
      </c>
      <c r="P787" s="65" t="str">
        <f t="shared" ca="1" si="102"/>
        <v/>
      </c>
      <c r="Q787" s="2"/>
      <c r="R787" s="2"/>
      <c r="S787" s="1" t="str">
        <f t="shared" si="103"/>
        <v/>
      </c>
      <c r="T787" s="1" t="str">
        <f>IF(OR($C787="",$D787&lt;&gt;"Gelir",$L787=""),"",IFERROR(INDEX(MUSTERILER!$B$7:$B$156,MATCH($S787,MUSTERILER!$T$7:$T$156,0)),""))</f>
        <v/>
      </c>
      <c r="U787" s="1" t="str">
        <f>IF($T787="","",$T787&amp;"|"&amp;COUNTIFS($T$7:$T787,$T787))</f>
        <v/>
      </c>
      <c r="V787" s="1">
        <f t="shared" si="104"/>
        <v>0</v>
      </c>
      <c r="W787" s="1" t="str">
        <f t="shared" si="105"/>
        <v/>
      </c>
      <c r="X787" s="1"/>
      <c r="Y787" s="1"/>
      <c r="Z787" s="1"/>
      <c r="AA787" s="1"/>
      <c r="AB787" s="1"/>
      <c r="AC787" s="1"/>
      <c r="AD787" s="1">
        <f>IF($C787="",0,SUMPRODUCT((AY_SONU!$O$7:$O$42="Evet")*(AY_SONU!$B$7:$B$42=DATE(YEAR($C787),MONTH($C787),1))))</f>
        <v>0</v>
      </c>
      <c r="AE787" s="1" t="str">
        <f>IF($E787="","",$E787&amp;"|"&amp;COUNTIFS($E$7:$E787,$E787))</f>
        <v/>
      </c>
    </row>
    <row r="788" spans="1:31" ht="18" customHeight="1" x14ac:dyDescent="0.3">
      <c r="A788" s="2"/>
      <c r="B788" s="65" t="str">
        <f t="shared" si="98"/>
        <v/>
      </c>
      <c r="C788" s="66"/>
      <c r="D788" s="60"/>
      <c r="E788" s="61"/>
      <c r="F788" s="61"/>
      <c r="G788" s="67"/>
      <c r="H788" s="60"/>
      <c r="I788" s="60"/>
      <c r="J788" s="61"/>
      <c r="K788" s="61"/>
      <c r="L788" s="60"/>
      <c r="M788" s="74" t="str">
        <f t="shared" si="99"/>
        <v/>
      </c>
      <c r="N788" s="74" t="str">
        <f t="shared" si="100"/>
        <v/>
      </c>
      <c r="O788" s="73" t="str">
        <f t="shared" si="101"/>
        <v/>
      </c>
      <c r="P788" s="65" t="str">
        <f t="shared" ca="1" si="102"/>
        <v/>
      </c>
      <c r="Q788" s="2"/>
      <c r="R788" s="2"/>
      <c r="S788" s="1" t="str">
        <f t="shared" si="103"/>
        <v/>
      </c>
      <c r="T788" s="1" t="str">
        <f>IF(OR($C788="",$D788&lt;&gt;"Gelir",$L788=""),"",IFERROR(INDEX(MUSTERILER!$B$7:$B$156,MATCH($S788,MUSTERILER!$T$7:$T$156,0)),""))</f>
        <v/>
      </c>
      <c r="U788" s="1" t="str">
        <f>IF($T788="","",$T788&amp;"|"&amp;COUNTIFS($T$7:$T788,$T788))</f>
        <v/>
      </c>
      <c r="V788" s="1">
        <f t="shared" si="104"/>
        <v>0</v>
      </c>
      <c r="W788" s="1" t="str">
        <f t="shared" si="105"/>
        <v/>
      </c>
      <c r="X788" s="1"/>
      <c r="Y788" s="1"/>
      <c r="Z788" s="1"/>
      <c r="AA788" s="1"/>
      <c r="AB788" s="1"/>
      <c r="AC788" s="1"/>
      <c r="AD788" s="1">
        <f>IF($C788="",0,SUMPRODUCT((AY_SONU!$O$7:$O$42="Evet")*(AY_SONU!$B$7:$B$42=DATE(YEAR($C788),MONTH($C788),1))))</f>
        <v>0</v>
      </c>
      <c r="AE788" s="1" t="str">
        <f>IF($E788="","",$E788&amp;"|"&amp;COUNTIFS($E$7:$E788,$E788))</f>
        <v/>
      </c>
    </row>
    <row r="789" spans="1:31" ht="18" customHeight="1" x14ac:dyDescent="0.3">
      <c r="A789" s="2"/>
      <c r="B789" s="65" t="str">
        <f t="shared" si="98"/>
        <v/>
      </c>
      <c r="C789" s="66"/>
      <c r="D789" s="60"/>
      <c r="E789" s="61"/>
      <c r="F789" s="61"/>
      <c r="G789" s="67"/>
      <c r="H789" s="60"/>
      <c r="I789" s="60"/>
      <c r="J789" s="61"/>
      <c r="K789" s="61"/>
      <c r="L789" s="60"/>
      <c r="M789" s="74" t="str">
        <f t="shared" si="99"/>
        <v/>
      </c>
      <c r="N789" s="74" t="str">
        <f t="shared" si="100"/>
        <v/>
      </c>
      <c r="O789" s="73" t="str">
        <f t="shared" si="101"/>
        <v/>
      </c>
      <c r="P789" s="65" t="str">
        <f t="shared" ca="1" si="102"/>
        <v/>
      </c>
      <c r="Q789" s="2"/>
      <c r="R789" s="2"/>
      <c r="S789" s="1" t="str">
        <f t="shared" si="103"/>
        <v/>
      </c>
      <c r="T789" s="1" t="str">
        <f>IF(OR($C789="",$D789&lt;&gt;"Gelir",$L789=""),"",IFERROR(INDEX(MUSTERILER!$B$7:$B$156,MATCH($S789,MUSTERILER!$T$7:$T$156,0)),""))</f>
        <v/>
      </c>
      <c r="U789" s="1" t="str">
        <f>IF($T789="","",$T789&amp;"|"&amp;COUNTIFS($T$7:$T789,$T789))</f>
        <v/>
      </c>
      <c r="V789" s="1">
        <f t="shared" si="104"/>
        <v>0</v>
      </c>
      <c r="W789" s="1" t="str">
        <f t="shared" si="105"/>
        <v/>
      </c>
      <c r="X789" s="1"/>
      <c r="Y789" s="1"/>
      <c r="Z789" s="1"/>
      <c r="AA789" s="1"/>
      <c r="AB789" s="1"/>
      <c r="AC789" s="1"/>
      <c r="AD789" s="1">
        <f>IF($C789="",0,SUMPRODUCT((AY_SONU!$O$7:$O$42="Evet")*(AY_SONU!$B$7:$B$42=DATE(YEAR($C789),MONTH($C789),1))))</f>
        <v>0</v>
      </c>
      <c r="AE789" s="1" t="str">
        <f>IF($E789="","",$E789&amp;"|"&amp;COUNTIFS($E$7:$E789,$E789))</f>
        <v/>
      </c>
    </row>
    <row r="790" spans="1:31" ht="18" customHeight="1" x14ac:dyDescent="0.3">
      <c r="A790" s="2"/>
      <c r="B790" s="65" t="str">
        <f t="shared" si="98"/>
        <v/>
      </c>
      <c r="C790" s="66"/>
      <c r="D790" s="60"/>
      <c r="E790" s="61"/>
      <c r="F790" s="61"/>
      <c r="G790" s="67"/>
      <c r="H790" s="60"/>
      <c r="I790" s="60"/>
      <c r="J790" s="61"/>
      <c r="K790" s="61"/>
      <c r="L790" s="60"/>
      <c r="M790" s="74" t="str">
        <f t="shared" si="99"/>
        <v/>
      </c>
      <c r="N790" s="74" t="str">
        <f t="shared" si="100"/>
        <v/>
      </c>
      <c r="O790" s="73" t="str">
        <f t="shared" si="101"/>
        <v/>
      </c>
      <c r="P790" s="65" t="str">
        <f t="shared" ca="1" si="102"/>
        <v/>
      </c>
      <c r="Q790" s="2"/>
      <c r="R790" s="2"/>
      <c r="S790" s="1" t="str">
        <f t="shared" si="103"/>
        <v/>
      </c>
      <c r="T790" s="1" t="str">
        <f>IF(OR($C790="",$D790&lt;&gt;"Gelir",$L790=""),"",IFERROR(INDEX(MUSTERILER!$B$7:$B$156,MATCH($S790,MUSTERILER!$T$7:$T$156,0)),""))</f>
        <v/>
      </c>
      <c r="U790" s="1" t="str">
        <f>IF($T790="","",$T790&amp;"|"&amp;COUNTIFS($T$7:$T790,$T790))</f>
        <v/>
      </c>
      <c r="V790" s="1">
        <f t="shared" si="104"/>
        <v>0</v>
      </c>
      <c r="W790" s="1" t="str">
        <f t="shared" si="105"/>
        <v/>
      </c>
      <c r="X790" s="1"/>
      <c r="Y790" s="1"/>
      <c r="Z790" s="1"/>
      <c r="AA790" s="1"/>
      <c r="AB790" s="1"/>
      <c r="AC790" s="1"/>
      <c r="AD790" s="1">
        <f>IF($C790="",0,SUMPRODUCT((AY_SONU!$O$7:$O$42="Evet")*(AY_SONU!$B$7:$B$42=DATE(YEAR($C790),MONTH($C790),1))))</f>
        <v>0</v>
      </c>
      <c r="AE790" s="1" t="str">
        <f>IF($E790="","",$E790&amp;"|"&amp;COUNTIFS($E$7:$E790,$E790))</f>
        <v/>
      </c>
    </row>
    <row r="791" spans="1:31" ht="18" customHeight="1" x14ac:dyDescent="0.3">
      <c r="A791" s="2"/>
      <c r="B791" s="65" t="str">
        <f t="shared" si="98"/>
        <v/>
      </c>
      <c r="C791" s="66"/>
      <c r="D791" s="60"/>
      <c r="E791" s="61"/>
      <c r="F791" s="61"/>
      <c r="G791" s="67"/>
      <c r="H791" s="60"/>
      <c r="I791" s="60"/>
      <c r="J791" s="61"/>
      <c r="K791" s="61"/>
      <c r="L791" s="60"/>
      <c r="M791" s="74" t="str">
        <f t="shared" si="99"/>
        <v/>
      </c>
      <c r="N791" s="74" t="str">
        <f t="shared" si="100"/>
        <v/>
      </c>
      <c r="O791" s="73" t="str">
        <f t="shared" si="101"/>
        <v/>
      </c>
      <c r="P791" s="65" t="str">
        <f t="shared" ca="1" si="102"/>
        <v/>
      </c>
      <c r="Q791" s="2"/>
      <c r="R791" s="2"/>
      <c r="S791" s="1" t="str">
        <f t="shared" si="103"/>
        <v/>
      </c>
      <c r="T791" s="1" t="str">
        <f>IF(OR($C791="",$D791&lt;&gt;"Gelir",$L791=""),"",IFERROR(INDEX(MUSTERILER!$B$7:$B$156,MATCH($S791,MUSTERILER!$T$7:$T$156,0)),""))</f>
        <v/>
      </c>
      <c r="U791" s="1" t="str">
        <f>IF($T791="","",$T791&amp;"|"&amp;COUNTIFS($T$7:$T791,$T791))</f>
        <v/>
      </c>
      <c r="V791" s="1">
        <f t="shared" si="104"/>
        <v>0</v>
      </c>
      <c r="W791" s="1" t="str">
        <f t="shared" si="105"/>
        <v/>
      </c>
      <c r="X791" s="1"/>
      <c r="Y791" s="1"/>
      <c r="Z791" s="1"/>
      <c r="AA791" s="1"/>
      <c r="AB791" s="1"/>
      <c r="AC791" s="1"/>
      <c r="AD791" s="1">
        <f>IF($C791="",0,SUMPRODUCT((AY_SONU!$O$7:$O$42="Evet")*(AY_SONU!$B$7:$B$42=DATE(YEAR($C791),MONTH($C791),1))))</f>
        <v>0</v>
      </c>
      <c r="AE791" s="1" t="str">
        <f>IF($E791="","",$E791&amp;"|"&amp;COUNTIFS($E$7:$E791,$E791))</f>
        <v/>
      </c>
    </row>
    <row r="792" spans="1:31" ht="18" customHeight="1" x14ac:dyDescent="0.3">
      <c r="A792" s="2"/>
      <c r="B792" s="65" t="str">
        <f t="shared" si="98"/>
        <v/>
      </c>
      <c r="C792" s="66"/>
      <c r="D792" s="60"/>
      <c r="E792" s="61"/>
      <c r="F792" s="61"/>
      <c r="G792" s="67"/>
      <c r="H792" s="60"/>
      <c r="I792" s="60"/>
      <c r="J792" s="61"/>
      <c r="K792" s="61"/>
      <c r="L792" s="60"/>
      <c r="M792" s="74" t="str">
        <f t="shared" si="99"/>
        <v/>
      </c>
      <c r="N792" s="74" t="str">
        <f t="shared" si="100"/>
        <v/>
      </c>
      <c r="O792" s="73" t="str">
        <f t="shared" si="101"/>
        <v/>
      </c>
      <c r="P792" s="65" t="str">
        <f t="shared" ca="1" si="102"/>
        <v/>
      </c>
      <c r="Q792" s="2"/>
      <c r="R792" s="2"/>
      <c r="S792" s="1" t="str">
        <f t="shared" si="103"/>
        <v/>
      </c>
      <c r="T792" s="1" t="str">
        <f>IF(OR($C792="",$D792&lt;&gt;"Gelir",$L792=""),"",IFERROR(INDEX(MUSTERILER!$B$7:$B$156,MATCH($S792,MUSTERILER!$T$7:$T$156,0)),""))</f>
        <v/>
      </c>
      <c r="U792" s="1" t="str">
        <f>IF($T792="","",$T792&amp;"|"&amp;COUNTIFS($T$7:$T792,$T792))</f>
        <v/>
      </c>
      <c r="V792" s="1">
        <f t="shared" si="104"/>
        <v>0</v>
      </c>
      <c r="W792" s="1" t="str">
        <f t="shared" si="105"/>
        <v/>
      </c>
      <c r="X792" s="1"/>
      <c r="Y792" s="1"/>
      <c r="Z792" s="1"/>
      <c r="AA792" s="1"/>
      <c r="AB792" s="1"/>
      <c r="AC792" s="1"/>
      <c r="AD792" s="1">
        <f>IF($C792="",0,SUMPRODUCT((AY_SONU!$O$7:$O$42="Evet")*(AY_SONU!$B$7:$B$42=DATE(YEAR($C792),MONTH($C792),1))))</f>
        <v>0</v>
      </c>
      <c r="AE792" s="1" t="str">
        <f>IF($E792="","",$E792&amp;"|"&amp;COUNTIFS($E$7:$E792,$E792))</f>
        <v/>
      </c>
    </row>
    <row r="793" spans="1:31" ht="18" customHeight="1" x14ac:dyDescent="0.3">
      <c r="A793" s="2"/>
      <c r="B793" s="65" t="str">
        <f t="shared" si="98"/>
        <v/>
      </c>
      <c r="C793" s="66"/>
      <c r="D793" s="60"/>
      <c r="E793" s="61"/>
      <c r="F793" s="61"/>
      <c r="G793" s="67"/>
      <c r="H793" s="60"/>
      <c r="I793" s="60"/>
      <c r="J793" s="61"/>
      <c r="K793" s="61"/>
      <c r="L793" s="60"/>
      <c r="M793" s="74" t="str">
        <f t="shared" si="99"/>
        <v/>
      </c>
      <c r="N793" s="74" t="str">
        <f t="shared" si="100"/>
        <v/>
      </c>
      <c r="O793" s="73" t="str">
        <f t="shared" si="101"/>
        <v/>
      </c>
      <c r="P793" s="65" t="str">
        <f t="shared" ca="1" si="102"/>
        <v/>
      </c>
      <c r="Q793" s="2"/>
      <c r="R793" s="2"/>
      <c r="S793" s="1" t="str">
        <f t="shared" si="103"/>
        <v/>
      </c>
      <c r="T793" s="1" t="str">
        <f>IF(OR($C793="",$D793&lt;&gt;"Gelir",$L793=""),"",IFERROR(INDEX(MUSTERILER!$B$7:$B$156,MATCH($S793,MUSTERILER!$T$7:$T$156,0)),""))</f>
        <v/>
      </c>
      <c r="U793" s="1" t="str">
        <f>IF($T793="","",$T793&amp;"|"&amp;COUNTIFS($T$7:$T793,$T793))</f>
        <v/>
      </c>
      <c r="V793" s="1">
        <f t="shared" si="104"/>
        <v>0</v>
      </c>
      <c r="W793" s="1" t="str">
        <f t="shared" si="105"/>
        <v/>
      </c>
      <c r="X793" s="1"/>
      <c r="Y793" s="1"/>
      <c r="Z793" s="1"/>
      <c r="AA793" s="1"/>
      <c r="AB793" s="1"/>
      <c r="AC793" s="1"/>
      <c r="AD793" s="1">
        <f>IF($C793="",0,SUMPRODUCT((AY_SONU!$O$7:$O$42="Evet")*(AY_SONU!$B$7:$B$42=DATE(YEAR($C793),MONTH($C793),1))))</f>
        <v>0</v>
      </c>
      <c r="AE793" s="1" t="str">
        <f>IF($E793="","",$E793&amp;"|"&amp;COUNTIFS($E$7:$E793,$E793))</f>
        <v/>
      </c>
    </row>
    <row r="794" spans="1:31" ht="18" customHeight="1" x14ac:dyDescent="0.3">
      <c r="A794" s="2"/>
      <c r="B794" s="65" t="str">
        <f t="shared" si="98"/>
        <v/>
      </c>
      <c r="C794" s="66"/>
      <c r="D794" s="60"/>
      <c r="E794" s="61"/>
      <c r="F794" s="61"/>
      <c r="G794" s="67"/>
      <c r="H794" s="60"/>
      <c r="I794" s="60"/>
      <c r="J794" s="61"/>
      <c r="K794" s="61"/>
      <c r="L794" s="60"/>
      <c r="M794" s="74" t="str">
        <f t="shared" si="99"/>
        <v/>
      </c>
      <c r="N794" s="74" t="str">
        <f t="shared" si="100"/>
        <v/>
      </c>
      <c r="O794" s="73" t="str">
        <f t="shared" si="101"/>
        <v/>
      </c>
      <c r="P794" s="65" t="str">
        <f t="shared" ca="1" si="102"/>
        <v/>
      </c>
      <c r="Q794" s="2"/>
      <c r="R794" s="2"/>
      <c r="S794" s="1" t="str">
        <f t="shared" si="103"/>
        <v/>
      </c>
      <c r="T794" s="1" t="str">
        <f>IF(OR($C794="",$D794&lt;&gt;"Gelir",$L794=""),"",IFERROR(INDEX(MUSTERILER!$B$7:$B$156,MATCH($S794,MUSTERILER!$T$7:$T$156,0)),""))</f>
        <v/>
      </c>
      <c r="U794" s="1" t="str">
        <f>IF($T794="","",$T794&amp;"|"&amp;COUNTIFS($T$7:$T794,$T794))</f>
        <v/>
      </c>
      <c r="V794" s="1">
        <f t="shared" si="104"/>
        <v>0</v>
      </c>
      <c r="W794" s="1" t="str">
        <f t="shared" si="105"/>
        <v/>
      </c>
      <c r="X794" s="1"/>
      <c r="Y794" s="1"/>
      <c r="Z794" s="1"/>
      <c r="AA794" s="1"/>
      <c r="AB794" s="1"/>
      <c r="AC794" s="1"/>
      <c r="AD794" s="1">
        <f>IF($C794="",0,SUMPRODUCT((AY_SONU!$O$7:$O$42="Evet")*(AY_SONU!$B$7:$B$42=DATE(YEAR($C794),MONTH($C794),1))))</f>
        <v>0</v>
      </c>
      <c r="AE794" s="1" t="str">
        <f>IF($E794="","",$E794&amp;"|"&amp;COUNTIFS($E$7:$E794,$E794))</f>
        <v/>
      </c>
    </row>
    <row r="795" spans="1:31" ht="18" customHeight="1" x14ac:dyDescent="0.3">
      <c r="A795" s="2"/>
      <c r="B795" s="65" t="str">
        <f t="shared" si="98"/>
        <v/>
      </c>
      <c r="C795" s="66"/>
      <c r="D795" s="60"/>
      <c r="E795" s="61"/>
      <c r="F795" s="61"/>
      <c r="G795" s="67"/>
      <c r="H795" s="60"/>
      <c r="I795" s="60"/>
      <c r="J795" s="61"/>
      <c r="K795" s="61"/>
      <c r="L795" s="60"/>
      <c r="M795" s="74" t="str">
        <f t="shared" si="99"/>
        <v/>
      </c>
      <c r="N795" s="74" t="str">
        <f t="shared" si="100"/>
        <v/>
      </c>
      <c r="O795" s="73" t="str">
        <f t="shared" si="101"/>
        <v/>
      </c>
      <c r="P795" s="65" t="str">
        <f t="shared" ca="1" si="102"/>
        <v/>
      </c>
      <c r="Q795" s="2"/>
      <c r="R795" s="2"/>
      <c r="S795" s="1" t="str">
        <f t="shared" si="103"/>
        <v/>
      </c>
      <c r="T795" s="1" t="str">
        <f>IF(OR($C795="",$D795&lt;&gt;"Gelir",$L795=""),"",IFERROR(INDEX(MUSTERILER!$B$7:$B$156,MATCH($S795,MUSTERILER!$T$7:$T$156,0)),""))</f>
        <v/>
      </c>
      <c r="U795" s="1" t="str">
        <f>IF($T795="","",$T795&amp;"|"&amp;COUNTIFS($T$7:$T795,$T795))</f>
        <v/>
      </c>
      <c r="V795" s="1">
        <f t="shared" si="104"/>
        <v>0</v>
      </c>
      <c r="W795" s="1" t="str">
        <f t="shared" si="105"/>
        <v/>
      </c>
      <c r="X795" s="1"/>
      <c r="Y795" s="1"/>
      <c r="Z795" s="1"/>
      <c r="AA795" s="1"/>
      <c r="AB795" s="1"/>
      <c r="AC795" s="1"/>
      <c r="AD795" s="1">
        <f>IF($C795="",0,SUMPRODUCT((AY_SONU!$O$7:$O$42="Evet")*(AY_SONU!$B$7:$B$42=DATE(YEAR($C795),MONTH($C795),1))))</f>
        <v>0</v>
      </c>
      <c r="AE795" s="1" t="str">
        <f>IF($E795="","",$E795&amp;"|"&amp;COUNTIFS($E$7:$E795,$E795))</f>
        <v/>
      </c>
    </row>
    <row r="796" spans="1:31" ht="18" customHeight="1" x14ac:dyDescent="0.3">
      <c r="A796" s="2"/>
      <c r="B796" s="65" t="str">
        <f t="shared" si="98"/>
        <v/>
      </c>
      <c r="C796" s="66"/>
      <c r="D796" s="60"/>
      <c r="E796" s="61"/>
      <c r="F796" s="61"/>
      <c r="G796" s="67"/>
      <c r="H796" s="60"/>
      <c r="I796" s="60"/>
      <c r="J796" s="61"/>
      <c r="K796" s="61"/>
      <c r="L796" s="60"/>
      <c r="M796" s="74" t="str">
        <f t="shared" si="99"/>
        <v/>
      </c>
      <c r="N796" s="74" t="str">
        <f t="shared" si="100"/>
        <v/>
      </c>
      <c r="O796" s="73" t="str">
        <f t="shared" si="101"/>
        <v/>
      </c>
      <c r="P796" s="65" t="str">
        <f t="shared" ca="1" si="102"/>
        <v/>
      </c>
      <c r="Q796" s="2"/>
      <c r="R796" s="2"/>
      <c r="S796" s="1" t="str">
        <f t="shared" si="103"/>
        <v/>
      </c>
      <c r="T796" s="1" t="str">
        <f>IF(OR($C796="",$D796&lt;&gt;"Gelir",$L796=""),"",IFERROR(INDEX(MUSTERILER!$B$7:$B$156,MATCH($S796,MUSTERILER!$T$7:$T$156,0)),""))</f>
        <v/>
      </c>
      <c r="U796" s="1" t="str">
        <f>IF($T796="","",$T796&amp;"|"&amp;COUNTIFS($T$7:$T796,$T796))</f>
        <v/>
      </c>
      <c r="V796" s="1">
        <f t="shared" si="104"/>
        <v>0</v>
      </c>
      <c r="W796" s="1" t="str">
        <f t="shared" si="105"/>
        <v/>
      </c>
      <c r="X796" s="1"/>
      <c r="Y796" s="1"/>
      <c r="Z796" s="1"/>
      <c r="AA796" s="1"/>
      <c r="AB796" s="1"/>
      <c r="AC796" s="1"/>
      <c r="AD796" s="1">
        <f>IF($C796="",0,SUMPRODUCT((AY_SONU!$O$7:$O$42="Evet")*(AY_SONU!$B$7:$B$42=DATE(YEAR($C796),MONTH($C796),1))))</f>
        <v>0</v>
      </c>
      <c r="AE796" s="1" t="str">
        <f>IF($E796="","",$E796&amp;"|"&amp;COUNTIFS($E$7:$E796,$E796))</f>
        <v/>
      </c>
    </row>
    <row r="797" spans="1:31" ht="18" customHeight="1" x14ac:dyDescent="0.3">
      <c r="A797" s="2"/>
      <c r="B797" s="65" t="str">
        <f t="shared" si="98"/>
        <v/>
      </c>
      <c r="C797" s="66"/>
      <c r="D797" s="60"/>
      <c r="E797" s="61"/>
      <c r="F797" s="61"/>
      <c r="G797" s="67"/>
      <c r="H797" s="60"/>
      <c r="I797" s="60"/>
      <c r="J797" s="61"/>
      <c r="K797" s="61"/>
      <c r="L797" s="60"/>
      <c r="M797" s="74" t="str">
        <f t="shared" si="99"/>
        <v/>
      </c>
      <c r="N797" s="74" t="str">
        <f t="shared" si="100"/>
        <v/>
      </c>
      <c r="O797" s="73" t="str">
        <f t="shared" si="101"/>
        <v/>
      </c>
      <c r="P797" s="65" t="str">
        <f t="shared" ca="1" si="102"/>
        <v/>
      </c>
      <c r="Q797" s="2"/>
      <c r="R797" s="2"/>
      <c r="S797" s="1" t="str">
        <f t="shared" si="103"/>
        <v/>
      </c>
      <c r="T797" s="1" t="str">
        <f>IF(OR($C797="",$D797&lt;&gt;"Gelir",$L797=""),"",IFERROR(INDEX(MUSTERILER!$B$7:$B$156,MATCH($S797,MUSTERILER!$T$7:$T$156,0)),""))</f>
        <v/>
      </c>
      <c r="U797" s="1" t="str">
        <f>IF($T797="","",$T797&amp;"|"&amp;COUNTIFS($T$7:$T797,$T797))</f>
        <v/>
      </c>
      <c r="V797" s="1">
        <f t="shared" si="104"/>
        <v>0</v>
      </c>
      <c r="W797" s="1" t="str">
        <f t="shared" si="105"/>
        <v/>
      </c>
      <c r="X797" s="1"/>
      <c r="Y797" s="1"/>
      <c r="Z797" s="1"/>
      <c r="AA797" s="1"/>
      <c r="AB797" s="1"/>
      <c r="AC797" s="1"/>
      <c r="AD797" s="1">
        <f>IF($C797="",0,SUMPRODUCT((AY_SONU!$O$7:$O$42="Evet")*(AY_SONU!$B$7:$B$42=DATE(YEAR($C797),MONTH($C797),1))))</f>
        <v>0</v>
      </c>
      <c r="AE797" s="1" t="str">
        <f>IF($E797="","",$E797&amp;"|"&amp;COUNTIFS($E$7:$E797,$E797))</f>
        <v/>
      </c>
    </row>
    <row r="798" spans="1:31" ht="18" customHeight="1" x14ac:dyDescent="0.3">
      <c r="A798" s="2"/>
      <c r="B798" s="65" t="str">
        <f t="shared" si="98"/>
        <v/>
      </c>
      <c r="C798" s="66"/>
      <c r="D798" s="60"/>
      <c r="E798" s="61"/>
      <c r="F798" s="61"/>
      <c r="G798" s="67"/>
      <c r="H798" s="60"/>
      <c r="I798" s="60"/>
      <c r="J798" s="61"/>
      <c r="K798" s="61"/>
      <c r="L798" s="60"/>
      <c r="M798" s="74" t="str">
        <f t="shared" si="99"/>
        <v/>
      </c>
      <c r="N798" s="74" t="str">
        <f t="shared" si="100"/>
        <v/>
      </c>
      <c r="O798" s="73" t="str">
        <f t="shared" si="101"/>
        <v/>
      </c>
      <c r="P798" s="65" t="str">
        <f t="shared" ca="1" si="102"/>
        <v/>
      </c>
      <c r="Q798" s="2"/>
      <c r="R798" s="2"/>
      <c r="S798" s="1" t="str">
        <f t="shared" si="103"/>
        <v/>
      </c>
      <c r="T798" s="1" t="str">
        <f>IF(OR($C798="",$D798&lt;&gt;"Gelir",$L798=""),"",IFERROR(INDEX(MUSTERILER!$B$7:$B$156,MATCH($S798,MUSTERILER!$T$7:$T$156,0)),""))</f>
        <v/>
      </c>
      <c r="U798" s="1" t="str">
        <f>IF($T798="","",$T798&amp;"|"&amp;COUNTIFS($T$7:$T798,$T798))</f>
        <v/>
      </c>
      <c r="V798" s="1">
        <f t="shared" si="104"/>
        <v>0</v>
      </c>
      <c r="W798" s="1" t="str">
        <f t="shared" si="105"/>
        <v/>
      </c>
      <c r="X798" s="1"/>
      <c r="Y798" s="1"/>
      <c r="Z798" s="1"/>
      <c r="AA798" s="1"/>
      <c r="AB798" s="1"/>
      <c r="AC798" s="1"/>
      <c r="AD798" s="1">
        <f>IF($C798="",0,SUMPRODUCT((AY_SONU!$O$7:$O$42="Evet")*(AY_SONU!$B$7:$B$42=DATE(YEAR($C798),MONTH($C798),1))))</f>
        <v>0</v>
      </c>
      <c r="AE798" s="1" t="str">
        <f>IF($E798="","",$E798&amp;"|"&amp;COUNTIFS($E$7:$E798,$E798))</f>
        <v/>
      </c>
    </row>
    <row r="799" spans="1:31" ht="18" customHeight="1" x14ac:dyDescent="0.3">
      <c r="A799" s="2"/>
      <c r="B799" s="65" t="str">
        <f t="shared" si="98"/>
        <v/>
      </c>
      <c r="C799" s="66"/>
      <c r="D799" s="60"/>
      <c r="E799" s="61"/>
      <c r="F799" s="61"/>
      <c r="G799" s="67"/>
      <c r="H799" s="60"/>
      <c r="I799" s="60"/>
      <c r="J799" s="61"/>
      <c r="K799" s="61"/>
      <c r="L799" s="60"/>
      <c r="M799" s="74" t="str">
        <f t="shared" si="99"/>
        <v/>
      </c>
      <c r="N799" s="74" t="str">
        <f t="shared" si="100"/>
        <v/>
      </c>
      <c r="O799" s="73" t="str">
        <f t="shared" si="101"/>
        <v/>
      </c>
      <c r="P799" s="65" t="str">
        <f t="shared" ca="1" si="102"/>
        <v/>
      </c>
      <c r="Q799" s="2"/>
      <c r="R799" s="2"/>
      <c r="S799" s="1" t="str">
        <f t="shared" si="103"/>
        <v/>
      </c>
      <c r="T799" s="1" t="str">
        <f>IF(OR($C799="",$D799&lt;&gt;"Gelir",$L799=""),"",IFERROR(INDEX(MUSTERILER!$B$7:$B$156,MATCH($S799,MUSTERILER!$T$7:$T$156,0)),""))</f>
        <v/>
      </c>
      <c r="U799" s="1" t="str">
        <f>IF($T799="","",$T799&amp;"|"&amp;COUNTIFS($T$7:$T799,$T799))</f>
        <v/>
      </c>
      <c r="V799" s="1">
        <f t="shared" si="104"/>
        <v>0</v>
      </c>
      <c r="W799" s="1" t="str">
        <f t="shared" si="105"/>
        <v/>
      </c>
      <c r="X799" s="1"/>
      <c r="Y799" s="1"/>
      <c r="Z799" s="1"/>
      <c r="AA799" s="1"/>
      <c r="AB799" s="1"/>
      <c r="AC799" s="1"/>
      <c r="AD799" s="1">
        <f>IF($C799="",0,SUMPRODUCT((AY_SONU!$O$7:$O$42="Evet")*(AY_SONU!$B$7:$B$42=DATE(YEAR($C799),MONTH($C799),1))))</f>
        <v>0</v>
      </c>
      <c r="AE799" s="1" t="str">
        <f>IF($E799="","",$E799&amp;"|"&amp;COUNTIFS($E$7:$E799,$E799))</f>
        <v/>
      </c>
    </row>
    <row r="800" spans="1:31" ht="18" customHeight="1" x14ac:dyDescent="0.3">
      <c r="A800" s="2"/>
      <c r="B800" s="65" t="str">
        <f t="shared" si="98"/>
        <v/>
      </c>
      <c r="C800" s="66"/>
      <c r="D800" s="60"/>
      <c r="E800" s="61"/>
      <c r="F800" s="61"/>
      <c r="G800" s="67"/>
      <c r="H800" s="60"/>
      <c r="I800" s="60"/>
      <c r="J800" s="61"/>
      <c r="K800" s="61"/>
      <c r="L800" s="60"/>
      <c r="M800" s="74" t="str">
        <f t="shared" si="99"/>
        <v/>
      </c>
      <c r="N800" s="74" t="str">
        <f t="shared" si="100"/>
        <v/>
      </c>
      <c r="O800" s="73" t="str">
        <f t="shared" si="101"/>
        <v/>
      </c>
      <c r="P800" s="65" t="str">
        <f t="shared" ca="1" si="102"/>
        <v/>
      </c>
      <c r="Q800" s="2"/>
      <c r="R800" s="2"/>
      <c r="S800" s="1" t="str">
        <f t="shared" si="103"/>
        <v/>
      </c>
      <c r="T800" s="1" t="str">
        <f>IF(OR($C800="",$D800&lt;&gt;"Gelir",$L800=""),"",IFERROR(INDEX(MUSTERILER!$B$7:$B$156,MATCH($S800,MUSTERILER!$T$7:$T$156,0)),""))</f>
        <v/>
      </c>
      <c r="U800" s="1" t="str">
        <f>IF($T800="","",$T800&amp;"|"&amp;COUNTIFS($T$7:$T800,$T800))</f>
        <v/>
      </c>
      <c r="V800" s="1">
        <f t="shared" si="104"/>
        <v>0</v>
      </c>
      <c r="W800" s="1" t="str">
        <f t="shared" si="105"/>
        <v/>
      </c>
      <c r="X800" s="1"/>
      <c r="Y800" s="1"/>
      <c r="Z800" s="1"/>
      <c r="AA800" s="1"/>
      <c r="AB800" s="1"/>
      <c r="AC800" s="1"/>
      <c r="AD800" s="1">
        <f>IF($C800="",0,SUMPRODUCT((AY_SONU!$O$7:$O$42="Evet")*(AY_SONU!$B$7:$B$42=DATE(YEAR($C800),MONTH($C800),1))))</f>
        <v>0</v>
      </c>
      <c r="AE800" s="1" t="str">
        <f>IF($E800="","",$E800&amp;"|"&amp;COUNTIFS($E$7:$E800,$E800))</f>
        <v/>
      </c>
    </row>
    <row r="801" spans="1:31" ht="18" customHeight="1" x14ac:dyDescent="0.3">
      <c r="A801" s="2"/>
      <c r="B801" s="65" t="str">
        <f t="shared" si="98"/>
        <v/>
      </c>
      <c r="C801" s="66"/>
      <c r="D801" s="60"/>
      <c r="E801" s="61"/>
      <c r="F801" s="61"/>
      <c r="G801" s="67"/>
      <c r="H801" s="60"/>
      <c r="I801" s="60"/>
      <c r="J801" s="61"/>
      <c r="K801" s="61"/>
      <c r="L801" s="60"/>
      <c r="M801" s="74" t="str">
        <f t="shared" si="99"/>
        <v/>
      </c>
      <c r="N801" s="74" t="str">
        <f t="shared" si="100"/>
        <v/>
      </c>
      <c r="O801" s="73" t="str">
        <f t="shared" si="101"/>
        <v/>
      </c>
      <c r="P801" s="65" t="str">
        <f t="shared" ca="1" si="102"/>
        <v/>
      </c>
      <c r="Q801" s="2"/>
      <c r="R801" s="2"/>
      <c r="S801" s="1" t="str">
        <f t="shared" si="103"/>
        <v/>
      </c>
      <c r="T801" s="1" t="str">
        <f>IF(OR($C801="",$D801&lt;&gt;"Gelir",$L801=""),"",IFERROR(INDEX(MUSTERILER!$B$7:$B$156,MATCH($S801,MUSTERILER!$T$7:$T$156,0)),""))</f>
        <v/>
      </c>
      <c r="U801" s="1" t="str">
        <f>IF($T801="","",$T801&amp;"|"&amp;COUNTIFS($T$7:$T801,$T801))</f>
        <v/>
      </c>
      <c r="V801" s="1">
        <f t="shared" si="104"/>
        <v>0</v>
      </c>
      <c r="W801" s="1" t="str">
        <f t="shared" si="105"/>
        <v/>
      </c>
      <c r="X801" s="1"/>
      <c r="Y801" s="1"/>
      <c r="Z801" s="1"/>
      <c r="AA801" s="1"/>
      <c r="AB801" s="1"/>
      <c r="AC801" s="1"/>
      <c r="AD801" s="1">
        <f>IF($C801="",0,SUMPRODUCT((AY_SONU!$O$7:$O$42="Evet")*(AY_SONU!$B$7:$B$42=DATE(YEAR($C801),MONTH($C801),1))))</f>
        <v>0</v>
      </c>
      <c r="AE801" s="1" t="str">
        <f>IF($E801="","",$E801&amp;"|"&amp;COUNTIFS($E$7:$E801,$E801))</f>
        <v/>
      </c>
    </row>
    <row r="802" spans="1:31" ht="18" customHeight="1" x14ac:dyDescent="0.3">
      <c r="A802" s="2"/>
      <c r="B802" s="65" t="str">
        <f t="shared" si="98"/>
        <v/>
      </c>
      <c r="C802" s="66"/>
      <c r="D802" s="60"/>
      <c r="E802" s="61"/>
      <c r="F802" s="61"/>
      <c r="G802" s="67"/>
      <c r="H802" s="60"/>
      <c r="I802" s="60"/>
      <c r="J802" s="61"/>
      <c r="K802" s="61"/>
      <c r="L802" s="60"/>
      <c r="M802" s="74" t="str">
        <f t="shared" si="99"/>
        <v/>
      </c>
      <c r="N802" s="74" t="str">
        <f t="shared" si="100"/>
        <v/>
      </c>
      <c r="O802" s="73" t="str">
        <f t="shared" si="101"/>
        <v/>
      </c>
      <c r="P802" s="65" t="str">
        <f t="shared" ca="1" si="102"/>
        <v/>
      </c>
      <c r="Q802" s="2"/>
      <c r="R802" s="2"/>
      <c r="S802" s="1" t="str">
        <f t="shared" si="103"/>
        <v/>
      </c>
      <c r="T802" s="1" t="str">
        <f>IF(OR($C802="",$D802&lt;&gt;"Gelir",$L802=""),"",IFERROR(INDEX(MUSTERILER!$B$7:$B$156,MATCH($S802,MUSTERILER!$T$7:$T$156,0)),""))</f>
        <v/>
      </c>
      <c r="U802" s="1" t="str">
        <f>IF($T802="","",$T802&amp;"|"&amp;COUNTIFS($T$7:$T802,$T802))</f>
        <v/>
      </c>
      <c r="V802" s="1">
        <f t="shared" si="104"/>
        <v>0</v>
      </c>
      <c r="W802" s="1" t="str">
        <f t="shared" si="105"/>
        <v/>
      </c>
      <c r="X802" s="1"/>
      <c r="Y802" s="1"/>
      <c r="Z802" s="1"/>
      <c r="AA802" s="1"/>
      <c r="AB802" s="1"/>
      <c r="AC802" s="1"/>
      <c r="AD802" s="1">
        <f>IF($C802="",0,SUMPRODUCT((AY_SONU!$O$7:$O$42="Evet")*(AY_SONU!$B$7:$B$42=DATE(YEAR($C802),MONTH($C802),1))))</f>
        <v>0</v>
      </c>
      <c r="AE802" s="1" t="str">
        <f>IF($E802="","",$E802&amp;"|"&amp;COUNTIFS($E$7:$E802,$E802))</f>
        <v/>
      </c>
    </row>
    <row r="803" spans="1:31" ht="18" customHeight="1" x14ac:dyDescent="0.3">
      <c r="A803" s="2"/>
      <c r="B803" s="65" t="str">
        <f t="shared" si="98"/>
        <v/>
      </c>
      <c r="C803" s="66"/>
      <c r="D803" s="60"/>
      <c r="E803" s="61"/>
      <c r="F803" s="61"/>
      <c r="G803" s="67"/>
      <c r="H803" s="60"/>
      <c r="I803" s="60"/>
      <c r="J803" s="61"/>
      <c r="K803" s="61"/>
      <c r="L803" s="60"/>
      <c r="M803" s="74" t="str">
        <f t="shared" si="99"/>
        <v/>
      </c>
      <c r="N803" s="74" t="str">
        <f t="shared" si="100"/>
        <v/>
      </c>
      <c r="O803" s="73" t="str">
        <f t="shared" si="101"/>
        <v/>
      </c>
      <c r="P803" s="65" t="str">
        <f t="shared" ca="1" si="102"/>
        <v/>
      </c>
      <c r="Q803" s="2"/>
      <c r="R803" s="2"/>
      <c r="S803" s="1" t="str">
        <f t="shared" si="103"/>
        <v/>
      </c>
      <c r="T803" s="1" t="str">
        <f>IF(OR($C803="",$D803&lt;&gt;"Gelir",$L803=""),"",IFERROR(INDEX(MUSTERILER!$B$7:$B$156,MATCH($S803,MUSTERILER!$T$7:$T$156,0)),""))</f>
        <v/>
      </c>
      <c r="U803" s="1" t="str">
        <f>IF($T803="","",$T803&amp;"|"&amp;COUNTIFS($T$7:$T803,$T803))</f>
        <v/>
      </c>
      <c r="V803" s="1">
        <f t="shared" si="104"/>
        <v>0</v>
      </c>
      <c r="W803" s="1" t="str">
        <f t="shared" si="105"/>
        <v/>
      </c>
      <c r="X803" s="1"/>
      <c r="Y803" s="1"/>
      <c r="Z803" s="1"/>
      <c r="AA803" s="1"/>
      <c r="AB803" s="1"/>
      <c r="AC803" s="1"/>
      <c r="AD803" s="1">
        <f>IF($C803="",0,SUMPRODUCT((AY_SONU!$O$7:$O$42="Evet")*(AY_SONU!$B$7:$B$42=DATE(YEAR($C803),MONTH($C803),1))))</f>
        <v>0</v>
      </c>
      <c r="AE803" s="1" t="str">
        <f>IF($E803="","",$E803&amp;"|"&amp;COUNTIFS($E$7:$E803,$E803))</f>
        <v/>
      </c>
    </row>
    <row r="804" spans="1:31" ht="18" customHeight="1" x14ac:dyDescent="0.3">
      <c r="A804" s="2"/>
      <c r="B804" s="65" t="str">
        <f t="shared" si="98"/>
        <v/>
      </c>
      <c r="C804" s="66"/>
      <c r="D804" s="60"/>
      <c r="E804" s="61"/>
      <c r="F804" s="61"/>
      <c r="G804" s="67"/>
      <c r="H804" s="60"/>
      <c r="I804" s="60"/>
      <c r="J804" s="61"/>
      <c r="K804" s="61"/>
      <c r="L804" s="60"/>
      <c r="M804" s="74" t="str">
        <f t="shared" si="99"/>
        <v/>
      </c>
      <c r="N804" s="74" t="str">
        <f t="shared" si="100"/>
        <v/>
      </c>
      <c r="O804" s="73" t="str">
        <f t="shared" si="101"/>
        <v/>
      </c>
      <c r="P804" s="65" t="str">
        <f t="shared" ca="1" si="102"/>
        <v/>
      </c>
      <c r="Q804" s="2"/>
      <c r="R804" s="2"/>
      <c r="S804" s="1" t="str">
        <f t="shared" si="103"/>
        <v/>
      </c>
      <c r="T804" s="1" t="str">
        <f>IF(OR($C804="",$D804&lt;&gt;"Gelir",$L804=""),"",IFERROR(INDEX(MUSTERILER!$B$7:$B$156,MATCH($S804,MUSTERILER!$T$7:$T$156,0)),""))</f>
        <v/>
      </c>
      <c r="U804" s="1" t="str">
        <f>IF($T804="","",$T804&amp;"|"&amp;COUNTIFS($T$7:$T804,$T804))</f>
        <v/>
      </c>
      <c r="V804" s="1">
        <f t="shared" si="104"/>
        <v>0</v>
      </c>
      <c r="W804" s="1" t="str">
        <f t="shared" si="105"/>
        <v/>
      </c>
      <c r="X804" s="1"/>
      <c r="Y804" s="1"/>
      <c r="Z804" s="1"/>
      <c r="AA804" s="1"/>
      <c r="AB804" s="1"/>
      <c r="AC804" s="1"/>
      <c r="AD804" s="1">
        <f>IF($C804="",0,SUMPRODUCT((AY_SONU!$O$7:$O$42="Evet")*(AY_SONU!$B$7:$B$42=DATE(YEAR($C804),MONTH($C804),1))))</f>
        <v>0</v>
      </c>
      <c r="AE804" s="1" t="str">
        <f>IF($E804="","",$E804&amp;"|"&amp;COUNTIFS($E$7:$E804,$E804))</f>
        <v/>
      </c>
    </row>
    <row r="805" spans="1:31" ht="18" customHeight="1" x14ac:dyDescent="0.3">
      <c r="A805" s="2"/>
      <c r="B805" s="65" t="str">
        <f t="shared" si="98"/>
        <v/>
      </c>
      <c r="C805" s="66"/>
      <c r="D805" s="60"/>
      <c r="E805" s="61"/>
      <c r="F805" s="61"/>
      <c r="G805" s="67"/>
      <c r="H805" s="60"/>
      <c r="I805" s="60"/>
      <c r="J805" s="61"/>
      <c r="K805" s="61"/>
      <c r="L805" s="60"/>
      <c r="M805" s="74" t="str">
        <f t="shared" si="99"/>
        <v/>
      </c>
      <c r="N805" s="74" t="str">
        <f t="shared" si="100"/>
        <v/>
      </c>
      <c r="O805" s="73" t="str">
        <f t="shared" si="101"/>
        <v/>
      </c>
      <c r="P805" s="65" t="str">
        <f t="shared" ca="1" si="102"/>
        <v/>
      </c>
      <c r="Q805" s="2"/>
      <c r="R805" s="2"/>
      <c r="S805" s="1" t="str">
        <f t="shared" si="103"/>
        <v/>
      </c>
      <c r="T805" s="1" t="str">
        <f>IF(OR($C805="",$D805&lt;&gt;"Gelir",$L805=""),"",IFERROR(INDEX(MUSTERILER!$B$7:$B$156,MATCH($S805,MUSTERILER!$T$7:$T$156,0)),""))</f>
        <v/>
      </c>
      <c r="U805" s="1" t="str">
        <f>IF($T805="","",$T805&amp;"|"&amp;COUNTIFS($T$7:$T805,$T805))</f>
        <v/>
      </c>
      <c r="V805" s="1">
        <f t="shared" si="104"/>
        <v>0</v>
      </c>
      <c r="W805" s="1" t="str">
        <f t="shared" si="105"/>
        <v/>
      </c>
      <c r="X805" s="1"/>
      <c r="Y805" s="1"/>
      <c r="Z805" s="1"/>
      <c r="AA805" s="1"/>
      <c r="AB805" s="1"/>
      <c r="AC805" s="1"/>
      <c r="AD805" s="1">
        <f>IF($C805="",0,SUMPRODUCT((AY_SONU!$O$7:$O$42="Evet")*(AY_SONU!$B$7:$B$42=DATE(YEAR($C805),MONTH($C805),1))))</f>
        <v>0</v>
      </c>
      <c r="AE805" s="1" t="str">
        <f>IF($E805="","",$E805&amp;"|"&amp;COUNTIFS($E$7:$E805,$E805))</f>
        <v/>
      </c>
    </row>
    <row r="806" spans="1:31" ht="18" customHeight="1" x14ac:dyDescent="0.3">
      <c r="A806" s="2"/>
      <c r="B806" s="65" t="str">
        <f t="shared" si="98"/>
        <v/>
      </c>
      <c r="C806" s="66"/>
      <c r="D806" s="60"/>
      <c r="E806" s="61"/>
      <c r="F806" s="61"/>
      <c r="G806" s="67"/>
      <c r="H806" s="60"/>
      <c r="I806" s="60"/>
      <c r="J806" s="61"/>
      <c r="K806" s="61"/>
      <c r="L806" s="60"/>
      <c r="M806" s="74" t="str">
        <f t="shared" si="99"/>
        <v/>
      </c>
      <c r="N806" s="74" t="str">
        <f t="shared" si="100"/>
        <v/>
      </c>
      <c r="O806" s="73" t="str">
        <f t="shared" si="101"/>
        <v/>
      </c>
      <c r="P806" s="65" t="str">
        <f t="shared" ca="1" si="102"/>
        <v/>
      </c>
      <c r="Q806" s="2"/>
      <c r="R806" s="2"/>
      <c r="S806" s="1" t="str">
        <f t="shared" si="103"/>
        <v/>
      </c>
      <c r="T806" s="1" t="str">
        <f>IF(OR($C806="",$D806&lt;&gt;"Gelir",$L806=""),"",IFERROR(INDEX(MUSTERILER!$B$7:$B$156,MATCH($S806,MUSTERILER!$T$7:$T$156,0)),""))</f>
        <v/>
      </c>
      <c r="U806" s="1" t="str">
        <f>IF($T806="","",$T806&amp;"|"&amp;COUNTIFS($T$7:$T806,$T806))</f>
        <v/>
      </c>
      <c r="V806" s="1">
        <f t="shared" si="104"/>
        <v>0</v>
      </c>
      <c r="W806" s="1" t="str">
        <f t="shared" si="105"/>
        <v/>
      </c>
      <c r="X806" s="1"/>
      <c r="Y806" s="1"/>
      <c r="Z806" s="1"/>
      <c r="AA806" s="1"/>
      <c r="AB806" s="1"/>
      <c r="AC806" s="1"/>
      <c r="AD806" s="1">
        <f>IF($C806="",0,SUMPRODUCT((AY_SONU!$O$7:$O$42="Evet")*(AY_SONU!$B$7:$B$42=DATE(YEAR($C806),MONTH($C806),1))))</f>
        <v>0</v>
      </c>
      <c r="AE806" s="1" t="str">
        <f>IF($E806="","",$E806&amp;"|"&amp;COUNTIFS($E$7:$E806,$E806))</f>
        <v/>
      </c>
    </row>
    <row r="807" spans="1:31" ht="18" customHeight="1" x14ac:dyDescent="0.3">
      <c r="A807" s="2"/>
      <c r="B807" s="65" t="str">
        <f t="shared" si="98"/>
        <v/>
      </c>
      <c r="C807" s="66"/>
      <c r="D807" s="60"/>
      <c r="E807" s="61"/>
      <c r="F807" s="61"/>
      <c r="G807" s="67"/>
      <c r="H807" s="60"/>
      <c r="I807" s="60"/>
      <c r="J807" s="61"/>
      <c r="K807" s="61"/>
      <c r="L807" s="60"/>
      <c r="M807" s="74" t="str">
        <f t="shared" si="99"/>
        <v/>
      </c>
      <c r="N807" s="74" t="str">
        <f t="shared" si="100"/>
        <v/>
      </c>
      <c r="O807" s="73" t="str">
        <f t="shared" si="101"/>
        <v/>
      </c>
      <c r="P807" s="65" t="str">
        <f t="shared" ca="1" si="102"/>
        <v/>
      </c>
      <c r="Q807" s="2"/>
      <c r="R807" s="2"/>
      <c r="S807" s="1" t="str">
        <f t="shared" si="103"/>
        <v/>
      </c>
      <c r="T807" s="1" t="str">
        <f>IF(OR($C807="",$D807&lt;&gt;"Gelir",$L807=""),"",IFERROR(INDEX(MUSTERILER!$B$7:$B$156,MATCH($S807,MUSTERILER!$T$7:$T$156,0)),""))</f>
        <v/>
      </c>
      <c r="U807" s="1" t="str">
        <f>IF($T807="","",$T807&amp;"|"&amp;COUNTIFS($T$7:$T807,$T807))</f>
        <v/>
      </c>
      <c r="V807" s="1">
        <f t="shared" si="104"/>
        <v>0</v>
      </c>
      <c r="W807" s="1" t="str">
        <f t="shared" si="105"/>
        <v/>
      </c>
      <c r="X807" s="1"/>
      <c r="Y807" s="1"/>
      <c r="Z807" s="1"/>
      <c r="AA807" s="1"/>
      <c r="AB807" s="1"/>
      <c r="AC807" s="1"/>
      <c r="AD807" s="1">
        <f>IF($C807="",0,SUMPRODUCT((AY_SONU!$O$7:$O$42="Evet")*(AY_SONU!$B$7:$B$42=DATE(YEAR($C807),MONTH($C807),1))))</f>
        <v>0</v>
      </c>
      <c r="AE807" s="1" t="str">
        <f>IF($E807="","",$E807&amp;"|"&amp;COUNTIFS($E$7:$E807,$E807))</f>
        <v/>
      </c>
    </row>
    <row r="808" spans="1:31" ht="18" customHeight="1" x14ac:dyDescent="0.3">
      <c r="A808" s="2"/>
      <c r="B808" s="65" t="str">
        <f t="shared" si="98"/>
        <v/>
      </c>
      <c r="C808" s="66"/>
      <c r="D808" s="60"/>
      <c r="E808" s="61"/>
      <c r="F808" s="61"/>
      <c r="G808" s="67"/>
      <c r="H808" s="60"/>
      <c r="I808" s="60"/>
      <c r="J808" s="61"/>
      <c r="K808" s="61"/>
      <c r="L808" s="60"/>
      <c r="M808" s="74" t="str">
        <f t="shared" si="99"/>
        <v/>
      </c>
      <c r="N808" s="74" t="str">
        <f t="shared" si="100"/>
        <v/>
      </c>
      <c r="O808" s="73" t="str">
        <f t="shared" si="101"/>
        <v/>
      </c>
      <c r="P808" s="65" t="str">
        <f t="shared" ca="1" si="102"/>
        <v/>
      </c>
      <c r="Q808" s="2"/>
      <c r="R808" s="2"/>
      <c r="S808" s="1" t="str">
        <f t="shared" si="103"/>
        <v/>
      </c>
      <c r="T808" s="1" t="str">
        <f>IF(OR($C808="",$D808&lt;&gt;"Gelir",$L808=""),"",IFERROR(INDEX(MUSTERILER!$B$7:$B$156,MATCH($S808,MUSTERILER!$T$7:$T$156,0)),""))</f>
        <v/>
      </c>
      <c r="U808" s="1" t="str">
        <f>IF($T808="","",$T808&amp;"|"&amp;COUNTIFS($T$7:$T808,$T808))</f>
        <v/>
      </c>
      <c r="V808" s="1">
        <f t="shared" si="104"/>
        <v>0</v>
      </c>
      <c r="W808" s="1" t="str">
        <f t="shared" si="105"/>
        <v/>
      </c>
      <c r="X808" s="1"/>
      <c r="Y808" s="1"/>
      <c r="Z808" s="1"/>
      <c r="AA808" s="1"/>
      <c r="AB808" s="1"/>
      <c r="AC808" s="1"/>
      <c r="AD808" s="1">
        <f>IF($C808="",0,SUMPRODUCT((AY_SONU!$O$7:$O$42="Evet")*(AY_SONU!$B$7:$B$42=DATE(YEAR($C808),MONTH($C808),1))))</f>
        <v>0</v>
      </c>
      <c r="AE808" s="1" t="str">
        <f>IF($E808="","",$E808&amp;"|"&amp;COUNTIFS($E$7:$E808,$E808))</f>
        <v/>
      </c>
    </row>
    <row r="809" spans="1:31" ht="18" customHeight="1" x14ac:dyDescent="0.3">
      <c r="A809" s="2"/>
      <c r="B809" s="65" t="str">
        <f t="shared" si="98"/>
        <v/>
      </c>
      <c r="C809" s="66"/>
      <c r="D809" s="60"/>
      <c r="E809" s="61"/>
      <c r="F809" s="61"/>
      <c r="G809" s="67"/>
      <c r="H809" s="60"/>
      <c r="I809" s="60"/>
      <c r="J809" s="61"/>
      <c r="K809" s="61"/>
      <c r="L809" s="60"/>
      <c r="M809" s="74" t="str">
        <f t="shared" si="99"/>
        <v/>
      </c>
      <c r="N809" s="74" t="str">
        <f t="shared" si="100"/>
        <v/>
      </c>
      <c r="O809" s="73" t="str">
        <f t="shared" si="101"/>
        <v/>
      </c>
      <c r="P809" s="65" t="str">
        <f t="shared" ca="1" si="102"/>
        <v/>
      </c>
      <c r="Q809" s="2"/>
      <c r="R809" s="2"/>
      <c r="S809" s="1" t="str">
        <f t="shared" si="103"/>
        <v/>
      </c>
      <c r="T809" s="1" t="str">
        <f>IF(OR($C809="",$D809&lt;&gt;"Gelir",$L809=""),"",IFERROR(INDEX(MUSTERILER!$B$7:$B$156,MATCH($S809,MUSTERILER!$T$7:$T$156,0)),""))</f>
        <v/>
      </c>
      <c r="U809" s="1" t="str">
        <f>IF($T809="","",$T809&amp;"|"&amp;COUNTIFS($T$7:$T809,$T809))</f>
        <v/>
      </c>
      <c r="V809" s="1">
        <f t="shared" si="104"/>
        <v>0</v>
      </c>
      <c r="W809" s="1" t="str">
        <f t="shared" si="105"/>
        <v/>
      </c>
      <c r="X809" s="1"/>
      <c r="Y809" s="1"/>
      <c r="Z809" s="1"/>
      <c r="AA809" s="1"/>
      <c r="AB809" s="1"/>
      <c r="AC809" s="1"/>
      <c r="AD809" s="1">
        <f>IF($C809="",0,SUMPRODUCT((AY_SONU!$O$7:$O$42="Evet")*(AY_SONU!$B$7:$B$42=DATE(YEAR($C809),MONTH($C809),1))))</f>
        <v>0</v>
      </c>
      <c r="AE809" s="1" t="str">
        <f>IF($E809="","",$E809&amp;"|"&amp;COUNTIFS($E$7:$E809,$E809))</f>
        <v/>
      </c>
    </row>
    <row r="810" spans="1:31" ht="18" customHeight="1" x14ac:dyDescent="0.3">
      <c r="A810" s="2"/>
      <c r="B810" s="65" t="str">
        <f t="shared" si="98"/>
        <v/>
      </c>
      <c r="C810" s="66"/>
      <c r="D810" s="60"/>
      <c r="E810" s="61"/>
      <c r="F810" s="61"/>
      <c r="G810" s="67"/>
      <c r="H810" s="60"/>
      <c r="I810" s="60"/>
      <c r="J810" s="61"/>
      <c r="K810" s="61"/>
      <c r="L810" s="60"/>
      <c r="M810" s="74" t="str">
        <f t="shared" si="99"/>
        <v/>
      </c>
      <c r="N810" s="74" t="str">
        <f t="shared" si="100"/>
        <v/>
      </c>
      <c r="O810" s="73" t="str">
        <f t="shared" si="101"/>
        <v/>
      </c>
      <c r="P810" s="65" t="str">
        <f t="shared" ca="1" si="102"/>
        <v/>
      </c>
      <c r="Q810" s="2"/>
      <c r="R810" s="2"/>
      <c r="S810" s="1" t="str">
        <f t="shared" si="103"/>
        <v/>
      </c>
      <c r="T810" s="1" t="str">
        <f>IF(OR($C810="",$D810&lt;&gt;"Gelir",$L810=""),"",IFERROR(INDEX(MUSTERILER!$B$7:$B$156,MATCH($S810,MUSTERILER!$T$7:$T$156,0)),""))</f>
        <v/>
      </c>
      <c r="U810" s="1" t="str">
        <f>IF($T810="","",$T810&amp;"|"&amp;COUNTIFS($T$7:$T810,$T810))</f>
        <v/>
      </c>
      <c r="V810" s="1">
        <f t="shared" si="104"/>
        <v>0</v>
      </c>
      <c r="W810" s="1" t="str">
        <f t="shared" si="105"/>
        <v/>
      </c>
      <c r="X810" s="1"/>
      <c r="Y810" s="1"/>
      <c r="Z810" s="1"/>
      <c r="AA810" s="1"/>
      <c r="AB810" s="1"/>
      <c r="AC810" s="1"/>
      <c r="AD810" s="1">
        <f>IF($C810="",0,SUMPRODUCT((AY_SONU!$O$7:$O$42="Evet")*(AY_SONU!$B$7:$B$42=DATE(YEAR($C810),MONTH($C810),1))))</f>
        <v>0</v>
      </c>
      <c r="AE810" s="1" t="str">
        <f>IF($E810="","",$E810&amp;"|"&amp;COUNTIFS($E$7:$E810,$E810))</f>
        <v/>
      </c>
    </row>
    <row r="811" spans="1:31" ht="18" customHeight="1" x14ac:dyDescent="0.3">
      <c r="A811" s="2"/>
      <c r="B811" s="65" t="str">
        <f t="shared" si="98"/>
        <v/>
      </c>
      <c r="C811" s="66"/>
      <c r="D811" s="60"/>
      <c r="E811" s="61"/>
      <c r="F811" s="61"/>
      <c r="G811" s="67"/>
      <c r="H811" s="60"/>
      <c r="I811" s="60"/>
      <c r="J811" s="61"/>
      <c r="K811" s="61"/>
      <c r="L811" s="60"/>
      <c r="M811" s="74" t="str">
        <f t="shared" si="99"/>
        <v/>
      </c>
      <c r="N811" s="74" t="str">
        <f t="shared" si="100"/>
        <v/>
      </c>
      <c r="O811" s="73" t="str">
        <f t="shared" si="101"/>
        <v/>
      </c>
      <c r="P811" s="65" t="str">
        <f t="shared" ca="1" si="102"/>
        <v/>
      </c>
      <c r="Q811" s="2"/>
      <c r="R811" s="2"/>
      <c r="S811" s="1" t="str">
        <f t="shared" si="103"/>
        <v/>
      </c>
      <c r="T811" s="1" t="str">
        <f>IF(OR($C811="",$D811&lt;&gt;"Gelir",$L811=""),"",IFERROR(INDEX(MUSTERILER!$B$7:$B$156,MATCH($S811,MUSTERILER!$T$7:$T$156,0)),""))</f>
        <v/>
      </c>
      <c r="U811" s="1" t="str">
        <f>IF($T811="","",$T811&amp;"|"&amp;COUNTIFS($T$7:$T811,$T811))</f>
        <v/>
      </c>
      <c r="V811" s="1">
        <f t="shared" si="104"/>
        <v>0</v>
      </c>
      <c r="W811" s="1" t="str">
        <f t="shared" si="105"/>
        <v/>
      </c>
      <c r="X811" s="1"/>
      <c r="Y811" s="1"/>
      <c r="Z811" s="1"/>
      <c r="AA811" s="1"/>
      <c r="AB811" s="1"/>
      <c r="AC811" s="1"/>
      <c r="AD811" s="1">
        <f>IF($C811="",0,SUMPRODUCT((AY_SONU!$O$7:$O$42="Evet")*(AY_SONU!$B$7:$B$42=DATE(YEAR($C811),MONTH($C811),1))))</f>
        <v>0</v>
      </c>
      <c r="AE811" s="1" t="str">
        <f>IF($E811="","",$E811&amp;"|"&amp;COUNTIFS($E$7:$E811,$E811))</f>
        <v/>
      </c>
    </row>
    <row r="812" spans="1:31" ht="18" customHeight="1" x14ac:dyDescent="0.3">
      <c r="A812" s="2"/>
      <c r="B812" s="65" t="str">
        <f t="shared" si="98"/>
        <v/>
      </c>
      <c r="C812" s="66"/>
      <c r="D812" s="60"/>
      <c r="E812" s="61"/>
      <c r="F812" s="61"/>
      <c r="G812" s="67"/>
      <c r="H812" s="60"/>
      <c r="I812" s="60"/>
      <c r="J812" s="61"/>
      <c r="K812" s="61"/>
      <c r="L812" s="60"/>
      <c r="M812" s="74" t="str">
        <f t="shared" si="99"/>
        <v/>
      </c>
      <c r="N812" s="74" t="str">
        <f t="shared" si="100"/>
        <v/>
      </c>
      <c r="O812" s="73" t="str">
        <f t="shared" si="101"/>
        <v/>
      </c>
      <c r="P812" s="65" t="str">
        <f t="shared" ca="1" si="102"/>
        <v/>
      </c>
      <c r="Q812" s="2"/>
      <c r="R812" s="2"/>
      <c r="S812" s="1" t="str">
        <f t="shared" si="103"/>
        <v/>
      </c>
      <c r="T812" s="1" t="str">
        <f>IF(OR($C812="",$D812&lt;&gt;"Gelir",$L812=""),"",IFERROR(INDEX(MUSTERILER!$B$7:$B$156,MATCH($S812,MUSTERILER!$T$7:$T$156,0)),""))</f>
        <v/>
      </c>
      <c r="U812" s="1" t="str">
        <f>IF($T812="","",$T812&amp;"|"&amp;COUNTIFS($T$7:$T812,$T812))</f>
        <v/>
      </c>
      <c r="V812" s="1">
        <f t="shared" si="104"/>
        <v>0</v>
      </c>
      <c r="W812" s="1" t="str">
        <f t="shared" si="105"/>
        <v/>
      </c>
      <c r="X812" s="1"/>
      <c r="Y812" s="1"/>
      <c r="Z812" s="1"/>
      <c r="AA812" s="1"/>
      <c r="AB812" s="1"/>
      <c r="AC812" s="1"/>
      <c r="AD812" s="1">
        <f>IF($C812="",0,SUMPRODUCT((AY_SONU!$O$7:$O$42="Evet")*(AY_SONU!$B$7:$B$42=DATE(YEAR($C812),MONTH($C812),1))))</f>
        <v>0</v>
      </c>
      <c r="AE812" s="1" t="str">
        <f>IF($E812="","",$E812&amp;"|"&amp;COUNTIFS($E$7:$E812,$E812))</f>
        <v/>
      </c>
    </row>
    <row r="813" spans="1:31" ht="18" customHeight="1" x14ac:dyDescent="0.3">
      <c r="A813" s="2"/>
      <c r="B813" s="65" t="str">
        <f t="shared" si="98"/>
        <v/>
      </c>
      <c r="C813" s="66"/>
      <c r="D813" s="60"/>
      <c r="E813" s="61"/>
      <c r="F813" s="61"/>
      <c r="G813" s="67"/>
      <c r="H813" s="60"/>
      <c r="I813" s="60"/>
      <c r="J813" s="61"/>
      <c r="K813" s="61"/>
      <c r="L813" s="60"/>
      <c r="M813" s="74" t="str">
        <f t="shared" si="99"/>
        <v/>
      </c>
      <c r="N813" s="74" t="str">
        <f t="shared" si="100"/>
        <v/>
      </c>
      <c r="O813" s="73" t="str">
        <f t="shared" si="101"/>
        <v/>
      </c>
      <c r="P813" s="65" t="str">
        <f t="shared" ca="1" si="102"/>
        <v/>
      </c>
      <c r="Q813" s="2"/>
      <c r="R813" s="2"/>
      <c r="S813" s="1" t="str">
        <f t="shared" si="103"/>
        <v/>
      </c>
      <c r="T813" s="1" t="str">
        <f>IF(OR($C813="",$D813&lt;&gt;"Gelir",$L813=""),"",IFERROR(INDEX(MUSTERILER!$B$7:$B$156,MATCH($S813,MUSTERILER!$T$7:$T$156,0)),""))</f>
        <v/>
      </c>
      <c r="U813" s="1" t="str">
        <f>IF($T813="","",$T813&amp;"|"&amp;COUNTIFS($T$7:$T813,$T813))</f>
        <v/>
      </c>
      <c r="V813" s="1">
        <f t="shared" si="104"/>
        <v>0</v>
      </c>
      <c r="W813" s="1" t="str">
        <f t="shared" si="105"/>
        <v/>
      </c>
      <c r="X813" s="1"/>
      <c r="Y813" s="1"/>
      <c r="Z813" s="1"/>
      <c r="AA813" s="1"/>
      <c r="AB813" s="1"/>
      <c r="AC813" s="1"/>
      <c r="AD813" s="1">
        <f>IF($C813="",0,SUMPRODUCT((AY_SONU!$O$7:$O$42="Evet")*(AY_SONU!$B$7:$B$42=DATE(YEAR($C813),MONTH($C813),1))))</f>
        <v>0</v>
      </c>
      <c r="AE813" s="1" t="str">
        <f>IF($E813="","",$E813&amp;"|"&amp;COUNTIFS($E$7:$E813,$E813))</f>
        <v/>
      </c>
    </row>
    <row r="814" spans="1:31" ht="18" customHeight="1" x14ac:dyDescent="0.3">
      <c r="A814" s="2"/>
      <c r="B814" s="65" t="str">
        <f t="shared" si="98"/>
        <v/>
      </c>
      <c r="C814" s="66"/>
      <c r="D814" s="60"/>
      <c r="E814" s="61"/>
      <c r="F814" s="61"/>
      <c r="G814" s="67"/>
      <c r="H814" s="60"/>
      <c r="I814" s="60"/>
      <c r="J814" s="61"/>
      <c r="K814" s="61"/>
      <c r="L814" s="60"/>
      <c r="M814" s="74" t="str">
        <f t="shared" si="99"/>
        <v/>
      </c>
      <c r="N814" s="74" t="str">
        <f t="shared" si="100"/>
        <v/>
      </c>
      <c r="O814" s="73" t="str">
        <f t="shared" si="101"/>
        <v/>
      </c>
      <c r="P814" s="65" t="str">
        <f t="shared" ca="1" si="102"/>
        <v/>
      </c>
      <c r="Q814" s="2"/>
      <c r="R814" s="2"/>
      <c r="S814" s="1" t="str">
        <f t="shared" si="103"/>
        <v/>
      </c>
      <c r="T814" s="1" t="str">
        <f>IF(OR($C814="",$D814&lt;&gt;"Gelir",$L814=""),"",IFERROR(INDEX(MUSTERILER!$B$7:$B$156,MATCH($S814,MUSTERILER!$T$7:$T$156,0)),""))</f>
        <v/>
      </c>
      <c r="U814" s="1" t="str">
        <f>IF($T814="","",$T814&amp;"|"&amp;COUNTIFS($T$7:$T814,$T814))</f>
        <v/>
      </c>
      <c r="V814" s="1">
        <f t="shared" si="104"/>
        <v>0</v>
      </c>
      <c r="W814" s="1" t="str">
        <f t="shared" si="105"/>
        <v/>
      </c>
      <c r="X814" s="1"/>
      <c r="Y814" s="1"/>
      <c r="Z814" s="1"/>
      <c r="AA814" s="1"/>
      <c r="AB814" s="1"/>
      <c r="AC814" s="1"/>
      <c r="AD814" s="1">
        <f>IF($C814="",0,SUMPRODUCT((AY_SONU!$O$7:$O$42="Evet")*(AY_SONU!$B$7:$B$42=DATE(YEAR($C814),MONTH($C814),1))))</f>
        <v>0</v>
      </c>
      <c r="AE814" s="1" t="str">
        <f>IF($E814="","",$E814&amp;"|"&amp;COUNTIFS($E$7:$E814,$E814))</f>
        <v/>
      </c>
    </row>
    <row r="815" spans="1:31" ht="18" customHeight="1" x14ac:dyDescent="0.3">
      <c r="A815" s="2"/>
      <c r="B815" s="65" t="str">
        <f t="shared" si="98"/>
        <v/>
      </c>
      <c r="C815" s="66"/>
      <c r="D815" s="60"/>
      <c r="E815" s="61"/>
      <c r="F815" s="61"/>
      <c r="G815" s="67"/>
      <c r="H815" s="60"/>
      <c r="I815" s="60"/>
      <c r="J815" s="61"/>
      <c r="K815" s="61"/>
      <c r="L815" s="60"/>
      <c r="M815" s="74" t="str">
        <f t="shared" si="99"/>
        <v/>
      </c>
      <c r="N815" s="74" t="str">
        <f t="shared" si="100"/>
        <v/>
      </c>
      <c r="O815" s="73" t="str">
        <f t="shared" si="101"/>
        <v/>
      </c>
      <c r="P815" s="65" t="str">
        <f t="shared" ca="1" si="102"/>
        <v/>
      </c>
      <c r="Q815" s="2"/>
      <c r="R815" s="2"/>
      <c r="S815" s="1" t="str">
        <f t="shared" si="103"/>
        <v/>
      </c>
      <c r="T815" s="1" t="str">
        <f>IF(OR($C815="",$D815&lt;&gt;"Gelir",$L815=""),"",IFERROR(INDEX(MUSTERILER!$B$7:$B$156,MATCH($S815,MUSTERILER!$T$7:$T$156,0)),""))</f>
        <v/>
      </c>
      <c r="U815" s="1" t="str">
        <f>IF($T815="","",$T815&amp;"|"&amp;COUNTIFS($T$7:$T815,$T815))</f>
        <v/>
      </c>
      <c r="V815" s="1">
        <f t="shared" si="104"/>
        <v>0</v>
      </c>
      <c r="W815" s="1" t="str">
        <f t="shared" si="105"/>
        <v/>
      </c>
      <c r="X815" s="1"/>
      <c r="Y815" s="1"/>
      <c r="Z815" s="1"/>
      <c r="AA815" s="1"/>
      <c r="AB815" s="1"/>
      <c r="AC815" s="1"/>
      <c r="AD815" s="1">
        <f>IF($C815="",0,SUMPRODUCT((AY_SONU!$O$7:$O$42="Evet")*(AY_SONU!$B$7:$B$42=DATE(YEAR($C815),MONTH($C815),1))))</f>
        <v>0</v>
      </c>
      <c r="AE815" s="1" t="str">
        <f>IF($E815="","",$E815&amp;"|"&amp;COUNTIFS($E$7:$E815,$E815))</f>
        <v/>
      </c>
    </row>
    <row r="816" spans="1:31" ht="18" customHeight="1" x14ac:dyDescent="0.3">
      <c r="A816" s="2"/>
      <c r="B816" s="65" t="str">
        <f t="shared" si="98"/>
        <v/>
      </c>
      <c r="C816" s="66"/>
      <c r="D816" s="60"/>
      <c r="E816" s="61"/>
      <c r="F816" s="61"/>
      <c r="G816" s="67"/>
      <c r="H816" s="60"/>
      <c r="I816" s="60"/>
      <c r="J816" s="61"/>
      <c r="K816" s="61"/>
      <c r="L816" s="60"/>
      <c r="M816" s="74" t="str">
        <f t="shared" si="99"/>
        <v/>
      </c>
      <c r="N816" s="74" t="str">
        <f t="shared" si="100"/>
        <v/>
      </c>
      <c r="O816" s="73" t="str">
        <f t="shared" si="101"/>
        <v/>
      </c>
      <c r="P816" s="65" t="str">
        <f t="shared" ca="1" si="102"/>
        <v/>
      </c>
      <c r="Q816" s="2"/>
      <c r="R816" s="2"/>
      <c r="S816" s="1" t="str">
        <f t="shared" si="103"/>
        <v/>
      </c>
      <c r="T816" s="1" t="str">
        <f>IF(OR($C816="",$D816&lt;&gt;"Gelir",$L816=""),"",IFERROR(INDEX(MUSTERILER!$B$7:$B$156,MATCH($S816,MUSTERILER!$T$7:$T$156,0)),""))</f>
        <v/>
      </c>
      <c r="U816" s="1" t="str">
        <f>IF($T816="","",$T816&amp;"|"&amp;COUNTIFS($T$7:$T816,$T816))</f>
        <v/>
      </c>
      <c r="V816" s="1">
        <f t="shared" si="104"/>
        <v>0</v>
      </c>
      <c r="W816" s="1" t="str">
        <f t="shared" si="105"/>
        <v/>
      </c>
      <c r="X816" s="1"/>
      <c r="Y816" s="1"/>
      <c r="Z816" s="1"/>
      <c r="AA816" s="1"/>
      <c r="AB816" s="1"/>
      <c r="AC816" s="1"/>
      <c r="AD816" s="1">
        <f>IF($C816="",0,SUMPRODUCT((AY_SONU!$O$7:$O$42="Evet")*(AY_SONU!$B$7:$B$42=DATE(YEAR($C816),MONTH($C816),1))))</f>
        <v>0</v>
      </c>
      <c r="AE816" s="1" t="str">
        <f>IF($E816="","",$E816&amp;"|"&amp;COUNTIFS($E$7:$E816,$E816))</f>
        <v/>
      </c>
    </row>
    <row r="817" spans="1:31" ht="18" customHeight="1" x14ac:dyDescent="0.3">
      <c r="A817" s="2"/>
      <c r="B817" s="65" t="str">
        <f t="shared" si="98"/>
        <v/>
      </c>
      <c r="C817" s="66"/>
      <c r="D817" s="60"/>
      <c r="E817" s="61"/>
      <c r="F817" s="61"/>
      <c r="G817" s="67"/>
      <c r="H817" s="60"/>
      <c r="I817" s="60"/>
      <c r="J817" s="61"/>
      <c r="K817" s="61"/>
      <c r="L817" s="60"/>
      <c r="M817" s="74" t="str">
        <f t="shared" si="99"/>
        <v/>
      </c>
      <c r="N817" s="74" t="str">
        <f t="shared" si="100"/>
        <v/>
      </c>
      <c r="O817" s="73" t="str">
        <f t="shared" si="101"/>
        <v/>
      </c>
      <c r="P817" s="65" t="str">
        <f t="shared" ca="1" si="102"/>
        <v/>
      </c>
      <c r="Q817" s="2"/>
      <c r="R817" s="2"/>
      <c r="S817" s="1" t="str">
        <f t="shared" si="103"/>
        <v/>
      </c>
      <c r="T817" s="1" t="str">
        <f>IF(OR($C817="",$D817&lt;&gt;"Gelir",$L817=""),"",IFERROR(INDEX(MUSTERILER!$B$7:$B$156,MATCH($S817,MUSTERILER!$T$7:$T$156,0)),""))</f>
        <v/>
      </c>
      <c r="U817" s="1" t="str">
        <f>IF($T817="","",$T817&amp;"|"&amp;COUNTIFS($T$7:$T817,$T817))</f>
        <v/>
      </c>
      <c r="V817" s="1">
        <f t="shared" si="104"/>
        <v>0</v>
      </c>
      <c r="W817" s="1" t="str">
        <f t="shared" si="105"/>
        <v/>
      </c>
      <c r="X817" s="1"/>
      <c r="Y817" s="1"/>
      <c r="Z817" s="1"/>
      <c r="AA817" s="1"/>
      <c r="AB817" s="1"/>
      <c r="AC817" s="1"/>
      <c r="AD817" s="1">
        <f>IF($C817="",0,SUMPRODUCT((AY_SONU!$O$7:$O$42="Evet")*(AY_SONU!$B$7:$B$42=DATE(YEAR($C817),MONTH($C817),1))))</f>
        <v>0</v>
      </c>
      <c r="AE817" s="1" t="str">
        <f>IF($E817="","",$E817&amp;"|"&amp;COUNTIFS($E$7:$E817,$E817))</f>
        <v/>
      </c>
    </row>
    <row r="818" spans="1:31" ht="18" customHeight="1" x14ac:dyDescent="0.3">
      <c r="A818" s="2"/>
      <c r="B818" s="65" t="str">
        <f t="shared" si="98"/>
        <v/>
      </c>
      <c r="C818" s="66"/>
      <c r="D818" s="60"/>
      <c r="E818" s="61"/>
      <c r="F818" s="61"/>
      <c r="G818" s="67"/>
      <c r="H818" s="60"/>
      <c r="I818" s="60"/>
      <c r="J818" s="61"/>
      <c r="K818" s="61"/>
      <c r="L818" s="60"/>
      <c r="M818" s="74" t="str">
        <f t="shared" si="99"/>
        <v/>
      </c>
      <c r="N818" s="74" t="str">
        <f t="shared" si="100"/>
        <v/>
      </c>
      <c r="O818" s="73" t="str">
        <f t="shared" si="101"/>
        <v/>
      </c>
      <c r="P818" s="65" t="str">
        <f t="shared" ca="1" si="102"/>
        <v/>
      </c>
      <c r="Q818" s="2"/>
      <c r="R818" s="2"/>
      <c r="S818" s="1" t="str">
        <f t="shared" si="103"/>
        <v/>
      </c>
      <c r="T818" s="1" t="str">
        <f>IF(OR($C818="",$D818&lt;&gt;"Gelir",$L818=""),"",IFERROR(INDEX(MUSTERILER!$B$7:$B$156,MATCH($S818,MUSTERILER!$T$7:$T$156,0)),""))</f>
        <v/>
      </c>
      <c r="U818" s="1" t="str">
        <f>IF($T818="","",$T818&amp;"|"&amp;COUNTIFS($T$7:$T818,$T818))</f>
        <v/>
      </c>
      <c r="V818" s="1">
        <f t="shared" si="104"/>
        <v>0</v>
      </c>
      <c r="W818" s="1" t="str">
        <f t="shared" si="105"/>
        <v/>
      </c>
      <c r="X818" s="1"/>
      <c r="Y818" s="1"/>
      <c r="Z818" s="1"/>
      <c r="AA818" s="1"/>
      <c r="AB818" s="1"/>
      <c r="AC818" s="1"/>
      <c r="AD818" s="1">
        <f>IF($C818="",0,SUMPRODUCT((AY_SONU!$O$7:$O$42="Evet")*(AY_SONU!$B$7:$B$42=DATE(YEAR($C818),MONTH($C818),1))))</f>
        <v>0</v>
      </c>
      <c r="AE818" s="1" t="str">
        <f>IF($E818="","",$E818&amp;"|"&amp;COUNTIFS($E$7:$E818,$E818))</f>
        <v/>
      </c>
    </row>
    <row r="819" spans="1:31" ht="18" customHeight="1" x14ac:dyDescent="0.3">
      <c r="A819" s="2"/>
      <c r="B819" s="65" t="str">
        <f t="shared" si="98"/>
        <v/>
      </c>
      <c r="C819" s="66"/>
      <c r="D819" s="60"/>
      <c r="E819" s="61"/>
      <c r="F819" s="61"/>
      <c r="G819" s="67"/>
      <c r="H819" s="60"/>
      <c r="I819" s="60"/>
      <c r="J819" s="61"/>
      <c r="K819" s="61"/>
      <c r="L819" s="60"/>
      <c r="M819" s="74" t="str">
        <f t="shared" si="99"/>
        <v/>
      </c>
      <c r="N819" s="74" t="str">
        <f t="shared" si="100"/>
        <v/>
      </c>
      <c r="O819" s="73" t="str">
        <f t="shared" si="101"/>
        <v/>
      </c>
      <c r="P819" s="65" t="str">
        <f t="shared" ca="1" si="102"/>
        <v/>
      </c>
      <c r="Q819" s="2"/>
      <c r="R819" s="2"/>
      <c r="S819" s="1" t="str">
        <f t="shared" si="103"/>
        <v/>
      </c>
      <c r="T819" s="1" t="str">
        <f>IF(OR($C819="",$D819&lt;&gt;"Gelir",$L819=""),"",IFERROR(INDEX(MUSTERILER!$B$7:$B$156,MATCH($S819,MUSTERILER!$T$7:$T$156,0)),""))</f>
        <v/>
      </c>
      <c r="U819" s="1" t="str">
        <f>IF($T819="","",$T819&amp;"|"&amp;COUNTIFS($T$7:$T819,$T819))</f>
        <v/>
      </c>
      <c r="V819" s="1">
        <f t="shared" si="104"/>
        <v>0</v>
      </c>
      <c r="W819" s="1" t="str">
        <f t="shared" si="105"/>
        <v/>
      </c>
      <c r="X819" s="1"/>
      <c r="Y819" s="1"/>
      <c r="Z819" s="1"/>
      <c r="AA819" s="1"/>
      <c r="AB819" s="1"/>
      <c r="AC819" s="1"/>
      <c r="AD819" s="1">
        <f>IF($C819="",0,SUMPRODUCT((AY_SONU!$O$7:$O$42="Evet")*(AY_SONU!$B$7:$B$42=DATE(YEAR($C819),MONTH($C819),1))))</f>
        <v>0</v>
      </c>
      <c r="AE819" s="1" t="str">
        <f>IF($E819="","",$E819&amp;"|"&amp;COUNTIFS($E$7:$E819,$E819))</f>
        <v/>
      </c>
    </row>
    <row r="820" spans="1:31" ht="18" customHeight="1" x14ac:dyDescent="0.3">
      <c r="A820" s="2"/>
      <c r="B820" s="65" t="str">
        <f t="shared" si="98"/>
        <v/>
      </c>
      <c r="C820" s="66"/>
      <c r="D820" s="60"/>
      <c r="E820" s="61"/>
      <c r="F820" s="61"/>
      <c r="G820" s="67"/>
      <c r="H820" s="60"/>
      <c r="I820" s="60"/>
      <c r="J820" s="61"/>
      <c r="K820" s="61"/>
      <c r="L820" s="60"/>
      <c r="M820" s="74" t="str">
        <f t="shared" si="99"/>
        <v/>
      </c>
      <c r="N820" s="74" t="str">
        <f t="shared" si="100"/>
        <v/>
      </c>
      <c r="O820" s="73" t="str">
        <f t="shared" si="101"/>
        <v/>
      </c>
      <c r="P820" s="65" t="str">
        <f t="shared" ca="1" si="102"/>
        <v/>
      </c>
      <c r="Q820" s="2"/>
      <c r="R820" s="2"/>
      <c r="S820" s="1" t="str">
        <f t="shared" si="103"/>
        <v/>
      </c>
      <c r="T820" s="1" t="str">
        <f>IF(OR($C820="",$D820&lt;&gt;"Gelir",$L820=""),"",IFERROR(INDEX(MUSTERILER!$B$7:$B$156,MATCH($S820,MUSTERILER!$T$7:$T$156,0)),""))</f>
        <v/>
      </c>
      <c r="U820" s="1" t="str">
        <f>IF($T820="","",$T820&amp;"|"&amp;COUNTIFS($T$7:$T820,$T820))</f>
        <v/>
      </c>
      <c r="V820" s="1">
        <f t="shared" si="104"/>
        <v>0</v>
      </c>
      <c r="W820" s="1" t="str">
        <f t="shared" si="105"/>
        <v/>
      </c>
      <c r="X820" s="1"/>
      <c r="Y820" s="1"/>
      <c r="Z820" s="1"/>
      <c r="AA820" s="1"/>
      <c r="AB820" s="1"/>
      <c r="AC820" s="1"/>
      <c r="AD820" s="1">
        <f>IF($C820="",0,SUMPRODUCT((AY_SONU!$O$7:$O$42="Evet")*(AY_SONU!$B$7:$B$42=DATE(YEAR($C820),MONTH($C820),1))))</f>
        <v>0</v>
      </c>
      <c r="AE820" s="1" t="str">
        <f>IF($E820="","",$E820&amp;"|"&amp;COUNTIFS($E$7:$E820,$E820))</f>
        <v/>
      </c>
    </row>
    <row r="821" spans="1:31" ht="18" customHeight="1" x14ac:dyDescent="0.3">
      <c r="A821" s="2"/>
      <c r="B821" s="65" t="str">
        <f t="shared" si="98"/>
        <v/>
      </c>
      <c r="C821" s="66"/>
      <c r="D821" s="60"/>
      <c r="E821" s="61"/>
      <c r="F821" s="61"/>
      <c r="G821" s="67"/>
      <c r="H821" s="60"/>
      <c r="I821" s="60"/>
      <c r="J821" s="61"/>
      <c r="K821" s="61"/>
      <c r="L821" s="60"/>
      <c r="M821" s="74" t="str">
        <f t="shared" si="99"/>
        <v/>
      </c>
      <c r="N821" s="74" t="str">
        <f t="shared" si="100"/>
        <v/>
      </c>
      <c r="O821" s="73" t="str">
        <f t="shared" si="101"/>
        <v/>
      </c>
      <c r="P821" s="65" t="str">
        <f t="shared" ca="1" si="102"/>
        <v/>
      </c>
      <c r="Q821" s="2"/>
      <c r="R821" s="2"/>
      <c r="S821" s="1" t="str">
        <f t="shared" si="103"/>
        <v/>
      </c>
      <c r="T821" s="1" t="str">
        <f>IF(OR($C821="",$D821&lt;&gt;"Gelir",$L821=""),"",IFERROR(INDEX(MUSTERILER!$B$7:$B$156,MATCH($S821,MUSTERILER!$T$7:$T$156,0)),""))</f>
        <v/>
      </c>
      <c r="U821" s="1" t="str">
        <f>IF($T821="","",$T821&amp;"|"&amp;COUNTIFS($T$7:$T821,$T821))</f>
        <v/>
      </c>
      <c r="V821" s="1">
        <f t="shared" si="104"/>
        <v>0</v>
      </c>
      <c r="W821" s="1" t="str">
        <f t="shared" si="105"/>
        <v/>
      </c>
      <c r="X821" s="1"/>
      <c r="Y821" s="1"/>
      <c r="Z821" s="1"/>
      <c r="AA821" s="1"/>
      <c r="AB821" s="1"/>
      <c r="AC821" s="1"/>
      <c r="AD821" s="1">
        <f>IF($C821="",0,SUMPRODUCT((AY_SONU!$O$7:$O$42="Evet")*(AY_SONU!$B$7:$B$42=DATE(YEAR($C821),MONTH($C821),1))))</f>
        <v>0</v>
      </c>
      <c r="AE821" s="1" t="str">
        <f>IF($E821="","",$E821&amp;"|"&amp;COUNTIFS($E$7:$E821,$E821))</f>
        <v/>
      </c>
    </row>
    <row r="822" spans="1:31" ht="18" customHeight="1" x14ac:dyDescent="0.3">
      <c r="A822" s="2"/>
      <c r="B822" s="65" t="str">
        <f t="shared" si="98"/>
        <v/>
      </c>
      <c r="C822" s="66"/>
      <c r="D822" s="60"/>
      <c r="E822" s="61"/>
      <c r="F822" s="61"/>
      <c r="G822" s="67"/>
      <c r="H822" s="60"/>
      <c r="I822" s="60"/>
      <c r="J822" s="61"/>
      <c r="K822" s="61"/>
      <c r="L822" s="60"/>
      <c r="M822" s="74" t="str">
        <f t="shared" si="99"/>
        <v/>
      </c>
      <c r="N822" s="74" t="str">
        <f t="shared" si="100"/>
        <v/>
      </c>
      <c r="O822" s="73" t="str">
        <f t="shared" si="101"/>
        <v/>
      </c>
      <c r="P822" s="65" t="str">
        <f t="shared" ca="1" si="102"/>
        <v/>
      </c>
      <c r="Q822" s="2"/>
      <c r="R822" s="2"/>
      <c r="S822" s="1" t="str">
        <f t="shared" si="103"/>
        <v/>
      </c>
      <c r="T822" s="1" t="str">
        <f>IF(OR($C822="",$D822&lt;&gt;"Gelir",$L822=""),"",IFERROR(INDEX(MUSTERILER!$B$7:$B$156,MATCH($S822,MUSTERILER!$T$7:$T$156,0)),""))</f>
        <v/>
      </c>
      <c r="U822" s="1" t="str">
        <f>IF($T822="","",$T822&amp;"|"&amp;COUNTIFS($T$7:$T822,$T822))</f>
        <v/>
      </c>
      <c r="V822" s="1">
        <f t="shared" si="104"/>
        <v>0</v>
      </c>
      <c r="W822" s="1" t="str">
        <f t="shared" si="105"/>
        <v/>
      </c>
      <c r="X822" s="1"/>
      <c r="Y822" s="1"/>
      <c r="Z822" s="1"/>
      <c r="AA822" s="1"/>
      <c r="AB822" s="1"/>
      <c r="AC822" s="1"/>
      <c r="AD822" s="1">
        <f>IF($C822="",0,SUMPRODUCT((AY_SONU!$O$7:$O$42="Evet")*(AY_SONU!$B$7:$B$42=DATE(YEAR($C822),MONTH($C822),1))))</f>
        <v>0</v>
      </c>
      <c r="AE822" s="1" t="str">
        <f>IF($E822="","",$E822&amp;"|"&amp;COUNTIFS($E$7:$E822,$E822))</f>
        <v/>
      </c>
    </row>
    <row r="823" spans="1:31" ht="18" customHeight="1" x14ac:dyDescent="0.3">
      <c r="A823" s="2"/>
      <c r="B823" s="65" t="str">
        <f t="shared" si="98"/>
        <v/>
      </c>
      <c r="C823" s="66"/>
      <c r="D823" s="60"/>
      <c r="E823" s="61"/>
      <c r="F823" s="61"/>
      <c r="G823" s="67"/>
      <c r="H823" s="60"/>
      <c r="I823" s="60"/>
      <c r="J823" s="61"/>
      <c r="K823" s="61"/>
      <c r="L823" s="60"/>
      <c r="M823" s="74" t="str">
        <f t="shared" si="99"/>
        <v/>
      </c>
      <c r="N823" s="74" t="str">
        <f t="shared" si="100"/>
        <v/>
      </c>
      <c r="O823" s="73" t="str">
        <f t="shared" si="101"/>
        <v/>
      </c>
      <c r="P823" s="65" t="str">
        <f t="shared" ca="1" si="102"/>
        <v/>
      </c>
      <c r="Q823" s="2"/>
      <c r="R823" s="2"/>
      <c r="S823" s="1" t="str">
        <f t="shared" si="103"/>
        <v/>
      </c>
      <c r="T823" s="1" t="str">
        <f>IF(OR($C823="",$D823&lt;&gt;"Gelir",$L823=""),"",IFERROR(INDEX(MUSTERILER!$B$7:$B$156,MATCH($S823,MUSTERILER!$T$7:$T$156,0)),""))</f>
        <v/>
      </c>
      <c r="U823" s="1" t="str">
        <f>IF($T823="","",$T823&amp;"|"&amp;COUNTIFS($T$7:$T823,$T823))</f>
        <v/>
      </c>
      <c r="V823" s="1">
        <f t="shared" si="104"/>
        <v>0</v>
      </c>
      <c r="W823" s="1" t="str">
        <f t="shared" si="105"/>
        <v/>
      </c>
      <c r="X823" s="1"/>
      <c r="Y823" s="1"/>
      <c r="Z823" s="1"/>
      <c r="AA823" s="1"/>
      <c r="AB823" s="1"/>
      <c r="AC823" s="1"/>
      <c r="AD823" s="1">
        <f>IF($C823="",0,SUMPRODUCT((AY_SONU!$O$7:$O$42="Evet")*(AY_SONU!$B$7:$B$42=DATE(YEAR($C823),MONTH($C823),1))))</f>
        <v>0</v>
      </c>
      <c r="AE823" s="1" t="str">
        <f>IF($E823="","",$E823&amp;"|"&amp;COUNTIFS($E$7:$E823,$E823))</f>
        <v/>
      </c>
    </row>
    <row r="824" spans="1:31" ht="18" customHeight="1" x14ac:dyDescent="0.3">
      <c r="A824" s="2"/>
      <c r="B824" s="65" t="str">
        <f t="shared" si="98"/>
        <v/>
      </c>
      <c r="C824" s="66"/>
      <c r="D824" s="60"/>
      <c r="E824" s="61"/>
      <c r="F824" s="61"/>
      <c r="G824" s="67"/>
      <c r="H824" s="60"/>
      <c r="I824" s="60"/>
      <c r="J824" s="61"/>
      <c r="K824" s="61"/>
      <c r="L824" s="60"/>
      <c r="M824" s="74" t="str">
        <f t="shared" si="99"/>
        <v/>
      </c>
      <c r="N824" s="74" t="str">
        <f t="shared" si="100"/>
        <v/>
      </c>
      <c r="O824" s="73" t="str">
        <f t="shared" si="101"/>
        <v/>
      </c>
      <c r="P824" s="65" t="str">
        <f t="shared" ca="1" si="102"/>
        <v/>
      </c>
      <c r="Q824" s="2"/>
      <c r="R824" s="2"/>
      <c r="S824" s="1" t="str">
        <f t="shared" si="103"/>
        <v/>
      </c>
      <c r="T824" s="1" t="str">
        <f>IF(OR($C824="",$D824&lt;&gt;"Gelir",$L824=""),"",IFERROR(INDEX(MUSTERILER!$B$7:$B$156,MATCH($S824,MUSTERILER!$T$7:$T$156,0)),""))</f>
        <v/>
      </c>
      <c r="U824" s="1" t="str">
        <f>IF($T824="","",$T824&amp;"|"&amp;COUNTIFS($T$7:$T824,$T824))</f>
        <v/>
      </c>
      <c r="V824" s="1">
        <f t="shared" si="104"/>
        <v>0</v>
      </c>
      <c r="W824" s="1" t="str">
        <f t="shared" si="105"/>
        <v/>
      </c>
      <c r="X824" s="1"/>
      <c r="Y824" s="1"/>
      <c r="Z824" s="1"/>
      <c r="AA824" s="1"/>
      <c r="AB824" s="1"/>
      <c r="AC824" s="1"/>
      <c r="AD824" s="1">
        <f>IF($C824="",0,SUMPRODUCT((AY_SONU!$O$7:$O$42="Evet")*(AY_SONU!$B$7:$B$42=DATE(YEAR($C824),MONTH($C824),1))))</f>
        <v>0</v>
      </c>
      <c r="AE824" s="1" t="str">
        <f>IF($E824="","",$E824&amp;"|"&amp;COUNTIFS($E$7:$E824,$E824))</f>
        <v/>
      </c>
    </row>
    <row r="825" spans="1:31" ht="18" customHeight="1" x14ac:dyDescent="0.3">
      <c r="A825" s="2"/>
      <c r="B825" s="65" t="str">
        <f t="shared" si="98"/>
        <v/>
      </c>
      <c r="C825" s="66"/>
      <c r="D825" s="60"/>
      <c r="E825" s="61"/>
      <c r="F825" s="61"/>
      <c r="G825" s="67"/>
      <c r="H825" s="60"/>
      <c r="I825" s="60"/>
      <c r="J825" s="61"/>
      <c r="K825" s="61"/>
      <c r="L825" s="60"/>
      <c r="M825" s="74" t="str">
        <f t="shared" si="99"/>
        <v/>
      </c>
      <c r="N825" s="74" t="str">
        <f t="shared" si="100"/>
        <v/>
      </c>
      <c r="O825" s="73" t="str">
        <f t="shared" si="101"/>
        <v/>
      </c>
      <c r="P825" s="65" t="str">
        <f t="shared" ca="1" si="102"/>
        <v/>
      </c>
      <c r="Q825" s="2"/>
      <c r="R825" s="2"/>
      <c r="S825" s="1" t="str">
        <f t="shared" si="103"/>
        <v/>
      </c>
      <c r="T825" s="1" t="str">
        <f>IF(OR($C825="",$D825&lt;&gt;"Gelir",$L825=""),"",IFERROR(INDEX(MUSTERILER!$B$7:$B$156,MATCH($S825,MUSTERILER!$T$7:$T$156,0)),""))</f>
        <v/>
      </c>
      <c r="U825" s="1" t="str">
        <f>IF($T825="","",$T825&amp;"|"&amp;COUNTIFS($T$7:$T825,$T825))</f>
        <v/>
      </c>
      <c r="V825" s="1">
        <f t="shared" si="104"/>
        <v>0</v>
      </c>
      <c r="W825" s="1" t="str">
        <f t="shared" si="105"/>
        <v/>
      </c>
      <c r="X825" s="1"/>
      <c r="Y825" s="1"/>
      <c r="Z825" s="1"/>
      <c r="AA825" s="1"/>
      <c r="AB825" s="1"/>
      <c r="AC825" s="1"/>
      <c r="AD825" s="1">
        <f>IF($C825="",0,SUMPRODUCT((AY_SONU!$O$7:$O$42="Evet")*(AY_SONU!$B$7:$B$42=DATE(YEAR($C825),MONTH($C825),1))))</f>
        <v>0</v>
      </c>
      <c r="AE825" s="1" t="str">
        <f>IF($E825="","",$E825&amp;"|"&amp;COUNTIFS($E$7:$E825,$E825))</f>
        <v/>
      </c>
    </row>
    <row r="826" spans="1:31" ht="18" customHeight="1" x14ac:dyDescent="0.3">
      <c r="A826" s="2"/>
      <c r="B826" s="65" t="str">
        <f t="shared" si="98"/>
        <v/>
      </c>
      <c r="C826" s="66"/>
      <c r="D826" s="60"/>
      <c r="E826" s="61"/>
      <c r="F826" s="61"/>
      <c r="G826" s="67"/>
      <c r="H826" s="60"/>
      <c r="I826" s="60"/>
      <c r="J826" s="61"/>
      <c r="K826" s="61"/>
      <c r="L826" s="60"/>
      <c r="M826" s="74" t="str">
        <f t="shared" si="99"/>
        <v/>
      </c>
      <c r="N826" s="74" t="str">
        <f t="shared" si="100"/>
        <v/>
      </c>
      <c r="O826" s="73" t="str">
        <f t="shared" si="101"/>
        <v/>
      </c>
      <c r="P826" s="65" t="str">
        <f t="shared" ca="1" si="102"/>
        <v/>
      </c>
      <c r="Q826" s="2"/>
      <c r="R826" s="2"/>
      <c r="S826" s="1" t="str">
        <f t="shared" si="103"/>
        <v/>
      </c>
      <c r="T826" s="1" t="str">
        <f>IF(OR($C826="",$D826&lt;&gt;"Gelir",$L826=""),"",IFERROR(INDEX(MUSTERILER!$B$7:$B$156,MATCH($S826,MUSTERILER!$T$7:$T$156,0)),""))</f>
        <v/>
      </c>
      <c r="U826" s="1" t="str">
        <f>IF($T826="","",$T826&amp;"|"&amp;COUNTIFS($T$7:$T826,$T826))</f>
        <v/>
      </c>
      <c r="V826" s="1">
        <f t="shared" si="104"/>
        <v>0</v>
      </c>
      <c r="W826" s="1" t="str">
        <f t="shared" si="105"/>
        <v/>
      </c>
      <c r="X826" s="1"/>
      <c r="Y826" s="1"/>
      <c r="Z826" s="1"/>
      <c r="AA826" s="1"/>
      <c r="AB826" s="1"/>
      <c r="AC826" s="1"/>
      <c r="AD826" s="1">
        <f>IF($C826="",0,SUMPRODUCT((AY_SONU!$O$7:$O$42="Evet")*(AY_SONU!$B$7:$B$42=DATE(YEAR($C826),MONTH($C826),1))))</f>
        <v>0</v>
      </c>
      <c r="AE826" s="1" t="str">
        <f>IF($E826="","",$E826&amp;"|"&amp;COUNTIFS($E$7:$E826,$E826))</f>
        <v/>
      </c>
    </row>
    <row r="827" spans="1:31" ht="18" customHeight="1" x14ac:dyDescent="0.3">
      <c r="A827" s="2"/>
      <c r="B827" s="65" t="str">
        <f t="shared" si="98"/>
        <v/>
      </c>
      <c r="C827" s="66"/>
      <c r="D827" s="60"/>
      <c r="E827" s="61"/>
      <c r="F827" s="61"/>
      <c r="G827" s="67"/>
      <c r="H827" s="60"/>
      <c r="I827" s="60"/>
      <c r="J827" s="61"/>
      <c r="K827" s="61"/>
      <c r="L827" s="60"/>
      <c r="M827" s="74" t="str">
        <f t="shared" si="99"/>
        <v/>
      </c>
      <c r="N827" s="74" t="str">
        <f t="shared" si="100"/>
        <v/>
      </c>
      <c r="O827" s="73" t="str">
        <f t="shared" si="101"/>
        <v/>
      </c>
      <c r="P827" s="65" t="str">
        <f t="shared" ca="1" si="102"/>
        <v/>
      </c>
      <c r="Q827" s="2"/>
      <c r="R827" s="2"/>
      <c r="S827" s="1" t="str">
        <f t="shared" si="103"/>
        <v/>
      </c>
      <c r="T827" s="1" t="str">
        <f>IF(OR($C827="",$D827&lt;&gt;"Gelir",$L827=""),"",IFERROR(INDEX(MUSTERILER!$B$7:$B$156,MATCH($S827,MUSTERILER!$T$7:$T$156,0)),""))</f>
        <v/>
      </c>
      <c r="U827" s="1" t="str">
        <f>IF($T827="","",$T827&amp;"|"&amp;COUNTIFS($T$7:$T827,$T827))</f>
        <v/>
      </c>
      <c r="V827" s="1">
        <f t="shared" si="104"/>
        <v>0</v>
      </c>
      <c r="W827" s="1" t="str">
        <f t="shared" si="105"/>
        <v/>
      </c>
      <c r="X827" s="1"/>
      <c r="Y827" s="1"/>
      <c r="Z827" s="1"/>
      <c r="AA827" s="1"/>
      <c r="AB827" s="1"/>
      <c r="AC827" s="1"/>
      <c r="AD827" s="1">
        <f>IF($C827="",0,SUMPRODUCT((AY_SONU!$O$7:$O$42="Evet")*(AY_SONU!$B$7:$B$42=DATE(YEAR($C827),MONTH($C827),1))))</f>
        <v>0</v>
      </c>
      <c r="AE827" s="1" t="str">
        <f>IF($E827="","",$E827&amp;"|"&amp;COUNTIFS($E$7:$E827,$E827))</f>
        <v/>
      </c>
    </row>
    <row r="828" spans="1:31" ht="18" customHeight="1" x14ac:dyDescent="0.3">
      <c r="A828" s="2"/>
      <c r="B828" s="65" t="str">
        <f t="shared" si="98"/>
        <v/>
      </c>
      <c r="C828" s="66"/>
      <c r="D828" s="60"/>
      <c r="E828" s="61"/>
      <c r="F828" s="61"/>
      <c r="G828" s="67"/>
      <c r="H828" s="60"/>
      <c r="I828" s="60"/>
      <c r="J828" s="61"/>
      <c r="K828" s="61"/>
      <c r="L828" s="60"/>
      <c r="M828" s="74" t="str">
        <f t="shared" si="99"/>
        <v/>
      </c>
      <c r="N828" s="74" t="str">
        <f t="shared" si="100"/>
        <v/>
      </c>
      <c r="O828" s="73" t="str">
        <f t="shared" si="101"/>
        <v/>
      </c>
      <c r="P828" s="65" t="str">
        <f t="shared" ca="1" si="102"/>
        <v/>
      </c>
      <c r="Q828" s="2"/>
      <c r="R828" s="2"/>
      <c r="S828" s="1" t="str">
        <f t="shared" si="103"/>
        <v/>
      </c>
      <c r="T828" s="1" t="str">
        <f>IF(OR($C828="",$D828&lt;&gt;"Gelir",$L828=""),"",IFERROR(INDEX(MUSTERILER!$B$7:$B$156,MATCH($S828,MUSTERILER!$T$7:$T$156,0)),""))</f>
        <v/>
      </c>
      <c r="U828" s="1" t="str">
        <f>IF($T828="","",$T828&amp;"|"&amp;COUNTIFS($T$7:$T828,$T828))</f>
        <v/>
      </c>
      <c r="V828" s="1">
        <f t="shared" si="104"/>
        <v>0</v>
      </c>
      <c r="W828" s="1" t="str">
        <f t="shared" si="105"/>
        <v/>
      </c>
      <c r="X828" s="1"/>
      <c r="Y828" s="1"/>
      <c r="Z828" s="1"/>
      <c r="AA828" s="1"/>
      <c r="AB828" s="1"/>
      <c r="AC828" s="1"/>
      <c r="AD828" s="1">
        <f>IF($C828="",0,SUMPRODUCT((AY_SONU!$O$7:$O$42="Evet")*(AY_SONU!$B$7:$B$42=DATE(YEAR($C828),MONTH($C828),1))))</f>
        <v>0</v>
      </c>
      <c r="AE828" s="1" t="str">
        <f>IF($E828="","",$E828&amp;"|"&amp;COUNTIFS($E$7:$E828,$E828))</f>
        <v/>
      </c>
    </row>
    <row r="829" spans="1:31" ht="18" customHeight="1" x14ac:dyDescent="0.3">
      <c r="A829" s="2"/>
      <c r="B829" s="65" t="str">
        <f t="shared" si="98"/>
        <v/>
      </c>
      <c r="C829" s="66"/>
      <c r="D829" s="60"/>
      <c r="E829" s="61"/>
      <c r="F829" s="61"/>
      <c r="G829" s="67"/>
      <c r="H829" s="60"/>
      <c r="I829" s="60"/>
      <c r="J829" s="61"/>
      <c r="K829" s="61"/>
      <c r="L829" s="60"/>
      <c r="M829" s="74" t="str">
        <f t="shared" si="99"/>
        <v/>
      </c>
      <c r="N829" s="74" t="str">
        <f t="shared" si="100"/>
        <v/>
      </c>
      <c r="O829" s="73" t="str">
        <f t="shared" si="101"/>
        <v/>
      </c>
      <c r="P829" s="65" t="str">
        <f t="shared" ca="1" si="102"/>
        <v/>
      </c>
      <c r="Q829" s="2"/>
      <c r="R829" s="2"/>
      <c r="S829" s="1" t="str">
        <f t="shared" si="103"/>
        <v/>
      </c>
      <c r="T829" s="1" t="str">
        <f>IF(OR($C829="",$D829&lt;&gt;"Gelir",$L829=""),"",IFERROR(INDEX(MUSTERILER!$B$7:$B$156,MATCH($S829,MUSTERILER!$T$7:$T$156,0)),""))</f>
        <v/>
      </c>
      <c r="U829" s="1" t="str">
        <f>IF($T829="","",$T829&amp;"|"&amp;COUNTIFS($T$7:$T829,$T829))</f>
        <v/>
      </c>
      <c r="V829" s="1">
        <f t="shared" si="104"/>
        <v>0</v>
      </c>
      <c r="W829" s="1" t="str">
        <f t="shared" si="105"/>
        <v/>
      </c>
      <c r="X829" s="1"/>
      <c r="Y829" s="1"/>
      <c r="Z829" s="1"/>
      <c r="AA829" s="1"/>
      <c r="AB829" s="1"/>
      <c r="AC829" s="1"/>
      <c r="AD829" s="1">
        <f>IF($C829="",0,SUMPRODUCT((AY_SONU!$O$7:$O$42="Evet")*(AY_SONU!$B$7:$B$42=DATE(YEAR($C829),MONTH($C829),1))))</f>
        <v>0</v>
      </c>
      <c r="AE829" s="1" t="str">
        <f>IF($E829="","",$E829&amp;"|"&amp;COUNTIFS($E$7:$E829,$E829))</f>
        <v/>
      </c>
    </row>
    <row r="830" spans="1:31" ht="18" customHeight="1" x14ac:dyDescent="0.3">
      <c r="A830" s="2"/>
      <c r="B830" s="65" t="str">
        <f t="shared" si="98"/>
        <v/>
      </c>
      <c r="C830" s="66"/>
      <c r="D830" s="60"/>
      <c r="E830" s="61"/>
      <c r="F830" s="61"/>
      <c r="G830" s="67"/>
      <c r="H830" s="60"/>
      <c r="I830" s="60"/>
      <c r="J830" s="61"/>
      <c r="K830" s="61"/>
      <c r="L830" s="60"/>
      <c r="M830" s="74" t="str">
        <f t="shared" si="99"/>
        <v/>
      </c>
      <c r="N830" s="74" t="str">
        <f t="shared" si="100"/>
        <v/>
      </c>
      <c r="O830" s="73" t="str">
        <f t="shared" si="101"/>
        <v/>
      </c>
      <c r="P830" s="65" t="str">
        <f t="shared" ca="1" si="102"/>
        <v/>
      </c>
      <c r="Q830" s="2"/>
      <c r="R830" s="2"/>
      <c r="S830" s="1" t="str">
        <f t="shared" si="103"/>
        <v/>
      </c>
      <c r="T830" s="1" t="str">
        <f>IF(OR($C830="",$D830&lt;&gt;"Gelir",$L830=""),"",IFERROR(INDEX(MUSTERILER!$B$7:$B$156,MATCH($S830,MUSTERILER!$T$7:$T$156,0)),""))</f>
        <v/>
      </c>
      <c r="U830" s="1" t="str">
        <f>IF($T830="","",$T830&amp;"|"&amp;COUNTIFS($T$7:$T830,$T830))</f>
        <v/>
      </c>
      <c r="V830" s="1">
        <f t="shared" si="104"/>
        <v>0</v>
      </c>
      <c r="W830" s="1" t="str">
        <f t="shared" si="105"/>
        <v/>
      </c>
      <c r="X830" s="1"/>
      <c r="Y830" s="1"/>
      <c r="Z830" s="1"/>
      <c r="AA830" s="1"/>
      <c r="AB830" s="1"/>
      <c r="AC830" s="1"/>
      <c r="AD830" s="1">
        <f>IF($C830="",0,SUMPRODUCT((AY_SONU!$O$7:$O$42="Evet")*(AY_SONU!$B$7:$B$42=DATE(YEAR($C830),MONTH($C830),1))))</f>
        <v>0</v>
      </c>
      <c r="AE830" s="1" t="str">
        <f>IF($E830="","",$E830&amp;"|"&amp;COUNTIFS($E$7:$E830,$E830))</f>
        <v/>
      </c>
    </row>
    <row r="831" spans="1:31" ht="18" customHeight="1" x14ac:dyDescent="0.3">
      <c r="A831" s="2"/>
      <c r="B831" s="65" t="str">
        <f t="shared" si="98"/>
        <v/>
      </c>
      <c r="C831" s="66"/>
      <c r="D831" s="60"/>
      <c r="E831" s="61"/>
      <c r="F831" s="61"/>
      <c r="G831" s="67"/>
      <c r="H831" s="60"/>
      <c r="I831" s="60"/>
      <c r="J831" s="61"/>
      <c r="K831" s="61"/>
      <c r="L831" s="60"/>
      <c r="M831" s="74" t="str">
        <f t="shared" si="99"/>
        <v/>
      </c>
      <c r="N831" s="74" t="str">
        <f t="shared" si="100"/>
        <v/>
      </c>
      <c r="O831" s="73" t="str">
        <f t="shared" si="101"/>
        <v/>
      </c>
      <c r="P831" s="65" t="str">
        <f t="shared" ca="1" si="102"/>
        <v/>
      </c>
      <c r="Q831" s="2"/>
      <c r="R831" s="2"/>
      <c r="S831" s="1" t="str">
        <f t="shared" si="103"/>
        <v/>
      </c>
      <c r="T831" s="1" t="str">
        <f>IF(OR($C831="",$D831&lt;&gt;"Gelir",$L831=""),"",IFERROR(INDEX(MUSTERILER!$B$7:$B$156,MATCH($S831,MUSTERILER!$T$7:$T$156,0)),""))</f>
        <v/>
      </c>
      <c r="U831" s="1" t="str">
        <f>IF($T831="","",$T831&amp;"|"&amp;COUNTIFS($T$7:$T831,$T831))</f>
        <v/>
      </c>
      <c r="V831" s="1">
        <f t="shared" si="104"/>
        <v>0</v>
      </c>
      <c r="W831" s="1" t="str">
        <f t="shared" si="105"/>
        <v/>
      </c>
      <c r="X831" s="1"/>
      <c r="Y831" s="1"/>
      <c r="Z831" s="1"/>
      <c r="AA831" s="1"/>
      <c r="AB831" s="1"/>
      <c r="AC831" s="1"/>
      <c r="AD831" s="1">
        <f>IF($C831="",0,SUMPRODUCT((AY_SONU!$O$7:$O$42="Evet")*(AY_SONU!$B$7:$B$42=DATE(YEAR($C831),MONTH($C831),1))))</f>
        <v>0</v>
      </c>
      <c r="AE831" s="1" t="str">
        <f>IF($E831="","",$E831&amp;"|"&amp;COUNTIFS($E$7:$E831,$E831))</f>
        <v/>
      </c>
    </row>
    <row r="832" spans="1:31" ht="18" customHeight="1" x14ac:dyDescent="0.3">
      <c r="A832" s="2"/>
      <c r="B832" s="65" t="str">
        <f t="shared" si="98"/>
        <v/>
      </c>
      <c r="C832" s="66"/>
      <c r="D832" s="60"/>
      <c r="E832" s="61"/>
      <c r="F832" s="61"/>
      <c r="G832" s="67"/>
      <c r="H832" s="60"/>
      <c r="I832" s="60"/>
      <c r="J832" s="61"/>
      <c r="K832" s="61"/>
      <c r="L832" s="60"/>
      <c r="M832" s="74" t="str">
        <f t="shared" si="99"/>
        <v/>
      </c>
      <c r="N832" s="74" t="str">
        <f t="shared" si="100"/>
        <v/>
      </c>
      <c r="O832" s="73" t="str">
        <f t="shared" si="101"/>
        <v/>
      </c>
      <c r="P832" s="65" t="str">
        <f t="shared" ca="1" si="102"/>
        <v/>
      </c>
      <c r="Q832" s="2"/>
      <c r="R832" s="2"/>
      <c r="S832" s="1" t="str">
        <f t="shared" si="103"/>
        <v/>
      </c>
      <c r="T832" s="1" t="str">
        <f>IF(OR($C832="",$D832&lt;&gt;"Gelir",$L832=""),"",IFERROR(INDEX(MUSTERILER!$B$7:$B$156,MATCH($S832,MUSTERILER!$T$7:$T$156,0)),""))</f>
        <v/>
      </c>
      <c r="U832" s="1" t="str">
        <f>IF($T832="","",$T832&amp;"|"&amp;COUNTIFS($T$7:$T832,$T832))</f>
        <v/>
      </c>
      <c r="V832" s="1">
        <f t="shared" si="104"/>
        <v>0</v>
      </c>
      <c r="W832" s="1" t="str">
        <f t="shared" si="105"/>
        <v/>
      </c>
      <c r="X832" s="1"/>
      <c r="Y832" s="1"/>
      <c r="Z832" s="1"/>
      <c r="AA832" s="1"/>
      <c r="AB832" s="1"/>
      <c r="AC832" s="1"/>
      <c r="AD832" s="1">
        <f>IF($C832="",0,SUMPRODUCT((AY_SONU!$O$7:$O$42="Evet")*(AY_SONU!$B$7:$B$42=DATE(YEAR($C832),MONTH($C832),1))))</f>
        <v>0</v>
      </c>
      <c r="AE832" s="1" t="str">
        <f>IF($E832="","",$E832&amp;"|"&amp;COUNTIFS($E$7:$E832,$E832))</f>
        <v/>
      </c>
    </row>
    <row r="833" spans="1:31" ht="18" customHeight="1" x14ac:dyDescent="0.3">
      <c r="A833" s="2"/>
      <c r="B833" s="65" t="str">
        <f t="shared" si="98"/>
        <v/>
      </c>
      <c r="C833" s="66"/>
      <c r="D833" s="60"/>
      <c r="E833" s="61"/>
      <c r="F833" s="61"/>
      <c r="G833" s="67"/>
      <c r="H833" s="60"/>
      <c r="I833" s="60"/>
      <c r="J833" s="61"/>
      <c r="K833" s="61"/>
      <c r="L833" s="60"/>
      <c r="M833" s="74" t="str">
        <f t="shared" si="99"/>
        <v/>
      </c>
      <c r="N833" s="74" t="str">
        <f t="shared" si="100"/>
        <v/>
      </c>
      <c r="O833" s="73" t="str">
        <f t="shared" si="101"/>
        <v/>
      </c>
      <c r="P833" s="65" t="str">
        <f t="shared" ca="1" si="102"/>
        <v/>
      </c>
      <c r="Q833" s="2"/>
      <c r="R833" s="2"/>
      <c r="S833" s="1" t="str">
        <f t="shared" si="103"/>
        <v/>
      </c>
      <c r="T833" s="1" t="str">
        <f>IF(OR($C833="",$D833&lt;&gt;"Gelir",$L833=""),"",IFERROR(INDEX(MUSTERILER!$B$7:$B$156,MATCH($S833,MUSTERILER!$T$7:$T$156,0)),""))</f>
        <v/>
      </c>
      <c r="U833" s="1" t="str">
        <f>IF($T833="","",$T833&amp;"|"&amp;COUNTIFS($T$7:$T833,$T833))</f>
        <v/>
      </c>
      <c r="V833" s="1">
        <f t="shared" si="104"/>
        <v>0</v>
      </c>
      <c r="W833" s="1" t="str">
        <f t="shared" si="105"/>
        <v/>
      </c>
      <c r="X833" s="1"/>
      <c r="Y833" s="1"/>
      <c r="Z833" s="1"/>
      <c r="AA833" s="1"/>
      <c r="AB833" s="1"/>
      <c r="AC833" s="1"/>
      <c r="AD833" s="1">
        <f>IF($C833="",0,SUMPRODUCT((AY_SONU!$O$7:$O$42="Evet")*(AY_SONU!$B$7:$B$42=DATE(YEAR($C833),MONTH($C833),1))))</f>
        <v>0</v>
      </c>
      <c r="AE833" s="1" t="str">
        <f>IF($E833="","",$E833&amp;"|"&amp;COUNTIFS($E$7:$E833,$E833))</f>
        <v/>
      </c>
    </row>
    <row r="834" spans="1:31" ht="18" customHeight="1" x14ac:dyDescent="0.3">
      <c r="A834" s="2"/>
      <c r="B834" s="65" t="str">
        <f t="shared" si="98"/>
        <v/>
      </c>
      <c r="C834" s="66"/>
      <c r="D834" s="60"/>
      <c r="E834" s="61"/>
      <c r="F834" s="61"/>
      <c r="G834" s="67"/>
      <c r="H834" s="60"/>
      <c r="I834" s="60"/>
      <c r="J834" s="61"/>
      <c r="K834" s="61"/>
      <c r="L834" s="60"/>
      <c r="M834" s="74" t="str">
        <f t="shared" si="99"/>
        <v/>
      </c>
      <c r="N834" s="74" t="str">
        <f t="shared" si="100"/>
        <v/>
      </c>
      <c r="O834" s="73" t="str">
        <f t="shared" si="101"/>
        <v/>
      </c>
      <c r="P834" s="65" t="str">
        <f t="shared" ca="1" si="102"/>
        <v/>
      </c>
      <c r="Q834" s="2"/>
      <c r="R834" s="2"/>
      <c r="S834" s="1" t="str">
        <f t="shared" si="103"/>
        <v/>
      </c>
      <c r="T834" s="1" t="str">
        <f>IF(OR($C834="",$D834&lt;&gt;"Gelir",$L834=""),"",IFERROR(INDEX(MUSTERILER!$B$7:$B$156,MATCH($S834,MUSTERILER!$T$7:$T$156,0)),""))</f>
        <v/>
      </c>
      <c r="U834" s="1" t="str">
        <f>IF($T834="","",$T834&amp;"|"&amp;COUNTIFS($T$7:$T834,$T834))</f>
        <v/>
      </c>
      <c r="V834" s="1">
        <f t="shared" si="104"/>
        <v>0</v>
      </c>
      <c r="W834" s="1" t="str">
        <f t="shared" si="105"/>
        <v/>
      </c>
      <c r="X834" s="1"/>
      <c r="Y834" s="1"/>
      <c r="Z834" s="1"/>
      <c r="AA834" s="1"/>
      <c r="AB834" s="1"/>
      <c r="AC834" s="1"/>
      <c r="AD834" s="1">
        <f>IF($C834="",0,SUMPRODUCT((AY_SONU!$O$7:$O$42="Evet")*(AY_SONU!$B$7:$B$42=DATE(YEAR($C834),MONTH($C834),1))))</f>
        <v>0</v>
      </c>
      <c r="AE834" s="1" t="str">
        <f>IF($E834="","",$E834&amp;"|"&amp;COUNTIFS($E$7:$E834,$E834))</f>
        <v/>
      </c>
    </row>
    <row r="835" spans="1:31" ht="18" customHeight="1" x14ac:dyDescent="0.3">
      <c r="A835" s="2"/>
      <c r="B835" s="65" t="str">
        <f t="shared" si="98"/>
        <v/>
      </c>
      <c r="C835" s="66"/>
      <c r="D835" s="60"/>
      <c r="E835" s="61"/>
      <c r="F835" s="61"/>
      <c r="G835" s="67"/>
      <c r="H835" s="60"/>
      <c r="I835" s="60"/>
      <c r="J835" s="61"/>
      <c r="K835" s="61"/>
      <c r="L835" s="60"/>
      <c r="M835" s="74" t="str">
        <f t="shared" si="99"/>
        <v/>
      </c>
      <c r="N835" s="74" t="str">
        <f t="shared" si="100"/>
        <v/>
      </c>
      <c r="O835" s="73" t="str">
        <f t="shared" si="101"/>
        <v/>
      </c>
      <c r="P835" s="65" t="str">
        <f t="shared" ca="1" si="102"/>
        <v/>
      </c>
      <c r="Q835" s="2"/>
      <c r="R835" s="2"/>
      <c r="S835" s="1" t="str">
        <f t="shared" si="103"/>
        <v/>
      </c>
      <c r="T835" s="1" t="str">
        <f>IF(OR($C835="",$D835&lt;&gt;"Gelir",$L835=""),"",IFERROR(INDEX(MUSTERILER!$B$7:$B$156,MATCH($S835,MUSTERILER!$T$7:$T$156,0)),""))</f>
        <v/>
      </c>
      <c r="U835" s="1" t="str">
        <f>IF($T835="","",$T835&amp;"|"&amp;COUNTIFS($T$7:$T835,$T835))</f>
        <v/>
      </c>
      <c r="V835" s="1">
        <f t="shared" si="104"/>
        <v>0</v>
      </c>
      <c r="W835" s="1" t="str">
        <f t="shared" si="105"/>
        <v/>
      </c>
      <c r="X835" s="1"/>
      <c r="Y835" s="1"/>
      <c r="Z835" s="1"/>
      <c r="AA835" s="1"/>
      <c r="AB835" s="1"/>
      <c r="AC835" s="1"/>
      <c r="AD835" s="1">
        <f>IF($C835="",0,SUMPRODUCT((AY_SONU!$O$7:$O$42="Evet")*(AY_SONU!$B$7:$B$42=DATE(YEAR($C835),MONTH($C835),1))))</f>
        <v>0</v>
      </c>
      <c r="AE835" s="1" t="str">
        <f>IF($E835="","",$E835&amp;"|"&amp;COUNTIFS($E$7:$E835,$E835))</f>
        <v/>
      </c>
    </row>
    <row r="836" spans="1:31" ht="18" customHeight="1" x14ac:dyDescent="0.3">
      <c r="A836" s="2"/>
      <c r="B836" s="65" t="str">
        <f t="shared" si="98"/>
        <v/>
      </c>
      <c r="C836" s="66"/>
      <c r="D836" s="60"/>
      <c r="E836" s="61"/>
      <c r="F836" s="61"/>
      <c r="G836" s="67"/>
      <c r="H836" s="60"/>
      <c r="I836" s="60"/>
      <c r="J836" s="61"/>
      <c r="K836" s="61"/>
      <c r="L836" s="60"/>
      <c r="M836" s="74" t="str">
        <f t="shared" si="99"/>
        <v/>
      </c>
      <c r="N836" s="74" t="str">
        <f t="shared" si="100"/>
        <v/>
      </c>
      <c r="O836" s="73" t="str">
        <f t="shared" si="101"/>
        <v/>
      </c>
      <c r="P836" s="65" t="str">
        <f t="shared" ca="1" si="102"/>
        <v/>
      </c>
      <c r="Q836" s="2"/>
      <c r="R836" s="2"/>
      <c r="S836" s="1" t="str">
        <f t="shared" si="103"/>
        <v/>
      </c>
      <c r="T836" s="1" t="str">
        <f>IF(OR($C836="",$D836&lt;&gt;"Gelir",$L836=""),"",IFERROR(INDEX(MUSTERILER!$B$7:$B$156,MATCH($S836,MUSTERILER!$T$7:$T$156,0)),""))</f>
        <v/>
      </c>
      <c r="U836" s="1" t="str">
        <f>IF($T836="","",$T836&amp;"|"&amp;COUNTIFS($T$7:$T836,$T836))</f>
        <v/>
      </c>
      <c r="V836" s="1">
        <f t="shared" si="104"/>
        <v>0</v>
      </c>
      <c r="W836" s="1" t="str">
        <f t="shared" si="105"/>
        <v/>
      </c>
      <c r="X836" s="1"/>
      <c r="Y836" s="1"/>
      <c r="Z836" s="1"/>
      <c r="AA836" s="1"/>
      <c r="AB836" s="1"/>
      <c r="AC836" s="1"/>
      <c r="AD836" s="1">
        <f>IF($C836="",0,SUMPRODUCT((AY_SONU!$O$7:$O$42="Evet")*(AY_SONU!$B$7:$B$42=DATE(YEAR($C836),MONTH($C836),1))))</f>
        <v>0</v>
      </c>
      <c r="AE836" s="1" t="str">
        <f>IF($E836="","",$E836&amp;"|"&amp;COUNTIFS($E$7:$E836,$E836))</f>
        <v/>
      </c>
    </row>
    <row r="837" spans="1:31" ht="18" customHeight="1" x14ac:dyDescent="0.3">
      <c r="A837" s="2"/>
      <c r="B837" s="65" t="str">
        <f t="shared" si="98"/>
        <v/>
      </c>
      <c r="C837" s="66"/>
      <c r="D837" s="60"/>
      <c r="E837" s="61"/>
      <c r="F837" s="61"/>
      <c r="G837" s="67"/>
      <c r="H837" s="60"/>
      <c r="I837" s="60"/>
      <c r="J837" s="61"/>
      <c r="K837" s="61"/>
      <c r="L837" s="60"/>
      <c r="M837" s="74" t="str">
        <f t="shared" si="99"/>
        <v/>
      </c>
      <c r="N837" s="74" t="str">
        <f t="shared" si="100"/>
        <v/>
      </c>
      <c r="O837" s="73" t="str">
        <f t="shared" si="101"/>
        <v/>
      </c>
      <c r="P837" s="65" t="str">
        <f t="shared" ca="1" si="102"/>
        <v/>
      </c>
      <c r="Q837" s="2"/>
      <c r="R837" s="2"/>
      <c r="S837" s="1" t="str">
        <f t="shared" si="103"/>
        <v/>
      </c>
      <c r="T837" s="1" t="str">
        <f>IF(OR($C837="",$D837&lt;&gt;"Gelir",$L837=""),"",IFERROR(INDEX(MUSTERILER!$B$7:$B$156,MATCH($S837,MUSTERILER!$T$7:$T$156,0)),""))</f>
        <v/>
      </c>
      <c r="U837" s="1" t="str">
        <f>IF($T837="","",$T837&amp;"|"&amp;COUNTIFS($T$7:$T837,$T837))</f>
        <v/>
      </c>
      <c r="V837" s="1">
        <f t="shared" si="104"/>
        <v>0</v>
      </c>
      <c r="W837" s="1" t="str">
        <f t="shared" si="105"/>
        <v/>
      </c>
      <c r="X837" s="1"/>
      <c r="Y837" s="1"/>
      <c r="Z837" s="1"/>
      <c r="AA837" s="1"/>
      <c r="AB837" s="1"/>
      <c r="AC837" s="1"/>
      <c r="AD837" s="1">
        <f>IF($C837="",0,SUMPRODUCT((AY_SONU!$O$7:$O$42="Evet")*(AY_SONU!$B$7:$B$42=DATE(YEAR($C837),MONTH($C837),1))))</f>
        <v>0</v>
      </c>
      <c r="AE837" s="1" t="str">
        <f>IF($E837="","",$E837&amp;"|"&amp;COUNTIFS($E$7:$E837,$E837))</f>
        <v/>
      </c>
    </row>
    <row r="838" spans="1:31" ht="18" customHeight="1" x14ac:dyDescent="0.3">
      <c r="A838" s="2"/>
      <c r="B838" s="65" t="str">
        <f t="shared" si="98"/>
        <v/>
      </c>
      <c r="C838" s="66"/>
      <c r="D838" s="60"/>
      <c r="E838" s="61"/>
      <c r="F838" s="61"/>
      <c r="G838" s="67"/>
      <c r="H838" s="60"/>
      <c r="I838" s="60"/>
      <c r="J838" s="61"/>
      <c r="K838" s="61"/>
      <c r="L838" s="60"/>
      <c r="M838" s="74" t="str">
        <f t="shared" si="99"/>
        <v/>
      </c>
      <c r="N838" s="74" t="str">
        <f t="shared" si="100"/>
        <v/>
      </c>
      <c r="O838" s="73" t="str">
        <f t="shared" si="101"/>
        <v/>
      </c>
      <c r="P838" s="65" t="str">
        <f t="shared" ca="1" si="102"/>
        <v/>
      </c>
      <c r="Q838" s="2"/>
      <c r="R838" s="2"/>
      <c r="S838" s="1" t="str">
        <f t="shared" si="103"/>
        <v/>
      </c>
      <c r="T838" s="1" t="str">
        <f>IF(OR($C838="",$D838&lt;&gt;"Gelir",$L838=""),"",IFERROR(INDEX(MUSTERILER!$B$7:$B$156,MATCH($S838,MUSTERILER!$T$7:$T$156,0)),""))</f>
        <v/>
      </c>
      <c r="U838" s="1" t="str">
        <f>IF($T838="","",$T838&amp;"|"&amp;COUNTIFS($T$7:$T838,$T838))</f>
        <v/>
      </c>
      <c r="V838" s="1">
        <f t="shared" si="104"/>
        <v>0</v>
      </c>
      <c r="W838" s="1" t="str">
        <f t="shared" si="105"/>
        <v/>
      </c>
      <c r="X838" s="1"/>
      <c r="Y838" s="1"/>
      <c r="Z838" s="1"/>
      <c r="AA838" s="1"/>
      <c r="AB838" s="1"/>
      <c r="AC838" s="1"/>
      <c r="AD838" s="1">
        <f>IF($C838="",0,SUMPRODUCT((AY_SONU!$O$7:$O$42="Evet")*(AY_SONU!$B$7:$B$42=DATE(YEAR($C838),MONTH($C838),1))))</f>
        <v>0</v>
      </c>
      <c r="AE838" s="1" t="str">
        <f>IF($E838="","",$E838&amp;"|"&amp;COUNTIFS($E$7:$E838,$E838))</f>
        <v/>
      </c>
    </row>
    <row r="839" spans="1:31" ht="18" customHeight="1" x14ac:dyDescent="0.3">
      <c r="A839" s="2"/>
      <c r="B839" s="65" t="str">
        <f t="shared" ref="B839:B902" si="106">IF($C839="","","GG"&amp;TEXT(ROW()-6,"00000"))</f>
        <v/>
      </c>
      <c r="C839" s="66"/>
      <c r="D839" s="60"/>
      <c r="E839" s="61"/>
      <c r="F839" s="61"/>
      <c r="G839" s="67"/>
      <c r="H839" s="60"/>
      <c r="I839" s="60"/>
      <c r="J839" s="61"/>
      <c r="K839" s="61"/>
      <c r="L839" s="60"/>
      <c r="M839" s="74" t="str">
        <f t="shared" ref="M839:M902" si="107">IF($C839="","",IF($D839="Gider",$E839,IF($L839&lt;&gt;"",$L839,$H839)))</f>
        <v/>
      </c>
      <c r="N839" s="74" t="str">
        <f t="shared" ref="N839:N902" si="108">IF($C839="","",IF($D839="Gider",$H839,$E839))</f>
        <v/>
      </c>
      <c r="O839" s="73" t="str">
        <f t="shared" ref="O839:O902" si="109">IF($C839="","",DATE(YEAR($C839),MONTH($C839),1))</f>
        <v/>
      </c>
      <c r="P839" s="65" t="str">
        <f t="shared" ref="P839:P902" ca="1" si="110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TARİH",IF(COUNTIF($W$7:$W$3006,$W839)&gt;1,"MÜKERRER?",IF($AD839&gt;0,"KAPALI DÖNEM",IF($I839="Hayır","ÖDENECEK","UYGUN")))),"EKSİK"))))</f>
        <v/>
      </c>
      <c r="Q839" s="2"/>
      <c r="R839" s="2"/>
      <c r="S839" s="1" t="str">
        <f t="shared" ref="S839:S902" si="111"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1" t="str">
        <f>IF(OR($C839="",$D839&lt;&gt;"Gelir",$L839=""),"",IFERROR(INDEX(MUSTERILER!$B$7:$B$156,MATCH($S839,MUSTERILER!$T$7:$T$156,0)),""))</f>
        <v/>
      </c>
      <c r="U839" s="1" t="str">
        <f>IF($T839="","",$T839&amp;"|"&amp;COUNTIFS($T$7:$T839,$T839))</f>
        <v/>
      </c>
      <c r="V839" s="1">
        <f t="shared" ref="V839:V902" si="112">IF($T839="",0,1)</f>
        <v>0</v>
      </c>
      <c r="W839" s="1" t="str">
        <f t="shared" ref="W839:W902" si="113">IF($C839="","",$D839&amp;"|"&amp;$E839&amp;"|"&amp;TEXT($C839,"0")&amp;"|"&amp;TEXT($G839,"0")&amp;"|"&amp;$J839)</f>
        <v/>
      </c>
      <c r="X839" s="1"/>
      <c r="Y839" s="1"/>
      <c r="Z839" s="1"/>
      <c r="AA839" s="1"/>
      <c r="AB839" s="1"/>
      <c r="AC839" s="1"/>
      <c r="AD839" s="1">
        <f>IF($C839="",0,SUMPRODUCT((AY_SONU!$O$7:$O$42="Evet")*(AY_SONU!$B$7:$B$42=DATE(YEAR($C839),MONTH($C839),1))))</f>
        <v>0</v>
      </c>
      <c r="AE839" s="1" t="str">
        <f>IF($E839="","",$E839&amp;"|"&amp;COUNTIFS($E$7:$E839,$E839))</f>
        <v/>
      </c>
    </row>
    <row r="840" spans="1:31" ht="18" customHeight="1" x14ac:dyDescent="0.3">
      <c r="A840" s="2"/>
      <c r="B840" s="65" t="str">
        <f t="shared" si="106"/>
        <v/>
      </c>
      <c r="C840" s="66"/>
      <c r="D840" s="60"/>
      <c r="E840" s="61"/>
      <c r="F840" s="61"/>
      <c r="G840" s="67"/>
      <c r="H840" s="60"/>
      <c r="I840" s="60"/>
      <c r="J840" s="61"/>
      <c r="K840" s="61"/>
      <c r="L840" s="60"/>
      <c r="M840" s="74" t="str">
        <f t="shared" si="107"/>
        <v/>
      </c>
      <c r="N840" s="74" t="str">
        <f t="shared" si="108"/>
        <v/>
      </c>
      <c r="O840" s="73" t="str">
        <f t="shared" si="109"/>
        <v/>
      </c>
      <c r="P840" s="65" t="str">
        <f t="shared" ca="1" si="110"/>
        <v/>
      </c>
      <c r="Q840" s="2"/>
      <c r="R840" s="2"/>
      <c r="S840" s="1" t="str">
        <f t="shared" si="111"/>
        <v/>
      </c>
      <c r="T840" s="1" t="str">
        <f>IF(OR($C840="",$D840&lt;&gt;"Gelir",$L840=""),"",IFERROR(INDEX(MUSTERILER!$B$7:$B$156,MATCH($S840,MUSTERILER!$T$7:$T$156,0)),""))</f>
        <v/>
      </c>
      <c r="U840" s="1" t="str">
        <f>IF($T840="","",$T840&amp;"|"&amp;COUNTIFS($T$7:$T840,$T840))</f>
        <v/>
      </c>
      <c r="V840" s="1">
        <f t="shared" si="112"/>
        <v>0</v>
      </c>
      <c r="W840" s="1" t="str">
        <f t="shared" si="113"/>
        <v/>
      </c>
      <c r="X840" s="1"/>
      <c r="Y840" s="1"/>
      <c r="Z840" s="1"/>
      <c r="AA840" s="1"/>
      <c r="AB840" s="1"/>
      <c r="AC840" s="1"/>
      <c r="AD840" s="1">
        <f>IF($C840="",0,SUMPRODUCT((AY_SONU!$O$7:$O$42="Evet")*(AY_SONU!$B$7:$B$42=DATE(YEAR($C840),MONTH($C840),1))))</f>
        <v>0</v>
      </c>
      <c r="AE840" s="1" t="str">
        <f>IF($E840="","",$E840&amp;"|"&amp;COUNTIFS($E$7:$E840,$E840))</f>
        <v/>
      </c>
    </row>
    <row r="841" spans="1:31" ht="18" customHeight="1" x14ac:dyDescent="0.3">
      <c r="A841" s="2"/>
      <c r="B841" s="65" t="str">
        <f t="shared" si="106"/>
        <v/>
      </c>
      <c r="C841" s="66"/>
      <c r="D841" s="60"/>
      <c r="E841" s="61"/>
      <c r="F841" s="61"/>
      <c r="G841" s="67"/>
      <c r="H841" s="60"/>
      <c r="I841" s="60"/>
      <c r="J841" s="61"/>
      <c r="K841" s="61"/>
      <c r="L841" s="60"/>
      <c r="M841" s="74" t="str">
        <f t="shared" si="107"/>
        <v/>
      </c>
      <c r="N841" s="74" t="str">
        <f t="shared" si="108"/>
        <v/>
      </c>
      <c r="O841" s="73" t="str">
        <f t="shared" si="109"/>
        <v/>
      </c>
      <c r="P841" s="65" t="str">
        <f t="shared" ca="1" si="110"/>
        <v/>
      </c>
      <c r="Q841" s="2"/>
      <c r="R841" s="2"/>
      <c r="S841" s="1" t="str">
        <f t="shared" si="111"/>
        <v/>
      </c>
      <c r="T841" s="1" t="str">
        <f>IF(OR($C841="",$D841&lt;&gt;"Gelir",$L841=""),"",IFERROR(INDEX(MUSTERILER!$B$7:$B$156,MATCH($S841,MUSTERILER!$T$7:$T$156,0)),""))</f>
        <v/>
      </c>
      <c r="U841" s="1" t="str">
        <f>IF($T841="","",$T841&amp;"|"&amp;COUNTIFS($T$7:$T841,$T841))</f>
        <v/>
      </c>
      <c r="V841" s="1">
        <f t="shared" si="112"/>
        <v>0</v>
      </c>
      <c r="W841" s="1" t="str">
        <f t="shared" si="113"/>
        <v/>
      </c>
      <c r="X841" s="1"/>
      <c r="Y841" s="1"/>
      <c r="Z841" s="1"/>
      <c r="AA841" s="1"/>
      <c r="AB841" s="1"/>
      <c r="AC841" s="1"/>
      <c r="AD841" s="1">
        <f>IF($C841="",0,SUMPRODUCT((AY_SONU!$O$7:$O$42="Evet")*(AY_SONU!$B$7:$B$42=DATE(YEAR($C841),MONTH($C841),1))))</f>
        <v>0</v>
      </c>
      <c r="AE841" s="1" t="str">
        <f>IF($E841="","",$E841&amp;"|"&amp;COUNTIFS($E$7:$E841,$E841))</f>
        <v/>
      </c>
    </row>
    <row r="842" spans="1:31" ht="18" customHeight="1" x14ac:dyDescent="0.3">
      <c r="A842" s="2"/>
      <c r="B842" s="65" t="str">
        <f t="shared" si="106"/>
        <v/>
      </c>
      <c r="C842" s="66"/>
      <c r="D842" s="60"/>
      <c r="E842" s="61"/>
      <c r="F842" s="61"/>
      <c r="G842" s="67"/>
      <c r="H842" s="60"/>
      <c r="I842" s="60"/>
      <c r="J842" s="61"/>
      <c r="K842" s="61"/>
      <c r="L842" s="60"/>
      <c r="M842" s="74" t="str">
        <f t="shared" si="107"/>
        <v/>
      </c>
      <c r="N842" s="74" t="str">
        <f t="shared" si="108"/>
        <v/>
      </c>
      <c r="O842" s="73" t="str">
        <f t="shared" si="109"/>
        <v/>
      </c>
      <c r="P842" s="65" t="str">
        <f t="shared" ca="1" si="110"/>
        <v/>
      </c>
      <c r="Q842" s="2"/>
      <c r="R842" s="2"/>
      <c r="S842" s="1" t="str">
        <f t="shared" si="111"/>
        <v/>
      </c>
      <c r="T842" s="1" t="str">
        <f>IF(OR($C842="",$D842&lt;&gt;"Gelir",$L842=""),"",IFERROR(INDEX(MUSTERILER!$B$7:$B$156,MATCH($S842,MUSTERILER!$T$7:$T$156,0)),""))</f>
        <v/>
      </c>
      <c r="U842" s="1" t="str">
        <f>IF($T842="","",$T842&amp;"|"&amp;COUNTIFS($T$7:$T842,$T842))</f>
        <v/>
      </c>
      <c r="V842" s="1">
        <f t="shared" si="112"/>
        <v>0</v>
      </c>
      <c r="W842" s="1" t="str">
        <f t="shared" si="113"/>
        <v/>
      </c>
      <c r="X842" s="1"/>
      <c r="Y842" s="1"/>
      <c r="Z842" s="1"/>
      <c r="AA842" s="1"/>
      <c r="AB842" s="1"/>
      <c r="AC842" s="1"/>
      <c r="AD842" s="1">
        <f>IF($C842="",0,SUMPRODUCT((AY_SONU!$O$7:$O$42="Evet")*(AY_SONU!$B$7:$B$42=DATE(YEAR($C842),MONTH($C842),1))))</f>
        <v>0</v>
      </c>
      <c r="AE842" s="1" t="str">
        <f>IF($E842="","",$E842&amp;"|"&amp;COUNTIFS($E$7:$E842,$E842))</f>
        <v/>
      </c>
    </row>
    <row r="843" spans="1:31" ht="18" customHeight="1" x14ac:dyDescent="0.3">
      <c r="A843" s="2"/>
      <c r="B843" s="65" t="str">
        <f t="shared" si="106"/>
        <v/>
      </c>
      <c r="C843" s="66"/>
      <c r="D843" s="60"/>
      <c r="E843" s="61"/>
      <c r="F843" s="61"/>
      <c r="G843" s="67"/>
      <c r="H843" s="60"/>
      <c r="I843" s="60"/>
      <c r="J843" s="61"/>
      <c r="K843" s="61"/>
      <c r="L843" s="60"/>
      <c r="M843" s="74" t="str">
        <f t="shared" si="107"/>
        <v/>
      </c>
      <c r="N843" s="74" t="str">
        <f t="shared" si="108"/>
        <v/>
      </c>
      <c r="O843" s="73" t="str">
        <f t="shared" si="109"/>
        <v/>
      </c>
      <c r="P843" s="65" t="str">
        <f t="shared" ca="1" si="110"/>
        <v/>
      </c>
      <c r="Q843" s="2"/>
      <c r="R843" s="2"/>
      <c r="S843" s="1" t="str">
        <f t="shared" si="111"/>
        <v/>
      </c>
      <c r="T843" s="1" t="str">
        <f>IF(OR($C843="",$D843&lt;&gt;"Gelir",$L843=""),"",IFERROR(INDEX(MUSTERILER!$B$7:$B$156,MATCH($S843,MUSTERILER!$T$7:$T$156,0)),""))</f>
        <v/>
      </c>
      <c r="U843" s="1" t="str">
        <f>IF($T843="","",$T843&amp;"|"&amp;COUNTIFS($T$7:$T843,$T843))</f>
        <v/>
      </c>
      <c r="V843" s="1">
        <f t="shared" si="112"/>
        <v>0</v>
      </c>
      <c r="W843" s="1" t="str">
        <f t="shared" si="113"/>
        <v/>
      </c>
      <c r="X843" s="1"/>
      <c r="Y843" s="1"/>
      <c r="Z843" s="1"/>
      <c r="AA843" s="1"/>
      <c r="AB843" s="1"/>
      <c r="AC843" s="1"/>
      <c r="AD843" s="1">
        <f>IF($C843="",0,SUMPRODUCT((AY_SONU!$O$7:$O$42="Evet")*(AY_SONU!$B$7:$B$42=DATE(YEAR($C843),MONTH($C843),1))))</f>
        <v>0</v>
      </c>
      <c r="AE843" s="1" t="str">
        <f>IF($E843="","",$E843&amp;"|"&amp;COUNTIFS($E$7:$E843,$E843))</f>
        <v/>
      </c>
    </row>
    <row r="844" spans="1:31" ht="18" customHeight="1" x14ac:dyDescent="0.3">
      <c r="A844" s="2"/>
      <c r="B844" s="65" t="str">
        <f t="shared" si="106"/>
        <v/>
      </c>
      <c r="C844" s="66"/>
      <c r="D844" s="60"/>
      <c r="E844" s="61"/>
      <c r="F844" s="61"/>
      <c r="G844" s="67"/>
      <c r="H844" s="60"/>
      <c r="I844" s="60"/>
      <c r="J844" s="61"/>
      <c r="K844" s="61"/>
      <c r="L844" s="60"/>
      <c r="M844" s="74" t="str">
        <f t="shared" si="107"/>
        <v/>
      </c>
      <c r="N844" s="74" t="str">
        <f t="shared" si="108"/>
        <v/>
      </c>
      <c r="O844" s="73" t="str">
        <f t="shared" si="109"/>
        <v/>
      </c>
      <c r="P844" s="65" t="str">
        <f t="shared" ca="1" si="110"/>
        <v/>
      </c>
      <c r="Q844" s="2"/>
      <c r="R844" s="2"/>
      <c r="S844" s="1" t="str">
        <f t="shared" si="111"/>
        <v/>
      </c>
      <c r="T844" s="1" t="str">
        <f>IF(OR($C844="",$D844&lt;&gt;"Gelir",$L844=""),"",IFERROR(INDEX(MUSTERILER!$B$7:$B$156,MATCH($S844,MUSTERILER!$T$7:$T$156,0)),""))</f>
        <v/>
      </c>
      <c r="U844" s="1" t="str">
        <f>IF($T844="","",$T844&amp;"|"&amp;COUNTIFS($T$7:$T844,$T844))</f>
        <v/>
      </c>
      <c r="V844" s="1">
        <f t="shared" si="112"/>
        <v>0</v>
      </c>
      <c r="W844" s="1" t="str">
        <f t="shared" si="113"/>
        <v/>
      </c>
      <c r="X844" s="1"/>
      <c r="Y844" s="1"/>
      <c r="Z844" s="1"/>
      <c r="AA844" s="1"/>
      <c r="AB844" s="1"/>
      <c r="AC844" s="1"/>
      <c r="AD844" s="1">
        <f>IF($C844="",0,SUMPRODUCT((AY_SONU!$O$7:$O$42="Evet")*(AY_SONU!$B$7:$B$42=DATE(YEAR($C844),MONTH($C844),1))))</f>
        <v>0</v>
      </c>
      <c r="AE844" s="1" t="str">
        <f>IF($E844="","",$E844&amp;"|"&amp;COUNTIFS($E$7:$E844,$E844))</f>
        <v/>
      </c>
    </row>
    <row r="845" spans="1:31" ht="18" customHeight="1" x14ac:dyDescent="0.3">
      <c r="A845" s="2"/>
      <c r="B845" s="65" t="str">
        <f t="shared" si="106"/>
        <v/>
      </c>
      <c r="C845" s="66"/>
      <c r="D845" s="60"/>
      <c r="E845" s="61"/>
      <c r="F845" s="61"/>
      <c r="G845" s="67"/>
      <c r="H845" s="60"/>
      <c r="I845" s="60"/>
      <c r="J845" s="61"/>
      <c r="K845" s="61"/>
      <c r="L845" s="60"/>
      <c r="M845" s="74" t="str">
        <f t="shared" si="107"/>
        <v/>
      </c>
      <c r="N845" s="74" t="str">
        <f t="shared" si="108"/>
        <v/>
      </c>
      <c r="O845" s="73" t="str">
        <f t="shared" si="109"/>
        <v/>
      </c>
      <c r="P845" s="65" t="str">
        <f t="shared" ca="1" si="110"/>
        <v/>
      </c>
      <c r="Q845" s="2"/>
      <c r="R845" s="2"/>
      <c r="S845" s="1" t="str">
        <f t="shared" si="111"/>
        <v/>
      </c>
      <c r="T845" s="1" t="str">
        <f>IF(OR($C845="",$D845&lt;&gt;"Gelir",$L845=""),"",IFERROR(INDEX(MUSTERILER!$B$7:$B$156,MATCH($S845,MUSTERILER!$T$7:$T$156,0)),""))</f>
        <v/>
      </c>
      <c r="U845" s="1" t="str">
        <f>IF($T845="","",$T845&amp;"|"&amp;COUNTIFS($T$7:$T845,$T845))</f>
        <v/>
      </c>
      <c r="V845" s="1">
        <f t="shared" si="112"/>
        <v>0</v>
      </c>
      <c r="W845" s="1" t="str">
        <f t="shared" si="113"/>
        <v/>
      </c>
      <c r="X845" s="1"/>
      <c r="Y845" s="1"/>
      <c r="Z845" s="1"/>
      <c r="AA845" s="1"/>
      <c r="AB845" s="1"/>
      <c r="AC845" s="1"/>
      <c r="AD845" s="1">
        <f>IF($C845="",0,SUMPRODUCT((AY_SONU!$O$7:$O$42="Evet")*(AY_SONU!$B$7:$B$42=DATE(YEAR($C845),MONTH($C845),1))))</f>
        <v>0</v>
      </c>
      <c r="AE845" s="1" t="str">
        <f>IF($E845="","",$E845&amp;"|"&amp;COUNTIFS($E$7:$E845,$E845))</f>
        <v/>
      </c>
    </row>
    <row r="846" spans="1:31" ht="18" customHeight="1" x14ac:dyDescent="0.3">
      <c r="A846" s="2"/>
      <c r="B846" s="65" t="str">
        <f t="shared" si="106"/>
        <v/>
      </c>
      <c r="C846" s="66"/>
      <c r="D846" s="60"/>
      <c r="E846" s="61"/>
      <c r="F846" s="61"/>
      <c r="G846" s="67"/>
      <c r="H846" s="60"/>
      <c r="I846" s="60"/>
      <c r="J846" s="61"/>
      <c r="K846" s="61"/>
      <c r="L846" s="60"/>
      <c r="M846" s="74" t="str">
        <f t="shared" si="107"/>
        <v/>
      </c>
      <c r="N846" s="74" t="str">
        <f t="shared" si="108"/>
        <v/>
      </c>
      <c r="O846" s="73" t="str">
        <f t="shared" si="109"/>
        <v/>
      </c>
      <c r="P846" s="65" t="str">
        <f t="shared" ca="1" si="110"/>
        <v/>
      </c>
      <c r="Q846" s="2"/>
      <c r="R846" s="2"/>
      <c r="S846" s="1" t="str">
        <f t="shared" si="111"/>
        <v/>
      </c>
      <c r="T846" s="1" t="str">
        <f>IF(OR($C846="",$D846&lt;&gt;"Gelir",$L846=""),"",IFERROR(INDEX(MUSTERILER!$B$7:$B$156,MATCH($S846,MUSTERILER!$T$7:$T$156,0)),""))</f>
        <v/>
      </c>
      <c r="U846" s="1" t="str">
        <f>IF($T846="","",$T846&amp;"|"&amp;COUNTIFS($T$7:$T846,$T846))</f>
        <v/>
      </c>
      <c r="V846" s="1">
        <f t="shared" si="112"/>
        <v>0</v>
      </c>
      <c r="W846" s="1" t="str">
        <f t="shared" si="113"/>
        <v/>
      </c>
      <c r="X846" s="1"/>
      <c r="Y846" s="1"/>
      <c r="Z846" s="1"/>
      <c r="AA846" s="1"/>
      <c r="AB846" s="1"/>
      <c r="AC846" s="1"/>
      <c r="AD846" s="1">
        <f>IF($C846="",0,SUMPRODUCT((AY_SONU!$O$7:$O$42="Evet")*(AY_SONU!$B$7:$B$42=DATE(YEAR($C846),MONTH($C846),1))))</f>
        <v>0</v>
      </c>
      <c r="AE846" s="1" t="str">
        <f>IF($E846="","",$E846&amp;"|"&amp;COUNTIFS($E$7:$E846,$E846))</f>
        <v/>
      </c>
    </row>
    <row r="847" spans="1:31" ht="18" customHeight="1" x14ac:dyDescent="0.3">
      <c r="A847" s="2"/>
      <c r="B847" s="65" t="str">
        <f t="shared" si="106"/>
        <v/>
      </c>
      <c r="C847" s="66"/>
      <c r="D847" s="60"/>
      <c r="E847" s="61"/>
      <c r="F847" s="61"/>
      <c r="G847" s="67"/>
      <c r="H847" s="60"/>
      <c r="I847" s="60"/>
      <c r="J847" s="61"/>
      <c r="K847" s="61"/>
      <c r="L847" s="60"/>
      <c r="M847" s="74" t="str">
        <f t="shared" si="107"/>
        <v/>
      </c>
      <c r="N847" s="74" t="str">
        <f t="shared" si="108"/>
        <v/>
      </c>
      <c r="O847" s="73" t="str">
        <f t="shared" si="109"/>
        <v/>
      </c>
      <c r="P847" s="65" t="str">
        <f t="shared" ca="1" si="110"/>
        <v/>
      </c>
      <c r="Q847" s="2"/>
      <c r="R847" s="2"/>
      <c r="S847" s="1" t="str">
        <f t="shared" si="111"/>
        <v/>
      </c>
      <c r="T847" s="1" t="str">
        <f>IF(OR($C847="",$D847&lt;&gt;"Gelir",$L847=""),"",IFERROR(INDEX(MUSTERILER!$B$7:$B$156,MATCH($S847,MUSTERILER!$T$7:$T$156,0)),""))</f>
        <v/>
      </c>
      <c r="U847" s="1" t="str">
        <f>IF($T847="","",$T847&amp;"|"&amp;COUNTIFS($T$7:$T847,$T847))</f>
        <v/>
      </c>
      <c r="V847" s="1">
        <f t="shared" si="112"/>
        <v>0</v>
      </c>
      <c r="W847" s="1" t="str">
        <f t="shared" si="113"/>
        <v/>
      </c>
      <c r="X847" s="1"/>
      <c r="Y847" s="1"/>
      <c r="Z847" s="1"/>
      <c r="AA847" s="1"/>
      <c r="AB847" s="1"/>
      <c r="AC847" s="1"/>
      <c r="AD847" s="1">
        <f>IF($C847="",0,SUMPRODUCT((AY_SONU!$O$7:$O$42="Evet")*(AY_SONU!$B$7:$B$42=DATE(YEAR($C847),MONTH($C847),1))))</f>
        <v>0</v>
      </c>
      <c r="AE847" s="1" t="str">
        <f>IF($E847="","",$E847&amp;"|"&amp;COUNTIFS($E$7:$E847,$E847))</f>
        <v/>
      </c>
    </row>
    <row r="848" spans="1:31" ht="18" customHeight="1" x14ac:dyDescent="0.3">
      <c r="A848" s="2"/>
      <c r="B848" s="65" t="str">
        <f t="shared" si="106"/>
        <v/>
      </c>
      <c r="C848" s="66"/>
      <c r="D848" s="60"/>
      <c r="E848" s="61"/>
      <c r="F848" s="61"/>
      <c r="G848" s="67"/>
      <c r="H848" s="60"/>
      <c r="I848" s="60"/>
      <c r="J848" s="61"/>
      <c r="K848" s="61"/>
      <c r="L848" s="60"/>
      <c r="M848" s="74" t="str">
        <f t="shared" si="107"/>
        <v/>
      </c>
      <c r="N848" s="74" t="str">
        <f t="shared" si="108"/>
        <v/>
      </c>
      <c r="O848" s="73" t="str">
        <f t="shared" si="109"/>
        <v/>
      </c>
      <c r="P848" s="65" t="str">
        <f t="shared" ca="1" si="110"/>
        <v/>
      </c>
      <c r="Q848" s="2"/>
      <c r="R848" s="2"/>
      <c r="S848" s="1" t="str">
        <f t="shared" si="111"/>
        <v/>
      </c>
      <c r="T848" s="1" t="str">
        <f>IF(OR($C848="",$D848&lt;&gt;"Gelir",$L848=""),"",IFERROR(INDEX(MUSTERILER!$B$7:$B$156,MATCH($S848,MUSTERILER!$T$7:$T$156,0)),""))</f>
        <v/>
      </c>
      <c r="U848" s="1" t="str">
        <f>IF($T848="","",$T848&amp;"|"&amp;COUNTIFS($T$7:$T848,$T848))</f>
        <v/>
      </c>
      <c r="V848" s="1">
        <f t="shared" si="112"/>
        <v>0</v>
      </c>
      <c r="W848" s="1" t="str">
        <f t="shared" si="113"/>
        <v/>
      </c>
      <c r="X848" s="1"/>
      <c r="Y848" s="1"/>
      <c r="Z848" s="1"/>
      <c r="AA848" s="1"/>
      <c r="AB848" s="1"/>
      <c r="AC848" s="1"/>
      <c r="AD848" s="1">
        <f>IF($C848="",0,SUMPRODUCT((AY_SONU!$O$7:$O$42="Evet")*(AY_SONU!$B$7:$B$42=DATE(YEAR($C848),MONTH($C848),1))))</f>
        <v>0</v>
      </c>
      <c r="AE848" s="1" t="str">
        <f>IF($E848="","",$E848&amp;"|"&amp;COUNTIFS($E$7:$E848,$E848))</f>
        <v/>
      </c>
    </row>
    <row r="849" spans="1:31" ht="18" customHeight="1" x14ac:dyDescent="0.3">
      <c r="A849" s="2"/>
      <c r="B849" s="65" t="str">
        <f t="shared" si="106"/>
        <v/>
      </c>
      <c r="C849" s="66"/>
      <c r="D849" s="60"/>
      <c r="E849" s="61"/>
      <c r="F849" s="61"/>
      <c r="G849" s="67"/>
      <c r="H849" s="60"/>
      <c r="I849" s="60"/>
      <c r="J849" s="61"/>
      <c r="K849" s="61"/>
      <c r="L849" s="60"/>
      <c r="M849" s="74" t="str">
        <f t="shared" si="107"/>
        <v/>
      </c>
      <c r="N849" s="74" t="str">
        <f t="shared" si="108"/>
        <v/>
      </c>
      <c r="O849" s="73" t="str">
        <f t="shared" si="109"/>
        <v/>
      </c>
      <c r="P849" s="65" t="str">
        <f t="shared" ca="1" si="110"/>
        <v/>
      </c>
      <c r="Q849" s="2"/>
      <c r="R849" s="2"/>
      <c r="S849" s="1" t="str">
        <f t="shared" si="111"/>
        <v/>
      </c>
      <c r="T849" s="1" t="str">
        <f>IF(OR($C849="",$D849&lt;&gt;"Gelir",$L849=""),"",IFERROR(INDEX(MUSTERILER!$B$7:$B$156,MATCH($S849,MUSTERILER!$T$7:$T$156,0)),""))</f>
        <v/>
      </c>
      <c r="U849" s="1" t="str">
        <f>IF($T849="","",$T849&amp;"|"&amp;COUNTIFS($T$7:$T849,$T849))</f>
        <v/>
      </c>
      <c r="V849" s="1">
        <f t="shared" si="112"/>
        <v>0</v>
      </c>
      <c r="W849" s="1" t="str">
        <f t="shared" si="113"/>
        <v/>
      </c>
      <c r="X849" s="1"/>
      <c r="Y849" s="1"/>
      <c r="Z849" s="1"/>
      <c r="AA849" s="1"/>
      <c r="AB849" s="1"/>
      <c r="AC849" s="1"/>
      <c r="AD849" s="1">
        <f>IF($C849="",0,SUMPRODUCT((AY_SONU!$O$7:$O$42="Evet")*(AY_SONU!$B$7:$B$42=DATE(YEAR($C849),MONTH($C849),1))))</f>
        <v>0</v>
      </c>
      <c r="AE849" s="1" t="str">
        <f>IF($E849="","",$E849&amp;"|"&amp;COUNTIFS($E$7:$E849,$E849))</f>
        <v/>
      </c>
    </row>
    <row r="850" spans="1:31" ht="18" customHeight="1" x14ac:dyDescent="0.3">
      <c r="A850" s="2"/>
      <c r="B850" s="65" t="str">
        <f t="shared" si="106"/>
        <v/>
      </c>
      <c r="C850" s="66"/>
      <c r="D850" s="60"/>
      <c r="E850" s="61"/>
      <c r="F850" s="61"/>
      <c r="G850" s="67"/>
      <c r="H850" s="60"/>
      <c r="I850" s="60"/>
      <c r="J850" s="61"/>
      <c r="K850" s="61"/>
      <c r="L850" s="60"/>
      <c r="M850" s="74" t="str">
        <f t="shared" si="107"/>
        <v/>
      </c>
      <c r="N850" s="74" t="str">
        <f t="shared" si="108"/>
        <v/>
      </c>
      <c r="O850" s="73" t="str">
        <f t="shared" si="109"/>
        <v/>
      </c>
      <c r="P850" s="65" t="str">
        <f t="shared" ca="1" si="110"/>
        <v/>
      </c>
      <c r="Q850" s="2"/>
      <c r="R850" s="2"/>
      <c r="S850" s="1" t="str">
        <f t="shared" si="111"/>
        <v/>
      </c>
      <c r="T850" s="1" t="str">
        <f>IF(OR($C850="",$D850&lt;&gt;"Gelir",$L850=""),"",IFERROR(INDEX(MUSTERILER!$B$7:$B$156,MATCH($S850,MUSTERILER!$T$7:$T$156,0)),""))</f>
        <v/>
      </c>
      <c r="U850" s="1" t="str">
        <f>IF($T850="","",$T850&amp;"|"&amp;COUNTIFS($T$7:$T850,$T850))</f>
        <v/>
      </c>
      <c r="V850" s="1">
        <f t="shared" si="112"/>
        <v>0</v>
      </c>
      <c r="W850" s="1" t="str">
        <f t="shared" si="113"/>
        <v/>
      </c>
      <c r="X850" s="1"/>
      <c r="Y850" s="1"/>
      <c r="Z850" s="1"/>
      <c r="AA850" s="1"/>
      <c r="AB850" s="1"/>
      <c r="AC850" s="1"/>
      <c r="AD850" s="1">
        <f>IF($C850="",0,SUMPRODUCT((AY_SONU!$O$7:$O$42="Evet")*(AY_SONU!$B$7:$B$42=DATE(YEAR($C850),MONTH($C850),1))))</f>
        <v>0</v>
      </c>
      <c r="AE850" s="1" t="str">
        <f>IF($E850="","",$E850&amp;"|"&amp;COUNTIFS($E$7:$E850,$E850))</f>
        <v/>
      </c>
    </row>
    <row r="851" spans="1:31" ht="18" customHeight="1" x14ac:dyDescent="0.3">
      <c r="A851" s="2"/>
      <c r="B851" s="65" t="str">
        <f t="shared" si="106"/>
        <v/>
      </c>
      <c r="C851" s="66"/>
      <c r="D851" s="60"/>
      <c r="E851" s="61"/>
      <c r="F851" s="61"/>
      <c r="G851" s="67"/>
      <c r="H851" s="60"/>
      <c r="I851" s="60"/>
      <c r="J851" s="61"/>
      <c r="K851" s="61"/>
      <c r="L851" s="60"/>
      <c r="M851" s="74" t="str">
        <f t="shared" si="107"/>
        <v/>
      </c>
      <c r="N851" s="74" t="str">
        <f t="shared" si="108"/>
        <v/>
      </c>
      <c r="O851" s="73" t="str">
        <f t="shared" si="109"/>
        <v/>
      </c>
      <c r="P851" s="65" t="str">
        <f t="shared" ca="1" si="110"/>
        <v/>
      </c>
      <c r="Q851" s="2"/>
      <c r="R851" s="2"/>
      <c r="S851" s="1" t="str">
        <f t="shared" si="111"/>
        <v/>
      </c>
      <c r="T851" s="1" t="str">
        <f>IF(OR($C851="",$D851&lt;&gt;"Gelir",$L851=""),"",IFERROR(INDEX(MUSTERILER!$B$7:$B$156,MATCH($S851,MUSTERILER!$T$7:$T$156,0)),""))</f>
        <v/>
      </c>
      <c r="U851" s="1" t="str">
        <f>IF($T851="","",$T851&amp;"|"&amp;COUNTIFS($T$7:$T851,$T851))</f>
        <v/>
      </c>
      <c r="V851" s="1">
        <f t="shared" si="112"/>
        <v>0</v>
      </c>
      <c r="W851" s="1" t="str">
        <f t="shared" si="113"/>
        <v/>
      </c>
      <c r="X851" s="1"/>
      <c r="Y851" s="1"/>
      <c r="Z851" s="1"/>
      <c r="AA851" s="1"/>
      <c r="AB851" s="1"/>
      <c r="AC851" s="1"/>
      <c r="AD851" s="1">
        <f>IF($C851="",0,SUMPRODUCT((AY_SONU!$O$7:$O$42="Evet")*(AY_SONU!$B$7:$B$42=DATE(YEAR($C851),MONTH($C851),1))))</f>
        <v>0</v>
      </c>
      <c r="AE851" s="1" t="str">
        <f>IF($E851="","",$E851&amp;"|"&amp;COUNTIFS($E$7:$E851,$E851))</f>
        <v/>
      </c>
    </row>
    <row r="852" spans="1:31" ht="18" customHeight="1" x14ac:dyDescent="0.3">
      <c r="A852" s="2"/>
      <c r="B852" s="65" t="str">
        <f t="shared" si="106"/>
        <v/>
      </c>
      <c r="C852" s="66"/>
      <c r="D852" s="60"/>
      <c r="E852" s="61"/>
      <c r="F852" s="61"/>
      <c r="G852" s="67"/>
      <c r="H852" s="60"/>
      <c r="I852" s="60"/>
      <c r="J852" s="61"/>
      <c r="K852" s="61"/>
      <c r="L852" s="60"/>
      <c r="M852" s="74" t="str">
        <f t="shared" si="107"/>
        <v/>
      </c>
      <c r="N852" s="74" t="str">
        <f t="shared" si="108"/>
        <v/>
      </c>
      <c r="O852" s="73" t="str">
        <f t="shared" si="109"/>
        <v/>
      </c>
      <c r="P852" s="65" t="str">
        <f t="shared" ca="1" si="110"/>
        <v/>
      </c>
      <c r="Q852" s="2"/>
      <c r="R852" s="2"/>
      <c r="S852" s="1" t="str">
        <f t="shared" si="111"/>
        <v/>
      </c>
      <c r="T852" s="1" t="str">
        <f>IF(OR($C852="",$D852&lt;&gt;"Gelir",$L852=""),"",IFERROR(INDEX(MUSTERILER!$B$7:$B$156,MATCH($S852,MUSTERILER!$T$7:$T$156,0)),""))</f>
        <v/>
      </c>
      <c r="U852" s="1" t="str">
        <f>IF($T852="","",$T852&amp;"|"&amp;COUNTIFS($T$7:$T852,$T852))</f>
        <v/>
      </c>
      <c r="V852" s="1">
        <f t="shared" si="112"/>
        <v>0</v>
      </c>
      <c r="W852" s="1" t="str">
        <f t="shared" si="113"/>
        <v/>
      </c>
      <c r="X852" s="1"/>
      <c r="Y852" s="1"/>
      <c r="Z852" s="1"/>
      <c r="AA852" s="1"/>
      <c r="AB852" s="1"/>
      <c r="AC852" s="1"/>
      <c r="AD852" s="1">
        <f>IF($C852="",0,SUMPRODUCT((AY_SONU!$O$7:$O$42="Evet")*(AY_SONU!$B$7:$B$42=DATE(YEAR($C852),MONTH($C852),1))))</f>
        <v>0</v>
      </c>
      <c r="AE852" s="1" t="str">
        <f>IF($E852="","",$E852&amp;"|"&amp;COUNTIFS($E$7:$E852,$E852))</f>
        <v/>
      </c>
    </row>
    <row r="853" spans="1:31" ht="18" customHeight="1" x14ac:dyDescent="0.3">
      <c r="A853" s="2"/>
      <c r="B853" s="65" t="str">
        <f t="shared" si="106"/>
        <v/>
      </c>
      <c r="C853" s="66"/>
      <c r="D853" s="60"/>
      <c r="E853" s="61"/>
      <c r="F853" s="61"/>
      <c r="G853" s="67"/>
      <c r="H853" s="60"/>
      <c r="I853" s="60"/>
      <c r="J853" s="61"/>
      <c r="K853" s="61"/>
      <c r="L853" s="60"/>
      <c r="M853" s="74" t="str">
        <f t="shared" si="107"/>
        <v/>
      </c>
      <c r="N853" s="74" t="str">
        <f t="shared" si="108"/>
        <v/>
      </c>
      <c r="O853" s="73" t="str">
        <f t="shared" si="109"/>
        <v/>
      </c>
      <c r="P853" s="65" t="str">
        <f t="shared" ca="1" si="110"/>
        <v/>
      </c>
      <c r="Q853" s="2"/>
      <c r="R853" s="2"/>
      <c r="S853" s="1" t="str">
        <f t="shared" si="111"/>
        <v/>
      </c>
      <c r="T853" s="1" t="str">
        <f>IF(OR($C853="",$D853&lt;&gt;"Gelir",$L853=""),"",IFERROR(INDEX(MUSTERILER!$B$7:$B$156,MATCH($S853,MUSTERILER!$T$7:$T$156,0)),""))</f>
        <v/>
      </c>
      <c r="U853" s="1" t="str">
        <f>IF($T853="","",$T853&amp;"|"&amp;COUNTIFS($T$7:$T853,$T853))</f>
        <v/>
      </c>
      <c r="V853" s="1">
        <f t="shared" si="112"/>
        <v>0</v>
      </c>
      <c r="W853" s="1" t="str">
        <f t="shared" si="113"/>
        <v/>
      </c>
      <c r="X853" s="1"/>
      <c r="Y853" s="1"/>
      <c r="Z853" s="1"/>
      <c r="AA853" s="1"/>
      <c r="AB853" s="1"/>
      <c r="AC853" s="1"/>
      <c r="AD853" s="1">
        <f>IF($C853="",0,SUMPRODUCT((AY_SONU!$O$7:$O$42="Evet")*(AY_SONU!$B$7:$B$42=DATE(YEAR($C853),MONTH($C853),1))))</f>
        <v>0</v>
      </c>
      <c r="AE853" s="1" t="str">
        <f>IF($E853="","",$E853&amp;"|"&amp;COUNTIFS($E$7:$E853,$E853))</f>
        <v/>
      </c>
    </row>
    <row r="854" spans="1:31" ht="18" customHeight="1" x14ac:dyDescent="0.3">
      <c r="A854" s="2"/>
      <c r="B854" s="65" t="str">
        <f t="shared" si="106"/>
        <v/>
      </c>
      <c r="C854" s="66"/>
      <c r="D854" s="60"/>
      <c r="E854" s="61"/>
      <c r="F854" s="61"/>
      <c r="G854" s="67"/>
      <c r="H854" s="60"/>
      <c r="I854" s="60"/>
      <c r="J854" s="61"/>
      <c r="K854" s="61"/>
      <c r="L854" s="60"/>
      <c r="M854" s="74" t="str">
        <f t="shared" si="107"/>
        <v/>
      </c>
      <c r="N854" s="74" t="str">
        <f t="shared" si="108"/>
        <v/>
      </c>
      <c r="O854" s="73" t="str">
        <f t="shared" si="109"/>
        <v/>
      </c>
      <c r="P854" s="65" t="str">
        <f t="shared" ca="1" si="110"/>
        <v/>
      </c>
      <c r="Q854" s="2"/>
      <c r="R854" s="2"/>
      <c r="S854" s="1" t="str">
        <f t="shared" si="111"/>
        <v/>
      </c>
      <c r="T854" s="1" t="str">
        <f>IF(OR($C854="",$D854&lt;&gt;"Gelir",$L854=""),"",IFERROR(INDEX(MUSTERILER!$B$7:$B$156,MATCH($S854,MUSTERILER!$T$7:$T$156,0)),""))</f>
        <v/>
      </c>
      <c r="U854" s="1" t="str">
        <f>IF($T854="","",$T854&amp;"|"&amp;COUNTIFS($T$7:$T854,$T854))</f>
        <v/>
      </c>
      <c r="V854" s="1">
        <f t="shared" si="112"/>
        <v>0</v>
      </c>
      <c r="W854" s="1" t="str">
        <f t="shared" si="113"/>
        <v/>
      </c>
      <c r="X854" s="1"/>
      <c r="Y854" s="1"/>
      <c r="Z854" s="1"/>
      <c r="AA854" s="1"/>
      <c r="AB854" s="1"/>
      <c r="AC854" s="1"/>
      <c r="AD854" s="1">
        <f>IF($C854="",0,SUMPRODUCT((AY_SONU!$O$7:$O$42="Evet")*(AY_SONU!$B$7:$B$42=DATE(YEAR($C854),MONTH($C854),1))))</f>
        <v>0</v>
      </c>
      <c r="AE854" s="1" t="str">
        <f>IF($E854="","",$E854&amp;"|"&amp;COUNTIFS($E$7:$E854,$E854))</f>
        <v/>
      </c>
    </row>
    <row r="855" spans="1:31" ht="18" customHeight="1" x14ac:dyDescent="0.3">
      <c r="A855" s="2"/>
      <c r="B855" s="65" t="str">
        <f t="shared" si="106"/>
        <v/>
      </c>
      <c r="C855" s="66"/>
      <c r="D855" s="60"/>
      <c r="E855" s="61"/>
      <c r="F855" s="61"/>
      <c r="G855" s="67"/>
      <c r="H855" s="60"/>
      <c r="I855" s="60"/>
      <c r="J855" s="61"/>
      <c r="K855" s="61"/>
      <c r="L855" s="60"/>
      <c r="M855" s="74" t="str">
        <f t="shared" si="107"/>
        <v/>
      </c>
      <c r="N855" s="74" t="str">
        <f t="shared" si="108"/>
        <v/>
      </c>
      <c r="O855" s="73" t="str">
        <f t="shared" si="109"/>
        <v/>
      </c>
      <c r="P855" s="65" t="str">
        <f t="shared" ca="1" si="110"/>
        <v/>
      </c>
      <c r="Q855" s="2"/>
      <c r="R855" s="2"/>
      <c r="S855" s="1" t="str">
        <f t="shared" si="111"/>
        <v/>
      </c>
      <c r="T855" s="1" t="str">
        <f>IF(OR($C855="",$D855&lt;&gt;"Gelir",$L855=""),"",IFERROR(INDEX(MUSTERILER!$B$7:$B$156,MATCH($S855,MUSTERILER!$T$7:$T$156,0)),""))</f>
        <v/>
      </c>
      <c r="U855" s="1" t="str">
        <f>IF($T855="","",$T855&amp;"|"&amp;COUNTIFS($T$7:$T855,$T855))</f>
        <v/>
      </c>
      <c r="V855" s="1">
        <f t="shared" si="112"/>
        <v>0</v>
      </c>
      <c r="W855" s="1" t="str">
        <f t="shared" si="113"/>
        <v/>
      </c>
      <c r="X855" s="1"/>
      <c r="Y855" s="1"/>
      <c r="Z855" s="1"/>
      <c r="AA855" s="1"/>
      <c r="AB855" s="1"/>
      <c r="AC855" s="1"/>
      <c r="AD855" s="1">
        <f>IF($C855="",0,SUMPRODUCT((AY_SONU!$O$7:$O$42="Evet")*(AY_SONU!$B$7:$B$42=DATE(YEAR($C855),MONTH($C855),1))))</f>
        <v>0</v>
      </c>
      <c r="AE855" s="1" t="str">
        <f>IF($E855="","",$E855&amp;"|"&amp;COUNTIFS($E$7:$E855,$E855))</f>
        <v/>
      </c>
    </row>
    <row r="856" spans="1:31" ht="18" customHeight="1" x14ac:dyDescent="0.3">
      <c r="A856" s="2"/>
      <c r="B856" s="65" t="str">
        <f t="shared" si="106"/>
        <v/>
      </c>
      <c r="C856" s="66"/>
      <c r="D856" s="60"/>
      <c r="E856" s="61"/>
      <c r="F856" s="61"/>
      <c r="G856" s="67"/>
      <c r="H856" s="60"/>
      <c r="I856" s="60"/>
      <c r="J856" s="61"/>
      <c r="K856" s="61"/>
      <c r="L856" s="60"/>
      <c r="M856" s="74" t="str">
        <f t="shared" si="107"/>
        <v/>
      </c>
      <c r="N856" s="74" t="str">
        <f t="shared" si="108"/>
        <v/>
      </c>
      <c r="O856" s="73" t="str">
        <f t="shared" si="109"/>
        <v/>
      </c>
      <c r="P856" s="65" t="str">
        <f t="shared" ca="1" si="110"/>
        <v/>
      </c>
      <c r="Q856" s="2"/>
      <c r="R856" s="2"/>
      <c r="S856" s="1" t="str">
        <f t="shared" si="111"/>
        <v/>
      </c>
      <c r="T856" s="1" t="str">
        <f>IF(OR($C856="",$D856&lt;&gt;"Gelir",$L856=""),"",IFERROR(INDEX(MUSTERILER!$B$7:$B$156,MATCH($S856,MUSTERILER!$T$7:$T$156,0)),""))</f>
        <v/>
      </c>
      <c r="U856" s="1" t="str">
        <f>IF($T856="","",$T856&amp;"|"&amp;COUNTIFS($T$7:$T856,$T856))</f>
        <v/>
      </c>
      <c r="V856" s="1">
        <f t="shared" si="112"/>
        <v>0</v>
      </c>
      <c r="W856" s="1" t="str">
        <f t="shared" si="113"/>
        <v/>
      </c>
      <c r="X856" s="1"/>
      <c r="Y856" s="1"/>
      <c r="Z856" s="1"/>
      <c r="AA856" s="1"/>
      <c r="AB856" s="1"/>
      <c r="AC856" s="1"/>
      <c r="AD856" s="1">
        <f>IF($C856="",0,SUMPRODUCT((AY_SONU!$O$7:$O$42="Evet")*(AY_SONU!$B$7:$B$42=DATE(YEAR($C856),MONTH($C856),1))))</f>
        <v>0</v>
      </c>
      <c r="AE856" s="1" t="str">
        <f>IF($E856="","",$E856&amp;"|"&amp;COUNTIFS($E$7:$E856,$E856))</f>
        <v/>
      </c>
    </row>
    <row r="857" spans="1:31" ht="18" customHeight="1" x14ac:dyDescent="0.3">
      <c r="A857" s="2"/>
      <c r="B857" s="65" t="str">
        <f t="shared" si="106"/>
        <v/>
      </c>
      <c r="C857" s="66"/>
      <c r="D857" s="60"/>
      <c r="E857" s="61"/>
      <c r="F857" s="61"/>
      <c r="G857" s="67"/>
      <c r="H857" s="60"/>
      <c r="I857" s="60"/>
      <c r="J857" s="61"/>
      <c r="K857" s="61"/>
      <c r="L857" s="60"/>
      <c r="M857" s="74" t="str">
        <f t="shared" si="107"/>
        <v/>
      </c>
      <c r="N857" s="74" t="str">
        <f t="shared" si="108"/>
        <v/>
      </c>
      <c r="O857" s="73" t="str">
        <f t="shared" si="109"/>
        <v/>
      </c>
      <c r="P857" s="65" t="str">
        <f t="shared" ca="1" si="110"/>
        <v/>
      </c>
      <c r="Q857" s="2"/>
      <c r="R857" s="2"/>
      <c r="S857" s="1" t="str">
        <f t="shared" si="111"/>
        <v/>
      </c>
      <c r="T857" s="1" t="str">
        <f>IF(OR($C857="",$D857&lt;&gt;"Gelir",$L857=""),"",IFERROR(INDEX(MUSTERILER!$B$7:$B$156,MATCH($S857,MUSTERILER!$T$7:$T$156,0)),""))</f>
        <v/>
      </c>
      <c r="U857" s="1" t="str">
        <f>IF($T857="","",$T857&amp;"|"&amp;COUNTIFS($T$7:$T857,$T857))</f>
        <v/>
      </c>
      <c r="V857" s="1">
        <f t="shared" si="112"/>
        <v>0</v>
      </c>
      <c r="W857" s="1" t="str">
        <f t="shared" si="113"/>
        <v/>
      </c>
      <c r="X857" s="1"/>
      <c r="Y857" s="1"/>
      <c r="Z857" s="1"/>
      <c r="AA857" s="1"/>
      <c r="AB857" s="1"/>
      <c r="AC857" s="1"/>
      <c r="AD857" s="1">
        <f>IF($C857="",0,SUMPRODUCT((AY_SONU!$O$7:$O$42="Evet")*(AY_SONU!$B$7:$B$42=DATE(YEAR($C857),MONTH($C857),1))))</f>
        <v>0</v>
      </c>
      <c r="AE857" s="1" t="str">
        <f>IF($E857="","",$E857&amp;"|"&amp;COUNTIFS($E$7:$E857,$E857))</f>
        <v/>
      </c>
    </row>
    <row r="858" spans="1:31" ht="18" customHeight="1" x14ac:dyDescent="0.3">
      <c r="A858" s="2"/>
      <c r="B858" s="65" t="str">
        <f t="shared" si="106"/>
        <v/>
      </c>
      <c r="C858" s="66"/>
      <c r="D858" s="60"/>
      <c r="E858" s="61"/>
      <c r="F858" s="61"/>
      <c r="G858" s="67"/>
      <c r="H858" s="60"/>
      <c r="I858" s="60"/>
      <c r="J858" s="61"/>
      <c r="K858" s="61"/>
      <c r="L858" s="60"/>
      <c r="M858" s="74" t="str">
        <f t="shared" si="107"/>
        <v/>
      </c>
      <c r="N858" s="74" t="str">
        <f t="shared" si="108"/>
        <v/>
      </c>
      <c r="O858" s="73" t="str">
        <f t="shared" si="109"/>
        <v/>
      </c>
      <c r="P858" s="65" t="str">
        <f t="shared" ca="1" si="110"/>
        <v/>
      </c>
      <c r="Q858" s="2"/>
      <c r="R858" s="2"/>
      <c r="S858" s="1" t="str">
        <f t="shared" si="111"/>
        <v/>
      </c>
      <c r="T858" s="1" t="str">
        <f>IF(OR($C858="",$D858&lt;&gt;"Gelir",$L858=""),"",IFERROR(INDEX(MUSTERILER!$B$7:$B$156,MATCH($S858,MUSTERILER!$T$7:$T$156,0)),""))</f>
        <v/>
      </c>
      <c r="U858" s="1" t="str">
        <f>IF($T858="","",$T858&amp;"|"&amp;COUNTIFS($T$7:$T858,$T858))</f>
        <v/>
      </c>
      <c r="V858" s="1">
        <f t="shared" si="112"/>
        <v>0</v>
      </c>
      <c r="W858" s="1" t="str">
        <f t="shared" si="113"/>
        <v/>
      </c>
      <c r="X858" s="1"/>
      <c r="Y858" s="1"/>
      <c r="Z858" s="1"/>
      <c r="AA858" s="1"/>
      <c r="AB858" s="1"/>
      <c r="AC858" s="1"/>
      <c r="AD858" s="1">
        <f>IF($C858="",0,SUMPRODUCT((AY_SONU!$O$7:$O$42="Evet")*(AY_SONU!$B$7:$B$42=DATE(YEAR($C858),MONTH($C858),1))))</f>
        <v>0</v>
      </c>
      <c r="AE858" s="1" t="str">
        <f>IF($E858="","",$E858&amp;"|"&amp;COUNTIFS($E$7:$E858,$E858))</f>
        <v/>
      </c>
    </row>
    <row r="859" spans="1:31" ht="18" customHeight="1" x14ac:dyDescent="0.3">
      <c r="A859" s="2"/>
      <c r="B859" s="65" t="str">
        <f t="shared" si="106"/>
        <v/>
      </c>
      <c r="C859" s="66"/>
      <c r="D859" s="60"/>
      <c r="E859" s="61"/>
      <c r="F859" s="61"/>
      <c r="G859" s="67"/>
      <c r="H859" s="60"/>
      <c r="I859" s="60"/>
      <c r="J859" s="61"/>
      <c r="K859" s="61"/>
      <c r="L859" s="60"/>
      <c r="M859" s="74" t="str">
        <f t="shared" si="107"/>
        <v/>
      </c>
      <c r="N859" s="74" t="str">
        <f t="shared" si="108"/>
        <v/>
      </c>
      <c r="O859" s="73" t="str">
        <f t="shared" si="109"/>
        <v/>
      </c>
      <c r="P859" s="65" t="str">
        <f t="shared" ca="1" si="110"/>
        <v/>
      </c>
      <c r="Q859" s="2"/>
      <c r="R859" s="2"/>
      <c r="S859" s="1" t="str">
        <f t="shared" si="111"/>
        <v/>
      </c>
      <c r="T859" s="1" t="str">
        <f>IF(OR($C859="",$D859&lt;&gt;"Gelir",$L859=""),"",IFERROR(INDEX(MUSTERILER!$B$7:$B$156,MATCH($S859,MUSTERILER!$T$7:$T$156,0)),""))</f>
        <v/>
      </c>
      <c r="U859" s="1" t="str">
        <f>IF($T859="","",$T859&amp;"|"&amp;COUNTIFS($T$7:$T859,$T859))</f>
        <v/>
      </c>
      <c r="V859" s="1">
        <f t="shared" si="112"/>
        <v>0</v>
      </c>
      <c r="W859" s="1" t="str">
        <f t="shared" si="113"/>
        <v/>
      </c>
      <c r="X859" s="1"/>
      <c r="Y859" s="1"/>
      <c r="Z859" s="1"/>
      <c r="AA859" s="1"/>
      <c r="AB859" s="1"/>
      <c r="AC859" s="1"/>
      <c r="AD859" s="1">
        <f>IF($C859="",0,SUMPRODUCT((AY_SONU!$O$7:$O$42="Evet")*(AY_SONU!$B$7:$B$42=DATE(YEAR($C859),MONTH($C859),1))))</f>
        <v>0</v>
      </c>
      <c r="AE859" s="1" t="str">
        <f>IF($E859="","",$E859&amp;"|"&amp;COUNTIFS($E$7:$E859,$E859))</f>
        <v/>
      </c>
    </row>
    <row r="860" spans="1:31" ht="18" customHeight="1" x14ac:dyDescent="0.3">
      <c r="A860" s="2"/>
      <c r="B860" s="65" t="str">
        <f t="shared" si="106"/>
        <v/>
      </c>
      <c r="C860" s="66"/>
      <c r="D860" s="60"/>
      <c r="E860" s="61"/>
      <c r="F860" s="61"/>
      <c r="G860" s="67"/>
      <c r="H860" s="60"/>
      <c r="I860" s="60"/>
      <c r="J860" s="61"/>
      <c r="K860" s="61"/>
      <c r="L860" s="60"/>
      <c r="M860" s="74" t="str">
        <f t="shared" si="107"/>
        <v/>
      </c>
      <c r="N860" s="74" t="str">
        <f t="shared" si="108"/>
        <v/>
      </c>
      <c r="O860" s="73" t="str">
        <f t="shared" si="109"/>
        <v/>
      </c>
      <c r="P860" s="65" t="str">
        <f t="shared" ca="1" si="110"/>
        <v/>
      </c>
      <c r="Q860" s="2"/>
      <c r="R860" s="2"/>
      <c r="S860" s="1" t="str">
        <f t="shared" si="111"/>
        <v/>
      </c>
      <c r="T860" s="1" t="str">
        <f>IF(OR($C860="",$D860&lt;&gt;"Gelir",$L860=""),"",IFERROR(INDEX(MUSTERILER!$B$7:$B$156,MATCH($S860,MUSTERILER!$T$7:$T$156,0)),""))</f>
        <v/>
      </c>
      <c r="U860" s="1" t="str">
        <f>IF($T860="","",$T860&amp;"|"&amp;COUNTIFS($T$7:$T860,$T860))</f>
        <v/>
      </c>
      <c r="V860" s="1">
        <f t="shared" si="112"/>
        <v>0</v>
      </c>
      <c r="W860" s="1" t="str">
        <f t="shared" si="113"/>
        <v/>
      </c>
      <c r="X860" s="1"/>
      <c r="Y860" s="1"/>
      <c r="Z860" s="1"/>
      <c r="AA860" s="1"/>
      <c r="AB860" s="1"/>
      <c r="AC860" s="1"/>
      <c r="AD860" s="1">
        <f>IF($C860="",0,SUMPRODUCT((AY_SONU!$O$7:$O$42="Evet")*(AY_SONU!$B$7:$B$42=DATE(YEAR($C860),MONTH($C860),1))))</f>
        <v>0</v>
      </c>
      <c r="AE860" s="1" t="str">
        <f>IF($E860="","",$E860&amp;"|"&amp;COUNTIFS($E$7:$E860,$E860))</f>
        <v/>
      </c>
    </row>
    <row r="861" spans="1:31" ht="18" customHeight="1" x14ac:dyDescent="0.3">
      <c r="A861" s="2"/>
      <c r="B861" s="65" t="str">
        <f t="shared" si="106"/>
        <v/>
      </c>
      <c r="C861" s="66"/>
      <c r="D861" s="60"/>
      <c r="E861" s="61"/>
      <c r="F861" s="61"/>
      <c r="G861" s="67"/>
      <c r="H861" s="60"/>
      <c r="I861" s="60"/>
      <c r="J861" s="61"/>
      <c r="K861" s="61"/>
      <c r="L861" s="60"/>
      <c r="M861" s="74" t="str">
        <f t="shared" si="107"/>
        <v/>
      </c>
      <c r="N861" s="74" t="str">
        <f t="shared" si="108"/>
        <v/>
      </c>
      <c r="O861" s="73" t="str">
        <f t="shared" si="109"/>
        <v/>
      </c>
      <c r="P861" s="65" t="str">
        <f t="shared" ca="1" si="110"/>
        <v/>
      </c>
      <c r="Q861" s="2"/>
      <c r="R861" s="2"/>
      <c r="S861" s="1" t="str">
        <f t="shared" si="111"/>
        <v/>
      </c>
      <c r="T861" s="1" t="str">
        <f>IF(OR($C861="",$D861&lt;&gt;"Gelir",$L861=""),"",IFERROR(INDEX(MUSTERILER!$B$7:$B$156,MATCH($S861,MUSTERILER!$T$7:$T$156,0)),""))</f>
        <v/>
      </c>
      <c r="U861" s="1" t="str">
        <f>IF($T861="","",$T861&amp;"|"&amp;COUNTIFS($T$7:$T861,$T861))</f>
        <v/>
      </c>
      <c r="V861" s="1">
        <f t="shared" si="112"/>
        <v>0</v>
      </c>
      <c r="W861" s="1" t="str">
        <f t="shared" si="113"/>
        <v/>
      </c>
      <c r="X861" s="1"/>
      <c r="Y861" s="1"/>
      <c r="Z861" s="1"/>
      <c r="AA861" s="1"/>
      <c r="AB861" s="1"/>
      <c r="AC861" s="1"/>
      <c r="AD861" s="1">
        <f>IF($C861="",0,SUMPRODUCT((AY_SONU!$O$7:$O$42="Evet")*(AY_SONU!$B$7:$B$42=DATE(YEAR($C861),MONTH($C861),1))))</f>
        <v>0</v>
      </c>
      <c r="AE861" s="1" t="str">
        <f>IF($E861="","",$E861&amp;"|"&amp;COUNTIFS($E$7:$E861,$E861))</f>
        <v/>
      </c>
    </row>
    <row r="862" spans="1:31" ht="18" customHeight="1" x14ac:dyDescent="0.3">
      <c r="A862" s="2"/>
      <c r="B862" s="65" t="str">
        <f t="shared" si="106"/>
        <v/>
      </c>
      <c r="C862" s="66"/>
      <c r="D862" s="60"/>
      <c r="E862" s="61"/>
      <c r="F862" s="61"/>
      <c r="G862" s="67"/>
      <c r="H862" s="60"/>
      <c r="I862" s="60"/>
      <c r="J862" s="61"/>
      <c r="K862" s="61"/>
      <c r="L862" s="60"/>
      <c r="M862" s="74" t="str">
        <f t="shared" si="107"/>
        <v/>
      </c>
      <c r="N862" s="74" t="str">
        <f t="shared" si="108"/>
        <v/>
      </c>
      <c r="O862" s="73" t="str">
        <f t="shared" si="109"/>
        <v/>
      </c>
      <c r="P862" s="65" t="str">
        <f t="shared" ca="1" si="110"/>
        <v/>
      </c>
      <c r="Q862" s="2"/>
      <c r="R862" s="2"/>
      <c r="S862" s="1" t="str">
        <f t="shared" si="111"/>
        <v/>
      </c>
      <c r="T862" s="1" t="str">
        <f>IF(OR($C862="",$D862&lt;&gt;"Gelir",$L862=""),"",IFERROR(INDEX(MUSTERILER!$B$7:$B$156,MATCH($S862,MUSTERILER!$T$7:$T$156,0)),""))</f>
        <v/>
      </c>
      <c r="U862" s="1" t="str">
        <f>IF($T862="","",$T862&amp;"|"&amp;COUNTIFS($T$7:$T862,$T862))</f>
        <v/>
      </c>
      <c r="V862" s="1">
        <f t="shared" si="112"/>
        <v>0</v>
      </c>
      <c r="W862" s="1" t="str">
        <f t="shared" si="113"/>
        <v/>
      </c>
      <c r="X862" s="1"/>
      <c r="Y862" s="1"/>
      <c r="Z862" s="1"/>
      <c r="AA862" s="1"/>
      <c r="AB862" s="1"/>
      <c r="AC862" s="1"/>
      <c r="AD862" s="1">
        <f>IF($C862="",0,SUMPRODUCT((AY_SONU!$O$7:$O$42="Evet")*(AY_SONU!$B$7:$B$42=DATE(YEAR($C862),MONTH($C862),1))))</f>
        <v>0</v>
      </c>
      <c r="AE862" s="1" t="str">
        <f>IF($E862="","",$E862&amp;"|"&amp;COUNTIFS($E$7:$E862,$E862))</f>
        <v/>
      </c>
    </row>
    <row r="863" spans="1:31" ht="18" customHeight="1" x14ac:dyDescent="0.3">
      <c r="A863" s="2"/>
      <c r="B863" s="65" t="str">
        <f t="shared" si="106"/>
        <v/>
      </c>
      <c r="C863" s="66"/>
      <c r="D863" s="60"/>
      <c r="E863" s="61"/>
      <c r="F863" s="61"/>
      <c r="G863" s="67"/>
      <c r="H863" s="60"/>
      <c r="I863" s="60"/>
      <c r="J863" s="61"/>
      <c r="K863" s="61"/>
      <c r="L863" s="60"/>
      <c r="M863" s="74" t="str">
        <f t="shared" si="107"/>
        <v/>
      </c>
      <c r="N863" s="74" t="str">
        <f t="shared" si="108"/>
        <v/>
      </c>
      <c r="O863" s="73" t="str">
        <f t="shared" si="109"/>
        <v/>
      </c>
      <c r="P863" s="65" t="str">
        <f t="shared" ca="1" si="110"/>
        <v/>
      </c>
      <c r="Q863" s="2"/>
      <c r="R863" s="2"/>
      <c r="S863" s="1" t="str">
        <f t="shared" si="111"/>
        <v/>
      </c>
      <c r="T863" s="1" t="str">
        <f>IF(OR($C863="",$D863&lt;&gt;"Gelir",$L863=""),"",IFERROR(INDEX(MUSTERILER!$B$7:$B$156,MATCH($S863,MUSTERILER!$T$7:$T$156,0)),""))</f>
        <v/>
      </c>
      <c r="U863" s="1" t="str">
        <f>IF($T863="","",$T863&amp;"|"&amp;COUNTIFS($T$7:$T863,$T863))</f>
        <v/>
      </c>
      <c r="V863" s="1">
        <f t="shared" si="112"/>
        <v>0</v>
      </c>
      <c r="W863" s="1" t="str">
        <f t="shared" si="113"/>
        <v/>
      </c>
      <c r="X863" s="1"/>
      <c r="Y863" s="1"/>
      <c r="Z863" s="1"/>
      <c r="AA863" s="1"/>
      <c r="AB863" s="1"/>
      <c r="AC863" s="1"/>
      <c r="AD863" s="1">
        <f>IF($C863="",0,SUMPRODUCT((AY_SONU!$O$7:$O$42="Evet")*(AY_SONU!$B$7:$B$42=DATE(YEAR($C863),MONTH($C863),1))))</f>
        <v>0</v>
      </c>
      <c r="AE863" s="1" t="str">
        <f>IF($E863="","",$E863&amp;"|"&amp;COUNTIFS($E$7:$E863,$E863))</f>
        <v/>
      </c>
    </row>
    <row r="864" spans="1:31" ht="18" customHeight="1" x14ac:dyDescent="0.3">
      <c r="A864" s="2"/>
      <c r="B864" s="65" t="str">
        <f t="shared" si="106"/>
        <v/>
      </c>
      <c r="C864" s="66"/>
      <c r="D864" s="60"/>
      <c r="E864" s="61"/>
      <c r="F864" s="61"/>
      <c r="G864" s="67"/>
      <c r="H864" s="60"/>
      <c r="I864" s="60"/>
      <c r="J864" s="61"/>
      <c r="K864" s="61"/>
      <c r="L864" s="60"/>
      <c r="M864" s="74" t="str">
        <f t="shared" si="107"/>
        <v/>
      </c>
      <c r="N864" s="74" t="str">
        <f t="shared" si="108"/>
        <v/>
      </c>
      <c r="O864" s="73" t="str">
        <f t="shared" si="109"/>
        <v/>
      </c>
      <c r="P864" s="65" t="str">
        <f t="shared" ca="1" si="110"/>
        <v/>
      </c>
      <c r="Q864" s="2"/>
      <c r="R864" s="2"/>
      <c r="S864" s="1" t="str">
        <f t="shared" si="111"/>
        <v/>
      </c>
      <c r="T864" s="1" t="str">
        <f>IF(OR($C864="",$D864&lt;&gt;"Gelir",$L864=""),"",IFERROR(INDEX(MUSTERILER!$B$7:$B$156,MATCH($S864,MUSTERILER!$T$7:$T$156,0)),""))</f>
        <v/>
      </c>
      <c r="U864" s="1" t="str">
        <f>IF($T864="","",$T864&amp;"|"&amp;COUNTIFS($T$7:$T864,$T864))</f>
        <v/>
      </c>
      <c r="V864" s="1">
        <f t="shared" si="112"/>
        <v>0</v>
      </c>
      <c r="W864" s="1" t="str">
        <f t="shared" si="113"/>
        <v/>
      </c>
      <c r="X864" s="1"/>
      <c r="Y864" s="1"/>
      <c r="Z864" s="1"/>
      <c r="AA864" s="1"/>
      <c r="AB864" s="1"/>
      <c r="AC864" s="1"/>
      <c r="AD864" s="1">
        <f>IF($C864="",0,SUMPRODUCT((AY_SONU!$O$7:$O$42="Evet")*(AY_SONU!$B$7:$B$42=DATE(YEAR($C864),MONTH($C864),1))))</f>
        <v>0</v>
      </c>
      <c r="AE864" s="1" t="str">
        <f>IF($E864="","",$E864&amp;"|"&amp;COUNTIFS($E$7:$E864,$E864))</f>
        <v/>
      </c>
    </row>
    <row r="865" spans="1:31" ht="18" customHeight="1" x14ac:dyDescent="0.3">
      <c r="A865" s="2"/>
      <c r="B865" s="65" t="str">
        <f t="shared" si="106"/>
        <v/>
      </c>
      <c r="C865" s="66"/>
      <c r="D865" s="60"/>
      <c r="E865" s="61"/>
      <c r="F865" s="61"/>
      <c r="G865" s="67"/>
      <c r="H865" s="60"/>
      <c r="I865" s="60"/>
      <c r="J865" s="61"/>
      <c r="K865" s="61"/>
      <c r="L865" s="60"/>
      <c r="M865" s="74" t="str">
        <f t="shared" si="107"/>
        <v/>
      </c>
      <c r="N865" s="74" t="str">
        <f t="shared" si="108"/>
        <v/>
      </c>
      <c r="O865" s="73" t="str">
        <f t="shared" si="109"/>
        <v/>
      </c>
      <c r="P865" s="65" t="str">
        <f t="shared" ca="1" si="110"/>
        <v/>
      </c>
      <c r="Q865" s="2"/>
      <c r="R865" s="2"/>
      <c r="S865" s="1" t="str">
        <f t="shared" si="111"/>
        <v/>
      </c>
      <c r="T865" s="1" t="str">
        <f>IF(OR($C865="",$D865&lt;&gt;"Gelir",$L865=""),"",IFERROR(INDEX(MUSTERILER!$B$7:$B$156,MATCH($S865,MUSTERILER!$T$7:$T$156,0)),""))</f>
        <v/>
      </c>
      <c r="U865" s="1" t="str">
        <f>IF($T865="","",$T865&amp;"|"&amp;COUNTIFS($T$7:$T865,$T865))</f>
        <v/>
      </c>
      <c r="V865" s="1">
        <f t="shared" si="112"/>
        <v>0</v>
      </c>
      <c r="W865" s="1" t="str">
        <f t="shared" si="113"/>
        <v/>
      </c>
      <c r="X865" s="1"/>
      <c r="Y865" s="1"/>
      <c r="Z865" s="1"/>
      <c r="AA865" s="1"/>
      <c r="AB865" s="1"/>
      <c r="AC865" s="1"/>
      <c r="AD865" s="1">
        <f>IF($C865="",0,SUMPRODUCT((AY_SONU!$O$7:$O$42="Evet")*(AY_SONU!$B$7:$B$42=DATE(YEAR($C865),MONTH($C865),1))))</f>
        <v>0</v>
      </c>
      <c r="AE865" s="1" t="str">
        <f>IF($E865="","",$E865&amp;"|"&amp;COUNTIFS($E$7:$E865,$E865))</f>
        <v/>
      </c>
    </row>
    <row r="866" spans="1:31" ht="18" customHeight="1" x14ac:dyDescent="0.3">
      <c r="A866" s="2"/>
      <c r="B866" s="65" t="str">
        <f t="shared" si="106"/>
        <v/>
      </c>
      <c r="C866" s="66"/>
      <c r="D866" s="60"/>
      <c r="E866" s="61"/>
      <c r="F866" s="61"/>
      <c r="G866" s="67"/>
      <c r="H866" s="60"/>
      <c r="I866" s="60"/>
      <c r="J866" s="61"/>
      <c r="K866" s="61"/>
      <c r="L866" s="60"/>
      <c r="M866" s="74" t="str">
        <f t="shared" si="107"/>
        <v/>
      </c>
      <c r="N866" s="74" t="str">
        <f t="shared" si="108"/>
        <v/>
      </c>
      <c r="O866" s="73" t="str">
        <f t="shared" si="109"/>
        <v/>
      </c>
      <c r="P866" s="65" t="str">
        <f t="shared" ca="1" si="110"/>
        <v/>
      </c>
      <c r="Q866" s="2"/>
      <c r="R866" s="2"/>
      <c r="S866" s="1" t="str">
        <f t="shared" si="111"/>
        <v/>
      </c>
      <c r="T866" s="1" t="str">
        <f>IF(OR($C866="",$D866&lt;&gt;"Gelir",$L866=""),"",IFERROR(INDEX(MUSTERILER!$B$7:$B$156,MATCH($S866,MUSTERILER!$T$7:$T$156,0)),""))</f>
        <v/>
      </c>
      <c r="U866" s="1" t="str">
        <f>IF($T866="","",$T866&amp;"|"&amp;COUNTIFS($T$7:$T866,$T866))</f>
        <v/>
      </c>
      <c r="V866" s="1">
        <f t="shared" si="112"/>
        <v>0</v>
      </c>
      <c r="W866" s="1" t="str">
        <f t="shared" si="113"/>
        <v/>
      </c>
      <c r="X866" s="1"/>
      <c r="Y866" s="1"/>
      <c r="Z866" s="1"/>
      <c r="AA866" s="1"/>
      <c r="AB866" s="1"/>
      <c r="AC866" s="1"/>
      <c r="AD866" s="1">
        <f>IF($C866="",0,SUMPRODUCT((AY_SONU!$O$7:$O$42="Evet")*(AY_SONU!$B$7:$B$42=DATE(YEAR($C866),MONTH($C866),1))))</f>
        <v>0</v>
      </c>
      <c r="AE866" s="1" t="str">
        <f>IF($E866="","",$E866&amp;"|"&amp;COUNTIFS($E$7:$E866,$E866))</f>
        <v/>
      </c>
    </row>
    <row r="867" spans="1:31" ht="18" customHeight="1" x14ac:dyDescent="0.3">
      <c r="A867" s="2"/>
      <c r="B867" s="65" t="str">
        <f t="shared" si="106"/>
        <v/>
      </c>
      <c r="C867" s="66"/>
      <c r="D867" s="60"/>
      <c r="E867" s="61"/>
      <c r="F867" s="61"/>
      <c r="G867" s="67"/>
      <c r="H867" s="60"/>
      <c r="I867" s="60"/>
      <c r="J867" s="61"/>
      <c r="K867" s="61"/>
      <c r="L867" s="60"/>
      <c r="M867" s="74" t="str">
        <f t="shared" si="107"/>
        <v/>
      </c>
      <c r="N867" s="74" t="str">
        <f t="shared" si="108"/>
        <v/>
      </c>
      <c r="O867" s="73" t="str">
        <f t="shared" si="109"/>
        <v/>
      </c>
      <c r="P867" s="65" t="str">
        <f t="shared" ca="1" si="110"/>
        <v/>
      </c>
      <c r="Q867" s="2"/>
      <c r="R867" s="2"/>
      <c r="S867" s="1" t="str">
        <f t="shared" si="111"/>
        <v/>
      </c>
      <c r="T867" s="1" t="str">
        <f>IF(OR($C867="",$D867&lt;&gt;"Gelir",$L867=""),"",IFERROR(INDEX(MUSTERILER!$B$7:$B$156,MATCH($S867,MUSTERILER!$T$7:$T$156,0)),""))</f>
        <v/>
      </c>
      <c r="U867" s="1" t="str">
        <f>IF($T867="","",$T867&amp;"|"&amp;COUNTIFS($T$7:$T867,$T867))</f>
        <v/>
      </c>
      <c r="V867" s="1">
        <f t="shared" si="112"/>
        <v>0</v>
      </c>
      <c r="W867" s="1" t="str">
        <f t="shared" si="113"/>
        <v/>
      </c>
      <c r="X867" s="1"/>
      <c r="Y867" s="1"/>
      <c r="Z867" s="1"/>
      <c r="AA867" s="1"/>
      <c r="AB867" s="1"/>
      <c r="AC867" s="1"/>
      <c r="AD867" s="1">
        <f>IF($C867="",0,SUMPRODUCT((AY_SONU!$O$7:$O$42="Evet")*(AY_SONU!$B$7:$B$42=DATE(YEAR($C867),MONTH($C867),1))))</f>
        <v>0</v>
      </c>
      <c r="AE867" s="1" t="str">
        <f>IF($E867="","",$E867&amp;"|"&amp;COUNTIFS($E$7:$E867,$E867))</f>
        <v/>
      </c>
    </row>
    <row r="868" spans="1:31" ht="18" customHeight="1" x14ac:dyDescent="0.3">
      <c r="A868" s="2"/>
      <c r="B868" s="65" t="str">
        <f t="shared" si="106"/>
        <v/>
      </c>
      <c r="C868" s="66"/>
      <c r="D868" s="60"/>
      <c r="E868" s="61"/>
      <c r="F868" s="61"/>
      <c r="G868" s="67"/>
      <c r="H868" s="60"/>
      <c r="I868" s="60"/>
      <c r="J868" s="61"/>
      <c r="K868" s="61"/>
      <c r="L868" s="60"/>
      <c r="M868" s="74" t="str">
        <f t="shared" si="107"/>
        <v/>
      </c>
      <c r="N868" s="74" t="str">
        <f t="shared" si="108"/>
        <v/>
      </c>
      <c r="O868" s="73" t="str">
        <f t="shared" si="109"/>
        <v/>
      </c>
      <c r="P868" s="65" t="str">
        <f t="shared" ca="1" si="110"/>
        <v/>
      </c>
      <c r="Q868" s="2"/>
      <c r="R868" s="2"/>
      <c r="S868" s="1" t="str">
        <f t="shared" si="111"/>
        <v/>
      </c>
      <c r="T868" s="1" t="str">
        <f>IF(OR($C868="",$D868&lt;&gt;"Gelir",$L868=""),"",IFERROR(INDEX(MUSTERILER!$B$7:$B$156,MATCH($S868,MUSTERILER!$T$7:$T$156,0)),""))</f>
        <v/>
      </c>
      <c r="U868" s="1" t="str">
        <f>IF($T868="","",$T868&amp;"|"&amp;COUNTIFS($T$7:$T868,$T868))</f>
        <v/>
      </c>
      <c r="V868" s="1">
        <f t="shared" si="112"/>
        <v>0</v>
      </c>
      <c r="W868" s="1" t="str">
        <f t="shared" si="113"/>
        <v/>
      </c>
      <c r="X868" s="1"/>
      <c r="Y868" s="1"/>
      <c r="Z868" s="1"/>
      <c r="AA868" s="1"/>
      <c r="AB868" s="1"/>
      <c r="AC868" s="1"/>
      <c r="AD868" s="1">
        <f>IF($C868="",0,SUMPRODUCT((AY_SONU!$O$7:$O$42="Evet")*(AY_SONU!$B$7:$B$42=DATE(YEAR($C868),MONTH($C868),1))))</f>
        <v>0</v>
      </c>
      <c r="AE868" s="1" t="str">
        <f>IF($E868="","",$E868&amp;"|"&amp;COUNTIFS($E$7:$E868,$E868))</f>
        <v/>
      </c>
    </row>
    <row r="869" spans="1:31" ht="18" customHeight="1" x14ac:dyDescent="0.3">
      <c r="A869" s="2"/>
      <c r="B869" s="65" t="str">
        <f t="shared" si="106"/>
        <v/>
      </c>
      <c r="C869" s="66"/>
      <c r="D869" s="60"/>
      <c r="E869" s="61"/>
      <c r="F869" s="61"/>
      <c r="G869" s="67"/>
      <c r="H869" s="60"/>
      <c r="I869" s="60"/>
      <c r="J869" s="61"/>
      <c r="K869" s="61"/>
      <c r="L869" s="60"/>
      <c r="M869" s="74" t="str">
        <f t="shared" si="107"/>
        <v/>
      </c>
      <c r="N869" s="74" t="str">
        <f t="shared" si="108"/>
        <v/>
      </c>
      <c r="O869" s="73" t="str">
        <f t="shared" si="109"/>
        <v/>
      </c>
      <c r="P869" s="65" t="str">
        <f t="shared" ca="1" si="110"/>
        <v/>
      </c>
      <c r="Q869" s="2"/>
      <c r="R869" s="2"/>
      <c r="S869" s="1" t="str">
        <f t="shared" si="111"/>
        <v/>
      </c>
      <c r="T869" s="1" t="str">
        <f>IF(OR($C869="",$D869&lt;&gt;"Gelir",$L869=""),"",IFERROR(INDEX(MUSTERILER!$B$7:$B$156,MATCH($S869,MUSTERILER!$T$7:$T$156,0)),""))</f>
        <v/>
      </c>
      <c r="U869" s="1" t="str">
        <f>IF($T869="","",$T869&amp;"|"&amp;COUNTIFS($T$7:$T869,$T869))</f>
        <v/>
      </c>
      <c r="V869" s="1">
        <f t="shared" si="112"/>
        <v>0</v>
      </c>
      <c r="W869" s="1" t="str">
        <f t="shared" si="113"/>
        <v/>
      </c>
      <c r="X869" s="1"/>
      <c r="Y869" s="1"/>
      <c r="Z869" s="1"/>
      <c r="AA869" s="1"/>
      <c r="AB869" s="1"/>
      <c r="AC869" s="1"/>
      <c r="AD869" s="1">
        <f>IF($C869="",0,SUMPRODUCT((AY_SONU!$O$7:$O$42="Evet")*(AY_SONU!$B$7:$B$42=DATE(YEAR($C869),MONTH($C869),1))))</f>
        <v>0</v>
      </c>
      <c r="AE869" s="1" t="str">
        <f>IF($E869="","",$E869&amp;"|"&amp;COUNTIFS($E$7:$E869,$E869))</f>
        <v/>
      </c>
    </row>
    <row r="870" spans="1:31" ht="18" customHeight="1" x14ac:dyDescent="0.3">
      <c r="A870" s="2"/>
      <c r="B870" s="65" t="str">
        <f t="shared" si="106"/>
        <v/>
      </c>
      <c r="C870" s="66"/>
      <c r="D870" s="60"/>
      <c r="E870" s="61"/>
      <c r="F870" s="61"/>
      <c r="G870" s="67"/>
      <c r="H870" s="60"/>
      <c r="I870" s="60"/>
      <c r="J870" s="61"/>
      <c r="K870" s="61"/>
      <c r="L870" s="60"/>
      <c r="M870" s="74" t="str">
        <f t="shared" si="107"/>
        <v/>
      </c>
      <c r="N870" s="74" t="str">
        <f t="shared" si="108"/>
        <v/>
      </c>
      <c r="O870" s="73" t="str">
        <f t="shared" si="109"/>
        <v/>
      </c>
      <c r="P870" s="65" t="str">
        <f t="shared" ca="1" si="110"/>
        <v/>
      </c>
      <c r="Q870" s="2"/>
      <c r="R870" s="2"/>
      <c r="S870" s="1" t="str">
        <f t="shared" si="111"/>
        <v/>
      </c>
      <c r="T870" s="1" t="str">
        <f>IF(OR($C870="",$D870&lt;&gt;"Gelir",$L870=""),"",IFERROR(INDEX(MUSTERILER!$B$7:$B$156,MATCH($S870,MUSTERILER!$T$7:$T$156,0)),""))</f>
        <v/>
      </c>
      <c r="U870" s="1" t="str">
        <f>IF($T870="","",$T870&amp;"|"&amp;COUNTIFS($T$7:$T870,$T870))</f>
        <v/>
      </c>
      <c r="V870" s="1">
        <f t="shared" si="112"/>
        <v>0</v>
      </c>
      <c r="W870" s="1" t="str">
        <f t="shared" si="113"/>
        <v/>
      </c>
      <c r="X870" s="1"/>
      <c r="Y870" s="1"/>
      <c r="Z870" s="1"/>
      <c r="AA870" s="1"/>
      <c r="AB870" s="1"/>
      <c r="AC870" s="1"/>
      <c r="AD870" s="1">
        <f>IF($C870="",0,SUMPRODUCT((AY_SONU!$O$7:$O$42="Evet")*(AY_SONU!$B$7:$B$42=DATE(YEAR($C870),MONTH($C870),1))))</f>
        <v>0</v>
      </c>
      <c r="AE870" s="1" t="str">
        <f>IF($E870="","",$E870&amp;"|"&amp;COUNTIFS($E$7:$E870,$E870))</f>
        <v/>
      </c>
    </row>
    <row r="871" spans="1:31" ht="18" customHeight="1" x14ac:dyDescent="0.3">
      <c r="A871" s="2"/>
      <c r="B871" s="65" t="str">
        <f t="shared" si="106"/>
        <v/>
      </c>
      <c r="C871" s="66"/>
      <c r="D871" s="60"/>
      <c r="E871" s="61"/>
      <c r="F871" s="61"/>
      <c r="G871" s="67"/>
      <c r="H871" s="60"/>
      <c r="I871" s="60"/>
      <c r="J871" s="61"/>
      <c r="K871" s="61"/>
      <c r="L871" s="60"/>
      <c r="M871" s="74" t="str">
        <f t="shared" si="107"/>
        <v/>
      </c>
      <c r="N871" s="74" t="str">
        <f t="shared" si="108"/>
        <v/>
      </c>
      <c r="O871" s="73" t="str">
        <f t="shared" si="109"/>
        <v/>
      </c>
      <c r="P871" s="65" t="str">
        <f t="shared" ca="1" si="110"/>
        <v/>
      </c>
      <c r="Q871" s="2"/>
      <c r="R871" s="2"/>
      <c r="S871" s="1" t="str">
        <f t="shared" si="111"/>
        <v/>
      </c>
      <c r="T871" s="1" t="str">
        <f>IF(OR($C871="",$D871&lt;&gt;"Gelir",$L871=""),"",IFERROR(INDEX(MUSTERILER!$B$7:$B$156,MATCH($S871,MUSTERILER!$T$7:$T$156,0)),""))</f>
        <v/>
      </c>
      <c r="U871" s="1" t="str">
        <f>IF($T871="","",$T871&amp;"|"&amp;COUNTIFS($T$7:$T871,$T871))</f>
        <v/>
      </c>
      <c r="V871" s="1">
        <f t="shared" si="112"/>
        <v>0</v>
      </c>
      <c r="W871" s="1" t="str">
        <f t="shared" si="113"/>
        <v/>
      </c>
      <c r="X871" s="1"/>
      <c r="Y871" s="1"/>
      <c r="Z871" s="1"/>
      <c r="AA871" s="1"/>
      <c r="AB871" s="1"/>
      <c r="AC871" s="1"/>
      <c r="AD871" s="1">
        <f>IF($C871="",0,SUMPRODUCT((AY_SONU!$O$7:$O$42="Evet")*(AY_SONU!$B$7:$B$42=DATE(YEAR($C871),MONTH($C871),1))))</f>
        <v>0</v>
      </c>
      <c r="AE871" s="1" t="str">
        <f>IF($E871="","",$E871&amp;"|"&amp;COUNTIFS($E$7:$E871,$E871))</f>
        <v/>
      </c>
    </row>
    <row r="872" spans="1:31" ht="18" customHeight="1" x14ac:dyDescent="0.3">
      <c r="A872" s="2"/>
      <c r="B872" s="65" t="str">
        <f t="shared" si="106"/>
        <v/>
      </c>
      <c r="C872" s="66"/>
      <c r="D872" s="60"/>
      <c r="E872" s="61"/>
      <c r="F872" s="61"/>
      <c r="G872" s="67"/>
      <c r="H872" s="60"/>
      <c r="I872" s="60"/>
      <c r="J872" s="61"/>
      <c r="K872" s="61"/>
      <c r="L872" s="60"/>
      <c r="M872" s="74" t="str">
        <f t="shared" si="107"/>
        <v/>
      </c>
      <c r="N872" s="74" t="str">
        <f t="shared" si="108"/>
        <v/>
      </c>
      <c r="O872" s="73" t="str">
        <f t="shared" si="109"/>
        <v/>
      </c>
      <c r="P872" s="65" t="str">
        <f t="shared" ca="1" si="110"/>
        <v/>
      </c>
      <c r="Q872" s="2"/>
      <c r="R872" s="2"/>
      <c r="S872" s="1" t="str">
        <f t="shared" si="111"/>
        <v/>
      </c>
      <c r="T872" s="1" t="str">
        <f>IF(OR($C872="",$D872&lt;&gt;"Gelir",$L872=""),"",IFERROR(INDEX(MUSTERILER!$B$7:$B$156,MATCH($S872,MUSTERILER!$T$7:$T$156,0)),""))</f>
        <v/>
      </c>
      <c r="U872" s="1" t="str">
        <f>IF($T872="","",$T872&amp;"|"&amp;COUNTIFS($T$7:$T872,$T872))</f>
        <v/>
      </c>
      <c r="V872" s="1">
        <f t="shared" si="112"/>
        <v>0</v>
      </c>
      <c r="W872" s="1" t="str">
        <f t="shared" si="113"/>
        <v/>
      </c>
      <c r="X872" s="1"/>
      <c r="Y872" s="1"/>
      <c r="Z872" s="1"/>
      <c r="AA872" s="1"/>
      <c r="AB872" s="1"/>
      <c r="AC872" s="1"/>
      <c r="AD872" s="1">
        <f>IF($C872="",0,SUMPRODUCT((AY_SONU!$O$7:$O$42="Evet")*(AY_SONU!$B$7:$B$42=DATE(YEAR($C872),MONTH($C872),1))))</f>
        <v>0</v>
      </c>
      <c r="AE872" s="1" t="str">
        <f>IF($E872="","",$E872&amp;"|"&amp;COUNTIFS($E$7:$E872,$E872))</f>
        <v/>
      </c>
    </row>
    <row r="873" spans="1:31" ht="18" customHeight="1" x14ac:dyDescent="0.3">
      <c r="A873" s="2"/>
      <c r="B873" s="65" t="str">
        <f t="shared" si="106"/>
        <v/>
      </c>
      <c r="C873" s="66"/>
      <c r="D873" s="60"/>
      <c r="E873" s="61"/>
      <c r="F873" s="61"/>
      <c r="G873" s="67"/>
      <c r="H873" s="60"/>
      <c r="I873" s="60"/>
      <c r="J873" s="61"/>
      <c r="K873" s="61"/>
      <c r="L873" s="60"/>
      <c r="M873" s="74" t="str">
        <f t="shared" si="107"/>
        <v/>
      </c>
      <c r="N873" s="74" t="str">
        <f t="shared" si="108"/>
        <v/>
      </c>
      <c r="O873" s="73" t="str">
        <f t="shared" si="109"/>
        <v/>
      </c>
      <c r="P873" s="65" t="str">
        <f t="shared" ca="1" si="110"/>
        <v/>
      </c>
      <c r="Q873" s="2"/>
      <c r="R873" s="2"/>
      <c r="S873" s="1" t="str">
        <f t="shared" si="111"/>
        <v/>
      </c>
      <c r="T873" s="1" t="str">
        <f>IF(OR($C873="",$D873&lt;&gt;"Gelir",$L873=""),"",IFERROR(INDEX(MUSTERILER!$B$7:$B$156,MATCH($S873,MUSTERILER!$T$7:$T$156,0)),""))</f>
        <v/>
      </c>
      <c r="U873" s="1" t="str">
        <f>IF($T873="","",$T873&amp;"|"&amp;COUNTIFS($T$7:$T873,$T873))</f>
        <v/>
      </c>
      <c r="V873" s="1">
        <f t="shared" si="112"/>
        <v>0</v>
      </c>
      <c r="W873" s="1" t="str">
        <f t="shared" si="113"/>
        <v/>
      </c>
      <c r="X873" s="1"/>
      <c r="Y873" s="1"/>
      <c r="Z873" s="1"/>
      <c r="AA873" s="1"/>
      <c r="AB873" s="1"/>
      <c r="AC873" s="1"/>
      <c r="AD873" s="1">
        <f>IF($C873="",0,SUMPRODUCT((AY_SONU!$O$7:$O$42="Evet")*(AY_SONU!$B$7:$B$42=DATE(YEAR($C873),MONTH($C873),1))))</f>
        <v>0</v>
      </c>
      <c r="AE873" s="1" t="str">
        <f>IF($E873="","",$E873&amp;"|"&amp;COUNTIFS($E$7:$E873,$E873))</f>
        <v/>
      </c>
    </row>
    <row r="874" spans="1:31" ht="18" customHeight="1" x14ac:dyDescent="0.3">
      <c r="A874" s="2"/>
      <c r="B874" s="65" t="str">
        <f t="shared" si="106"/>
        <v/>
      </c>
      <c r="C874" s="66"/>
      <c r="D874" s="60"/>
      <c r="E874" s="61"/>
      <c r="F874" s="61"/>
      <c r="G874" s="67"/>
      <c r="H874" s="60"/>
      <c r="I874" s="60"/>
      <c r="J874" s="61"/>
      <c r="K874" s="61"/>
      <c r="L874" s="60"/>
      <c r="M874" s="74" t="str">
        <f t="shared" si="107"/>
        <v/>
      </c>
      <c r="N874" s="74" t="str">
        <f t="shared" si="108"/>
        <v/>
      </c>
      <c r="O874" s="73" t="str">
        <f t="shared" si="109"/>
        <v/>
      </c>
      <c r="P874" s="65" t="str">
        <f t="shared" ca="1" si="110"/>
        <v/>
      </c>
      <c r="Q874" s="2"/>
      <c r="R874" s="2"/>
      <c r="S874" s="1" t="str">
        <f t="shared" si="111"/>
        <v/>
      </c>
      <c r="T874" s="1" t="str">
        <f>IF(OR($C874="",$D874&lt;&gt;"Gelir",$L874=""),"",IFERROR(INDEX(MUSTERILER!$B$7:$B$156,MATCH($S874,MUSTERILER!$T$7:$T$156,0)),""))</f>
        <v/>
      </c>
      <c r="U874" s="1" t="str">
        <f>IF($T874="","",$T874&amp;"|"&amp;COUNTIFS($T$7:$T874,$T874))</f>
        <v/>
      </c>
      <c r="V874" s="1">
        <f t="shared" si="112"/>
        <v>0</v>
      </c>
      <c r="W874" s="1" t="str">
        <f t="shared" si="113"/>
        <v/>
      </c>
      <c r="X874" s="1"/>
      <c r="Y874" s="1"/>
      <c r="Z874" s="1"/>
      <c r="AA874" s="1"/>
      <c r="AB874" s="1"/>
      <c r="AC874" s="1"/>
      <c r="AD874" s="1">
        <f>IF($C874="",0,SUMPRODUCT((AY_SONU!$O$7:$O$42="Evet")*(AY_SONU!$B$7:$B$42=DATE(YEAR($C874),MONTH($C874),1))))</f>
        <v>0</v>
      </c>
      <c r="AE874" s="1" t="str">
        <f>IF($E874="","",$E874&amp;"|"&amp;COUNTIFS($E$7:$E874,$E874))</f>
        <v/>
      </c>
    </row>
    <row r="875" spans="1:31" ht="18" customHeight="1" x14ac:dyDescent="0.3">
      <c r="A875" s="2"/>
      <c r="B875" s="65" t="str">
        <f t="shared" si="106"/>
        <v/>
      </c>
      <c r="C875" s="66"/>
      <c r="D875" s="60"/>
      <c r="E875" s="61"/>
      <c r="F875" s="61"/>
      <c r="G875" s="67"/>
      <c r="H875" s="60"/>
      <c r="I875" s="60"/>
      <c r="J875" s="61"/>
      <c r="K875" s="61"/>
      <c r="L875" s="60"/>
      <c r="M875" s="74" t="str">
        <f t="shared" si="107"/>
        <v/>
      </c>
      <c r="N875" s="74" t="str">
        <f t="shared" si="108"/>
        <v/>
      </c>
      <c r="O875" s="73" t="str">
        <f t="shared" si="109"/>
        <v/>
      </c>
      <c r="P875" s="65" t="str">
        <f t="shared" ca="1" si="110"/>
        <v/>
      </c>
      <c r="Q875" s="2"/>
      <c r="R875" s="2"/>
      <c r="S875" s="1" t="str">
        <f t="shared" si="111"/>
        <v/>
      </c>
      <c r="T875" s="1" t="str">
        <f>IF(OR($C875="",$D875&lt;&gt;"Gelir",$L875=""),"",IFERROR(INDEX(MUSTERILER!$B$7:$B$156,MATCH($S875,MUSTERILER!$T$7:$T$156,0)),""))</f>
        <v/>
      </c>
      <c r="U875" s="1" t="str">
        <f>IF($T875="","",$T875&amp;"|"&amp;COUNTIFS($T$7:$T875,$T875))</f>
        <v/>
      </c>
      <c r="V875" s="1">
        <f t="shared" si="112"/>
        <v>0</v>
      </c>
      <c r="W875" s="1" t="str">
        <f t="shared" si="113"/>
        <v/>
      </c>
      <c r="X875" s="1"/>
      <c r="Y875" s="1"/>
      <c r="Z875" s="1"/>
      <c r="AA875" s="1"/>
      <c r="AB875" s="1"/>
      <c r="AC875" s="1"/>
      <c r="AD875" s="1">
        <f>IF($C875="",0,SUMPRODUCT((AY_SONU!$O$7:$O$42="Evet")*(AY_SONU!$B$7:$B$42=DATE(YEAR($C875),MONTH($C875),1))))</f>
        <v>0</v>
      </c>
      <c r="AE875" s="1" t="str">
        <f>IF($E875="","",$E875&amp;"|"&amp;COUNTIFS($E$7:$E875,$E875))</f>
        <v/>
      </c>
    </row>
    <row r="876" spans="1:31" ht="18" customHeight="1" x14ac:dyDescent="0.3">
      <c r="A876" s="2"/>
      <c r="B876" s="65" t="str">
        <f t="shared" si="106"/>
        <v/>
      </c>
      <c r="C876" s="66"/>
      <c r="D876" s="60"/>
      <c r="E876" s="61"/>
      <c r="F876" s="61"/>
      <c r="G876" s="67"/>
      <c r="H876" s="60"/>
      <c r="I876" s="60"/>
      <c r="J876" s="61"/>
      <c r="K876" s="61"/>
      <c r="L876" s="60"/>
      <c r="M876" s="74" t="str">
        <f t="shared" si="107"/>
        <v/>
      </c>
      <c r="N876" s="74" t="str">
        <f t="shared" si="108"/>
        <v/>
      </c>
      <c r="O876" s="73" t="str">
        <f t="shared" si="109"/>
        <v/>
      </c>
      <c r="P876" s="65" t="str">
        <f t="shared" ca="1" si="110"/>
        <v/>
      </c>
      <c r="Q876" s="2"/>
      <c r="R876" s="2"/>
      <c r="S876" s="1" t="str">
        <f t="shared" si="111"/>
        <v/>
      </c>
      <c r="T876" s="1" t="str">
        <f>IF(OR($C876="",$D876&lt;&gt;"Gelir",$L876=""),"",IFERROR(INDEX(MUSTERILER!$B$7:$B$156,MATCH($S876,MUSTERILER!$T$7:$T$156,0)),""))</f>
        <v/>
      </c>
      <c r="U876" s="1" t="str">
        <f>IF($T876="","",$T876&amp;"|"&amp;COUNTIFS($T$7:$T876,$T876))</f>
        <v/>
      </c>
      <c r="V876" s="1">
        <f t="shared" si="112"/>
        <v>0</v>
      </c>
      <c r="W876" s="1" t="str">
        <f t="shared" si="113"/>
        <v/>
      </c>
      <c r="X876" s="1"/>
      <c r="Y876" s="1"/>
      <c r="Z876" s="1"/>
      <c r="AA876" s="1"/>
      <c r="AB876" s="1"/>
      <c r="AC876" s="1"/>
      <c r="AD876" s="1">
        <f>IF($C876="",0,SUMPRODUCT((AY_SONU!$O$7:$O$42="Evet")*(AY_SONU!$B$7:$B$42=DATE(YEAR($C876),MONTH($C876),1))))</f>
        <v>0</v>
      </c>
      <c r="AE876" s="1" t="str">
        <f>IF($E876="","",$E876&amp;"|"&amp;COUNTIFS($E$7:$E876,$E876))</f>
        <v/>
      </c>
    </row>
    <row r="877" spans="1:31" ht="18" customHeight="1" x14ac:dyDescent="0.3">
      <c r="A877" s="2"/>
      <c r="B877" s="65" t="str">
        <f t="shared" si="106"/>
        <v/>
      </c>
      <c r="C877" s="66"/>
      <c r="D877" s="60"/>
      <c r="E877" s="61"/>
      <c r="F877" s="61"/>
      <c r="G877" s="67"/>
      <c r="H877" s="60"/>
      <c r="I877" s="60"/>
      <c r="J877" s="61"/>
      <c r="K877" s="61"/>
      <c r="L877" s="60"/>
      <c r="M877" s="74" t="str">
        <f t="shared" si="107"/>
        <v/>
      </c>
      <c r="N877" s="74" t="str">
        <f t="shared" si="108"/>
        <v/>
      </c>
      <c r="O877" s="73" t="str">
        <f t="shared" si="109"/>
        <v/>
      </c>
      <c r="P877" s="65" t="str">
        <f t="shared" ca="1" si="110"/>
        <v/>
      </c>
      <c r="Q877" s="2"/>
      <c r="R877" s="2"/>
      <c r="S877" s="1" t="str">
        <f t="shared" si="111"/>
        <v/>
      </c>
      <c r="T877" s="1" t="str">
        <f>IF(OR($C877="",$D877&lt;&gt;"Gelir",$L877=""),"",IFERROR(INDEX(MUSTERILER!$B$7:$B$156,MATCH($S877,MUSTERILER!$T$7:$T$156,0)),""))</f>
        <v/>
      </c>
      <c r="U877" s="1" t="str">
        <f>IF($T877="","",$T877&amp;"|"&amp;COUNTIFS($T$7:$T877,$T877))</f>
        <v/>
      </c>
      <c r="V877" s="1">
        <f t="shared" si="112"/>
        <v>0</v>
      </c>
      <c r="W877" s="1" t="str">
        <f t="shared" si="113"/>
        <v/>
      </c>
      <c r="X877" s="1"/>
      <c r="Y877" s="1"/>
      <c r="Z877" s="1"/>
      <c r="AA877" s="1"/>
      <c r="AB877" s="1"/>
      <c r="AC877" s="1"/>
      <c r="AD877" s="1">
        <f>IF($C877="",0,SUMPRODUCT((AY_SONU!$O$7:$O$42="Evet")*(AY_SONU!$B$7:$B$42=DATE(YEAR($C877),MONTH($C877),1))))</f>
        <v>0</v>
      </c>
      <c r="AE877" s="1" t="str">
        <f>IF($E877="","",$E877&amp;"|"&amp;COUNTIFS($E$7:$E877,$E877))</f>
        <v/>
      </c>
    </row>
    <row r="878" spans="1:31" ht="18" customHeight="1" x14ac:dyDescent="0.3">
      <c r="A878" s="2"/>
      <c r="B878" s="65" t="str">
        <f t="shared" si="106"/>
        <v/>
      </c>
      <c r="C878" s="66"/>
      <c r="D878" s="60"/>
      <c r="E878" s="61"/>
      <c r="F878" s="61"/>
      <c r="G878" s="67"/>
      <c r="H878" s="60"/>
      <c r="I878" s="60"/>
      <c r="J878" s="61"/>
      <c r="K878" s="61"/>
      <c r="L878" s="60"/>
      <c r="M878" s="74" t="str">
        <f t="shared" si="107"/>
        <v/>
      </c>
      <c r="N878" s="74" t="str">
        <f t="shared" si="108"/>
        <v/>
      </c>
      <c r="O878" s="73" t="str">
        <f t="shared" si="109"/>
        <v/>
      </c>
      <c r="P878" s="65" t="str">
        <f t="shared" ca="1" si="110"/>
        <v/>
      </c>
      <c r="Q878" s="2"/>
      <c r="R878" s="2"/>
      <c r="S878" s="1" t="str">
        <f t="shared" si="111"/>
        <v/>
      </c>
      <c r="T878" s="1" t="str">
        <f>IF(OR($C878="",$D878&lt;&gt;"Gelir",$L878=""),"",IFERROR(INDEX(MUSTERILER!$B$7:$B$156,MATCH($S878,MUSTERILER!$T$7:$T$156,0)),""))</f>
        <v/>
      </c>
      <c r="U878" s="1" t="str">
        <f>IF($T878="","",$T878&amp;"|"&amp;COUNTIFS($T$7:$T878,$T878))</f>
        <v/>
      </c>
      <c r="V878" s="1">
        <f t="shared" si="112"/>
        <v>0</v>
      </c>
      <c r="W878" s="1" t="str">
        <f t="shared" si="113"/>
        <v/>
      </c>
      <c r="X878" s="1"/>
      <c r="Y878" s="1"/>
      <c r="Z878" s="1"/>
      <c r="AA878" s="1"/>
      <c r="AB878" s="1"/>
      <c r="AC878" s="1"/>
      <c r="AD878" s="1">
        <f>IF($C878="",0,SUMPRODUCT((AY_SONU!$O$7:$O$42="Evet")*(AY_SONU!$B$7:$B$42=DATE(YEAR($C878),MONTH($C878),1))))</f>
        <v>0</v>
      </c>
      <c r="AE878" s="1" t="str">
        <f>IF($E878="","",$E878&amp;"|"&amp;COUNTIFS($E$7:$E878,$E878))</f>
        <v/>
      </c>
    </row>
    <row r="879" spans="1:31" ht="18" customHeight="1" x14ac:dyDescent="0.3">
      <c r="A879" s="2"/>
      <c r="B879" s="65" t="str">
        <f t="shared" si="106"/>
        <v/>
      </c>
      <c r="C879" s="66"/>
      <c r="D879" s="60"/>
      <c r="E879" s="61"/>
      <c r="F879" s="61"/>
      <c r="G879" s="67"/>
      <c r="H879" s="60"/>
      <c r="I879" s="60"/>
      <c r="J879" s="61"/>
      <c r="K879" s="61"/>
      <c r="L879" s="60"/>
      <c r="M879" s="74" t="str">
        <f t="shared" si="107"/>
        <v/>
      </c>
      <c r="N879" s="74" t="str">
        <f t="shared" si="108"/>
        <v/>
      </c>
      <c r="O879" s="73" t="str">
        <f t="shared" si="109"/>
        <v/>
      </c>
      <c r="P879" s="65" t="str">
        <f t="shared" ca="1" si="110"/>
        <v/>
      </c>
      <c r="Q879" s="2"/>
      <c r="R879" s="2"/>
      <c r="S879" s="1" t="str">
        <f t="shared" si="111"/>
        <v/>
      </c>
      <c r="T879" s="1" t="str">
        <f>IF(OR($C879="",$D879&lt;&gt;"Gelir",$L879=""),"",IFERROR(INDEX(MUSTERILER!$B$7:$B$156,MATCH($S879,MUSTERILER!$T$7:$T$156,0)),""))</f>
        <v/>
      </c>
      <c r="U879" s="1" t="str">
        <f>IF($T879="","",$T879&amp;"|"&amp;COUNTIFS($T$7:$T879,$T879))</f>
        <v/>
      </c>
      <c r="V879" s="1">
        <f t="shared" si="112"/>
        <v>0</v>
      </c>
      <c r="W879" s="1" t="str">
        <f t="shared" si="113"/>
        <v/>
      </c>
      <c r="X879" s="1"/>
      <c r="Y879" s="1"/>
      <c r="Z879" s="1"/>
      <c r="AA879" s="1"/>
      <c r="AB879" s="1"/>
      <c r="AC879" s="1"/>
      <c r="AD879" s="1">
        <f>IF($C879="",0,SUMPRODUCT((AY_SONU!$O$7:$O$42="Evet")*(AY_SONU!$B$7:$B$42=DATE(YEAR($C879),MONTH($C879),1))))</f>
        <v>0</v>
      </c>
      <c r="AE879" s="1" t="str">
        <f>IF($E879="","",$E879&amp;"|"&amp;COUNTIFS($E$7:$E879,$E879))</f>
        <v/>
      </c>
    </row>
    <row r="880" spans="1:31" ht="18" customHeight="1" x14ac:dyDescent="0.3">
      <c r="A880" s="2"/>
      <c r="B880" s="65" t="str">
        <f t="shared" si="106"/>
        <v/>
      </c>
      <c r="C880" s="66"/>
      <c r="D880" s="60"/>
      <c r="E880" s="61"/>
      <c r="F880" s="61"/>
      <c r="G880" s="67"/>
      <c r="H880" s="60"/>
      <c r="I880" s="60"/>
      <c r="J880" s="61"/>
      <c r="K880" s="61"/>
      <c r="L880" s="60"/>
      <c r="M880" s="74" t="str">
        <f t="shared" si="107"/>
        <v/>
      </c>
      <c r="N880" s="74" t="str">
        <f t="shared" si="108"/>
        <v/>
      </c>
      <c r="O880" s="73" t="str">
        <f t="shared" si="109"/>
        <v/>
      </c>
      <c r="P880" s="65" t="str">
        <f t="shared" ca="1" si="110"/>
        <v/>
      </c>
      <c r="Q880" s="2"/>
      <c r="R880" s="2"/>
      <c r="S880" s="1" t="str">
        <f t="shared" si="111"/>
        <v/>
      </c>
      <c r="T880" s="1" t="str">
        <f>IF(OR($C880="",$D880&lt;&gt;"Gelir",$L880=""),"",IFERROR(INDEX(MUSTERILER!$B$7:$B$156,MATCH($S880,MUSTERILER!$T$7:$T$156,0)),""))</f>
        <v/>
      </c>
      <c r="U880" s="1" t="str">
        <f>IF($T880="","",$T880&amp;"|"&amp;COUNTIFS($T$7:$T880,$T880))</f>
        <v/>
      </c>
      <c r="V880" s="1">
        <f t="shared" si="112"/>
        <v>0</v>
      </c>
      <c r="W880" s="1" t="str">
        <f t="shared" si="113"/>
        <v/>
      </c>
      <c r="X880" s="1"/>
      <c r="Y880" s="1"/>
      <c r="Z880" s="1"/>
      <c r="AA880" s="1"/>
      <c r="AB880" s="1"/>
      <c r="AC880" s="1"/>
      <c r="AD880" s="1">
        <f>IF($C880="",0,SUMPRODUCT((AY_SONU!$O$7:$O$42="Evet")*(AY_SONU!$B$7:$B$42=DATE(YEAR($C880),MONTH($C880),1))))</f>
        <v>0</v>
      </c>
      <c r="AE880" s="1" t="str">
        <f>IF($E880="","",$E880&amp;"|"&amp;COUNTIFS($E$7:$E880,$E880))</f>
        <v/>
      </c>
    </row>
    <row r="881" spans="1:31" ht="18" customHeight="1" x14ac:dyDescent="0.3">
      <c r="A881" s="2"/>
      <c r="B881" s="65" t="str">
        <f t="shared" si="106"/>
        <v/>
      </c>
      <c r="C881" s="66"/>
      <c r="D881" s="60"/>
      <c r="E881" s="61"/>
      <c r="F881" s="61"/>
      <c r="G881" s="67"/>
      <c r="H881" s="60"/>
      <c r="I881" s="60"/>
      <c r="J881" s="61"/>
      <c r="K881" s="61"/>
      <c r="L881" s="60"/>
      <c r="M881" s="74" t="str">
        <f t="shared" si="107"/>
        <v/>
      </c>
      <c r="N881" s="74" t="str">
        <f t="shared" si="108"/>
        <v/>
      </c>
      <c r="O881" s="73" t="str">
        <f t="shared" si="109"/>
        <v/>
      </c>
      <c r="P881" s="65" t="str">
        <f t="shared" ca="1" si="110"/>
        <v/>
      </c>
      <c r="Q881" s="2"/>
      <c r="R881" s="2"/>
      <c r="S881" s="1" t="str">
        <f t="shared" si="111"/>
        <v/>
      </c>
      <c r="T881" s="1" t="str">
        <f>IF(OR($C881="",$D881&lt;&gt;"Gelir",$L881=""),"",IFERROR(INDEX(MUSTERILER!$B$7:$B$156,MATCH($S881,MUSTERILER!$T$7:$T$156,0)),""))</f>
        <v/>
      </c>
      <c r="U881" s="1" t="str">
        <f>IF($T881="","",$T881&amp;"|"&amp;COUNTIFS($T$7:$T881,$T881))</f>
        <v/>
      </c>
      <c r="V881" s="1">
        <f t="shared" si="112"/>
        <v>0</v>
      </c>
      <c r="W881" s="1" t="str">
        <f t="shared" si="113"/>
        <v/>
      </c>
      <c r="X881" s="1"/>
      <c r="Y881" s="1"/>
      <c r="Z881" s="1"/>
      <c r="AA881" s="1"/>
      <c r="AB881" s="1"/>
      <c r="AC881" s="1"/>
      <c r="AD881" s="1">
        <f>IF($C881="",0,SUMPRODUCT((AY_SONU!$O$7:$O$42="Evet")*(AY_SONU!$B$7:$B$42=DATE(YEAR($C881),MONTH($C881),1))))</f>
        <v>0</v>
      </c>
      <c r="AE881" s="1" t="str">
        <f>IF($E881="","",$E881&amp;"|"&amp;COUNTIFS($E$7:$E881,$E881))</f>
        <v/>
      </c>
    </row>
    <row r="882" spans="1:31" ht="18" customHeight="1" x14ac:dyDescent="0.3">
      <c r="A882" s="2"/>
      <c r="B882" s="65" t="str">
        <f t="shared" si="106"/>
        <v/>
      </c>
      <c r="C882" s="66"/>
      <c r="D882" s="60"/>
      <c r="E882" s="61"/>
      <c r="F882" s="61"/>
      <c r="G882" s="67"/>
      <c r="H882" s="60"/>
      <c r="I882" s="60"/>
      <c r="J882" s="61"/>
      <c r="K882" s="61"/>
      <c r="L882" s="60"/>
      <c r="M882" s="74" t="str">
        <f t="shared" si="107"/>
        <v/>
      </c>
      <c r="N882" s="74" t="str">
        <f t="shared" si="108"/>
        <v/>
      </c>
      <c r="O882" s="73" t="str">
        <f t="shared" si="109"/>
        <v/>
      </c>
      <c r="P882" s="65" t="str">
        <f t="shared" ca="1" si="110"/>
        <v/>
      </c>
      <c r="Q882" s="2"/>
      <c r="R882" s="2"/>
      <c r="S882" s="1" t="str">
        <f t="shared" si="111"/>
        <v/>
      </c>
      <c r="T882" s="1" t="str">
        <f>IF(OR($C882="",$D882&lt;&gt;"Gelir",$L882=""),"",IFERROR(INDEX(MUSTERILER!$B$7:$B$156,MATCH($S882,MUSTERILER!$T$7:$T$156,0)),""))</f>
        <v/>
      </c>
      <c r="U882" s="1" t="str">
        <f>IF($T882="","",$T882&amp;"|"&amp;COUNTIFS($T$7:$T882,$T882))</f>
        <v/>
      </c>
      <c r="V882" s="1">
        <f t="shared" si="112"/>
        <v>0</v>
      </c>
      <c r="W882" s="1" t="str">
        <f t="shared" si="113"/>
        <v/>
      </c>
      <c r="X882" s="1"/>
      <c r="Y882" s="1"/>
      <c r="Z882" s="1"/>
      <c r="AA882" s="1"/>
      <c r="AB882" s="1"/>
      <c r="AC882" s="1"/>
      <c r="AD882" s="1">
        <f>IF($C882="",0,SUMPRODUCT((AY_SONU!$O$7:$O$42="Evet")*(AY_SONU!$B$7:$B$42=DATE(YEAR($C882),MONTH($C882),1))))</f>
        <v>0</v>
      </c>
      <c r="AE882" s="1" t="str">
        <f>IF($E882="","",$E882&amp;"|"&amp;COUNTIFS($E$7:$E882,$E882))</f>
        <v/>
      </c>
    </row>
    <row r="883" spans="1:31" ht="18" customHeight="1" x14ac:dyDescent="0.3">
      <c r="A883" s="2"/>
      <c r="B883" s="65" t="str">
        <f t="shared" si="106"/>
        <v/>
      </c>
      <c r="C883" s="66"/>
      <c r="D883" s="60"/>
      <c r="E883" s="61"/>
      <c r="F883" s="61"/>
      <c r="G883" s="67"/>
      <c r="H883" s="60"/>
      <c r="I883" s="60"/>
      <c r="J883" s="61"/>
      <c r="K883" s="61"/>
      <c r="L883" s="60"/>
      <c r="M883" s="74" t="str">
        <f t="shared" si="107"/>
        <v/>
      </c>
      <c r="N883" s="74" t="str">
        <f t="shared" si="108"/>
        <v/>
      </c>
      <c r="O883" s="73" t="str">
        <f t="shared" si="109"/>
        <v/>
      </c>
      <c r="P883" s="65" t="str">
        <f t="shared" ca="1" si="110"/>
        <v/>
      </c>
      <c r="Q883" s="2"/>
      <c r="R883" s="2"/>
      <c r="S883" s="1" t="str">
        <f t="shared" si="111"/>
        <v/>
      </c>
      <c r="T883" s="1" t="str">
        <f>IF(OR($C883="",$D883&lt;&gt;"Gelir",$L883=""),"",IFERROR(INDEX(MUSTERILER!$B$7:$B$156,MATCH($S883,MUSTERILER!$T$7:$T$156,0)),""))</f>
        <v/>
      </c>
      <c r="U883" s="1" t="str">
        <f>IF($T883="","",$T883&amp;"|"&amp;COUNTIFS($T$7:$T883,$T883))</f>
        <v/>
      </c>
      <c r="V883" s="1">
        <f t="shared" si="112"/>
        <v>0</v>
      </c>
      <c r="W883" s="1" t="str">
        <f t="shared" si="113"/>
        <v/>
      </c>
      <c r="X883" s="1"/>
      <c r="Y883" s="1"/>
      <c r="Z883" s="1"/>
      <c r="AA883" s="1"/>
      <c r="AB883" s="1"/>
      <c r="AC883" s="1"/>
      <c r="AD883" s="1">
        <f>IF($C883="",0,SUMPRODUCT((AY_SONU!$O$7:$O$42="Evet")*(AY_SONU!$B$7:$B$42=DATE(YEAR($C883),MONTH($C883),1))))</f>
        <v>0</v>
      </c>
      <c r="AE883" s="1" t="str">
        <f>IF($E883="","",$E883&amp;"|"&amp;COUNTIFS($E$7:$E883,$E883))</f>
        <v/>
      </c>
    </row>
    <row r="884" spans="1:31" ht="18" customHeight="1" x14ac:dyDescent="0.3">
      <c r="A884" s="2"/>
      <c r="B884" s="65" t="str">
        <f t="shared" si="106"/>
        <v/>
      </c>
      <c r="C884" s="66"/>
      <c r="D884" s="60"/>
      <c r="E884" s="61"/>
      <c r="F884" s="61"/>
      <c r="G884" s="67"/>
      <c r="H884" s="60"/>
      <c r="I884" s="60"/>
      <c r="J884" s="61"/>
      <c r="K884" s="61"/>
      <c r="L884" s="60"/>
      <c r="M884" s="74" t="str">
        <f t="shared" si="107"/>
        <v/>
      </c>
      <c r="N884" s="74" t="str">
        <f t="shared" si="108"/>
        <v/>
      </c>
      <c r="O884" s="73" t="str">
        <f t="shared" si="109"/>
        <v/>
      </c>
      <c r="P884" s="65" t="str">
        <f t="shared" ca="1" si="110"/>
        <v/>
      </c>
      <c r="Q884" s="2"/>
      <c r="R884" s="2"/>
      <c r="S884" s="1" t="str">
        <f t="shared" si="111"/>
        <v/>
      </c>
      <c r="T884" s="1" t="str">
        <f>IF(OR($C884="",$D884&lt;&gt;"Gelir",$L884=""),"",IFERROR(INDEX(MUSTERILER!$B$7:$B$156,MATCH($S884,MUSTERILER!$T$7:$T$156,0)),""))</f>
        <v/>
      </c>
      <c r="U884" s="1" t="str">
        <f>IF($T884="","",$T884&amp;"|"&amp;COUNTIFS($T$7:$T884,$T884))</f>
        <v/>
      </c>
      <c r="V884" s="1">
        <f t="shared" si="112"/>
        <v>0</v>
      </c>
      <c r="W884" s="1" t="str">
        <f t="shared" si="113"/>
        <v/>
      </c>
      <c r="X884" s="1"/>
      <c r="Y884" s="1"/>
      <c r="Z884" s="1"/>
      <c r="AA884" s="1"/>
      <c r="AB884" s="1"/>
      <c r="AC884" s="1"/>
      <c r="AD884" s="1">
        <f>IF($C884="",0,SUMPRODUCT((AY_SONU!$O$7:$O$42="Evet")*(AY_SONU!$B$7:$B$42=DATE(YEAR($C884),MONTH($C884),1))))</f>
        <v>0</v>
      </c>
      <c r="AE884" s="1" t="str">
        <f>IF($E884="","",$E884&amp;"|"&amp;COUNTIFS($E$7:$E884,$E884))</f>
        <v/>
      </c>
    </row>
    <row r="885" spans="1:31" ht="18" customHeight="1" x14ac:dyDescent="0.3">
      <c r="A885" s="2"/>
      <c r="B885" s="65" t="str">
        <f t="shared" si="106"/>
        <v/>
      </c>
      <c r="C885" s="66"/>
      <c r="D885" s="60"/>
      <c r="E885" s="61"/>
      <c r="F885" s="61"/>
      <c r="G885" s="67"/>
      <c r="H885" s="60"/>
      <c r="I885" s="60"/>
      <c r="J885" s="61"/>
      <c r="K885" s="61"/>
      <c r="L885" s="60"/>
      <c r="M885" s="74" t="str">
        <f t="shared" si="107"/>
        <v/>
      </c>
      <c r="N885" s="74" t="str">
        <f t="shared" si="108"/>
        <v/>
      </c>
      <c r="O885" s="73" t="str">
        <f t="shared" si="109"/>
        <v/>
      </c>
      <c r="P885" s="65" t="str">
        <f t="shared" ca="1" si="110"/>
        <v/>
      </c>
      <c r="Q885" s="2"/>
      <c r="R885" s="2"/>
      <c r="S885" s="1" t="str">
        <f t="shared" si="111"/>
        <v/>
      </c>
      <c r="T885" s="1" t="str">
        <f>IF(OR($C885="",$D885&lt;&gt;"Gelir",$L885=""),"",IFERROR(INDEX(MUSTERILER!$B$7:$B$156,MATCH($S885,MUSTERILER!$T$7:$T$156,0)),""))</f>
        <v/>
      </c>
      <c r="U885" s="1" t="str">
        <f>IF($T885="","",$T885&amp;"|"&amp;COUNTIFS($T$7:$T885,$T885))</f>
        <v/>
      </c>
      <c r="V885" s="1">
        <f t="shared" si="112"/>
        <v>0</v>
      </c>
      <c r="W885" s="1" t="str">
        <f t="shared" si="113"/>
        <v/>
      </c>
      <c r="X885" s="1"/>
      <c r="Y885" s="1"/>
      <c r="Z885" s="1"/>
      <c r="AA885" s="1"/>
      <c r="AB885" s="1"/>
      <c r="AC885" s="1"/>
      <c r="AD885" s="1">
        <f>IF($C885="",0,SUMPRODUCT((AY_SONU!$O$7:$O$42="Evet")*(AY_SONU!$B$7:$B$42=DATE(YEAR($C885),MONTH($C885),1))))</f>
        <v>0</v>
      </c>
      <c r="AE885" s="1" t="str">
        <f>IF($E885="","",$E885&amp;"|"&amp;COUNTIFS($E$7:$E885,$E885))</f>
        <v/>
      </c>
    </row>
    <row r="886" spans="1:31" ht="18" customHeight="1" x14ac:dyDescent="0.3">
      <c r="A886" s="2"/>
      <c r="B886" s="65" t="str">
        <f t="shared" si="106"/>
        <v/>
      </c>
      <c r="C886" s="66"/>
      <c r="D886" s="60"/>
      <c r="E886" s="61"/>
      <c r="F886" s="61"/>
      <c r="G886" s="67"/>
      <c r="H886" s="60"/>
      <c r="I886" s="60"/>
      <c r="J886" s="61"/>
      <c r="K886" s="61"/>
      <c r="L886" s="60"/>
      <c r="M886" s="74" t="str">
        <f t="shared" si="107"/>
        <v/>
      </c>
      <c r="N886" s="74" t="str">
        <f t="shared" si="108"/>
        <v/>
      </c>
      <c r="O886" s="73" t="str">
        <f t="shared" si="109"/>
        <v/>
      </c>
      <c r="P886" s="65" t="str">
        <f t="shared" ca="1" si="110"/>
        <v/>
      </c>
      <c r="Q886" s="2"/>
      <c r="R886" s="2"/>
      <c r="S886" s="1" t="str">
        <f t="shared" si="111"/>
        <v/>
      </c>
      <c r="T886" s="1" t="str">
        <f>IF(OR($C886="",$D886&lt;&gt;"Gelir",$L886=""),"",IFERROR(INDEX(MUSTERILER!$B$7:$B$156,MATCH($S886,MUSTERILER!$T$7:$T$156,0)),""))</f>
        <v/>
      </c>
      <c r="U886" s="1" t="str">
        <f>IF($T886="","",$T886&amp;"|"&amp;COUNTIFS($T$7:$T886,$T886))</f>
        <v/>
      </c>
      <c r="V886" s="1">
        <f t="shared" si="112"/>
        <v>0</v>
      </c>
      <c r="W886" s="1" t="str">
        <f t="shared" si="113"/>
        <v/>
      </c>
      <c r="X886" s="1"/>
      <c r="Y886" s="1"/>
      <c r="Z886" s="1"/>
      <c r="AA886" s="1"/>
      <c r="AB886" s="1"/>
      <c r="AC886" s="1"/>
      <c r="AD886" s="1">
        <f>IF($C886="",0,SUMPRODUCT((AY_SONU!$O$7:$O$42="Evet")*(AY_SONU!$B$7:$B$42=DATE(YEAR($C886),MONTH($C886),1))))</f>
        <v>0</v>
      </c>
      <c r="AE886" s="1" t="str">
        <f>IF($E886="","",$E886&amp;"|"&amp;COUNTIFS($E$7:$E886,$E886))</f>
        <v/>
      </c>
    </row>
    <row r="887" spans="1:31" ht="18" customHeight="1" x14ac:dyDescent="0.3">
      <c r="A887" s="2"/>
      <c r="B887" s="65" t="str">
        <f t="shared" si="106"/>
        <v/>
      </c>
      <c r="C887" s="66"/>
      <c r="D887" s="60"/>
      <c r="E887" s="61"/>
      <c r="F887" s="61"/>
      <c r="G887" s="67"/>
      <c r="H887" s="60"/>
      <c r="I887" s="60"/>
      <c r="J887" s="61"/>
      <c r="K887" s="61"/>
      <c r="L887" s="60"/>
      <c r="M887" s="74" t="str">
        <f t="shared" si="107"/>
        <v/>
      </c>
      <c r="N887" s="74" t="str">
        <f t="shared" si="108"/>
        <v/>
      </c>
      <c r="O887" s="73" t="str">
        <f t="shared" si="109"/>
        <v/>
      </c>
      <c r="P887" s="65" t="str">
        <f t="shared" ca="1" si="110"/>
        <v/>
      </c>
      <c r="Q887" s="2"/>
      <c r="R887" s="2"/>
      <c r="S887" s="1" t="str">
        <f t="shared" si="111"/>
        <v/>
      </c>
      <c r="T887" s="1" t="str">
        <f>IF(OR($C887="",$D887&lt;&gt;"Gelir",$L887=""),"",IFERROR(INDEX(MUSTERILER!$B$7:$B$156,MATCH($S887,MUSTERILER!$T$7:$T$156,0)),""))</f>
        <v/>
      </c>
      <c r="U887" s="1" t="str">
        <f>IF($T887="","",$T887&amp;"|"&amp;COUNTIFS($T$7:$T887,$T887))</f>
        <v/>
      </c>
      <c r="V887" s="1">
        <f t="shared" si="112"/>
        <v>0</v>
      </c>
      <c r="W887" s="1" t="str">
        <f t="shared" si="113"/>
        <v/>
      </c>
      <c r="X887" s="1"/>
      <c r="Y887" s="1"/>
      <c r="Z887" s="1"/>
      <c r="AA887" s="1"/>
      <c r="AB887" s="1"/>
      <c r="AC887" s="1"/>
      <c r="AD887" s="1">
        <f>IF($C887="",0,SUMPRODUCT((AY_SONU!$O$7:$O$42="Evet")*(AY_SONU!$B$7:$B$42=DATE(YEAR($C887),MONTH($C887),1))))</f>
        <v>0</v>
      </c>
      <c r="AE887" s="1" t="str">
        <f>IF($E887="","",$E887&amp;"|"&amp;COUNTIFS($E$7:$E887,$E887))</f>
        <v/>
      </c>
    </row>
    <row r="888" spans="1:31" ht="18" customHeight="1" x14ac:dyDescent="0.3">
      <c r="A888" s="2"/>
      <c r="B888" s="65" t="str">
        <f t="shared" si="106"/>
        <v/>
      </c>
      <c r="C888" s="66"/>
      <c r="D888" s="60"/>
      <c r="E888" s="61"/>
      <c r="F888" s="61"/>
      <c r="G888" s="67"/>
      <c r="H888" s="60"/>
      <c r="I888" s="60"/>
      <c r="J888" s="61"/>
      <c r="K888" s="61"/>
      <c r="L888" s="60"/>
      <c r="M888" s="74" t="str">
        <f t="shared" si="107"/>
        <v/>
      </c>
      <c r="N888" s="74" t="str">
        <f t="shared" si="108"/>
        <v/>
      </c>
      <c r="O888" s="73" t="str">
        <f t="shared" si="109"/>
        <v/>
      </c>
      <c r="P888" s="65" t="str">
        <f t="shared" ca="1" si="110"/>
        <v/>
      </c>
      <c r="Q888" s="2"/>
      <c r="R888" s="2"/>
      <c r="S888" s="1" t="str">
        <f t="shared" si="111"/>
        <v/>
      </c>
      <c r="T888" s="1" t="str">
        <f>IF(OR($C888="",$D888&lt;&gt;"Gelir",$L888=""),"",IFERROR(INDEX(MUSTERILER!$B$7:$B$156,MATCH($S888,MUSTERILER!$T$7:$T$156,0)),""))</f>
        <v/>
      </c>
      <c r="U888" s="1" t="str">
        <f>IF($T888="","",$T888&amp;"|"&amp;COUNTIFS($T$7:$T888,$T888))</f>
        <v/>
      </c>
      <c r="V888" s="1">
        <f t="shared" si="112"/>
        <v>0</v>
      </c>
      <c r="W888" s="1" t="str">
        <f t="shared" si="113"/>
        <v/>
      </c>
      <c r="X888" s="1"/>
      <c r="Y888" s="1"/>
      <c r="Z888" s="1"/>
      <c r="AA888" s="1"/>
      <c r="AB888" s="1"/>
      <c r="AC888" s="1"/>
      <c r="AD888" s="1">
        <f>IF($C888="",0,SUMPRODUCT((AY_SONU!$O$7:$O$42="Evet")*(AY_SONU!$B$7:$B$42=DATE(YEAR($C888),MONTH($C888),1))))</f>
        <v>0</v>
      </c>
      <c r="AE888" s="1" t="str">
        <f>IF($E888="","",$E888&amp;"|"&amp;COUNTIFS($E$7:$E888,$E888))</f>
        <v/>
      </c>
    </row>
    <row r="889" spans="1:31" ht="18" customHeight="1" x14ac:dyDescent="0.3">
      <c r="A889" s="2"/>
      <c r="B889" s="65" t="str">
        <f t="shared" si="106"/>
        <v/>
      </c>
      <c r="C889" s="66"/>
      <c r="D889" s="60"/>
      <c r="E889" s="61"/>
      <c r="F889" s="61"/>
      <c r="G889" s="67"/>
      <c r="H889" s="60"/>
      <c r="I889" s="60"/>
      <c r="J889" s="61"/>
      <c r="K889" s="61"/>
      <c r="L889" s="60"/>
      <c r="M889" s="74" t="str">
        <f t="shared" si="107"/>
        <v/>
      </c>
      <c r="N889" s="74" t="str">
        <f t="shared" si="108"/>
        <v/>
      </c>
      <c r="O889" s="73" t="str">
        <f t="shared" si="109"/>
        <v/>
      </c>
      <c r="P889" s="65" t="str">
        <f t="shared" ca="1" si="110"/>
        <v/>
      </c>
      <c r="Q889" s="2"/>
      <c r="R889" s="2"/>
      <c r="S889" s="1" t="str">
        <f t="shared" si="111"/>
        <v/>
      </c>
      <c r="T889" s="1" t="str">
        <f>IF(OR($C889="",$D889&lt;&gt;"Gelir",$L889=""),"",IFERROR(INDEX(MUSTERILER!$B$7:$B$156,MATCH($S889,MUSTERILER!$T$7:$T$156,0)),""))</f>
        <v/>
      </c>
      <c r="U889" s="1" t="str">
        <f>IF($T889="","",$T889&amp;"|"&amp;COUNTIFS($T$7:$T889,$T889))</f>
        <v/>
      </c>
      <c r="V889" s="1">
        <f t="shared" si="112"/>
        <v>0</v>
      </c>
      <c r="W889" s="1" t="str">
        <f t="shared" si="113"/>
        <v/>
      </c>
      <c r="X889" s="1"/>
      <c r="Y889" s="1"/>
      <c r="Z889" s="1"/>
      <c r="AA889" s="1"/>
      <c r="AB889" s="1"/>
      <c r="AC889" s="1"/>
      <c r="AD889" s="1">
        <f>IF($C889="",0,SUMPRODUCT((AY_SONU!$O$7:$O$42="Evet")*(AY_SONU!$B$7:$B$42=DATE(YEAR($C889),MONTH($C889),1))))</f>
        <v>0</v>
      </c>
      <c r="AE889" s="1" t="str">
        <f>IF($E889="","",$E889&amp;"|"&amp;COUNTIFS($E$7:$E889,$E889))</f>
        <v/>
      </c>
    </row>
    <row r="890" spans="1:31" ht="18" customHeight="1" x14ac:dyDescent="0.3">
      <c r="A890" s="2"/>
      <c r="B890" s="65" t="str">
        <f t="shared" si="106"/>
        <v/>
      </c>
      <c r="C890" s="66"/>
      <c r="D890" s="60"/>
      <c r="E890" s="61"/>
      <c r="F890" s="61"/>
      <c r="G890" s="67"/>
      <c r="H890" s="60"/>
      <c r="I890" s="60"/>
      <c r="J890" s="61"/>
      <c r="K890" s="61"/>
      <c r="L890" s="60"/>
      <c r="M890" s="74" t="str">
        <f t="shared" si="107"/>
        <v/>
      </c>
      <c r="N890" s="74" t="str">
        <f t="shared" si="108"/>
        <v/>
      </c>
      <c r="O890" s="73" t="str">
        <f t="shared" si="109"/>
        <v/>
      </c>
      <c r="P890" s="65" t="str">
        <f t="shared" ca="1" si="110"/>
        <v/>
      </c>
      <c r="Q890" s="2"/>
      <c r="R890" s="2"/>
      <c r="S890" s="1" t="str">
        <f t="shared" si="111"/>
        <v/>
      </c>
      <c r="T890" s="1" t="str">
        <f>IF(OR($C890="",$D890&lt;&gt;"Gelir",$L890=""),"",IFERROR(INDEX(MUSTERILER!$B$7:$B$156,MATCH($S890,MUSTERILER!$T$7:$T$156,0)),""))</f>
        <v/>
      </c>
      <c r="U890" s="1" t="str">
        <f>IF($T890="","",$T890&amp;"|"&amp;COUNTIFS($T$7:$T890,$T890))</f>
        <v/>
      </c>
      <c r="V890" s="1">
        <f t="shared" si="112"/>
        <v>0</v>
      </c>
      <c r="W890" s="1" t="str">
        <f t="shared" si="113"/>
        <v/>
      </c>
      <c r="X890" s="1"/>
      <c r="Y890" s="1"/>
      <c r="Z890" s="1"/>
      <c r="AA890" s="1"/>
      <c r="AB890" s="1"/>
      <c r="AC890" s="1"/>
      <c r="AD890" s="1">
        <f>IF($C890="",0,SUMPRODUCT((AY_SONU!$O$7:$O$42="Evet")*(AY_SONU!$B$7:$B$42=DATE(YEAR($C890),MONTH($C890),1))))</f>
        <v>0</v>
      </c>
      <c r="AE890" s="1" t="str">
        <f>IF($E890="","",$E890&amp;"|"&amp;COUNTIFS($E$7:$E890,$E890))</f>
        <v/>
      </c>
    </row>
    <row r="891" spans="1:31" ht="18" customHeight="1" x14ac:dyDescent="0.3">
      <c r="A891" s="2"/>
      <c r="B891" s="65" t="str">
        <f t="shared" si="106"/>
        <v/>
      </c>
      <c r="C891" s="66"/>
      <c r="D891" s="60"/>
      <c r="E891" s="61"/>
      <c r="F891" s="61"/>
      <c r="G891" s="67"/>
      <c r="H891" s="60"/>
      <c r="I891" s="60"/>
      <c r="J891" s="61"/>
      <c r="K891" s="61"/>
      <c r="L891" s="60"/>
      <c r="M891" s="74" t="str">
        <f t="shared" si="107"/>
        <v/>
      </c>
      <c r="N891" s="74" t="str">
        <f t="shared" si="108"/>
        <v/>
      </c>
      <c r="O891" s="73" t="str">
        <f t="shared" si="109"/>
        <v/>
      </c>
      <c r="P891" s="65" t="str">
        <f t="shared" ca="1" si="110"/>
        <v/>
      </c>
      <c r="Q891" s="2"/>
      <c r="R891" s="2"/>
      <c r="S891" s="1" t="str">
        <f t="shared" si="111"/>
        <v/>
      </c>
      <c r="T891" s="1" t="str">
        <f>IF(OR($C891="",$D891&lt;&gt;"Gelir",$L891=""),"",IFERROR(INDEX(MUSTERILER!$B$7:$B$156,MATCH($S891,MUSTERILER!$T$7:$T$156,0)),""))</f>
        <v/>
      </c>
      <c r="U891" s="1" t="str">
        <f>IF($T891="","",$T891&amp;"|"&amp;COUNTIFS($T$7:$T891,$T891))</f>
        <v/>
      </c>
      <c r="V891" s="1">
        <f t="shared" si="112"/>
        <v>0</v>
      </c>
      <c r="W891" s="1" t="str">
        <f t="shared" si="113"/>
        <v/>
      </c>
      <c r="X891" s="1"/>
      <c r="Y891" s="1"/>
      <c r="Z891" s="1"/>
      <c r="AA891" s="1"/>
      <c r="AB891" s="1"/>
      <c r="AC891" s="1"/>
      <c r="AD891" s="1">
        <f>IF($C891="",0,SUMPRODUCT((AY_SONU!$O$7:$O$42="Evet")*(AY_SONU!$B$7:$B$42=DATE(YEAR($C891),MONTH($C891),1))))</f>
        <v>0</v>
      </c>
      <c r="AE891" s="1" t="str">
        <f>IF($E891="","",$E891&amp;"|"&amp;COUNTIFS($E$7:$E891,$E891))</f>
        <v/>
      </c>
    </row>
    <row r="892" spans="1:31" ht="18" customHeight="1" x14ac:dyDescent="0.3">
      <c r="A892" s="2"/>
      <c r="B892" s="65" t="str">
        <f t="shared" si="106"/>
        <v/>
      </c>
      <c r="C892" s="66"/>
      <c r="D892" s="60"/>
      <c r="E892" s="61"/>
      <c r="F892" s="61"/>
      <c r="G892" s="67"/>
      <c r="H892" s="60"/>
      <c r="I892" s="60"/>
      <c r="J892" s="61"/>
      <c r="K892" s="61"/>
      <c r="L892" s="60"/>
      <c r="M892" s="74" t="str">
        <f t="shared" si="107"/>
        <v/>
      </c>
      <c r="N892" s="74" t="str">
        <f t="shared" si="108"/>
        <v/>
      </c>
      <c r="O892" s="73" t="str">
        <f t="shared" si="109"/>
        <v/>
      </c>
      <c r="P892" s="65" t="str">
        <f t="shared" ca="1" si="110"/>
        <v/>
      </c>
      <c r="Q892" s="2"/>
      <c r="R892" s="2"/>
      <c r="S892" s="1" t="str">
        <f t="shared" si="111"/>
        <v/>
      </c>
      <c r="T892" s="1" t="str">
        <f>IF(OR($C892="",$D892&lt;&gt;"Gelir",$L892=""),"",IFERROR(INDEX(MUSTERILER!$B$7:$B$156,MATCH($S892,MUSTERILER!$T$7:$T$156,0)),""))</f>
        <v/>
      </c>
      <c r="U892" s="1" t="str">
        <f>IF($T892="","",$T892&amp;"|"&amp;COUNTIFS($T$7:$T892,$T892))</f>
        <v/>
      </c>
      <c r="V892" s="1">
        <f t="shared" si="112"/>
        <v>0</v>
      </c>
      <c r="W892" s="1" t="str">
        <f t="shared" si="113"/>
        <v/>
      </c>
      <c r="X892" s="1"/>
      <c r="Y892" s="1"/>
      <c r="Z892" s="1"/>
      <c r="AA892" s="1"/>
      <c r="AB892" s="1"/>
      <c r="AC892" s="1"/>
      <c r="AD892" s="1">
        <f>IF($C892="",0,SUMPRODUCT((AY_SONU!$O$7:$O$42="Evet")*(AY_SONU!$B$7:$B$42=DATE(YEAR($C892),MONTH($C892),1))))</f>
        <v>0</v>
      </c>
      <c r="AE892" s="1" t="str">
        <f>IF($E892="","",$E892&amp;"|"&amp;COUNTIFS($E$7:$E892,$E892))</f>
        <v/>
      </c>
    </row>
    <row r="893" spans="1:31" ht="18" customHeight="1" x14ac:dyDescent="0.3">
      <c r="A893" s="2"/>
      <c r="B893" s="65" t="str">
        <f t="shared" si="106"/>
        <v/>
      </c>
      <c r="C893" s="66"/>
      <c r="D893" s="60"/>
      <c r="E893" s="61"/>
      <c r="F893" s="61"/>
      <c r="G893" s="67"/>
      <c r="H893" s="60"/>
      <c r="I893" s="60"/>
      <c r="J893" s="61"/>
      <c r="K893" s="61"/>
      <c r="L893" s="60"/>
      <c r="M893" s="74" t="str">
        <f t="shared" si="107"/>
        <v/>
      </c>
      <c r="N893" s="74" t="str">
        <f t="shared" si="108"/>
        <v/>
      </c>
      <c r="O893" s="73" t="str">
        <f t="shared" si="109"/>
        <v/>
      </c>
      <c r="P893" s="65" t="str">
        <f t="shared" ca="1" si="110"/>
        <v/>
      </c>
      <c r="Q893" s="2"/>
      <c r="R893" s="2"/>
      <c r="S893" s="1" t="str">
        <f t="shared" si="111"/>
        <v/>
      </c>
      <c r="T893" s="1" t="str">
        <f>IF(OR($C893="",$D893&lt;&gt;"Gelir",$L893=""),"",IFERROR(INDEX(MUSTERILER!$B$7:$B$156,MATCH($S893,MUSTERILER!$T$7:$T$156,0)),""))</f>
        <v/>
      </c>
      <c r="U893" s="1" t="str">
        <f>IF($T893="","",$T893&amp;"|"&amp;COUNTIFS($T$7:$T893,$T893))</f>
        <v/>
      </c>
      <c r="V893" s="1">
        <f t="shared" si="112"/>
        <v>0</v>
      </c>
      <c r="W893" s="1" t="str">
        <f t="shared" si="113"/>
        <v/>
      </c>
      <c r="X893" s="1"/>
      <c r="Y893" s="1"/>
      <c r="Z893" s="1"/>
      <c r="AA893" s="1"/>
      <c r="AB893" s="1"/>
      <c r="AC893" s="1"/>
      <c r="AD893" s="1">
        <f>IF($C893="",0,SUMPRODUCT((AY_SONU!$O$7:$O$42="Evet")*(AY_SONU!$B$7:$B$42=DATE(YEAR($C893),MONTH($C893),1))))</f>
        <v>0</v>
      </c>
      <c r="AE893" s="1" t="str">
        <f>IF($E893="","",$E893&amp;"|"&amp;COUNTIFS($E$7:$E893,$E893))</f>
        <v/>
      </c>
    </row>
    <row r="894" spans="1:31" ht="18" customHeight="1" x14ac:dyDescent="0.3">
      <c r="A894" s="2"/>
      <c r="B894" s="65" t="str">
        <f t="shared" si="106"/>
        <v/>
      </c>
      <c r="C894" s="66"/>
      <c r="D894" s="60"/>
      <c r="E894" s="61"/>
      <c r="F894" s="61"/>
      <c r="G894" s="67"/>
      <c r="H894" s="60"/>
      <c r="I894" s="60"/>
      <c r="J894" s="61"/>
      <c r="K894" s="61"/>
      <c r="L894" s="60"/>
      <c r="M894" s="74" t="str">
        <f t="shared" si="107"/>
        <v/>
      </c>
      <c r="N894" s="74" t="str">
        <f t="shared" si="108"/>
        <v/>
      </c>
      <c r="O894" s="73" t="str">
        <f t="shared" si="109"/>
        <v/>
      </c>
      <c r="P894" s="65" t="str">
        <f t="shared" ca="1" si="110"/>
        <v/>
      </c>
      <c r="Q894" s="2"/>
      <c r="R894" s="2"/>
      <c r="S894" s="1" t="str">
        <f t="shared" si="111"/>
        <v/>
      </c>
      <c r="T894" s="1" t="str">
        <f>IF(OR($C894="",$D894&lt;&gt;"Gelir",$L894=""),"",IFERROR(INDEX(MUSTERILER!$B$7:$B$156,MATCH($S894,MUSTERILER!$T$7:$T$156,0)),""))</f>
        <v/>
      </c>
      <c r="U894" s="1" t="str">
        <f>IF($T894="","",$T894&amp;"|"&amp;COUNTIFS($T$7:$T894,$T894))</f>
        <v/>
      </c>
      <c r="V894" s="1">
        <f t="shared" si="112"/>
        <v>0</v>
      </c>
      <c r="W894" s="1" t="str">
        <f t="shared" si="113"/>
        <v/>
      </c>
      <c r="X894" s="1"/>
      <c r="Y894" s="1"/>
      <c r="Z894" s="1"/>
      <c r="AA894" s="1"/>
      <c r="AB894" s="1"/>
      <c r="AC894" s="1"/>
      <c r="AD894" s="1">
        <f>IF($C894="",0,SUMPRODUCT((AY_SONU!$O$7:$O$42="Evet")*(AY_SONU!$B$7:$B$42=DATE(YEAR($C894),MONTH($C894),1))))</f>
        <v>0</v>
      </c>
      <c r="AE894" s="1" t="str">
        <f>IF($E894="","",$E894&amp;"|"&amp;COUNTIFS($E$7:$E894,$E894))</f>
        <v/>
      </c>
    </row>
    <row r="895" spans="1:31" ht="18" customHeight="1" x14ac:dyDescent="0.3">
      <c r="A895" s="2"/>
      <c r="B895" s="65" t="str">
        <f t="shared" si="106"/>
        <v/>
      </c>
      <c r="C895" s="66"/>
      <c r="D895" s="60"/>
      <c r="E895" s="61"/>
      <c r="F895" s="61"/>
      <c r="G895" s="67"/>
      <c r="H895" s="60"/>
      <c r="I895" s="60"/>
      <c r="J895" s="61"/>
      <c r="K895" s="61"/>
      <c r="L895" s="60"/>
      <c r="M895" s="74" t="str">
        <f t="shared" si="107"/>
        <v/>
      </c>
      <c r="N895" s="74" t="str">
        <f t="shared" si="108"/>
        <v/>
      </c>
      <c r="O895" s="73" t="str">
        <f t="shared" si="109"/>
        <v/>
      </c>
      <c r="P895" s="65" t="str">
        <f t="shared" ca="1" si="110"/>
        <v/>
      </c>
      <c r="Q895" s="2"/>
      <c r="R895" s="2"/>
      <c r="S895" s="1" t="str">
        <f t="shared" si="111"/>
        <v/>
      </c>
      <c r="T895" s="1" t="str">
        <f>IF(OR($C895="",$D895&lt;&gt;"Gelir",$L895=""),"",IFERROR(INDEX(MUSTERILER!$B$7:$B$156,MATCH($S895,MUSTERILER!$T$7:$T$156,0)),""))</f>
        <v/>
      </c>
      <c r="U895" s="1" t="str">
        <f>IF($T895="","",$T895&amp;"|"&amp;COUNTIFS($T$7:$T895,$T895))</f>
        <v/>
      </c>
      <c r="V895" s="1">
        <f t="shared" si="112"/>
        <v>0</v>
      </c>
      <c r="W895" s="1" t="str">
        <f t="shared" si="113"/>
        <v/>
      </c>
      <c r="X895" s="1"/>
      <c r="Y895" s="1"/>
      <c r="Z895" s="1"/>
      <c r="AA895" s="1"/>
      <c r="AB895" s="1"/>
      <c r="AC895" s="1"/>
      <c r="AD895" s="1">
        <f>IF($C895="",0,SUMPRODUCT((AY_SONU!$O$7:$O$42="Evet")*(AY_SONU!$B$7:$B$42=DATE(YEAR($C895),MONTH($C895),1))))</f>
        <v>0</v>
      </c>
      <c r="AE895" s="1" t="str">
        <f>IF($E895="","",$E895&amp;"|"&amp;COUNTIFS($E$7:$E895,$E895))</f>
        <v/>
      </c>
    </row>
    <row r="896" spans="1:31" ht="18" customHeight="1" x14ac:dyDescent="0.3">
      <c r="A896" s="2"/>
      <c r="B896" s="65" t="str">
        <f t="shared" si="106"/>
        <v/>
      </c>
      <c r="C896" s="66"/>
      <c r="D896" s="60"/>
      <c r="E896" s="61"/>
      <c r="F896" s="61"/>
      <c r="G896" s="67"/>
      <c r="H896" s="60"/>
      <c r="I896" s="60"/>
      <c r="J896" s="61"/>
      <c r="K896" s="61"/>
      <c r="L896" s="60"/>
      <c r="M896" s="74" t="str">
        <f t="shared" si="107"/>
        <v/>
      </c>
      <c r="N896" s="74" t="str">
        <f t="shared" si="108"/>
        <v/>
      </c>
      <c r="O896" s="73" t="str">
        <f t="shared" si="109"/>
        <v/>
      </c>
      <c r="P896" s="65" t="str">
        <f t="shared" ca="1" si="110"/>
        <v/>
      </c>
      <c r="Q896" s="2"/>
      <c r="R896" s="2"/>
      <c r="S896" s="1" t="str">
        <f t="shared" si="111"/>
        <v/>
      </c>
      <c r="T896" s="1" t="str">
        <f>IF(OR($C896="",$D896&lt;&gt;"Gelir",$L896=""),"",IFERROR(INDEX(MUSTERILER!$B$7:$B$156,MATCH($S896,MUSTERILER!$T$7:$T$156,0)),""))</f>
        <v/>
      </c>
      <c r="U896" s="1" t="str">
        <f>IF($T896="","",$T896&amp;"|"&amp;COUNTIFS($T$7:$T896,$T896))</f>
        <v/>
      </c>
      <c r="V896" s="1">
        <f t="shared" si="112"/>
        <v>0</v>
      </c>
      <c r="W896" s="1" t="str">
        <f t="shared" si="113"/>
        <v/>
      </c>
      <c r="X896" s="1"/>
      <c r="Y896" s="1"/>
      <c r="Z896" s="1"/>
      <c r="AA896" s="1"/>
      <c r="AB896" s="1"/>
      <c r="AC896" s="1"/>
      <c r="AD896" s="1">
        <f>IF($C896="",0,SUMPRODUCT((AY_SONU!$O$7:$O$42="Evet")*(AY_SONU!$B$7:$B$42=DATE(YEAR($C896),MONTH($C896),1))))</f>
        <v>0</v>
      </c>
      <c r="AE896" s="1" t="str">
        <f>IF($E896="","",$E896&amp;"|"&amp;COUNTIFS($E$7:$E896,$E896))</f>
        <v/>
      </c>
    </row>
    <row r="897" spans="1:31" ht="18" customHeight="1" x14ac:dyDescent="0.3">
      <c r="A897" s="2"/>
      <c r="B897" s="65" t="str">
        <f t="shared" si="106"/>
        <v/>
      </c>
      <c r="C897" s="66"/>
      <c r="D897" s="60"/>
      <c r="E897" s="61"/>
      <c r="F897" s="61"/>
      <c r="G897" s="67"/>
      <c r="H897" s="60"/>
      <c r="I897" s="60"/>
      <c r="J897" s="61"/>
      <c r="K897" s="61"/>
      <c r="L897" s="60"/>
      <c r="M897" s="74" t="str">
        <f t="shared" si="107"/>
        <v/>
      </c>
      <c r="N897" s="74" t="str">
        <f t="shared" si="108"/>
        <v/>
      </c>
      <c r="O897" s="73" t="str">
        <f t="shared" si="109"/>
        <v/>
      </c>
      <c r="P897" s="65" t="str">
        <f t="shared" ca="1" si="110"/>
        <v/>
      </c>
      <c r="Q897" s="2"/>
      <c r="R897" s="2"/>
      <c r="S897" s="1" t="str">
        <f t="shared" si="111"/>
        <v/>
      </c>
      <c r="T897" s="1" t="str">
        <f>IF(OR($C897="",$D897&lt;&gt;"Gelir",$L897=""),"",IFERROR(INDEX(MUSTERILER!$B$7:$B$156,MATCH($S897,MUSTERILER!$T$7:$T$156,0)),""))</f>
        <v/>
      </c>
      <c r="U897" s="1" t="str">
        <f>IF($T897="","",$T897&amp;"|"&amp;COUNTIFS($T$7:$T897,$T897))</f>
        <v/>
      </c>
      <c r="V897" s="1">
        <f t="shared" si="112"/>
        <v>0</v>
      </c>
      <c r="W897" s="1" t="str">
        <f t="shared" si="113"/>
        <v/>
      </c>
      <c r="X897" s="1"/>
      <c r="Y897" s="1"/>
      <c r="Z897" s="1"/>
      <c r="AA897" s="1"/>
      <c r="AB897" s="1"/>
      <c r="AC897" s="1"/>
      <c r="AD897" s="1">
        <f>IF($C897="",0,SUMPRODUCT((AY_SONU!$O$7:$O$42="Evet")*(AY_SONU!$B$7:$B$42=DATE(YEAR($C897),MONTH($C897),1))))</f>
        <v>0</v>
      </c>
      <c r="AE897" s="1" t="str">
        <f>IF($E897="","",$E897&amp;"|"&amp;COUNTIFS($E$7:$E897,$E897))</f>
        <v/>
      </c>
    </row>
    <row r="898" spans="1:31" ht="18" customHeight="1" x14ac:dyDescent="0.3">
      <c r="A898" s="2"/>
      <c r="B898" s="65" t="str">
        <f t="shared" si="106"/>
        <v/>
      </c>
      <c r="C898" s="66"/>
      <c r="D898" s="60"/>
      <c r="E898" s="61"/>
      <c r="F898" s="61"/>
      <c r="G898" s="67"/>
      <c r="H898" s="60"/>
      <c r="I898" s="60"/>
      <c r="J898" s="61"/>
      <c r="K898" s="61"/>
      <c r="L898" s="60"/>
      <c r="M898" s="74" t="str">
        <f t="shared" si="107"/>
        <v/>
      </c>
      <c r="N898" s="74" t="str">
        <f t="shared" si="108"/>
        <v/>
      </c>
      <c r="O898" s="73" t="str">
        <f t="shared" si="109"/>
        <v/>
      </c>
      <c r="P898" s="65" t="str">
        <f t="shared" ca="1" si="110"/>
        <v/>
      </c>
      <c r="Q898" s="2"/>
      <c r="R898" s="2"/>
      <c r="S898" s="1" t="str">
        <f t="shared" si="111"/>
        <v/>
      </c>
      <c r="T898" s="1" t="str">
        <f>IF(OR($C898="",$D898&lt;&gt;"Gelir",$L898=""),"",IFERROR(INDEX(MUSTERILER!$B$7:$B$156,MATCH($S898,MUSTERILER!$T$7:$T$156,0)),""))</f>
        <v/>
      </c>
      <c r="U898" s="1" t="str">
        <f>IF($T898="","",$T898&amp;"|"&amp;COUNTIFS($T$7:$T898,$T898))</f>
        <v/>
      </c>
      <c r="V898" s="1">
        <f t="shared" si="112"/>
        <v>0</v>
      </c>
      <c r="W898" s="1" t="str">
        <f t="shared" si="113"/>
        <v/>
      </c>
      <c r="X898" s="1"/>
      <c r="Y898" s="1"/>
      <c r="Z898" s="1"/>
      <c r="AA898" s="1"/>
      <c r="AB898" s="1"/>
      <c r="AC898" s="1"/>
      <c r="AD898" s="1">
        <f>IF($C898="",0,SUMPRODUCT((AY_SONU!$O$7:$O$42="Evet")*(AY_SONU!$B$7:$B$42=DATE(YEAR($C898),MONTH($C898),1))))</f>
        <v>0</v>
      </c>
      <c r="AE898" s="1" t="str">
        <f>IF($E898="","",$E898&amp;"|"&amp;COUNTIFS($E$7:$E898,$E898))</f>
        <v/>
      </c>
    </row>
    <row r="899" spans="1:31" ht="18" customHeight="1" x14ac:dyDescent="0.3">
      <c r="A899" s="2"/>
      <c r="B899" s="65" t="str">
        <f t="shared" si="106"/>
        <v/>
      </c>
      <c r="C899" s="66"/>
      <c r="D899" s="60"/>
      <c r="E899" s="61"/>
      <c r="F899" s="61"/>
      <c r="G899" s="67"/>
      <c r="H899" s="60"/>
      <c r="I899" s="60"/>
      <c r="J899" s="61"/>
      <c r="K899" s="61"/>
      <c r="L899" s="60"/>
      <c r="M899" s="74" t="str">
        <f t="shared" si="107"/>
        <v/>
      </c>
      <c r="N899" s="74" t="str">
        <f t="shared" si="108"/>
        <v/>
      </c>
      <c r="O899" s="73" t="str">
        <f t="shared" si="109"/>
        <v/>
      </c>
      <c r="P899" s="65" t="str">
        <f t="shared" ca="1" si="110"/>
        <v/>
      </c>
      <c r="Q899" s="2"/>
      <c r="R899" s="2"/>
      <c r="S899" s="1" t="str">
        <f t="shared" si="111"/>
        <v/>
      </c>
      <c r="T899" s="1" t="str">
        <f>IF(OR($C899="",$D899&lt;&gt;"Gelir",$L899=""),"",IFERROR(INDEX(MUSTERILER!$B$7:$B$156,MATCH($S899,MUSTERILER!$T$7:$T$156,0)),""))</f>
        <v/>
      </c>
      <c r="U899" s="1" t="str">
        <f>IF($T899="","",$T899&amp;"|"&amp;COUNTIFS($T$7:$T899,$T899))</f>
        <v/>
      </c>
      <c r="V899" s="1">
        <f t="shared" si="112"/>
        <v>0</v>
      </c>
      <c r="W899" s="1" t="str">
        <f t="shared" si="113"/>
        <v/>
      </c>
      <c r="X899" s="1"/>
      <c r="Y899" s="1"/>
      <c r="Z899" s="1"/>
      <c r="AA899" s="1"/>
      <c r="AB899" s="1"/>
      <c r="AC899" s="1"/>
      <c r="AD899" s="1">
        <f>IF($C899="",0,SUMPRODUCT((AY_SONU!$O$7:$O$42="Evet")*(AY_SONU!$B$7:$B$42=DATE(YEAR($C899),MONTH($C899),1))))</f>
        <v>0</v>
      </c>
      <c r="AE899" s="1" t="str">
        <f>IF($E899="","",$E899&amp;"|"&amp;COUNTIFS($E$7:$E899,$E899))</f>
        <v/>
      </c>
    </row>
    <row r="900" spans="1:31" ht="18" customHeight="1" x14ac:dyDescent="0.3">
      <c r="A900" s="2"/>
      <c r="B900" s="65" t="str">
        <f t="shared" si="106"/>
        <v/>
      </c>
      <c r="C900" s="66"/>
      <c r="D900" s="60"/>
      <c r="E900" s="61"/>
      <c r="F900" s="61"/>
      <c r="G900" s="67"/>
      <c r="H900" s="60"/>
      <c r="I900" s="60"/>
      <c r="J900" s="61"/>
      <c r="K900" s="61"/>
      <c r="L900" s="60"/>
      <c r="M900" s="74" t="str">
        <f t="shared" si="107"/>
        <v/>
      </c>
      <c r="N900" s="74" t="str">
        <f t="shared" si="108"/>
        <v/>
      </c>
      <c r="O900" s="73" t="str">
        <f t="shared" si="109"/>
        <v/>
      </c>
      <c r="P900" s="65" t="str">
        <f t="shared" ca="1" si="110"/>
        <v/>
      </c>
      <c r="Q900" s="2"/>
      <c r="R900" s="2"/>
      <c r="S900" s="1" t="str">
        <f t="shared" si="111"/>
        <v/>
      </c>
      <c r="T900" s="1" t="str">
        <f>IF(OR($C900="",$D900&lt;&gt;"Gelir",$L900=""),"",IFERROR(INDEX(MUSTERILER!$B$7:$B$156,MATCH($S900,MUSTERILER!$T$7:$T$156,0)),""))</f>
        <v/>
      </c>
      <c r="U900" s="1" t="str">
        <f>IF($T900="","",$T900&amp;"|"&amp;COUNTIFS($T$7:$T900,$T900))</f>
        <v/>
      </c>
      <c r="V900" s="1">
        <f t="shared" si="112"/>
        <v>0</v>
      </c>
      <c r="W900" s="1" t="str">
        <f t="shared" si="113"/>
        <v/>
      </c>
      <c r="X900" s="1"/>
      <c r="Y900" s="1"/>
      <c r="Z900" s="1"/>
      <c r="AA900" s="1"/>
      <c r="AB900" s="1"/>
      <c r="AC900" s="1"/>
      <c r="AD900" s="1">
        <f>IF($C900="",0,SUMPRODUCT((AY_SONU!$O$7:$O$42="Evet")*(AY_SONU!$B$7:$B$42=DATE(YEAR($C900),MONTH($C900),1))))</f>
        <v>0</v>
      </c>
      <c r="AE900" s="1" t="str">
        <f>IF($E900="","",$E900&amp;"|"&amp;COUNTIFS($E$7:$E900,$E900))</f>
        <v/>
      </c>
    </row>
    <row r="901" spans="1:31" ht="18" customHeight="1" x14ac:dyDescent="0.3">
      <c r="A901" s="2"/>
      <c r="B901" s="65" t="str">
        <f t="shared" si="106"/>
        <v/>
      </c>
      <c r="C901" s="66"/>
      <c r="D901" s="60"/>
      <c r="E901" s="61"/>
      <c r="F901" s="61"/>
      <c r="G901" s="67"/>
      <c r="H901" s="60"/>
      <c r="I901" s="60"/>
      <c r="J901" s="61"/>
      <c r="K901" s="61"/>
      <c r="L901" s="60"/>
      <c r="M901" s="74" t="str">
        <f t="shared" si="107"/>
        <v/>
      </c>
      <c r="N901" s="74" t="str">
        <f t="shared" si="108"/>
        <v/>
      </c>
      <c r="O901" s="73" t="str">
        <f t="shared" si="109"/>
        <v/>
      </c>
      <c r="P901" s="65" t="str">
        <f t="shared" ca="1" si="110"/>
        <v/>
      </c>
      <c r="Q901" s="2"/>
      <c r="R901" s="2"/>
      <c r="S901" s="1" t="str">
        <f t="shared" si="111"/>
        <v/>
      </c>
      <c r="T901" s="1" t="str">
        <f>IF(OR($C901="",$D901&lt;&gt;"Gelir",$L901=""),"",IFERROR(INDEX(MUSTERILER!$B$7:$B$156,MATCH($S901,MUSTERILER!$T$7:$T$156,0)),""))</f>
        <v/>
      </c>
      <c r="U901" s="1" t="str">
        <f>IF($T901="","",$T901&amp;"|"&amp;COUNTIFS($T$7:$T901,$T901))</f>
        <v/>
      </c>
      <c r="V901" s="1">
        <f t="shared" si="112"/>
        <v>0</v>
      </c>
      <c r="W901" s="1" t="str">
        <f t="shared" si="113"/>
        <v/>
      </c>
      <c r="X901" s="1"/>
      <c r="Y901" s="1"/>
      <c r="Z901" s="1"/>
      <c r="AA901" s="1"/>
      <c r="AB901" s="1"/>
      <c r="AC901" s="1"/>
      <c r="AD901" s="1">
        <f>IF($C901="",0,SUMPRODUCT((AY_SONU!$O$7:$O$42="Evet")*(AY_SONU!$B$7:$B$42=DATE(YEAR($C901),MONTH($C901),1))))</f>
        <v>0</v>
      </c>
      <c r="AE901" s="1" t="str">
        <f>IF($E901="","",$E901&amp;"|"&amp;COUNTIFS($E$7:$E901,$E901))</f>
        <v/>
      </c>
    </row>
    <row r="902" spans="1:31" ht="18" customHeight="1" x14ac:dyDescent="0.3">
      <c r="A902" s="2"/>
      <c r="B902" s="65" t="str">
        <f t="shared" si="106"/>
        <v/>
      </c>
      <c r="C902" s="66"/>
      <c r="D902" s="60"/>
      <c r="E902" s="61"/>
      <c r="F902" s="61"/>
      <c r="G902" s="67"/>
      <c r="H902" s="60"/>
      <c r="I902" s="60"/>
      <c r="J902" s="61"/>
      <c r="K902" s="61"/>
      <c r="L902" s="60"/>
      <c r="M902" s="74" t="str">
        <f t="shared" si="107"/>
        <v/>
      </c>
      <c r="N902" s="74" t="str">
        <f t="shared" si="108"/>
        <v/>
      </c>
      <c r="O902" s="73" t="str">
        <f t="shared" si="109"/>
        <v/>
      </c>
      <c r="P902" s="65" t="str">
        <f t="shared" ca="1" si="110"/>
        <v/>
      </c>
      <c r="Q902" s="2"/>
      <c r="R902" s="2"/>
      <c r="S902" s="1" t="str">
        <f t="shared" si="111"/>
        <v/>
      </c>
      <c r="T902" s="1" t="str">
        <f>IF(OR($C902="",$D902&lt;&gt;"Gelir",$L902=""),"",IFERROR(INDEX(MUSTERILER!$B$7:$B$156,MATCH($S902,MUSTERILER!$T$7:$T$156,0)),""))</f>
        <v/>
      </c>
      <c r="U902" s="1" t="str">
        <f>IF($T902="","",$T902&amp;"|"&amp;COUNTIFS($T$7:$T902,$T902))</f>
        <v/>
      </c>
      <c r="V902" s="1">
        <f t="shared" si="112"/>
        <v>0</v>
      </c>
      <c r="W902" s="1" t="str">
        <f t="shared" si="113"/>
        <v/>
      </c>
      <c r="X902" s="1"/>
      <c r="Y902" s="1"/>
      <c r="Z902" s="1"/>
      <c r="AA902" s="1"/>
      <c r="AB902" s="1"/>
      <c r="AC902" s="1"/>
      <c r="AD902" s="1">
        <f>IF($C902="",0,SUMPRODUCT((AY_SONU!$O$7:$O$42="Evet")*(AY_SONU!$B$7:$B$42=DATE(YEAR($C902),MONTH($C902),1))))</f>
        <v>0</v>
      </c>
      <c r="AE902" s="1" t="str">
        <f>IF($E902="","",$E902&amp;"|"&amp;COUNTIFS($E$7:$E902,$E902))</f>
        <v/>
      </c>
    </row>
    <row r="903" spans="1:31" ht="18" customHeight="1" x14ac:dyDescent="0.3">
      <c r="A903" s="2"/>
      <c r="B903" s="65" t="str">
        <f t="shared" ref="B903:B966" si="114">IF($C903="","","GG"&amp;TEXT(ROW()-6,"00000"))</f>
        <v/>
      </c>
      <c r="C903" s="66"/>
      <c r="D903" s="60"/>
      <c r="E903" s="61"/>
      <c r="F903" s="61"/>
      <c r="G903" s="67"/>
      <c r="H903" s="60"/>
      <c r="I903" s="60"/>
      <c r="J903" s="61"/>
      <c r="K903" s="61"/>
      <c r="L903" s="60"/>
      <c r="M903" s="74" t="str">
        <f t="shared" ref="M903:M966" si="115">IF($C903="","",IF($D903="Gider",$E903,IF($L903&lt;&gt;"",$L903,$H903)))</f>
        <v/>
      </c>
      <c r="N903" s="74" t="str">
        <f t="shared" ref="N903:N966" si="116">IF($C903="","",IF($D903="Gider",$H903,$E903))</f>
        <v/>
      </c>
      <c r="O903" s="73" t="str">
        <f t="shared" ref="O903:O966" si="117">IF($C903="","",DATE(YEAR($C903),MONTH($C903),1))</f>
        <v/>
      </c>
      <c r="P903" s="65" t="str">
        <f t="shared" ref="P903:P966" ca="1" si="118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TARİH",IF(COUNTIF($W$7:$W$3006,$W903)&gt;1,"MÜKERRER?",IF($AD903&gt;0,"KAPALI DÖNEM",IF($I903="Hayır","ÖDENECEK","UYGUN")))),"EKSİK"))))</f>
        <v/>
      </c>
      <c r="Q903" s="2"/>
      <c r="R903" s="2"/>
      <c r="S903" s="1" t="str">
        <f t="shared" ref="S903:S966" si="119"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1" t="str">
        <f>IF(OR($C903="",$D903&lt;&gt;"Gelir",$L903=""),"",IFERROR(INDEX(MUSTERILER!$B$7:$B$156,MATCH($S903,MUSTERILER!$T$7:$T$156,0)),""))</f>
        <v/>
      </c>
      <c r="U903" s="1" t="str">
        <f>IF($T903="","",$T903&amp;"|"&amp;COUNTIFS($T$7:$T903,$T903))</f>
        <v/>
      </c>
      <c r="V903" s="1">
        <f t="shared" ref="V903:V966" si="120">IF($T903="",0,1)</f>
        <v>0</v>
      </c>
      <c r="W903" s="1" t="str">
        <f t="shared" ref="W903:W966" si="121">IF($C903="","",$D903&amp;"|"&amp;$E903&amp;"|"&amp;TEXT($C903,"0")&amp;"|"&amp;TEXT($G903,"0")&amp;"|"&amp;$J903)</f>
        <v/>
      </c>
      <c r="X903" s="1"/>
      <c r="Y903" s="1"/>
      <c r="Z903" s="1"/>
      <c r="AA903" s="1"/>
      <c r="AB903" s="1"/>
      <c r="AC903" s="1"/>
      <c r="AD903" s="1">
        <f>IF($C903="",0,SUMPRODUCT((AY_SONU!$O$7:$O$42="Evet")*(AY_SONU!$B$7:$B$42=DATE(YEAR($C903),MONTH($C903),1))))</f>
        <v>0</v>
      </c>
      <c r="AE903" s="1" t="str">
        <f>IF($E903="","",$E903&amp;"|"&amp;COUNTIFS($E$7:$E903,$E903))</f>
        <v/>
      </c>
    </row>
    <row r="904" spans="1:31" ht="18" customHeight="1" x14ac:dyDescent="0.3">
      <c r="A904" s="2"/>
      <c r="B904" s="65" t="str">
        <f t="shared" si="114"/>
        <v/>
      </c>
      <c r="C904" s="66"/>
      <c r="D904" s="60"/>
      <c r="E904" s="61"/>
      <c r="F904" s="61"/>
      <c r="G904" s="67"/>
      <c r="H904" s="60"/>
      <c r="I904" s="60"/>
      <c r="J904" s="61"/>
      <c r="K904" s="61"/>
      <c r="L904" s="60"/>
      <c r="M904" s="74" t="str">
        <f t="shared" si="115"/>
        <v/>
      </c>
      <c r="N904" s="74" t="str">
        <f t="shared" si="116"/>
        <v/>
      </c>
      <c r="O904" s="73" t="str">
        <f t="shared" si="117"/>
        <v/>
      </c>
      <c r="P904" s="65" t="str">
        <f t="shared" ca="1" si="118"/>
        <v/>
      </c>
      <c r="Q904" s="2"/>
      <c r="R904" s="2"/>
      <c r="S904" s="1" t="str">
        <f t="shared" si="119"/>
        <v/>
      </c>
      <c r="T904" s="1" t="str">
        <f>IF(OR($C904="",$D904&lt;&gt;"Gelir",$L904=""),"",IFERROR(INDEX(MUSTERILER!$B$7:$B$156,MATCH($S904,MUSTERILER!$T$7:$T$156,0)),""))</f>
        <v/>
      </c>
      <c r="U904" s="1" t="str">
        <f>IF($T904="","",$T904&amp;"|"&amp;COUNTIFS($T$7:$T904,$T904))</f>
        <v/>
      </c>
      <c r="V904" s="1">
        <f t="shared" si="120"/>
        <v>0</v>
      </c>
      <c r="W904" s="1" t="str">
        <f t="shared" si="121"/>
        <v/>
      </c>
      <c r="X904" s="1"/>
      <c r="Y904" s="1"/>
      <c r="Z904" s="1"/>
      <c r="AA904" s="1"/>
      <c r="AB904" s="1"/>
      <c r="AC904" s="1"/>
      <c r="AD904" s="1">
        <f>IF($C904="",0,SUMPRODUCT((AY_SONU!$O$7:$O$42="Evet")*(AY_SONU!$B$7:$B$42=DATE(YEAR($C904),MONTH($C904),1))))</f>
        <v>0</v>
      </c>
      <c r="AE904" s="1" t="str">
        <f>IF($E904="","",$E904&amp;"|"&amp;COUNTIFS($E$7:$E904,$E904))</f>
        <v/>
      </c>
    </row>
    <row r="905" spans="1:31" ht="18" customHeight="1" x14ac:dyDescent="0.3">
      <c r="A905" s="2"/>
      <c r="B905" s="65" t="str">
        <f t="shared" si="114"/>
        <v/>
      </c>
      <c r="C905" s="66"/>
      <c r="D905" s="60"/>
      <c r="E905" s="61"/>
      <c r="F905" s="61"/>
      <c r="G905" s="67"/>
      <c r="H905" s="60"/>
      <c r="I905" s="60"/>
      <c r="J905" s="61"/>
      <c r="K905" s="61"/>
      <c r="L905" s="60"/>
      <c r="M905" s="74" t="str">
        <f t="shared" si="115"/>
        <v/>
      </c>
      <c r="N905" s="74" t="str">
        <f t="shared" si="116"/>
        <v/>
      </c>
      <c r="O905" s="73" t="str">
        <f t="shared" si="117"/>
        <v/>
      </c>
      <c r="P905" s="65" t="str">
        <f t="shared" ca="1" si="118"/>
        <v/>
      </c>
      <c r="Q905" s="2"/>
      <c r="R905" s="2"/>
      <c r="S905" s="1" t="str">
        <f t="shared" si="119"/>
        <v/>
      </c>
      <c r="T905" s="1" t="str">
        <f>IF(OR($C905="",$D905&lt;&gt;"Gelir",$L905=""),"",IFERROR(INDEX(MUSTERILER!$B$7:$B$156,MATCH($S905,MUSTERILER!$T$7:$T$156,0)),""))</f>
        <v/>
      </c>
      <c r="U905" s="1" t="str">
        <f>IF($T905="","",$T905&amp;"|"&amp;COUNTIFS($T$7:$T905,$T905))</f>
        <v/>
      </c>
      <c r="V905" s="1">
        <f t="shared" si="120"/>
        <v>0</v>
      </c>
      <c r="W905" s="1" t="str">
        <f t="shared" si="121"/>
        <v/>
      </c>
      <c r="X905" s="1"/>
      <c r="Y905" s="1"/>
      <c r="Z905" s="1"/>
      <c r="AA905" s="1"/>
      <c r="AB905" s="1"/>
      <c r="AC905" s="1"/>
      <c r="AD905" s="1">
        <f>IF($C905="",0,SUMPRODUCT((AY_SONU!$O$7:$O$42="Evet")*(AY_SONU!$B$7:$B$42=DATE(YEAR($C905),MONTH($C905),1))))</f>
        <v>0</v>
      </c>
      <c r="AE905" s="1" t="str">
        <f>IF($E905="","",$E905&amp;"|"&amp;COUNTIFS($E$7:$E905,$E905))</f>
        <v/>
      </c>
    </row>
    <row r="906" spans="1:31" ht="18" customHeight="1" x14ac:dyDescent="0.3">
      <c r="A906" s="2"/>
      <c r="B906" s="65" t="str">
        <f t="shared" si="114"/>
        <v/>
      </c>
      <c r="C906" s="66"/>
      <c r="D906" s="60"/>
      <c r="E906" s="61"/>
      <c r="F906" s="61"/>
      <c r="G906" s="67"/>
      <c r="H906" s="60"/>
      <c r="I906" s="60"/>
      <c r="J906" s="61"/>
      <c r="K906" s="61"/>
      <c r="L906" s="60"/>
      <c r="M906" s="74" t="str">
        <f t="shared" si="115"/>
        <v/>
      </c>
      <c r="N906" s="74" t="str">
        <f t="shared" si="116"/>
        <v/>
      </c>
      <c r="O906" s="73" t="str">
        <f t="shared" si="117"/>
        <v/>
      </c>
      <c r="P906" s="65" t="str">
        <f t="shared" ca="1" si="118"/>
        <v/>
      </c>
      <c r="Q906" s="2"/>
      <c r="R906" s="2"/>
      <c r="S906" s="1" t="str">
        <f t="shared" si="119"/>
        <v/>
      </c>
      <c r="T906" s="1" t="str">
        <f>IF(OR($C906="",$D906&lt;&gt;"Gelir",$L906=""),"",IFERROR(INDEX(MUSTERILER!$B$7:$B$156,MATCH($S906,MUSTERILER!$T$7:$T$156,0)),""))</f>
        <v/>
      </c>
      <c r="U906" s="1" t="str">
        <f>IF($T906="","",$T906&amp;"|"&amp;COUNTIFS($T$7:$T906,$T906))</f>
        <v/>
      </c>
      <c r="V906" s="1">
        <f t="shared" si="120"/>
        <v>0</v>
      </c>
      <c r="W906" s="1" t="str">
        <f t="shared" si="121"/>
        <v/>
      </c>
      <c r="X906" s="1"/>
      <c r="Y906" s="1"/>
      <c r="Z906" s="1"/>
      <c r="AA906" s="1"/>
      <c r="AB906" s="1"/>
      <c r="AC906" s="1"/>
      <c r="AD906" s="1">
        <f>IF($C906="",0,SUMPRODUCT((AY_SONU!$O$7:$O$42="Evet")*(AY_SONU!$B$7:$B$42=DATE(YEAR($C906),MONTH($C906),1))))</f>
        <v>0</v>
      </c>
      <c r="AE906" s="1" t="str">
        <f>IF($E906="","",$E906&amp;"|"&amp;COUNTIFS($E$7:$E906,$E906))</f>
        <v/>
      </c>
    </row>
    <row r="907" spans="1:31" ht="18" customHeight="1" x14ac:dyDescent="0.3">
      <c r="A907" s="2"/>
      <c r="B907" s="65" t="str">
        <f t="shared" si="114"/>
        <v/>
      </c>
      <c r="C907" s="66"/>
      <c r="D907" s="60"/>
      <c r="E907" s="61"/>
      <c r="F907" s="61"/>
      <c r="G907" s="67"/>
      <c r="H907" s="60"/>
      <c r="I907" s="60"/>
      <c r="J907" s="61"/>
      <c r="K907" s="61"/>
      <c r="L907" s="60"/>
      <c r="M907" s="74" t="str">
        <f t="shared" si="115"/>
        <v/>
      </c>
      <c r="N907" s="74" t="str">
        <f t="shared" si="116"/>
        <v/>
      </c>
      <c r="O907" s="73" t="str">
        <f t="shared" si="117"/>
        <v/>
      </c>
      <c r="P907" s="65" t="str">
        <f t="shared" ca="1" si="118"/>
        <v/>
      </c>
      <c r="Q907" s="2"/>
      <c r="R907" s="2"/>
      <c r="S907" s="1" t="str">
        <f t="shared" si="119"/>
        <v/>
      </c>
      <c r="T907" s="1" t="str">
        <f>IF(OR($C907="",$D907&lt;&gt;"Gelir",$L907=""),"",IFERROR(INDEX(MUSTERILER!$B$7:$B$156,MATCH($S907,MUSTERILER!$T$7:$T$156,0)),""))</f>
        <v/>
      </c>
      <c r="U907" s="1" t="str">
        <f>IF($T907="","",$T907&amp;"|"&amp;COUNTIFS($T$7:$T907,$T907))</f>
        <v/>
      </c>
      <c r="V907" s="1">
        <f t="shared" si="120"/>
        <v>0</v>
      </c>
      <c r="W907" s="1" t="str">
        <f t="shared" si="121"/>
        <v/>
      </c>
      <c r="X907" s="1"/>
      <c r="Y907" s="1"/>
      <c r="Z907" s="1"/>
      <c r="AA907" s="1"/>
      <c r="AB907" s="1"/>
      <c r="AC907" s="1"/>
      <c r="AD907" s="1">
        <f>IF($C907="",0,SUMPRODUCT((AY_SONU!$O$7:$O$42="Evet")*(AY_SONU!$B$7:$B$42=DATE(YEAR($C907),MONTH($C907),1))))</f>
        <v>0</v>
      </c>
      <c r="AE907" s="1" t="str">
        <f>IF($E907="","",$E907&amp;"|"&amp;COUNTIFS($E$7:$E907,$E907))</f>
        <v/>
      </c>
    </row>
    <row r="908" spans="1:31" ht="18" customHeight="1" x14ac:dyDescent="0.3">
      <c r="A908" s="2"/>
      <c r="B908" s="65" t="str">
        <f t="shared" si="114"/>
        <v/>
      </c>
      <c r="C908" s="66"/>
      <c r="D908" s="60"/>
      <c r="E908" s="61"/>
      <c r="F908" s="61"/>
      <c r="G908" s="67"/>
      <c r="H908" s="60"/>
      <c r="I908" s="60"/>
      <c r="J908" s="61"/>
      <c r="K908" s="61"/>
      <c r="L908" s="60"/>
      <c r="M908" s="74" t="str">
        <f t="shared" si="115"/>
        <v/>
      </c>
      <c r="N908" s="74" t="str">
        <f t="shared" si="116"/>
        <v/>
      </c>
      <c r="O908" s="73" t="str">
        <f t="shared" si="117"/>
        <v/>
      </c>
      <c r="P908" s="65" t="str">
        <f t="shared" ca="1" si="118"/>
        <v/>
      </c>
      <c r="Q908" s="2"/>
      <c r="R908" s="2"/>
      <c r="S908" s="1" t="str">
        <f t="shared" si="119"/>
        <v/>
      </c>
      <c r="T908" s="1" t="str">
        <f>IF(OR($C908="",$D908&lt;&gt;"Gelir",$L908=""),"",IFERROR(INDEX(MUSTERILER!$B$7:$B$156,MATCH($S908,MUSTERILER!$T$7:$T$156,0)),""))</f>
        <v/>
      </c>
      <c r="U908" s="1" t="str">
        <f>IF($T908="","",$T908&amp;"|"&amp;COUNTIFS($T$7:$T908,$T908))</f>
        <v/>
      </c>
      <c r="V908" s="1">
        <f t="shared" si="120"/>
        <v>0</v>
      </c>
      <c r="W908" s="1" t="str">
        <f t="shared" si="121"/>
        <v/>
      </c>
      <c r="X908" s="1"/>
      <c r="Y908" s="1"/>
      <c r="Z908" s="1"/>
      <c r="AA908" s="1"/>
      <c r="AB908" s="1"/>
      <c r="AC908" s="1"/>
      <c r="AD908" s="1">
        <f>IF($C908="",0,SUMPRODUCT((AY_SONU!$O$7:$O$42="Evet")*(AY_SONU!$B$7:$B$42=DATE(YEAR($C908),MONTH($C908),1))))</f>
        <v>0</v>
      </c>
      <c r="AE908" s="1" t="str">
        <f>IF($E908="","",$E908&amp;"|"&amp;COUNTIFS($E$7:$E908,$E908))</f>
        <v/>
      </c>
    </row>
    <row r="909" spans="1:31" ht="18" customHeight="1" x14ac:dyDescent="0.3">
      <c r="A909" s="2"/>
      <c r="B909" s="65" t="str">
        <f t="shared" si="114"/>
        <v/>
      </c>
      <c r="C909" s="66"/>
      <c r="D909" s="60"/>
      <c r="E909" s="61"/>
      <c r="F909" s="61"/>
      <c r="G909" s="67"/>
      <c r="H909" s="60"/>
      <c r="I909" s="60"/>
      <c r="J909" s="61"/>
      <c r="K909" s="61"/>
      <c r="L909" s="60"/>
      <c r="M909" s="74" t="str">
        <f t="shared" si="115"/>
        <v/>
      </c>
      <c r="N909" s="74" t="str">
        <f t="shared" si="116"/>
        <v/>
      </c>
      <c r="O909" s="73" t="str">
        <f t="shared" si="117"/>
        <v/>
      </c>
      <c r="P909" s="65" t="str">
        <f t="shared" ca="1" si="118"/>
        <v/>
      </c>
      <c r="Q909" s="2"/>
      <c r="R909" s="2"/>
      <c r="S909" s="1" t="str">
        <f t="shared" si="119"/>
        <v/>
      </c>
      <c r="T909" s="1" t="str">
        <f>IF(OR($C909="",$D909&lt;&gt;"Gelir",$L909=""),"",IFERROR(INDEX(MUSTERILER!$B$7:$B$156,MATCH($S909,MUSTERILER!$T$7:$T$156,0)),""))</f>
        <v/>
      </c>
      <c r="U909" s="1" t="str">
        <f>IF($T909="","",$T909&amp;"|"&amp;COUNTIFS($T$7:$T909,$T909))</f>
        <v/>
      </c>
      <c r="V909" s="1">
        <f t="shared" si="120"/>
        <v>0</v>
      </c>
      <c r="W909" s="1" t="str">
        <f t="shared" si="121"/>
        <v/>
      </c>
      <c r="X909" s="1"/>
      <c r="Y909" s="1"/>
      <c r="Z909" s="1"/>
      <c r="AA909" s="1"/>
      <c r="AB909" s="1"/>
      <c r="AC909" s="1"/>
      <c r="AD909" s="1">
        <f>IF($C909="",0,SUMPRODUCT((AY_SONU!$O$7:$O$42="Evet")*(AY_SONU!$B$7:$B$42=DATE(YEAR($C909),MONTH($C909),1))))</f>
        <v>0</v>
      </c>
      <c r="AE909" s="1" t="str">
        <f>IF($E909="","",$E909&amp;"|"&amp;COUNTIFS($E$7:$E909,$E909))</f>
        <v/>
      </c>
    </row>
    <row r="910" spans="1:31" ht="18" customHeight="1" x14ac:dyDescent="0.3">
      <c r="A910" s="2"/>
      <c r="B910" s="65" t="str">
        <f t="shared" si="114"/>
        <v/>
      </c>
      <c r="C910" s="66"/>
      <c r="D910" s="60"/>
      <c r="E910" s="61"/>
      <c r="F910" s="61"/>
      <c r="G910" s="67"/>
      <c r="H910" s="60"/>
      <c r="I910" s="60"/>
      <c r="J910" s="61"/>
      <c r="K910" s="61"/>
      <c r="L910" s="60"/>
      <c r="M910" s="74" t="str">
        <f t="shared" si="115"/>
        <v/>
      </c>
      <c r="N910" s="74" t="str">
        <f t="shared" si="116"/>
        <v/>
      </c>
      <c r="O910" s="73" t="str">
        <f t="shared" si="117"/>
        <v/>
      </c>
      <c r="P910" s="65" t="str">
        <f t="shared" ca="1" si="118"/>
        <v/>
      </c>
      <c r="Q910" s="2"/>
      <c r="R910" s="2"/>
      <c r="S910" s="1" t="str">
        <f t="shared" si="119"/>
        <v/>
      </c>
      <c r="T910" s="1" t="str">
        <f>IF(OR($C910="",$D910&lt;&gt;"Gelir",$L910=""),"",IFERROR(INDEX(MUSTERILER!$B$7:$B$156,MATCH($S910,MUSTERILER!$T$7:$T$156,0)),""))</f>
        <v/>
      </c>
      <c r="U910" s="1" t="str">
        <f>IF($T910="","",$T910&amp;"|"&amp;COUNTIFS($T$7:$T910,$T910))</f>
        <v/>
      </c>
      <c r="V910" s="1">
        <f t="shared" si="120"/>
        <v>0</v>
      </c>
      <c r="W910" s="1" t="str">
        <f t="shared" si="121"/>
        <v/>
      </c>
      <c r="X910" s="1"/>
      <c r="Y910" s="1"/>
      <c r="Z910" s="1"/>
      <c r="AA910" s="1"/>
      <c r="AB910" s="1"/>
      <c r="AC910" s="1"/>
      <c r="AD910" s="1">
        <f>IF($C910="",0,SUMPRODUCT((AY_SONU!$O$7:$O$42="Evet")*(AY_SONU!$B$7:$B$42=DATE(YEAR($C910),MONTH($C910),1))))</f>
        <v>0</v>
      </c>
      <c r="AE910" s="1" t="str">
        <f>IF($E910="","",$E910&amp;"|"&amp;COUNTIFS($E$7:$E910,$E910))</f>
        <v/>
      </c>
    </row>
    <row r="911" spans="1:31" ht="18" customHeight="1" x14ac:dyDescent="0.3">
      <c r="A911" s="2"/>
      <c r="B911" s="65" t="str">
        <f t="shared" si="114"/>
        <v/>
      </c>
      <c r="C911" s="66"/>
      <c r="D911" s="60"/>
      <c r="E911" s="61"/>
      <c r="F911" s="61"/>
      <c r="G911" s="67"/>
      <c r="H911" s="60"/>
      <c r="I911" s="60"/>
      <c r="J911" s="61"/>
      <c r="K911" s="61"/>
      <c r="L911" s="60"/>
      <c r="M911" s="74" t="str">
        <f t="shared" si="115"/>
        <v/>
      </c>
      <c r="N911" s="74" t="str">
        <f t="shared" si="116"/>
        <v/>
      </c>
      <c r="O911" s="73" t="str">
        <f t="shared" si="117"/>
        <v/>
      </c>
      <c r="P911" s="65" t="str">
        <f t="shared" ca="1" si="118"/>
        <v/>
      </c>
      <c r="Q911" s="2"/>
      <c r="R911" s="2"/>
      <c r="S911" s="1" t="str">
        <f t="shared" si="119"/>
        <v/>
      </c>
      <c r="T911" s="1" t="str">
        <f>IF(OR($C911="",$D911&lt;&gt;"Gelir",$L911=""),"",IFERROR(INDEX(MUSTERILER!$B$7:$B$156,MATCH($S911,MUSTERILER!$T$7:$T$156,0)),""))</f>
        <v/>
      </c>
      <c r="U911" s="1" t="str">
        <f>IF($T911="","",$T911&amp;"|"&amp;COUNTIFS($T$7:$T911,$T911))</f>
        <v/>
      </c>
      <c r="V911" s="1">
        <f t="shared" si="120"/>
        <v>0</v>
      </c>
      <c r="W911" s="1" t="str">
        <f t="shared" si="121"/>
        <v/>
      </c>
      <c r="X911" s="1"/>
      <c r="Y911" s="1"/>
      <c r="Z911" s="1"/>
      <c r="AA911" s="1"/>
      <c r="AB911" s="1"/>
      <c r="AC911" s="1"/>
      <c r="AD911" s="1">
        <f>IF($C911="",0,SUMPRODUCT((AY_SONU!$O$7:$O$42="Evet")*(AY_SONU!$B$7:$B$42=DATE(YEAR($C911),MONTH($C911),1))))</f>
        <v>0</v>
      </c>
      <c r="AE911" s="1" t="str">
        <f>IF($E911="","",$E911&amp;"|"&amp;COUNTIFS($E$7:$E911,$E911))</f>
        <v/>
      </c>
    </row>
    <row r="912" spans="1:31" ht="18" customHeight="1" x14ac:dyDescent="0.3">
      <c r="A912" s="2"/>
      <c r="B912" s="65" t="str">
        <f t="shared" si="114"/>
        <v/>
      </c>
      <c r="C912" s="66"/>
      <c r="D912" s="60"/>
      <c r="E912" s="61"/>
      <c r="F912" s="61"/>
      <c r="G912" s="67"/>
      <c r="H912" s="60"/>
      <c r="I912" s="60"/>
      <c r="J912" s="61"/>
      <c r="K912" s="61"/>
      <c r="L912" s="60"/>
      <c r="M912" s="74" t="str">
        <f t="shared" si="115"/>
        <v/>
      </c>
      <c r="N912" s="74" t="str">
        <f t="shared" si="116"/>
        <v/>
      </c>
      <c r="O912" s="73" t="str">
        <f t="shared" si="117"/>
        <v/>
      </c>
      <c r="P912" s="65" t="str">
        <f t="shared" ca="1" si="118"/>
        <v/>
      </c>
      <c r="Q912" s="2"/>
      <c r="R912" s="2"/>
      <c r="S912" s="1" t="str">
        <f t="shared" si="119"/>
        <v/>
      </c>
      <c r="T912" s="1" t="str">
        <f>IF(OR($C912="",$D912&lt;&gt;"Gelir",$L912=""),"",IFERROR(INDEX(MUSTERILER!$B$7:$B$156,MATCH($S912,MUSTERILER!$T$7:$T$156,0)),""))</f>
        <v/>
      </c>
      <c r="U912" s="1" t="str">
        <f>IF($T912="","",$T912&amp;"|"&amp;COUNTIFS($T$7:$T912,$T912))</f>
        <v/>
      </c>
      <c r="V912" s="1">
        <f t="shared" si="120"/>
        <v>0</v>
      </c>
      <c r="W912" s="1" t="str">
        <f t="shared" si="121"/>
        <v/>
      </c>
      <c r="X912" s="1"/>
      <c r="Y912" s="1"/>
      <c r="Z912" s="1"/>
      <c r="AA912" s="1"/>
      <c r="AB912" s="1"/>
      <c r="AC912" s="1"/>
      <c r="AD912" s="1">
        <f>IF($C912="",0,SUMPRODUCT((AY_SONU!$O$7:$O$42="Evet")*(AY_SONU!$B$7:$B$42=DATE(YEAR($C912),MONTH($C912),1))))</f>
        <v>0</v>
      </c>
      <c r="AE912" s="1" t="str">
        <f>IF($E912="","",$E912&amp;"|"&amp;COUNTIFS($E$7:$E912,$E912))</f>
        <v/>
      </c>
    </row>
    <row r="913" spans="1:31" ht="18" customHeight="1" x14ac:dyDescent="0.3">
      <c r="A913" s="2"/>
      <c r="B913" s="65" t="str">
        <f t="shared" si="114"/>
        <v/>
      </c>
      <c r="C913" s="66"/>
      <c r="D913" s="60"/>
      <c r="E913" s="61"/>
      <c r="F913" s="61"/>
      <c r="G913" s="67"/>
      <c r="H913" s="60"/>
      <c r="I913" s="60"/>
      <c r="J913" s="61"/>
      <c r="K913" s="61"/>
      <c r="L913" s="60"/>
      <c r="M913" s="74" t="str">
        <f t="shared" si="115"/>
        <v/>
      </c>
      <c r="N913" s="74" t="str">
        <f t="shared" si="116"/>
        <v/>
      </c>
      <c r="O913" s="73" t="str">
        <f t="shared" si="117"/>
        <v/>
      </c>
      <c r="P913" s="65" t="str">
        <f t="shared" ca="1" si="118"/>
        <v/>
      </c>
      <c r="Q913" s="2"/>
      <c r="R913" s="2"/>
      <c r="S913" s="1" t="str">
        <f t="shared" si="119"/>
        <v/>
      </c>
      <c r="T913" s="1" t="str">
        <f>IF(OR($C913="",$D913&lt;&gt;"Gelir",$L913=""),"",IFERROR(INDEX(MUSTERILER!$B$7:$B$156,MATCH($S913,MUSTERILER!$T$7:$T$156,0)),""))</f>
        <v/>
      </c>
      <c r="U913" s="1" t="str">
        <f>IF($T913="","",$T913&amp;"|"&amp;COUNTIFS($T$7:$T913,$T913))</f>
        <v/>
      </c>
      <c r="V913" s="1">
        <f t="shared" si="120"/>
        <v>0</v>
      </c>
      <c r="W913" s="1" t="str">
        <f t="shared" si="121"/>
        <v/>
      </c>
      <c r="X913" s="1"/>
      <c r="Y913" s="1"/>
      <c r="Z913" s="1"/>
      <c r="AA913" s="1"/>
      <c r="AB913" s="1"/>
      <c r="AC913" s="1"/>
      <c r="AD913" s="1">
        <f>IF($C913="",0,SUMPRODUCT((AY_SONU!$O$7:$O$42="Evet")*(AY_SONU!$B$7:$B$42=DATE(YEAR($C913),MONTH($C913),1))))</f>
        <v>0</v>
      </c>
      <c r="AE913" s="1" t="str">
        <f>IF($E913="","",$E913&amp;"|"&amp;COUNTIFS($E$7:$E913,$E913))</f>
        <v/>
      </c>
    </row>
    <row r="914" spans="1:31" ht="18" customHeight="1" x14ac:dyDescent="0.3">
      <c r="A914" s="2"/>
      <c r="B914" s="65" t="str">
        <f t="shared" si="114"/>
        <v/>
      </c>
      <c r="C914" s="66"/>
      <c r="D914" s="60"/>
      <c r="E914" s="61"/>
      <c r="F914" s="61"/>
      <c r="G914" s="67"/>
      <c r="H914" s="60"/>
      <c r="I914" s="60"/>
      <c r="J914" s="61"/>
      <c r="K914" s="61"/>
      <c r="L914" s="60"/>
      <c r="M914" s="74" t="str">
        <f t="shared" si="115"/>
        <v/>
      </c>
      <c r="N914" s="74" t="str">
        <f t="shared" si="116"/>
        <v/>
      </c>
      <c r="O914" s="73" t="str">
        <f t="shared" si="117"/>
        <v/>
      </c>
      <c r="P914" s="65" t="str">
        <f t="shared" ca="1" si="118"/>
        <v/>
      </c>
      <c r="Q914" s="2"/>
      <c r="R914" s="2"/>
      <c r="S914" s="1" t="str">
        <f t="shared" si="119"/>
        <v/>
      </c>
      <c r="T914" s="1" t="str">
        <f>IF(OR($C914="",$D914&lt;&gt;"Gelir",$L914=""),"",IFERROR(INDEX(MUSTERILER!$B$7:$B$156,MATCH($S914,MUSTERILER!$T$7:$T$156,0)),""))</f>
        <v/>
      </c>
      <c r="U914" s="1" t="str">
        <f>IF($T914="","",$T914&amp;"|"&amp;COUNTIFS($T$7:$T914,$T914))</f>
        <v/>
      </c>
      <c r="V914" s="1">
        <f t="shared" si="120"/>
        <v>0</v>
      </c>
      <c r="W914" s="1" t="str">
        <f t="shared" si="121"/>
        <v/>
      </c>
      <c r="X914" s="1"/>
      <c r="Y914" s="1"/>
      <c r="Z914" s="1"/>
      <c r="AA914" s="1"/>
      <c r="AB914" s="1"/>
      <c r="AC914" s="1"/>
      <c r="AD914" s="1">
        <f>IF($C914="",0,SUMPRODUCT((AY_SONU!$O$7:$O$42="Evet")*(AY_SONU!$B$7:$B$42=DATE(YEAR($C914),MONTH($C914),1))))</f>
        <v>0</v>
      </c>
      <c r="AE914" s="1" t="str">
        <f>IF($E914="","",$E914&amp;"|"&amp;COUNTIFS($E$7:$E914,$E914))</f>
        <v/>
      </c>
    </row>
    <row r="915" spans="1:31" ht="18" customHeight="1" x14ac:dyDescent="0.3">
      <c r="A915" s="2"/>
      <c r="B915" s="65" t="str">
        <f t="shared" si="114"/>
        <v/>
      </c>
      <c r="C915" s="66"/>
      <c r="D915" s="60"/>
      <c r="E915" s="61"/>
      <c r="F915" s="61"/>
      <c r="G915" s="67"/>
      <c r="H915" s="60"/>
      <c r="I915" s="60"/>
      <c r="J915" s="61"/>
      <c r="K915" s="61"/>
      <c r="L915" s="60"/>
      <c r="M915" s="74" t="str">
        <f t="shared" si="115"/>
        <v/>
      </c>
      <c r="N915" s="74" t="str">
        <f t="shared" si="116"/>
        <v/>
      </c>
      <c r="O915" s="73" t="str">
        <f t="shared" si="117"/>
        <v/>
      </c>
      <c r="P915" s="65" t="str">
        <f t="shared" ca="1" si="118"/>
        <v/>
      </c>
      <c r="Q915" s="2"/>
      <c r="R915" s="2"/>
      <c r="S915" s="1" t="str">
        <f t="shared" si="119"/>
        <v/>
      </c>
      <c r="T915" s="1" t="str">
        <f>IF(OR($C915="",$D915&lt;&gt;"Gelir",$L915=""),"",IFERROR(INDEX(MUSTERILER!$B$7:$B$156,MATCH($S915,MUSTERILER!$T$7:$T$156,0)),""))</f>
        <v/>
      </c>
      <c r="U915" s="1" t="str">
        <f>IF($T915="","",$T915&amp;"|"&amp;COUNTIFS($T$7:$T915,$T915))</f>
        <v/>
      </c>
      <c r="V915" s="1">
        <f t="shared" si="120"/>
        <v>0</v>
      </c>
      <c r="W915" s="1" t="str">
        <f t="shared" si="121"/>
        <v/>
      </c>
      <c r="X915" s="1"/>
      <c r="Y915" s="1"/>
      <c r="Z915" s="1"/>
      <c r="AA915" s="1"/>
      <c r="AB915" s="1"/>
      <c r="AC915" s="1"/>
      <c r="AD915" s="1">
        <f>IF($C915="",0,SUMPRODUCT((AY_SONU!$O$7:$O$42="Evet")*(AY_SONU!$B$7:$B$42=DATE(YEAR($C915),MONTH($C915),1))))</f>
        <v>0</v>
      </c>
      <c r="AE915" s="1" t="str">
        <f>IF($E915="","",$E915&amp;"|"&amp;COUNTIFS($E$7:$E915,$E915))</f>
        <v/>
      </c>
    </row>
    <row r="916" spans="1:31" ht="18" customHeight="1" x14ac:dyDescent="0.3">
      <c r="A916" s="2"/>
      <c r="B916" s="65" t="str">
        <f t="shared" si="114"/>
        <v/>
      </c>
      <c r="C916" s="66"/>
      <c r="D916" s="60"/>
      <c r="E916" s="61"/>
      <c r="F916" s="61"/>
      <c r="G916" s="67"/>
      <c r="H916" s="60"/>
      <c r="I916" s="60"/>
      <c r="J916" s="61"/>
      <c r="K916" s="61"/>
      <c r="L916" s="60"/>
      <c r="M916" s="74" t="str">
        <f t="shared" si="115"/>
        <v/>
      </c>
      <c r="N916" s="74" t="str">
        <f t="shared" si="116"/>
        <v/>
      </c>
      <c r="O916" s="73" t="str">
        <f t="shared" si="117"/>
        <v/>
      </c>
      <c r="P916" s="65" t="str">
        <f t="shared" ca="1" si="118"/>
        <v/>
      </c>
      <c r="Q916" s="2"/>
      <c r="R916" s="2"/>
      <c r="S916" s="1" t="str">
        <f t="shared" si="119"/>
        <v/>
      </c>
      <c r="T916" s="1" t="str">
        <f>IF(OR($C916="",$D916&lt;&gt;"Gelir",$L916=""),"",IFERROR(INDEX(MUSTERILER!$B$7:$B$156,MATCH($S916,MUSTERILER!$T$7:$T$156,0)),""))</f>
        <v/>
      </c>
      <c r="U916" s="1" t="str">
        <f>IF($T916="","",$T916&amp;"|"&amp;COUNTIFS($T$7:$T916,$T916))</f>
        <v/>
      </c>
      <c r="V916" s="1">
        <f t="shared" si="120"/>
        <v>0</v>
      </c>
      <c r="W916" s="1" t="str">
        <f t="shared" si="121"/>
        <v/>
      </c>
      <c r="X916" s="1"/>
      <c r="Y916" s="1"/>
      <c r="Z916" s="1"/>
      <c r="AA916" s="1"/>
      <c r="AB916" s="1"/>
      <c r="AC916" s="1"/>
      <c r="AD916" s="1">
        <f>IF($C916="",0,SUMPRODUCT((AY_SONU!$O$7:$O$42="Evet")*(AY_SONU!$B$7:$B$42=DATE(YEAR($C916),MONTH($C916),1))))</f>
        <v>0</v>
      </c>
      <c r="AE916" s="1" t="str">
        <f>IF($E916="","",$E916&amp;"|"&amp;COUNTIFS($E$7:$E916,$E916))</f>
        <v/>
      </c>
    </row>
    <row r="917" spans="1:31" ht="18" customHeight="1" x14ac:dyDescent="0.3">
      <c r="A917" s="2"/>
      <c r="B917" s="65" t="str">
        <f t="shared" si="114"/>
        <v/>
      </c>
      <c r="C917" s="66"/>
      <c r="D917" s="60"/>
      <c r="E917" s="61"/>
      <c r="F917" s="61"/>
      <c r="G917" s="67"/>
      <c r="H917" s="60"/>
      <c r="I917" s="60"/>
      <c r="J917" s="61"/>
      <c r="K917" s="61"/>
      <c r="L917" s="60"/>
      <c r="M917" s="74" t="str">
        <f t="shared" si="115"/>
        <v/>
      </c>
      <c r="N917" s="74" t="str">
        <f t="shared" si="116"/>
        <v/>
      </c>
      <c r="O917" s="73" t="str">
        <f t="shared" si="117"/>
        <v/>
      </c>
      <c r="P917" s="65" t="str">
        <f t="shared" ca="1" si="118"/>
        <v/>
      </c>
      <c r="Q917" s="2"/>
      <c r="R917" s="2"/>
      <c r="S917" s="1" t="str">
        <f t="shared" si="119"/>
        <v/>
      </c>
      <c r="T917" s="1" t="str">
        <f>IF(OR($C917="",$D917&lt;&gt;"Gelir",$L917=""),"",IFERROR(INDEX(MUSTERILER!$B$7:$B$156,MATCH($S917,MUSTERILER!$T$7:$T$156,0)),""))</f>
        <v/>
      </c>
      <c r="U917" s="1" t="str">
        <f>IF($T917="","",$T917&amp;"|"&amp;COUNTIFS($T$7:$T917,$T917))</f>
        <v/>
      </c>
      <c r="V917" s="1">
        <f t="shared" si="120"/>
        <v>0</v>
      </c>
      <c r="W917" s="1" t="str">
        <f t="shared" si="121"/>
        <v/>
      </c>
      <c r="X917" s="1"/>
      <c r="Y917" s="1"/>
      <c r="Z917" s="1"/>
      <c r="AA917" s="1"/>
      <c r="AB917" s="1"/>
      <c r="AC917" s="1"/>
      <c r="AD917" s="1">
        <f>IF($C917="",0,SUMPRODUCT((AY_SONU!$O$7:$O$42="Evet")*(AY_SONU!$B$7:$B$42=DATE(YEAR($C917),MONTH($C917),1))))</f>
        <v>0</v>
      </c>
      <c r="AE917" s="1" t="str">
        <f>IF($E917="","",$E917&amp;"|"&amp;COUNTIFS($E$7:$E917,$E917))</f>
        <v/>
      </c>
    </row>
    <row r="918" spans="1:31" ht="18" customHeight="1" x14ac:dyDescent="0.3">
      <c r="A918" s="2"/>
      <c r="B918" s="65" t="str">
        <f t="shared" si="114"/>
        <v/>
      </c>
      <c r="C918" s="66"/>
      <c r="D918" s="60"/>
      <c r="E918" s="61"/>
      <c r="F918" s="61"/>
      <c r="G918" s="67"/>
      <c r="H918" s="60"/>
      <c r="I918" s="60"/>
      <c r="J918" s="61"/>
      <c r="K918" s="61"/>
      <c r="L918" s="60"/>
      <c r="M918" s="74" t="str">
        <f t="shared" si="115"/>
        <v/>
      </c>
      <c r="N918" s="74" t="str">
        <f t="shared" si="116"/>
        <v/>
      </c>
      <c r="O918" s="73" t="str">
        <f t="shared" si="117"/>
        <v/>
      </c>
      <c r="P918" s="65" t="str">
        <f t="shared" ca="1" si="118"/>
        <v/>
      </c>
      <c r="Q918" s="2"/>
      <c r="R918" s="2"/>
      <c r="S918" s="1" t="str">
        <f t="shared" si="119"/>
        <v/>
      </c>
      <c r="T918" s="1" t="str">
        <f>IF(OR($C918="",$D918&lt;&gt;"Gelir",$L918=""),"",IFERROR(INDEX(MUSTERILER!$B$7:$B$156,MATCH($S918,MUSTERILER!$T$7:$T$156,0)),""))</f>
        <v/>
      </c>
      <c r="U918" s="1" t="str">
        <f>IF($T918="","",$T918&amp;"|"&amp;COUNTIFS($T$7:$T918,$T918))</f>
        <v/>
      </c>
      <c r="V918" s="1">
        <f t="shared" si="120"/>
        <v>0</v>
      </c>
      <c r="W918" s="1" t="str">
        <f t="shared" si="121"/>
        <v/>
      </c>
      <c r="X918" s="1"/>
      <c r="Y918" s="1"/>
      <c r="Z918" s="1"/>
      <c r="AA918" s="1"/>
      <c r="AB918" s="1"/>
      <c r="AC918" s="1"/>
      <c r="AD918" s="1">
        <f>IF($C918="",0,SUMPRODUCT((AY_SONU!$O$7:$O$42="Evet")*(AY_SONU!$B$7:$B$42=DATE(YEAR($C918),MONTH($C918),1))))</f>
        <v>0</v>
      </c>
      <c r="AE918" s="1" t="str">
        <f>IF($E918="","",$E918&amp;"|"&amp;COUNTIFS($E$7:$E918,$E918))</f>
        <v/>
      </c>
    </row>
    <row r="919" spans="1:31" ht="18" customHeight="1" x14ac:dyDescent="0.3">
      <c r="A919" s="2"/>
      <c r="B919" s="65" t="str">
        <f t="shared" si="114"/>
        <v/>
      </c>
      <c r="C919" s="66"/>
      <c r="D919" s="60"/>
      <c r="E919" s="61"/>
      <c r="F919" s="61"/>
      <c r="G919" s="67"/>
      <c r="H919" s="60"/>
      <c r="I919" s="60"/>
      <c r="J919" s="61"/>
      <c r="K919" s="61"/>
      <c r="L919" s="60"/>
      <c r="M919" s="74" t="str">
        <f t="shared" si="115"/>
        <v/>
      </c>
      <c r="N919" s="74" t="str">
        <f t="shared" si="116"/>
        <v/>
      </c>
      <c r="O919" s="73" t="str">
        <f t="shared" si="117"/>
        <v/>
      </c>
      <c r="P919" s="65" t="str">
        <f t="shared" ca="1" si="118"/>
        <v/>
      </c>
      <c r="Q919" s="2"/>
      <c r="R919" s="2"/>
      <c r="S919" s="1" t="str">
        <f t="shared" si="119"/>
        <v/>
      </c>
      <c r="T919" s="1" t="str">
        <f>IF(OR($C919="",$D919&lt;&gt;"Gelir",$L919=""),"",IFERROR(INDEX(MUSTERILER!$B$7:$B$156,MATCH($S919,MUSTERILER!$T$7:$T$156,0)),""))</f>
        <v/>
      </c>
      <c r="U919" s="1" t="str">
        <f>IF($T919="","",$T919&amp;"|"&amp;COUNTIFS($T$7:$T919,$T919))</f>
        <v/>
      </c>
      <c r="V919" s="1">
        <f t="shared" si="120"/>
        <v>0</v>
      </c>
      <c r="W919" s="1" t="str">
        <f t="shared" si="121"/>
        <v/>
      </c>
      <c r="X919" s="1"/>
      <c r="Y919" s="1"/>
      <c r="Z919" s="1"/>
      <c r="AA919" s="1"/>
      <c r="AB919" s="1"/>
      <c r="AC919" s="1"/>
      <c r="AD919" s="1">
        <f>IF($C919="",0,SUMPRODUCT((AY_SONU!$O$7:$O$42="Evet")*(AY_SONU!$B$7:$B$42=DATE(YEAR($C919),MONTH($C919),1))))</f>
        <v>0</v>
      </c>
      <c r="AE919" s="1" t="str">
        <f>IF($E919="","",$E919&amp;"|"&amp;COUNTIFS($E$7:$E919,$E919))</f>
        <v/>
      </c>
    </row>
    <row r="920" spans="1:31" ht="18" customHeight="1" x14ac:dyDescent="0.3">
      <c r="A920" s="2"/>
      <c r="B920" s="65" t="str">
        <f t="shared" si="114"/>
        <v/>
      </c>
      <c r="C920" s="66"/>
      <c r="D920" s="60"/>
      <c r="E920" s="61"/>
      <c r="F920" s="61"/>
      <c r="G920" s="67"/>
      <c r="H920" s="60"/>
      <c r="I920" s="60"/>
      <c r="J920" s="61"/>
      <c r="K920" s="61"/>
      <c r="L920" s="60"/>
      <c r="M920" s="74" t="str">
        <f t="shared" si="115"/>
        <v/>
      </c>
      <c r="N920" s="74" t="str">
        <f t="shared" si="116"/>
        <v/>
      </c>
      <c r="O920" s="73" t="str">
        <f t="shared" si="117"/>
        <v/>
      </c>
      <c r="P920" s="65" t="str">
        <f t="shared" ca="1" si="118"/>
        <v/>
      </c>
      <c r="Q920" s="2"/>
      <c r="R920" s="2"/>
      <c r="S920" s="1" t="str">
        <f t="shared" si="119"/>
        <v/>
      </c>
      <c r="T920" s="1" t="str">
        <f>IF(OR($C920="",$D920&lt;&gt;"Gelir",$L920=""),"",IFERROR(INDEX(MUSTERILER!$B$7:$B$156,MATCH($S920,MUSTERILER!$T$7:$T$156,0)),""))</f>
        <v/>
      </c>
      <c r="U920" s="1" t="str">
        <f>IF($T920="","",$T920&amp;"|"&amp;COUNTIFS($T$7:$T920,$T920))</f>
        <v/>
      </c>
      <c r="V920" s="1">
        <f t="shared" si="120"/>
        <v>0</v>
      </c>
      <c r="W920" s="1" t="str">
        <f t="shared" si="121"/>
        <v/>
      </c>
      <c r="X920" s="1"/>
      <c r="Y920" s="1"/>
      <c r="Z920" s="1"/>
      <c r="AA920" s="1"/>
      <c r="AB920" s="1"/>
      <c r="AC920" s="1"/>
      <c r="AD920" s="1">
        <f>IF($C920="",0,SUMPRODUCT((AY_SONU!$O$7:$O$42="Evet")*(AY_SONU!$B$7:$B$42=DATE(YEAR($C920),MONTH($C920),1))))</f>
        <v>0</v>
      </c>
      <c r="AE920" s="1" t="str">
        <f>IF($E920="","",$E920&amp;"|"&amp;COUNTIFS($E$7:$E920,$E920))</f>
        <v/>
      </c>
    </row>
    <row r="921" spans="1:31" ht="18" customHeight="1" x14ac:dyDescent="0.3">
      <c r="A921" s="2"/>
      <c r="B921" s="65" t="str">
        <f t="shared" si="114"/>
        <v/>
      </c>
      <c r="C921" s="66"/>
      <c r="D921" s="60"/>
      <c r="E921" s="61"/>
      <c r="F921" s="61"/>
      <c r="G921" s="67"/>
      <c r="H921" s="60"/>
      <c r="I921" s="60"/>
      <c r="J921" s="61"/>
      <c r="K921" s="61"/>
      <c r="L921" s="60"/>
      <c r="M921" s="74" t="str">
        <f t="shared" si="115"/>
        <v/>
      </c>
      <c r="N921" s="74" t="str">
        <f t="shared" si="116"/>
        <v/>
      </c>
      <c r="O921" s="73" t="str">
        <f t="shared" si="117"/>
        <v/>
      </c>
      <c r="P921" s="65" t="str">
        <f t="shared" ca="1" si="118"/>
        <v/>
      </c>
      <c r="Q921" s="2"/>
      <c r="R921" s="2"/>
      <c r="S921" s="1" t="str">
        <f t="shared" si="119"/>
        <v/>
      </c>
      <c r="T921" s="1" t="str">
        <f>IF(OR($C921="",$D921&lt;&gt;"Gelir",$L921=""),"",IFERROR(INDEX(MUSTERILER!$B$7:$B$156,MATCH($S921,MUSTERILER!$T$7:$T$156,0)),""))</f>
        <v/>
      </c>
      <c r="U921" s="1" t="str">
        <f>IF($T921="","",$T921&amp;"|"&amp;COUNTIFS($T$7:$T921,$T921))</f>
        <v/>
      </c>
      <c r="V921" s="1">
        <f t="shared" si="120"/>
        <v>0</v>
      </c>
      <c r="W921" s="1" t="str">
        <f t="shared" si="121"/>
        <v/>
      </c>
      <c r="X921" s="1"/>
      <c r="Y921" s="1"/>
      <c r="Z921" s="1"/>
      <c r="AA921" s="1"/>
      <c r="AB921" s="1"/>
      <c r="AC921" s="1"/>
      <c r="AD921" s="1">
        <f>IF($C921="",0,SUMPRODUCT((AY_SONU!$O$7:$O$42="Evet")*(AY_SONU!$B$7:$B$42=DATE(YEAR($C921),MONTH($C921),1))))</f>
        <v>0</v>
      </c>
      <c r="AE921" s="1" t="str">
        <f>IF($E921="","",$E921&amp;"|"&amp;COUNTIFS($E$7:$E921,$E921))</f>
        <v/>
      </c>
    </row>
    <row r="922" spans="1:31" ht="18" customHeight="1" x14ac:dyDescent="0.3">
      <c r="A922" s="2"/>
      <c r="B922" s="65" t="str">
        <f t="shared" si="114"/>
        <v/>
      </c>
      <c r="C922" s="66"/>
      <c r="D922" s="60"/>
      <c r="E922" s="61"/>
      <c r="F922" s="61"/>
      <c r="G922" s="67"/>
      <c r="H922" s="60"/>
      <c r="I922" s="60"/>
      <c r="J922" s="61"/>
      <c r="K922" s="61"/>
      <c r="L922" s="60"/>
      <c r="M922" s="74" t="str">
        <f t="shared" si="115"/>
        <v/>
      </c>
      <c r="N922" s="74" t="str">
        <f t="shared" si="116"/>
        <v/>
      </c>
      <c r="O922" s="73" t="str">
        <f t="shared" si="117"/>
        <v/>
      </c>
      <c r="P922" s="65" t="str">
        <f t="shared" ca="1" si="118"/>
        <v/>
      </c>
      <c r="Q922" s="2"/>
      <c r="R922" s="2"/>
      <c r="S922" s="1" t="str">
        <f t="shared" si="119"/>
        <v/>
      </c>
      <c r="T922" s="1" t="str">
        <f>IF(OR($C922="",$D922&lt;&gt;"Gelir",$L922=""),"",IFERROR(INDEX(MUSTERILER!$B$7:$B$156,MATCH($S922,MUSTERILER!$T$7:$T$156,0)),""))</f>
        <v/>
      </c>
      <c r="U922" s="1" t="str">
        <f>IF($T922="","",$T922&amp;"|"&amp;COUNTIFS($T$7:$T922,$T922))</f>
        <v/>
      </c>
      <c r="V922" s="1">
        <f t="shared" si="120"/>
        <v>0</v>
      </c>
      <c r="W922" s="1" t="str">
        <f t="shared" si="121"/>
        <v/>
      </c>
      <c r="X922" s="1"/>
      <c r="Y922" s="1"/>
      <c r="Z922" s="1"/>
      <c r="AA922" s="1"/>
      <c r="AB922" s="1"/>
      <c r="AC922" s="1"/>
      <c r="AD922" s="1">
        <f>IF($C922="",0,SUMPRODUCT((AY_SONU!$O$7:$O$42="Evet")*(AY_SONU!$B$7:$B$42=DATE(YEAR($C922),MONTH($C922),1))))</f>
        <v>0</v>
      </c>
      <c r="AE922" s="1" t="str">
        <f>IF($E922="","",$E922&amp;"|"&amp;COUNTIFS($E$7:$E922,$E922))</f>
        <v/>
      </c>
    </row>
    <row r="923" spans="1:31" ht="18" customHeight="1" x14ac:dyDescent="0.3">
      <c r="A923" s="2"/>
      <c r="B923" s="65" t="str">
        <f t="shared" si="114"/>
        <v/>
      </c>
      <c r="C923" s="66"/>
      <c r="D923" s="60"/>
      <c r="E923" s="61"/>
      <c r="F923" s="61"/>
      <c r="G923" s="67"/>
      <c r="H923" s="60"/>
      <c r="I923" s="60"/>
      <c r="J923" s="61"/>
      <c r="K923" s="61"/>
      <c r="L923" s="60"/>
      <c r="M923" s="74" t="str">
        <f t="shared" si="115"/>
        <v/>
      </c>
      <c r="N923" s="74" t="str">
        <f t="shared" si="116"/>
        <v/>
      </c>
      <c r="O923" s="73" t="str">
        <f t="shared" si="117"/>
        <v/>
      </c>
      <c r="P923" s="65" t="str">
        <f t="shared" ca="1" si="118"/>
        <v/>
      </c>
      <c r="Q923" s="2"/>
      <c r="R923" s="2"/>
      <c r="S923" s="1" t="str">
        <f t="shared" si="119"/>
        <v/>
      </c>
      <c r="T923" s="1" t="str">
        <f>IF(OR($C923="",$D923&lt;&gt;"Gelir",$L923=""),"",IFERROR(INDEX(MUSTERILER!$B$7:$B$156,MATCH($S923,MUSTERILER!$T$7:$T$156,0)),""))</f>
        <v/>
      </c>
      <c r="U923" s="1" t="str">
        <f>IF($T923="","",$T923&amp;"|"&amp;COUNTIFS($T$7:$T923,$T923))</f>
        <v/>
      </c>
      <c r="V923" s="1">
        <f t="shared" si="120"/>
        <v>0</v>
      </c>
      <c r="W923" s="1" t="str">
        <f t="shared" si="121"/>
        <v/>
      </c>
      <c r="X923" s="1"/>
      <c r="Y923" s="1"/>
      <c r="Z923" s="1"/>
      <c r="AA923" s="1"/>
      <c r="AB923" s="1"/>
      <c r="AC923" s="1"/>
      <c r="AD923" s="1">
        <f>IF($C923="",0,SUMPRODUCT((AY_SONU!$O$7:$O$42="Evet")*(AY_SONU!$B$7:$B$42=DATE(YEAR($C923),MONTH($C923),1))))</f>
        <v>0</v>
      </c>
      <c r="AE923" s="1" t="str">
        <f>IF($E923="","",$E923&amp;"|"&amp;COUNTIFS($E$7:$E923,$E923))</f>
        <v/>
      </c>
    </row>
    <row r="924" spans="1:31" ht="18" customHeight="1" x14ac:dyDescent="0.3">
      <c r="A924" s="2"/>
      <c r="B924" s="65" t="str">
        <f t="shared" si="114"/>
        <v/>
      </c>
      <c r="C924" s="66"/>
      <c r="D924" s="60"/>
      <c r="E924" s="61"/>
      <c r="F924" s="61"/>
      <c r="G924" s="67"/>
      <c r="H924" s="60"/>
      <c r="I924" s="60"/>
      <c r="J924" s="61"/>
      <c r="K924" s="61"/>
      <c r="L924" s="60"/>
      <c r="M924" s="74" t="str">
        <f t="shared" si="115"/>
        <v/>
      </c>
      <c r="N924" s="74" t="str">
        <f t="shared" si="116"/>
        <v/>
      </c>
      <c r="O924" s="73" t="str">
        <f t="shared" si="117"/>
        <v/>
      </c>
      <c r="P924" s="65" t="str">
        <f t="shared" ca="1" si="118"/>
        <v/>
      </c>
      <c r="Q924" s="2"/>
      <c r="R924" s="2"/>
      <c r="S924" s="1" t="str">
        <f t="shared" si="119"/>
        <v/>
      </c>
      <c r="T924" s="1" t="str">
        <f>IF(OR($C924="",$D924&lt;&gt;"Gelir",$L924=""),"",IFERROR(INDEX(MUSTERILER!$B$7:$B$156,MATCH($S924,MUSTERILER!$T$7:$T$156,0)),""))</f>
        <v/>
      </c>
      <c r="U924" s="1" t="str">
        <f>IF($T924="","",$T924&amp;"|"&amp;COUNTIFS($T$7:$T924,$T924))</f>
        <v/>
      </c>
      <c r="V924" s="1">
        <f t="shared" si="120"/>
        <v>0</v>
      </c>
      <c r="W924" s="1" t="str">
        <f t="shared" si="121"/>
        <v/>
      </c>
      <c r="X924" s="1"/>
      <c r="Y924" s="1"/>
      <c r="Z924" s="1"/>
      <c r="AA924" s="1"/>
      <c r="AB924" s="1"/>
      <c r="AC924" s="1"/>
      <c r="AD924" s="1">
        <f>IF($C924="",0,SUMPRODUCT((AY_SONU!$O$7:$O$42="Evet")*(AY_SONU!$B$7:$B$42=DATE(YEAR($C924),MONTH($C924),1))))</f>
        <v>0</v>
      </c>
      <c r="AE924" s="1" t="str">
        <f>IF($E924="","",$E924&amp;"|"&amp;COUNTIFS($E$7:$E924,$E924))</f>
        <v/>
      </c>
    </row>
    <row r="925" spans="1:31" ht="18" customHeight="1" x14ac:dyDescent="0.3">
      <c r="A925" s="2"/>
      <c r="B925" s="65" t="str">
        <f t="shared" si="114"/>
        <v/>
      </c>
      <c r="C925" s="66"/>
      <c r="D925" s="60"/>
      <c r="E925" s="61"/>
      <c r="F925" s="61"/>
      <c r="G925" s="67"/>
      <c r="H925" s="60"/>
      <c r="I925" s="60"/>
      <c r="J925" s="61"/>
      <c r="K925" s="61"/>
      <c r="L925" s="60"/>
      <c r="M925" s="74" t="str">
        <f t="shared" si="115"/>
        <v/>
      </c>
      <c r="N925" s="74" t="str">
        <f t="shared" si="116"/>
        <v/>
      </c>
      <c r="O925" s="73" t="str">
        <f t="shared" si="117"/>
        <v/>
      </c>
      <c r="P925" s="65" t="str">
        <f t="shared" ca="1" si="118"/>
        <v/>
      </c>
      <c r="Q925" s="2"/>
      <c r="R925" s="2"/>
      <c r="S925" s="1" t="str">
        <f t="shared" si="119"/>
        <v/>
      </c>
      <c r="T925" s="1" t="str">
        <f>IF(OR($C925="",$D925&lt;&gt;"Gelir",$L925=""),"",IFERROR(INDEX(MUSTERILER!$B$7:$B$156,MATCH($S925,MUSTERILER!$T$7:$T$156,0)),""))</f>
        <v/>
      </c>
      <c r="U925" s="1" t="str">
        <f>IF($T925="","",$T925&amp;"|"&amp;COUNTIFS($T$7:$T925,$T925))</f>
        <v/>
      </c>
      <c r="V925" s="1">
        <f t="shared" si="120"/>
        <v>0</v>
      </c>
      <c r="W925" s="1" t="str">
        <f t="shared" si="121"/>
        <v/>
      </c>
      <c r="X925" s="1"/>
      <c r="Y925" s="1"/>
      <c r="Z925" s="1"/>
      <c r="AA925" s="1"/>
      <c r="AB925" s="1"/>
      <c r="AC925" s="1"/>
      <c r="AD925" s="1">
        <f>IF($C925="",0,SUMPRODUCT((AY_SONU!$O$7:$O$42="Evet")*(AY_SONU!$B$7:$B$42=DATE(YEAR($C925),MONTH($C925),1))))</f>
        <v>0</v>
      </c>
      <c r="AE925" s="1" t="str">
        <f>IF($E925="","",$E925&amp;"|"&amp;COUNTIFS($E$7:$E925,$E925))</f>
        <v/>
      </c>
    </row>
    <row r="926" spans="1:31" ht="18" customHeight="1" x14ac:dyDescent="0.3">
      <c r="A926" s="2"/>
      <c r="B926" s="65" t="str">
        <f t="shared" si="114"/>
        <v/>
      </c>
      <c r="C926" s="66"/>
      <c r="D926" s="60"/>
      <c r="E926" s="61"/>
      <c r="F926" s="61"/>
      <c r="G926" s="67"/>
      <c r="H926" s="60"/>
      <c r="I926" s="60"/>
      <c r="J926" s="61"/>
      <c r="K926" s="61"/>
      <c r="L926" s="60"/>
      <c r="M926" s="74" t="str">
        <f t="shared" si="115"/>
        <v/>
      </c>
      <c r="N926" s="74" t="str">
        <f t="shared" si="116"/>
        <v/>
      </c>
      <c r="O926" s="73" t="str">
        <f t="shared" si="117"/>
        <v/>
      </c>
      <c r="P926" s="65" t="str">
        <f t="shared" ca="1" si="118"/>
        <v/>
      </c>
      <c r="Q926" s="2"/>
      <c r="R926" s="2"/>
      <c r="S926" s="1" t="str">
        <f t="shared" si="119"/>
        <v/>
      </c>
      <c r="T926" s="1" t="str">
        <f>IF(OR($C926="",$D926&lt;&gt;"Gelir",$L926=""),"",IFERROR(INDEX(MUSTERILER!$B$7:$B$156,MATCH($S926,MUSTERILER!$T$7:$T$156,0)),""))</f>
        <v/>
      </c>
      <c r="U926" s="1" t="str">
        <f>IF($T926="","",$T926&amp;"|"&amp;COUNTIFS($T$7:$T926,$T926))</f>
        <v/>
      </c>
      <c r="V926" s="1">
        <f t="shared" si="120"/>
        <v>0</v>
      </c>
      <c r="W926" s="1" t="str">
        <f t="shared" si="121"/>
        <v/>
      </c>
      <c r="X926" s="1"/>
      <c r="Y926" s="1"/>
      <c r="Z926" s="1"/>
      <c r="AA926" s="1"/>
      <c r="AB926" s="1"/>
      <c r="AC926" s="1"/>
      <c r="AD926" s="1">
        <f>IF($C926="",0,SUMPRODUCT((AY_SONU!$O$7:$O$42="Evet")*(AY_SONU!$B$7:$B$42=DATE(YEAR($C926),MONTH($C926),1))))</f>
        <v>0</v>
      </c>
      <c r="AE926" s="1" t="str">
        <f>IF($E926="","",$E926&amp;"|"&amp;COUNTIFS($E$7:$E926,$E926))</f>
        <v/>
      </c>
    </row>
    <row r="927" spans="1:31" ht="18" customHeight="1" x14ac:dyDescent="0.3">
      <c r="A927" s="2"/>
      <c r="B927" s="65" t="str">
        <f t="shared" si="114"/>
        <v/>
      </c>
      <c r="C927" s="66"/>
      <c r="D927" s="60"/>
      <c r="E927" s="61"/>
      <c r="F927" s="61"/>
      <c r="G927" s="67"/>
      <c r="H927" s="60"/>
      <c r="I927" s="60"/>
      <c r="J927" s="61"/>
      <c r="K927" s="61"/>
      <c r="L927" s="60"/>
      <c r="M927" s="74" t="str">
        <f t="shared" si="115"/>
        <v/>
      </c>
      <c r="N927" s="74" t="str">
        <f t="shared" si="116"/>
        <v/>
      </c>
      <c r="O927" s="73" t="str">
        <f t="shared" si="117"/>
        <v/>
      </c>
      <c r="P927" s="65" t="str">
        <f t="shared" ca="1" si="118"/>
        <v/>
      </c>
      <c r="Q927" s="2"/>
      <c r="R927" s="2"/>
      <c r="S927" s="1" t="str">
        <f t="shared" si="119"/>
        <v/>
      </c>
      <c r="T927" s="1" t="str">
        <f>IF(OR($C927="",$D927&lt;&gt;"Gelir",$L927=""),"",IFERROR(INDEX(MUSTERILER!$B$7:$B$156,MATCH($S927,MUSTERILER!$T$7:$T$156,0)),""))</f>
        <v/>
      </c>
      <c r="U927" s="1" t="str">
        <f>IF($T927="","",$T927&amp;"|"&amp;COUNTIFS($T$7:$T927,$T927))</f>
        <v/>
      </c>
      <c r="V927" s="1">
        <f t="shared" si="120"/>
        <v>0</v>
      </c>
      <c r="W927" s="1" t="str">
        <f t="shared" si="121"/>
        <v/>
      </c>
      <c r="X927" s="1"/>
      <c r="Y927" s="1"/>
      <c r="Z927" s="1"/>
      <c r="AA927" s="1"/>
      <c r="AB927" s="1"/>
      <c r="AC927" s="1"/>
      <c r="AD927" s="1">
        <f>IF($C927="",0,SUMPRODUCT((AY_SONU!$O$7:$O$42="Evet")*(AY_SONU!$B$7:$B$42=DATE(YEAR($C927),MONTH($C927),1))))</f>
        <v>0</v>
      </c>
      <c r="AE927" s="1" t="str">
        <f>IF($E927="","",$E927&amp;"|"&amp;COUNTIFS($E$7:$E927,$E927))</f>
        <v/>
      </c>
    </row>
    <row r="928" spans="1:31" ht="18" customHeight="1" x14ac:dyDescent="0.3">
      <c r="A928" s="2"/>
      <c r="B928" s="65" t="str">
        <f t="shared" si="114"/>
        <v/>
      </c>
      <c r="C928" s="66"/>
      <c r="D928" s="60"/>
      <c r="E928" s="61"/>
      <c r="F928" s="61"/>
      <c r="G928" s="67"/>
      <c r="H928" s="60"/>
      <c r="I928" s="60"/>
      <c r="J928" s="61"/>
      <c r="K928" s="61"/>
      <c r="L928" s="60"/>
      <c r="M928" s="74" t="str">
        <f t="shared" si="115"/>
        <v/>
      </c>
      <c r="N928" s="74" t="str">
        <f t="shared" si="116"/>
        <v/>
      </c>
      <c r="O928" s="73" t="str">
        <f t="shared" si="117"/>
        <v/>
      </c>
      <c r="P928" s="65" t="str">
        <f t="shared" ca="1" si="118"/>
        <v/>
      </c>
      <c r="Q928" s="2"/>
      <c r="R928" s="2"/>
      <c r="S928" s="1" t="str">
        <f t="shared" si="119"/>
        <v/>
      </c>
      <c r="T928" s="1" t="str">
        <f>IF(OR($C928="",$D928&lt;&gt;"Gelir",$L928=""),"",IFERROR(INDEX(MUSTERILER!$B$7:$B$156,MATCH($S928,MUSTERILER!$T$7:$T$156,0)),""))</f>
        <v/>
      </c>
      <c r="U928" s="1" t="str">
        <f>IF($T928="","",$T928&amp;"|"&amp;COUNTIFS($T$7:$T928,$T928))</f>
        <v/>
      </c>
      <c r="V928" s="1">
        <f t="shared" si="120"/>
        <v>0</v>
      </c>
      <c r="W928" s="1" t="str">
        <f t="shared" si="121"/>
        <v/>
      </c>
      <c r="X928" s="1"/>
      <c r="Y928" s="1"/>
      <c r="Z928" s="1"/>
      <c r="AA928" s="1"/>
      <c r="AB928" s="1"/>
      <c r="AC928" s="1"/>
      <c r="AD928" s="1">
        <f>IF($C928="",0,SUMPRODUCT((AY_SONU!$O$7:$O$42="Evet")*(AY_SONU!$B$7:$B$42=DATE(YEAR($C928),MONTH($C928),1))))</f>
        <v>0</v>
      </c>
      <c r="AE928" s="1" t="str">
        <f>IF($E928="","",$E928&amp;"|"&amp;COUNTIFS($E$7:$E928,$E928))</f>
        <v/>
      </c>
    </row>
    <row r="929" spans="1:31" ht="18" customHeight="1" x14ac:dyDescent="0.3">
      <c r="A929" s="2"/>
      <c r="B929" s="65" t="str">
        <f t="shared" si="114"/>
        <v/>
      </c>
      <c r="C929" s="66"/>
      <c r="D929" s="60"/>
      <c r="E929" s="61"/>
      <c r="F929" s="61"/>
      <c r="G929" s="67"/>
      <c r="H929" s="60"/>
      <c r="I929" s="60"/>
      <c r="J929" s="61"/>
      <c r="K929" s="61"/>
      <c r="L929" s="60"/>
      <c r="M929" s="74" t="str">
        <f t="shared" si="115"/>
        <v/>
      </c>
      <c r="N929" s="74" t="str">
        <f t="shared" si="116"/>
        <v/>
      </c>
      <c r="O929" s="73" t="str">
        <f t="shared" si="117"/>
        <v/>
      </c>
      <c r="P929" s="65" t="str">
        <f t="shared" ca="1" si="118"/>
        <v/>
      </c>
      <c r="Q929" s="2"/>
      <c r="R929" s="2"/>
      <c r="S929" s="1" t="str">
        <f t="shared" si="119"/>
        <v/>
      </c>
      <c r="T929" s="1" t="str">
        <f>IF(OR($C929="",$D929&lt;&gt;"Gelir",$L929=""),"",IFERROR(INDEX(MUSTERILER!$B$7:$B$156,MATCH($S929,MUSTERILER!$T$7:$T$156,0)),""))</f>
        <v/>
      </c>
      <c r="U929" s="1" t="str">
        <f>IF($T929="","",$T929&amp;"|"&amp;COUNTIFS($T$7:$T929,$T929))</f>
        <v/>
      </c>
      <c r="V929" s="1">
        <f t="shared" si="120"/>
        <v>0</v>
      </c>
      <c r="W929" s="1" t="str">
        <f t="shared" si="121"/>
        <v/>
      </c>
      <c r="X929" s="1"/>
      <c r="Y929" s="1"/>
      <c r="Z929" s="1"/>
      <c r="AA929" s="1"/>
      <c r="AB929" s="1"/>
      <c r="AC929" s="1"/>
      <c r="AD929" s="1">
        <f>IF($C929="",0,SUMPRODUCT((AY_SONU!$O$7:$O$42="Evet")*(AY_SONU!$B$7:$B$42=DATE(YEAR($C929),MONTH($C929),1))))</f>
        <v>0</v>
      </c>
      <c r="AE929" s="1" t="str">
        <f>IF($E929="","",$E929&amp;"|"&amp;COUNTIFS($E$7:$E929,$E929))</f>
        <v/>
      </c>
    </row>
    <row r="930" spans="1:31" ht="18" customHeight="1" x14ac:dyDescent="0.3">
      <c r="A930" s="2"/>
      <c r="B930" s="65" t="str">
        <f t="shared" si="114"/>
        <v/>
      </c>
      <c r="C930" s="66"/>
      <c r="D930" s="60"/>
      <c r="E930" s="61"/>
      <c r="F930" s="61"/>
      <c r="G930" s="67"/>
      <c r="H930" s="60"/>
      <c r="I930" s="60"/>
      <c r="J930" s="61"/>
      <c r="K930" s="61"/>
      <c r="L930" s="60"/>
      <c r="M930" s="74" t="str">
        <f t="shared" si="115"/>
        <v/>
      </c>
      <c r="N930" s="74" t="str">
        <f t="shared" si="116"/>
        <v/>
      </c>
      <c r="O930" s="73" t="str">
        <f t="shared" si="117"/>
        <v/>
      </c>
      <c r="P930" s="65" t="str">
        <f t="shared" ca="1" si="118"/>
        <v/>
      </c>
      <c r="Q930" s="2"/>
      <c r="R930" s="2"/>
      <c r="S930" s="1" t="str">
        <f t="shared" si="119"/>
        <v/>
      </c>
      <c r="T930" s="1" t="str">
        <f>IF(OR($C930="",$D930&lt;&gt;"Gelir",$L930=""),"",IFERROR(INDEX(MUSTERILER!$B$7:$B$156,MATCH($S930,MUSTERILER!$T$7:$T$156,0)),""))</f>
        <v/>
      </c>
      <c r="U930" s="1" t="str">
        <f>IF($T930="","",$T930&amp;"|"&amp;COUNTIFS($T$7:$T930,$T930))</f>
        <v/>
      </c>
      <c r="V930" s="1">
        <f t="shared" si="120"/>
        <v>0</v>
      </c>
      <c r="W930" s="1" t="str">
        <f t="shared" si="121"/>
        <v/>
      </c>
      <c r="X930" s="1"/>
      <c r="Y930" s="1"/>
      <c r="Z930" s="1"/>
      <c r="AA930" s="1"/>
      <c r="AB930" s="1"/>
      <c r="AC930" s="1"/>
      <c r="AD930" s="1">
        <f>IF($C930="",0,SUMPRODUCT((AY_SONU!$O$7:$O$42="Evet")*(AY_SONU!$B$7:$B$42=DATE(YEAR($C930),MONTH($C930),1))))</f>
        <v>0</v>
      </c>
      <c r="AE930" s="1" t="str">
        <f>IF($E930="","",$E930&amp;"|"&amp;COUNTIFS($E$7:$E930,$E930))</f>
        <v/>
      </c>
    </row>
    <row r="931" spans="1:31" ht="18" customHeight="1" x14ac:dyDescent="0.3">
      <c r="A931" s="2"/>
      <c r="B931" s="65" t="str">
        <f t="shared" si="114"/>
        <v/>
      </c>
      <c r="C931" s="66"/>
      <c r="D931" s="60"/>
      <c r="E931" s="61"/>
      <c r="F931" s="61"/>
      <c r="G931" s="67"/>
      <c r="H931" s="60"/>
      <c r="I931" s="60"/>
      <c r="J931" s="61"/>
      <c r="K931" s="61"/>
      <c r="L931" s="60"/>
      <c r="M931" s="74" t="str">
        <f t="shared" si="115"/>
        <v/>
      </c>
      <c r="N931" s="74" t="str">
        <f t="shared" si="116"/>
        <v/>
      </c>
      <c r="O931" s="73" t="str">
        <f t="shared" si="117"/>
        <v/>
      </c>
      <c r="P931" s="65" t="str">
        <f t="shared" ca="1" si="118"/>
        <v/>
      </c>
      <c r="Q931" s="2"/>
      <c r="R931" s="2"/>
      <c r="S931" s="1" t="str">
        <f t="shared" si="119"/>
        <v/>
      </c>
      <c r="T931" s="1" t="str">
        <f>IF(OR($C931="",$D931&lt;&gt;"Gelir",$L931=""),"",IFERROR(INDEX(MUSTERILER!$B$7:$B$156,MATCH($S931,MUSTERILER!$T$7:$T$156,0)),""))</f>
        <v/>
      </c>
      <c r="U931" s="1" t="str">
        <f>IF($T931="","",$T931&amp;"|"&amp;COUNTIFS($T$7:$T931,$T931))</f>
        <v/>
      </c>
      <c r="V931" s="1">
        <f t="shared" si="120"/>
        <v>0</v>
      </c>
      <c r="W931" s="1" t="str">
        <f t="shared" si="121"/>
        <v/>
      </c>
      <c r="X931" s="1"/>
      <c r="Y931" s="1"/>
      <c r="Z931" s="1"/>
      <c r="AA931" s="1"/>
      <c r="AB931" s="1"/>
      <c r="AC931" s="1"/>
      <c r="AD931" s="1">
        <f>IF($C931="",0,SUMPRODUCT((AY_SONU!$O$7:$O$42="Evet")*(AY_SONU!$B$7:$B$42=DATE(YEAR($C931),MONTH($C931),1))))</f>
        <v>0</v>
      </c>
      <c r="AE931" s="1" t="str">
        <f>IF($E931="","",$E931&amp;"|"&amp;COUNTIFS($E$7:$E931,$E931))</f>
        <v/>
      </c>
    </row>
    <row r="932" spans="1:31" ht="18" customHeight="1" x14ac:dyDescent="0.3">
      <c r="A932" s="2"/>
      <c r="B932" s="65" t="str">
        <f t="shared" si="114"/>
        <v/>
      </c>
      <c r="C932" s="66"/>
      <c r="D932" s="60"/>
      <c r="E932" s="61"/>
      <c r="F932" s="61"/>
      <c r="G932" s="67"/>
      <c r="H932" s="60"/>
      <c r="I932" s="60"/>
      <c r="J932" s="61"/>
      <c r="K932" s="61"/>
      <c r="L932" s="60"/>
      <c r="M932" s="74" t="str">
        <f t="shared" si="115"/>
        <v/>
      </c>
      <c r="N932" s="74" t="str">
        <f t="shared" si="116"/>
        <v/>
      </c>
      <c r="O932" s="73" t="str">
        <f t="shared" si="117"/>
        <v/>
      </c>
      <c r="P932" s="65" t="str">
        <f t="shared" ca="1" si="118"/>
        <v/>
      </c>
      <c r="Q932" s="2"/>
      <c r="R932" s="2"/>
      <c r="S932" s="1" t="str">
        <f t="shared" si="119"/>
        <v/>
      </c>
      <c r="T932" s="1" t="str">
        <f>IF(OR($C932="",$D932&lt;&gt;"Gelir",$L932=""),"",IFERROR(INDEX(MUSTERILER!$B$7:$B$156,MATCH($S932,MUSTERILER!$T$7:$T$156,0)),""))</f>
        <v/>
      </c>
      <c r="U932" s="1" t="str">
        <f>IF($T932="","",$T932&amp;"|"&amp;COUNTIFS($T$7:$T932,$T932))</f>
        <v/>
      </c>
      <c r="V932" s="1">
        <f t="shared" si="120"/>
        <v>0</v>
      </c>
      <c r="W932" s="1" t="str">
        <f t="shared" si="121"/>
        <v/>
      </c>
      <c r="X932" s="1"/>
      <c r="Y932" s="1"/>
      <c r="Z932" s="1"/>
      <c r="AA932" s="1"/>
      <c r="AB932" s="1"/>
      <c r="AC932" s="1"/>
      <c r="AD932" s="1">
        <f>IF($C932="",0,SUMPRODUCT((AY_SONU!$O$7:$O$42="Evet")*(AY_SONU!$B$7:$B$42=DATE(YEAR($C932),MONTH($C932),1))))</f>
        <v>0</v>
      </c>
      <c r="AE932" s="1" t="str">
        <f>IF($E932="","",$E932&amp;"|"&amp;COUNTIFS($E$7:$E932,$E932))</f>
        <v/>
      </c>
    </row>
    <row r="933" spans="1:31" ht="18" customHeight="1" x14ac:dyDescent="0.3">
      <c r="A933" s="2"/>
      <c r="B933" s="65" t="str">
        <f t="shared" si="114"/>
        <v/>
      </c>
      <c r="C933" s="66"/>
      <c r="D933" s="60"/>
      <c r="E933" s="61"/>
      <c r="F933" s="61"/>
      <c r="G933" s="67"/>
      <c r="H933" s="60"/>
      <c r="I933" s="60"/>
      <c r="J933" s="61"/>
      <c r="K933" s="61"/>
      <c r="L933" s="60"/>
      <c r="M933" s="74" t="str">
        <f t="shared" si="115"/>
        <v/>
      </c>
      <c r="N933" s="74" t="str">
        <f t="shared" si="116"/>
        <v/>
      </c>
      <c r="O933" s="73" t="str">
        <f t="shared" si="117"/>
        <v/>
      </c>
      <c r="P933" s="65" t="str">
        <f t="shared" ca="1" si="118"/>
        <v/>
      </c>
      <c r="Q933" s="2"/>
      <c r="R933" s="2"/>
      <c r="S933" s="1" t="str">
        <f t="shared" si="119"/>
        <v/>
      </c>
      <c r="T933" s="1" t="str">
        <f>IF(OR($C933="",$D933&lt;&gt;"Gelir",$L933=""),"",IFERROR(INDEX(MUSTERILER!$B$7:$B$156,MATCH($S933,MUSTERILER!$T$7:$T$156,0)),""))</f>
        <v/>
      </c>
      <c r="U933" s="1" t="str">
        <f>IF($T933="","",$T933&amp;"|"&amp;COUNTIFS($T$7:$T933,$T933))</f>
        <v/>
      </c>
      <c r="V933" s="1">
        <f t="shared" si="120"/>
        <v>0</v>
      </c>
      <c r="W933" s="1" t="str">
        <f t="shared" si="121"/>
        <v/>
      </c>
      <c r="X933" s="1"/>
      <c r="Y933" s="1"/>
      <c r="Z933" s="1"/>
      <c r="AA933" s="1"/>
      <c r="AB933" s="1"/>
      <c r="AC933" s="1"/>
      <c r="AD933" s="1">
        <f>IF($C933="",0,SUMPRODUCT((AY_SONU!$O$7:$O$42="Evet")*(AY_SONU!$B$7:$B$42=DATE(YEAR($C933),MONTH($C933),1))))</f>
        <v>0</v>
      </c>
      <c r="AE933" s="1" t="str">
        <f>IF($E933="","",$E933&amp;"|"&amp;COUNTIFS($E$7:$E933,$E933))</f>
        <v/>
      </c>
    </row>
    <row r="934" spans="1:31" ht="18" customHeight="1" x14ac:dyDescent="0.3">
      <c r="A934" s="2"/>
      <c r="B934" s="65" t="str">
        <f t="shared" si="114"/>
        <v/>
      </c>
      <c r="C934" s="66"/>
      <c r="D934" s="60"/>
      <c r="E934" s="61"/>
      <c r="F934" s="61"/>
      <c r="G934" s="67"/>
      <c r="H934" s="60"/>
      <c r="I934" s="60"/>
      <c r="J934" s="61"/>
      <c r="K934" s="61"/>
      <c r="L934" s="60"/>
      <c r="M934" s="74" t="str">
        <f t="shared" si="115"/>
        <v/>
      </c>
      <c r="N934" s="74" t="str">
        <f t="shared" si="116"/>
        <v/>
      </c>
      <c r="O934" s="73" t="str">
        <f t="shared" si="117"/>
        <v/>
      </c>
      <c r="P934" s="65" t="str">
        <f t="shared" ca="1" si="118"/>
        <v/>
      </c>
      <c r="Q934" s="2"/>
      <c r="R934" s="2"/>
      <c r="S934" s="1" t="str">
        <f t="shared" si="119"/>
        <v/>
      </c>
      <c r="T934" s="1" t="str">
        <f>IF(OR($C934="",$D934&lt;&gt;"Gelir",$L934=""),"",IFERROR(INDEX(MUSTERILER!$B$7:$B$156,MATCH($S934,MUSTERILER!$T$7:$T$156,0)),""))</f>
        <v/>
      </c>
      <c r="U934" s="1" t="str">
        <f>IF($T934="","",$T934&amp;"|"&amp;COUNTIFS($T$7:$T934,$T934))</f>
        <v/>
      </c>
      <c r="V934" s="1">
        <f t="shared" si="120"/>
        <v>0</v>
      </c>
      <c r="W934" s="1" t="str">
        <f t="shared" si="121"/>
        <v/>
      </c>
      <c r="X934" s="1"/>
      <c r="Y934" s="1"/>
      <c r="Z934" s="1"/>
      <c r="AA934" s="1"/>
      <c r="AB934" s="1"/>
      <c r="AC934" s="1"/>
      <c r="AD934" s="1">
        <f>IF($C934="",0,SUMPRODUCT((AY_SONU!$O$7:$O$42="Evet")*(AY_SONU!$B$7:$B$42=DATE(YEAR($C934),MONTH($C934),1))))</f>
        <v>0</v>
      </c>
      <c r="AE934" s="1" t="str">
        <f>IF($E934="","",$E934&amp;"|"&amp;COUNTIFS($E$7:$E934,$E934))</f>
        <v/>
      </c>
    </row>
    <row r="935" spans="1:31" ht="18" customHeight="1" x14ac:dyDescent="0.3">
      <c r="A935" s="2"/>
      <c r="B935" s="65" t="str">
        <f t="shared" si="114"/>
        <v/>
      </c>
      <c r="C935" s="66"/>
      <c r="D935" s="60"/>
      <c r="E935" s="61"/>
      <c r="F935" s="61"/>
      <c r="G935" s="67"/>
      <c r="H935" s="60"/>
      <c r="I935" s="60"/>
      <c r="J935" s="61"/>
      <c r="K935" s="61"/>
      <c r="L935" s="60"/>
      <c r="M935" s="74" t="str">
        <f t="shared" si="115"/>
        <v/>
      </c>
      <c r="N935" s="74" t="str">
        <f t="shared" si="116"/>
        <v/>
      </c>
      <c r="O935" s="73" t="str">
        <f t="shared" si="117"/>
        <v/>
      </c>
      <c r="P935" s="65" t="str">
        <f t="shared" ca="1" si="118"/>
        <v/>
      </c>
      <c r="Q935" s="2"/>
      <c r="R935" s="2"/>
      <c r="S935" s="1" t="str">
        <f t="shared" si="119"/>
        <v/>
      </c>
      <c r="T935" s="1" t="str">
        <f>IF(OR($C935="",$D935&lt;&gt;"Gelir",$L935=""),"",IFERROR(INDEX(MUSTERILER!$B$7:$B$156,MATCH($S935,MUSTERILER!$T$7:$T$156,0)),""))</f>
        <v/>
      </c>
      <c r="U935" s="1" t="str">
        <f>IF($T935="","",$T935&amp;"|"&amp;COUNTIFS($T$7:$T935,$T935))</f>
        <v/>
      </c>
      <c r="V935" s="1">
        <f t="shared" si="120"/>
        <v>0</v>
      </c>
      <c r="W935" s="1" t="str">
        <f t="shared" si="121"/>
        <v/>
      </c>
      <c r="X935" s="1"/>
      <c r="Y935" s="1"/>
      <c r="Z935" s="1"/>
      <c r="AA935" s="1"/>
      <c r="AB935" s="1"/>
      <c r="AC935" s="1"/>
      <c r="AD935" s="1">
        <f>IF($C935="",0,SUMPRODUCT((AY_SONU!$O$7:$O$42="Evet")*(AY_SONU!$B$7:$B$42=DATE(YEAR($C935),MONTH($C935),1))))</f>
        <v>0</v>
      </c>
      <c r="AE935" s="1" t="str">
        <f>IF($E935="","",$E935&amp;"|"&amp;COUNTIFS($E$7:$E935,$E935))</f>
        <v/>
      </c>
    </row>
    <row r="936" spans="1:31" ht="18" customHeight="1" x14ac:dyDescent="0.3">
      <c r="A936" s="2"/>
      <c r="B936" s="65" t="str">
        <f t="shared" si="114"/>
        <v/>
      </c>
      <c r="C936" s="66"/>
      <c r="D936" s="60"/>
      <c r="E936" s="61"/>
      <c r="F936" s="61"/>
      <c r="G936" s="67"/>
      <c r="H936" s="60"/>
      <c r="I936" s="60"/>
      <c r="J936" s="61"/>
      <c r="K936" s="61"/>
      <c r="L936" s="60"/>
      <c r="M936" s="74" t="str">
        <f t="shared" si="115"/>
        <v/>
      </c>
      <c r="N936" s="74" t="str">
        <f t="shared" si="116"/>
        <v/>
      </c>
      <c r="O936" s="73" t="str">
        <f t="shared" si="117"/>
        <v/>
      </c>
      <c r="P936" s="65" t="str">
        <f t="shared" ca="1" si="118"/>
        <v/>
      </c>
      <c r="Q936" s="2"/>
      <c r="R936" s="2"/>
      <c r="S936" s="1" t="str">
        <f t="shared" si="119"/>
        <v/>
      </c>
      <c r="T936" s="1" t="str">
        <f>IF(OR($C936="",$D936&lt;&gt;"Gelir",$L936=""),"",IFERROR(INDEX(MUSTERILER!$B$7:$B$156,MATCH($S936,MUSTERILER!$T$7:$T$156,0)),""))</f>
        <v/>
      </c>
      <c r="U936" s="1" t="str">
        <f>IF($T936="","",$T936&amp;"|"&amp;COUNTIFS($T$7:$T936,$T936))</f>
        <v/>
      </c>
      <c r="V936" s="1">
        <f t="shared" si="120"/>
        <v>0</v>
      </c>
      <c r="W936" s="1" t="str">
        <f t="shared" si="121"/>
        <v/>
      </c>
      <c r="X936" s="1"/>
      <c r="Y936" s="1"/>
      <c r="Z936" s="1"/>
      <c r="AA936" s="1"/>
      <c r="AB936" s="1"/>
      <c r="AC936" s="1"/>
      <c r="AD936" s="1">
        <f>IF($C936="",0,SUMPRODUCT((AY_SONU!$O$7:$O$42="Evet")*(AY_SONU!$B$7:$B$42=DATE(YEAR($C936),MONTH($C936),1))))</f>
        <v>0</v>
      </c>
      <c r="AE936" s="1" t="str">
        <f>IF($E936="","",$E936&amp;"|"&amp;COUNTIFS($E$7:$E936,$E936))</f>
        <v/>
      </c>
    </row>
    <row r="937" spans="1:31" ht="18" customHeight="1" x14ac:dyDescent="0.3">
      <c r="A937" s="2"/>
      <c r="B937" s="65" t="str">
        <f t="shared" si="114"/>
        <v/>
      </c>
      <c r="C937" s="66"/>
      <c r="D937" s="60"/>
      <c r="E937" s="61"/>
      <c r="F937" s="61"/>
      <c r="G937" s="67"/>
      <c r="H937" s="60"/>
      <c r="I937" s="60"/>
      <c r="J937" s="61"/>
      <c r="K937" s="61"/>
      <c r="L937" s="60"/>
      <c r="M937" s="74" t="str">
        <f t="shared" si="115"/>
        <v/>
      </c>
      <c r="N937" s="74" t="str">
        <f t="shared" si="116"/>
        <v/>
      </c>
      <c r="O937" s="73" t="str">
        <f t="shared" si="117"/>
        <v/>
      </c>
      <c r="P937" s="65" t="str">
        <f t="shared" ca="1" si="118"/>
        <v/>
      </c>
      <c r="Q937" s="2"/>
      <c r="R937" s="2"/>
      <c r="S937" s="1" t="str">
        <f t="shared" si="119"/>
        <v/>
      </c>
      <c r="T937" s="1" t="str">
        <f>IF(OR($C937="",$D937&lt;&gt;"Gelir",$L937=""),"",IFERROR(INDEX(MUSTERILER!$B$7:$B$156,MATCH($S937,MUSTERILER!$T$7:$T$156,0)),""))</f>
        <v/>
      </c>
      <c r="U937" s="1" t="str">
        <f>IF($T937="","",$T937&amp;"|"&amp;COUNTIFS($T$7:$T937,$T937))</f>
        <v/>
      </c>
      <c r="V937" s="1">
        <f t="shared" si="120"/>
        <v>0</v>
      </c>
      <c r="W937" s="1" t="str">
        <f t="shared" si="121"/>
        <v/>
      </c>
      <c r="X937" s="1"/>
      <c r="Y937" s="1"/>
      <c r="Z937" s="1"/>
      <c r="AA937" s="1"/>
      <c r="AB937" s="1"/>
      <c r="AC937" s="1"/>
      <c r="AD937" s="1">
        <f>IF($C937="",0,SUMPRODUCT((AY_SONU!$O$7:$O$42="Evet")*(AY_SONU!$B$7:$B$42=DATE(YEAR($C937),MONTH($C937),1))))</f>
        <v>0</v>
      </c>
      <c r="AE937" s="1" t="str">
        <f>IF($E937="","",$E937&amp;"|"&amp;COUNTIFS($E$7:$E937,$E937))</f>
        <v/>
      </c>
    </row>
    <row r="938" spans="1:31" ht="18" customHeight="1" x14ac:dyDescent="0.3">
      <c r="A938" s="2"/>
      <c r="B938" s="65" t="str">
        <f t="shared" si="114"/>
        <v/>
      </c>
      <c r="C938" s="66"/>
      <c r="D938" s="60"/>
      <c r="E938" s="61"/>
      <c r="F938" s="61"/>
      <c r="G938" s="67"/>
      <c r="H938" s="60"/>
      <c r="I938" s="60"/>
      <c r="J938" s="61"/>
      <c r="K938" s="61"/>
      <c r="L938" s="60"/>
      <c r="M938" s="74" t="str">
        <f t="shared" si="115"/>
        <v/>
      </c>
      <c r="N938" s="74" t="str">
        <f t="shared" si="116"/>
        <v/>
      </c>
      <c r="O938" s="73" t="str">
        <f t="shared" si="117"/>
        <v/>
      </c>
      <c r="P938" s="65" t="str">
        <f t="shared" ca="1" si="118"/>
        <v/>
      </c>
      <c r="Q938" s="2"/>
      <c r="R938" s="2"/>
      <c r="S938" s="1" t="str">
        <f t="shared" si="119"/>
        <v/>
      </c>
      <c r="T938" s="1" t="str">
        <f>IF(OR($C938="",$D938&lt;&gt;"Gelir",$L938=""),"",IFERROR(INDEX(MUSTERILER!$B$7:$B$156,MATCH($S938,MUSTERILER!$T$7:$T$156,0)),""))</f>
        <v/>
      </c>
      <c r="U938" s="1" t="str">
        <f>IF($T938="","",$T938&amp;"|"&amp;COUNTIFS($T$7:$T938,$T938))</f>
        <v/>
      </c>
      <c r="V938" s="1">
        <f t="shared" si="120"/>
        <v>0</v>
      </c>
      <c r="W938" s="1" t="str">
        <f t="shared" si="121"/>
        <v/>
      </c>
      <c r="X938" s="1"/>
      <c r="Y938" s="1"/>
      <c r="Z938" s="1"/>
      <c r="AA938" s="1"/>
      <c r="AB938" s="1"/>
      <c r="AC938" s="1"/>
      <c r="AD938" s="1">
        <f>IF($C938="",0,SUMPRODUCT((AY_SONU!$O$7:$O$42="Evet")*(AY_SONU!$B$7:$B$42=DATE(YEAR($C938),MONTH($C938),1))))</f>
        <v>0</v>
      </c>
      <c r="AE938" s="1" t="str">
        <f>IF($E938="","",$E938&amp;"|"&amp;COUNTIFS($E$7:$E938,$E938))</f>
        <v/>
      </c>
    </row>
    <row r="939" spans="1:31" ht="18" customHeight="1" x14ac:dyDescent="0.3">
      <c r="A939" s="2"/>
      <c r="B939" s="65" t="str">
        <f t="shared" si="114"/>
        <v/>
      </c>
      <c r="C939" s="66"/>
      <c r="D939" s="60"/>
      <c r="E939" s="61"/>
      <c r="F939" s="61"/>
      <c r="G939" s="67"/>
      <c r="H939" s="60"/>
      <c r="I939" s="60"/>
      <c r="J939" s="61"/>
      <c r="K939" s="61"/>
      <c r="L939" s="60"/>
      <c r="M939" s="74" t="str">
        <f t="shared" si="115"/>
        <v/>
      </c>
      <c r="N939" s="74" t="str">
        <f t="shared" si="116"/>
        <v/>
      </c>
      <c r="O939" s="73" t="str">
        <f t="shared" si="117"/>
        <v/>
      </c>
      <c r="P939" s="65" t="str">
        <f t="shared" ca="1" si="118"/>
        <v/>
      </c>
      <c r="Q939" s="2"/>
      <c r="R939" s="2"/>
      <c r="S939" s="1" t="str">
        <f t="shared" si="119"/>
        <v/>
      </c>
      <c r="T939" s="1" t="str">
        <f>IF(OR($C939="",$D939&lt;&gt;"Gelir",$L939=""),"",IFERROR(INDEX(MUSTERILER!$B$7:$B$156,MATCH($S939,MUSTERILER!$T$7:$T$156,0)),""))</f>
        <v/>
      </c>
      <c r="U939" s="1" t="str">
        <f>IF($T939="","",$T939&amp;"|"&amp;COUNTIFS($T$7:$T939,$T939))</f>
        <v/>
      </c>
      <c r="V939" s="1">
        <f t="shared" si="120"/>
        <v>0</v>
      </c>
      <c r="W939" s="1" t="str">
        <f t="shared" si="121"/>
        <v/>
      </c>
      <c r="X939" s="1"/>
      <c r="Y939" s="1"/>
      <c r="Z939" s="1"/>
      <c r="AA939" s="1"/>
      <c r="AB939" s="1"/>
      <c r="AC939" s="1"/>
      <c r="AD939" s="1">
        <f>IF($C939="",0,SUMPRODUCT((AY_SONU!$O$7:$O$42="Evet")*(AY_SONU!$B$7:$B$42=DATE(YEAR($C939),MONTH($C939),1))))</f>
        <v>0</v>
      </c>
      <c r="AE939" s="1" t="str">
        <f>IF($E939="","",$E939&amp;"|"&amp;COUNTIFS($E$7:$E939,$E939))</f>
        <v/>
      </c>
    </row>
    <row r="940" spans="1:31" ht="18" customHeight="1" x14ac:dyDescent="0.3">
      <c r="A940" s="2"/>
      <c r="B940" s="65" t="str">
        <f t="shared" si="114"/>
        <v/>
      </c>
      <c r="C940" s="66"/>
      <c r="D940" s="60"/>
      <c r="E940" s="61"/>
      <c r="F940" s="61"/>
      <c r="G940" s="67"/>
      <c r="H940" s="60"/>
      <c r="I940" s="60"/>
      <c r="J940" s="61"/>
      <c r="K940" s="61"/>
      <c r="L940" s="60"/>
      <c r="M940" s="74" t="str">
        <f t="shared" si="115"/>
        <v/>
      </c>
      <c r="N940" s="74" t="str">
        <f t="shared" si="116"/>
        <v/>
      </c>
      <c r="O940" s="73" t="str">
        <f t="shared" si="117"/>
        <v/>
      </c>
      <c r="P940" s="65" t="str">
        <f t="shared" ca="1" si="118"/>
        <v/>
      </c>
      <c r="Q940" s="2"/>
      <c r="R940" s="2"/>
      <c r="S940" s="1" t="str">
        <f t="shared" si="119"/>
        <v/>
      </c>
      <c r="T940" s="1" t="str">
        <f>IF(OR($C940="",$D940&lt;&gt;"Gelir",$L940=""),"",IFERROR(INDEX(MUSTERILER!$B$7:$B$156,MATCH($S940,MUSTERILER!$T$7:$T$156,0)),""))</f>
        <v/>
      </c>
      <c r="U940" s="1" t="str">
        <f>IF($T940="","",$T940&amp;"|"&amp;COUNTIFS($T$7:$T940,$T940))</f>
        <v/>
      </c>
      <c r="V940" s="1">
        <f t="shared" si="120"/>
        <v>0</v>
      </c>
      <c r="W940" s="1" t="str">
        <f t="shared" si="121"/>
        <v/>
      </c>
      <c r="X940" s="1"/>
      <c r="Y940" s="1"/>
      <c r="Z940" s="1"/>
      <c r="AA940" s="1"/>
      <c r="AB940" s="1"/>
      <c r="AC940" s="1"/>
      <c r="AD940" s="1">
        <f>IF($C940="",0,SUMPRODUCT((AY_SONU!$O$7:$O$42="Evet")*(AY_SONU!$B$7:$B$42=DATE(YEAR($C940),MONTH($C940),1))))</f>
        <v>0</v>
      </c>
      <c r="AE940" s="1" t="str">
        <f>IF($E940="","",$E940&amp;"|"&amp;COUNTIFS($E$7:$E940,$E940))</f>
        <v/>
      </c>
    </row>
    <row r="941" spans="1:31" ht="18" customHeight="1" x14ac:dyDescent="0.3">
      <c r="A941" s="2"/>
      <c r="B941" s="65" t="str">
        <f t="shared" si="114"/>
        <v/>
      </c>
      <c r="C941" s="66"/>
      <c r="D941" s="60"/>
      <c r="E941" s="61"/>
      <c r="F941" s="61"/>
      <c r="G941" s="67"/>
      <c r="H941" s="60"/>
      <c r="I941" s="60"/>
      <c r="J941" s="61"/>
      <c r="K941" s="61"/>
      <c r="L941" s="60"/>
      <c r="M941" s="74" t="str">
        <f t="shared" si="115"/>
        <v/>
      </c>
      <c r="N941" s="74" t="str">
        <f t="shared" si="116"/>
        <v/>
      </c>
      <c r="O941" s="73" t="str">
        <f t="shared" si="117"/>
        <v/>
      </c>
      <c r="P941" s="65" t="str">
        <f t="shared" ca="1" si="118"/>
        <v/>
      </c>
      <c r="Q941" s="2"/>
      <c r="R941" s="2"/>
      <c r="S941" s="1" t="str">
        <f t="shared" si="119"/>
        <v/>
      </c>
      <c r="T941" s="1" t="str">
        <f>IF(OR($C941="",$D941&lt;&gt;"Gelir",$L941=""),"",IFERROR(INDEX(MUSTERILER!$B$7:$B$156,MATCH($S941,MUSTERILER!$T$7:$T$156,0)),""))</f>
        <v/>
      </c>
      <c r="U941" s="1" t="str">
        <f>IF($T941="","",$T941&amp;"|"&amp;COUNTIFS($T$7:$T941,$T941))</f>
        <v/>
      </c>
      <c r="V941" s="1">
        <f t="shared" si="120"/>
        <v>0</v>
      </c>
      <c r="W941" s="1" t="str">
        <f t="shared" si="121"/>
        <v/>
      </c>
      <c r="X941" s="1"/>
      <c r="Y941" s="1"/>
      <c r="Z941" s="1"/>
      <c r="AA941" s="1"/>
      <c r="AB941" s="1"/>
      <c r="AC941" s="1"/>
      <c r="AD941" s="1">
        <f>IF($C941="",0,SUMPRODUCT((AY_SONU!$O$7:$O$42="Evet")*(AY_SONU!$B$7:$B$42=DATE(YEAR($C941),MONTH($C941),1))))</f>
        <v>0</v>
      </c>
      <c r="AE941" s="1" t="str">
        <f>IF($E941="","",$E941&amp;"|"&amp;COUNTIFS($E$7:$E941,$E941))</f>
        <v/>
      </c>
    </row>
    <row r="942" spans="1:31" ht="18" customHeight="1" x14ac:dyDescent="0.3">
      <c r="A942" s="2"/>
      <c r="B942" s="65" t="str">
        <f t="shared" si="114"/>
        <v/>
      </c>
      <c r="C942" s="66"/>
      <c r="D942" s="60"/>
      <c r="E942" s="61"/>
      <c r="F942" s="61"/>
      <c r="G942" s="67"/>
      <c r="H942" s="60"/>
      <c r="I942" s="60"/>
      <c r="J942" s="61"/>
      <c r="K942" s="61"/>
      <c r="L942" s="60"/>
      <c r="M942" s="74" t="str">
        <f t="shared" si="115"/>
        <v/>
      </c>
      <c r="N942" s="74" t="str">
        <f t="shared" si="116"/>
        <v/>
      </c>
      <c r="O942" s="73" t="str">
        <f t="shared" si="117"/>
        <v/>
      </c>
      <c r="P942" s="65" t="str">
        <f t="shared" ca="1" si="118"/>
        <v/>
      </c>
      <c r="Q942" s="2"/>
      <c r="R942" s="2"/>
      <c r="S942" s="1" t="str">
        <f t="shared" si="119"/>
        <v/>
      </c>
      <c r="T942" s="1" t="str">
        <f>IF(OR($C942="",$D942&lt;&gt;"Gelir",$L942=""),"",IFERROR(INDEX(MUSTERILER!$B$7:$B$156,MATCH($S942,MUSTERILER!$T$7:$T$156,0)),""))</f>
        <v/>
      </c>
      <c r="U942" s="1" t="str">
        <f>IF($T942="","",$T942&amp;"|"&amp;COUNTIFS($T$7:$T942,$T942))</f>
        <v/>
      </c>
      <c r="V942" s="1">
        <f t="shared" si="120"/>
        <v>0</v>
      </c>
      <c r="W942" s="1" t="str">
        <f t="shared" si="121"/>
        <v/>
      </c>
      <c r="X942" s="1"/>
      <c r="Y942" s="1"/>
      <c r="Z942" s="1"/>
      <c r="AA942" s="1"/>
      <c r="AB942" s="1"/>
      <c r="AC942" s="1"/>
      <c r="AD942" s="1">
        <f>IF($C942="",0,SUMPRODUCT((AY_SONU!$O$7:$O$42="Evet")*(AY_SONU!$B$7:$B$42=DATE(YEAR($C942),MONTH($C942),1))))</f>
        <v>0</v>
      </c>
      <c r="AE942" s="1" t="str">
        <f>IF($E942="","",$E942&amp;"|"&amp;COUNTIFS($E$7:$E942,$E942))</f>
        <v/>
      </c>
    </row>
    <row r="943" spans="1:31" ht="18" customHeight="1" x14ac:dyDescent="0.3">
      <c r="A943" s="2"/>
      <c r="B943" s="65" t="str">
        <f t="shared" si="114"/>
        <v/>
      </c>
      <c r="C943" s="66"/>
      <c r="D943" s="60"/>
      <c r="E943" s="61"/>
      <c r="F943" s="61"/>
      <c r="G943" s="67"/>
      <c r="H943" s="60"/>
      <c r="I943" s="60"/>
      <c r="J943" s="61"/>
      <c r="K943" s="61"/>
      <c r="L943" s="60"/>
      <c r="M943" s="74" t="str">
        <f t="shared" si="115"/>
        <v/>
      </c>
      <c r="N943" s="74" t="str">
        <f t="shared" si="116"/>
        <v/>
      </c>
      <c r="O943" s="73" t="str">
        <f t="shared" si="117"/>
        <v/>
      </c>
      <c r="P943" s="65" t="str">
        <f t="shared" ca="1" si="118"/>
        <v/>
      </c>
      <c r="Q943" s="2"/>
      <c r="R943" s="2"/>
      <c r="S943" s="1" t="str">
        <f t="shared" si="119"/>
        <v/>
      </c>
      <c r="T943" s="1" t="str">
        <f>IF(OR($C943="",$D943&lt;&gt;"Gelir",$L943=""),"",IFERROR(INDEX(MUSTERILER!$B$7:$B$156,MATCH($S943,MUSTERILER!$T$7:$T$156,0)),""))</f>
        <v/>
      </c>
      <c r="U943" s="1" t="str">
        <f>IF($T943="","",$T943&amp;"|"&amp;COUNTIFS($T$7:$T943,$T943))</f>
        <v/>
      </c>
      <c r="V943" s="1">
        <f t="shared" si="120"/>
        <v>0</v>
      </c>
      <c r="W943" s="1" t="str">
        <f t="shared" si="121"/>
        <v/>
      </c>
      <c r="X943" s="1"/>
      <c r="Y943" s="1"/>
      <c r="Z943" s="1"/>
      <c r="AA943" s="1"/>
      <c r="AB943" s="1"/>
      <c r="AC943" s="1"/>
      <c r="AD943" s="1">
        <f>IF($C943="",0,SUMPRODUCT((AY_SONU!$O$7:$O$42="Evet")*(AY_SONU!$B$7:$B$42=DATE(YEAR($C943),MONTH($C943),1))))</f>
        <v>0</v>
      </c>
      <c r="AE943" s="1" t="str">
        <f>IF($E943="","",$E943&amp;"|"&amp;COUNTIFS($E$7:$E943,$E943))</f>
        <v/>
      </c>
    </row>
    <row r="944" spans="1:31" ht="18" customHeight="1" x14ac:dyDescent="0.3">
      <c r="A944" s="2"/>
      <c r="B944" s="65" t="str">
        <f t="shared" si="114"/>
        <v/>
      </c>
      <c r="C944" s="66"/>
      <c r="D944" s="60"/>
      <c r="E944" s="61"/>
      <c r="F944" s="61"/>
      <c r="G944" s="67"/>
      <c r="H944" s="60"/>
      <c r="I944" s="60"/>
      <c r="J944" s="61"/>
      <c r="K944" s="61"/>
      <c r="L944" s="60"/>
      <c r="M944" s="74" t="str">
        <f t="shared" si="115"/>
        <v/>
      </c>
      <c r="N944" s="74" t="str">
        <f t="shared" si="116"/>
        <v/>
      </c>
      <c r="O944" s="73" t="str">
        <f t="shared" si="117"/>
        <v/>
      </c>
      <c r="P944" s="65" t="str">
        <f t="shared" ca="1" si="118"/>
        <v/>
      </c>
      <c r="Q944" s="2"/>
      <c r="R944" s="2"/>
      <c r="S944" s="1" t="str">
        <f t="shared" si="119"/>
        <v/>
      </c>
      <c r="T944" s="1" t="str">
        <f>IF(OR($C944="",$D944&lt;&gt;"Gelir",$L944=""),"",IFERROR(INDEX(MUSTERILER!$B$7:$B$156,MATCH($S944,MUSTERILER!$T$7:$T$156,0)),""))</f>
        <v/>
      </c>
      <c r="U944" s="1" t="str">
        <f>IF($T944="","",$T944&amp;"|"&amp;COUNTIFS($T$7:$T944,$T944))</f>
        <v/>
      </c>
      <c r="V944" s="1">
        <f t="shared" si="120"/>
        <v>0</v>
      </c>
      <c r="W944" s="1" t="str">
        <f t="shared" si="121"/>
        <v/>
      </c>
      <c r="X944" s="1"/>
      <c r="Y944" s="1"/>
      <c r="Z944" s="1"/>
      <c r="AA944" s="1"/>
      <c r="AB944" s="1"/>
      <c r="AC944" s="1"/>
      <c r="AD944" s="1">
        <f>IF($C944="",0,SUMPRODUCT((AY_SONU!$O$7:$O$42="Evet")*(AY_SONU!$B$7:$B$42=DATE(YEAR($C944),MONTH($C944),1))))</f>
        <v>0</v>
      </c>
      <c r="AE944" s="1" t="str">
        <f>IF($E944="","",$E944&amp;"|"&amp;COUNTIFS($E$7:$E944,$E944))</f>
        <v/>
      </c>
    </row>
    <row r="945" spans="1:31" ht="18" customHeight="1" x14ac:dyDescent="0.3">
      <c r="A945" s="2"/>
      <c r="B945" s="65" t="str">
        <f t="shared" si="114"/>
        <v/>
      </c>
      <c r="C945" s="66"/>
      <c r="D945" s="60"/>
      <c r="E945" s="61"/>
      <c r="F945" s="61"/>
      <c r="G945" s="67"/>
      <c r="H945" s="60"/>
      <c r="I945" s="60"/>
      <c r="J945" s="61"/>
      <c r="K945" s="61"/>
      <c r="L945" s="60"/>
      <c r="M945" s="74" t="str">
        <f t="shared" si="115"/>
        <v/>
      </c>
      <c r="N945" s="74" t="str">
        <f t="shared" si="116"/>
        <v/>
      </c>
      <c r="O945" s="73" t="str">
        <f t="shared" si="117"/>
        <v/>
      </c>
      <c r="P945" s="65" t="str">
        <f t="shared" ca="1" si="118"/>
        <v/>
      </c>
      <c r="Q945" s="2"/>
      <c r="R945" s="2"/>
      <c r="S945" s="1" t="str">
        <f t="shared" si="119"/>
        <v/>
      </c>
      <c r="T945" s="1" t="str">
        <f>IF(OR($C945="",$D945&lt;&gt;"Gelir",$L945=""),"",IFERROR(INDEX(MUSTERILER!$B$7:$B$156,MATCH($S945,MUSTERILER!$T$7:$T$156,0)),""))</f>
        <v/>
      </c>
      <c r="U945" s="1" t="str">
        <f>IF($T945="","",$T945&amp;"|"&amp;COUNTIFS($T$7:$T945,$T945))</f>
        <v/>
      </c>
      <c r="V945" s="1">
        <f t="shared" si="120"/>
        <v>0</v>
      </c>
      <c r="W945" s="1" t="str">
        <f t="shared" si="121"/>
        <v/>
      </c>
      <c r="X945" s="1"/>
      <c r="Y945" s="1"/>
      <c r="Z945" s="1"/>
      <c r="AA945" s="1"/>
      <c r="AB945" s="1"/>
      <c r="AC945" s="1"/>
      <c r="AD945" s="1">
        <f>IF($C945="",0,SUMPRODUCT((AY_SONU!$O$7:$O$42="Evet")*(AY_SONU!$B$7:$B$42=DATE(YEAR($C945),MONTH($C945),1))))</f>
        <v>0</v>
      </c>
      <c r="AE945" s="1" t="str">
        <f>IF($E945="","",$E945&amp;"|"&amp;COUNTIFS($E$7:$E945,$E945))</f>
        <v/>
      </c>
    </row>
    <row r="946" spans="1:31" ht="18" customHeight="1" x14ac:dyDescent="0.3">
      <c r="A946" s="2"/>
      <c r="B946" s="65" t="str">
        <f t="shared" si="114"/>
        <v/>
      </c>
      <c r="C946" s="66"/>
      <c r="D946" s="60"/>
      <c r="E946" s="61"/>
      <c r="F946" s="61"/>
      <c r="G946" s="67"/>
      <c r="H946" s="60"/>
      <c r="I946" s="60"/>
      <c r="J946" s="61"/>
      <c r="K946" s="61"/>
      <c r="L946" s="60"/>
      <c r="M946" s="74" t="str">
        <f t="shared" si="115"/>
        <v/>
      </c>
      <c r="N946" s="74" t="str">
        <f t="shared" si="116"/>
        <v/>
      </c>
      <c r="O946" s="73" t="str">
        <f t="shared" si="117"/>
        <v/>
      </c>
      <c r="P946" s="65" t="str">
        <f t="shared" ca="1" si="118"/>
        <v/>
      </c>
      <c r="Q946" s="2"/>
      <c r="R946" s="2"/>
      <c r="S946" s="1" t="str">
        <f t="shared" si="119"/>
        <v/>
      </c>
      <c r="T946" s="1" t="str">
        <f>IF(OR($C946="",$D946&lt;&gt;"Gelir",$L946=""),"",IFERROR(INDEX(MUSTERILER!$B$7:$B$156,MATCH($S946,MUSTERILER!$T$7:$T$156,0)),""))</f>
        <v/>
      </c>
      <c r="U946" s="1" t="str">
        <f>IF($T946="","",$T946&amp;"|"&amp;COUNTIFS($T$7:$T946,$T946))</f>
        <v/>
      </c>
      <c r="V946" s="1">
        <f t="shared" si="120"/>
        <v>0</v>
      </c>
      <c r="W946" s="1" t="str">
        <f t="shared" si="121"/>
        <v/>
      </c>
      <c r="X946" s="1"/>
      <c r="Y946" s="1"/>
      <c r="Z946" s="1"/>
      <c r="AA946" s="1"/>
      <c r="AB946" s="1"/>
      <c r="AC946" s="1"/>
      <c r="AD946" s="1">
        <f>IF($C946="",0,SUMPRODUCT((AY_SONU!$O$7:$O$42="Evet")*(AY_SONU!$B$7:$B$42=DATE(YEAR($C946),MONTH($C946),1))))</f>
        <v>0</v>
      </c>
      <c r="AE946" s="1" t="str">
        <f>IF($E946="","",$E946&amp;"|"&amp;COUNTIFS($E$7:$E946,$E946))</f>
        <v/>
      </c>
    </row>
    <row r="947" spans="1:31" ht="18" customHeight="1" x14ac:dyDescent="0.3">
      <c r="A947" s="2"/>
      <c r="B947" s="65" t="str">
        <f t="shared" si="114"/>
        <v/>
      </c>
      <c r="C947" s="66"/>
      <c r="D947" s="60"/>
      <c r="E947" s="61"/>
      <c r="F947" s="61"/>
      <c r="G947" s="67"/>
      <c r="H947" s="60"/>
      <c r="I947" s="60"/>
      <c r="J947" s="61"/>
      <c r="K947" s="61"/>
      <c r="L947" s="60"/>
      <c r="M947" s="74" t="str">
        <f t="shared" si="115"/>
        <v/>
      </c>
      <c r="N947" s="74" t="str">
        <f t="shared" si="116"/>
        <v/>
      </c>
      <c r="O947" s="73" t="str">
        <f t="shared" si="117"/>
        <v/>
      </c>
      <c r="P947" s="65" t="str">
        <f t="shared" ca="1" si="118"/>
        <v/>
      </c>
      <c r="Q947" s="2"/>
      <c r="R947" s="2"/>
      <c r="S947" s="1" t="str">
        <f t="shared" si="119"/>
        <v/>
      </c>
      <c r="T947" s="1" t="str">
        <f>IF(OR($C947="",$D947&lt;&gt;"Gelir",$L947=""),"",IFERROR(INDEX(MUSTERILER!$B$7:$B$156,MATCH($S947,MUSTERILER!$T$7:$T$156,0)),""))</f>
        <v/>
      </c>
      <c r="U947" s="1" t="str">
        <f>IF($T947="","",$T947&amp;"|"&amp;COUNTIFS($T$7:$T947,$T947))</f>
        <v/>
      </c>
      <c r="V947" s="1">
        <f t="shared" si="120"/>
        <v>0</v>
      </c>
      <c r="W947" s="1" t="str">
        <f t="shared" si="121"/>
        <v/>
      </c>
      <c r="X947" s="1"/>
      <c r="Y947" s="1"/>
      <c r="Z947" s="1"/>
      <c r="AA947" s="1"/>
      <c r="AB947" s="1"/>
      <c r="AC947" s="1"/>
      <c r="AD947" s="1">
        <f>IF($C947="",0,SUMPRODUCT((AY_SONU!$O$7:$O$42="Evet")*(AY_SONU!$B$7:$B$42=DATE(YEAR($C947),MONTH($C947),1))))</f>
        <v>0</v>
      </c>
      <c r="AE947" s="1" t="str">
        <f>IF($E947="","",$E947&amp;"|"&amp;COUNTIFS($E$7:$E947,$E947))</f>
        <v/>
      </c>
    </row>
    <row r="948" spans="1:31" ht="18" customHeight="1" x14ac:dyDescent="0.3">
      <c r="A948" s="2"/>
      <c r="B948" s="65" t="str">
        <f t="shared" si="114"/>
        <v/>
      </c>
      <c r="C948" s="66"/>
      <c r="D948" s="60"/>
      <c r="E948" s="61"/>
      <c r="F948" s="61"/>
      <c r="G948" s="67"/>
      <c r="H948" s="60"/>
      <c r="I948" s="60"/>
      <c r="J948" s="61"/>
      <c r="K948" s="61"/>
      <c r="L948" s="60"/>
      <c r="M948" s="74" t="str">
        <f t="shared" si="115"/>
        <v/>
      </c>
      <c r="N948" s="74" t="str">
        <f t="shared" si="116"/>
        <v/>
      </c>
      <c r="O948" s="73" t="str">
        <f t="shared" si="117"/>
        <v/>
      </c>
      <c r="P948" s="65" t="str">
        <f t="shared" ca="1" si="118"/>
        <v/>
      </c>
      <c r="Q948" s="2"/>
      <c r="R948" s="2"/>
      <c r="S948" s="1" t="str">
        <f t="shared" si="119"/>
        <v/>
      </c>
      <c r="T948" s="1" t="str">
        <f>IF(OR($C948="",$D948&lt;&gt;"Gelir",$L948=""),"",IFERROR(INDEX(MUSTERILER!$B$7:$B$156,MATCH($S948,MUSTERILER!$T$7:$T$156,0)),""))</f>
        <v/>
      </c>
      <c r="U948" s="1" t="str">
        <f>IF($T948="","",$T948&amp;"|"&amp;COUNTIFS($T$7:$T948,$T948))</f>
        <v/>
      </c>
      <c r="V948" s="1">
        <f t="shared" si="120"/>
        <v>0</v>
      </c>
      <c r="W948" s="1" t="str">
        <f t="shared" si="121"/>
        <v/>
      </c>
      <c r="X948" s="1"/>
      <c r="Y948" s="1"/>
      <c r="Z948" s="1"/>
      <c r="AA948" s="1"/>
      <c r="AB948" s="1"/>
      <c r="AC948" s="1"/>
      <c r="AD948" s="1">
        <f>IF($C948="",0,SUMPRODUCT((AY_SONU!$O$7:$O$42="Evet")*(AY_SONU!$B$7:$B$42=DATE(YEAR($C948),MONTH($C948),1))))</f>
        <v>0</v>
      </c>
      <c r="AE948" s="1" t="str">
        <f>IF($E948="","",$E948&amp;"|"&amp;COUNTIFS($E$7:$E948,$E948))</f>
        <v/>
      </c>
    </row>
    <row r="949" spans="1:31" ht="18" customHeight="1" x14ac:dyDescent="0.3">
      <c r="A949" s="2"/>
      <c r="B949" s="65" t="str">
        <f t="shared" si="114"/>
        <v/>
      </c>
      <c r="C949" s="66"/>
      <c r="D949" s="60"/>
      <c r="E949" s="61"/>
      <c r="F949" s="61"/>
      <c r="G949" s="67"/>
      <c r="H949" s="60"/>
      <c r="I949" s="60"/>
      <c r="J949" s="61"/>
      <c r="K949" s="61"/>
      <c r="L949" s="60"/>
      <c r="M949" s="74" t="str">
        <f t="shared" si="115"/>
        <v/>
      </c>
      <c r="N949" s="74" t="str">
        <f t="shared" si="116"/>
        <v/>
      </c>
      <c r="O949" s="73" t="str">
        <f t="shared" si="117"/>
        <v/>
      </c>
      <c r="P949" s="65" t="str">
        <f t="shared" ca="1" si="118"/>
        <v/>
      </c>
      <c r="Q949" s="2"/>
      <c r="R949" s="2"/>
      <c r="S949" s="1" t="str">
        <f t="shared" si="119"/>
        <v/>
      </c>
      <c r="T949" s="1" t="str">
        <f>IF(OR($C949="",$D949&lt;&gt;"Gelir",$L949=""),"",IFERROR(INDEX(MUSTERILER!$B$7:$B$156,MATCH($S949,MUSTERILER!$T$7:$T$156,0)),""))</f>
        <v/>
      </c>
      <c r="U949" s="1" t="str">
        <f>IF($T949="","",$T949&amp;"|"&amp;COUNTIFS($T$7:$T949,$T949))</f>
        <v/>
      </c>
      <c r="V949" s="1">
        <f t="shared" si="120"/>
        <v>0</v>
      </c>
      <c r="W949" s="1" t="str">
        <f t="shared" si="121"/>
        <v/>
      </c>
      <c r="X949" s="1"/>
      <c r="Y949" s="1"/>
      <c r="Z949" s="1"/>
      <c r="AA949" s="1"/>
      <c r="AB949" s="1"/>
      <c r="AC949" s="1"/>
      <c r="AD949" s="1">
        <f>IF($C949="",0,SUMPRODUCT((AY_SONU!$O$7:$O$42="Evet")*(AY_SONU!$B$7:$B$42=DATE(YEAR($C949),MONTH($C949),1))))</f>
        <v>0</v>
      </c>
      <c r="AE949" s="1" t="str">
        <f>IF($E949="","",$E949&amp;"|"&amp;COUNTIFS($E$7:$E949,$E949))</f>
        <v/>
      </c>
    </row>
    <row r="950" spans="1:31" ht="18" customHeight="1" x14ac:dyDescent="0.3">
      <c r="A950" s="2"/>
      <c r="B950" s="65" t="str">
        <f t="shared" si="114"/>
        <v/>
      </c>
      <c r="C950" s="66"/>
      <c r="D950" s="60"/>
      <c r="E950" s="61"/>
      <c r="F950" s="61"/>
      <c r="G950" s="67"/>
      <c r="H950" s="60"/>
      <c r="I950" s="60"/>
      <c r="J950" s="61"/>
      <c r="K950" s="61"/>
      <c r="L950" s="60"/>
      <c r="M950" s="74" t="str">
        <f t="shared" si="115"/>
        <v/>
      </c>
      <c r="N950" s="74" t="str">
        <f t="shared" si="116"/>
        <v/>
      </c>
      <c r="O950" s="73" t="str">
        <f t="shared" si="117"/>
        <v/>
      </c>
      <c r="P950" s="65" t="str">
        <f t="shared" ca="1" si="118"/>
        <v/>
      </c>
      <c r="Q950" s="2"/>
      <c r="R950" s="2"/>
      <c r="S950" s="1" t="str">
        <f t="shared" si="119"/>
        <v/>
      </c>
      <c r="T950" s="1" t="str">
        <f>IF(OR($C950="",$D950&lt;&gt;"Gelir",$L950=""),"",IFERROR(INDEX(MUSTERILER!$B$7:$B$156,MATCH($S950,MUSTERILER!$T$7:$T$156,0)),""))</f>
        <v/>
      </c>
      <c r="U950" s="1" t="str">
        <f>IF($T950="","",$T950&amp;"|"&amp;COUNTIFS($T$7:$T950,$T950))</f>
        <v/>
      </c>
      <c r="V950" s="1">
        <f t="shared" si="120"/>
        <v>0</v>
      </c>
      <c r="W950" s="1" t="str">
        <f t="shared" si="121"/>
        <v/>
      </c>
      <c r="X950" s="1"/>
      <c r="Y950" s="1"/>
      <c r="Z950" s="1"/>
      <c r="AA950" s="1"/>
      <c r="AB950" s="1"/>
      <c r="AC950" s="1"/>
      <c r="AD950" s="1">
        <f>IF($C950="",0,SUMPRODUCT((AY_SONU!$O$7:$O$42="Evet")*(AY_SONU!$B$7:$B$42=DATE(YEAR($C950),MONTH($C950),1))))</f>
        <v>0</v>
      </c>
      <c r="AE950" s="1" t="str">
        <f>IF($E950="","",$E950&amp;"|"&amp;COUNTIFS($E$7:$E950,$E950))</f>
        <v/>
      </c>
    </row>
    <row r="951" spans="1:31" ht="18" customHeight="1" x14ac:dyDescent="0.3">
      <c r="A951" s="2"/>
      <c r="B951" s="65" t="str">
        <f t="shared" si="114"/>
        <v/>
      </c>
      <c r="C951" s="66"/>
      <c r="D951" s="60"/>
      <c r="E951" s="61"/>
      <c r="F951" s="61"/>
      <c r="G951" s="67"/>
      <c r="H951" s="60"/>
      <c r="I951" s="60"/>
      <c r="J951" s="61"/>
      <c r="K951" s="61"/>
      <c r="L951" s="60"/>
      <c r="M951" s="74" t="str">
        <f t="shared" si="115"/>
        <v/>
      </c>
      <c r="N951" s="74" t="str">
        <f t="shared" si="116"/>
        <v/>
      </c>
      <c r="O951" s="73" t="str">
        <f t="shared" si="117"/>
        <v/>
      </c>
      <c r="P951" s="65" t="str">
        <f t="shared" ca="1" si="118"/>
        <v/>
      </c>
      <c r="Q951" s="2"/>
      <c r="R951" s="2"/>
      <c r="S951" s="1" t="str">
        <f t="shared" si="119"/>
        <v/>
      </c>
      <c r="T951" s="1" t="str">
        <f>IF(OR($C951="",$D951&lt;&gt;"Gelir",$L951=""),"",IFERROR(INDEX(MUSTERILER!$B$7:$B$156,MATCH($S951,MUSTERILER!$T$7:$T$156,0)),""))</f>
        <v/>
      </c>
      <c r="U951" s="1" t="str">
        <f>IF($T951="","",$T951&amp;"|"&amp;COUNTIFS($T$7:$T951,$T951))</f>
        <v/>
      </c>
      <c r="V951" s="1">
        <f t="shared" si="120"/>
        <v>0</v>
      </c>
      <c r="W951" s="1" t="str">
        <f t="shared" si="121"/>
        <v/>
      </c>
      <c r="X951" s="1"/>
      <c r="Y951" s="1"/>
      <c r="Z951" s="1"/>
      <c r="AA951" s="1"/>
      <c r="AB951" s="1"/>
      <c r="AC951" s="1"/>
      <c r="AD951" s="1">
        <f>IF($C951="",0,SUMPRODUCT((AY_SONU!$O$7:$O$42="Evet")*(AY_SONU!$B$7:$B$42=DATE(YEAR($C951),MONTH($C951),1))))</f>
        <v>0</v>
      </c>
      <c r="AE951" s="1" t="str">
        <f>IF($E951="","",$E951&amp;"|"&amp;COUNTIFS($E$7:$E951,$E951))</f>
        <v/>
      </c>
    </row>
    <row r="952" spans="1:31" ht="18" customHeight="1" x14ac:dyDescent="0.3">
      <c r="A952" s="2"/>
      <c r="B952" s="65" t="str">
        <f t="shared" si="114"/>
        <v/>
      </c>
      <c r="C952" s="66"/>
      <c r="D952" s="60"/>
      <c r="E952" s="61"/>
      <c r="F952" s="61"/>
      <c r="G952" s="67"/>
      <c r="H952" s="60"/>
      <c r="I952" s="60"/>
      <c r="J952" s="61"/>
      <c r="K952" s="61"/>
      <c r="L952" s="60"/>
      <c r="M952" s="74" t="str">
        <f t="shared" si="115"/>
        <v/>
      </c>
      <c r="N952" s="74" t="str">
        <f t="shared" si="116"/>
        <v/>
      </c>
      <c r="O952" s="73" t="str">
        <f t="shared" si="117"/>
        <v/>
      </c>
      <c r="P952" s="65" t="str">
        <f t="shared" ca="1" si="118"/>
        <v/>
      </c>
      <c r="Q952" s="2"/>
      <c r="R952" s="2"/>
      <c r="S952" s="1" t="str">
        <f t="shared" si="119"/>
        <v/>
      </c>
      <c r="T952" s="1" t="str">
        <f>IF(OR($C952="",$D952&lt;&gt;"Gelir",$L952=""),"",IFERROR(INDEX(MUSTERILER!$B$7:$B$156,MATCH($S952,MUSTERILER!$T$7:$T$156,0)),""))</f>
        <v/>
      </c>
      <c r="U952" s="1" t="str">
        <f>IF($T952="","",$T952&amp;"|"&amp;COUNTIFS($T$7:$T952,$T952))</f>
        <v/>
      </c>
      <c r="V952" s="1">
        <f t="shared" si="120"/>
        <v>0</v>
      </c>
      <c r="W952" s="1" t="str">
        <f t="shared" si="121"/>
        <v/>
      </c>
      <c r="X952" s="1"/>
      <c r="Y952" s="1"/>
      <c r="Z952" s="1"/>
      <c r="AA952" s="1"/>
      <c r="AB952" s="1"/>
      <c r="AC952" s="1"/>
      <c r="AD952" s="1">
        <f>IF($C952="",0,SUMPRODUCT((AY_SONU!$O$7:$O$42="Evet")*(AY_SONU!$B$7:$B$42=DATE(YEAR($C952),MONTH($C952),1))))</f>
        <v>0</v>
      </c>
      <c r="AE952" s="1" t="str">
        <f>IF($E952="","",$E952&amp;"|"&amp;COUNTIFS($E$7:$E952,$E952))</f>
        <v/>
      </c>
    </row>
    <row r="953" spans="1:31" ht="18" customHeight="1" x14ac:dyDescent="0.3">
      <c r="A953" s="2"/>
      <c r="B953" s="65" t="str">
        <f t="shared" si="114"/>
        <v/>
      </c>
      <c r="C953" s="66"/>
      <c r="D953" s="60"/>
      <c r="E953" s="61"/>
      <c r="F953" s="61"/>
      <c r="G953" s="67"/>
      <c r="H953" s="60"/>
      <c r="I953" s="60"/>
      <c r="J953" s="61"/>
      <c r="K953" s="61"/>
      <c r="L953" s="60"/>
      <c r="M953" s="74" t="str">
        <f t="shared" si="115"/>
        <v/>
      </c>
      <c r="N953" s="74" t="str">
        <f t="shared" si="116"/>
        <v/>
      </c>
      <c r="O953" s="73" t="str">
        <f t="shared" si="117"/>
        <v/>
      </c>
      <c r="P953" s="65" t="str">
        <f t="shared" ca="1" si="118"/>
        <v/>
      </c>
      <c r="Q953" s="2"/>
      <c r="R953" s="2"/>
      <c r="S953" s="1" t="str">
        <f t="shared" si="119"/>
        <v/>
      </c>
      <c r="T953" s="1" t="str">
        <f>IF(OR($C953="",$D953&lt;&gt;"Gelir",$L953=""),"",IFERROR(INDEX(MUSTERILER!$B$7:$B$156,MATCH($S953,MUSTERILER!$T$7:$T$156,0)),""))</f>
        <v/>
      </c>
      <c r="U953" s="1" t="str">
        <f>IF($T953="","",$T953&amp;"|"&amp;COUNTIFS($T$7:$T953,$T953))</f>
        <v/>
      </c>
      <c r="V953" s="1">
        <f t="shared" si="120"/>
        <v>0</v>
      </c>
      <c r="W953" s="1" t="str">
        <f t="shared" si="121"/>
        <v/>
      </c>
      <c r="X953" s="1"/>
      <c r="Y953" s="1"/>
      <c r="Z953" s="1"/>
      <c r="AA953" s="1"/>
      <c r="AB953" s="1"/>
      <c r="AC953" s="1"/>
      <c r="AD953" s="1">
        <f>IF($C953="",0,SUMPRODUCT((AY_SONU!$O$7:$O$42="Evet")*(AY_SONU!$B$7:$B$42=DATE(YEAR($C953),MONTH($C953),1))))</f>
        <v>0</v>
      </c>
      <c r="AE953" s="1" t="str">
        <f>IF($E953="","",$E953&amp;"|"&amp;COUNTIFS($E$7:$E953,$E953))</f>
        <v/>
      </c>
    </row>
    <row r="954" spans="1:31" ht="18" customHeight="1" x14ac:dyDescent="0.3">
      <c r="A954" s="2"/>
      <c r="B954" s="65" t="str">
        <f t="shared" si="114"/>
        <v/>
      </c>
      <c r="C954" s="66"/>
      <c r="D954" s="60"/>
      <c r="E954" s="61"/>
      <c r="F954" s="61"/>
      <c r="G954" s="67"/>
      <c r="H954" s="60"/>
      <c r="I954" s="60"/>
      <c r="J954" s="61"/>
      <c r="K954" s="61"/>
      <c r="L954" s="60"/>
      <c r="M954" s="74" t="str">
        <f t="shared" si="115"/>
        <v/>
      </c>
      <c r="N954" s="74" t="str">
        <f t="shared" si="116"/>
        <v/>
      </c>
      <c r="O954" s="73" t="str">
        <f t="shared" si="117"/>
        <v/>
      </c>
      <c r="P954" s="65" t="str">
        <f t="shared" ca="1" si="118"/>
        <v/>
      </c>
      <c r="Q954" s="2"/>
      <c r="R954" s="2"/>
      <c r="S954" s="1" t="str">
        <f t="shared" si="119"/>
        <v/>
      </c>
      <c r="T954" s="1" t="str">
        <f>IF(OR($C954="",$D954&lt;&gt;"Gelir",$L954=""),"",IFERROR(INDEX(MUSTERILER!$B$7:$B$156,MATCH($S954,MUSTERILER!$T$7:$T$156,0)),""))</f>
        <v/>
      </c>
      <c r="U954" s="1" t="str">
        <f>IF($T954="","",$T954&amp;"|"&amp;COUNTIFS($T$7:$T954,$T954))</f>
        <v/>
      </c>
      <c r="V954" s="1">
        <f t="shared" si="120"/>
        <v>0</v>
      </c>
      <c r="W954" s="1" t="str">
        <f t="shared" si="121"/>
        <v/>
      </c>
      <c r="X954" s="1"/>
      <c r="Y954" s="1"/>
      <c r="Z954" s="1"/>
      <c r="AA954" s="1"/>
      <c r="AB954" s="1"/>
      <c r="AC954" s="1"/>
      <c r="AD954" s="1">
        <f>IF($C954="",0,SUMPRODUCT((AY_SONU!$O$7:$O$42="Evet")*(AY_SONU!$B$7:$B$42=DATE(YEAR($C954),MONTH($C954),1))))</f>
        <v>0</v>
      </c>
      <c r="AE954" s="1" t="str">
        <f>IF($E954="","",$E954&amp;"|"&amp;COUNTIFS($E$7:$E954,$E954))</f>
        <v/>
      </c>
    </row>
    <row r="955" spans="1:31" ht="18" customHeight="1" x14ac:dyDescent="0.3">
      <c r="A955" s="2"/>
      <c r="B955" s="65" t="str">
        <f t="shared" si="114"/>
        <v/>
      </c>
      <c r="C955" s="66"/>
      <c r="D955" s="60"/>
      <c r="E955" s="61"/>
      <c r="F955" s="61"/>
      <c r="G955" s="67"/>
      <c r="H955" s="60"/>
      <c r="I955" s="60"/>
      <c r="J955" s="61"/>
      <c r="K955" s="61"/>
      <c r="L955" s="60"/>
      <c r="M955" s="74" t="str">
        <f t="shared" si="115"/>
        <v/>
      </c>
      <c r="N955" s="74" t="str">
        <f t="shared" si="116"/>
        <v/>
      </c>
      <c r="O955" s="73" t="str">
        <f t="shared" si="117"/>
        <v/>
      </c>
      <c r="P955" s="65" t="str">
        <f t="shared" ca="1" si="118"/>
        <v/>
      </c>
      <c r="Q955" s="2"/>
      <c r="R955" s="2"/>
      <c r="S955" s="1" t="str">
        <f t="shared" si="119"/>
        <v/>
      </c>
      <c r="T955" s="1" t="str">
        <f>IF(OR($C955="",$D955&lt;&gt;"Gelir",$L955=""),"",IFERROR(INDEX(MUSTERILER!$B$7:$B$156,MATCH($S955,MUSTERILER!$T$7:$T$156,0)),""))</f>
        <v/>
      </c>
      <c r="U955" s="1" t="str">
        <f>IF($T955="","",$T955&amp;"|"&amp;COUNTIFS($T$7:$T955,$T955))</f>
        <v/>
      </c>
      <c r="V955" s="1">
        <f t="shared" si="120"/>
        <v>0</v>
      </c>
      <c r="W955" s="1" t="str">
        <f t="shared" si="121"/>
        <v/>
      </c>
      <c r="X955" s="1"/>
      <c r="Y955" s="1"/>
      <c r="Z955" s="1"/>
      <c r="AA955" s="1"/>
      <c r="AB955" s="1"/>
      <c r="AC955" s="1"/>
      <c r="AD955" s="1">
        <f>IF($C955="",0,SUMPRODUCT((AY_SONU!$O$7:$O$42="Evet")*(AY_SONU!$B$7:$B$42=DATE(YEAR($C955),MONTH($C955),1))))</f>
        <v>0</v>
      </c>
      <c r="AE955" s="1" t="str">
        <f>IF($E955="","",$E955&amp;"|"&amp;COUNTIFS($E$7:$E955,$E955))</f>
        <v/>
      </c>
    </row>
    <row r="956" spans="1:31" ht="18" customHeight="1" x14ac:dyDescent="0.3">
      <c r="A956" s="2"/>
      <c r="B956" s="65" t="str">
        <f t="shared" si="114"/>
        <v/>
      </c>
      <c r="C956" s="66"/>
      <c r="D956" s="60"/>
      <c r="E956" s="61"/>
      <c r="F956" s="61"/>
      <c r="G956" s="67"/>
      <c r="H956" s="60"/>
      <c r="I956" s="60"/>
      <c r="J956" s="61"/>
      <c r="K956" s="61"/>
      <c r="L956" s="60"/>
      <c r="M956" s="74" t="str">
        <f t="shared" si="115"/>
        <v/>
      </c>
      <c r="N956" s="74" t="str">
        <f t="shared" si="116"/>
        <v/>
      </c>
      <c r="O956" s="73" t="str">
        <f t="shared" si="117"/>
        <v/>
      </c>
      <c r="P956" s="65" t="str">
        <f t="shared" ca="1" si="118"/>
        <v/>
      </c>
      <c r="Q956" s="2"/>
      <c r="R956" s="2"/>
      <c r="S956" s="1" t="str">
        <f t="shared" si="119"/>
        <v/>
      </c>
      <c r="T956" s="1" t="str">
        <f>IF(OR($C956="",$D956&lt;&gt;"Gelir",$L956=""),"",IFERROR(INDEX(MUSTERILER!$B$7:$B$156,MATCH($S956,MUSTERILER!$T$7:$T$156,0)),""))</f>
        <v/>
      </c>
      <c r="U956" s="1" t="str">
        <f>IF($T956="","",$T956&amp;"|"&amp;COUNTIFS($T$7:$T956,$T956))</f>
        <v/>
      </c>
      <c r="V956" s="1">
        <f t="shared" si="120"/>
        <v>0</v>
      </c>
      <c r="W956" s="1" t="str">
        <f t="shared" si="121"/>
        <v/>
      </c>
      <c r="X956" s="1"/>
      <c r="Y956" s="1"/>
      <c r="Z956" s="1"/>
      <c r="AA956" s="1"/>
      <c r="AB956" s="1"/>
      <c r="AC956" s="1"/>
      <c r="AD956" s="1">
        <f>IF($C956="",0,SUMPRODUCT((AY_SONU!$O$7:$O$42="Evet")*(AY_SONU!$B$7:$B$42=DATE(YEAR($C956),MONTH($C956),1))))</f>
        <v>0</v>
      </c>
      <c r="AE956" s="1" t="str">
        <f>IF($E956="","",$E956&amp;"|"&amp;COUNTIFS($E$7:$E956,$E956))</f>
        <v/>
      </c>
    </row>
    <row r="957" spans="1:31" ht="18" customHeight="1" x14ac:dyDescent="0.3">
      <c r="A957" s="2"/>
      <c r="B957" s="65" t="str">
        <f t="shared" si="114"/>
        <v/>
      </c>
      <c r="C957" s="66"/>
      <c r="D957" s="60"/>
      <c r="E957" s="61"/>
      <c r="F957" s="61"/>
      <c r="G957" s="67"/>
      <c r="H957" s="60"/>
      <c r="I957" s="60"/>
      <c r="J957" s="61"/>
      <c r="K957" s="61"/>
      <c r="L957" s="60"/>
      <c r="M957" s="74" t="str">
        <f t="shared" si="115"/>
        <v/>
      </c>
      <c r="N957" s="74" t="str">
        <f t="shared" si="116"/>
        <v/>
      </c>
      <c r="O957" s="73" t="str">
        <f t="shared" si="117"/>
        <v/>
      </c>
      <c r="P957" s="65" t="str">
        <f t="shared" ca="1" si="118"/>
        <v/>
      </c>
      <c r="Q957" s="2"/>
      <c r="R957" s="2"/>
      <c r="S957" s="1" t="str">
        <f t="shared" si="119"/>
        <v/>
      </c>
      <c r="T957" s="1" t="str">
        <f>IF(OR($C957="",$D957&lt;&gt;"Gelir",$L957=""),"",IFERROR(INDEX(MUSTERILER!$B$7:$B$156,MATCH($S957,MUSTERILER!$T$7:$T$156,0)),""))</f>
        <v/>
      </c>
      <c r="U957" s="1" t="str">
        <f>IF($T957="","",$T957&amp;"|"&amp;COUNTIFS($T$7:$T957,$T957))</f>
        <v/>
      </c>
      <c r="V957" s="1">
        <f t="shared" si="120"/>
        <v>0</v>
      </c>
      <c r="W957" s="1" t="str">
        <f t="shared" si="121"/>
        <v/>
      </c>
      <c r="X957" s="1"/>
      <c r="Y957" s="1"/>
      <c r="Z957" s="1"/>
      <c r="AA957" s="1"/>
      <c r="AB957" s="1"/>
      <c r="AC957" s="1"/>
      <c r="AD957" s="1">
        <f>IF($C957="",0,SUMPRODUCT((AY_SONU!$O$7:$O$42="Evet")*(AY_SONU!$B$7:$B$42=DATE(YEAR($C957),MONTH($C957),1))))</f>
        <v>0</v>
      </c>
      <c r="AE957" s="1" t="str">
        <f>IF($E957="","",$E957&amp;"|"&amp;COUNTIFS($E$7:$E957,$E957))</f>
        <v/>
      </c>
    </row>
    <row r="958" spans="1:31" ht="18" customHeight="1" x14ac:dyDescent="0.3">
      <c r="A958" s="2"/>
      <c r="B958" s="65" t="str">
        <f t="shared" si="114"/>
        <v/>
      </c>
      <c r="C958" s="66"/>
      <c r="D958" s="60"/>
      <c r="E958" s="61"/>
      <c r="F958" s="61"/>
      <c r="G958" s="67"/>
      <c r="H958" s="60"/>
      <c r="I958" s="60"/>
      <c r="J958" s="61"/>
      <c r="K958" s="61"/>
      <c r="L958" s="60"/>
      <c r="M958" s="74" t="str">
        <f t="shared" si="115"/>
        <v/>
      </c>
      <c r="N958" s="74" t="str">
        <f t="shared" si="116"/>
        <v/>
      </c>
      <c r="O958" s="73" t="str">
        <f t="shared" si="117"/>
        <v/>
      </c>
      <c r="P958" s="65" t="str">
        <f t="shared" ca="1" si="118"/>
        <v/>
      </c>
      <c r="Q958" s="2"/>
      <c r="R958" s="2"/>
      <c r="S958" s="1" t="str">
        <f t="shared" si="119"/>
        <v/>
      </c>
      <c r="T958" s="1" t="str">
        <f>IF(OR($C958="",$D958&lt;&gt;"Gelir",$L958=""),"",IFERROR(INDEX(MUSTERILER!$B$7:$B$156,MATCH($S958,MUSTERILER!$T$7:$T$156,0)),""))</f>
        <v/>
      </c>
      <c r="U958" s="1" t="str">
        <f>IF($T958="","",$T958&amp;"|"&amp;COUNTIFS($T$7:$T958,$T958))</f>
        <v/>
      </c>
      <c r="V958" s="1">
        <f t="shared" si="120"/>
        <v>0</v>
      </c>
      <c r="W958" s="1" t="str">
        <f t="shared" si="121"/>
        <v/>
      </c>
      <c r="X958" s="1"/>
      <c r="Y958" s="1"/>
      <c r="Z958" s="1"/>
      <c r="AA958" s="1"/>
      <c r="AB958" s="1"/>
      <c r="AC958" s="1"/>
      <c r="AD958" s="1">
        <f>IF($C958="",0,SUMPRODUCT((AY_SONU!$O$7:$O$42="Evet")*(AY_SONU!$B$7:$B$42=DATE(YEAR($C958),MONTH($C958),1))))</f>
        <v>0</v>
      </c>
      <c r="AE958" s="1" t="str">
        <f>IF($E958="","",$E958&amp;"|"&amp;COUNTIFS($E$7:$E958,$E958))</f>
        <v/>
      </c>
    </row>
    <row r="959" spans="1:31" ht="18" customHeight="1" x14ac:dyDescent="0.3">
      <c r="A959" s="2"/>
      <c r="B959" s="65" t="str">
        <f t="shared" si="114"/>
        <v/>
      </c>
      <c r="C959" s="66"/>
      <c r="D959" s="60"/>
      <c r="E959" s="61"/>
      <c r="F959" s="61"/>
      <c r="G959" s="67"/>
      <c r="H959" s="60"/>
      <c r="I959" s="60"/>
      <c r="J959" s="61"/>
      <c r="K959" s="61"/>
      <c r="L959" s="60"/>
      <c r="M959" s="74" t="str">
        <f t="shared" si="115"/>
        <v/>
      </c>
      <c r="N959" s="74" t="str">
        <f t="shared" si="116"/>
        <v/>
      </c>
      <c r="O959" s="73" t="str">
        <f t="shared" si="117"/>
        <v/>
      </c>
      <c r="P959" s="65" t="str">
        <f t="shared" ca="1" si="118"/>
        <v/>
      </c>
      <c r="Q959" s="2"/>
      <c r="R959" s="2"/>
      <c r="S959" s="1" t="str">
        <f t="shared" si="119"/>
        <v/>
      </c>
      <c r="T959" s="1" t="str">
        <f>IF(OR($C959="",$D959&lt;&gt;"Gelir",$L959=""),"",IFERROR(INDEX(MUSTERILER!$B$7:$B$156,MATCH($S959,MUSTERILER!$T$7:$T$156,0)),""))</f>
        <v/>
      </c>
      <c r="U959" s="1" t="str">
        <f>IF($T959="","",$T959&amp;"|"&amp;COUNTIFS($T$7:$T959,$T959))</f>
        <v/>
      </c>
      <c r="V959" s="1">
        <f t="shared" si="120"/>
        <v>0</v>
      </c>
      <c r="W959" s="1" t="str">
        <f t="shared" si="121"/>
        <v/>
      </c>
      <c r="X959" s="1"/>
      <c r="Y959" s="1"/>
      <c r="Z959" s="1"/>
      <c r="AA959" s="1"/>
      <c r="AB959" s="1"/>
      <c r="AC959" s="1"/>
      <c r="AD959" s="1">
        <f>IF($C959="",0,SUMPRODUCT((AY_SONU!$O$7:$O$42="Evet")*(AY_SONU!$B$7:$B$42=DATE(YEAR($C959),MONTH($C959),1))))</f>
        <v>0</v>
      </c>
      <c r="AE959" s="1" t="str">
        <f>IF($E959="","",$E959&amp;"|"&amp;COUNTIFS($E$7:$E959,$E959))</f>
        <v/>
      </c>
    </row>
    <row r="960" spans="1:31" ht="18" customHeight="1" x14ac:dyDescent="0.3">
      <c r="A960" s="2"/>
      <c r="B960" s="65" t="str">
        <f t="shared" si="114"/>
        <v/>
      </c>
      <c r="C960" s="66"/>
      <c r="D960" s="60"/>
      <c r="E960" s="61"/>
      <c r="F960" s="61"/>
      <c r="G960" s="67"/>
      <c r="H960" s="60"/>
      <c r="I960" s="60"/>
      <c r="J960" s="61"/>
      <c r="K960" s="61"/>
      <c r="L960" s="60"/>
      <c r="M960" s="74" t="str">
        <f t="shared" si="115"/>
        <v/>
      </c>
      <c r="N960" s="74" t="str">
        <f t="shared" si="116"/>
        <v/>
      </c>
      <c r="O960" s="73" t="str">
        <f t="shared" si="117"/>
        <v/>
      </c>
      <c r="P960" s="65" t="str">
        <f t="shared" ca="1" si="118"/>
        <v/>
      </c>
      <c r="Q960" s="2"/>
      <c r="R960" s="2"/>
      <c r="S960" s="1" t="str">
        <f t="shared" si="119"/>
        <v/>
      </c>
      <c r="T960" s="1" t="str">
        <f>IF(OR($C960="",$D960&lt;&gt;"Gelir",$L960=""),"",IFERROR(INDEX(MUSTERILER!$B$7:$B$156,MATCH($S960,MUSTERILER!$T$7:$T$156,0)),""))</f>
        <v/>
      </c>
      <c r="U960" s="1" t="str">
        <f>IF($T960="","",$T960&amp;"|"&amp;COUNTIFS($T$7:$T960,$T960))</f>
        <v/>
      </c>
      <c r="V960" s="1">
        <f t="shared" si="120"/>
        <v>0</v>
      </c>
      <c r="W960" s="1" t="str">
        <f t="shared" si="121"/>
        <v/>
      </c>
      <c r="X960" s="1"/>
      <c r="Y960" s="1"/>
      <c r="Z960" s="1"/>
      <c r="AA960" s="1"/>
      <c r="AB960" s="1"/>
      <c r="AC960" s="1"/>
      <c r="AD960" s="1">
        <f>IF($C960="",0,SUMPRODUCT((AY_SONU!$O$7:$O$42="Evet")*(AY_SONU!$B$7:$B$42=DATE(YEAR($C960),MONTH($C960),1))))</f>
        <v>0</v>
      </c>
      <c r="AE960" s="1" t="str">
        <f>IF($E960="","",$E960&amp;"|"&amp;COUNTIFS($E$7:$E960,$E960))</f>
        <v/>
      </c>
    </row>
    <row r="961" spans="1:31" ht="18" customHeight="1" x14ac:dyDescent="0.3">
      <c r="A961" s="2"/>
      <c r="B961" s="65" t="str">
        <f t="shared" si="114"/>
        <v/>
      </c>
      <c r="C961" s="66"/>
      <c r="D961" s="60"/>
      <c r="E961" s="61"/>
      <c r="F961" s="61"/>
      <c r="G961" s="67"/>
      <c r="H961" s="60"/>
      <c r="I961" s="60"/>
      <c r="J961" s="61"/>
      <c r="K961" s="61"/>
      <c r="L961" s="60"/>
      <c r="M961" s="74" t="str">
        <f t="shared" si="115"/>
        <v/>
      </c>
      <c r="N961" s="74" t="str">
        <f t="shared" si="116"/>
        <v/>
      </c>
      <c r="O961" s="73" t="str">
        <f t="shared" si="117"/>
        <v/>
      </c>
      <c r="P961" s="65" t="str">
        <f t="shared" ca="1" si="118"/>
        <v/>
      </c>
      <c r="Q961" s="2"/>
      <c r="R961" s="2"/>
      <c r="S961" s="1" t="str">
        <f t="shared" si="119"/>
        <v/>
      </c>
      <c r="T961" s="1" t="str">
        <f>IF(OR($C961="",$D961&lt;&gt;"Gelir",$L961=""),"",IFERROR(INDEX(MUSTERILER!$B$7:$B$156,MATCH($S961,MUSTERILER!$T$7:$T$156,0)),""))</f>
        <v/>
      </c>
      <c r="U961" s="1" t="str">
        <f>IF($T961="","",$T961&amp;"|"&amp;COUNTIFS($T$7:$T961,$T961))</f>
        <v/>
      </c>
      <c r="V961" s="1">
        <f t="shared" si="120"/>
        <v>0</v>
      </c>
      <c r="W961" s="1" t="str">
        <f t="shared" si="121"/>
        <v/>
      </c>
      <c r="X961" s="1"/>
      <c r="Y961" s="1"/>
      <c r="Z961" s="1"/>
      <c r="AA961" s="1"/>
      <c r="AB961" s="1"/>
      <c r="AC961" s="1"/>
      <c r="AD961" s="1">
        <f>IF($C961="",0,SUMPRODUCT((AY_SONU!$O$7:$O$42="Evet")*(AY_SONU!$B$7:$B$42=DATE(YEAR($C961),MONTH($C961),1))))</f>
        <v>0</v>
      </c>
      <c r="AE961" s="1" t="str">
        <f>IF($E961="","",$E961&amp;"|"&amp;COUNTIFS($E$7:$E961,$E961))</f>
        <v/>
      </c>
    </row>
    <row r="962" spans="1:31" ht="18" customHeight="1" x14ac:dyDescent="0.3">
      <c r="A962" s="2"/>
      <c r="B962" s="65" t="str">
        <f t="shared" si="114"/>
        <v/>
      </c>
      <c r="C962" s="66"/>
      <c r="D962" s="60"/>
      <c r="E962" s="61"/>
      <c r="F962" s="61"/>
      <c r="G962" s="67"/>
      <c r="H962" s="60"/>
      <c r="I962" s="60"/>
      <c r="J962" s="61"/>
      <c r="K962" s="61"/>
      <c r="L962" s="60"/>
      <c r="M962" s="74" t="str">
        <f t="shared" si="115"/>
        <v/>
      </c>
      <c r="N962" s="74" t="str">
        <f t="shared" si="116"/>
        <v/>
      </c>
      <c r="O962" s="73" t="str">
        <f t="shared" si="117"/>
        <v/>
      </c>
      <c r="P962" s="65" t="str">
        <f t="shared" ca="1" si="118"/>
        <v/>
      </c>
      <c r="Q962" s="2"/>
      <c r="R962" s="2"/>
      <c r="S962" s="1" t="str">
        <f t="shared" si="119"/>
        <v/>
      </c>
      <c r="T962" s="1" t="str">
        <f>IF(OR($C962="",$D962&lt;&gt;"Gelir",$L962=""),"",IFERROR(INDEX(MUSTERILER!$B$7:$B$156,MATCH($S962,MUSTERILER!$T$7:$T$156,0)),""))</f>
        <v/>
      </c>
      <c r="U962" s="1" t="str">
        <f>IF($T962="","",$T962&amp;"|"&amp;COUNTIFS($T$7:$T962,$T962))</f>
        <v/>
      </c>
      <c r="V962" s="1">
        <f t="shared" si="120"/>
        <v>0</v>
      </c>
      <c r="W962" s="1" t="str">
        <f t="shared" si="121"/>
        <v/>
      </c>
      <c r="X962" s="1"/>
      <c r="Y962" s="1"/>
      <c r="Z962" s="1"/>
      <c r="AA962" s="1"/>
      <c r="AB962" s="1"/>
      <c r="AC962" s="1"/>
      <c r="AD962" s="1">
        <f>IF($C962="",0,SUMPRODUCT((AY_SONU!$O$7:$O$42="Evet")*(AY_SONU!$B$7:$B$42=DATE(YEAR($C962),MONTH($C962),1))))</f>
        <v>0</v>
      </c>
      <c r="AE962" s="1" t="str">
        <f>IF($E962="","",$E962&amp;"|"&amp;COUNTIFS($E$7:$E962,$E962))</f>
        <v/>
      </c>
    </row>
    <row r="963" spans="1:31" ht="18" customHeight="1" x14ac:dyDescent="0.3">
      <c r="A963" s="2"/>
      <c r="B963" s="65" t="str">
        <f t="shared" si="114"/>
        <v/>
      </c>
      <c r="C963" s="66"/>
      <c r="D963" s="60"/>
      <c r="E963" s="61"/>
      <c r="F963" s="61"/>
      <c r="G963" s="67"/>
      <c r="H963" s="60"/>
      <c r="I963" s="60"/>
      <c r="J963" s="61"/>
      <c r="K963" s="61"/>
      <c r="L963" s="60"/>
      <c r="M963" s="74" t="str">
        <f t="shared" si="115"/>
        <v/>
      </c>
      <c r="N963" s="74" t="str">
        <f t="shared" si="116"/>
        <v/>
      </c>
      <c r="O963" s="73" t="str">
        <f t="shared" si="117"/>
        <v/>
      </c>
      <c r="P963" s="65" t="str">
        <f t="shared" ca="1" si="118"/>
        <v/>
      </c>
      <c r="Q963" s="2"/>
      <c r="R963" s="2"/>
      <c r="S963" s="1" t="str">
        <f t="shared" si="119"/>
        <v/>
      </c>
      <c r="T963" s="1" t="str">
        <f>IF(OR($C963="",$D963&lt;&gt;"Gelir",$L963=""),"",IFERROR(INDEX(MUSTERILER!$B$7:$B$156,MATCH($S963,MUSTERILER!$T$7:$T$156,0)),""))</f>
        <v/>
      </c>
      <c r="U963" s="1" t="str">
        <f>IF($T963="","",$T963&amp;"|"&amp;COUNTIFS($T$7:$T963,$T963))</f>
        <v/>
      </c>
      <c r="V963" s="1">
        <f t="shared" si="120"/>
        <v>0</v>
      </c>
      <c r="W963" s="1" t="str">
        <f t="shared" si="121"/>
        <v/>
      </c>
      <c r="X963" s="1"/>
      <c r="Y963" s="1"/>
      <c r="Z963" s="1"/>
      <c r="AA963" s="1"/>
      <c r="AB963" s="1"/>
      <c r="AC963" s="1"/>
      <c r="AD963" s="1">
        <f>IF($C963="",0,SUMPRODUCT((AY_SONU!$O$7:$O$42="Evet")*(AY_SONU!$B$7:$B$42=DATE(YEAR($C963),MONTH($C963),1))))</f>
        <v>0</v>
      </c>
      <c r="AE963" s="1" t="str">
        <f>IF($E963="","",$E963&amp;"|"&amp;COUNTIFS($E$7:$E963,$E963))</f>
        <v/>
      </c>
    </row>
    <row r="964" spans="1:31" ht="18" customHeight="1" x14ac:dyDescent="0.3">
      <c r="A964" s="2"/>
      <c r="B964" s="65" t="str">
        <f t="shared" si="114"/>
        <v/>
      </c>
      <c r="C964" s="66"/>
      <c r="D964" s="60"/>
      <c r="E964" s="61"/>
      <c r="F964" s="61"/>
      <c r="G964" s="67"/>
      <c r="H964" s="60"/>
      <c r="I964" s="60"/>
      <c r="J964" s="61"/>
      <c r="K964" s="61"/>
      <c r="L964" s="60"/>
      <c r="M964" s="74" t="str">
        <f t="shared" si="115"/>
        <v/>
      </c>
      <c r="N964" s="74" t="str">
        <f t="shared" si="116"/>
        <v/>
      </c>
      <c r="O964" s="73" t="str">
        <f t="shared" si="117"/>
        <v/>
      </c>
      <c r="P964" s="65" t="str">
        <f t="shared" ca="1" si="118"/>
        <v/>
      </c>
      <c r="Q964" s="2"/>
      <c r="R964" s="2"/>
      <c r="S964" s="1" t="str">
        <f t="shared" si="119"/>
        <v/>
      </c>
      <c r="T964" s="1" t="str">
        <f>IF(OR($C964="",$D964&lt;&gt;"Gelir",$L964=""),"",IFERROR(INDEX(MUSTERILER!$B$7:$B$156,MATCH($S964,MUSTERILER!$T$7:$T$156,0)),""))</f>
        <v/>
      </c>
      <c r="U964" s="1" t="str">
        <f>IF($T964="","",$T964&amp;"|"&amp;COUNTIFS($T$7:$T964,$T964))</f>
        <v/>
      </c>
      <c r="V964" s="1">
        <f t="shared" si="120"/>
        <v>0</v>
      </c>
      <c r="W964" s="1" t="str">
        <f t="shared" si="121"/>
        <v/>
      </c>
      <c r="X964" s="1"/>
      <c r="Y964" s="1"/>
      <c r="Z964" s="1"/>
      <c r="AA964" s="1"/>
      <c r="AB964" s="1"/>
      <c r="AC964" s="1"/>
      <c r="AD964" s="1">
        <f>IF($C964="",0,SUMPRODUCT((AY_SONU!$O$7:$O$42="Evet")*(AY_SONU!$B$7:$B$42=DATE(YEAR($C964),MONTH($C964),1))))</f>
        <v>0</v>
      </c>
      <c r="AE964" s="1" t="str">
        <f>IF($E964="","",$E964&amp;"|"&amp;COUNTIFS($E$7:$E964,$E964))</f>
        <v/>
      </c>
    </row>
    <row r="965" spans="1:31" ht="18" customHeight="1" x14ac:dyDescent="0.3">
      <c r="A965" s="2"/>
      <c r="B965" s="65" t="str">
        <f t="shared" si="114"/>
        <v/>
      </c>
      <c r="C965" s="66"/>
      <c r="D965" s="60"/>
      <c r="E965" s="61"/>
      <c r="F965" s="61"/>
      <c r="G965" s="67"/>
      <c r="H965" s="60"/>
      <c r="I965" s="60"/>
      <c r="J965" s="61"/>
      <c r="K965" s="61"/>
      <c r="L965" s="60"/>
      <c r="M965" s="74" t="str">
        <f t="shared" si="115"/>
        <v/>
      </c>
      <c r="N965" s="74" t="str">
        <f t="shared" si="116"/>
        <v/>
      </c>
      <c r="O965" s="73" t="str">
        <f t="shared" si="117"/>
        <v/>
      </c>
      <c r="P965" s="65" t="str">
        <f t="shared" ca="1" si="118"/>
        <v/>
      </c>
      <c r="Q965" s="2"/>
      <c r="R965" s="2"/>
      <c r="S965" s="1" t="str">
        <f t="shared" si="119"/>
        <v/>
      </c>
      <c r="T965" s="1" t="str">
        <f>IF(OR($C965="",$D965&lt;&gt;"Gelir",$L965=""),"",IFERROR(INDEX(MUSTERILER!$B$7:$B$156,MATCH($S965,MUSTERILER!$T$7:$T$156,0)),""))</f>
        <v/>
      </c>
      <c r="U965" s="1" t="str">
        <f>IF($T965="","",$T965&amp;"|"&amp;COUNTIFS($T$7:$T965,$T965))</f>
        <v/>
      </c>
      <c r="V965" s="1">
        <f t="shared" si="120"/>
        <v>0</v>
      </c>
      <c r="W965" s="1" t="str">
        <f t="shared" si="121"/>
        <v/>
      </c>
      <c r="X965" s="1"/>
      <c r="Y965" s="1"/>
      <c r="Z965" s="1"/>
      <c r="AA965" s="1"/>
      <c r="AB965" s="1"/>
      <c r="AC965" s="1"/>
      <c r="AD965" s="1">
        <f>IF($C965="",0,SUMPRODUCT((AY_SONU!$O$7:$O$42="Evet")*(AY_SONU!$B$7:$B$42=DATE(YEAR($C965),MONTH($C965),1))))</f>
        <v>0</v>
      </c>
      <c r="AE965" s="1" t="str">
        <f>IF($E965="","",$E965&amp;"|"&amp;COUNTIFS($E$7:$E965,$E965))</f>
        <v/>
      </c>
    </row>
    <row r="966" spans="1:31" ht="18" customHeight="1" x14ac:dyDescent="0.3">
      <c r="A966" s="2"/>
      <c r="B966" s="65" t="str">
        <f t="shared" si="114"/>
        <v/>
      </c>
      <c r="C966" s="66"/>
      <c r="D966" s="60"/>
      <c r="E966" s="61"/>
      <c r="F966" s="61"/>
      <c r="G966" s="67"/>
      <c r="H966" s="60"/>
      <c r="I966" s="60"/>
      <c r="J966" s="61"/>
      <c r="K966" s="61"/>
      <c r="L966" s="60"/>
      <c r="M966" s="74" t="str">
        <f t="shared" si="115"/>
        <v/>
      </c>
      <c r="N966" s="74" t="str">
        <f t="shared" si="116"/>
        <v/>
      </c>
      <c r="O966" s="73" t="str">
        <f t="shared" si="117"/>
        <v/>
      </c>
      <c r="P966" s="65" t="str">
        <f t="shared" ca="1" si="118"/>
        <v/>
      </c>
      <c r="Q966" s="2"/>
      <c r="R966" s="2"/>
      <c r="S966" s="1" t="str">
        <f t="shared" si="119"/>
        <v/>
      </c>
      <c r="T966" s="1" t="str">
        <f>IF(OR($C966="",$D966&lt;&gt;"Gelir",$L966=""),"",IFERROR(INDEX(MUSTERILER!$B$7:$B$156,MATCH($S966,MUSTERILER!$T$7:$T$156,0)),""))</f>
        <v/>
      </c>
      <c r="U966" s="1" t="str">
        <f>IF($T966="","",$T966&amp;"|"&amp;COUNTIFS($T$7:$T966,$T966))</f>
        <v/>
      </c>
      <c r="V966" s="1">
        <f t="shared" si="120"/>
        <v>0</v>
      </c>
      <c r="W966" s="1" t="str">
        <f t="shared" si="121"/>
        <v/>
      </c>
      <c r="X966" s="1"/>
      <c r="Y966" s="1"/>
      <c r="Z966" s="1"/>
      <c r="AA966" s="1"/>
      <c r="AB966" s="1"/>
      <c r="AC966" s="1"/>
      <c r="AD966" s="1">
        <f>IF($C966="",0,SUMPRODUCT((AY_SONU!$O$7:$O$42="Evet")*(AY_SONU!$B$7:$B$42=DATE(YEAR($C966),MONTH($C966),1))))</f>
        <v>0</v>
      </c>
      <c r="AE966" s="1" t="str">
        <f>IF($E966="","",$E966&amp;"|"&amp;COUNTIFS($E$7:$E966,$E966))</f>
        <v/>
      </c>
    </row>
    <row r="967" spans="1:31" ht="18" customHeight="1" x14ac:dyDescent="0.3">
      <c r="A967" s="2"/>
      <c r="B967" s="65" t="str">
        <f t="shared" ref="B967:B1030" si="122">IF($C967="","","GG"&amp;TEXT(ROW()-6,"00000"))</f>
        <v/>
      </c>
      <c r="C967" s="66"/>
      <c r="D967" s="60"/>
      <c r="E967" s="61"/>
      <c r="F967" s="61"/>
      <c r="G967" s="67"/>
      <c r="H967" s="60"/>
      <c r="I967" s="60"/>
      <c r="J967" s="61"/>
      <c r="K967" s="61"/>
      <c r="L967" s="60"/>
      <c r="M967" s="74" t="str">
        <f t="shared" ref="M967:M1030" si="123">IF($C967="","",IF($D967="Gider",$E967,IF($L967&lt;&gt;"",$L967,$H967)))</f>
        <v/>
      </c>
      <c r="N967" s="74" t="str">
        <f t="shared" ref="N967:N1030" si="124">IF($C967="","",IF($D967="Gider",$H967,$E967))</f>
        <v/>
      </c>
      <c r="O967" s="73" t="str">
        <f t="shared" ref="O967:O1030" si="125">IF($C967="","",DATE(YEAR($C967),MONTH($C967),1))</f>
        <v/>
      </c>
      <c r="P967" s="65" t="str">
        <f t="shared" ref="P967:P1030" ca="1" si="126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TARİH",IF(COUNTIF($W$7:$W$3006,$W967)&gt;1,"MÜKERRER?",IF($AD967&gt;0,"KAPALI DÖNEM",IF($I967="Hayır","ÖDENECEK","UYGUN")))),"EKSİK"))))</f>
        <v/>
      </c>
      <c r="Q967" s="2"/>
      <c r="R967" s="2"/>
      <c r="S967" s="1" t="str">
        <f t="shared" ref="S967:S1030" si="127"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1" t="str">
        <f>IF(OR($C967="",$D967&lt;&gt;"Gelir",$L967=""),"",IFERROR(INDEX(MUSTERILER!$B$7:$B$156,MATCH($S967,MUSTERILER!$T$7:$T$156,0)),""))</f>
        <v/>
      </c>
      <c r="U967" s="1" t="str">
        <f>IF($T967="","",$T967&amp;"|"&amp;COUNTIFS($T$7:$T967,$T967))</f>
        <v/>
      </c>
      <c r="V967" s="1">
        <f t="shared" ref="V967:V1030" si="128">IF($T967="",0,1)</f>
        <v>0</v>
      </c>
      <c r="W967" s="1" t="str">
        <f t="shared" ref="W967:W1030" si="129">IF($C967="","",$D967&amp;"|"&amp;$E967&amp;"|"&amp;TEXT($C967,"0")&amp;"|"&amp;TEXT($G967,"0")&amp;"|"&amp;$J967)</f>
        <v/>
      </c>
      <c r="X967" s="1"/>
      <c r="Y967" s="1"/>
      <c r="Z967" s="1"/>
      <c r="AA967" s="1"/>
      <c r="AB967" s="1"/>
      <c r="AC967" s="1"/>
      <c r="AD967" s="1">
        <f>IF($C967="",0,SUMPRODUCT((AY_SONU!$O$7:$O$42="Evet")*(AY_SONU!$B$7:$B$42=DATE(YEAR($C967),MONTH($C967),1))))</f>
        <v>0</v>
      </c>
      <c r="AE967" s="1" t="str">
        <f>IF($E967="","",$E967&amp;"|"&amp;COUNTIFS($E$7:$E967,$E967))</f>
        <v/>
      </c>
    </row>
    <row r="968" spans="1:31" ht="18" customHeight="1" x14ac:dyDescent="0.3">
      <c r="A968" s="2"/>
      <c r="B968" s="65" t="str">
        <f t="shared" si="122"/>
        <v/>
      </c>
      <c r="C968" s="66"/>
      <c r="D968" s="60"/>
      <c r="E968" s="61"/>
      <c r="F968" s="61"/>
      <c r="G968" s="67"/>
      <c r="H968" s="60"/>
      <c r="I968" s="60"/>
      <c r="J968" s="61"/>
      <c r="K968" s="61"/>
      <c r="L968" s="60"/>
      <c r="M968" s="74" t="str">
        <f t="shared" si="123"/>
        <v/>
      </c>
      <c r="N968" s="74" t="str">
        <f t="shared" si="124"/>
        <v/>
      </c>
      <c r="O968" s="73" t="str">
        <f t="shared" si="125"/>
        <v/>
      </c>
      <c r="P968" s="65" t="str">
        <f t="shared" ca="1" si="126"/>
        <v/>
      </c>
      <c r="Q968" s="2"/>
      <c r="R968" s="2"/>
      <c r="S968" s="1" t="str">
        <f t="shared" si="127"/>
        <v/>
      </c>
      <c r="T968" s="1" t="str">
        <f>IF(OR($C968="",$D968&lt;&gt;"Gelir",$L968=""),"",IFERROR(INDEX(MUSTERILER!$B$7:$B$156,MATCH($S968,MUSTERILER!$T$7:$T$156,0)),""))</f>
        <v/>
      </c>
      <c r="U968" s="1" t="str">
        <f>IF($T968="","",$T968&amp;"|"&amp;COUNTIFS($T$7:$T968,$T968))</f>
        <v/>
      </c>
      <c r="V968" s="1">
        <f t="shared" si="128"/>
        <v>0</v>
      </c>
      <c r="W968" s="1" t="str">
        <f t="shared" si="129"/>
        <v/>
      </c>
      <c r="X968" s="1"/>
      <c r="Y968" s="1"/>
      <c r="Z968" s="1"/>
      <c r="AA968" s="1"/>
      <c r="AB968" s="1"/>
      <c r="AC968" s="1"/>
      <c r="AD968" s="1">
        <f>IF($C968="",0,SUMPRODUCT((AY_SONU!$O$7:$O$42="Evet")*(AY_SONU!$B$7:$B$42=DATE(YEAR($C968),MONTH($C968),1))))</f>
        <v>0</v>
      </c>
      <c r="AE968" s="1" t="str">
        <f>IF($E968="","",$E968&amp;"|"&amp;COUNTIFS($E$7:$E968,$E968))</f>
        <v/>
      </c>
    </row>
    <row r="969" spans="1:31" ht="18" customHeight="1" x14ac:dyDescent="0.3">
      <c r="A969" s="2"/>
      <c r="B969" s="65" t="str">
        <f t="shared" si="122"/>
        <v/>
      </c>
      <c r="C969" s="66"/>
      <c r="D969" s="60"/>
      <c r="E969" s="61"/>
      <c r="F969" s="61"/>
      <c r="G969" s="67"/>
      <c r="H969" s="60"/>
      <c r="I969" s="60"/>
      <c r="J969" s="61"/>
      <c r="K969" s="61"/>
      <c r="L969" s="60"/>
      <c r="M969" s="74" t="str">
        <f t="shared" si="123"/>
        <v/>
      </c>
      <c r="N969" s="74" t="str">
        <f t="shared" si="124"/>
        <v/>
      </c>
      <c r="O969" s="73" t="str">
        <f t="shared" si="125"/>
        <v/>
      </c>
      <c r="P969" s="65" t="str">
        <f t="shared" ca="1" si="126"/>
        <v/>
      </c>
      <c r="Q969" s="2"/>
      <c r="R969" s="2"/>
      <c r="S969" s="1" t="str">
        <f t="shared" si="127"/>
        <v/>
      </c>
      <c r="T969" s="1" t="str">
        <f>IF(OR($C969="",$D969&lt;&gt;"Gelir",$L969=""),"",IFERROR(INDEX(MUSTERILER!$B$7:$B$156,MATCH($S969,MUSTERILER!$T$7:$T$156,0)),""))</f>
        <v/>
      </c>
      <c r="U969" s="1" t="str">
        <f>IF($T969="","",$T969&amp;"|"&amp;COUNTIFS($T$7:$T969,$T969))</f>
        <v/>
      </c>
      <c r="V969" s="1">
        <f t="shared" si="128"/>
        <v>0</v>
      </c>
      <c r="W969" s="1" t="str">
        <f t="shared" si="129"/>
        <v/>
      </c>
      <c r="X969" s="1"/>
      <c r="Y969" s="1"/>
      <c r="Z969" s="1"/>
      <c r="AA969" s="1"/>
      <c r="AB969" s="1"/>
      <c r="AC969" s="1"/>
      <c r="AD969" s="1">
        <f>IF($C969="",0,SUMPRODUCT((AY_SONU!$O$7:$O$42="Evet")*(AY_SONU!$B$7:$B$42=DATE(YEAR($C969),MONTH($C969),1))))</f>
        <v>0</v>
      </c>
      <c r="AE969" s="1" t="str">
        <f>IF($E969="","",$E969&amp;"|"&amp;COUNTIFS($E$7:$E969,$E969))</f>
        <v/>
      </c>
    </row>
    <row r="970" spans="1:31" ht="18" customHeight="1" x14ac:dyDescent="0.3">
      <c r="A970" s="2"/>
      <c r="B970" s="65" t="str">
        <f t="shared" si="122"/>
        <v/>
      </c>
      <c r="C970" s="66"/>
      <c r="D970" s="60"/>
      <c r="E970" s="61"/>
      <c r="F970" s="61"/>
      <c r="G970" s="67"/>
      <c r="H970" s="60"/>
      <c r="I970" s="60"/>
      <c r="J970" s="61"/>
      <c r="K970" s="61"/>
      <c r="L970" s="60"/>
      <c r="M970" s="74" t="str">
        <f t="shared" si="123"/>
        <v/>
      </c>
      <c r="N970" s="74" t="str">
        <f t="shared" si="124"/>
        <v/>
      </c>
      <c r="O970" s="73" t="str">
        <f t="shared" si="125"/>
        <v/>
      </c>
      <c r="P970" s="65" t="str">
        <f t="shared" ca="1" si="126"/>
        <v/>
      </c>
      <c r="Q970" s="2"/>
      <c r="R970" s="2"/>
      <c r="S970" s="1" t="str">
        <f t="shared" si="127"/>
        <v/>
      </c>
      <c r="T970" s="1" t="str">
        <f>IF(OR($C970="",$D970&lt;&gt;"Gelir",$L970=""),"",IFERROR(INDEX(MUSTERILER!$B$7:$B$156,MATCH($S970,MUSTERILER!$T$7:$T$156,0)),""))</f>
        <v/>
      </c>
      <c r="U970" s="1" t="str">
        <f>IF($T970="","",$T970&amp;"|"&amp;COUNTIFS($T$7:$T970,$T970))</f>
        <v/>
      </c>
      <c r="V970" s="1">
        <f t="shared" si="128"/>
        <v>0</v>
      </c>
      <c r="W970" s="1" t="str">
        <f t="shared" si="129"/>
        <v/>
      </c>
      <c r="X970" s="1"/>
      <c r="Y970" s="1"/>
      <c r="Z970" s="1"/>
      <c r="AA970" s="1"/>
      <c r="AB970" s="1"/>
      <c r="AC970" s="1"/>
      <c r="AD970" s="1">
        <f>IF($C970="",0,SUMPRODUCT((AY_SONU!$O$7:$O$42="Evet")*(AY_SONU!$B$7:$B$42=DATE(YEAR($C970),MONTH($C970),1))))</f>
        <v>0</v>
      </c>
      <c r="AE970" s="1" t="str">
        <f>IF($E970="","",$E970&amp;"|"&amp;COUNTIFS($E$7:$E970,$E970))</f>
        <v/>
      </c>
    </row>
    <row r="971" spans="1:31" ht="18" customHeight="1" x14ac:dyDescent="0.3">
      <c r="A971" s="2"/>
      <c r="B971" s="65" t="str">
        <f t="shared" si="122"/>
        <v/>
      </c>
      <c r="C971" s="66"/>
      <c r="D971" s="60"/>
      <c r="E971" s="61"/>
      <c r="F971" s="61"/>
      <c r="G971" s="67"/>
      <c r="H971" s="60"/>
      <c r="I971" s="60"/>
      <c r="J971" s="61"/>
      <c r="K971" s="61"/>
      <c r="L971" s="60"/>
      <c r="M971" s="74" t="str">
        <f t="shared" si="123"/>
        <v/>
      </c>
      <c r="N971" s="74" t="str">
        <f t="shared" si="124"/>
        <v/>
      </c>
      <c r="O971" s="73" t="str">
        <f t="shared" si="125"/>
        <v/>
      </c>
      <c r="P971" s="65" t="str">
        <f t="shared" ca="1" si="126"/>
        <v/>
      </c>
      <c r="Q971" s="2"/>
      <c r="R971" s="2"/>
      <c r="S971" s="1" t="str">
        <f t="shared" si="127"/>
        <v/>
      </c>
      <c r="T971" s="1" t="str">
        <f>IF(OR($C971="",$D971&lt;&gt;"Gelir",$L971=""),"",IFERROR(INDEX(MUSTERILER!$B$7:$B$156,MATCH($S971,MUSTERILER!$T$7:$T$156,0)),""))</f>
        <v/>
      </c>
      <c r="U971" s="1" t="str">
        <f>IF($T971="","",$T971&amp;"|"&amp;COUNTIFS($T$7:$T971,$T971))</f>
        <v/>
      </c>
      <c r="V971" s="1">
        <f t="shared" si="128"/>
        <v>0</v>
      </c>
      <c r="W971" s="1" t="str">
        <f t="shared" si="129"/>
        <v/>
      </c>
      <c r="X971" s="1"/>
      <c r="Y971" s="1"/>
      <c r="Z971" s="1"/>
      <c r="AA971" s="1"/>
      <c r="AB971" s="1"/>
      <c r="AC971" s="1"/>
      <c r="AD971" s="1">
        <f>IF($C971="",0,SUMPRODUCT((AY_SONU!$O$7:$O$42="Evet")*(AY_SONU!$B$7:$B$42=DATE(YEAR($C971),MONTH($C971),1))))</f>
        <v>0</v>
      </c>
      <c r="AE971" s="1" t="str">
        <f>IF($E971="","",$E971&amp;"|"&amp;COUNTIFS($E$7:$E971,$E971))</f>
        <v/>
      </c>
    </row>
    <row r="972" spans="1:31" ht="18" customHeight="1" x14ac:dyDescent="0.3">
      <c r="A972" s="2"/>
      <c r="B972" s="65" t="str">
        <f t="shared" si="122"/>
        <v/>
      </c>
      <c r="C972" s="66"/>
      <c r="D972" s="60"/>
      <c r="E972" s="61"/>
      <c r="F972" s="61"/>
      <c r="G972" s="67"/>
      <c r="H972" s="60"/>
      <c r="I972" s="60"/>
      <c r="J972" s="61"/>
      <c r="K972" s="61"/>
      <c r="L972" s="60"/>
      <c r="M972" s="74" t="str">
        <f t="shared" si="123"/>
        <v/>
      </c>
      <c r="N972" s="74" t="str">
        <f t="shared" si="124"/>
        <v/>
      </c>
      <c r="O972" s="73" t="str">
        <f t="shared" si="125"/>
        <v/>
      </c>
      <c r="P972" s="65" t="str">
        <f t="shared" ca="1" si="126"/>
        <v/>
      </c>
      <c r="Q972" s="2"/>
      <c r="R972" s="2"/>
      <c r="S972" s="1" t="str">
        <f t="shared" si="127"/>
        <v/>
      </c>
      <c r="T972" s="1" t="str">
        <f>IF(OR($C972="",$D972&lt;&gt;"Gelir",$L972=""),"",IFERROR(INDEX(MUSTERILER!$B$7:$B$156,MATCH($S972,MUSTERILER!$T$7:$T$156,0)),""))</f>
        <v/>
      </c>
      <c r="U972" s="1" t="str">
        <f>IF($T972="","",$T972&amp;"|"&amp;COUNTIFS($T$7:$T972,$T972))</f>
        <v/>
      </c>
      <c r="V972" s="1">
        <f t="shared" si="128"/>
        <v>0</v>
      </c>
      <c r="W972" s="1" t="str">
        <f t="shared" si="129"/>
        <v/>
      </c>
      <c r="X972" s="1"/>
      <c r="Y972" s="1"/>
      <c r="Z972" s="1"/>
      <c r="AA972" s="1"/>
      <c r="AB972" s="1"/>
      <c r="AC972" s="1"/>
      <c r="AD972" s="1">
        <f>IF($C972="",0,SUMPRODUCT((AY_SONU!$O$7:$O$42="Evet")*(AY_SONU!$B$7:$B$42=DATE(YEAR($C972),MONTH($C972),1))))</f>
        <v>0</v>
      </c>
      <c r="AE972" s="1" t="str">
        <f>IF($E972="","",$E972&amp;"|"&amp;COUNTIFS($E$7:$E972,$E972))</f>
        <v/>
      </c>
    </row>
    <row r="973" spans="1:31" ht="18" customHeight="1" x14ac:dyDescent="0.3">
      <c r="A973" s="2"/>
      <c r="B973" s="65" t="str">
        <f t="shared" si="122"/>
        <v/>
      </c>
      <c r="C973" s="66"/>
      <c r="D973" s="60"/>
      <c r="E973" s="61"/>
      <c r="F973" s="61"/>
      <c r="G973" s="67"/>
      <c r="H973" s="60"/>
      <c r="I973" s="60"/>
      <c r="J973" s="61"/>
      <c r="K973" s="61"/>
      <c r="L973" s="60"/>
      <c r="M973" s="74" t="str">
        <f t="shared" si="123"/>
        <v/>
      </c>
      <c r="N973" s="74" t="str">
        <f t="shared" si="124"/>
        <v/>
      </c>
      <c r="O973" s="73" t="str">
        <f t="shared" si="125"/>
        <v/>
      </c>
      <c r="P973" s="65" t="str">
        <f t="shared" ca="1" si="126"/>
        <v/>
      </c>
      <c r="Q973" s="2"/>
      <c r="R973" s="2"/>
      <c r="S973" s="1" t="str">
        <f t="shared" si="127"/>
        <v/>
      </c>
      <c r="T973" s="1" t="str">
        <f>IF(OR($C973="",$D973&lt;&gt;"Gelir",$L973=""),"",IFERROR(INDEX(MUSTERILER!$B$7:$B$156,MATCH($S973,MUSTERILER!$T$7:$T$156,0)),""))</f>
        <v/>
      </c>
      <c r="U973" s="1" t="str">
        <f>IF($T973="","",$T973&amp;"|"&amp;COUNTIFS($T$7:$T973,$T973))</f>
        <v/>
      </c>
      <c r="V973" s="1">
        <f t="shared" si="128"/>
        <v>0</v>
      </c>
      <c r="W973" s="1" t="str">
        <f t="shared" si="129"/>
        <v/>
      </c>
      <c r="X973" s="1"/>
      <c r="Y973" s="1"/>
      <c r="Z973" s="1"/>
      <c r="AA973" s="1"/>
      <c r="AB973" s="1"/>
      <c r="AC973" s="1"/>
      <c r="AD973" s="1">
        <f>IF($C973="",0,SUMPRODUCT((AY_SONU!$O$7:$O$42="Evet")*(AY_SONU!$B$7:$B$42=DATE(YEAR($C973),MONTH($C973),1))))</f>
        <v>0</v>
      </c>
      <c r="AE973" s="1" t="str">
        <f>IF($E973="","",$E973&amp;"|"&amp;COUNTIFS($E$7:$E973,$E973))</f>
        <v/>
      </c>
    </row>
    <row r="974" spans="1:31" ht="18" customHeight="1" x14ac:dyDescent="0.3">
      <c r="A974" s="2"/>
      <c r="B974" s="65" t="str">
        <f t="shared" si="122"/>
        <v/>
      </c>
      <c r="C974" s="66"/>
      <c r="D974" s="60"/>
      <c r="E974" s="61"/>
      <c r="F974" s="61"/>
      <c r="G974" s="67"/>
      <c r="H974" s="60"/>
      <c r="I974" s="60"/>
      <c r="J974" s="61"/>
      <c r="K974" s="61"/>
      <c r="L974" s="60"/>
      <c r="M974" s="74" t="str">
        <f t="shared" si="123"/>
        <v/>
      </c>
      <c r="N974" s="74" t="str">
        <f t="shared" si="124"/>
        <v/>
      </c>
      <c r="O974" s="73" t="str">
        <f t="shared" si="125"/>
        <v/>
      </c>
      <c r="P974" s="65" t="str">
        <f t="shared" ca="1" si="126"/>
        <v/>
      </c>
      <c r="Q974" s="2"/>
      <c r="R974" s="2"/>
      <c r="S974" s="1" t="str">
        <f t="shared" si="127"/>
        <v/>
      </c>
      <c r="T974" s="1" t="str">
        <f>IF(OR($C974="",$D974&lt;&gt;"Gelir",$L974=""),"",IFERROR(INDEX(MUSTERILER!$B$7:$B$156,MATCH($S974,MUSTERILER!$T$7:$T$156,0)),""))</f>
        <v/>
      </c>
      <c r="U974" s="1" t="str">
        <f>IF($T974="","",$T974&amp;"|"&amp;COUNTIFS($T$7:$T974,$T974))</f>
        <v/>
      </c>
      <c r="V974" s="1">
        <f t="shared" si="128"/>
        <v>0</v>
      </c>
      <c r="W974" s="1" t="str">
        <f t="shared" si="129"/>
        <v/>
      </c>
      <c r="X974" s="1"/>
      <c r="Y974" s="1"/>
      <c r="Z974" s="1"/>
      <c r="AA974" s="1"/>
      <c r="AB974" s="1"/>
      <c r="AC974" s="1"/>
      <c r="AD974" s="1">
        <f>IF($C974="",0,SUMPRODUCT((AY_SONU!$O$7:$O$42="Evet")*(AY_SONU!$B$7:$B$42=DATE(YEAR($C974),MONTH($C974),1))))</f>
        <v>0</v>
      </c>
      <c r="AE974" s="1" t="str">
        <f>IF($E974="","",$E974&amp;"|"&amp;COUNTIFS($E$7:$E974,$E974))</f>
        <v/>
      </c>
    </row>
    <row r="975" spans="1:31" ht="18" customHeight="1" x14ac:dyDescent="0.3">
      <c r="A975" s="2"/>
      <c r="B975" s="65" t="str">
        <f t="shared" si="122"/>
        <v/>
      </c>
      <c r="C975" s="66"/>
      <c r="D975" s="60"/>
      <c r="E975" s="61"/>
      <c r="F975" s="61"/>
      <c r="G975" s="67"/>
      <c r="H975" s="60"/>
      <c r="I975" s="60"/>
      <c r="J975" s="61"/>
      <c r="K975" s="61"/>
      <c r="L975" s="60"/>
      <c r="M975" s="74" t="str">
        <f t="shared" si="123"/>
        <v/>
      </c>
      <c r="N975" s="74" t="str">
        <f t="shared" si="124"/>
        <v/>
      </c>
      <c r="O975" s="73" t="str">
        <f t="shared" si="125"/>
        <v/>
      </c>
      <c r="P975" s="65" t="str">
        <f t="shared" ca="1" si="126"/>
        <v/>
      </c>
      <c r="Q975" s="2"/>
      <c r="R975" s="2"/>
      <c r="S975" s="1" t="str">
        <f t="shared" si="127"/>
        <v/>
      </c>
      <c r="T975" s="1" t="str">
        <f>IF(OR($C975="",$D975&lt;&gt;"Gelir",$L975=""),"",IFERROR(INDEX(MUSTERILER!$B$7:$B$156,MATCH($S975,MUSTERILER!$T$7:$T$156,0)),""))</f>
        <v/>
      </c>
      <c r="U975" s="1" t="str">
        <f>IF($T975="","",$T975&amp;"|"&amp;COUNTIFS($T$7:$T975,$T975))</f>
        <v/>
      </c>
      <c r="V975" s="1">
        <f t="shared" si="128"/>
        <v>0</v>
      </c>
      <c r="W975" s="1" t="str">
        <f t="shared" si="129"/>
        <v/>
      </c>
      <c r="X975" s="1"/>
      <c r="Y975" s="1"/>
      <c r="Z975" s="1"/>
      <c r="AA975" s="1"/>
      <c r="AB975" s="1"/>
      <c r="AC975" s="1"/>
      <c r="AD975" s="1">
        <f>IF($C975="",0,SUMPRODUCT((AY_SONU!$O$7:$O$42="Evet")*(AY_SONU!$B$7:$B$42=DATE(YEAR($C975),MONTH($C975),1))))</f>
        <v>0</v>
      </c>
      <c r="AE975" s="1" t="str">
        <f>IF($E975="","",$E975&amp;"|"&amp;COUNTIFS($E$7:$E975,$E975))</f>
        <v/>
      </c>
    </row>
    <row r="976" spans="1:31" ht="18" customHeight="1" x14ac:dyDescent="0.3">
      <c r="A976" s="2"/>
      <c r="B976" s="65" t="str">
        <f t="shared" si="122"/>
        <v/>
      </c>
      <c r="C976" s="66"/>
      <c r="D976" s="60"/>
      <c r="E976" s="61"/>
      <c r="F976" s="61"/>
      <c r="G976" s="67"/>
      <c r="H976" s="60"/>
      <c r="I976" s="60"/>
      <c r="J976" s="61"/>
      <c r="K976" s="61"/>
      <c r="L976" s="60"/>
      <c r="M976" s="74" t="str">
        <f t="shared" si="123"/>
        <v/>
      </c>
      <c r="N976" s="74" t="str">
        <f t="shared" si="124"/>
        <v/>
      </c>
      <c r="O976" s="73" t="str">
        <f t="shared" si="125"/>
        <v/>
      </c>
      <c r="P976" s="65" t="str">
        <f t="shared" ca="1" si="126"/>
        <v/>
      </c>
      <c r="Q976" s="2"/>
      <c r="R976" s="2"/>
      <c r="S976" s="1" t="str">
        <f t="shared" si="127"/>
        <v/>
      </c>
      <c r="T976" s="1" t="str">
        <f>IF(OR($C976="",$D976&lt;&gt;"Gelir",$L976=""),"",IFERROR(INDEX(MUSTERILER!$B$7:$B$156,MATCH($S976,MUSTERILER!$T$7:$T$156,0)),""))</f>
        <v/>
      </c>
      <c r="U976" s="1" t="str">
        <f>IF($T976="","",$T976&amp;"|"&amp;COUNTIFS($T$7:$T976,$T976))</f>
        <v/>
      </c>
      <c r="V976" s="1">
        <f t="shared" si="128"/>
        <v>0</v>
      </c>
      <c r="W976" s="1" t="str">
        <f t="shared" si="129"/>
        <v/>
      </c>
      <c r="X976" s="1"/>
      <c r="Y976" s="1"/>
      <c r="Z976" s="1"/>
      <c r="AA976" s="1"/>
      <c r="AB976" s="1"/>
      <c r="AC976" s="1"/>
      <c r="AD976" s="1">
        <f>IF($C976="",0,SUMPRODUCT((AY_SONU!$O$7:$O$42="Evet")*(AY_SONU!$B$7:$B$42=DATE(YEAR($C976),MONTH($C976),1))))</f>
        <v>0</v>
      </c>
      <c r="AE976" s="1" t="str">
        <f>IF($E976="","",$E976&amp;"|"&amp;COUNTIFS($E$7:$E976,$E976))</f>
        <v/>
      </c>
    </row>
    <row r="977" spans="1:31" ht="18" customHeight="1" x14ac:dyDescent="0.3">
      <c r="A977" s="2"/>
      <c r="B977" s="65" t="str">
        <f t="shared" si="122"/>
        <v/>
      </c>
      <c r="C977" s="66"/>
      <c r="D977" s="60"/>
      <c r="E977" s="61"/>
      <c r="F977" s="61"/>
      <c r="G977" s="67"/>
      <c r="H977" s="60"/>
      <c r="I977" s="60"/>
      <c r="J977" s="61"/>
      <c r="K977" s="61"/>
      <c r="L977" s="60"/>
      <c r="M977" s="74" t="str">
        <f t="shared" si="123"/>
        <v/>
      </c>
      <c r="N977" s="74" t="str">
        <f t="shared" si="124"/>
        <v/>
      </c>
      <c r="O977" s="73" t="str">
        <f t="shared" si="125"/>
        <v/>
      </c>
      <c r="P977" s="65" t="str">
        <f t="shared" ca="1" si="126"/>
        <v/>
      </c>
      <c r="Q977" s="2"/>
      <c r="R977" s="2"/>
      <c r="S977" s="1" t="str">
        <f t="shared" si="127"/>
        <v/>
      </c>
      <c r="T977" s="1" t="str">
        <f>IF(OR($C977="",$D977&lt;&gt;"Gelir",$L977=""),"",IFERROR(INDEX(MUSTERILER!$B$7:$B$156,MATCH($S977,MUSTERILER!$T$7:$T$156,0)),""))</f>
        <v/>
      </c>
      <c r="U977" s="1" t="str">
        <f>IF($T977="","",$T977&amp;"|"&amp;COUNTIFS($T$7:$T977,$T977))</f>
        <v/>
      </c>
      <c r="V977" s="1">
        <f t="shared" si="128"/>
        <v>0</v>
      </c>
      <c r="W977" s="1" t="str">
        <f t="shared" si="129"/>
        <v/>
      </c>
      <c r="X977" s="1"/>
      <c r="Y977" s="1"/>
      <c r="Z977" s="1"/>
      <c r="AA977" s="1"/>
      <c r="AB977" s="1"/>
      <c r="AC977" s="1"/>
      <c r="AD977" s="1">
        <f>IF($C977="",0,SUMPRODUCT((AY_SONU!$O$7:$O$42="Evet")*(AY_SONU!$B$7:$B$42=DATE(YEAR($C977),MONTH($C977),1))))</f>
        <v>0</v>
      </c>
      <c r="AE977" s="1" t="str">
        <f>IF($E977="","",$E977&amp;"|"&amp;COUNTIFS($E$7:$E977,$E977))</f>
        <v/>
      </c>
    </row>
    <row r="978" spans="1:31" ht="18" customHeight="1" x14ac:dyDescent="0.3">
      <c r="A978" s="2"/>
      <c r="B978" s="65" t="str">
        <f t="shared" si="122"/>
        <v/>
      </c>
      <c r="C978" s="66"/>
      <c r="D978" s="60"/>
      <c r="E978" s="61"/>
      <c r="F978" s="61"/>
      <c r="G978" s="67"/>
      <c r="H978" s="60"/>
      <c r="I978" s="60"/>
      <c r="J978" s="61"/>
      <c r="K978" s="61"/>
      <c r="L978" s="60"/>
      <c r="M978" s="74" t="str">
        <f t="shared" si="123"/>
        <v/>
      </c>
      <c r="N978" s="74" t="str">
        <f t="shared" si="124"/>
        <v/>
      </c>
      <c r="O978" s="73" t="str">
        <f t="shared" si="125"/>
        <v/>
      </c>
      <c r="P978" s="65" t="str">
        <f t="shared" ca="1" si="126"/>
        <v/>
      </c>
      <c r="Q978" s="2"/>
      <c r="R978" s="2"/>
      <c r="S978" s="1" t="str">
        <f t="shared" si="127"/>
        <v/>
      </c>
      <c r="T978" s="1" t="str">
        <f>IF(OR($C978="",$D978&lt;&gt;"Gelir",$L978=""),"",IFERROR(INDEX(MUSTERILER!$B$7:$B$156,MATCH($S978,MUSTERILER!$T$7:$T$156,0)),""))</f>
        <v/>
      </c>
      <c r="U978" s="1" t="str">
        <f>IF($T978="","",$T978&amp;"|"&amp;COUNTIFS($T$7:$T978,$T978))</f>
        <v/>
      </c>
      <c r="V978" s="1">
        <f t="shared" si="128"/>
        <v>0</v>
      </c>
      <c r="W978" s="1" t="str">
        <f t="shared" si="129"/>
        <v/>
      </c>
      <c r="X978" s="1"/>
      <c r="Y978" s="1"/>
      <c r="Z978" s="1"/>
      <c r="AA978" s="1"/>
      <c r="AB978" s="1"/>
      <c r="AC978" s="1"/>
      <c r="AD978" s="1">
        <f>IF($C978="",0,SUMPRODUCT((AY_SONU!$O$7:$O$42="Evet")*(AY_SONU!$B$7:$B$42=DATE(YEAR($C978),MONTH($C978),1))))</f>
        <v>0</v>
      </c>
      <c r="AE978" s="1" t="str">
        <f>IF($E978="","",$E978&amp;"|"&amp;COUNTIFS($E$7:$E978,$E978))</f>
        <v/>
      </c>
    </row>
    <row r="979" spans="1:31" ht="18" customHeight="1" x14ac:dyDescent="0.3">
      <c r="A979" s="2"/>
      <c r="B979" s="65" t="str">
        <f t="shared" si="122"/>
        <v/>
      </c>
      <c r="C979" s="66"/>
      <c r="D979" s="60"/>
      <c r="E979" s="61"/>
      <c r="F979" s="61"/>
      <c r="G979" s="67"/>
      <c r="H979" s="60"/>
      <c r="I979" s="60"/>
      <c r="J979" s="61"/>
      <c r="K979" s="61"/>
      <c r="L979" s="60"/>
      <c r="M979" s="74" t="str">
        <f t="shared" si="123"/>
        <v/>
      </c>
      <c r="N979" s="74" t="str">
        <f t="shared" si="124"/>
        <v/>
      </c>
      <c r="O979" s="73" t="str">
        <f t="shared" si="125"/>
        <v/>
      </c>
      <c r="P979" s="65" t="str">
        <f t="shared" ca="1" si="126"/>
        <v/>
      </c>
      <c r="Q979" s="2"/>
      <c r="R979" s="2"/>
      <c r="S979" s="1" t="str">
        <f t="shared" si="127"/>
        <v/>
      </c>
      <c r="T979" s="1" t="str">
        <f>IF(OR($C979="",$D979&lt;&gt;"Gelir",$L979=""),"",IFERROR(INDEX(MUSTERILER!$B$7:$B$156,MATCH($S979,MUSTERILER!$T$7:$T$156,0)),""))</f>
        <v/>
      </c>
      <c r="U979" s="1" t="str">
        <f>IF($T979="","",$T979&amp;"|"&amp;COUNTIFS($T$7:$T979,$T979))</f>
        <v/>
      </c>
      <c r="V979" s="1">
        <f t="shared" si="128"/>
        <v>0</v>
      </c>
      <c r="W979" s="1" t="str">
        <f t="shared" si="129"/>
        <v/>
      </c>
      <c r="X979" s="1"/>
      <c r="Y979" s="1"/>
      <c r="Z979" s="1"/>
      <c r="AA979" s="1"/>
      <c r="AB979" s="1"/>
      <c r="AC979" s="1"/>
      <c r="AD979" s="1">
        <f>IF($C979="",0,SUMPRODUCT((AY_SONU!$O$7:$O$42="Evet")*(AY_SONU!$B$7:$B$42=DATE(YEAR($C979),MONTH($C979),1))))</f>
        <v>0</v>
      </c>
      <c r="AE979" s="1" t="str">
        <f>IF($E979="","",$E979&amp;"|"&amp;COUNTIFS($E$7:$E979,$E979))</f>
        <v/>
      </c>
    </row>
    <row r="980" spans="1:31" ht="18" customHeight="1" x14ac:dyDescent="0.3">
      <c r="A980" s="2"/>
      <c r="B980" s="65" t="str">
        <f t="shared" si="122"/>
        <v/>
      </c>
      <c r="C980" s="66"/>
      <c r="D980" s="60"/>
      <c r="E980" s="61"/>
      <c r="F980" s="61"/>
      <c r="G980" s="67"/>
      <c r="H980" s="60"/>
      <c r="I980" s="60"/>
      <c r="J980" s="61"/>
      <c r="K980" s="61"/>
      <c r="L980" s="60"/>
      <c r="M980" s="74" t="str">
        <f t="shared" si="123"/>
        <v/>
      </c>
      <c r="N980" s="74" t="str">
        <f t="shared" si="124"/>
        <v/>
      </c>
      <c r="O980" s="73" t="str">
        <f t="shared" si="125"/>
        <v/>
      </c>
      <c r="P980" s="65" t="str">
        <f t="shared" ca="1" si="126"/>
        <v/>
      </c>
      <c r="Q980" s="2"/>
      <c r="R980" s="2"/>
      <c r="S980" s="1" t="str">
        <f t="shared" si="127"/>
        <v/>
      </c>
      <c r="T980" s="1" t="str">
        <f>IF(OR($C980="",$D980&lt;&gt;"Gelir",$L980=""),"",IFERROR(INDEX(MUSTERILER!$B$7:$B$156,MATCH($S980,MUSTERILER!$T$7:$T$156,0)),""))</f>
        <v/>
      </c>
      <c r="U980" s="1" t="str">
        <f>IF($T980="","",$T980&amp;"|"&amp;COUNTIFS($T$7:$T980,$T980))</f>
        <v/>
      </c>
      <c r="V980" s="1">
        <f t="shared" si="128"/>
        <v>0</v>
      </c>
      <c r="W980" s="1" t="str">
        <f t="shared" si="129"/>
        <v/>
      </c>
      <c r="X980" s="1"/>
      <c r="Y980" s="1"/>
      <c r="Z980" s="1"/>
      <c r="AA980" s="1"/>
      <c r="AB980" s="1"/>
      <c r="AC980" s="1"/>
      <c r="AD980" s="1">
        <f>IF($C980="",0,SUMPRODUCT((AY_SONU!$O$7:$O$42="Evet")*(AY_SONU!$B$7:$B$42=DATE(YEAR($C980),MONTH($C980),1))))</f>
        <v>0</v>
      </c>
      <c r="AE980" s="1" t="str">
        <f>IF($E980="","",$E980&amp;"|"&amp;COUNTIFS($E$7:$E980,$E980))</f>
        <v/>
      </c>
    </row>
    <row r="981" spans="1:31" ht="18" customHeight="1" x14ac:dyDescent="0.3">
      <c r="A981" s="2"/>
      <c r="B981" s="65" t="str">
        <f t="shared" si="122"/>
        <v/>
      </c>
      <c r="C981" s="66"/>
      <c r="D981" s="60"/>
      <c r="E981" s="61"/>
      <c r="F981" s="61"/>
      <c r="G981" s="67"/>
      <c r="H981" s="60"/>
      <c r="I981" s="60"/>
      <c r="J981" s="61"/>
      <c r="K981" s="61"/>
      <c r="L981" s="60"/>
      <c r="M981" s="74" t="str">
        <f t="shared" si="123"/>
        <v/>
      </c>
      <c r="N981" s="74" t="str">
        <f t="shared" si="124"/>
        <v/>
      </c>
      <c r="O981" s="73" t="str">
        <f t="shared" si="125"/>
        <v/>
      </c>
      <c r="P981" s="65" t="str">
        <f t="shared" ca="1" si="126"/>
        <v/>
      </c>
      <c r="Q981" s="2"/>
      <c r="R981" s="2"/>
      <c r="S981" s="1" t="str">
        <f t="shared" si="127"/>
        <v/>
      </c>
      <c r="T981" s="1" t="str">
        <f>IF(OR($C981="",$D981&lt;&gt;"Gelir",$L981=""),"",IFERROR(INDEX(MUSTERILER!$B$7:$B$156,MATCH($S981,MUSTERILER!$T$7:$T$156,0)),""))</f>
        <v/>
      </c>
      <c r="U981" s="1" t="str">
        <f>IF($T981="","",$T981&amp;"|"&amp;COUNTIFS($T$7:$T981,$T981))</f>
        <v/>
      </c>
      <c r="V981" s="1">
        <f t="shared" si="128"/>
        <v>0</v>
      </c>
      <c r="W981" s="1" t="str">
        <f t="shared" si="129"/>
        <v/>
      </c>
      <c r="X981" s="1"/>
      <c r="Y981" s="1"/>
      <c r="Z981" s="1"/>
      <c r="AA981" s="1"/>
      <c r="AB981" s="1"/>
      <c r="AC981" s="1"/>
      <c r="AD981" s="1">
        <f>IF($C981="",0,SUMPRODUCT((AY_SONU!$O$7:$O$42="Evet")*(AY_SONU!$B$7:$B$42=DATE(YEAR($C981),MONTH($C981),1))))</f>
        <v>0</v>
      </c>
      <c r="AE981" s="1" t="str">
        <f>IF($E981="","",$E981&amp;"|"&amp;COUNTIFS($E$7:$E981,$E981))</f>
        <v/>
      </c>
    </row>
    <row r="982" spans="1:31" ht="18" customHeight="1" x14ac:dyDescent="0.3">
      <c r="A982" s="2"/>
      <c r="B982" s="65" t="str">
        <f t="shared" si="122"/>
        <v/>
      </c>
      <c r="C982" s="66"/>
      <c r="D982" s="60"/>
      <c r="E982" s="61"/>
      <c r="F982" s="61"/>
      <c r="G982" s="67"/>
      <c r="H982" s="60"/>
      <c r="I982" s="60"/>
      <c r="J982" s="61"/>
      <c r="K982" s="61"/>
      <c r="L982" s="60"/>
      <c r="M982" s="74" t="str">
        <f t="shared" si="123"/>
        <v/>
      </c>
      <c r="N982" s="74" t="str">
        <f t="shared" si="124"/>
        <v/>
      </c>
      <c r="O982" s="73" t="str">
        <f t="shared" si="125"/>
        <v/>
      </c>
      <c r="P982" s="65" t="str">
        <f t="shared" ca="1" si="126"/>
        <v/>
      </c>
      <c r="Q982" s="2"/>
      <c r="R982" s="2"/>
      <c r="S982" s="1" t="str">
        <f t="shared" si="127"/>
        <v/>
      </c>
      <c r="T982" s="1" t="str">
        <f>IF(OR($C982="",$D982&lt;&gt;"Gelir",$L982=""),"",IFERROR(INDEX(MUSTERILER!$B$7:$B$156,MATCH($S982,MUSTERILER!$T$7:$T$156,0)),""))</f>
        <v/>
      </c>
      <c r="U982" s="1" t="str">
        <f>IF($T982="","",$T982&amp;"|"&amp;COUNTIFS($T$7:$T982,$T982))</f>
        <v/>
      </c>
      <c r="V982" s="1">
        <f t="shared" si="128"/>
        <v>0</v>
      </c>
      <c r="W982" s="1" t="str">
        <f t="shared" si="129"/>
        <v/>
      </c>
      <c r="X982" s="1"/>
      <c r="Y982" s="1"/>
      <c r="Z982" s="1"/>
      <c r="AA982" s="1"/>
      <c r="AB982" s="1"/>
      <c r="AC982" s="1"/>
      <c r="AD982" s="1">
        <f>IF($C982="",0,SUMPRODUCT((AY_SONU!$O$7:$O$42="Evet")*(AY_SONU!$B$7:$B$42=DATE(YEAR($C982),MONTH($C982),1))))</f>
        <v>0</v>
      </c>
      <c r="AE982" s="1" t="str">
        <f>IF($E982="","",$E982&amp;"|"&amp;COUNTIFS($E$7:$E982,$E982))</f>
        <v/>
      </c>
    </row>
    <row r="983" spans="1:31" ht="18" customHeight="1" x14ac:dyDescent="0.3">
      <c r="A983" s="2"/>
      <c r="B983" s="65" t="str">
        <f t="shared" si="122"/>
        <v/>
      </c>
      <c r="C983" s="66"/>
      <c r="D983" s="60"/>
      <c r="E983" s="61"/>
      <c r="F983" s="61"/>
      <c r="G983" s="67"/>
      <c r="H983" s="60"/>
      <c r="I983" s="60"/>
      <c r="J983" s="61"/>
      <c r="K983" s="61"/>
      <c r="L983" s="60"/>
      <c r="M983" s="74" t="str">
        <f t="shared" si="123"/>
        <v/>
      </c>
      <c r="N983" s="74" t="str">
        <f t="shared" si="124"/>
        <v/>
      </c>
      <c r="O983" s="73" t="str">
        <f t="shared" si="125"/>
        <v/>
      </c>
      <c r="P983" s="65" t="str">
        <f t="shared" ca="1" si="126"/>
        <v/>
      </c>
      <c r="Q983" s="2"/>
      <c r="R983" s="2"/>
      <c r="S983" s="1" t="str">
        <f t="shared" si="127"/>
        <v/>
      </c>
      <c r="T983" s="1" t="str">
        <f>IF(OR($C983="",$D983&lt;&gt;"Gelir",$L983=""),"",IFERROR(INDEX(MUSTERILER!$B$7:$B$156,MATCH($S983,MUSTERILER!$T$7:$T$156,0)),""))</f>
        <v/>
      </c>
      <c r="U983" s="1" t="str">
        <f>IF($T983="","",$T983&amp;"|"&amp;COUNTIFS($T$7:$T983,$T983))</f>
        <v/>
      </c>
      <c r="V983" s="1">
        <f t="shared" si="128"/>
        <v>0</v>
      </c>
      <c r="W983" s="1" t="str">
        <f t="shared" si="129"/>
        <v/>
      </c>
      <c r="X983" s="1"/>
      <c r="Y983" s="1"/>
      <c r="Z983" s="1"/>
      <c r="AA983" s="1"/>
      <c r="AB983" s="1"/>
      <c r="AC983" s="1"/>
      <c r="AD983" s="1">
        <f>IF($C983="",0,SUMPRODUCT((AY_SONU!$O$7:$O$42="Evet")*(AY_SONU!$B$7:$B$42=DATE(YEAR($C983),MONTH($C983),1))))</f>
        <v>0</v>
      </c>
      <c r="AE983" s="1" t="str">
        <f>IF($E983="","",$E983&amp;"|"&amp;COUNTIFS($E$7:$E983,$E983))</f>
        <v/>
      </c>
    </row>
    <row r="984" spans="1:31" ht="18" customHeight="1" x14ac:dyDescent="0.3">
      <c r="A984" s="2"/>
      <c r="B984" s="65" t="str">
        <f t="shared" si="122"/>
        <v/>
      </c>
      <c r="C984" s="66"/>
      <c r="D984" s="60"/>
      <c r="E984" s="61"/>
      <c r="F984" s="61"/>
      <c r="G984" s="67"/>
      <c r="H984" s="60"/>
      <c r="I984" s="60"/>
      <c r="J984" s="61"/>
      <c r="K984" s="61"/>
      <c r="L984" s="60"/>
      <c r="M984" s="74" t="str">
        <f t="shared" si="123"/>
        <v/>
      </c>
      <c r="N984" s="74" t="str">
        <f t="shared" si="124"/>
        <v/>
      </c>
      <c r="O984" s="73" t="str">
        <f t="shared" si="125"/>
        <v/>
      </c>
      <c r="P984" s="65" t="str">
        <f t="shared" ca="1" si="126"/>
        <v/>
      </c>
      <c r="Q984" s="2"/>
      <c r="R984" s="2"/>
      <c r="S984" s="1" t="str">
        <f t="shared" si="127"/>
        <v/>
      </c>
      <c r="T984" s="1" t="str">
        <f>IF(OR($C984="",$D984&lt;&gt;"Gelir",$L984=""),"",IFERROR(INDEX(MUSTERILER!$B$7:$B$156,MATCH($S984,MUSTERILER!$T$7:$T$156,0)),""))</f>
        <v/>
      </c>
      <c r="U984" s="1" t="str">
        <f>IF($T984="","",$T984&amp;"|"&amp;COUNTIFS($T$7:$T984,$T984))</f>
        <v/>
      </c>
      <c r="V984" s="1">
        <f t="shared" si="128"/>
        <v>0</v>
      </c>
      <c r="W984" s="1" t="str">
        <f t="shared" si="129"/>
        <v/>
      </c>
      <c r="X984" s="1"/>
      <c r="Y984" s="1"/>
      <c r="Z984" s="1"/>
      <c r="AA984" s="1"/>
      <c r="AB984" s="1"/>
      <c r="AC984" s="1"/>
      <c r="AD984" s="1">
        <f>IF($C984="",0,SUMPRODUCT((AY_SONU!$O$7:$O$42="Evet")*(AY_SONU!$B$7:$B$42=DATE(YEAR($C984),MONTH($C984),1))))</f>
        <v>0</v>
      </c>
      <c r="AE984" s="1" t="str">
        <f>IF($E984="","",$E984&amp;"|"&amp;COUNTIFS($E$7:$E984,$E984))</f>
        <v/>
      </c>
    </row>
    <row r="985" spans="1:31" ht="18" customHeight="1" x14ac:dyDescent="0.3">
      <c r="A985" s="2"/>
      <c r="B985" s="65" t="str">
        <f t="shared" si="122"/>
        <v/>
      </c>
      <c r="C985" s="66"/>
      <c r="D985" s="60"/>
      <c r="E985" s="61"/>
      <c r="F985" s="61"/>
      <c r="G985" s="67"/>
      <c r="H985" s="60"/>
      <c r="I985" s="60"/>
      <c r="J985" s="61"/>
      <c r="K985" s="61"/>
      <c r="L985" s="60"/>
      <c r="M985" s="74" t="str">
        <f t="shared" si="123"/>
        <v/>
      </c>
      <c r="N985" s="74" t="str">
        <f t="shared" si="124"/>
        <v/>
      </c>
      <c r="O985" s="73" t="str">
        <f t="shared" si="125"/>
        <v/>
      </c>
      <c r="P985" s="65" t="str">
        <f t="shared" ca="1" si="126"/>
        <v/>
      </c>
      <c r="Q985" s="2"/>
      <c r="R985" s="2"/>
      <c r="S985" s="1" t="str">
        <f t="shared" si="127"/>
        <v/>
      </c>
      <c r="T985" s="1" t="str">
        <f>IF(OR($C985="",$D985&lt;&gt;"Gelir",$L985=""),"",IFERROR(INDEX(MUSTERILER!$B$7:$B$156,MATCH($S985,MUSTERILER!$T$7:$T$156,0)),""))</f>
        <v/>
      </c>
      <c r="U985" s="1" t="str">
        <f>IF($T985="","",$T985&amp;"|"&amp;COUNTIFS($T$7:$T985,$T985))</f>
        <v/>
      </c>
      <c r="V985" s="1">
        <f t="shared" si="128"/>
        <v>0</v>
      </c>
      <c r="W985" s="1" t="str">
        <f t="shared" si="129"/>
        <v/>
      </c>
      <c r="X985" s="1"/>
      <c r="Y985" s="1"/>
      <c r="Z985" s="1"/>
      <c r="AA985" s="1"/>
      <c r="AB985" s="1"/>
      <c r="AC985" s="1"/>
      <c r="AD985" s="1">
        <f>IF($C985="",0,SUMPRODUCT((AY_SONU!$O$7:$O$42="Evet")*(AY_SONU!$B$7:$B$42=DATE(YEAR($C985),MONTH($C985),1))))</f>
        <v>0</v>
      </c>
      <c r="AE985" s="1" t="str">
        <f>IF($E985="","",$E985&amp;"|"&amp;COUNTIFS($E$7:$E985,$E985))</f>
        <v/>
      </c>
    </row>
    <row r="986" spans="1:31" ht="18" customHeight="1" x14ac:dyDescent="0.3">
      <c r="A986" s="2"/>
      <c r="B986" s="65" t="str">
        <f t="shared" si="122"/>
        <v/>
      </c>
      <c r="C986" s="66"/>
      <c r="D986" s="60"/>
      <c r="E986" s="61"/>
      <c r="F986" s="61"/>
      <c r="G986" s="67"/>
      <c r="H986" s="60"/>
      <c r="I986" s="60"/>
      <c r="J986" s="61"/>
      <c r="K986" s="61"/>
      <c r="L986" s="60"/>
      <c r="M986" s="74" t="str">
        <f t="shared" si="123"/>
        <v/>
      </c>
      <c r="N986" s="74" t="str">
        <f t="shared" si="124"/>
        <v/>
      </c>
      <c r="O986" s="73" t="str">
        <f t="shared" si="125"/>
        <v/>
      </c>
      <c r="P986" s="65" t="str">
        <f t="shared" ca="1" si="126"/>
        <v/>
      </c>
      <c r="Q986" s="2"/>
      <c r="R986" s="2"/>
      <c r="S986" s="1" t="str">
        <f t="shared" si="127"/>
        <v/>
      </c>
      <c r="T986" s="1" t="str">
        <f>IF(OR($C986="",$D986&lt;&gt;"Gelir",$L986=""),"",IFERROR(INDEX(MUSTERILER!$B$7:$B$156,MATCH($S986,MUSTERILER!$T$7:$T$156,0)),""))</f>
        <v/>
      </c>
      <c r="U986" s="1" t="str">
        <f>IF($T986="","",$T986&amp;"|"&amp;COUNTIFS($T$7:$T986,$T986))</f>
        <v/>
      </c>
      <c r="V986" s="1">
        <f t="shared" si="128"/>
        <v>0</v>
      </c>
      <c r="W986" s="1" t="str">
        <f t="shared" si="129"/>
        <v/>
      </c>
      <c r="X986" s="1"/>
      <c r="Y986" s="1"/>
      <c r="Z986" s="1"/>
      <c r="AA986" s="1"/>
      <c r="AB986" s="1"/>
      <c r="AC986" s="1"/>
      <c r="AD986" s="1">
        <f>IF($C986="",0,SUMPRODUCT((AY_SONU!$O$7:$O$42="Evet")*(AY_SONU!$B$7:$B$42=DATE(YEAR($C986),MONTH($C986),1))))</f>
        <v>0</v>
      </c>
      <c r="AE986" s="1" t="str">
        <f>IF($E986="","",$E986&amp;"|"&amp;COUNTIFS($E$7:$E986,$E986))</f>
        <v/>
      </c>
    </row>
    <row r="987" spans="1:31" ht="18" customHeight="1" x14ac:dyDescent="0.3">
      <c r="A987" s="2"/>
      <c r="B987" s="65" t="str">
        <f t="shared" si="122"/>
        <v/>
      </c>
      <c r="C987" s="66"/>
      <c r="D987" s="60"/>
      <c r="E987" s="61"/>
      <c r="F987" s="61"/>
      <c r="G987" s="67"/>
      <c r="H987" s="60"/>
      <c r="I987" s="60"/>
      <c r="J987" s="61"/>
      <c r="K987" s="61"/>
      <c r="L987" s="60"/>
      <c r="M987" s="74" t="str">
        <f t="shared" si="123"/>
        <v/>
      </c>
      <c r="N987" s="74" t="str">
        <f t="shared" si="124"/>
        <v/>
      </c>
      <c r="O987" s="73" t="str">
        <f t="shared" si="125"/>
        <v/>
      </c>
      <c r="P987" s="65" t="str">
        <f t="shared" ca="1" si="126"/>
        <v/>
      </c>
      <c r="Q987" s="2"/>
      <c r="R987" s="2"/>
      <c r="S987" s="1" t="str">
        <f t="shared" si="127"/>
        <v/>
      </c>
      <c r="T987" s="1" t="str">
        <f>IF(OR($C987="",$D987&lt;&gt;"Gelir",$L987=""),"",IFERROR(INDEX(MUSTERILER!$B$7:$B$156,MATCH($S987,MUSTERILER!$T$7:$T$156,0)),""))</f>
        <v/>
      </c>
      <c r="U987" s="1" t="str">
        <f>IF($T987="","",$T987&amp;"|"&amp;COUNTIFS($T$7:$T987,$T987))</f>
        <v/>
      </c>
      <c r="V987" s="1">
        <f t="shared" si="128"/>
        <v>0</v>
      </c>
      <c r="W987" s="1" t="str">
        <f t="shared" si="129"/>
        <v/>
      </c>
      <c r="X987" s="1"/>
      <c r="Y987" s="1"/>
      <c r="Z987" s="1"/>
      <c r="AA987" s="1"/>
      <c r="AB987" s="1"/>
      <c r="AC987" s="1"/>
      <c r="AD987" s="1">
        <f>IF($C987="",0,SUMPRODUCT((AY_SONU!$O$7:$O$42="Evet")*(AY_SONU!$B$7:$B$42=DATE(YEAR($C987),MONTH($C987),1))))</f>
        <v>0</v>
      </c>
      <c r="AE987" s="1" t="str">
        <f>IF($E987="","",$E987&amp;"|"&amp;COUNTIFS($E$7:$E987,$E987))</f>
        <v/>
      </c>
    </row>
    <row r="988" spans="1:31" ht="18" customHeight="1" x14ac:dyDescent="0.3">
      <c r="A988" s="2"/>
      <c r="B988" s="65" t="str">
        <f t="shared" si="122"/>
        <v/>
      </c>
      <c r="C988" s="66"/>
      <c r="D988" s="60"/>
      <c r="E988" s="61"/>
      <c r="F988" s="61"/>
      <c r="G988" s="67"/>
      <c r="H988" s="60"/>
      <c r="I988" s="60"/>
      <c r="J988" s="61"/>
      <c r="K988" s="61"/>
      <c r="L988" s="60"/>
      <c r="M988" s="74" t="str">
        <f t="shared" si="123"/>
        <v/>
      </c>
      <c r="N988" s="74" t="str">
        <f t="shared" si="124"/>
        <v/>
      </c>
      <c r="O988" s="73" t="str">
        <f t="shared" si="125"/>
        <v/>
      </c>
      <c r="P988" s="65" t="str">
        <f t="shared" ca="1" si="126"/>
        <v/>
      </c>
      <c r="Q988" s="2"/>
      <c r="R988" s="2"/>
      <c r="S988" s="1" t="str">
        <f t="shared" si="127"/>
        <v/>
      </c>
      <c r="T988" s="1" t="str">
        <f>IF(OR($C988="",$D988&lt;&gt;"Gelir",$L988=""),"",IFERROR(INDEX(MUSTERILER!$B$7:$B$156,MATCH($S988,MUSTERILER!$T$7:$T$156,0)),""))</f>
        <v/>
      </c>
      <c r="U988" s="1" t="str">
        <f>IF($T988="","",$T988&amp;"|"&amp;COUNTIFS($T$7:$T988,$T988))</f>
        <v/>
      </c>
      <c r="V988" s="1">
        <f t="shared" si="128"/>
        <v>0</v>
      </c>
      <c r="W988" s="1" t="str">
        <f t="shared" si="129"/>
        <v/>
      </c>
      <c r="X988" s="1"/>
      <c r="Y988" s="1"/>
      <c r="Z988" s="1"/>
      <c r="AA988" s="1"/>
      <c r="AB988" s="1"/>
      <c r="AC988" s="1"/>
      <c r="AD988" s="1">
        <f>IF($C988="",0,SUMPRODUCT((AY_SONU!$O$7:$O$42="Evet")*(AY_SONU!$B$7:$B$42=DATE(YEAR($C988),MONTH($C988),1))))</f>
        <v>0</v>
      </c>
      <c r="AE988" s="1" t="str">
        <f>IF($E988="","",$E988&amp;"|"&amp;COUNTIFS($E$7:$E988,$E988))</f>
        <v/>
      </c>
    </row>
    <row r="989" spans="1:31" ht="18" customHeight="1" x14ac:dyDescent="0.3">
      <c r="A989" s="2"/>
      <c r="B989" s="65" t="str">
        <f t="shared" si="122"/>
        <v/>
      </c>
      <c r="C989" s="66"/>
      <c r="D989" s="60"/>
      <c r="E989" s="61"/>
      <c r="F989" s="61"/>
      <c r="G989" s="67"/>
      <c r="H989" s="60"/>
      <c r="I989" s="60"/>
      <c r="J989" s="61"/>
      <c r="K989" s="61"/>
      <c r="L989" s="60"/>
      <c r="M989" s="74" t="str">
        <f t="shared" si="123"/>
        <v/>
      </c>
      <c r="N989" s="74" t="str">
        <f t="shared" si="124"/>
        <v/>
      </c>
      <c r="O989" s="73" t="str">
        <f t="shared" si="125"/>
        <v/>
      </c>
      <c r="P989" s="65" t="str">
        <f t="shared" ca="1" si="126"/>
        <v/>
      </c>
      <c r="Q989" s="2"/>
      <c r="R989" s="2"/>
      <c r="S989" s="1" t="str">
        <f t="shared" si="127"/>
        <v/>
      </c>
      <c r="T989" s="1" t="str">
        <f>IF(OR($C989="",$D989&lt;&gt;"Gelir",$L989=""),"",IFERROR(INDEX(MUSTERILER!$B$7:$B$156,MATCH($S989,MUSTERILER!$T$7:$T$156,0)),""))</f>
        <v/>
      </c>
      <c r="U989" s="1" t="str">
        <f>IF($T989="","",$T989&amp;"|"&amp;COUNTIFS($T$7:$T989,$T989))</f>
        <v/>
      </c>
      <c r="V989" s="1">
        <f t="shared" si="128"/>
        <v>0</v>
      </c>
      <c r="W989" s="1" t="str">
        <f t="shared" si="129"/>
        <v/>
      </c>
      <c r="X989" s="1"/>
      <c r="Y989" s="1"/>
      <c r="Z989" s="1"/>
      <c r="AA989" s="1"/>
      <c r="AB989" s="1"/>
      <c r="AC989" s="1"/>
      <c r="AD989" s="1">
        <f>IF($C989="",0,SUMPRODUCT((AY_SONU!$O$7:$O$42="Evet")*(AY_SONU!$B$7:$B$42=DATE(YEAR($C989),MONTH($C989),1))))</f>
        <v>0</v>
      </c>
      <c r="AE989" s="1" t="str">
        <f>IF($E989="","",$E989&amp;"|"&amp;COUNTIFS($E$7:$E989,$E989))</f>
        <v/>
      </c>
    </row>
    <row r="990" spans="1:31" ht="18" customHeight="1" x14ac:dyDescent="0.3">
      <c r="A990" s="2"/>
      <c r="B990" s="65" t="str">
        <f t="shared" si="122"/>
        <v/>
      </c>
      <c r="C990" s="66"/>
      <c r="D990" s="60"/>
      <c r="E990" s="61"/>
      <c r="F990" s="61"/>
      <c r="G990" s="67"/>
      <c r="H990" s="60"/>
      <c r="I990" s="60"/>
      <c r="J990" s="61"/>
      <c r="K990" s="61"/>
      <c r="L990" s="60"/>
      <c r="M990" s="74" t="str">
        <f t="shared" si="123"/>
        <v/>
      </c>
      <c r="N990" s="74" t="str">
        <f t="shared" si="124"/>
        <v/>
      </c>
      <c r="O990" s="73" t="str">
        <f t="shared" si="125"/>
        <v/>
      </c>
      <c r="P990" s="65" t="str">
        <f t="shared" ca="1" si="126"/>
        <v/>
      </c>
      <c r="Q990" s="2"/>
      <c r="R990" s="2"/>
      <c r="S990" s="1" t="str">
        <f t="shared" si="127"/>
        <v/>
      </c>
      <c r="T990" s="1" t="str">
        <f>IF(OR($C990="",$D990&lt;&gt;"Gelir",$L990=""),"",IFERROR(INDEX(MUSTERILER!$B$7:$B$156,MATCH($S990,MUSTERILER!$T$7:$T$156,0)),""))</f>
        <v/>
      </c>
      <c r="U990" s="1" t="str">
        <f>IF($T990="","",$T990&amp;"|"&amp;COUNTIFS($T$7:$T990,$T990))</f>
        <v/>
      </c>
      <c r="V990" s="1">
        <f t="shared" si="128"/>
        <v>0</v>
      </c>
      <c r="W990" s="1" t="str">
        <f t="shared" si="129"/>
        <v/>
      </c>
      <c r="X990" s="1"/>
      <c r="Y990" s="1"/>
      <c r="Z990" s="1"/>
      <c r="AA990" s="1"/>
      <c r="AB990" s="1"/>
      <c r="AC990" s="1"/>
      <c r="AD990" s="1">
        <f>IF($C990="",0,SUMPRODUCT((AY_SONU!$O$7:$O$42="Evet")*(AY_SONU!$B$7:$B$42=DATE(YEAR($C990),MONTH($C990),1))))</f>
        <v>0</v>
      </c>
      <c r="AE990" s="1" t="str">
        <f>IF($E990="","",$E990&amp;"|"&amp;COUNTIFS($E$7:$E990,$E990))</f>
        <v/>
      </c>
    </row>
    <row r="991" spans="1:31" ht="18" customHeight="1" x14ac:dyDescent="0.3">
      <c r="A991" s="2"/>
      <c r="B991" s="65" t="str">
        <f t="shared" si="122"/>
        <v/>
      </c>
      <c r="C991" s="66"/>
      <c r="D991" s="60"/>
      <c r="E991" s="61"/>
      <c r="F991" s="61"/>
      <c r="G991" s="67"/>
      <c r="H991" s="60"/>
      <c r="I991" s="60"/>
      <c r="J991" s="61"/>
      <c r="K991" s="61"/>
      <c r="L991" s="60"/>
      <c r="M991" s="74" t="str">
        <f t="shared" si="123"/>
        <v/>
      </c>
      <c r="N991" s="74" t="str">
        <f t="shared" si="124"/>
        <v/>
      </c>
      <c r="O991" s="73" t="str">
        <f t="shared" si="125"/>
        <v/>
      </c>
      <c r="P991" s="65" t="str">
        <f t="shared" ca="1" si="126"/>
        <v/>
      </c>
      <c r="Q991" s="2"/>
      <c r="R991" s="2"/>
      <c r="S991" s="1" t="str">
        <f t="shared" si="127"/>
        <v/>
      </c>
      <c r="T991" s="1" t="str">
        <f>IF(OR($C991="",$D991&lt;&gt;"Gelir",$L991=""),"",IFERROR(INDEX(MUSTERILER!$B$7:$B$156,MATCH($S991,MUSTERILER!$T$7:$T$156,0)),""))</f>
        <v/>
      </c>
      <c r="U991" s="1" t="str">
        <f>IF($T991="","",$T991&amp;"|"&amp;COUNTIFS($T$7:$T991,$T991))</f>
        <v/>
      </c>
      <c r="V991" s="1">
        <f t="shared" si="128"/>
        <v>0</v>
      </c>
      <c r="W991" s="1" t="str">
        <f t="shared" si="129"/>
        <v/>
      </c>
      <c r="X991" s="1"/>
      <c r="Y991" s="1"/>
      <c r="Z991" s="1"/>
      <c r="AA991" s="1"/>
      <c r="AB991" s="1"/>
      <c r="AC991" s="1"/>
      <c r="AD991" s="1">
        <f>IF($C991="",0,SUMPRODUCT((AY_SONU!$O$7:$O$42="Evet")*(AY_SONU!$B$7:$B$42=DATE(YEAR($C991),MONTH($C991),1))))</f>
        <v>0</v>
      </c>
      <c r="AE991" s="1" t="str">
        <f>IF($E991="","",$E991&amp;"|"&amp;COUNTIFS($E$7:$E991,$E991))</f>
        <v/>
      </c>
    </row>
    <row r="992" spans="1:31" ht="18" customHeight="1" x14ac:dyDescent="0.3">
      <c r="A992" s="2"/>
      <c r="B992" s="65" t="str">
        <f t="shared" si="122"/>
        <v/>
      </c>
      <c r="C992" s="66"/>
      <c r="D992" s="60"/>
      <c r="E992" s="61"/>
      <c r="F992" s="61"/>
      <c r="G992" s="67"/>
      <c r="H992" s="60"/>
      <c r="I992" s="60"/>
      <c r="J992" s="61"/>
      <c r="K992" s="61"/>
      <c r="L992" s="60"/>
      <c r="M992" s="74" t="str">
        <f t="shared" si="123"/>
        <v/>
      </c>
      <c r="N992" s="74" t="str">
        <f t="shared" si="124"/>
        <v/>
      </c>
      <c r="O992" s="73" t="str">
        <f t="shared" si="125"/>
        <v/>
      </c>
      <c r="P992" s="65" t="str">
        <f t="shared" ca="1" si="126"/>
        <v/>
      </c>
      <c r="Q992" s="2"/>
      <c r="R992" s="2"/>
      <c r="S992" s="1" t="str">
        <f t="shared" si="127"/>
        <v/>
      </c>
      <c r="T992" s="1" t="str">
        <f>IF(OR($C992="",$D992&lt;&gt;"Gelir",$L992=""),"",IFERROR(INDEX(MUSTERILER!$B$7:$B$156,MATCH($S992,MUSTERILER!$T$7:$T$156,0)),""))</f>
        <v/>
      </c>
      <c r="U992" s="1" t="str">
        <f>IF($T992="","",$T992&amp;"|"&amp;COUNTIFS($T$7:$T992,$T992))</f>
        <v/>
      </c>
      <c r="V992" s="1">
        <f t="shared" si="128"/>
        <v>0</v>
      </c>
      <c r="W992" s="1" t="str">
        <f t="shared" si="129"/>
        <v/>
      </c>
      <c r="X992" s="1"/>
      <c r="Y992" s="1"/>
      <c r="Z992" s="1"/>
      <c r="AA992" s="1"/>
      <c r="AB992" s="1"/>
      <c r="AC992" s="1"/>
      <c r="AD992" s="1">
        <f>IF($C992="",0,SUMPRODUCT((AY_SONU!$O$7:$O$42="Evet")*(AY_SONU!$B$7:$B$42=DATE(YEAR($C992),MONTH($C992),1))))</f>
        <v>0</v>
      </c>
      <c r="AE992" s="1" t="str">
        <f>IF($E992="","",$E992&amp;"|"&amp;COUNTIFS($E$7:$E992,$E992))</f>
        <v/>
      </c>
    </row>
    <row r="993" spans="1:31" ht="18" customHeight="1" x14ac:dyDescent="0.3">
      <c r="A993" s="2"/>
      <c r="B993" s="65" t="str">
        <f t="shared" si="122"/>
        <v/>
      </c>
      <c r="C993" s="66"/>
      <c r="D993" s="60"/>
      <c r="E993" s="61"/>
      <c r="F993" s="61"/>
      <c r="G993" s="67"/>
      <c r="H993" s="60"/>
      <c r="I993" s="60"/>
      <c r="J993" s="61"/>
      <c r="K993" s="61"/>
      <c r="L993" s="60"/>
      <c r="M993" s="74" t="str">
        <f t="shared" si="123"/>
        <v/>
      </c>
      <c r="N993" s="74" t="str">
        <f t="shared" si="124"/>
        <v/>
      </c>
      <c r="O993" s="73" t="str">
        <f t="shared" si="125"/>
        <v/>
      </c>
      <c r="P993" s="65" t="str">
        <f t="shared" ca="1" si="126"/>
        <v/>
      </c>
      <c r="Q993" s="2"/>
      <c r="R993" s="2"/>
      <c r="S993" s="1" t="str">
        <f t="shared" si="127"/>
        <v/>
      </c>
      <c r="T993" s="1" t="str">
        <f>IF(OR($C993="",$D993&lt;&gt;"Gelir",$L993=""),"",IFERROR(INDEX(MUSTERILER!$B$7:$B$156,MATCH($S993,MUSTERILER!$T$7:$T$156,0)),""))</f>
        <v/>
      </c>
      <c r="U993" s="1" t="str">
        <f>IF($T993="","",$T993&amp;"|"&amp;COUNTIFS($T$7:$T993,$T993))</f>
        <v/>
      </c>
      <c r="V993" s="1">
        <f t="shared" si="128"/>
        <v>0</v>
      </c>
      <c r="W993" s="1" t="str">
        <f t="shared" si="129"/>
        <v/>
      </c>
      <c r="X993" s="1"/>
      <c r="Y993" s="1"/>
      <c r="Z993" s="1"/>
      <c r="AA993" s="1"/>
      <c r="AB993" s="1"/>
      <c r="AC993" s="1"/>
      <c r="AD993" s="1">
        <f>IF($C993="",0,SUMPRODUCT((AY_SONU!$O$7:$O$42="Evet")*(AY_SONU!$B$7:$B$42=DATE(YEAR($C993),MONTH($C993),1))))</f>
        <v>0</v>
      </c>
      <c r="AE993" s="1" t="str">
        <f>IF($E993="","",$E993&amp;"|"&amp;COUNTIFS($E$7:$E993,$E993))</f>
        <v/>
      </c>
    </row>
    <row r="994" spans="1:31" ht="18" customHeight="1" x14ac:dyDescent="0.3">
      <c r="A994" s="2"/>
      <c r="B994" s="65" t="str">
        <f t="shared" si="122"/>
        <v/>
      </c>
      <c r="C994" s="66"/>
      <c r="D994" s="60"/>
      <c r="E994" s="61"/>
      <c r="F994" s="61"/>
      <c r="G994" s="67"/>
      <c r="H994" s="60"/>
      <c r="I994" s="60"/>
      <c r="J994" s="61"/>
      <c r="K994" s="61"/>
      <c r="L994" s="60"/>
      <c r="M994" s="74" t="str">
        <f t="shared" si="123"/>
        <v/>
      </c>
      <c r="N994" s="74" t="str">
        <f t="shared" si="124"/>
        <v/>
      </c>
      <c r="O994" s="73" t="str">
        <f t="shared" si="125"/>
        <v/>
      </c>
      <c r="P994" s="65" t="str">
        <f t="shared" ca="1" si="126"/>
        <v/>
      </c>
      <c r="Q994" s="2"/>
      <c r="R994" s="2"/>
      <c r="S994" s="1" t="str">
        <f t="shared" si="127"/>
        <v/>
      </c>
      <c r="T994" s="1" t="str">
        <f>IF(OR($C994="",$D994&lt;&gt;"Gelir",$L994=""),"",IFERROR(INDEX(MUSTERILER!$B$7:$B$156,MATCH($S994,MUSTERILER!$T$7:$T$156,0)),""))</f>
        <v/>
      </c>
      <c r="U994" s="1" t="str">
        <f>IF($T994="","",$T994&amp;"|"&amp;COUNTIFS($T$7:$T994,$T994))</f>
        <v/>
      </c>
      <c r="V994" s="1">
        <f t="shared" si="128"/>
        <v>0</v>
      </c>
      <c r="W994" s="1" t="str">
        <f t="shared" si="129"/>
        <v/>
      </c>
      <c r="X994" s="1"/>
      <c r="Y994" s="1"/>
      <c r="Z994" s="1"/>
      <c r="AA994" s="1"/>
      <c r="AB994" s="1"/>
      <c r="AC994" s="1"/>
      <c r="AD994" s="1">
        <f>IF($C994="",0,SUMPRODUCT((AY_SONU!$O$7:$O$42="Evet")*(AY_SONU!$B$7:$B$42=DATE(YEAR($C994),MONTH($C994),1))))</f>
        <v>0</v>
      </c>
      <c r="AE994" s="1" t="str">
        <f>IF($E994="","",$E994&amp;"|"&amp;COUNTIFS($E$7:$E994,$E994))</f>
        <v/>
      </c>
    </row>
    <row r="995" spans="1:31" ht="18" customHeight="1" x14ac:dyDescent="0.3">
      <c r="A995" s="2"/>
      <c r="B995" s="65" t="str">
        <f t="shared" si="122"/>
        <v/>
      </c>
      <c r="C995" s="66"/>
      <c r="D995" s="60"/>
      <c r="E995" s="61"/>
      <c r="F995" s="61"/>
      <c r="G995" s="67"/>
      <c r="H995" s="60"/>
      <c r="I995" s="60"/>
      <c r="J995" s="61"/>
      <c r="K995" s="61"/>
      <c r="L995" s="60"/>
      <c r="M995" s="74" t="str">
        <f t="shared" si="123"/>
        <v/>
      </c>
      <c r="N995" s="74" t="str">
        <f t="shared" si="124"/>
        <v/>
      </c>
      <c r="O995" s="73" t="str">
        <f t="shared" si="125"/>
        <v/>
      </c>
      <c r="P995" s="65" t="str">
        <f t="shared" ca="1" si="126"/>
        <v/>
      </c>
      <c r="Q995" s="2"/>
      <c r="R995" s="2"/>
      <c r="S995" s="1" t="str">
        <f t="shared" si="127"/>
        <v/>
      </c>
      <c r="T995" s="1" t="str">
        <f>IF(OR($C995="",$D995&lt;&gt;"Gelir",$L995=""),"",IFERROR(INDEX(MUSTERILER!$B$7:$B$156,MATCH($S995,MUSTERILER!$T$7:$T$156,0)),""))</f>
        <v/>
      </c>
      <c r="U995" s="1" t="str">
        <f>IF($T995="","",$T995&amp;"|"&amp;COUNTIFS($T$7:$T995,$T995))</f>
        <v/>
      </c>
      <c r="V995" s="1">
        <f t="shared" si="128"/>
        <v>0</v>
      </c>
      <c r="W995" s="1" t="str">
        <f t="shared" si="129"/>
        <v/>
      </c>
      <c r="X995" s="1"/>
      <c r="Y995" s="1"/>
      <c r="Z995" s="1"/>
      <c r="AA995" s="1"/>
      <c r="AB995" s="1"/>
      <c r="AC995" s="1"/>
      <c r="AD995" s="1">
        <f>IF($C995="",0,SUMPRODUCT((AY_SONU!$O$7:$O$42="Evet")*(AY_SONU!$B$7:$B$42=DATE(YEAR($C995),MONTH($C995),1))))</f>
        <v>0</v>
      </c>
      <c r="AE995" s="1" t="str">
        <f>IF($E995="","",$E995&amp;"|"&amp;COUNTIFS($E$7:$E995,$E995))</f>
        <v/>
      </c>
    </row>
    <row r="996" spans="1:31" ht="18" customHeight="1" x14ac:dyDescent="0.3">
      <c r="A996" s="2"/>
      <c r="B996" s="65" t="str">
        <f t="shared" si="122"/>
        <v/>
      </c>
      <c r="C996" s="66"/>
      <c r="D996" s="60"/>
      <c r="E996" s="61"/>
      <c r="F996" s="61"/>
      <c r="G996" s="67"/>
      <c r="H996" s="60"/>
      <c r="I996" s="60"/>
      <c r="J996" s="61"/>
      <c r="K996" s="61"/>
      <c r="L996" s="60"/>
      <c r="M996" s="74" t="str">
        <f t="shared" si="123"/>
        <v/>
      </c>
      <c r="N996" s="74" t="str">
        <f t="shared" si="124"/>
        <v/>
      </c>
      <c r="O996" s="73" t="str">
        <f t="shared" si="125"/>
        <v/>
      </c>
      <c r="P996" s="65" t="str">
        <f t="shared" ca="1" si="126"/>
        <v/>
      </c>
      <c r="Q996" s="2"/>
      <c r="R996" s="2"/>
      <c r="S996" s="1" t="str">
        <f t="shared" si="127"/>
        <v/>
      </c>
      <c r="T996" s="1" t="str">
        <f>IF(OR($C996="",$D996&lt;&gt;"Gelir",$L996=""),"",IFERROR(INDEX(MUSTERILER!$B$7:$B$156,MATCH($S996,MUSTERILER!$T$7:$T$156,0)),""))</f>
        <v/>
      </c>
      <c r="U996" s="1" t="str">
        <f>IF($T996="","",$T996&amp;"|"&amp;COUNTIFS($T$7:$T996,$T996))</f>
        <v/>
      </c>
      <c r="V996" s="1">
        <f t="shared" si="128"/>
        <v>0</v>
      </c>
      <c r="W996" s="1" t="str">
        <f t="shared" si="129"/>
        <v/>
      </c>
      <c r="X996" s="1"/>
      <c r="Y996" s="1"/>
      <c r="Z996" s="1"/>
      <c r="AA996" s="1"/>
      <c r="AB996" s="1"/>
      <c r="AC996" s="1"/>
      <c r="AD996" s="1">
        <f>IF($C996="",0,SUMPRODUCT((AY_SONU!$O$7:$O$42="Evet")*(AY_SONU!$B$7:$B$42=DATE(YEAR($C996),MONTH($C996),1))))</f>
        <v>0</v>
      </c>
      <c r="AE996" s="1" t="str">
        <f>IF($E996="","",$E996&amp;"|"&amp;COUNTIFS($E$7:$E996,$E996))</f>
        <v/>
      </c>
    </row>
    <row r="997" spans="1:31" ht="18" customHeight="1" x14ac:dyDescent="0.3">
      <c r="A997" s="2"/>
      <c r="B997" s="65" t="str">
        <f t="shared" si="122"/>
        <v/>
      </c>
      <c r="C997" s="66"/>
      <c r="D997" s="60"/>
      <c r="E997" s="61"/>
      <c r="F997" s="61"/>
      <c r="G997" s="67"/>
      <c r="H997" s="60"/>
      <c r="I997" s="60"/>
      <c r="J997" s="61"/>
      <c r="K997" s="61"/>
      <c r="L997" s="60"/>
      <c r="M997" s="74" t="str">
        <f t="shared" si="123"/>
        <v/>
      </c>
      <c r="N997" s="74" t="str">
        <f t="shared" si="124"/>
        <v/>
      </c>
      <c r="O997" s="73" t="str">
        <f t="shared" si="125"/>
        <v/>
      </c>
      <c r="P997" s="65" t="str">
        <f t="shared" ca="1" si="126"/>
        <v/>
      </c>
      <c r="Q997" s="2"/>
      <c r="R997" s="2"/>
      <c r="S997" s="1" t="str">
        <f t="shared" si="127"/>
        <v/>
      </c>
      <c r="T997" s="1" t="str">
        <f>IF(OR($C997="",$D997&lt;&gt;"Gelir",$L997=""),"",IFERROR(INDEX(MUSTERILER!$B$7:$B$156,MATCH($S997,MUSTERILER!$T$7:$T$156,0)),""))</f>
        <v/>
      </c>
      <c r="U997" s="1" t="str">
        <f>IF($T997="","",$T997&amp;"|"&amp;COUNTIFS($T$7:$T997,$T997))</f>
        <v/>
      </c>
      <c r="V997" s="1">
        <f t="shared" si="128"/>
        <v>0</v>
      </c>
      <c r="W997" s="1" t="str">
        <f t="shared" si="129"/>
        <v/>
      </c>
      <c r="X997" s="1"/>
      <c r="Y997" s="1"/>
      <c r="Z997" s="1"/>
      <c r="AA997" s="1"/>
      <c r="AB997" s="1"/>
      <c r="AC997" s="1"/>
      <c r="AD997" s="1">
        <f>IF($C997="",0,SUMPRODUCT((AY_SONU!$O$7:$O$42="Evet")*(AY_SONU!$B$7:$B$42=DATE(YEAR($C997),MONTH($C997),1))))</f>
        <v>0</v>
      </c>
      <c r="AE997" s="1" t="str">
        <f>IF($E997="","",$E997&amp;"|"&amp;COUNTIFS($E$7:$E997,$E997))</f>
        <v/>
      </c>
    </row>
    <row r="998" spans="1:31" ht="18" customHeight="1" x14ac:dyDescent="0.3">
      <c r="A998" s="2"/>
      <c r="B998" s="65" t="str">
        <f t="shared" si="122"/>
        <v/>
      </c>
      <c r="C998" s="66"/>
      <c r="D998" s="60"/>
      <c r="E998" s="61"/>
      <c r="F998" s="61"/>
      <c r="G998" s="67"/>
      <c r="H998" s="60"/>
      <c r="I998" s="60"/>
      <c r="J998" s="61"/>
      <c r="K998" s="61"/>
      <c r="L998" s="60"/>
      <c r="M998" s="74" t="str">
        <f t="shared" si="123"/>
        <v/>
      </c>
      <c r="N998" s="74" t="str">
        <f t="shared" si="124"/>
        <v/>
      </c>
      <c r="O998" s="73" t="str">
        <f t="shared" si="125"/>
        <v/>
      </c>
      <c r="P998" s="65" t="str">
        <f t="shared" ca="1" si="126"/>
        <v/>
      </c>
      <c r="Q998" s="2"/>
      <c r="R998" s="2"/>
      <c r="S998" s="1" t="str">
        <f t="shared" si="127"/>
        <v/>
      </c>
      <c r="T998" s="1" t="str">
        <f>IF(OR($C998="",$D998&lt;&gt;"Gelir",$L998=""),"",IFERROR(INDEX(MUSTERILER!$B$7:$B$156,MATCH($S998,MUSTERILER!$T$7:$T$156,0)),""))</f>
        <v/>
      </c>
      <c r="U998" s="1" t="str">
        <f>IF($T998="","",$T998&amp;"|"&amp;COUNTIFS($T$7:$T998,$T998))</f>
        <v/>
      </c>
      <c r="V998" s="1">
        <f t="shared" si="128"/>
        <v>0</v>
      </c>
      <c r="W998" s="1" t="str">
        <f t="shared" si="129"/>
        <v/>
      </c>
      <c r="X998" s="1"/>
      <c r="Y998" s="1"/>
      <c r="Z998" s="1"/>
      <c r="AA998" s="1"/>
      <c r="AB998" s="1"/>
      <c r="AC998" s="1"/>
      <c r="AD998" s="1">
        <f>IF($C998="",0,SUMPRODUCT((AY_SONU!$O$7:$O$42="Evet")*(AY_SONU!$B$7:$B$42=DATE(YEAR($C998),MONTH($C998),1))))</f>
        <v>0</v>
      </c>
      <c r="AE998" s="1" t="str">
        <f>IF($E998="","",$E998&amp;"|"&amp;COUNTIFS($E$7:$E998,$E998))</f>
        <v/>
      </c>
    </row>
    <row r="999" spans="1:31" ht="18" customHeight="1" x14ac:dyDescent="0.3">
      <c r="A999" s="2"/>
      <c r="B999" s="65" t="str">
        <f t="shared" si="122"/>
        <v/>
      </c>
      <c r="C999" s="66"/>
      <c r="D999" s="60"/>
      <c r="E999" s="61"/>
      <c r="F999" s="61"/>
      <c r="G999" s="67"/>
      <c r="H999" s="60"/>
      <c r="I999" s="60"/>
      <c r="J999" s="61"/>
      <c r="K999" s="61"/>
      <c r="L999" s="60"/>
      <c r="M999" s="74" t="str">
        <f t="shared" si="123"/>
        <v/>
      </c>
      <c r="N999" s="74" t="str">
        <f t="shared" si="124"/>
        <v/>
      </c>
      <c r="O999" s="73" t="str">
        <f t="shared" si="125"/>
        <v/>
      </c>
      <c r="P999" s="65" t="str">
        <f t="shared" ca="1" si="126"/>
        <v/>
      </c>
      <c r="Q999" s="2"/>
      <c r="R999" s="2"/>
      <c r="S999" s="1" t="str">
        <f t="shared" si="127"/>
        <v/>
      </c>
      <c r="T999" s="1" t="str">
        <f>IF(OR($C999="",$D999&lt;&gt;"Gelir",$L999=""),"",IFERROR(INDEX(MUSTERILER!$B$7:$B$156,MATCH($S999,MUSTERILER!$T$7:$T$156,0)),""))</f>
        <v/>
      </c>
      <c r="U999" s="1" t="str">
        <f>IF($T999="","",$T999&amp;"|"&amp;COUNTIFS($T$7:$T999,$T999))</f>
        <v/>
      </c>
      <c r="V999" s="1">
        <f t="shared" si="128"/>
        <v>0</v>
      </c>
      <c r="W999" s="1" t="str">
        <f t="shared" si="129"/>
        <v/>
      </c>
      <c r="X999" s="1"/>
      <c r="Y999" s="1"/>
      <c r="Z999" s="1"/>
      <c r="AA999" s="1"/>
      <c r="AB999" s="1"/>
      <c r="AC999" s="1"/>
      <c r="AD999" s="1">
        <f>IF($C999="",0,SUMPRODUCT((AY_SONU!$O$7:$O$42="Evet")*(AY_SONU!$B$7:$B$42=DATE(YEAR($C999),MONTH($C999),1))))</f>
        <v>0</v>
      </c>
      <c r="AE999" s="1" t="str">
        <f>IF($E999="","",$E999&amp;"|"&amp;COUNTIFS($E$7:$E999,$E999))</f>
        <v/>
      </c>
    </row>
    <row r="1000" spans="1:31" ht="18" customHeight="1" x14ac:dyDescent="0.3">
      <c r="A1000" s="2"/>
      <c r="B1000" s="65" t="str">
        <f t="shared" si="122"/>
        <v/>
      </c>
      <c r="C1000" s="66"/>
      <c r="D1000" s="60"/>
      <c r="E1000" s="61"/>
      <c r="F1000" s="61"/>
      <c r="G1000" s="67"/>
      <c r="H1000" s="60"/>
      <c r="I1000" s="60"/>
      <c r="J1000" s="61"/>
      <c r="K1000" s="61"/>
      <c r="L1000" s="60"/>
      <c r="M1000" s="74" t="str">
        <f t="shared" si="123"/>
        <v/>
      </c>
      <c r="N1000" s="74" t="str">
        <f t="shared" si="124"/>
        <v/>
      </c>
      <c r="O1000" s="73" t="str">
        <f t="shared" si="125"/>
        <v/>
      </c>
      <c r="P1000" s="65" t="str">
        <f t="shared" ca="1" si="126"/>
        <v/>
      </c>
      <c r="Q1000" s="2"/>
      <c r="R1000" s="2"/>
      <c r="S1000" s="1" t="str">
        <f t="shared" si="127"/>
        <v/>
      </c>
      <c r="T1000" s="1" t="str">
        <f>IF(OR($C1000="",$D1000&lt;&gt;"Gelir",$L1000=""),"",IFERROR(INDEX(MUSTERILER!$B$7:$B$156,MATCH($S1000,MUSTERILER!$T$7:$T$156,0)),""))</f>
        <v/>
      </c>
      <c r="U1000" s="1" t="str">
        <f>IF($T1000="","",$T1000&amp;"|"&amp;COUNTIFS($T$7:$T1000,$T1000))</f>
        <v/>
      </c>
      <c r="V1000" s="1">
        <f t="shared" si="128"/>
        <v>0</v>
      </c>
      <c r="W1000" s="1" t="str">
        <f t="shared" si="129"/>
        <v/>
      </c>
      <c r="X1000" s="1"/>
      <c r="Y1000" s="1"/>
      <c r="Z1000" s="1"/>
      <c r="AA1000" s="1"/>
      <c r="AB1000" s="1"/>
      <c r="AC1000" s="1"/>
      <c r="AD1000" s="1">
        <f>IF($C1000="",0,SUMPRODUCT((AY_SONU!$O$7:$O$42="Evet")*(AY_SONU!$B$7:$B$42=DATE(YEAR($C1000),MONTH($C1000),1))))</f>
        <v>0</v>
      </c>
      <c r="AE1000" s="1" t="str">
        <f>IF($E1000="","",$E1000&amp;"|"&amp;COUNTIFS($E$7:$E1000,$E1000))</f>
        <v/>
      </c>
    </row>
    <row r="1001" spans="1:31" ht="18" customHeight="1" x14ac:dyDescent="0.3">
      <c r="A1001" s="2"/>
      <c r="B1001" s="65" t="str">
        <f t="shared" si="122"/>
        <v/>
      </c>
      <c r="C1001" s="66"/>
      <c r="D1001" s="60"/>
      <c r="E1001" s="61"/>
      <c r="F1001" s="61"/>
      <c r="G1001" s="67"/>
      <c r="H1001" s="60"/>
      <c r="I1001" s="60"/>
      <c r="J1001" s="61"/>
      <c r="K1001" s="61"/>
      <c r="L1001" s="60"/>
      <c r="M1001" s="74" t="str">
        <f t="shared" si="123"/>
        <v/>
      </c>
      <c r="N1001" s="74" t="str">
        <f t="shared" si="124"/>
        <v/>
      </c>
      <c r="O1001" s="73" t="str">
        <f t="shared" si="125"/>
        <v/>
      </c>
      <c r="P1001" s="65" t="str">
        <f t="shared" ca="1" si="126"/>
        <v/>
      </c>
      <c r="Q1001" s="2"/>
      <c r="R1001" s="2"/>
      <c r="S1001" s="1" t="str">
        <f t="shared" si="127"/>
        <v/>
      </c>
      <c r="T1001" s="1" t="str">
        <f>IF(OR($C1001="",$D1001&lt;&gt;"Gelir",$L1001=""),"",IFERROR(INDEX(MUSTERILER!$B$7:$B$156,MATCH($S1001,MUSTERILER!$T$7:$T$156,0)),""))</f>
        <v/>
      </c>
      <c r="U1001" s="1" t="str">
        <f>IF($T1001="","",$T1001&amp;"|"&amp;COUNTIFS($T$7:$T1001,$T1001))</f>
        <v/>
      </c>
      <c r="V1001" s="1">
        <f t="shared" si="128"/>
        <v>0</v>
      </c>
      <c r="W1001" s="1" t="str">
        <f t="shared" si="129"/>
        <v/>
      </c>
      <c r="X1001" s="1"/>
      <c r="Y1001" s="1"/>
      <c r="Z1001" s="1"/>
      <c r="AA1001" s="1"/>
      <c r="AB1001" s="1"/>
      <c r="AC1001" s="1"/>
      <c r="AD1001" s="1">
        <f>IF($C1001="",0,SUMPRODUCT((AY_SONU!$O$7:$O$42="Evet")*(AY_SONU!$B$7:$B$42=DATE(YEAR($C1001),MONTH($C1001),1))))</f>
        <v>0</v>
      </c>
      <c r="AE1001" s="1" t="str">
        <f>IF($E1001="","",$E1001&amp;"|"&amp;COUNTIFS($E$7:$E1001,$E1001))</f>
        <v/>
      </c>
    </row>
    <row r="1002" spans="1:31" ht="18" customHeight="1" x14ac:dyDescent="0.3">
      <c r="A1002" s="2"/>
      <c r="B1002" s="65" t="str">
        <f t="shared" si="122"/>
        <v/>
      </c>
      <c r="C1002" s="66"/>
      <c r="D1002" s="60"/>
      <c r="E1002" s="61"/>
      <c r="F1002" s="61"/>
      <c r="G1002" s="67"/>
      <c r="H1002" s="60"/>
      <c r="I1002" s="60"/>
      <c r="J1002" s="61"/>
      <c r="K1002" s="61"/>
      <c r="L1002" s="60"/>
      <c r="M1002" s="74" t="str">
        <f t="shared" si="123"/>
        <v/>
      </c>
      <c r="N1002" s="74" t="str">
        <f t="shared" si="124"/>
        <v/>
      </c>
      <c r="O1002" s="73" t="str">
        <f t="shared" si="125"/>
        <v/>
      </c>
      <c r="P1002" s="65" t="str">
        <f t="shared" ca="1" si="126"/>
        <v/>
      </c>
      <c r="Q1002" s="2"/>
      <c r="R1002" s="2"/>
      <c r="S1002" s="1" t="str">
        <f t="shared" si="127"/>
        <v/>
      </c>
      <c r="T1002" s="1" t="str">
        <f>IF(OR($C1002="",$D1002&lt;&gt;"Gelir",$L1002=""),"",IFERROR(INDEX(MUSTERILER!$B$7:$B$156,MATCH($S1002,MUSTERILER!$T$7:$T$156,0)),""))</f>
        <v/>
      </c>
      <c r="U1002" s="1" t="str">
        <f>IF($T1002="","",$T1002&amp;"|"&amp;COUNTIFS($T$7:$T1002,$T1002))</f>
        <v/>
      </c>
      <c r="V1002" s="1">
        <f t="shared" si="128"/>
        <v>0</v>
      </c>
      <c r="W1002" s="1" t="str">
        <f t="shared" si="129"/>
        <v/>
      </c>
      <c r="X1002" s="1"/>
      <c r="Y1002" s="1"/>
      <c r="Z1002" s="1"/>
      <c r="AA1002" s="1"/>
      <c r="AB1002" s="1"/>
      <c r="AC1002" s="1"/>
      <c r="AD1002" s="1">
        <f>IF($C1002="",0,SUMPRODUCT((AY_SONU!$O$7:$O$42="Evet")*(AY_SONU!$B$7:$B$42=DATE(YEAR($C1002),MONTH($C1002),1))))</f>
        <v>0</v>
      </c>
      <c r="AE1002" s="1" t="str">
        <f>IF($E1002="","",$E1002&amp;"|"&amp;COUNTIFS($E$7:$E1002,$E1002))</f>
        <v/>
      </c>
    </row>
    <row r="1003" spans="1:31" ht="18" customHeight="1" x14ac:dyDescent="0.3">
      <c r="A1003" s="2"/>
      <c r="B1003" s="65" t="str">
        <f t="shared" si="122"/>
        <v/>
      </c>
      <c r="C1003" s="66"/>
      <c r="D1003" s="60"/>
      <c r="E1003" s="61"/>
      <c r="F1003" s="61"/>
      <c r="G1003" s="67"/>
      <c r="H1003" s="60"/>
      <c r="I1003" s="60"/>
      <c r="J1003" s="61"/>
      <c r="K1003" s="61"/>
      <c r="L1003" s="60"/>
      <c r="M1003" s="74" t="str">
        <f t="shared" si="123"/>
        <v/>
      </c>
      <c r="N1003" s="74" t="str">
        <f t="shared" si="124"/>
        <v/>
      </c>
      <c r="O1003" s="73" t="str">
        <f t="shared" si="125"/>
        <v/>
      </c>
      <c r="P1003" s="65" t="str">
        <f t="shared" ca="1" si="126"/>
        <v/>
      </c>
      <c r="Q1003" s="2"/>
      <c r="R1003" s="2"/>
      <c r="S1003" s="1" t="str">
        <f t="shared" si="127"/>
        <v/>
      </c>
      <c r="T1003" s="1" t="str">
        <f>IF(OR($C1003="",$D1003&lt;&gt;"Gelir",$L1003=""),"",IFERROR(INDEX(MUSTERILER!$B$7:$B$156,MATCH($S1003,MUSTERILER!$T$7:$T$156,0)),""))</f>
        <v/>
      </c>
      <c r="U1003" s="1" t="str">
        <f>IF($T1003="","",$T1003&amp;"|"&amp;COUNTIFS($T$7:$T1003,$T1003))</f>
        <v/>
      </c>
      <c r="V1003" s="1">
        <f t="shared" si="128"/>
        <v>0</v>
      </c>
      <c r="W1003" s="1" t="str">
        <f t="shared" si="129"/>
        <v/>
      </c>
      <c r="X1003" s="1"/>
      <c r="Y1003" s="1"/>
      <c r="Z1003" s="1"/>
      <c r="AA1003" s="1"/>
      <c r="AB1003" s="1"/>
      <c r="AC1003" s="1"/>
      <c r="AD1003" s="1">
        <f>IF($C1003="",0,SUMPRODUCT((AY_SONU!$O$7:$O$42="Evet")*(AY_SONU!$B$7:$B$42=DATE(YEAR($C1003),MONTH($C1003),1))))</f>
        <v>0</v>
      </c>
      <c r="AE1003" s="1" t="str">
        <f>IF($E1003="","",$E1003&amp;"|"&amp;COUNTIFS($E$7:$E1003,$E1003))</f>
        <v/>
      </c>
    </row>
    <row r="1004" spans="1:31" ht="18" customHeight="1" x14ac:dyDescent="0.3">
      <c r="A1004" s="2"/>
      <c r="B1004" s="65" t="str">
        <f t="shared" si="122"/>
        <v/>
      </c>
      <c r="C1004" s="66"/>
      <c r="D1004" s="60"/>
      <c r="E1004" s="61"/>
      <c r="F1004" s="61"/>
      <c r="G1004" s="67"/>
      <c r="H1004" s="60"/>
      <c r="I1004" s="60"/>
      <c r="J1004" s="61"/>
      <c r="K1004" s="61"/>
      <c r="L1004" s="60"/>
      <c r="M1004" s="74" t="str">
        <f t="shared" si="123"/>
        <v/>
      </c>
      <c r="N1004" s="74" t="str">
        <f t="shared" si="124"/>
        <v/>
      </c>
      <c r="O1004" s="73" t="str">
        <f t="shared" si="125"/>
        <v/>
      </c>
      <c r="P1004" s="65" t="str">
        <f t="shared" ca="1" si="126"/>
        <v/>
      </c>
      <c r="Q1004" s="2"/>
      <c r="R1004" s="2"/>
      <c r="S1004" s="1" t="str">
        <f t="shared" si="127"/>
        <v/>
      </c>
      <c r="T1004" s="1" t="str">
        <f>IF(OR($C1004="",$D1004&lt;&gt;"Gelir",$L1004=""),"",IFERROR(INDEX(MUSTERILER!$B$7:$B$156,MATCH($S1004,MUSTERILER!$T$7:$T$156,0)),""))</f>
        <v/>
      </c>
      <c r="U1004" s="1" t="str">
        <f>IF($T1004="","",$T1004&amp;"|"&amp;COUNTIFS($T$7:$T1004,$T1004))</f>
        <v/>
      </c>
      <c r="V1004" s="1">
        <f t="shared" si="128"/>
        <v>0</v>
      </c>
      <c r="W1004" s="1" t="str">
        <f t="shared" si="129"/>
        <v/>
      </c>
      <c r="X1004" s="1"/>
      <c r="Y1004" s="1"/>
      <c r="Z1004" s="1"/>
      <c r="AA1004" s="1"/>
      <c r="AB1004" s="1"/>
      <c r="AC1004" s="1"/>
      <c r="AD1004" s="1">
        <f>IF($C1004="",0,SUMPRODUCT((AY_SONU!$O$7:$O$42="Evet")*(AY_SONU!$B$7:$B$42=DATE(YEAR($C1004),MONTH($C1004),1))))</f>
        <v>0</v>
      </c>
      <c r="AE1004" s="1" t="str">
        <f>IF($E1004="","",$E1004&amp;"|"&amp;COUNTIFS($E$7:$E1004,$E1004))</f>
        <v/>
      </c>
    </row>
    <row r="1005" spans="1:31" ht="18" customHeight="1" x14ac:dyDescent="0.3">
      <c r="A1005" s="2"/>
      <c r="B1005" s="65" t="str">
        <f t="shared" si="122"/>
        <v/>
      </c>
      <c r="C1005" s="66"/>
      <c r="D1005" s="60"/>
      <c r="E1005" s="61"/>
      <c r="F1005" s="61"/>
      <c r="G1005" s="67"/>
      <c r="H1005" s="60"/>
      <c r="I1005" s="60"/>
      <c r="J1005" s="61"/>
      <c r="K1005" s="61"/>
      <c r="L1005" s="60"/>
      <c r="M1005" s="74" t="str">
        <f t="shared" si="123"/>
        <v/>
      </c>
      <c r="N1005" s="74" t="str">
        <f t="shared" si="124"/>
        <v/>
      </c>
      <c r="O1005" s="73" t="str">
        <f t="shared" si="125"/>
        <v/>
      </c>
      <c r="P1005" s="65" t="str">
        <f t="shared" ca="1" si="126"/>
        <v/>
      </c>
      <c r="Q1005" s="2"/>
      <c r="R1005" s="2"/>
      <c r="S1005" s="1" t="str">
        <f t="shared" si="127"/>
        <v/>
      </c>
      <c r="T1005" s="1" t="str">
        <f>IF(OR($C1005="",$D1005&lt;&gt;"Gelir",$L1005=""),"",IFERROR(INDEX(MUSTERILER!$B$7:$B$156,MATCH($S1005,MUSTERILER!$T$7:$T$156,0)),""))</f>
        <v/>
      </c>
      <c r="U1005" s="1" t="str">
        <f>IF($T1005="","",$T1005&amp;"|"&amp;COUNTIFS($T$7:$T1005,$T1005))</f>
        <v/>
      </c>
      <c r="V1005" s="1">
        <f t="shared" si="128"/>
        <v>0</v>
      </c>
      <c r="W1005" s="1" t="str">
        <f t="shared" si="129"/>
        <v/>
      </c>
      <c r="X1005" s="1"/>
      <c r="Y1005" s="1"/>
      <c r="Z1005" s="1"/>
      <c r="AA1005" s="1"/>
      <c r="AB1005" s="1"/>
      <c r="AC1005" s="1"/>
      <c r="AD1005" s="1">
        <f>IF($C1005="",0,SUMPRODUCT((AY_SONU!$O$7:$O$42="Evet")*(AY_SONU!$B$7:$B$42=DATE(YEAR($C1005),MONTH($C1005),1))))</f>
        <v>0</v>
      </c>
      <c r="AE1005" s="1" t="str">
        <f>IF($E1005="","",$E1005&amp;"|"&amp;COUNTIFS($E$7:$E1005,$E1005))</f>
        <v/>
      </c>
    </row>
    <row r="1006" spans="1:31" ht="18" customHeight="1" x14ac:dyDescent="0.3">
      <c r="A1006" s="2"/>
      <c r="B1006" s="65" t="str">
        <f t="shared" si="122"/>
        <v/>
      </c>
      <c r="C1006" s="66"/>
      <c r="D1006" s="60"/>
      <c r="E1006" s="61"/>
      <c r="F1006" s="61"/>
      <c r="G1006" s="67"/>
      <c r="H1006" s="60"/>
      <c r="I1006" s="60"/>
      <c r="J1006" s="61"/>
      <c r="K1006" s="61"/>
      <c r="L1006" s="60"/>
      <c r="M1006" s="74" t="str">
        <f t="shared" si="123"/>
        <v/>
      </c>
      <c r="N1006" s="74" t="str">
        <f t="shared" si="124"/>
        <v/>
      </c>
      <c r="O1006" s="73" t="str">
        <f t="shared" si="125"/>
        <v/>
      </c>
      <c r="P1006" s="65" t="str">
        <f t="shared" ca="1" si="126"/>
        <v/>
      </c>
      <c r="Q1006" s="2"/>
      <c r="R1006" s="2"/>
      <c r="S1006" s="1" t="str">
        <f t="shared" si="127"/>
        <v/>
      </c>
      <c r="T1006" s="1" t="str">
        <f>IF(OR($C1006="",$D1006&lt;&gt;"Gelir",$L1006=""),"",IFERROR(INDEX(MUSTERILER!$B$7:$B$156,MATCH($S1006,MUSTERILER!$T$7:$T$156,0)),""))</f>
        <v/>
      </c>
      <c r="U1006" s="1" t="str">
        <f>IF($T1006="","",$T1006&amp;"|"&amp;COUNTIFS($T$7:$T1006,$T1006))</f>
        <v/>
      </c>
      <c r="V1006" s="1">
        <f t="shared" si="128"/>
        <v>0</v>
      </c>
      <c r="W1006" s="1" t="str">
        <f t="shared" si="129"/>
        <v/>
      </c>
      <c r="X1006" s="1"/>
      <c r="Y1006" s="1"/>
      <c r="Z1006" s="1"/>
      <c r="AA1006" s="1"/>
      <c r="AB1006" s="1"/>
      <c r="AC1006" s="1"/>
      <c r="AD1006" s="1">
        <f>IF($C1006="",0,SUMPRODUCT((AY_SONU!$O$7:$O$42="Evet")*(AY_SONU!$B$7:$B$42=DATE(YEAR($C1006),MONTH($C1006),1))))</f>
        <v>0</v>
      </c>
      <c r="AE1006" s="1" t="str">
        <f>IF($E1006="","",$E1006&amp;"|"&amp;COUNTIFS($E$7:$E1006,$E1006))</f>
        <v/>
      </c>
    </row>
    <row r="1007" spans="1:31" ht="18" customHeight="1" x14ac:dyDescent="0.3">
      <c r="A1007" s="2"/>
      <c r="B1007" s="65" t="str">
        <f t="shared" si="122"/>
        <v/>
      </c>
      <c r="C1007" s="66"/>
      <c r="D1007" s="60"/>
      <c r="E1007" s="61"/>
      <c r="F1007" s="61"/>
      <c r="G1007" s="67"/>
      <c r="H1007" s="60"/>
      <c r="I1007" s="60"/>
      <c r="J1007" s="61"/>
      <c r="K1007" s="61"/>
      <c r="L1007" s="60"/>
      <c r="M1007" s="74" t="str">
        <f t="shared" si="123"/>
        <v/>
      </c>
      <c r="N1007" s="74" t="str">
        <f t="shared" si="124"/>
        <v/>
      </c>
      <c r="O1007" s="73" t="str">
        <f t="shared" si="125"/>
        <v/>
      </c>
      <c r="P1007" s="65" t="str">
        <f t="shared" ca="1" si="126"/>
        <v/>
      </c>
      <c r="Q1007" s="2"/>
      <c r="R1007" s="2"/>
      <c r="S1007" s="1" t="str">
        <f t="shared" si="127"/>
        <v/>
      </c>
      <c r="T1007" s="1" t="str">
        <f>IF(OR($C1007="",$D1007&lt;&gt;"Gelir",$L1007=""),"",IFERROR(INDEX(MUSTERILER!$B$7:$B$156,MATCH($S1007,MUSTERILER!$T$7:$T$156,0)),""))</f>
        <v/>
      </c>
      <c r="U1007" s="1" t="str">
        <f>IF($T1007="","",$T1007&amp;"|"&amp;COUNTIFS($T$7:$T1007,$T1007))</f>
        <v/>
      </c>
      <c r="V1007" s="1">
        <f t="shared" si="128"/>
        <v>0</v>
      </c>
      <c r="W1007" s="1" t="str">
        <f t="shared" si="129"/>
        <v/>
      </c>
      <c r="X1007" s="1"/>
      <c r="Y1007" s="1"/>
      <c r="Z1007" s="1"/>
      <c r="AA1007" s="1"/>
      <c r="AB1007" s="1"/>
      <c r="AC1007" s="1"/>
      <c r="AD1007" s="1">
        <f>IF($C1007="",0,SUMPRODUCT((AY_SONU!$O$7:$O$42="Evet")*(AY_SONU!$B$7:$B$42=DATE(YEAR($C1007),MONTH($C1007),1))))</f>
        <v>0</v>
      </c>
      <c r="AE1007" s="1" t="str">
        <f>IF($E1007="","",$E1007&amp;"|"&amp;COUNTIFS($E$7:$E1007,$E1007))</f>
        <v/>
      </c>
    </row>
    <row r="1008" spans="1:31" ht="18" customHeight="1" x14ac:dyDescent="0.3">
      <c r="A1008" s="2"/>
      <c r="B1008" s="65" t="str">
        <f t="shared" si="122"/>
        <v/>
      </c>
      <c r="C1008" s="66"/>
      <c r="D1008" s="60"/>
      <c r="E1008" s="61"/>
      <c r="F1008" s="61"/>
      <c r="G1008" s="67"/>
      <c r="H1008" s="60"/>
      <c r="I1008" s="60"/>
      <c r="J1008" s="61"/>
      <c r="K1008" s="61"/>
      <c r="L1008" s="60"/>
      <c r="M1008" s="74" t="str">
        <f t="shared" si="123"/>
        <v/>
      </c>
      <c r="N1008" s="74" t="str">
        <f t="shared" si="124"/>
        <v/>
      </c>
      <c r="O1008" s="73" t="str">
        <f t="shared" si="125"/>
        <v/>
      </c>
      <c r="P1008" s="65" t="str">
        <f t="shared" ca="1" si="126"/>
        <v/>
      </c>
      <c r="Q1008" s="2"/>
      <c r="R1008" s="2"/>
      <c r="S1008" s="1" t="str">
        <f t="shared" si="127"/>
        <v/>
      </c>
      <c r="T1008" s="1" t="str">
        <f>IF(OR($C1008="",$D1008&lt;&gt;"Gelir",$L1008=""),"",IFERROR(INDEX(MUSTERILER!$B$7:$B$156,MATCH($S1008,MUSTERILER!$T$7:$T$156,0)),""))</f>
        <v/>
      </c>
      <c r="U1008" s="1" t="str">
        <f>IF($T1008="","",$T1008&amp;"|"&amp;COUNTIFS($T$7:$T1008,$T1008))</f>
        <v/>
      </c>
      <c r="V1008" s="1">
        <f t="shared" si="128"/>
        <v>0</v>
      </c>
      <c r="W1008" s="1" t="str">
        <f t="shared" si="129"/>
        <v/>
      </c>
      <c r="X1008" s="1"/>
      <c r="Y1008" s="1"/>
      <c r="Z1008" s="1"/>
      <c r="AA1008" s="1"/>
      <c r="AB1008" s="1"/>
      <c r="AC1008" s="1"/>
      <c r="AD1008" s="1">
        <f>IF($C1008="",0,SUMPRODUCT((AY_SONU!$O$7:$O$42="Evet")*(AY_SONU!$B$7:$B$42=DATE(YEAR($C1008),MONTH($C1008),1))))</f>
        <v>0</v>
      </c>
      <c r="AE1008" s="1" t="str">
        <f>IF($E1008="","",$E1008&amp;"|"&amp;COUNTIFS($E$7:$E1008,$E1008))</f>
        <v/>
      </c>
    </row>
    <row r="1009" spans="1:31" ht="18" customHeight="1" x14ac:dyDescent="0.3">
      <c r="A1009" s="2"/>
      <c r="B1009" s="65" t="str">
        <f t="shared" si="122"/>
        <v/>
      </c>
      <c r="C1009" s="66"/>
      <c r="D1009" s="60"/>
      <c r="E1009" s="61"/>
      <c r="F1009" s="61"/>
      <c r="G1009" s="67"/>
      <c r="H1009" s="60"/>
      <c r="I1009" s="60"/>
      <c r="J1009" s="61"/>
      <c r="K1009" s="61"/>
      <c r="L1009" s="60"/>
      <c r="M1009" s="74" t="str">
        <f t="shared" si="123"/>
        <v/>
      </c>
      <c r="N1009" s="74" t="str">
        <f t="shared" si="124"/>
        <v/>
      </c>
      <c r="O1009" s="73" t="str">
        <f t="shared" si="125"/>
        <v/>
      </c>
      <c r="P1009" s="65" t="str">
        <f t="shared" ca="1" si="126"/>
        <v/>
      </c>
      <c r="Q1009" s="2"/>
      <c r="R1009" s="2"/>
      <c r="S1009" s="1" t="str">
        <f t="shared" si="127"/>
        <v/>
      </c>
      <c r="T1009" s="1" t="str">
        <f>IF(OR($C1009="",$D1009&lt;&gt;"Gelir",$L1009=""),"",IFERROR(INDEX(MUSTERILER!$B$7:$B$156,MATCH($S1009,MUSTERILER!$T$7:$T$156,0)),""))</f>
        <v/>
      </c>
      <c r="U1009" s="1" t="str">
        <f>IF($T1009="","",$T1009&amp;"|"&amp;COUNTIFS($T$7:$T1009,$T1009))</f>
        <v/>
      </c>
      <c r="V1009" s="1">
        <f t="shared" si="128"/>
        <v>0</v>
      </c>
      <c r="W1009" s="1" t="str">
        <f t="shared" si="129"/>
        <v/>
      </c>
      <c r="X1009" s="1"/>
      <c r="Y1009" s="1"/>
      <c r="Z1009" s="1"/>
      <c r="AA1009" s="1"/>
      <c r="AB1009" s="1"/>
      <c r="AC1009" s="1"/>
      <c r="AD1009" s="1">
        <f>IF($C1009="",0,SUMPRODUCT((AY_SONU!$O$7:$O$42="Evet")*(AY_SONU!$B$7:$B$42=DATE(YEAR($C1009),MONTH($C1009),1))))</f>
        <v>0</v>
      </c>
      <c r="AE1009" s="1" t="str">
        <f>IF($E1009="","",$E1009&amp;"|"&amp;COUNTIFS($E$7:$E1009,$E1009))</f>
        <v/>
      </c>
    </row>
    <row r="1010" spans="1:31" ht="18" customHeight="1" x14ac:dyDescent="0.3">
      <c r="A1010" s="2"/>
      <c r="B1010" s="65" t="str">
        <f t="shared" si="122"/>
        <v/>
      </c>
      <c r="C1010" s="66"/>
      <c r="D1010" s="60"/>
      <c r="E1010" s="61"/>
      <c r="F1010" s="61"/>
      <c r="G1010" s="67"/>
      <c r="H1010" s="60"/>
      <c r="I1010" s="60"/>
      <c r="J1010" s="61"/>
      <c r="K1010" s="61"/>
      <c r="L1010" s="60"/>
      <c r="M1010" s="74" t="str">
        <f t="shared" si="123"/>
        <v/>
      </c>
      <c r="N1010" s="74" t="str">
        <f t="shared" si="124"/>
        <v/>
      </c>
      <c r="O1010" s="73" t="str">
        <f t="shared" si="125"/>
        <v/>
      </c>
      <c r="P1010" s="65" t="str">
        <f t="shared" ca="1" si="126"/>
        <v/>
      </c>
      <c r="Q1010" s="2"/>
      <c r="R1010" s="2"/>
      <c r="S1010" s="1" t="str">
        <f t="shared" si="127"/>
        <v/>
      </c>
      <c r="T1010" s="1" t="str">
        <f>IF(OR($C1010="",$D1010&lt;&gt;"Gelir",$L1010=""),"",IFERROR(INDEX(MUSTERILER!$B$7:$B$156,MATCH($S1010,MUSTERILER!$T$7:$T$156,0)),""))</f>
        <v/>
      </c>
      <c r="U1010" s="1" t="str">
        <f>IF($T1010="","",$T1010&amp;"|"&amp;COUNTIFS($T$7:$T1010,$T1010))</f>
        <v/>
      </c>
      <c r="V1010" s="1">
        <f t="shared" si="128"/>
        <v>0</v>
      </c>
      <c r="W1010" s="1" t="str">
        <f t="shared" si="129"/>
        <v/>
      </c>
      <c r="X1010" s="1"/>
      <c r="Y1010" s="1"/>
      <c r="Z1010" s="1"/>
      <c r="AA1010" s="1"/>
      <c r="AB1010" s="1"/>
      <c r="AC1010" s="1"/>
      <c r="AD1010" s="1">
        <f>IF($C1010="",0,SUMPRODUCT((AY_SONU!$O$7:$O$42="Evet")*(AY_SONU!$B$7:$B$42=DATE(YEAR($C1010),MONTH($C1010),1))))</f>
        <v>0</v>
      </c>
      <c r="AE1010" s="1" t="str">
        <f>IF($E1010="","",$E1010&amp;"|"&amp;COUNTIFS($E$7:$E1010,$E1010))</f>
        <v/>
      </c>
    </row>
    <row r="1011" spans="1:31" ht="18" customHeight="1" x14ac:dyDescent="0.3">
      <c r="A1011" s="2"/>
      <c r="B1011" s="65" t="str">
        <f t="shared" si="122"/>
        <v/>
      </c>
      <c r="C1011" s="66"/>
      <c r="D1011" s="60"/>
      <c r="E1011" s="61"/>
      <c r="F1011" s="61"/>
      <c r="G1011" s="67"/>
      <c r="H1011" s="60"/>
      <c r="I1011" s="60"/>
      <c r="J1011" s="61"/>
      <c r="K1011" s="61"/>
      <c r="L1011" s="60"/>
      <c r="M1011" s="74" t="str">
        <f t="shared" si="123"/>
        <v/>
      </c>
      <c r="N1011" s="74" t="str">
        <f t="shared" si="124"/>
        <v/>
      </c>
      <c r="O1011" s="73" t="str">
        <f t="shared" si="125"/>
        <v/>
      </c>
      <c r="P1011" s="65" t="str">
        <f t="shared" ca="1" si="126"/>
        <v/>
      </c>
      <c r="Q1011" s="2"/>
      <c r="R1011" s="2"/>
      <c r="S1011" s="1" t="str">
        <f t="shared" si="127"/>
        <v/>
      </c>
      <c r="T1011" s="1" t="str">
        <f>IF(OR($C1011="",$D1011&lt;&gt;"Gelir",$L1011=""),"",IFERROR(INDEX(MUSTERILER!$B$7:$B$156,MATCH($S1011,MUSTERILER!$T$7:$T$156,0)),""))</f>
        <v/>
      </c>
      <c r="U1011" s="1" t="str">
        <f>IF($T1011="","",$T1011&amp;"|"&amp;COUNTIFS($T$7:$T1011,$T1011))</f>
        <v/>
      </c>
      <c r="V1011" s="1">
        <f t="shared" si="128"/>
        <v>0</v>
      </c>
      <c r="W1011" s="1" t="str">
        <f t="shared" si="129"/>
        <v/>
      </c>
      <c r="X1011" s="1"/>
      <c r="Y1011" s="1"/>
      <c r="Z1011" s="1"/>
      <c r="AA1011" s="1"/>
      <c r="AB1011" s="1"/>
      <c r="AC1011" s="1"/>
      <c r="AD1011" s="1">
        <f>IF($C1011="",0,SUMPRODUCT((AY_SONU!$O$7:$O$42="Evet")*(AY_SONU!$B$7:$B$42=DATE(YEAR($C1011),MONTH($C1011),1))))</f>
        <v>0</v>
      </c>
      <c r="AE1011" s="1" t="str">
        <f>IF($E1011="","",$E1011&amp;"|"&amp;COUNTIFS($E$7:$E1011,$E1011))</f>
        <v/>
      </c>
    </row>
    <row r="1012" spans="1:31" ht="18" customHeight="1" x14ac:dyDescent="0.3">
      <c r="A1012" s="2"/>
      <c r="B1012" s="65" t="str">
        <f t="shared" si="122"/>
        <v/>
      </c>
      <c r="C1012" s="66"/>
      <c r="D1012" s="60"/>
      <c r="E1012" s="61"/>
      <c r="F1012" s="61"/>
      <c r="G1012" s="67"/>
      <c r="H1012" s="60"/>
      <c r="I1012" s="60"/>
      <c r="J1012" s="61"/>
      <c r="K1012" s="61"/>
      <c r="L1012" s="60"/>
      <c r="M1012" s="74" t="str">
        <f t="shared" si="123"/>
        <v/>
      </c>
      <c r="N1012" s="74" t="str">
        <f t="shared" si="124"/>
        <v/>
      </c>
      <c r="O1012" s="73" t="str">
        <f t="shared" si="125"/>
        <v/>
      </c>
      <c r="P1012" s="65" t="str">
        <f t="shared" ca="1" si="126"/>
        <v/>
      </c>
      <c r="Q1012" s="2"/>
      <c r="R1012" s="2"/>
      <c r="S1012" s="1" t="str">
        <f t="shared" si="127"/>
        <v/>
      </c>
      <c r="T1012" s="1" t="str">
        <f>IF(OR($C1012="",$D1012&lt;&gt;"Gelir",$L1012=""),"",IFERROR(INDEX(MUSTERILER!$B$7:$B$156,MATCH($S1012,MUSTERILER!$T$7:$T$156,0)),""))</f>
        <v/>
      </c>
      <c r="U1012" s="1" t="str">
        <f>IF($T1012="","",$T1012&amp;"|"&amp;COUNTIFS($T$7:$T1012,$T1012))</f>
        <v/>
      </c>
      <c r="V1012" s="1">
        <f t="shared" si="128"/>
        <v>0</v>
      </c>
      <c r="W1012" s="1" t="str">
        <f t="shared" si="129"/>
        <v/>
      </c>
      <c r="X1012" s="1"/>
      <c r="Y1012" s="1"/>
      <c r="Z1012" s="1"/>
      <c r="AA1012" s="1"/>
      <c r="AB1012" s="1"/>
      <c r="AC1012" s="1"/>
      <c r="AD1012" s="1">
        <f>IF($C1012="",0,SUMPRODUCT((AY_SONU!$O$7:$O$42="Evet")*(AY_SONU!$B$7:$B$42=DATE(YEAR($C1012),MONTH($C1012),1))))</f>
        <v>0</v>
      </c>
      <c r="AE1012" s="1" t="str">
        <f>IF($E1012="","",$E1012&amp;"|"&amp;COUNTIFS($E$7:$E1012,$E1012))</f>
        <v/>
      </c>
    </row>
    <row r="1013" spans="1:31" ht="18" customHeight="1" x14ac:dyDescent="0.3">
      <c r="A1013" s="2"/>
      <c r="B1013" s="65" t="str">
        <f t="shared" si="122"/>
        <v/>
      </c>
      <c r="C1013" s="66"/>
      <c r="D1013" s="60"/>
      <c r="E1013" s="61"/>
      <c r="F1013" s="61"/>
      <c r="G1013" s="67"/>
      <c r="H1013" s="60"/>
      <c r="I1013" s="60"/>
      <c r="J1013" s="61"/>
      <c r="K1013" s="61"/>
      <c r="L1013" s="60"/>
      <c r="M1013" s="74" t="str">
        <f t="shared" si="123"/>
        <v/>
      </c>
      <c r="N1013" s="74" t="str">
        <f t="shared" si="124"/>
        <v/>
      </c>
      <c r="O1013" s="73" t="str">
        <f t="shared" si="125"/>
        <v/>
      </c>
      <c r="P1013" s="65" t="str">
        <f t="shared" ca="1" si="126"/>
        <v/>
      </c>
      <c r="Q1013" s="2"/>
      <c r="R1013" s="2"/>
      <c r="S1013" s="1" t="str">
        <f t="shared" si="127"/>
        <v/>
      </c>
      <c r="T1013" s="1" t="str">
        <f>IF(OR($C1013="",$D1013&lt;&gt;"Gelir",$L1013=""),"",IFERROR(INDEX(MUSTERILER!$B$7:$B$156,MATCH($S1013,MUSTERILER!$T$7:$T$156,0)),""))</f>
        <v/>
      </c>
      <c r="U1013" s="1" t="str">
        <f>IF($T1013="","",$T1013&amp;"|"&amp;COUNTIFS($T$7:$T1013,$T1013))</f>
        <v/>
      </c>
      <c r="V1013" s="1">
        <f t="shared" si="128"/>
        <v>0</v>
      </c>
      <c r="W1013" s="1" t="str">
        <f t="shared" si="129"/>
        <v/>
      </c>
      <c r="X1013" s="1"/>
      <c r="Y1013" s="1"/>
      <c r="Z1013" s="1"/>
      <c r="AA1013" s="1"/>
      <c r="AB1013" s="1"/>
      <c r="AC1013" s="1"/>
      <c r="AD1013" s="1">
        <f>IF($C1013="",0,SUMPRODUCT((AY_SONU!$O$7:$O$42="Evet")*(AY_SONU!$B$7:$B$42=DATE(YEAR($C1013),MONTH($C1013),1))))</f>
        <v>0</v>
      </c>
      <c r="AE1013" s="1" t="str">
        <f>IF($E1013="","",$E1013&amp;"|"&amp;COUNTIFS($E$7:$E1013,$E1013))</f>
        <v/>
      </c>
    </row>
    <row r="1014" spans="1:31" ht="18" customHeight="1" x14ac:dyDescent="0.3">
      <c r="A1014" s="2"/>
      <c r="B1014" s="65" t="str">
        <f t="shared" si="122"/>
        <v/>
      </c>
      <c r="C1014" s="66"/>
      <c r="D1014" s="60"/>
      <c r="E1014" s="61"/>
      <c r="F1014" s="61"/>
      <c r="G1014" s="67"/>
      <c r="H1014" s="60"/>
      <c r="I1014" s="60"/>
      <c r="J1014" s="61"/>
      <c r="K1014" s="61"/>
      <c r="L1014" s="60"/>
      <c r="M1014" s="74" t="str">
        <f t="shared" si="123"/>
        <v/>
      </c>
      <c r="N1014" s="74" t="str">
        <f t="shared" si="124"/>
        <v/>
      </c>
      <c r="O1014" s="73" t="str">
        <f t="shared" si="125"/>
        <v/>
      </c>
      <c r="P1014" s="65" t="str">
        <f t="shared" ca="1" si="126"/>
        <v/>
      </c>
      <c r="Q1014" s="2"/>
      <c r="R1014" s="2"/>
      <c r="S1014" s="1" t="str">
        <f t="shared" si="127"/>
        <v/>
      </c>
      <c r="T1014" s="1" t="str">
        <f>IF(OR($C1014="",$D1014&lt;&gt;"Gelir",$L1014=""),"",IFERROR(INDEX(MUSTERILER!$B$7:$B$156,MATCH($S1014,MUSTERILER!$T$7:$T$156,0)),""))</f>
        <v/>
      </c>
      <c r="U1014" s="1" t="str">
        <f>IF($T1014="","",$T1014&amp;"|"&amp;COUNTIFS($T$7:$T1014,$T1014))</f>
        <v/>
      </c>
      <c r="V1014" s="1">
        <f t="shared" si="128"/>
        <v>0</v>
      </c>
      <c r="W1014" s="1" t="str">
        <f t="shared" si="129"/>
        <v/>
      </c>
      <c r="X1014" s="1"/>
      <c r="Y1014" s="1"/>
      <c r="Z1014" s="1"/>
      <c r="AA1014" s="1"/>
      <c r="AB1014" s="1"/>
      <c r="AC1014" s="1"/>
      <c r="AD1014" s="1">
        <f>IF($C1014="",0,SUMPRODUCT((AY_SONU!$O$7:$O$42="Evet")*(AY_SONU!$B$7:$B$42=DATE(YEAR($C1014),MONTH($C1014),1))))</f>
        <v>0</v>
      </c>
      <c r="AE1014" s="1" t="str">
        <f>IF($E1014="","",$E1014&amp;"|"&amp;COUNTIFS($E$7:$E1014,$E1014))</f>
        <v/>
      </c>
    </row>
    <row r="1015" spans="1:31" ht="18" customHeight="1" x14ac:dyDescent="0.3">
      <c r="A1015" s="2"/>
      <c r="B1015" s="65" t="str">
        <f t="shared" si="122"/>
        <v/>
      </c>
      <c r="C1015" s="66"/>
      <c r="D1015" s="60"/>
      <c r="E1015" s="61"/>
      <c r="F1015" s="61"/>
      <c r="G1015" s="67"/>
      <c r="H1015" s="60"/>
      <c r="I1015" s="60"/>
      <c r="J1015" s="61"/>
      <c r="K1015" s="61"/>
      <c r="L1015" s="60"/>
      <c r="M1015" s="74" t="str">
        <f t="shared" si="123"/>
        <v/>
      </c>
      <c r="N1015" s="74" t="str">
        <f t="shared" si="124"/>
        <v/>
      </c>
      <c r="O1015" s="73" t="str">
        <f t="shared" si="125"/>
        <v/>
      </c>
      <c r="P1015" s="65" t="str">
        <f t="shared" ca="1" si="126"/>
        <v/>
      </c>
      <c r="Q1015" s="2"/>
      <c r="R1015" s="2"/>
      <c r="S1015" s="1" t="str">
        <f t="shared" si="127"/>
        <v/>
      </c>
      <c r="T1015" s="1" t="str">
        <f>IF(OR($C1015="",$D1015&lt;&gt;"Gelir",$L1015=""),"",IFERROR(INDEX(MUSTERILER!$B$7:$B$156,MATCH($S1015,MUSTERILER!$T$7:$T$156,0)),""))</f>
        <v/>
      </c>
      <c r="U1015" s="1" t="str">
        <f>IF($T1015="","",$T1015&amp;"|"&amp;COUNTIFS($T$7:$T1015,$T1015))</f>
        <v/>
      </c>
      <c r="V1015" s="1">
        <f t="shared" si="128"/>
        <v>0</v>
      </c>
      <c r="W1015" s="1" t="str">
        <f t="shared" si="129"/>
        <v/>
      </c>
      <c r="X1015" s="1"/>
      <c r="Y1015" s="1"/>
      <c r="Z1015" s="1"/>
      <c r="AA1015" s="1"/>
      <c r="AB1015" s="1"/>
      <c r="AC1015" s="1"/>
      <c r="AD1015" s="1">
        <f>IF($C1015="",0,SUMPRODUCT((AY_SONU!$O$7:$O$42="Evet")*(AY_SONU!$B$7:$B$42=DATE(YEAR($C1015),MONTH($C1015),1))))</f>
        <v>0</v>
      </c>
      <c r="AE1015" s="1" t="str">
        <f>IF($E1015="","",$E1015&amp;"|"&amp;COUNTIFS($E$7:$E1015,$E1015))</f>
        <v/>
      </c>
    </row>
    <row r="1016" spans="1:31" ht="18" customHeight="1" x14ac:dyDescent="0.3">
      <c r="A1016" s="2"/>
      <c r="B1016" s="65" t="str">
        <f t="shared" si="122"/>
        <v/>
      </c>
      <c r="C1016" s="66"/>
      <c r="D1016" s="60"/>
      <c r="E1016" s="61"/>
      <c r="F1016" s="61"/>
      <c r="G1016" s="67"/>
      <c r="H1016" s="60"/>
      <c r="I1016" s="60"/>
      <c r="J1016" s="61"/>
      <c r="K1016" s="61"/>
      <c r="L1016" s="60"/>
      <c r="M1016" s="74" t="str">
        <f t="shared" si="123"/>
        <v/>
      </c>
      <c r="N1016" s="74" t="str">
        <f t="shared" si="124"/>
        <v/>
      </c>
      <c r="O1016" s="73" t="str">
        <f t="shared" si="125"/>
        <v/>
      </c>
      <c r="P1016" s="65" t="str">
        <f t="shared" ca="1" si="126"/>
        <v/>
      </c>
      <c r="Q1016" s="2"/>
      <c r="R1016" s="2"/>
      <c r="S1016" s="1" t="str">
        <f t="shared" si="127"/>
        <v/>
      </c>
      <c r="T1016" s="1" t="str">
        <f>IF(OR($C1016="",$D1016&lt;&gt;"Gelir",$L1016=""),"",IFERROR(INDEX(MUSTERILER!$B$7:$B$156,MATCH($S1016,MUSTERILER!$T$7:$T$156,0)),""))</f>
        <v/>
      </c>
      <c r="U1016" s="1" t="str">
        <f>IF($T1016="","",$T1016&amp;"|"&amp;COUNTIFS($T$7:$T1016,$T1016))</f>
        <v/>
      </c>
      <c r="V1016" s="1">
        <f t="shared" si="128"/>
        <v>0</v>
      </c>
      <c r="W1016" s="1" t="str">
        <f t="shared" si="129"/>
        <v/>
      </c>
      <c r="X1016" s="1"/>
      <c r="Y1016" s="1"/>
      <c r="Z1016" s="1"/>
      <c r="AA1016" s="1"/>
      <c r="AB1016" s="1"/>
      <c r="AC1016" s="1"/>
      <c r="AD1016" s="1">
        <f>IF($C1016="",0,SUMPRODUCT((AY_SONU!$O$7:$O$42="Evet")*(AY_SONU!$B$7:$B$42=DATE(YEAR($C1016),MONTH($C1016),1))))</f>
        <v>0</v>
      </c>
      <c r="AE1016" s="1" t="str">
        <f>IF($E1016="","",$E1016&amp;"|"&amp;COUNTIFS($E$7:$E1016,$E1016))</f>
        <v/>
      </c>
    </row>
    <row r="1017" spans="1:31" ht="18" customHeight="1" x14ac:dyDescent="0.3">
      <c r="A1017" s="2"/>
      <c r="B1017" s="65" t="str">
        <f t="shared" si="122"/>
        <v/>
      </c>
      <c r="C1017" s="66"/>
      <c r="D1017" s="60"/>
      <c r="E1017" s="61"/>
      <c r="F1017" s="61"/>
      <c r="G1017" s="67"/>
      <c r="H1017" s="60"/>
      <c r="I1017" s="60"/>
      <c r="J1017" s="61"/>
      <c r="K1017" s="61"/>
      <c r="L1017" s="60"/>
      <c r="M1017" s="74" t="str">
        <f t="shared" si="123"/>
        <v/>
      </c>
      <c r="N1017" s="74" t="str">
        <f t="shared" si="124"/>
        <v/>
      </c>
      <c r="O1017" s="73" t="str">
        <f t="shared" si="125"/>
        <v/>
      </c>
      <c r="P1017" s="65" t="str">
        <f t="shared" ca="1" si="126"/>
        <v/>
      </c>
      <c r="Q1017" s="2"/>
      <c r="R1017" s="2"/>
      <c r="S1017" s="1" t="str">
        <f t="shared" si="127"/>
        <v/>
      </c>
      <c r="T1017" s="1" t="str">
        <f>IF(OR($C1017="",$D1017&lt;&gt;"Gelir",$L1017=""),"",IFERROR(INDEX(MUSTERILER!$B$7:$B$156,MATCH($S1017,MUSTERILER!$T$7:$T$156,0)),""))</f>
        <v/>
      </c>
      <c r="U1017" s="1" t="str">
        <f>IF($T1017="","",$T1017&amp;"|"&amp;COUNTIFS($T$7:$T1017,$T1017))</f>
        <v/>
      </c>
      <c r="V1017" s="1">
        <f t="shared" si="128"/>
        <v>0</v>
      </c>
      <c r="W1017" s="1" t="str">
        <f t="shared" si="129"/>
        <v/>
      </c>
      <c r="X1017" s="1"/>
      <c r="Y1017" s="1"/>
      <c r="Z1017" s="1"/>
      <c r="AA1017" s="1"/>
      <c r="AB1017" s="1"/>
      <c r="AC1017" s="1"/>
      <c r="AD1017" s="1">
        <f>IF($C1017="",0,SUMPRODUCT((AY_SONU!$O$7:$O$42="Evet")*(AY_SONU!$B$7:$B$42=DATE(YEAR($C1017),MONTH($C1017),1))))</f>
        <v>0</v>
      </c>
      <c r="AE1017" s="1" t="str">
        <f>IF($E1017="","",$E1017&amp;"|"&amp;COUNTIFS($E$7:$E1017,$E1017))</f>
        <v/>
      </c>
    </row>
    <row r="1018" spans="1:31" ht="18" customHeight="1" x14ac:dyDescent="0.3">
      <c r="A1018" s="2"/>
      <c r="B1018" s="65" t="str">
        <f t="shared" si="122"/>
        <v/>
      </c>
      <c r="C1018" s="66"/>
      <c r="D1018" s="60"/>
      <c r="E1018" s="61"/>
      <c r="F1018" s="61"/>
      <c r="G1018" s="67"/>
      <c r="H1018" s="60"/>
      <c r="I1018" s="60"/>
      <c r="J1018" s="61"/>
      <c r="K1018" s="61"/>
      <c r="L1018" s="60"/>
      <c r="M1018" s="74" t="str">
        <f t="shared" si="123"/>
        <v/>
      </c>
      <c r="N1018" s="74" t="str">
        <f t="shared" si="124"/>
        <v/>
      </c>
      <c r="O1018" s="73" t="str">
        <f t="shared" si="125"/>
        <v/>
      </c>
      <c r="P1018" s="65" t="str">
        <f t="shared" ca="1" si="126"/>
        <v/>
      </c>
      <c r="Q1018" s="2"/>
      <c r="R1018" s="2"/>
      <c r="S1018" s="1" t="str">
        <f t="shared" si="127"/>
        <v/>
      </c>
      <c r="T1018" s="1" t="str">
        <f>IF(OR($C1018="",$D1018&lt;&gt;"Gelir",$L1018=""),"",IFERROR(INDEX(MUSTERILER!$B$7:$B$156,MATCH($S1018,MUSTERILER!$T$7:$T$156,0)),""))</f>
        <v/>
      </c>
      <c r="U1018" s="1" t="str">
        <f>IF($T1018="","",$T1018&amp;"|"&amp;COUNTIFS($T$7:$T1018,$T1018))</f>
        <v/>
      </c>
      <c r="V1018" s="1">
        <f t="shared" si="128"/>
        <v>0</v>
      </c>
      <c r="W1018" s="1" t="str">
        <f t="shared" si="129"/>
        <v/>
      </c>
      <c r="X1018" s="1"/>
      <c r="Y1018" s="1"/>
      <c r="Z1018" s="1"/>
      <c r="AA1018" s="1"/>
      <c r="AB1018" s="1"/>
      <c r="AC1018" s="1"/>
      <c r="AD1018" s="1">
        <f>IF($C1018="",0,SUMPRODUCT((AY_SONU!$O$7:$O$42="Evet")*(AY_SONU!$B$7:$B$42=DATE(YEAR($C1018),MONTH($C1018),1))))</f>
        <v>0</v>
      </c>
      <c r="AE1018" s="1" t="str">
        <f>IF($E1018="","",$E1018&amp;"|"&amp;COUNTIFS($E$7:$E1018,$E1018))</f>
        <v/>
      </c>
    </row>
    <row r="1019" spans="1:31" ht="18" customHeight="1" x14ac:dyDescent="0.3">
      <c r="A1019" s="2"/>
      <c r="B1019" s="65" t="str">
        <f t="shared" si="122"/>
        <v/>
      </c>
      <c r="C1019" s="66"/>
      <c r="D1019" s="60"/>
      <c r="E1019" s="61"/>
      <c r="F1019" s="61"/>
      <c r="G1019" s="67"/>
      <c r="H1019" s="60"/>
      <c r="I1019" s="60"/>
      <c r="J1019" s="61"/>
      <c r="K1019" s="61"/>
      <c r="L1019" s="60"/>
      <c r="M1019" s="74" t="str">
        <f t="shared" si="123"/>
        <v/>
      </c>
      <c r="N1019" s="74" t="str">
        <f t="shared" si="124"/>
        <v/>
      </c>
      <c r="O1019" s="73" t="str">
        <f t="shared" si="125"/>
        <v/>
      </c>
      <c r="P1019" s="65" t="str">
        <f t="shared" ca="1" si="126"/>
        <v/>
      </c>
      <c r="Q1019" s="2"/>
      <c r="R1019" s="2"/>
      <c r="S1019" s="1" t="str">
        <f t="shared" si="127"/>
        <v/>
      </c>
      <c r="T1019" s="1" t="str">
        <f>IF(OR($C1019="",$D1019&lt;&gt;"Gelir",$L1019=""),"",IFERROR(INDEX(MUSTERILER!$B$7:$B$156,MATCH($S1019,MUSTERILER!$T$7:$T$156,0)),""))</f>
        <v/>
      </c>
      <c r="U1019" s="1" t="str">
        <f>IF($T1019="","",$T1019&amp;"|"&amp;COUNTIFS($T$7:$T1019,$T1019))</f>
        <v/>
      </c>
      <c r="V1019" s="1">
        <f t="shared" si="128"/>
        <v>0</v>
      </c>
      <c r="W1019" s="1" t="str">
        <f t="shared" si="129"/>
        <v/>
      </c>
      <c r="X1019" s="1"/>
      <c r="Y1019" s="1"/>
      <c r="Z1019" s="1"/>
      <c r="AA1019" s="1"/>
      <c r="AB1019" s="1"/>
      <c r="AC1019" s="1"/>
      <c r="AD1019" s="1">
        <f>IF($C1019="",0,SUMPRODUCT((AY_SONU!$O$7:$O$42="Evet")*(AY_SONU!$B$7:$B$42=DATE(YEAR($C1019),MONTH($C1019),1))))</f>
        <v>0</v>
      </c>
      <c r="AE1019" s="1" t="str">
        <f>IF($E1019="","",$E1019&amp;"|"&amp;COUNTIFS($E$7:$E1019,$E1019))</f>
        <v/>
      </c>
    </row>
    <row r="1020" spans="1:31" ht="18" customHeight="1" x14ac:dyDescent="0.3">
      <c r="A1020" s="2"/>
      <c r="B1020" s="65" t="str">
        <f t="shared" si="122"/>
        <v/>
      </c>
      <c r="C1020" s="66"/>
      <c r="D1020" s="60"/>
      <c r="E1020" s="61"/>
      <c r="F1020" s="61"/>
      <c r="G1020" s="67"/>
      <c r="H1020" s="60"/>
      <c r="I1020" s="60"/>
      <c r="J1020" s="61"/>
      <c r="K1020" s="61"/>
      <c r="L1020" s="60"/>
      <c r="M1020" s="74" t="str">
        <f t="shared" si="123"/>
        <v/>
      </c>
      <c r="N1020" s="74" t="str">
        <f t="shared" si="124"/>
        <v/>
      </c>
      <c r="O1020" s="73" t="str">
        <f t="shared" si="125"/>
        <v/>
      </c>
      <c r="P1020" s="65" t="str">
        <f t="shared" ca="1" si="126"/>
        <v/>
      </c>
      <c r="Q1020" s="2"/>
      <c r="R1020" s="2"/>
      <c r="S1020" s="1" t="str">
        <f t="shared" si="127"/>
        <v/>
      </c>
      <c r="T1020" s="1" t="str">
        <f>IF(OR($C1020="",$D1020&lt;&gt;"Gelir",$L1020=""),"",IFERROR(INDEX(MUSTERILER!$B$7:$B$156,MATCH($S1020,MUSTERILER!$T$7:$T$156,0)),""))</f>
        <v/>
      </c>
      <c r="U1020" s="1" t="str">
        <f>IF($T1020="","",$T1020&amp;"|"&amp;COUNTIFS($T$7:$T1020,$T1020))</f>
        <v/>
      </c>
      <c r="V1020" s="1">
        <f t="shared" si="128"/>
        <v>0</v>
      </c>
      <c r="W1020" s="1" t="str">
        <f t="shared" si="129"/>
        <v/>
      </c>
      <c r="X1020" s="1"/>
      <c r="Y1020" s="1"/>
      <c r="Z1020" s="1"/>
      <c r="AA1020" s="1"/>
      <c r="AB1020" s="1"/>
      <c r="AC1020" s="1"/>
      <c r="AD1020" s="1">
        <f>IF($C1020="",0,SUMPRODUCT((AY_SONU!$O$7:$O$42="Evet")*(AY_SONU!$B$7:$B$42=DATE(YEAR($C1020),MONTH($C1020),1))))</f>
        <v>0</v>
      </c>
      <c r="AE1020" s="1" t="str">
        <f>IF($E1020="","",$E1020&amp;"|"&amp;COUNTIFS($E$7:$E1020,$E1020))</f>
        <v/>
      </c>
    </row>
    <row r="1021" spans="1:31" ht="18" customHeight="1" x14ac:dyDescent="0.3">
      <c r="A1021" s="2"/>
      <c r="B1021" s="65" t="str">
        <f t="shared" si="122"/>
        <v/>
      </c>
      <c r="C1021" s="66"/>
      <c r="D1021" s="60"/>
      <c r="E1021" s="61"/>
      <c r="F1021" s="61"/>
      <c r="G1021" s="67"/>
      <c r="H1021" s="60"/>
      <c r="I1021" s="60"/>
      <c r="J1021" s="61"/>
      <c r="K1021" s="61"/>
      <c r="L1021" s="60"/>
      <c r="M1021" s="74" t="str">
        <f t="shared" si="123"/>
        <v/>
      </c>
      <c r="N1021" s="74" t="str">
        <f t="shared" si="124"/>
        <v/>
      </c>
      <c r="O1021" s="73" t="str">
        <f t="shared" si="125"/>
        <v/>
      </c>
      <c r="P1021" s="65" t="str">
        <f t="shared" ca="1" si="126"/>
        <v/>
      </c>
      <c r="Q1021" s="2"/>
      <c r="R1021" s="2"/>
      <c r="S1021" s="1" t="str">
        <f t="shared" si="127"/>
        <v/>
      </c>
      <c r="T1021" s="1" t="str">
        <f>IF(OR($C1021="",$D1021&lt;&gt;"Gelir",$L1021=""),"",IFERROR(INDEX(MUSTERILER!$B$7:$B$156,MATCH($S1021,MUSTERILER!$T$7:$T$156,0)),""))</f>
        <v/>
      </c>
      <c r="U1021" s="1" t="str">
        <f>IF($T1021="","",$T1021&amp;"|"&amp;COUNTIFS($T$7:$T1021,$T1021))</f>
        <v/>
      </c>
      <c r="V1021" s="1">
        <f t="shared" si="128"/>
        <v>0</v>
      </c>
      <c r="W1021" s="1" t="str">
        <f t="shared" si="129"/>
        <v/>
      </c>
      <c r="X1021" s="1"/>
      <c r="Y1021" s="1"/>
      <c r="Z1021" s="1"/>
      <c r="AA1021" s="1"/>
      <c r="AB1021" s="1"/>
      <c r="AC1021" s="1"/>
      <c r="AD1021" s="1">
        <f>IF($C1021="",0,SUMPRODUCT((AY_SONU!$O$7:$O$42="Evet")*(AY_SONU!$B$7:$B$42=DATE(YEAR($C1021),MONTH($C1021),1))))</f>
        <v>0</v>
      </c>
      <c r="AE1021" s="1" t="str">
        <f>IF($E1021="","",$E1021&amp;"|"&amp;COUNTIFS($E$7:$E1021,$E1021))</f>
        <v/>
      </c>
    </row>
    <row r="1022" spans="1:31" ht="18" customHeight="1" x14ac:dyDescent="0.3">
      <c r="A1022" s="2"/>
      <c r="B1022" s="65" t="str">
        <f t="shared" si="122"/>
        <v/>
      </c>
      <c r="C1022" s="66"/>
      <c r="D1022" s="60"/>
      <c r="E1022" s="61"/>
      <c r="F1022" s="61"/>
      <c r="G1022" s="67"/>
      <c r="H1022" s="60"/>
      <c r="I1022" s="60"/>
      <c r="J1022" s="61"/>
      <c r="K1022" s="61"/>
      <c r="L1022" s="60"/>
      <c r="M1022" s="74" t="str">
        <f t="shared" si="123"/>
        <v/>
      </c>
      <c r="N1022" s="74" t="str">
        <f t="shared" si="124"/>
        <v/>
      </c>
      <c r="O1022" s="73" t="str">
        <f t="shared" si="125"/>
        <v/>
      </c>
      <c r="P1022" s="65" t="str">
        <f t="shared" ca="1" si="126"/>
        <v/>
      </c>
      <c r="Q1022" s="2"/>
      <c r="R1022" s="2"/>
      <c r="S1022" s="1" t="str">
        <f t="shared" si="127"/>
        <v/>
      </c>
      <c r="T1022" s="1" t="str">
        <f>IF(OR($C1022="",$D1022&lt;&gt;"Gelir",$L1022=""),"",IFERROR(INDEX(MUSTERILER!$B$7:$B$156,MATCH($S1022,MUSTERILER!$T$7:$T$156,0)),""))</f>
        <v/>
      </c>
      <c r="U1022" s="1" t="str">
        <f>IF($T1022="","",$T1022&amp;"|"&amp;COUNTIFS($T$7:$T1022,$T1022))</f>
        <v/>
      </c>
      <c r="V1022" s="1">
        <f t="shared" si="128"/>
        <v>0</v>
      </c>
      <c r="W1022" s="1" t="str">
        <f t="shared" si="129"/>
        <v/>
      </c>
      <c r="X1022" s="1"/>
      <c r="Y1022" s="1"/>
      <c r="Z1022" s="1"/>
      <c r="AA1022" s="1"/>
      <c r="AB1022" s="1"/>
      <c r="AC1022" s="1"/>
      <c r="AD1022" s="1">
        <f>IF($C1022="",0,SUMPRODUCT((AY_SONU!$O$7:$O$42="Evet")*(AY_SONU!$B$7:$B$42=DATE(YEAR($C1022),MONTH($C1022),1))))</f>
        <v>0</v>
      </c>
      <c r="AE1022" s="1" t="str">
        <f>IF($E1022="","",$E1022&amp;"|"&amp;COUNTIFS($E$7:$E1022,$E1022))</f>
        <v/>
      </c>
    </row>
    <row r="1023" spans="1:31" ht="18" customHeight="1" x14ac:dyDescent="0.3">
      <c r="A1023" s="2"/>
      <c r="B1023" s="65" t="str">
        <f t="shared" si="122"/>
        <v/>
      </c>
      <c r="C1023" s="66"/>
      <c r="D1023" s="60"/>
      <c r="E1023" s="61"/>
      <c r="F1023" s="61"/>
      <c r="G1023" s="67"/>
      <c r="H1023" s="60"/>
      <c r="I1023" s="60"/>
      <c r="J1023" s="61"/>
      <c r="K1023" s="61"/>
      <c r="L1023" s="60"/>
      <c r="M1023" s="74" t="str">
        <f t="shared" si="123"/>
        <v/>
      </c>
      <c r="N1023" s="74" t="str">
        <f t="shared" si="124"/>
        <v/>
      </c>
      <c r="O1023" s="73" t="str">
        <f t="shared" si="125"/>
        <v/>
      </c>
      <c r="P1023" s="65" t="str">
        <f t="shared" ca="1" si="126"/>
        <v/>
      </c>
      <c r="Q1023" s="2"/>
      <c r="R1023" s="2"/>
      <c r="S1023" s="1" t="str">
        <f t="shared" si="127"/>
        <v/>
      </c>
      <c r="T1023" s="1" t="str">
        <f>IF(OR($C1023="",$D1023&lt;&gt;"Gelir",$L1023=""),"",IFERROR(INDEX(MUSTERILER!$B$7:$B$156,MATCH($S1023,MUSTERILER!$T$7:$T$156,0)),""))</f>
        <v/>
      </c>
      <c r="U1023" s="1" t="str">
        <f>IF($T1023="","",$T1023&amp;"|"&amp;COUNTIFS($T$7:$T1023,$T1023))</f>
        <v/>
      </c>
      <c r="V1023" s="1">
        <f t="shared" si="128"/>
        <v>0</v>
      </c>
      <c r="W1023" s="1" t="str">
        <f t="shared" si="129"/>
        <v/>
      </c>
      <c r="X1023" s="1"/>
      <c r="Y1023" s="1"/>
      <c r="Z1023" s="1"/>
      <c r="AA1023" s="1"/>
      <c r="AB1023" s="1"/>
      <c r="AC1023" s="1"/>
      <c r="AD1023" s="1">
        <f>IF($C1023="",0,SUMPRODUCT((AY_SONU!$O$7:$O$42="Evet")*(AY_SONU!$B$7:$B$42=DATE(YEAR($C1023),MONTH($C1023),1))))</f>
        <v>0</v>
      </c>
      <c r="AE1023" s="1" t="str">
        <f>IF($E1023="","",$E1023&amp;"|"&amp;COUNTIFS($E$7:$E1023,$E1023))</f>
        <v/>
      </c>
    </row>
    <row r="1024" spans="1:31" ht="18" customHeight="1" x14ac:dyDescent="0.3">
      <c r="A1024" s="2"/>
      <c r="B1024" s="65" t="str">
        <f t="shared" si="122"/>
        <v/>
      </c>
      <c r="C1024" s="66"/>
      <c r="D1024" s="60"/>
      <c r="E1024" s="61"/>
      <c r="F1024" s="61"/>
      <c r="G1024" s="67"/>
      <c r="H1024" s="60"/>
      <c r="I1024" s="60"/>
      <c r="J1024" s="61"/>
      <c r="K1024" s="61"/>
      <c r="L1024" s="60"/>
      <c r="M1024" s="74" t="str">
        <f t="shared" si="123"/>
        <v/>
      </c>
      <c r="N1024" s="74" t="str">
        <f t="shared" si="124"/>
        <v/>
      </c>
      <c r="O1024" s="73" t="str">
        <f t="shared" si="125"/>
        <v/>
      </c>
      <c r="P1024" s="65" t="str">
        <f t="shared" ca="1" si="126"/>
        <v/>
      </c>
      <c r="Q1024" s="2"/>
      <c r="R1024" s="2"/>
      <c r="S1024" s="1" t="str">
        <f t="shared" si="127"/>
        <v/>
      </c>
      <c r="T1024" s="1" t="str">
        <f>IF(OR($C1024="",$D1024&lt;&gt;"Gelir",$L1024=""),"",IFERROR(INDEX(MUSTERILER!$B$7:$B$156,MATCH($S1024,MUSTERILER!$T$7:$T$156,0)),""))</f>
        <v/>
      </c>
      <c r="U1024" s="1" t="str">
        <f>IF($T1024="","",$T1024&amp;"|"&amp;COUNTIFS($T$7:$T1024,$T1024))</f>
        <v/>
      </c>
      <c r="V1024" s="1">
        <f t="shared" si="128"/>
        <v>0</v>
      </c>
      <c r="W1024" s="1" t="str">
        <f t="shared" si="129"/>
        <v/>
      </c>
      <c r="X1024" s="1"/>
      <c r="Y1024" s="1"/>
      <c r="Z1024" s="1"/>
      <c r="AA1024" s="1"/>
      <c r="AB1024" s="1"/>
      <c r="AC1024" s="1"/>
      <c r="AD1024" s="1">
        <f>IF($C1024="",0,SUMPRODUCT((AY_SONU!$O$7:$O$42="Evet")*(AY_SONU!$B$7:$B$42=DATE(YEAR($C1024),MONTH($C1024),1))))</f>
        <v>0</v>
      </c>
      <c r="AE1024" s="1" t="str">
        <f>IF($E1024="","",$E1024&amp;"|"&amp;COUNTIFS($E$7:$E1024,$E1024))</f>
        <v/>
      </c>
    </row>
    <row r="1025" spans="1:31" ht="18" customHeight="1" x14ac:dyDescent="0.3">
      <c r="A1025" s="2"/>
      <c r="B1025" s="65" t="str">
        <f t="shared" si="122"/>
        <v/>
      </c>
      <c r="C1025" s="66"/>
      <c r="D1025" s="60"/>
      <c r="E1025" s="61"/>
      <c r="F1025" s="61"/>
      <c r="G1025" s="67"/>
      <c r="H1025" s="60"/>
      <c r="I1025" s="60"/>
      <c r="J1025" s="61"/>
      <c r="K1025" s="61"/>
      <c r="L1025" s="60"/>
      <c r="M1025" s="74" t="str">
        <f t="shared" si="123"/>
        <v/>
      </c>
      <c r="N1025" s="74" t="str">
        <f t="shared" si="124"/>
        <v/>
      </c>
      <c r="O1025" s="73" t="str">
        <f t="shared" si="125"/>
        <v/>
      </c>
      <c r="P1025" s="65" t="str">
        <f t="shared" ca="1" si="126"/>
        <v/>
      </c>
      <c r="Q1025" s="2"/>
      <c r="R1025" s="2"/>
      <c r="S1025" s="1" t="str">
        <f t="shared" si="127"/>
        <v/>
      </c>
      <c r="T1025" s="1" t="str">
        <f>IF(OR($C1025="",$D1025&lt;&gt;"Gelir",$L1025=""),"",IFERROR(INDEX(MUSTERILER!$B$7:$B$156,MATCH($S1025,MUSTERILER!$T$7:$T$156,0)),""))</f>
        <v/>
      </c>
      <c r="U1025" s="1" t="str">
        <f>IF($T1025="","",$T1025&amp;"|"&amp;COUNTIFS($T$7:$T1025,$T1025))</f>
        <v/>
      </c>
      <c r="V1025" s="1">
        <f t="shared" si="128"/>
        <v>0</v>
      </c>
      <c r="W1025" s="1" t="str">
        <f t="shared" si="129"/>
        <v/>
      </c>
      <c r="X1025" s="1"/>
      <c r="Y1025" s="1"/>
      <c r="Z1025" s="1"/>
      <c r="AA1025" s="1"/>
      <c r="AB1025" s="1"/>
      <c r="AC1025" s="1"/>
      <c r="AD1025" s="1">
        <f>IF($C1025="",0,SUMPRODUCT((AY_SONU!$O$7:$O$42="Evet")*(AY_SONU!$B$7:$B$42=DATE(YEAR($C1025),MONTH($C1025),1))))</f>
        <v>0</v>
      </c>
      <c r="AE1025" s="1" t="str">
        <f>IF($E1025="","",$E1025&amp;"|"&amp;COUNTIFS($E$7:$E1025,$E1025))</f>
        <v/>
      </c>
    </row>
    <row r="1026" spans="1:31" ht="18" customHeight="1" x14ac:dyDescent="0.3">
      <c r="A1026" s="2"/>
      <c r="B1026" s="65" t="str">
        <f t="shared" si="122"/>
        <v/>
      </c>
      <c r="C1026" s="66"/>
      <c r="D1026" s="60"/>
      <c r="E1026" s="61"/>
      <c r="F1026" s="61"/>
      <c r="G1026" s="67"/>
      <c r="H1026" s="60"/>
      <c r="I1026" s="60"/>
      <c r="J1026" s="61"/>
      <c r="K1026" s="61"/>
      <c r="L1026" s="60"/>
      <c r="M1026" s="74" t="str">
        <f t="shared" si="123"/>
        <v/>
      </c>
      <c r="N1026" s="74" t="str">
        <f t="shared" si="124"/>
        <v/>
      </c>
      <c r="O1026" s="73" t="str">
        <f t="shared" si="125"/>
        <v/>
      </c>
      <c r="P1026" s="65" t="str">
        <f t="shared" ca="1" si="126"/>
        <v/>
      </c>
      <c r="Q1026" s="2"/>
      <c r="R1026" s="2"/>
      <c r="S1026" s="1" t="str">
        <f t="shared" si="127"/>
        <v/>
      </c>
      <c r="T1026" s="1" t="str">
        <f>IF(OR($C1026="",$D1026&lt;&gt;"Gelir",$L1026=""),"",IFERROR(INDEX(MUSTERILER!$B$7:$B$156,MATCH($S1026,MUSTERILER!$T$7:$T$156,0)),""))</f>
        <v/>
      </c>
      <c r="U1026" s="1" t="str">
        <f>IF($T1026="","",$T1026&amp;"|"&amp;COUNTIFS($T$7:$T1026,$T1026))</f>
        <v/>
      </c>
      <c r="V1026" s="1">
        <f t="shared" si="128"/>
        <v>0</v>
      </c>
      <c r="W1026" s="1" t="str">
        <f t="shared" si="129"/>
        <v/>
      </c>
      <c r="X1026" s="1"/>
      <c r="Y1026" s="1"/>
      <c r="Z1026" s="1"/>
      <c r="AA1026" s="1"/>
      <c r="AB1026" s="1"/>
      <c r="AC1026" s="1"/>
      <c r="AD1026" s="1">
        <f>IF($C1026="",0,SUMPRODUCT((AY_SONU!$O$7:$O$42="Evet")*(AY_SONU!$B$7:$B$42=DATE(YEAR($C1026),MONTH($C1026),1))))</f>
        <v>0</v>
      </c>
      <c r="AE1026" s="1" t="str">
        <f>IF($E1026="","",$E1026&amp;"|"&amp;COUNTIFS($E$7:$E1026,$E1026))</f>
        <v/>
      </c>
    </row>
    <row r="1027" spans="1:31" ht="18" customHeight="1" x14ac:dyDescent="0.3">
      <c r="A1027" s="2"/>
      <c r="B1027" s="65" t="str">
        <f t="shared" si="122"/>
        <v/>
      </c>
      <c r="C1027" s="66"/>
      <c r="D1027" s="60"/>
      <c r="E1027" s="61"/>
      <c r="F1027" s="61"/>
      <c r="G1027" s="67"/>
      <c r="H1027" s="60"/>
      <c r="I1027" s="60"/>
      <c r="J1027" s="61"/>
      <c r="K1027" s="61"/>
      <c r="L1027" s="60"/>
      <c r="M1027" s="74" t="str">
        <f t="shared" si="123"/>
        <v/>
      </c>
      <c r="N1027" s="74" t="str">
        <f t="shared" si="124"/>
        <v/>
      </c>
      <c r="O1027" s="73" t="str">
        <f t="shared" si="125"/>
        <v/>
      </c>
      <c r="P1027" s="65" t="str">
        <f t="shared" ca="1" si="126"/>
        <v/>
      </c>
      <c r="Q1027" s="2"/>
      <c r="R1027" s="2"/>
      <c r="S1027" s="1" t="str">
        <f t="shared" si="127"/>
        <v/>
      </c>
      <c r="T1027" s="1" t="str">
        <f>IF(OR($C1027="",$D1027&lt;&gt;"Gelir",$L1027=""),"",IFERROR(INDEX(MUSTERILER!$B$7:$B$156,MATCH($S1027,MUSTERILER!$T$7:$T$156,0)),""))</f>
        <v/>
      </c>
      <c r="U1027" s="1" t="str">
        <f>IF($T1027="","",$T1027&amp;"|"&amp;COUNTIFS($T$7:$T1027,$T1027))</f>
        <v/>
      </c>
      <c r="V1027" s="1">
        <f t="shared" si="128"/>
        <v>0</v>
      </c>
      <c r="W1027" s="1" t="str">
        <f t="shared" si="129"/>
        <v/>
      </c>
      <c r="X1027" s="1"/>
      <c r="Y1027" s="1"/>
      <c r="Z1027" s="1"/>
      <c r="AA1027" s="1"/>
      <c r="AB1027" s="1"/>
      <c r="AC1027" s="1"/>
      <c r="AD1027" s="1">
        <f>IF($C1027="",0,SUMPRODUCT((AY_SONU!$O$7:$O$42="Evet")*(AY_SONU!$B$7:$B$42=DATE(YEAR($C1027),MONTH($C1027),1))))</f>
        <v>0</v>
      </c>
      <c r="AE1027" s="1" t="str">
        <f>IF($E1027="","",$E1027&amp;"|"&amp;COUNTIFS($E$7:$E1027,$E1027))</f>
        <v/>
      </c>
    </row>
    <row r="1028" spans="1:31" ht="18" customHeight="1" x14ac:dyDescent="0.3">
      <c r="A1028" s="2"/>
      <c r="B1028" s="65" t="str">
        <f t="shared" si="122"/>
        <v/>
      </c>
      <c r="C1028" s="66"/>
      <c r="D1028" s="60"/>
      <c r="E1028" s="61"/>
      <c r="F1028" s="61"/>
      <c r="G1028" s="67"/>
      <c r="H1028" s="60"/>
      <c r="I1028" s="60"/>
      <c r="J1028" s="61"/>
      <c r="K1028" s="61"/>
      <c r="L1028" s="60"/>
      <c r="M1028" s="74" t="str">
        <f t="shared" si="123"/>
        <v/>
      </c>
      <c r="N1028" s="74" t="str">
        <f t="shared" si="124"/>
        <v/>
      </c>
      <c r="O1028" s="73" t="str">
        <f t="shared" si="125"/>
        <v/>
      </c>
      <c r="P1028" s="65" t="str">
        <f t="shared" ca="1" si="126"/>
        <v/>
      </c>
      <c r="Q1028" s="2"/>
      <c r="R1028" s="2"/>
      <c r="S1028" s="1" t="str">
        <f t="shared" si="127"/>
        <v/>
      </c>
      <c r="T1028" s="1" t="str">
        <f>IF(OR($C1028="",$D1028&lt;&gt;"Gelir",$L1028=""),"",IFERROR(INDEX(MUSTERILER!$B$7:$B$156,MATCH($S1028,MUSTERILER!$T$7:$T$156,0)),""))</f>
        <v/>
      </c>
      <c r="U1028" s="1" t="str">
        <f>IF($T1028="","",$T1028&amp;"|"&amp;COUNTIFS($T$7:$T1028,$T1028))</f>
        <v/>
      </c>
      <c r="V1028" s="1">
        <f t="shared" si="128"/>
        <v>0</v>
      </c>
      <c r="W1028" s="1" t="str">
        <f t="shared" si="129"/>
        <v/>
      </c>
      <c r="X1028" s="1"/>
      <c r="Y1028" s="1"/>
      <c r="Z1028" s="1"/>
      <c r="AA1028" s="1"/>
      <c r="AB1028" s="1"/>
      <c r="AC1028" s="1"/>
      <c r="AD1028" s="1">
        <f>IF($C1028="",0,SUMPRODUCT((AY_SONU!$O$7:$O$42="Evet")*(AY_SONU!$B$7:$B$42=DATE(YEAR($C1028),MONTH($C1028),1))))</f>
        <v>0</v>
      </c>
      <c r="AE1028" s="1" t="str">
        <f>IF($E1028="","",$E1028&amp;"|"&amp;COUNTIFS($E$7:$E1028,$E1028))</f>
        <v/>
      </c>
    </row>
    <row r="1029" spans="1:31" ht="18" customHeight="1" x14ac:dyDescent="0.3">
      <c r="A1029" s="2"/>
      <c r="B1029" s="65" t="str">
        <f t="shared" si="122"/>
        <v/>
      </c>
      <c r="C1029" s="66"/>
      <c r="D1029" s="60"/>
      <c r="E1029" s="61"/>
      <c r="F1029" s="61"/>
      <c r="G1029" s="67"/>
      <c r="H1029" s="60"/>
      <c r="I1029" s="60"/>
      <c r="J1029" s="61"/>
      <c r="K1029" s="61"/>
      <c r="L1029" s="60"/>
      <c r="M1029" s="74" t="str">
        <f t="shared" si="123"/>
        <v/>
      </c>
      <c r="N1029" s="74" t="str">
        <f t="shared" si="124"/>
        <v/>
      </c>
      <c r="O1029" s="73" t="str">
        <f t="shared" si="125"/>
        <v/>
      </c>
      <c r="P1029" s="65" t="str">
        <f t="shared" ca="1" si="126"/>
        <v/>
      </c>
      <c r="Q1029" s="2"/>
      <c r="R1029" s="2"/>
      <c r="S1029" s="1" t="str">
        <f t="shared" si="127"/>
        <v/>
      </c>
      <c r="T1029" s="1" t="str">
        <f>IF(OR($C1029="",$D1029&lt;&gt;"Gelir",$L1029=""),"",IFERROR(INDEX(MUSTERILER!$B$7:$B$156,MATCH($S1029,MUSTERILER!$T$7:$T$156,0)),""))</f>
        <v/>
      </c>
      <c r="U1029" s="1" t="str">
        <f>IF($T1029="","",$T1029&amp;"|"&amp;COUNTIFS($T$7:$T1029,$T1029))</f>
        <v/>
      </c>
      <c r="V1029" s="1">
        <f t="shared" si="128"/>
        <v>0</v>
      </c>
      <c r="W1029" s="1" t="str">
        <f t="shared" si="129"/>
        <v/>
      </c>
      <c r="X1029" s="1"/>
      <c r="Y1029" s="1"/>
      <c r="Z1029" s="1"/>
      <c r="AA1029" s="1"/>
      <c r="AB1029" s="1"/>
      <c r="AC1029" s="1"/>
      <c r="AD1029" s="1">
        <f>IF($C1029="",0,SUMPRODUCT((AY_SONU!$O$7:$O$42="Evet")*(AY_SONU!$B$7:$B$42=DATE(YEAR($C1029),MONTH($C1029),1))))</f>
        <v>0</v>
      </c>
      <c r="AE1029" s="1" t="str">
        <f>IF($E1029="","",$E1029&amp;"|"&amp;COUNTIFS($E$7:$E1029,$E1029))</f>
        <v/>
      </c>
    </row>
    <row r="1030" spans="1:31" ht="18" customHeight="1" x14ac:dyDescent="0.3">
      <c r="A1030" s="2"/>
      <c r="B1030" s="65" t="str">
        <f t="shared" si="122"/>
        <v/>
      </c>
      <c r="C1030" s="66"/>
      <c r="D1030" s="60"/>
      <c r="E1030" s="61"/>
      <c r="F1030" s="61"/>
      <c r="G1030" s="67"/>
      <c r="H1030" s="60"/>
      <c r="I1030" s="60"/>
      <c r="J1030" s="61"/>
      <c r="K1030" s="61"/>
      <c r="L1030" s="60"/>
      <c r="M1030" s="74" t="str">
        <f t="shared" si="123"/>
        <v/>
      </c>
      <c r="N1030" s="74" t="str">
        <f t="shared" si="124"/>
        <v/>
      </c>
      <c r="O1030" s="73" t="str">
        <f t="shared" si="125"/>
        <v/>
      </c>
      <c r="P1030" s="65" t="str">
        <f t="shared" ca="1" si="126"/>
        <v/>
      </c>
      <c r="Q1030" s="2"/>
      <c r="R1030" s="2"/>
      <c r="S1030" s="1" t="str">
        <f t="shared" si="127"/>
        <v/>
      </c>
      <c r="T1030" s="1" t="str">
        <f>IF(OR($C1030="",$D1030&lt;&gt;"Gelir",$L1030=""),"",IFERROR(INDEX(MUSTERILER!$B$7:$B$156,MATCH($S1030,MUSTERILER!$T$7:$T$156,0)),""))</f>
        <v/>
      </c>
      <c r="U1030" s="1" t="str">
        <f>IF($T1030="","",$T1030&amp;"|"&amp;COUNTIFS($T$7:$T1030,$T1030))</f>
        <v/>
      </c>
      <c r="V1030" s="1">
        <f t="shared" si="128"/>
        <v>0</v>
      </c>
      <c r="W1030" s="1" t="str">
        <f t="shared" si="129"/>
        <v/>
      </c>
      <c r="X1030" s="1"/>
      <c r="Y1030" s="1"/>
      <c r="Z1030" s="1"/>
      <c r="AA1030" s="1"/>
      <c r="AB1030" s="1"/>
      <c r="AC1030" s="1"/>
      <c r="AD1030" s="1">
        <f>IF($C1030="",0,SUMPRODUCT((AY_SONU!$O$7:$O$42="Evet")*(AY_SONU!$B$7:$B$42=DATE(YEAR($C1030),MONTH($C1030),1))))</f>
        <v>0</v>
      </c>
      <c r="AE1030" s="1" t="str">
        <f>IF($E1030="","",$E1030&amp;"|"&amp;COUNTIFS($E$7:$E1030,$E1030))</f>
        <v/>
      </c>
    </row>
    <row r="1031" spans="1:31" ht="18" customHeight="1" x14ac:dyDescent="0.3">
      <c r="A1031" s="2"/>
      <c r="B1031" s="65" t="str">
        <f t="shared" ref="B1031:B1094" si="130">IF($C1031="","","GG"&amp;TEXT(ROW()-6,"00000"))</f>
        <v/>
      </c>
      <c r="C1031" s="66"/>
      <c r="D1031" s="60"/>
      <c r="E1031" s="61"/>
      <c r="F1031" s="61"/>
      <c r="G1031" s="67"/>
      <c r="H1031" s="60"/>
      <c r="I1031" s="60"/>
      <c r="J1031" s="61"/>
      <c r="K1031" s="61"/>
      <c r="L1031" s="60"/>
      <c r="M1031" s="74" t="str">
        <f t="shared" ref="M1031:M1094" si="131">IF($C1031="","",IF($D1031="Gider",$E1031,IF($L1031&lt;&gt;"",$L1031,$H1031)))</f>
        <v/>
      </c>
      <c r="N1031" s="74" t="str">
        <f t="shared" ref="N1031:N1094" si="132">IF($C1031="","",IF($D1031="Gider",$H1031,$E1031))</f>
        <v/>
      </c>
      <c r="O1031" s="73" t="str">
        <f t="shared" ref="O1031:O1094" si="133">IF($C1031="","",DATE(YEAR($C1031),MONTH($C1031),1))</f>
        <v/>
      </c>
      <c r="P1031" s="65" t="str">
        <f t="shared" ref="P1031:P1094" ca="1" si="134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TARİH",IF(COUNTIF($W$7:$W$3006,$W1031)&gt;1,"MÜKERRER?",IF($AD1031&gt;0,"KAPALI DÖNEM",IF($I1031="Hayır","ÖDENECEK","UYGUN")))),"EKSİK"))))</f>
        <v/>
      </c>
      <c r="Q1031" s="2"/>
      <c r="R1031" s="2"/>
      <c r="S1031" s="1" t="str">
        <f t="shared" ref="S1031:S1094" si="135"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1" t="str">
        <f>IF(OR($C1031="",$D1031&lt;&gt;"Gelir",$L1031=""),"",IFERROR(INDEX(MUSTERILER!$B$7:$B$156,MATCH($S1031,MUSTERILER!$T$7:$T$156,0)),""))</f>
        <v/>
      </c>
      <c r="U1031" s="1" t="str">
        <f>IF($T1031="","",$T1031&amp;"|"&amp;COUNTIFS($T$7:$T1031,$T1031))</f>
        <v/>
      </c>
      <c r="V1031" s="1">
        <f t="shared" ref="V1031:V1094" si="136">IF($T1031="",0,1)</f>
        <v>0</v>
      </c>
      <c r="W1031" s="1" t="str">
        <f t="shared" ref="W1031:W1094" si="137">IF($C1031="","",$D1031&amp;"|"&amp;$E1031&amp;"|"&amp;TEXT($C1031,"0")&amp;"|"&amp;TEXT($G1031,"0")&amp;"|"&amp;$J1031)</f>
        <v/>
      </c>
      <c r="X1031" s="1"/>
      <c r="Y1031" s="1"/>
      <c r="Z1031" s="1"/>
      <c r="AA1031" s="1"/>
      <c r="AB1031" s="1"/>
      <c r="AC1031" s="1"/>
      <c r="AD1031" s="1">
        <f>IF($C1031="",0,SUMPRODUCT((AY_SONU!$O$7:$O$42="Evet")*(AY_SONU!$B$7:$B$42=DATE(YEAR($C1031),MONTH($C1031),1))))</f>
        <v>0</v>
      </c>
      <c r="AE1031" s="1" t="str">
        <f>IF($E1031="","",$E1031&amp;"|"&amp;COUNTIFS($E$7:$E1031,$E1031))</f>
        <v/>
      </c>
    </row>
    <row r="1032" spans="1:31" ht="18" customHeight="1" x14ac:dyDescent="0.3">
      <c r="A1032" s="2"/>
      <c r="B1032" s="65" t="str">
        <f t="shared" si="130"/>
        <v/>
      </c>
      <c r="C1032" s="66"/>
      <c r="D1032" s="60"/>
      <c r="E1032" s="61"/>
      <c r="F1032" s="61"/>
      <c r="G1032" s="67"/>
      <c r="H1032" s="60"/>
      <c r="I1032" s="60"/>
      <c r="J1032" s="61"/>
      <c r="K1032" s="61"/>
      <c r="L1032" s="60"/>
      <c r="M1032" s="74" t="str">
        <f t="shared" si="131"/>
        <v/>
      </c>
      <c r="N1032" s="74" t="str">
        <f t="shared" si="132"/>
        <v/>
      </c>
      <c r="O1032" s="73" t="str">
        <f t="shared" si="133"/>
        <v/>
      </c>
      <c r="P1032" s="65" t="str">
        <f t="shared" ca="1" si="134"/>
        <v/>
      </c>
      <c r="Q1032" s="2"/>
      <c r="R1032" s="2"/>
      <c r="S1032" s="1" t="str">
        <f t="shared" si="135"/>
        <v/>
      </c>
      <c r="T1032" s="1" t="str">
        <f>IF(OR($C1032="",$D1032&lt;&gt;"Gelir",$L1032=""),"",IFERROR(INDEX(MUSTERILER!$B$7:$B$156,MATCH($S1032,MUSTERILER!$T$7:$T$156,0)),""))</f>
        <v/>
      </c>
      <c r="U1032" s="1" t="str">
        <f>IF($T1032="","",$T1032&amp;"|"&amp;COUNTIFS($T$7:$T1032,$T1032))</f>
        <v/>
      </c>
      <c r="V1032" s="1">
        <f t="shared" si="136"/>
        <v>0</v>
      </c>
      <c r="W1032" s="1" t="str">
        <f t="shared" si="137"/>
        <v/>
      </c>
      <c r="X1032" s="1"/>
      <c r="Y1032" s="1"/>
      <c r="Z1032" s="1"/>
      <c r="AA1032" s="1"/>
      <c r="AB1032" s="1"/>
      <c r="AC1032" s="1"/>
      <c r="AD1032" s="1">
        <f>IF($C1032="",0,SUMPRODUCT((AY_SONU!$O$7:$O$42="Evet")*(AY_SONU!$B$7:$B$42=DATE(YEAR($C1032),MONTH($C1032),1))))</f>
        <v>0</v>
      </c>
      <c r="AE1032" s="1" t="str">
        <f>IF($E1032="","",$E1032&amp;"|"&amp;COUNTIFS($E$7:$E1032,$E1032))</f>
        <v/>
      </c>
    </row>
    <row r="1033" spans="1:31" ht="18" customHeight="1" x14ac:dyDescent="0.3">
      <c r="A1033" s="2"/>
      <c r="B1033" s="65" t="str">
        <f t="shared" si="130"/>
        <v/>
      </c>
      <c r="C1033" s="66"/>
      <c r="D1033" s="60"/>
      <c r="E1033" s="61"/>
      <c r="F1033" s="61"/>
      <c r="G1033" s="67"/>
      <c r="H1033" s="60"/>
      <c r="I1033" s="60"/>
      <c r="J1033" s="61"/>
      <c r="K1033" s="61"/>
      <c r="L1033" s="60"/>
      <c r="M1033" s="74" t="str">
        <f t="shared" si="131"/>
        <v/>
      </c>
      <c r="N1033" s="74" t="str">
        <f t="shared" si="132"/>
        <v/>
      </c>
      <c r="O1033" s="73" t="str">
        <f t="shared" si="133"/>
        <v/>
      </c>
      <c r="P1033" s="65" t="str">
        <f t="shared" ca="1" si="134"/>
        <v/>
      </c>
      <c r="Q1033" s="2"/>
      <c r="R1033" s="2"/>
      <c r="S1033" s="1" t="str">
        <f t="shared" si="135"/>
        <v/>
      </c>
      <c r="T1033" s="1" t="str">
        <f>IF(OR($C1033="",$D1033&lt;&gt;"Gelir",$L1033=""),"",IFERROR(INDEX(MUSTERILER!$B$7:$B$156,MATCH($S1033,MUSTERILER!$T$7:$T$156,0)),""))</f>
        <v/>
      </c>
      <c r="U1033" s="1" t="str">
        <f>IF($T1033="","",$T1033&amp;"|"&amp;COUNTIFS($T$7:$T1033,$T1033))</f>
        <v/>
      </c>
      <c r="V1033" s="1">
        <f t="shared" si="136"/>
        <v>0</v>
      </c>
      <c r="W1033" s="1" t="str">
        <f t="shared" si="137"/>
        <v/>
      </c>
      <c r="X1033" s="1"/>
      <c r="Y1033" s="1"/>
      <c r="Z1033" s="1"/>
      <c r="AA1033" s="1"/>
      <c r="AB1033" s="1"/>
      <c r="AC1033" s="1"/>
      <c r="AD1033" s="1">
        <f>IF($C1033="",0,SUMPRODUCT((AY_SONU!$O$7:$O$42="Evet")*(AY_SONU!$B$7:$B$42=DATE(YEAR($C1033),MONTH($C1033),1))))</f>
        <v>0</v>
      </c>
      <c r="AE1033" s="1" t="str">
        <f>IF($E1033="","",$E1033&amp;"|"&amp;COUNTIFS($E$7:$E1033,$E1033))</f>
        <v/>
      </c>
    </row>
    <row r="1034" spans="1:31" ht="18" customHeight="1" x14ac:dyDescent="0.3">
      <c r="A1034" s="2"/>
      <c r="B1034" s="65" t="str">
        <f t="shared" si="130"/>
        <v/>
      </c>
      <c r="C1034" s="66"/>
      <c r="D1034" s="60"/>
      <c r="E1034" s="61"/>
      <c r="F1034" s="61"/>
      <c r="G1034" s="67"/>
      <c r="H1034" s="60"/>
      <c r="I1034" s="60"/>
      <c r="J1034" s="61"/>
      <c r="K1034" s="61"/>
      <c r="L1034" s="60"/>
      <c r="M1034" s="74" t="str">
        <f t="shared" si="131"/>
        <v/>
      </c>
      <c r="N1034" s="74" t="str">
        <f t="shared" si="132"/>
        <v/>
      </c>
      <c r="O1034" s="73" t="str">
        <f t="shared" si="133"/>
        <v/>
      </c>
      <c r="P1034" s="65" t="str">
        <f t="shared" ca="1" si="134"/>
        <v/>
      </c>
      <c r="Q1034" s="2"/>
      <c r="R1034" s="2"/>
      <c r="S1034" s="1" t="str">
        <f t="shared" si="135"/>
        <v/>
      </c>
      <c r="T1034" s="1" t="str">
        <f>IF(OR($C1034="",$D1034&lt;&gt;"Gelir",$L1034=""),"",IFERROR(INDEX(MUSTERILER!$B$7:$B$156,MATCH($S1034,MUSTERILER!$T$7:$T$156,0)),""))</f>
        <v/>
      </c>
      <c r="U1034" s="1" t="str">
        <f>IF($T1034="","",$T1034&amp;"|"&amp;COUNTIFS($T$7:$T1034,$T1034))</f>
        <v/>
      </c>
      <c r="V1034" s="1">
        <f t="shared" si="136"/>
        <v>0</v>
      </c>
      <c r="W1034" s="1" t="str">
        <f t="shared" si="137"/>
        <v/>
      </c>
      <c r="X1034" s="1"/>
      <c r="Y1034" s="1"/>
      <c r="Z1034" s="1"/>
      <c r="AA1034" s="1"/>
      <c r="AB1034" s="1"/>
      <c r="AC1034" s="1"/>
      <c r="AD1034" s="1">
        <f>IF($C1034="",0,SUMPRODUCT((AY_SONU!$O$7:$O$42="Evet")*(AY_SONU!$B$7:$B$42=DATE(YEAR($C1034),MONTH($C1034),1))))</f>
        <v>0</v>
      </c>
      <c r="AE1034" s="1" t="str">
        <f>IF($E1034="","",$E1034&amp;"|"&amp;COUNTIFS($E$7:$E1034,$E1034))</f>
        <v/>
      </c>
    </row>
    <row r="1035" spans="1:31" ht="18" customHeight="1" x14ac:dyDescent="0.3">
      <c r="A1035" s="2"/>
      <c r="B1035" s="65" t="str">
        <f t="shared" si="130"/>
        <v/>
      </c>
      <c r="C1035" s="66"/>
      <c r="D1035" s="60"/>
      <c r="E1035" s="61"/>
      <c r="F1035" s="61"/>
      <c r="G1035" s="67"/>
      <c r="H1035" s="60"/>
      <c r="I1035" s="60"/>
      <c r="J1035" s="61"/>
      <c r="K1035" s="61"/>
      <c r="L1035" s="60"/>
      <c r="M1035" s="74" t="str">
        <f t="shared" si="131"/>
        <v/>
      </c>
      <c r="N1035" s="74" t="str">
        <f t="shared" si="132"/>
        <v/>
      </c>
      <c r="O1035" s="73" t="str">
        <f t="shared" si="133"/>
        <v/>
      </c>
      <c r="P1035" s="65" t="str">
        <f t="shared" ca="1" si="134"/>
        <v/>
      </c>
      <c r="Q1035" s="2"/>
      <c r="R1035" s="2"/>
      <c r="S1035" s="1" t="str">
        <f t="shared" si="135"/>
        <v/>
      </c>
      <c r="T1035" s="1" t="str">
        <f>IF(OR($C1035="",$D1035&lt;&gt;"Gelir",$L1035=""),"",IFERROR(INDEX(MUSTERILER!$B$7:$B$156,MATCH($S1035,MUSTERILER!$T$7:$T$156,0)),""))</f>
        <v/>
      </c>
      <c r="U1035" s="1" t="str">
        <f>IF($T1035="","",$T1035&amp;"|"&amp;COUNTIFS($T$7:$T1035,$T1035))</f>
        <v/>
      </c>
      <c r="V1035" s="1">
        <f t="shared" si="136"/>
        <v>0</v>
      </c>
      <c r="W1035" s="1" t="str">
        <f t="shared" si="137"/>
        <v/>
      </c>
      <c r="X1035" s="1"/>
      <c r="Y1035" s="1"/>
      <c r="Z1035" s="1"/>
      <c r="AA1035" s="1"/>
      <c r="AB1035" s="1"/>
      <c r="AC1035" s="1"/>
      <c r="AD1035" s="1">
        <f>IF($C1035="",0,SUMPRODUCT((AY_SONU!$O$7:$O$42="Evet")*(AY_SONU!$B$7:$B$42=DATE(YEAR($C1035),MONTH($C1035),1))))</f>
        <v>0</v>
      </c>
      <c r="AE1035" s="1" t="str">
        <f>IF($E1035="","",$E1035&amp;"|"&amp;COUNTIFS($E$7:$E1035,$E1035))</f>
        <v/>
      </c>
    </row>
    <row r="1036" spans="1:31" ht="18" customHeight="1" x14ac:dyDescent="0.3">
      <c r="A1036" s="2"/>
      <c r="B1036" s="65" t="str">
        <f t="shared" si="130"/>
        <v/>
      </c>
      <c r="C1036" s="66"/>
      <c r="D1036" s="60"/>
      <c r="E1036" s="61"/>
      <c r="F1036" s="61"/>
      <c r="G1036" s="67"/>
      <c r="H1036" s="60"/>
      <c r="I1036" s="60"/>
      <c r="J1036" s="61"/>
      <c r="K1036" s="61"/>
      <c r="L1036" s="60"/>
      <c r="M1036" s="74" t="str">
        <f t="shared" si="131"/>
        <v/>
      </c>
      <c r="N1036" s="74" t="str">
        <f t="shared" si="132"/>
        <v/>
      </c>
      <c r="O1036" s="73" t="str">
        <f t="shared" si="133"/>
        <v/>
      </c>
      <c r="P1036" s="65" t="str">
        <f t="shared" ca="1" si="134"/>
        <v/>
      </c>
      <c r="Q1036" s="2"/>
      <c r="R1036" s="2"/>
      <c r="S1036" s="1" t="str">
        <f t="shared" si="135"/>
        <v/>
      </c>
      <c r="T1036" s="1" t="str">
        <f>IF(OR($C1036="",$D1036&lt;&gt;"Gelir",$L1036=""),"",IFERROR(INDEX(MUSTERILER!$B$7:$B$156,MATCH($S1036,MUSTERILER!$T$7:$T$156,0)),""))</f>
        <v/>
      </c>
      <c r="U1036" s="1" t="str">
        <f>IF($T1036="","",$T1036&amp;"|"&amp;COUNTIFS($T$7:$T1036,$T1036))</f>
        <v/>
      </c>
      <c r="V1036" s="1">
        <f t="shared" si="136"/>
        <v>0</v>
      </c>
      <c r="W1036" s="1" t="str">
        <f t="shared" si="137"/>
        <v/>
      </c>
      <c r="X1036" s="1"/>
      <c r="Y1036" s="1"/>
      <c r="Z1036" s="1"/>
      <c r="AA1036" s="1"/>
      <c r="AB1036" s="1"/>
      <c r="AC1036" s="1"/>
      <c r="AD1036" s="1">
        <f>IF($C1036="",0,SUMPRODUCT((AY_SONU!$O$7:$O$42="Evet")*(AY_SONU!$B$7:$B$42=DATE(YEAR($C1036),MONTH($C1036),1))))</f>
        <v>0</v>
      </c>
      <c r="AE1036" s="1" t="str">
        <f>IF($E1036="","",$E1036&amp;"|"&amp;COUNTIFS($E$7:$E1036,$E1036))</f>
        <v/>
      </c>
    </row>
    <row r="1037" spans="1:31" ht="18" customHeight="1" x14ac:dyDescent="0.3">
      <c r="A1037" s="2"/>
      <c r="B1037" s="65" t="str">
        <f t="shared" si="130"/>
        <v/>
      </c>
      <c r="C1037" s="66"/>
      <c r="D1037" s="60"/>
      <c r="E1037" s="61"/>
      <c r="F1037" s="61"/>
      <c r="G1037" s="67"/>
      <c r="H1037" s="60"/>
      <c r="I1037" s="60"/>
      <c r="J1037" s="61"/>
      <c r="K1037" s="61"/>
      <c r="L1037" s="60"/>
      <c r="M1037" s="74" t="str">
        <f t="shared" si="131"/>
        <v/>
      </c>
      <c r="N1037" s="74" t="str">
        <f t="shared" si="132"/>
        <v/>
      </c>
      <c r="O1037" s="73" t="str">
        <f t="shared" si="133"/>
        <v/>
      </c>
      <c r="P1037" s="65" t="str">
        <f t="shared" ca="1" si="134"/>
        <v/>
      </c>
      <c r="Q1037" s="2"/>
      <c r="R1037" s="2"/>
      <c r="S1037" s="1" t="str">
        <f t="shared" si="135"/>
        <v/>
      </c>
      <c r="T1037" s="1" t="str">
        <f>IF(OR($C1037="",$D1037&lt;&gt;"Gelir",$L1037=""),"",IFERROR(INDEX(MUSTERILER!$B$7:$B$156,MATCH($S1037,MUSTERILER!$T$7:$T$156,0)),""))</f>
        <v/>
      </c>
      <c r="U1037" s="1" t="str">
        <f>IF($T1037="","",$T1037&amp;"|"&amp;COUNTIFS($T$7:$T1037,$T1037))</f>
        <v/>
      </c>
      <c r="V1037" s="1">
        <f t="shared" si="136"/>
        <v>0</v>
      </c>
      <c r="W1037" s="1" t="str">
        <f t="shared" si="137"/>
        <v/>
      </c>
      <c r="X1037" s="1"/>
      <c r="Y1037" s="1"/>
      <c r="Z1037" s="1"/>
      <c r="AA1037" s="1"/>
      <c r="AB1037" s="1"/>
      <c r="AC1037" s="1"/>
      <c r="AD1037" s="1">
        <f>IF($C1037="",0,SUMPRODUCT((AY_SONU!$O$7:$O$42="Evet")*(AY_SONU!$B$7:$B$42=DATE(YEAR($C1037),MONTH($C1037),1))))</f>
        <v>0</v>
      </c>
      <c r="AE1037" s="1" t="str">
        <f>IF($E1037="","",$E1037&amp;"|"&amp;COUNTIFS($E$7:$E1037,$E1037))</f>
        <v/>
      </c>
    </row>
    <row r="1038" spans="1:31" ht="18" customHeight="1" x14ac:dyDescent="0.3">
      <c r="A1038" s="2"/>
      <c r="B1038" s="65" t="str">
        <f t="shared" si="130"/>
        <v/>
      </c>
      <c r="C1038" s="66"/>
      <c r="D1038" s="60"/>
      <c r="E1038" s="61"/>
      <c r="F1038" s="61"/>
      <c r="G1038" s="67"/>
      <c r="H1038" s="60"/>
      <c r="I1038" s="60"/>
      <c r="J1038" s="61"/>
      <c r="K1038" s="61"/>
      <c r="L1038" s="60"/>
      <c r="M1038" s="74" t="str">
        <f t="shared" si="131"/>
        <v/>
      </c>
      <c r="N1038" s="74" t="str">
        <f t="shared" si="132"/>
        <v/>
      </c>
      <c r="O1038" s="73" t="str">
        <f t="shared" si="133"/>
        <v/>
      </c>
      <c r="P1038" s="65" t="str">
        <f t="shared" ca="1" si="134"/>
        <v/>
      </c>
      <c r="Q1038" s="2"/>
      <c r="R1038" s="2"/>
      <c r="S1038" s="1" t="str">
        <f t="shared" si="135"/>
        <v/>
      </c>
      <c r="T1038" s="1" t="str">
        <f>IF(OR($C1038="",$D1038&lt;&gt;"Gelir",$L1038=""),"",IFERROR(INDEX(MUSTERILER!$B$7:$B$156,MATCH($S1038,MUSTERILER!$T$7:$T$156,0)),""))</f>
        <v/>
      </c>
      <c r="U1038" s="1" t="str">
        <f>IF($T1038="","",$T1038&amp;"|"&amp;COUNTIFS($T$7:$T1038,$T1038))</f>
        <v/>
      </c>
      <c r="V1038" s="1">
        <f t="shared" si="136"/>
        <v>0</v>
      </c>
      <c r="W1038" s="1" t="str">
        <f t="shared" si="137"/>
        <v/>
      </c>
      <c r="X1038" s="1"/>
      <c r="Y1038" s="1"/>
      <c r="Z1038" s="1"/>
      <c r="AA1038" s="1"/>
      <c r="AB1038" s="1"/>
      <c r="AC1038" s="1"/>
      <c r="AD1038" s="1">
        <f>IF($C1038="",0,SUMPRODUCT((AY_SONU!$O$7:$O$42="Evet")*(AY_SONU!$B$7:$B$42=DATE(YEAR($C1038),MONTH($C1038),1))))</f>
        <v>0</v>
      </c>
      <c r="AE1038" s="1" t="str">
        <f>IF($E1038="","",$E1038&amp;"|"&amp;COUNTIFS($E$7:$E1038,$E1038))</f>
        <v/>
      </c>
    </row>
    <row r="1039" spans="1:31" ht="18" customHeight="1" x14ac:dyDescent="0.3">
      <c r="A1039" s="2"/>
      <c r="B1039" s="65" t="str">
        <f t="shared" si="130"/>
        <v/>
      </c>
      <c r="C1039" s="66"/>
      <c r="D1039" s="60"/>
      <c r="E1039" s="61"/>
      <c r="F1039" s="61"/>
      <c r="G1039" s="67"/>
      <c r="H1039" s="60"/>
      <c r="I1039" s="60"/>
      <c r="J1039" s="61"/>
      <c r="K1039" s="61"/>
      <c r="L1039" s="60"/>
      <c r="M1039" s="74" t="str">
        <f t="shared" si="131"/>
        <v/>
      </c>
      <c r="N1039" s="74" t="str">
        <f t="shared" si="132"/>
        <v/>
      </c>
      <c r="O1039" s="73" t="str">
        <f t="shared" si="133"/>
        <v/>
      </c>
      <c r="P1039" s="65" t="str">
        <f t="shared" ca="1" si="134"/>
        <v/>
      </c>
      <c r="Q1039" s="2"/>
      <c r="R1039" s="2"/>
      <c r="S1039" s="1" t="str">
        <f t="shared" si="135"/>
        <v/>
      </c>
      <c r="T1039" s="1" t="str">
        <f>IF(OR($C1039="",$D1039&lt;&gt;"Gelir",$L1039=""),"",IFERROR(INDEX(MUSTERILER!$B$7:$B$156,MATCH($S1039,MUSTERILER!$T$7:$T$156,0)),""))</f>
        <v/>
      </c>
      <c r="U1039" s="1" t="str">
        <f>IF($T1039="","",$T1039&amp;"|"&amp;COUNTIFS($T$7:$T1039,$T1039))</f>
        <v/>
      </c>
      <c r="V1039" s="1">
        <f t="shared" si="136"/>
        <v>0</v>
      </c>
      <c r="W1039" s="1" t="str">
        <f t="shared" si="137"/>
        <v/>
      </c>
      <c r="X1039" s="1"/>
      <c r="Y1039" s="1"/>
      <c r="Z1039" s="1"/>
      <c r="AA1039" s="1"/>
      <c r="AB1039" s="1"/>
      <c r="AC1039" s="1"/>
      <c r="AD1039" s="1">
        <f>IF($C1039="",0,SUMPRODUCT((AY_SONU!$O$7:$O$42="Evet")*(AY_SONU!$B$7:$B$42=DATE(YEAR($C1039),MONTH($C1039),1))))</f>
        <v>0</v>
      </c>
      <c r="AE1039" s="1" t="str">
        <f>IF($E1039="","",$E1039&amp;"|"&amp;COUNTIFS($E$7:$E1039,$E1039))</f>
        <v/>
      </c>
    </row>
    <row r="1040" spans="1:31" ht="18" customHeight="1" x14ac:dyDescent="0.3">
      <c r="A1040" s="2"/>
      <c r="B1040" s="65" t="str">
        <f t="shared" si="130"/>
        <v/>
      </c>
      <c r="C1040" s="66"/>
      <c r="D1040" s="60"/>
      <c r="E1040" s="61"/>
      <c r="F1040" s="61"/>
      <c r="G1040" s="67"/>
      <c r="H1040" s="60"/>
      <c r="I1040" s="60"/>
      <c r="J1040" s="61"/>
      <c r="K1040" s="61"/>
      <c r="L1040" s="60"/>
      <c r="M1040" s="74" t="str">
        <f t="shared" si="131"/>
        <v/>
      </c>
      <c r="N1040" s="74" t="str">
        <f t="shared" si="132"/>
        <v/>
      </c>
      <c r="O1040" s="73" t="str">
        <f t="shared" si="133"/>
        <v/>
      </c>
      <c r="P1040" s="65" t="str">
        <f t="shared" ca="1" si="134"/>
        <v/>
      </c>
      <c r="Q1040" s="2"/>
      <c r="R1040" s="2"/>
      <c r="S1040" s="1" t="str">
        <f t="shared" si="135"/>
        <v/>
      </c>
      <c r="T1040" s="1" t="str">
        <f>IF(OR($C1040="",$D1040&lt;&gt;"Gelir",$L1040=""),"",IFERROR(INDEX(MUSTERILER!$B$7:$B$156,MATCH($S1040,MUSTERILER!$T$7:$T$156,0)),""))</f>
        <v/>
      </c>
      <c r="U1040" s="1" t="str">
        <f>IF($T1040="","",$T1040&amp;"|"&amp;COUNTIFS($T$7:$T1040,$T1040))</f>
        <v/>
      </c>
      <c r="V1040" s="1">
        <f t="shared" si="136"/>
        <v>0</v>
      </c>
      <c r="W1040" s="1" t="str">
        <f t="shared" si="137"/>
        <v/>
      </c>
      <c r="X1040" s="1"/>
      <c r="Y1040" s="1"/>
      <c r="Z1040" s="1"/>
      <c r="AA1040" s="1"/>
      <c r="AB1040" s="1"/>
      <c r="AC1040" s="1"/>
      <c r="AD1040" s="1">
        <f>IF($C1040="",0,SUMPRODUCT((AY_SONU!$O$7:$O$42="Evet")*(AY_SONU!$B$7:$B$42=DATE(YEAR($C1040),MONTH($C1040),1))))</f>
        <v>0</v>
      </c>
      <c r="AE1040" s="1" t="str">
        <f>IF($E1040="","",$E1040&amp;"|"&amp;COUNTIFS($E$7:$E1040,$E1040))</f>
        <v/>
      </c>
    </row>
    <row r="1041" spans="1:31" ht="18" customHeight="1" x14ac:dyDescent="0.3">
      <c r="A1041" s="2"/>
      <c r="B1041" s="65" t="str">
        <f t="shared" si="130"/>
        <v/>
      </c>
      <c r="C1041" s="66"/>
      <c r="D1041" s="60"/>
      <c r="E1041" s="61"/>
      <c r="F1041" s="61"/>
      <c r="G1041" s="67"/>
      <c r="H1041" s="60"/>
      <c r="I1041" s="60"/>
      <c r="J1041" s="61"/>
      <c r="K1041" s="61"/>
      <c r="L1041" s="60"/>
      <c r="M1041" s="74" t="str">
        <f t="shared" si="131"/>
        <v/>
      </c>
      <c r="N1041" s="74" t="str">
        <f t="shared" si="132"/>
        <v/>
      </c>
      <c r="O1041" s="73" t="str">
        <f t="shared" si="133"/>
        <v/>
      </c>
      <c r="P1041" s="65" t="str">
        <f t="shared" ca="1" si="134"/>
        <v/>
      </c>
      <c r="Q1041" s="2"/>
      <c r="R1041" s="2"/>
      <c r="S1041" s="1" t="str">
        <f t="shared" si="135"/>
        <v/>
      </c>
      <c r="T1041" s="1" t="str">
        <f>IF(OR($C1041="",$D1041&lt;&gt;"Gelir",$L1041=""),"",IFERROR(INDEX(MUSTERILER!$B$7:$B$156,MATCH($S1041,MUSTERILER!$T$7:$T$156,0)),""))</f>
        <v/>
      </c>
      <c r="U1041" s="1" t="str">
        <f>IF($T1041="","",$T1041&amp;"|"&amp;COUNTIFS($T$7:$T1041,$T1041))</f>
        <v/>
      </c>
      <c r="V1041" s="1">
        <f t="shared" si="136"/>
        <v>0</v>
      </c>
      <c r="W1041" s="1" t="str">
        <f t="shared" si="137"/>
        <v/>
      </c>
      <c r="X1041" s="1"/>
      <c r="Y1041" s="1"/>
      <c r="Z1041" s="1"/>
      <c r="AA1041" s="1"/>
      <c r="AB1041" s="1"/>
      <c r="AC1041" s="1"/>
      <c r="AD1041" s="1">
        <f>IF($C1041="",0,SUMPRODUCT((AY_SONU!$O$7:$O$42="Evet")*(AY_SONU!$B$7:$B$42=DATE(YEAR($C1041),MONTH($C1041),1))))</f>
        <v>0</v>
      </c>
      <c r="AE1041" s="1" t="str">
        <f>IF($E1041="","",$E1041&amp;"|"&amp;COUNTIFS($E$7:$E1041,$E1041))</f>
        <v/>
      </c>
    </row>
    <row r="1042" spans="1:31" ht="18" customHeight="1" x14ac:dyDescent="0.3">
      <c r="A1042" s="2"/>
      <c r="B1042" s="65" t="str">
        <f t="shared" si="130"/>
        <v/>
      </c>
      <c r="C1042" s="66"/>
      <c r="D1042" s="60"/>
      <c r="E1042" s="61"/>
      <c r="F1042" s="61"/>
      <c r="G1042" s="67"/>
      <c r="H1042" s="60"/>
      <c r="I1042" s="60"/>
      <c r="J1042" s="61"/>
      <c r="K1042" s="61"/>
      <c r="L1042" s="60"/>
      <c r="M1042" s="74" t="str">
        <f t="shared" si="131"/>
        <v/>
      </c>
      <c r="N1042" s="74" t="str">
        <f t="shared" si="132"/>
        <v/>
      </c>
      <c r="O1042" s="73" t="str">
        <f t="shared" si="133"/>
        <v/>
      </c>
      <c r="P1042" s="65" t="str">
        <f t="shared" ca="1" si="134"/>
        <v/>
      </c>
      <c r="Q1042" s="2"/>
      <c r="R1042" s="2"/>
      <c r="S1042" s="1" t="str">
        <f t="shared" si="135"/>
        <v/>
      </c>
      <c r="T1042" s="1" t="str">
        <f>IF(OR($C1042="",$D1042&lt;&gt;"Gelir",$L1042=""),"",IFERROR(INDEX(MUSTERILER!$B$7:$B$156,MATCH($S1042,MUSTERILER!$T$7:$T$156,0)),""))</f>
        <v/>
      </c>
      <c r="U1042" s="1" t="str">
        <f>IF($T1042="","",$T1042&amp;"|"&amp;COUNTIFS($T$7:$T1042,$T1042))</f>
        <v/>
      </c>
      <c r="V1042" s="1">
        <f t="shared" si="136"/>
        <v>0</v>
      </c>
      <c r="W1042" s="1" t="str">
        <f t="shared" si="137"/>
        <v/>
      </c>
      <c r="X1042" s="1"/>
      <c r="Y1042" s="1"/>
      <c r="Z1042" s="1"/>
      <c r="AA1042" s="1"/>
      <c r="AB1042" s="1"/>
      <c r="AC1042" s="1"/>
      <c r="AD1042" s="1">
        <f>IF($C1042="",0,SUMPRODUCT((AY_SONU!$O$7:$O$42="Evet")*(AY_SONU!$B$7:$B$42=DATE(YEAR($C1042),MONTH($C1042),1))))</f>
        <v>0</v>
      </c>
      <c r="AE1042" s="1" t="str">
        <f>IF($E1042="","",$E1042&amp;"|"&amp;COUNTIFS($E$7:$E1042,$E1042))</f>
        <v/>
      </c>
    </row>
    <row r="1043" spans="1:31" ht="18" customHeight="1" x14ac:dyDescent="0.3">
      <c r="A1043" s="2"/>
      <c r="B1043" s="65" t="str">
        <f t="shared" si="130"/>
        <v/>
      </c>
      <c r="C1043" s="66"/>
      <c r="D1043" s="60"/>
      <c r="E1043" s="61"/>
      <c r="F1043" s="61"/>
      <c r="G1043" s="67"/>
      <c r="H1043" s="60"/>
      <c r="I1043" s="60"/>
      <c r="J1043" s="61"/>
      <c r="K1043" s="61"/>
      <c r="L1043" s="60"/>
      <c r="M1043" s="74" t="str">
        <f t="shared" si="131"/>
        <v/>
      </c>
      <c r="N1043" s="74" t="str">
        <f t="shared" si="132"/>
        <v/>
      </c>
      <c r="O1043" s="73" t="str">
        <f t="shared" si="133"/>
        <v/>
      </c>
      <c r="P1043" s="65" t="str">
        <f t="shared" ca="1" si="134"/>
        <v/>
      </c>
      <c r="Q1043" s="2"/>
      <c r="R1043" s="2"/>
      <c r="S1043" s="1" t="str">
        <f t="shared" si="135"/>
        <v/>
      </c>
      <c r="T1043" s="1" t="str">
        <f>IF(OR($C1043="",$D1043&lt;&gt;"Gelir",$L1043=""),"",IFERROR(INDEX(MUSTERILER!$B$7:$B$156,MATCH($S1043,MUSTERILER!$T$7:$T$156,0)),""))</f>
        <v/>
      </c>
      <c r="U1043" s="1" t="str">
        <f>IF($T1043="","",$T1043&amp;"|"&amp;COUNTIFS($T$7:$T1043,$T1043))</f>
        <v/>
      </c>
      <c r="V1043" s="1">
        <f t="shared" si="136"/>
        <v>0</v>
      </c>
      <c r="W1043" s="1" t="str">
        <f t="shared" si="137"/>
        <v/>
      </c>
      <c r="X1043" s="1"/>
      <c r="Y1043" s="1"/>
      <c r="Z1043" s="1"/>
      <c r="AA1043" s="1"/>
      <c r="AB1043" s="1"/>
      <c r="AC1043" s="1"/>
      <c r="AD1043" s="1">
        <f>IF($C1043="",0,SUMPRODUCT((AY_SONU!$O$7:$O$42="Evet")*(AY_SONU!$B$7:$B$42=DATE(YEAR($C1043),MONTH($C1043),1))))</f>
        <v>0</v>
      </c>
      <c r="AE1043" s="1" t="str">
        <f>IF($E1043="","",$E1043&amp;"|"&amp;COUNTIFS($E$7:$E1043,$E1043))</f>
        <v/>
      </c>
    </row>
    <row r="1044" spans="1:31" ht="18" customHeight="1" x14ac:dyDescent="0.3">
      <c r="A1044" s="2"/>
      <c r="B1044" s="65" t="str">
        <f t="shared" si="130"/>
        <v/>
      </c>
      <c r="C1044" s="66"/>
      <c r="D1044" s="60"/>
      <c r="E1044" s="61"/>
      <c r="F1044" s="61"/>
      <c r="G1044" s="67"/>
      <c r="H1044" s="60"/>
      <c r="I1044" s="60"/>
      <c r="J1044" s="61"/>
      <c r="K1044" s="61"/>
      <c r="L1044" s="60"/>
      <c r="M1044" s="74" t="str">
        <f t="shared" si="131"/>
        <v/>
      </c>
      <c r="N1044" s="74" t="str">
        <f t="shared" si="132"/>
        <v/>
      </c>
      <c r="O1044" s="73" t="str">
        <f t="shared" si="133"/>
        <v/>
      </c>
      <c r="P1044" s="65" t="str">
        <f t="shared" ca="1" si="134"/>
        <v/>
      </c>
      <c r="Q1044" s="2"/>
      <c r="R1044" s="2"/>
      <c r="S1044" s="1" t="str">
        <f t="shared" si="135"/>
        <v/>
      </c>
      <c r="T1044" s="1" t="str">
        <f>IF(OR($C1044="",$D1044&lt;&gt;"Gelir",$L1044=""),"",IFERROR(INDEX(MUSTERILER!$B$7:$B$156,MATCH($S1044,MUSTERILER!$T$7:$T$156,0)),""))</f>
        <v/>
      </c>
      <c r="U1044" s="1" t="str">
        <f>IF($T1044="","",$T1044&amp;"|"&amp;COUNTIFS($T$7:$T1044,$T1044))</f>
        <v/>
      </c>
      <c r="V1044" s="1">
        <f t="shared" si="136"/>
        <v>0</v>
      </c>
      <c r="W1044" s="1" t="str">
        <f t="shared" si="137"/>
        <v/>
      </c>
      <c r="X1044" s="1"/>
      <c r="Y1044" s="1"/>
      <c r="Z1044" s="1"/>
      <c r="AA1044" s="1"/>
      <c r="AB1044" s="1"/>
      <c r="AC1044" s="1"/>
      <c r="AD1044" s="1">
        <f>IF($C1044="",0,SUMPRODUCT((AY_SONU!$O$7:$O$42="Evet")*(AY_SONU!$B$7:$B$42=DATE(YEAR($C1044),MONTH($C1044),1))))</f>
        <v>0</v>
      </c>
      <c r="AE1044" s="1" t="str">
        <f>IF($E1044="","",$E1044&amp;"|"&amp;COUNTIFS($E$7:$E1044,$E1044))</f>
        <v/>
      </c>
    </row>
    <row r="1045" spans="1:31" ht="18" customHeight="1" x14ac:dyDescent="0.3">
      <c r="A1045" s="2"/>
      <c r="B1045" s="65" t="str">
        <f t="shared" si="130"/>
        <v/>
      </c>
      <c r="C1045" s="66"/>
      <c r="D1045" s="60"/>
      <c r="E1045" s="61"/>
      <c r="F1045" s="61"/>
      <c r="G1045" s="67"/>
      <c r="H1045" s="60"/>
      <c r="I1045" s="60"/>
      <c r="J1045" s="61"/>
      <c r="K1045" s="61"/>
      <c r="L1045" s="60"/>
      <c r="M1045" s="74" t="str">
        <f t="shared" si="131"/>
        <v/>
      </c>
      <c r="N1045" s="74" t="str">
        <f t="shared" si="132"/>
        <v/>
      </c>
      <c r="O1045" s="73" t="str">
        <f t="shared" si="133"/>
        <v/>
      </c>
      <c r="P1045" s="65" t="str">
        <f t="shared" ca="1" si="134"/>
        <v/>
      </c>
      <c r="Q1045" s="2"/>
      <c r="R1045" s="2"/>
      <c r="S1045" s="1" t="str">
        <f t="shared" si="135"/>
        <v/>
      </c>
      <c r="T1045" s="1" t="str">
        <f>IF(OR($C1045="",$D1045&lt;&gt;"Gelir",$L1045=""),"",IFERROR(INDEX(MUSTERILER!$B$7:$B$156,MATCH($S1045,MUSTERILER!$T$7:$T$156,0)),""))</f>
        <v/>
      </c>
      <c r="U1045" s="1" t="str">
        <f>IF($T1045="","",$T1045&amp;"|"&amp;COUNTIFS($T$7:$T1045,$T1045))</f>
        <v/>
      </c>
      <c r="V1045" s="1">
        <f t="shared" si="136"/>
        <v>0</v>
      </c>
      <c r="W1045" s="1" t="str">
        <f t="shared" si="137"/>
        <v/>
      </c>
      <c r="X1045" s="1"/>
      <c r="Y1045" s="1"/>
      <c r="Z1045" s="1"/>
      <c r="AA1045" s="1"/>
      <c r="AB1045" s="1"/>
      <c r="AC1045" s="1"/>
      <c r="AD1045" s="1">
        <f>IF($C1045="",0,SUMPRODUCT((AY_SONU!$O$7:$O$42="Evet")*(AY_SONU!$B$7:$B$42=DATE(YEAR($C1045),MONTH($C1045),1))))</f>
        <v>0</v>
      </c>
      <c r="AE1045" s="1" t="str">
        <f>IF($E1045="","",$E1045&amp;"|"&amp;COUNTIFS($E$7:$E1045,$E1045))</f>
        <v/>
      </c>
    </row>
    <row r="1046" spans="1:31" ht="18" customHeight="1" x14ac:dyDescent="0.3">
      <c r="A1046" s="2"/>
      <c r="B1046" s="65" t="str">
        <f t="shared" si="130"/>
        <v/>
      </c>
      <c r="C1046" s="66"/>
      <c r="D1046" s="60"/>
      <c r="E1046" s="61"/>
      <c r="F1046" s="61"/>
      <c r="G1046" s="67"/>
      <c r="H1046" s="60"/>
      <c r="I1046" s="60"/>
      <c r="J1046" s="61"/>
      <c r="K1046" s="61"/>
      <c r="L1046" s="60"/>
      <c r="M1046" s="74" t="str">
        <f t="shared" si="131"/>
        <v/>
      </c>
      <c r="N1046" s="74" t="str">
        <f t="shared" si="132"/>
        <v/>
      </c>
      <c r="O1046" s="73" t="str">
        <f t="shared" si="133"/>
        <v/>
      </c>
      <c r="P1046" s="65" t="str">
        <f t="shared" ca="1" si="134"/>
        <v/>
      </c>
      <c r="Q1046" s="2"/>
      <c r="R1046" s="2"/>
      <c r="S1046" s="1" t="str">
        <f t="shared" si="135"/>
        <v/>
      </c>
      <c r="T1046" s="1" t="str">
        <f>IF(OR($C1046="",$D1046&lt;&gt;"Gelir",$L1046=""),"",IFERROR(INDEX(MUSTERILER!$B$7:$B$156,MATCH($S1046,MUSTERILER!$T$7:$T$156,0)),""))</f>
        <v/>
      </c>
      <c r="U1046" s="1" t="str">
        <f>IF($T1046="","",$T1046&amp;"|"&amp;COUNTIFS($T$7:$T1046,$T1046))</f>
        <v/>
      </c>
      <c r="V1046" s="1">
        <f t="shared" si="136"/>
        <v>0</v>
      </c>
      <c r="W1046" s="1" t="str">
        <f t="shared" si="137"/>
        <v/>
      </c>
      <c r="X1046" s="1"/>
      <c r="Y1046" s="1"/>
      <c r="Z1046" s="1"/>
      <c r="AA1046" s="1"/>
      <c r="AB1046" s="1"/>
      <c r="AC1046" s="1"/>
      <c r="AD1046" s="1">
        <f>IF($C1046="",0,SUMPRODUCT((AY_SONU!$O$7:$O$42="Evet")*(AY_SONU!$B$7:$B$42=DATE(YEAR($C1046),MONTH($C1046),1))))</f>
        <v>0</v>
      </c>
      <c r="AE1046" s="1" t="str">
        <f>IF($E1046="","",$E1046&amp;"|"&amp;COUNTIFS($E$7:$E1046,$E1046))</f>
        <v/>
      </c>
    </row>
    <row r="1047" spans="1:31" ht="18" customHeight="1" x14ac:dyDescent="0.3">
      <c r="A1047" s="2"/>
      <c r="B1047" s="65" t="str">
        <f t="shared" si="130"/>
        <v/>
      </c>
      <c r="C1047" s="66"/>
      <c r="D1047" s="60"/>
      <c r="E1047" s="61"/>
      <c r="F1047" s="61"/>
      <c r="G1047" s="67"/>
      <c r="H1047" s="60"/>
      <c r="I1047" s="60"/>
      <c r="J1047" s="61"/>
      <c r="K1047" s="61"/>
      <c r="L1047" s="60"/>
      <c r="M1047" s="74" t="str">
        <f t="shared" si="131"/>
        <v/>
      </c>
      <c r="N1047" s="74" t="str">
        <f t="shared" si="132"/>
        <v/>
      </c>
      <c r="O1047" s="73" t="str">
        <f t="shared" si="133"/>
        <v/>
      </c>
      <c r="P1047" s="65" t="str">
        <f t="shared" ca="1" si="134"/>
        <v/>
      </c>
      <c r="Q1047" s="2"/>
      <c r="R1047" s="2"/>
      <c r="S1047" s="1" t="str">
        <f t="shared" si="135"/>
        <v/>
      </c>
      <c r="T1047" s="1" t="str">
        <f>IF(OR($C1047="",$D1047&lt;&gt;"Gelir",$L1047=""),"",IFERROR(INDEX(MUSTERILER!$B$7:$B$156,MATCH($S1047,MUSTERILER!$T$7:$T$156,0)),""))</f>
        <v/>
      </c>
      <c r="U1047" s="1" t="str">
        <f>IF($T1047="","",$T1047&amp;"|"&amp;COUNTIFS($T$7:$T1047,$T1047))</f>
        <v/>
      </c>
      <c r="V1047" s="1">
        <f t="shared" si="136"/>
        <v>0</v>
      </c>
      <c r="W1047" s="1" t="str">
        <f t="shared" si="137"/>
        <v/>
      </c>
      <c r="X1047" s="1"/>
      <c r="Y1047" s="1"/>
      <c r="Z1047" s="1"/>
      <c r="AA1047" s="1"/>
      <c r="AB1047" s="1"/>
      <c r="AC1047" s="1"/>
      <c r="AD1047" s="1">
        <f>IF($C1047="",0,SUMPRODUCT((AY_SONU!$O$7:$O$42="Evet")*(AY_SONU!$B$7:$B$42=DATE(YEAR($C1047),MONTH($C1047),1))))</f>
        <v>0</v>
      </c>
      <c r="AE1047" s="1" t="str">
        <f>IF($E1047="","",$E1047&amp;"|"&amp;COUNTIFS($E$7:$E1047,$E1047))</f>
        <v/>
      </c>
    </row>
    <row r="1048" spans="1:31" ht="18" customHeight="1" x14ac:dyDescent="0.3">
      <c r="A1048" s="2"/>
      <c r="B1048" s="65" t="str">
        <f t="shared" si="130"/>
        <v/>
      </c>
      <c r="C1048" s="66"/>
      <c r="D1048" s="60"/>
      <c r="E1048" s="61"/>
      <c r="F1048" s="61"/>
      <c r="G1048" s="67"/>
      <c r="H1048" s="60"/>
      <c r="I1048" s="60"/>
      <c r="J1048" s="61"/>
      <c r="K1048" s="61"/>
      <c r="L1048" s="60"/>
      <c r="M1048" s="74" t="str">
        <f t="shared" si="131"/>
        <v/>
      </c>
      <c r="N1048" s="74" t="str">
        <f t="shared" si="132"/>
        <v/>
      </c>
      <c r="O1048" s="73" t="str">
        <f t="shared" si="133"/>
        <v/>
      </c>
      <c r="P1048" s="65" t="str">
        <f t="shared" ca="1" si="134"/>
        <v/>
      </c>
      <c r="Q1048" s="2"/>
      <c r="R1048" s="2"/>
      <c r="S1048" s="1" t="str">
        <f t="shared" si="135"/>
        <v/>
      </c>
      <c r="T1048" s="1" t="str">
        <f>IF(OR($C1048="",$D1048&lt;&gt;"Gelir",$L1048=""),"",IFERROR(INDEX(MUSTERILER!$B$7:$B$156,MATCH($S1048,MUSTERILER!$T$7:$T$156,0)),""))</f>
        <v/>
      </c>
      <c r="U1048" s="1" t="str">
        <f>IF($T1048="","",$T1048&amp;"|"&amp;COUNTIFS($T$7:$T1048,$T1048))</f>
        <v/>
      </c>
      <c r="V1048" s="1">
        <f t="shared" si="136"/>
        <v>0</v>
      </c>
      <c r="W1048" s="1" t="str">
        <f t="shared" si="137"/>
        <v/>
      </c>
      <c r="X1048" s="1"/>
      <c r="Y1048" s="1"/>
      <c r="Z1048" s="1"/>
      <c r="AA1048" s="1"/>
      <c r="AB1048" s="1"/>
      <c r="AC1048" s="1"/>
      <c r="AD1048" s="1">
        <f>IF($C1048="",0,SUMPRODUCT((AY_SONU!$O$7:$O$42="Evet")*(AY_SONU!$B$7:$B$42=DATE(YEAR($C1048),MONTH($C1048),1))))</f>
        <v>0</v>
      </c>
      <c r="AE1048" s="1" t="str">
        <f>IF($E1048="","",$E1048&amp;"|"&amp;COUNTIFS($E$7:$E1048,$E1048))</f>
        <v/>
      </c>
    </row>
    <row r="1049" spans="1:31" ht="18" customHeight="1" x14ac:dyDescent="0.3">
      <c r="A1049" s="2"/>
      <c r="B1049" s="65" t="str">
        <f t="shared" si="130"/>
        <v/>
      </c>
      <c r="C1049" s="66"/>
      <c r="D1049" s="60"/>
      <c r="E1049" s="61"/>
      <c r="F1049" s="61"/>
      <c r="G1049" s="67"/>
      <c r="H1049" s="60"/>
      <c r="I1049" s="60"/>
      <c r="J1049" s="61"/>
      <c r="K1049" s="61"/>
      <c r="L1049" s="60"/>
      <c r="M1049" s="74" t="str">
        <f t="shared" si="131"/>
        <v/>
      </c>
      <c r="N1049" s="74" t="str">
        <f t="shared" si="132"/>
        <v/>
      </c>
      <c r="O1049" s="73" t="str">
        <f t="shared" si="133"/>
        <v/>
      </c>
      <c r="P1049" s="65" t="str">
        <f t="shared" ca="1" si="134"/>
        <v/>
      </c>
      <c r="Q1049" s="2"/>
      <c r="R1049" s="2"/>
      <c r="S1049" s="1" t="str">
        <f t="shared" si="135"/>
        <v/>
      </c>
      <c r="T1049" s="1" t="str">
        <f>IF(OR($C1049="",$D1049&lt;&gt;"Gelir",$L1049=""),"",IFERROR(INDEX(MUSTERILER!$B$7:$B$156,MATCH($S1049,MUSTERILER!$T$7:$T$156,0)),""))</f>
        <v/>
      </c>
      <c r="U1049" s="1" t="str">
        <f>IF($T1049="","",$T1049&amp;"|"&amp;COUNTIFS($T$7:$T1049,$T1049))</f>
        <v/>
      </c>
      <c r="V1049" s="1">
        <f t="shared" si="136"/>
        <v>0</v>
      </c>
      <c r="W1049" s="1" t="str">
        <f t="shared" si="137"/>
        <v/>
      </c>
      <c r="X1049" s="1"/>
      <c r="Y1049" s="1"/>
      <c r="Z1049" s="1"/>
      <c r="AA1049" s="1"/>
      <c r="AB1049" s="1"/>
      <c r="AC1049" s="1"/>
      <c r="AD1049" s="1">
        <f>IF($C1049="",0,SUMPRODUCT((AY_SONU!$O$7:$O$42="Evet")*(AY_SONU!$B$7:$B$42=DATE(YEAR($C1049),MONTH($C1049),1))))</f>
        <v>0</v>
      </c>
      <c r="AE1049" s="1" t="str">
        <f>IF($E1049="","",$E1049&amp;"|"&amp;COUNTIFS($E$7:$E1049,$E1049))</f>
        <v/>
      </c>
    </row>
    <row r="1050" spans="1:31" ht="18" customHeight="1" x14ac:dyDescent="0.3">
      <c r="A1050" s="2"/>
      <c r="B1050" s="65" t="str">
        <f t="shared" si="130"/>
        <v/>
      </c>
      <c r="C1050" s="66"/>
      <c r="D1050" s="60"/>
      <c r="E1050" s="61"/>
      <c r="F1050" s="61"/>
      <c r="G1050" s="67"/>
      <c r="H1050" s="60"/>
      <c r="I1050" s="60"/>
      <c r="J1050" s="61"/>
      <c r="K1050" s="61"/>
      <c r="L1050" s="60"/>
      <c r="M1050" s="74" t="str">
        <f t="shared" si="131"/>
        <v/>
      </c>
      <c r="N1050" s="74" t="str">
        <f t="shared" si="132"/>
        <v/>
      </c>
      <c r="O1050" s="73" t="str">
        <f t="shared" si="133"/>
        <v/>
      </c>
      <c r="P1050" s="65" t="str">
        <f t="shared" ca="1" si="134"/>
        <v/>
      </c>
      <c r="Q1050" s="2"/>
      <c r="R1050" s="2"/>
      <c r="S1050" s="1" t="str">
        <f t="shared" si="135"/>
        <v/>
      </c>
      <c r="T1050" s="1" t="str">
        <f>IF(OR($C1050="",$D1050&lt;&gt;"Gelir",$L1050=""),"",IFERROR(INDEX(MUSTERILER!$B$7:$B$156,MATCH($S1050,MUSTERILER!$T$7:$T$156,0)),""))</f>
        <v/>
      </c>
      <c r="U1050" s="1" t="str">
        <f>IF($T1050="","",$T1050&amp;"|"&amp;COUNTIFS($T$7:$T1050,$T1050))</f>
        <v/>
      </c>
      <c r="V1050" s="1">
        <f t="shared" si="136"/>
        <v>0</v>
      </c>
      <c r="W1050" s="1" t="str">
        <f t="shared" si="137"/>
        <v/>
      </c>
      <c r="X1050" s="1"/>
      <c r="Y1050" s="1"/>
      <c r="Z1050" s="1"/>
      <c r="AA1050" s="1"/>
      <c r="AB1050" s="1"/>
      <c r="AC1050" s="1"/>
      <c r="AD1050" s="1">
        <f>IF($C1050="",0,SUMPRODUCT((AY_SONU!$O$7:$O$42="Evet")*(AY_SONU!$B$7:$B$42=DATE(YEAR($C1050),MONTH($C1050),1))))</f>
        <v>0</v>
      </c>
      <c r="AE1050" s="1" t="str">
        <f>IF($E1050="","",$E1050&amp;"|"&amp;COUNTIFS($E$7:$E1050,$E1050))</f>
        <v/>
      </c>
    </row>
    <row r="1051" spans="1:31" ht="18" customHeight="1" x14ac:dyDescent="0.3">
      <c r="A1051" s="2"/>
      <c r="B1051" s="65" t="str">
        <f t="shared" si="130"/>
        <v/>
      </c>
      <c r="C1051" s="66"/>
      <c r="D1051" s="60"/>
      <c r="E1051" s="61"/>
      <c r="F1051" s="61"/>
      <c r="G1051" s="67"/>
      <c r="H1051" s="60"/>
      <c r="I1051" s="60"/>
      <c r="J1051" s="61"/>
      <c r="K1051" s="61"/>
      <c r="L1051" s="60"/>
      <c r="M1051" s="74" t="str">
        <f t="shared" si="131"/>
        <v/>
      </c>
      <c r="N1051" s="74" t="str">
        <f t="shared" si="132"/>
        <v/>
      </c>
      <c r="O1051" s="73" t="str">
        <f t="shared" si="133"/>
        <v/>
      </c>
      <c r="P1051" s="65" t="str">
        <f t="shared" ca="1" si="134"/>
        <v/>
      </c>
      <c r="Q1051" s="2"/>
      <c r="R1051" s="2"/>
      <c r="S1051" s="1" t="str">
        <f t="shared" si="135"/>
        <v/>
      </c>
      <c r="T1051" s="1" t="str">
        <f>IF(OR($C1051="",$D1051&lt;&gt;"Gelir",$L1051=""),"",IFERROR(INDEX(MUSTERILER!$B$7:$B$156,MATCH($S1051,MUSTERILER!$T$7:$T$156,0)),""))</f>
        <v/>
      </c>
      <c r="U1051" s="1" t="str">
        <f>IF($T1051="","",$T1051&amp;"|"&amp;COUNTIFS($T$7:$T1051,$T1051))</f>
        <v/>
      </c>
      <c r="V1051" s="1">
        <f t="shared" si="136"/>
        <v>0</v>
      </c>
      <c r="W1051" s="1" t="str">
        <f t="shared" si="137"/>
        <v/>
      </c>
      <c r="X1051" s="1"/>
      <c r="Y1051" s="1"/>
      <c r="Z1051" s="1"/>
      <c r="AA1051" s="1"/>
      <c r="AB1051" s="1"/>
      <c r="AC1051" s="1"/>
      <c r="AD1051" s="1">
        <f>IF($C1051="",0,SUMPRODUCT((AY_SONU!$O$7:$O$42="Evet")*(AY_SONU!$B$7:$B$42=DATE(YEAR($C1051),MONTH($C1051),1))))</f>
        <v>0</v>
      </c>
      <c r="AE1051" s="1" t="str">
        <f>IF($E1051="","",$E1051&amp;"|"&amp;COUNTIFS($E$7:$E1051,$E1051))</f>
        <v/>
      </c>
    </row>
    <row r="1052" spans="1:31" ht="18" customHeight="1" x14ac:dyDescent="0.3">
      <c r="A1052" s="2"/>
      <c r="B1052" s="65" t="str">
        <f t="shared" si="130"/>
        <v/>
      </c>
      <c r="C1052" s="66"/>
      <c r="D1052" s="60"/>
      <c r="E1052" s="61"/>
      <c r="F1052" s="61"/>
      <c r="G1052" s="67"/>
      <c r="H1052" s="60"/>
      <c r="I1052" s="60"/>
      <c r="J1052" s="61"/>
      <c r="K1052" s="61"/>
      <c r="L1052" s="60"/>
      <c r="M1052" s="74" t="str">
        <f t="shared" si="131"/>
        <v/>
      </c>
      <c r="N1052" s="74" t="str">
        <f t="shared" si="132"/>
        <v/>
      </c>
      <c r="O1052" s="73" t="str">
        <f t="shared" si="133"/>
        <v/>
      </c>
      <c r="P1052" s="65" t="str">
        <f t="shared" ca="1" si="134"/>
        <v/>
      </c>
      <c r="Q1052" s="2"/>
      <c r="R1052" s="2"/>
      <c r="S1052" s="1" t="str">
        <f t="shared" si="135"/>
        <v/>
      </c>
      <c r="T1052" s="1" t="str">
        <f>IF(OR($C1052="",$D1052&lt;&gt;"Gelir",$L1052=""),"",IFERROR(INDEX(MUSTERILER!$B$7:$B$156,MATCH($S1052,MUSTERILER!$T$7:$T$156,0)),""))</f>
        <v/>
      </c>
      <c r="U1052" s="1" t="str">
        <f>IF($T1052="","",$T1052&amp;"|"&amp;COUNTIFS($T$7:$T1052,$T1052))</f>
        <v/>
      </c>
      <c r="V1052" s="1">
        <f t="shared" si="136"/>
        <v>0</v>
      </c>
      <c r="W1052" s="1" t="str">
        <f t="shared" si="137"/>
        <v/>
      </c>
      <c r="X1052" s="1"/>
      <c r="Y1052" s="1"/>
      <c r="Z1052" s="1"/>
      <c r="AA1052" s="1"/>
      <c r="AB1052" s="1"/>
      <c r="AC1052" s="1"/>
      <c r="AD1052" s="1">
        <f>IF($C1052="",0,SUMPRODUCT((AY_SONU!$O$7:$O$42="Evet")*(AY_SONU!$B$7:$B$42=DATE(YEAR($C1052),MONTH($C1052),1))))</f>
        <v>0</v>
      </c>
      <c r="AE1052" s="1" t="str">
        <f>IF($E1052="","",$E1052&amp;"|"&amp;COUNTIFS($E$7:$E1052,$E1052))</f>
        <v/>
      </c>
    </row>
    <row r="1053" spans="1:31" ht="18" customHeight="1" x14ac:dyDescent="0.3">
      <c r="A1053" s="2"/>
      <c r="B1053" s="65" t="str">
        <f t="shared" si="130"/>
        <v/>
      </c>
      <c r="C1053" s="66"/>
      <c r="D1053" s="60"/>
      <c r="E1053" s="61"/>
      <c r="F1053" s="61"/>
      <c r="G1053" s="67"/>
      <c r="H1053" s="60"/>
      <c r="I1053" s="60"/>
      <c r="J1053" s="61"/>
      <c r="K1053" s="61"/>
      <c r="L1053" s="60"/>
      <c r="M1053" s="74" t="str">
        <f t="shared" si="131"/>
        <v/>
      </c>
      <c r="N1053" s="74" t="str">
        <f t="shared" si="132"/>
        <v/>
      </c>
      <c r="O1053" s="73" t="str">
        <f t="shared" si="133"/>
        <v/>
      </c>
      <c r="P1053" s="65" t="str">
        <f t="shared" ca="1" si="134"/>
        <v/>
      </c>
      <c r="Q1053" s="2"/>
      <c r="R1053" s="2"/>
      <c r="S1053" s="1" t="str">
        <f t="shared" si="135"/>
        <v/>
      </c>
      <c r="T1053" s="1" t="str">
        <f>IF(OR($C1053="",$D1053&lt;&gt;"Gelir",$L1053=""),"",IFERROR(INDEX(MUSTERILER!$B$7:$B$156,MATCH($S1053,MUSTERILER!$T$7:$T$156,0)),""))</f>
        <v/>
      </c>
      <c r="U1053" s="1" t="str">
        <f>IF($T1053="","",$T1053&amp;"|"&amp;COUNTIFS($T$7:$T1053,$T1053))</f>
        <v/>
      </c>
      <c r="V1053" s="1">
        <f t="shared" si="136"/>
        <v>0</v>
      </c>
      <c r="W1053" s="1" t="str">
        <f t="shared" si="137"/>
        <v/>
      </c>
      <c r="X1053" s="1"/>
      <c r="Y1053" s="1"/>
      <c r="Z1053" s="1"/>
      <c r="AA1053" s="1"/>
      <c r="AB1053" s="1"/>
      <c r="AC1053" s="1"/>
      <c r="AD1053" s="1">
        <f>IF($C1053="",0,SUMPRODUCT((AY_SONU!$O$7:$O$42="Evet")*(AY_SONU!$B$7:$B$42=DATE(YEAR($C1053),MONTH($C1053),1))))</f>
        <v>0</v>
      </c>
      <c r="AE1053" s="1" t="str">
        <f>IF($E1053="","",$E1053&amp;"|"&amp;COUNTIFS($E$7:$E1053,$E1053))</f>
        <v/>
      </c>
    </row>
    <row r="1054" spans="1:31" ht="18" customHeight="1" x14ac:dyDescent="0.3">
      <c r="A1054" s="2"/>
      <c r="B1054" s="65" t="str">
        <f t="shared" si="130"/>
        <v/>
      </c>
      <c r="C1054" s="66"/>
      <c r="D1054" s="60"/>
      <c r="E1054" s="61"/>
      <c r="F1054" s="61"/>
      <c r="G1054" s="67"/>
      <c r="H1054" s="60"/>
      <c r="I1054" s="60"/>
      <c r="J1054" s="61"/>
      <c r="K1054" s="61"/>
      <c r="L1054" s="60"/>
      <c r="M1054" s="74" t="str">
        <f t="shared" si="131"/>
        <v/>
      </c>
      <c r="N1054" s="74" t="str">
        <f t="shared" si="132"/>
        <v/>
      </c>
      <c r="O1054" s="73" t="str">
        <f t="shared" si="133"/>
        <v/>
      </c>
      <c r="P1054" s="65" t="str">
        <f t="shared" ca="1" si="134"/>
        <v/>
      </c>
      <c r="Q1054" s="2"/>
      <c r="R1054" s="2"/>
      <c r="S1054" s="1" t="str">
        <f t="shared" si="135"/>
        <v/>
      </c>
      <c r="T1054" s="1" t="str">
        <f>IF(OR($C1054="",$D1054&lt;&gt;"Gelir",$L1054=""),"",IFERROR(INDEX(MUSTERILER!$B$7:$B$156,MATCH($S1054,MUSTERILER!$T$7:$T$156,0)),""))</f>
        <v/>
      </c>
      <c r="U1054" s="1" t="str">
        <f>IF($T1054="","",$T1054&amp;"|"&amp;COUNTIFS($T$7:$T1054,$T1054))</f>
        <v/>
      </c>
      <c r="V1054" s="1">
        <f t="shared" si="136"/>
        <v>0</v>
      </c>
      <c r="W1054" s="1" t="str">
        <f t="shared" si="137"/>
        <v/>
      </c>
      <c r="X1054" s="1"/>
      <c r="Y1054" s="1"/>
      <c r="Z1054" s="1"/>
      <c r="AA1054" s="1"/>
      <c r="AB1054" s="1"/>
      <c r="AC1054" s="1"/>
      <c r="AD1054" s="1">
        <f>IF($C1054="",0,SUMPRODUCT((AY_SONU!$O$7:$O$42="Evet")*(AY_SONU!$B$7:$B$42=DATE(YEAR($C1054),MONTH($C1054),1))))</f>
        <v>0</v>
      </c>
      <c r="AE1054" s="1" t="str">
        <f>IF($E1054="","",$E1054&amp;"|"&amp;COUNTIFS($E$7:$E1054,$E1054))</f>
        <v/>
      </c>
    </row>
    <row r="1055" spans="1:31" ht="18" customHeight="1" x14ac:dyDescent="0.3">
      <c r="A1055" s="2"/>
      <c r="B1055" s="65" t="str">
        <f t="shared" si="130"/>
        <v/>
      </c>
      <c r="C1055" s="66"/>
      <c r="D1055" s="60"/>
      <c r="E1055" s="61"/>
      <c r="F1055" s="61"/>
      <c r="G1055" s="67"/>
      <c r="H1055" s="60"/>
      <c r="I1055" s="60"/>
      <c r="J1055" s="61"/>
      <c r="K1055" s="61"/>
      <c r="L1055" s="60"/>
      <c r="M1055" s="74" t="str">
        <f t="shared" si="131"/>
        <v/>
      </c>
      <c r="N1055" s="74" t="str">
        <f t="shared" si="132"/>
        <v/>
      </c>
      <c r="O1055" s="73" t="str">
        <f t="shared" si="133"/>
        <v/>
      </c>
      <c r="P1055" s="65" t="str">
        <f t="shared" ca="1" si="134"/>
        <v/>
      </c>
      <c r="Q1055" s="2"/>
      <c r="R1055" s="2"/>
      <c r="S1055" s="1" t="str">
        <f t="shared" si="135"/>
        <v/>
      </c>
      <c r="T1055" s="1" t="str">
        <f>IF(OR($C1055="",$D1055&lt;&gt;"Gelir",$L1055=""),"",IFERROR(INDEX(MUSTERILER!$B$7:$B$156,MATCH($S1055,MUSTERILER!$T$7:$T$156,0)),""))</f>
        <v/>
      </c>
      <c r="U1055" s="1" t="str">
        <f>IF($T1055="","",$T1055&amp;"|"&amp;COUNTIFS($T$7:$T1055,$T1055))</f>
        <v/>
      </c>
      <c r="V1055" s="1">
        <f t="shared" si="136"/>
        <v>0</v>
      </c>
      <c r="W1055" s="1" t="str">
        <f t="shared" si="137"/>
        <v/>
      </c>
      <c r="X1055" s="1"/>
      <c r="Y1055" s="1"/>
      <c r="Z1055" s="1"/>
      <c r="AA1055" s="1"/>
      <c r="AB1055" s="1"/>
      <c r="AC1055" s="1"/>
      <c r="AD1055" s="1">
        <f>IF($C1055="",0,SUMPRODUCT((AY_SONU!$O$7:$O$42="Evet")*(AY_SONU!$B$7:$B$42=DATE(YEAR($C1055),MONTH($C1055),1))))</f>
        <v>0</v>
      </c>
      <c r="AE1055" s="1" t="str">
        <f>IF($E1055="","",$E1055&amp;"|"&amp;COUNTIFS($E$7:$E1055,$E1055))</f>
        <v/>
      </c>
    </row>
    <row r="1056" spans="1:31" ht="18" customHeight="1" x14ac:dyDescent="0.3">
      <c r="A1056" s="2"/>
      <c r="B1056" s="65" t="str">
        <f t="shared" si="130"/>
        <v/>
      </c>
      <c r="C1056" s="66"/>
      <c r="D1056" s="60"/>
      <c r="E1056" s="61"/>
      <c r="F1056" s="61"/>
      <c r="G1056" s="67"/>
      <c r="H1056" s="60"/>
      <c r="I1056" s="60"/>
      <c r="J1056" s="61"/>
      <c r="K1056" s="61"/>
      <c r="L1056" s="60"/>
      <c r="M1056" s="74" t="str">
        <f t="shared" si="131"/>
        <v/>
      </c>
      <c r="N1056" s="74" t="str">
        <f t="shared" si="132"/>
        <v/>
      </c>
      <c r="O1056" s="73" t="str">
        <f t="shared" si="133"/>
        <v/>
      </c>
      <c r="P1056" s="65" t="str">
        <f t="shared" ca="1" si="134"/>
        <v/>
      </c>
      <c r="Q1056" s="2"/>
      <c r="R1056" s="2"/>
      <c r="S1056" s="1" t="str">
        <f t="shared" si="135"/>
        <v/>
      </c>
      <c r="T1056" s="1" t="str">
        <f>IF(OR($C1056="",$D1056&lt;&gt;"Gelir",$L1056=""),"",IFERROR(INDEX(MUSTERILER!$B$7:$B$156,MATCH($S1056,MUSTERILER!$T$7:$T$156,0)),""))</f>
        <v/>
      </c>
      <c r="U1056" s="1" t="str">
        <f>IF($T1056="","",$T1056&amp;"|"&amp;COUNTIFS($T$7:$T1056,$T1056))</f>
        <v/>
      </c>
      <c r="V1056" s="1">
        <f t="shared" si="136"/>
        <v>0</v>
      </c>
      <c r="W1056" s="1" t="str">
        <f t="shared" si="137"/>
        <v/>
      </c>
      <c r="X1056" s="1"/>
      <c r="Y1056" s="1"/>
      <c r="Z1056" s="1"/>
      <c r="AA1056" s="1"/>
      <c r="AB1056" s="1"/>
      <c r="AC1056" s="1"/>
      <c r="AD1056" s="1">
        <f>IF($C1056="",0,SUMPRODUCT((AY_SONU!$O$7:$O$42="Evet")*(AY_SONU!$B$7:$B$42=DATE(YEAR($C1056),MONTH($C1056),1))))</f>
        <v>0</v>
      </c>
      <c r="AE1056" s="1" t="str">
        <f>IF($E1056="","",$E1056&amp;"|"&amp;COUNTIFS($E$7:$E1056,$E1056))</f>
        <v/>
      </c>
    </row>
    <row r="1057" spans="1:31" ht="18" customHeight="1" x14ac:dyDescent="0.3">
      <c r="A1057" s="2"/>
      <c r="B1057" s="65" t="str">
        <f t="shared" si="130"/>
        <v/>
      </c>
      <c r="C1057" s="66"/>
      <c r="D1057" s="60"/>
      <c r="E1057" s="61"/>
      <c r="F1057" s="61"/>
      <c r="G1057" s="67"/>
      <c r="H1057" s="60"/>
      <c r="I1057" s="60"/>
      <c r="J1057" s="61"/>
      <c r="K1057" s="61"/>
      <c r="L1057" s="60"/>
      <c r="M1057" s="74" t="str">
        <f t="shared" si="131"/>
        <v/>
      </c>
      <c r="N1057" s="74" t="str">
        <f t="shared" si="132"/>
        <v/>
      </c>
      <c r="O1057" s="73" t="str">
        <f t="shared" si="133"/>
        <v/>
      </c>
      <c r="P1057" s="65" t="str">
        <f t="shared" ca="1" si="134"/>
        <v/>
      </c>
      <c r="Q1057" s="2"/>
      <c r="R1057" s="2"/>
      <c r="S1057" s="1" t="str">
        <f t="shared" si="135"/>
        <v/>
      </c>
      <c r="T1057" s="1" t="str">
        <f>IF(OR($C1057="",$D1057&lt;&gt;"Gelir",$L1057=""),"",IFERROR(INDEX(MUSTERILER!$B$7:$B$156,MATCH($S1057,MUSTERILER!$T$7:$T$156,0)),""))</f>
        <v/>
      </c>
      <c r="U1057" s="1" t="str">
        <f>IF($T1057="","",$T1057&amp;"|"&amp;COUNTIFS($T$7:$T1057,$T1057))</f>
        <v/>
      </c>
      <c r="V1057" s="1">
        <f t="shared" si="136"/>
        <v>0</v>
      </c>
      <c r="W1057" s="1" t="str">
        <f t="shared" si="137"/>
        <v/>
      </c>
      <c r="X1057" s="1"/>
      <c r="Y1057" s="1"/>
      <c r="Z1057" s="1"/>
      <c r="AA1057" s="1"/>
      <c r="AB1057" s="1"/>
      <c r="AC1057" s="1"/>
      <c r="AD1057" s="1">
        <f>IF($C1057="",0,SUMPRODUCT((AY_SONU!$O$7:$O$42="Evet")*(AY_SONU!$B$7:$B$42=DATE(YEAR($C1057),MONTH($C1057),1))))</f>
        <v>0</v>
      </c>
      <c r="AE1057" s="1" t="str">
        <f>IF($E1057="","",$E1057&amp;"|"&amp;COUNTIFS($E$7:$E1057,$E1057))</f>
        <v/>
      </c>
    </row>
    <row r="1058" spans="1:31" ht="18" customHeight="1" x14ac:dyDescent="0.3">
      <c r="A1058" s="2"/>
      <c r="B1058" s="65" t="str">
        <f t="shared" si="130"/>
        <v/>
      </c>
      <c r="C1058" s="66"/>
      <c r="D1058" s="60"/>
      <c r="E1058" s="61"/>
      <c r="F1058" s="61"/>
      <c r="G1058" s="67"/>
      <c r="H1058" s="60"/>
      <c r="I1058" s="60"/>
      <c r="J1058" s="61"/>
      <c r="K1058" s="61"/>
      <c r="L1058" s="60"/>
      <c r="M1058" s="74" t="str">
        <f t="shared" si="131"/>
        <v/>
      </c>
      <c r="N1058" s="74" t="str">
        <f t="shared" si="132"/>
        <v/>
      </c>
      <c r="O1058" s="73" t="str">
        <f t="shared" si="133"/>
        <v/>
      </c>
      <c r="P1058" s="65" t="str">
        <f t="shared" ca="1" si="134"/>
        <v/>
      </c>
      <c r="Q1058" s="2"/>
      <c r="R1058" s="2"/>
      <c r="S1058" s="1" t="str">
        <f t="shared" si="135"/>
        <v/>
      </c>
      <c r="T1058" s="1" t="str">
        <f>IF(OR($C1058="",$D1058&lt;&gt;"Gelir",$L1058=""),"",IFERROR(INDEX(MUSTERILER!$B$7:$B$156,MATCH($S1058,MUSTERILER!$T$7:$T$156,0)),""))</f>
        <v/>
      </c>
      <c r="U1058" s="1" t="str">
        <f>IF($T1058="","",$T1058&amp;"|"&amp;COUNTIFS($T$7:$T1058,$T1058))</f>
        <v/>
      </c>
      <c r="V1058" s="1">
        <f t="shared" si="136"/>
        <v>0</v>
      </c>
      <c r="W1058" s="1" t="str">
        <f t="shared" si="137"/>
        <v/>
      </c>
      <c r="X1058" s="1"/>
      <c r="Y1058" s="1"/>
      <c r="Z1058" s="1"/>
      <c r="AA1058" s="1"/>
      <c r="AB1058" s="1"/>
      <c r="AC1058" s="1"/>
      <c r="AD1058" s="1">
        <f>IF($C1058="",0,SUMPRODUCT((AY_SONU!$O$7:$O$42="Evet")*(AY_SONU!$B$7:$B$42=DATE(YEAR($C1058),MONTH($C1058),1))))</f>
        <v>0</v>
      </c>
      <c r="AE1058" s="1" t="str">
        <f>IF($E1058="","",$E1058&amp;"|"&amp;COUNTIFS($E$7:$E1058,$E1058))</f>
        <v/>
      </c>
    </row>
    <row r="1059" spans="1:31" ht="18" customHeight="1" x14ac:dyDescent="0.3">
      <c r="A1059" s="2"/>
      <c r="B1059" s="65" t="str">
        <f t="shared" si="130"/>
        <v/>
      </c>
      <c r="C1059" s="66"/>
      <c r="D1059" s="60"/>
      <c r="E1059" s="61"/>
      <c r="F1059" s="61"/>
      <c r="G1059" s="67"/>
      <c r="H1059" s="60"/>
      <c r="I1059" s="60"/>
      <c r="J1059" s="61"/>
      <c r="K1059" s="61"/>
      <c r="L1059" s="60"/>
      <c r="M1059" s="74" t="str">
        <f t="shared" si="131"/>
        <v/>
      </c>
      <c r="N1059" s="74" t="str">
        <f t="shared" si="132"/>
        <v/>
      </c>
      <c r="O1059" s="73" t="str">
        <f t="shared" si="133"/>
        <v/>
      </c>
      <c r="P1059" s="65" t="str">
        <f t="shared" ca="1" si="134"/>
        <v/>
      </c>
      <c r="Q1059" s="2"/>
      <c r="R1059" s="2"/>
      <c r="S1059" s="1" t="str">
        <f t="shared" si="135"/>
        <v/>
      </c>
      <c r="T1059" s="1" t="str">
        <f>IF(OR($C1059="",$D1059&lt;&gt;"Gelir",$L1059=""),"",IFERROR(INDEX(MUSTERILER!$B$7:$B$156,MATCH($S1059,MUSTERILER!$T$7:$T$156,0)),""))</f>
        <v/>
      </c>
      <c r="U1059" s="1" t="str">
        <f>IF($T1059="","",$T1059&amp;"|"&amp;COUNTIFS($T$7:$T1059,$T1059))</f>
        <v/>
      </c>
      <c r="V1059" s="1">
        <f t="shared" si="136"/>
        <v>0</v>
      </c>
      <c r="W1059" s="1" t="str">
        <f t="shared" si="137"/>
        <v/>
      </c>
      <c r="X1059" s="1"/>
      <c r="Y1059" s="1"/>
      <c r="Z1059" s="1"/>
      <c r="AA1059" s="1"/>
      <c r="AB1059" s="1"/>
      <c r="AC1059" s="1"/>
      <c r="AD1059" s="1">
        <f>IF($C1059="",0,SUMPRODUCT((AY_SONU!$O$7:$O$42="Evet")*(AY_SONU!$B$7:$B$42=DATE(YEAR($C1059),MONTH($C1059),1))))</f>
        <v>0</v>
      </c>
      <c r="AE1059" s="1" t="str">
        <f>IF($E1059="","",$E1059&amp;"|"&amp;COUNTIFS($E$7:$E1059,$E1059))</f>
        <v/>
      </c>
    </row>
    <row r="1060" spans="1:31" ht="18" customHeight="1" x14ac:dyDescent="0.3">
      <c r="A1060" s="2"/>
      <c r="B1060" s="65" t="str">
        <f t="shared" si="130"/>
        <v/>
      </c>
      <c r="C1060" s="66"/>
      <c r="D1060" s="60"/>
      <c r="E1060" s="61"/>
      <c r="F1060" s="61"/>
      <c r="G1060" s="67"/>
      <c r="H1060" s="60"/>
      <c r="I1060" s="60"/>
      <c r="J1060" s="61"/>
      <c r="K1060" s="61"/>
      <c r="L1060" s="60"/>
      <c r="M1060" s="74" t="str">
        <f t="shared" si="131"/>
        <v/>
      </c>
      <c r="N1060" s="74" t="str">
        <f t="shared" si="132"/>
        <v/>
      </c>
      <c r="O1060" s="73" t="str">
        <f t="shared" si="133"/>
        <v/>
      </c>
      <c r="P1060" s="65" t="str">
        <f t="shared" ca="1" si="134"/>
        <v/>
      </c>
      <c r="Q1060" s="2"/>
      <c r="R1060" s="2"/>
      <c r="S1060" s="1" t="str">
        <f t="shared" si="135"/>
        <v/>
      </c>
      <c r="T1060" s="1" t="str">
        <f>IF(OR($C1060="",$D1060&lt;&gt;"Gelir",$L1060=""),"",IFERROR(INDEX(MUSTERILER!$B$7:$B$156,MATCH($S1060,MUSTERILER!$T$7:$T$156,0)),""))</f>
        <v/>
      </c>
      <c r="U1060" s="1" t="str">
        <f>IF($T1060="","",$T1060&amp;"|"&amp;COUNTIFS($T$7:$T1060,$T1060))</f>
        <v/>
      </c>
      <c r="V1060" s="1">
        <f t="shared" si="136"/>
        <v>0</v>
      </c>
      <c r="W1060" s="1" t="str">
        <f t="shared" si="137"/>
        <v/>
      </c>
      <c r="X1060" s="1"/>
      <c r="Y1060" s="1"/>
      <c r="Z1060" s="1"/>
      <c r="AA1060" s="1"/>
      <c r="AB1060" s="1"/>
      <c r="AC1060" s="1"/>
      <c r="AD1060" s="1">
        <f>IF($C1060="",0,SUMPRODUCT((AY_SONU!$O$7:$O$42="Evet")*(AY_SONU!$B$7:$B$42=DATE(YEAR($C1060),MONTH($C1060),1))))</f>
        <v>0</v>
      </c>
      <c r="AE1060" s="1" t="str">
        <f>IF($E1060="","",$E1060&amp;"|"&amp;COUNTIFS($E$7:$E1060,$E1060))</f>
        <v/>
      </c>
    </row>
    <row r="1061" spans="1:31" ht="18" customHeight="1" x14ac:dyDescent="0.3">
      <c r="A1061" s="2"/>
      <c r="B1061" s="65" t="str">
        <f t="shared" si="130"/>
        <v/>
      </c>
      <c r="C1061" s="66"/>
      <c r="D1061" s="60"/>
      <c r="E1061" s="61"/>
      <c r="F1061" s="61"/>
      <c r="G1061" s="67"/>
      <c r="H1061" s="60"/>
      <c r="I1061" s="60"/>
      <c r="J1061" s="61"/>
      <c r="K1061" s="61"/>
      <c r="L1061" s="60"/>
      <c r="M1061" s="74" t="str">
        <f t="shared" si="131"/>
        <v/>
      </c>
      <c r="N1061" s="74" t="str">
        <f t="shared" si="132"/>
        <v/>
      </c>
      <c r="O1061" s="73" t="str">
        <f t="shared" si="133"/>
        <v/>
      </c>
      <c r="P1061" s="65" t="str">
        <f t="shared" ca="1" si="134"/>
        <v/>
      </c>
      <c r="Q1061" s="2"/>
      <c r="R1061" s="2"/>
      <c r="S1061" s="1" t="str">
        <f t="shared" si="135"/>
        <v/>
      </c>
      <c r="T1061" s="1" t="str">
        <f>IF(OR($C1061="",$D1061&lt;&gt;"Gelir",$L1061=""),"",IFERROR(INDEX(MUSTERILER!$B$7:$B$156,MATCH($S1061,MUSTERILER!$T$7:$T$156,0)),""))</f>
        <v/>
      </c>
      <c r="U1061" s="1" t="str">
        <f>IF($T1061="","",$T1061&amp;"|"&amp;COUNTIFS($T$7:$T1061,$T1061))</f>
        <v/>
      </c>
      <c r="V1061" s="1">
        <f t="shared" si="136"/>
        <v>0</v>
      </c>
      <c r="W1061" s="1" t="str">
        <f t="shared" si="137"/>
        <v/>
      </c>
      <c r="X1061" s="1"/>
      <c r="Y1061" s="1"/>
      <c r="Z1061" s="1"/>
      <c r="AA1061" s="1"/>
      <c r="AB1061" s="1"/>
      <c r="AC1061" s="1"/>
      <c r="AD1061" s="1">
        <f>IF($C1061="",0,SUMPRODUCT((AY_SONU!$O$7:$O$42="Evet")*(AY_SONU!$B$7:$B$42=DATE(YEAR($C1061),MONTH($C1061),1))))</f>
        <v>0</v>
      </c>
      <c r="AE1061" s="1" t="str">
        <f>IF($E1061="","",$E1061&amp;"|"&amp;COUNTIFS($E$7:$E1061,$E1061))</f>
        <v/>
      </c>
    </row>
    <row r="1062" spans="1:31" ht="18" customHeight="1" x14ac:dyDescent="0.3">
      <c r="A1062" s="2"/>
      <c r="B1062" s="65" t="str">
        <f t="shared" si="130"/>
        <v/>
      </c>
      <c r="C1062" s="66"/>
      <c r="D1062" s="60"/>
      <c r="E1062" s="61"/>
      <c r="F1062" s="61"/>
      <c r="G1062" s="67"/>
      <c r="H1062" s="60"/>
      <c r="I1062" s="60"/>
      <c r="J1062" s="61"/>
      <c r="K1062" s="61"/>
      <c r="L1062" s="60"/>
      <c r="M1062" s="74" t="str">
        <f t="shared" si="131"/>
        <v/>
      </c>
      <c r="N1062" s="74" t="str">
        <f t="shared" si="132"/>
        <v/>
      </c>
      <c r="O1062" s="73" t="str">
        <f t="shared" si="133"/>
        <v/>
      </c>
      <c r="P1062" s="65" t="str">
        <f t="shared" ca="1" si="134"/>
        <v/>
      </c>
      <c r="Q1062" s="2"/>
      <c r="R1062" s="2"/>
      <c r="S1062" s="1" t="str">
        <f t="shared" si="135"/>
        <v/>
      </c>
      <c r="T1062" s="1" t="str">
        <f>IF(OR($C1062="",$D1062&lt;&gt;"Gelir",$L1062=""),"",IFERROR(INDEX(MUSTERILER!$B$7:$B$156,MATCH($S1062,MUSTERILER!$T$7:$T$156,0)),""))</f>
        <v/>
      </c>
      <c r="U1062" s="1" t="str">
        <f>IF($T1062="","",$T1062&amp;"|"&amp;COUNTIFS($T$7:$T1062,$T1062))</f>
        <v/>
      </c>
      <c r="V1062" s="1">
        <f t="shared" si="136"/>
        <v>0</v>
      </c>
      <c r="W1062" s="1" t="str">
        <f t="shared" si="137"/>
        <v/>
      </c>
      <c r="X1062" s="1"/>
      <c r="Y1062" s="1"/>
      <c r="Z1062" s="1"/>
      <c r="AA1062" s="1"/>
      <c r="AB1062" s="1"/>
      <c r="AC1062" s="1"/>
      <c r="AD1062" s="1">
        <f>IF($C1062="",0,SUMPRODUCT((AY_SONU!$O$7:$O$42="Evet")*(AY_SONU!$B$7:$B$42=DATE(YEAR($C1062),MONTH($C1062),1))))</f>
        <v>0</v>
      </c>
      <c r="AE1062" s="1" t="str">
        <f>IF($E1062="","",$E1062&amp;"|"&amp;COUNTIFS($E$7:$E1062,$E1062))</f>
        <v/>
      </c>
    </row>
    <row r="1063" spans="1:31" ht="18" customHeight="1" x14ac:dyDescent="0.3">
      <c r="A1063" s="2"/>
      <c r="B1063" s="65" t="str">
        <f t="shared" si="130"/>
        <v/>
      </c>
      <c r="C1063" s="66"/>
      <c r="D1063" s="60"/>
      <c r="E1063" s="61"/>
      <c r="F1063" s="61"/>
      <c r="G1063" s="67"/>
      <c r="H1063" s="60"/>
      <c r="I1063" s="60"/>
      <c r="J1063" s="61"/>
      <c r="K1063" s="61"/>
      <c r="L1063" s="60"/>
      <c r="M1063" s="74" t="str">
        <f t="shared" si="131"/>
        <v/>
      </c>
      <c r="N1063" s="74" t="str">
        <f t="shared" si="132"/>
        <v/>
      </c>
      <c r="O1063" s="73" t="str">
        <f t="shared" si="133"/>
        <v/>
      </c>
      <c r="P1063" s="65" t="str">
        <f t="shared" ca="1" si="134"/>
        <v/>
      </c>
      <c r="Q1063" s="2"/>
      <c r="R1063" s="2"/>
      <c r="S1063" s="1" t="str">
        <f t="shared" si="135"/>
        <v/>
      </c>
      <c r="T1063" s="1" t="str">
        <f>IF(OR($C1063="",$D1063&lt;&gt;"Gelir",$L1063=""),"",IFERROR(INDEX(MUSTERILER!$B$7:$B$156,MATCH($S1063,MUSTERILER!$T$7:$T$156,0)),""))</f>
        <v/>
      </c>
      <c r="U1063" s="1" t="str">
        <f>IF($T1063="","",$T1063&amp;"|"&amp;COUNTIFS($T$7:$T1063,$T1063))</f>
        <v/>
      </c>
      <c r="V1063" s="1">
        <f t="shared" si="136"/>
        <v>0</v>
      </c>
      <c r="W1063" s="1" t="str">
        <f t="shared" si="137"/>
        <v/>
      </c>
      <c r="X1063" s="1"/>
      <c r="Y1063" s="1"/>
      <c r="Z1063" s="1"/>
      <c r="AA1063" s="1"/>
      <c r="AB1063" s="1"/>
      <c r="AC1063" s="1"/>
      <c r="AD1063" s="1">
        <f>IF($C1063="",0,SUMPRODUCT((AY_SONU!$O$7:$O$42="Evet")*(AY_SONU!$B$7:$B$42=DATE(YEAR($C1063),MONTH($C1063),1))))</f>
        <v>0</v>
      </c>
      <c r="AE1063" s="1" t="str">
        <f>IF($E1063="","",$E1063&amp;"|"&amp;COUNTIFS($E$7:$E1063,$E1063))</f>
        <v/>
      </c>
    </row>
    <row r="1064" spans="1:31" ht="18" customHeight="1" x14ac:dyDescent="0.3">
      <c r="A1064" s="2"/>
      <c r="B1064" s="65" t="str">
        <f t="shared" si="130"/>
        <v/>
      </c>
      <c r="C1064" s="66"/>
      <c r="D1064" s="60"/>
      <c r="E1064" s="61"/>
      <c r="F1064" s="61"/>
      <c r="G1064" s="67"/>
      <c r="H1064" s="60"/>
      <c r="I1064" s="60"/>
      <c r="J1064" s="61"/>
      <c r="K1064" s="61"/>
      <c r="L1064" s="60"/>
      <c r="M1064" s="74" t="str">
        <f t="shared" si="131"/>
        <v/>
      </c>
      <c r="N1064" s="74" t="str">
        <f t="shared" si="132"/>
        <v/>
      </c>
      <c r="O1064" s="73" t="str">
        <f t="shared" si="133"/>
        <v/>
      </c>
      <c r="P1064" s="65" t="str">
        <f t="shared" ca="1" si="134"/>
        <v/>
      </c>
      <c r="Q1064" s="2"/>
      <c r="R1064" s="2"/>
      <c r="S1064" s="1" t="str">
        <f t="shared" si="135"/>
        <v/>
      </c>
      <c r="T1064" s="1" t="str">
        <f>IF(OR($C1064="",$D1064&lt;&gt;"Gelir",$L1064=""),"",IFERROR(INDEX(MUSTERILER!$B$7:$B$156,MATCH($S1064,MUSTERILER!$T$7:$T$156,0)),""))</f>
        <v/>
      </c>
      <c r="U1064" s="1" t="str">
        <f>IF($T1064="","",$T1064&amp;"|"&amp;COUNTIFS($T$7:$T1064,$T1064))</f>
        <v/>
      </c>
      <c r="V1064" s="1">
        <f t="shared" si="136"/>
        <v>0</v>
      </c>
      <c r="W1064" s="1" t="str">
        <f t="shared" si="137"/>
        <v/>
      </c>
      <c r="X1064" s="1"/>
      <c r="Y1064" s="1"/>
      <c r="Z1064" s="1"/>
      <c r="AA1064" s="1"/>
      <c r="AB1064" s="1"/>
      <c r="AC1064" s="1"/>
      <c r="AD1064" s="1">
        <f>IF($C1064="",0,SUMPRODUCT((AY_SONU!$O$7:$O$42="Evet")*(AY_SONU!$B$7:$B$42=DATE(YEAR($C1064),MONTH($C1064),1))))</f>
        <v>0</v>
      </c>
      <c r="AE1064" s="1" t="str">
        <f>IF($E1064="","",$E1064&amp;"|"&amp;COUNTIFS($E$7:$E1064,$E1064))</f>
        <v/>
      </c>
    </row>
    <row r="1065" spans="1:31" ht="18" customHeight="1" x14ac:dyDescent="0.3">
      <c r="A1065" s="2"/>
      <c r="B1065" s="65" t="str">
        <f t="shared" si="130"/>
        <v/>
      </c>
      <c r="C1065" s="66"/>
      <c r="D1065" s="60"/>
      <c r="E1065" s="61"/>
      <c r="F1065" s="61"/>
      <c r="G1065" s="67"/>
      <c r="H1065" s="60"/>
      <c r="I1065" s="60"/>
      <c r="J1065" s="61"/>
      <c r="K1065" s="61"/>
      <c r="L1065" s="60"/>
      <c r="M1065" s="74" t="str">
        <f t="shared" si="131"/>
        <v/>
      </c>
      <c r="N1065" s="74" t="str">
        <f t="shared" si="132"/>
        <v/>
      </c>
      <c r="O1065" s="73" t="str">
        <f t="shared" si="133"/>
        <v/>
      </c>
      <c r="P1065" s="65" t="str">
        <f t="shared" ca="1" si="134"/>
        <v/>
      </c>
      <c r="Q1065" s="2"/>
      <c r="R1065" s="2"/>
      <c r="S1065" s="1" t="str">
        <f t="shared" si="135"/>
        <v/>
      </c>
      <c r="T1065" s="1" t="str">
        <f>IF(OR($C1065="",$D1065&lt;&gt;"Gelir",$L1065=""),"",IFERROR(INDEX(MUSTERILER!$B$7:$B$156,MATCH($S1065,MUSTERILER!$T$7:$T$156,0)),""))</f>
        <v/>
      </c>
      <c r="U1065" s="1" t="str">
        <f>IF($T1065="","",$T1065&amp;"|"&amp;COUNTIFS($T$7:$T1065,$T1065))</f>
        <v/>
      </c>
      <c r="V1065" s="1">
        <f t="shared" si="136"/>
        <v>0</v>
      </c>
      <c r="W1065" s="1" t="str">
        <f t="shared" si="137"/>
        <v/>
      </c>
      <c r="X1065" s="1"/>
      <c r="Y1065" s="1"/>
      <c r="Z1065" s="1"/>
      <c r="AA1065" s="1"/>
      <c r="AB1065" s="1"/>
      <c r="AC1065" s="1"/>
      <c r="AD1065" s="1">
        <f>IF($C1065="",0,SUMPRODUCT((AY_SONU!$O$7:$O$42="Evet")*(AY_SONU!$B$7:$B$42=DATE(YEAR($C1065),MONTH($C1065),1))))</f>
        <v>0</v>
      </c>
      <c r="AE1065" s="1" t="str">
        <f>IF($E1065="","",$E1065&amp;"|"&amp;COUNTIFS($E$7:$E1065,$E1065))</f>
        <v/>
      </c>
    </row>
    <row r="1066" spans="1:31" ht="18" customHeight="1" x14ac:dyDescent="0.3">
      <c r="A1066" s="2"/>
      <c r="B1066" s="65" t="str">
        <f t="shared" si="130"/>
        <v/>
      </c>
      <c r="C1066" s="66"/>
      <c r="D1066" s="60"/>
      <c r="E1066" s="61"/>
      <c r="F1066" s="61"/>
      <c r="G1066" s="67"/>
      <c r="H1066" s="60"/>
      <c r="I1066" s="60"/>
      <c r="J1066" s="61"/>
      <c r="K1066" s="61"/>
      <c r="L1066" s="60"/>
      <c r="M1066" s="74" t="str">
        <f t="shared" si="131"/>
        <v/>
      </c>
      <c r="N1066" s="74" t="str">
        <f t="shared" si="132"/>
        <v/>
      </c>
      <c r="O1066" s="73" t="str">
        <f t="shared" si="133"/>
        <v/>
      </c>
      <c r="P1066" s="65" t="str">
        <f t="shared" ca="1" si="134"/>
        <v/>
      </c>
      <c r="Q1066" s="2"/>
      <c r="R1066" s="2"/>
      <c r="S1066" s="1" t="str">
        <f t="shared" si="135"/>
        <v/>
      </c>
      <c r="T1066" s="1" t="str">
        <f>IF(OR($C1066="",$D1066&lt;&gt;"Gelir",$L1066=""),"",IFERROR(INDEX(MUSTERILER!$B$7:$B$156,MATCH($S1066,MUSTERILER!$T$7:$T$156,0)),""))</f>
        <v/>
      </c>
      <c r="U1066" s="1" t="str">
        <f>IF($T1066="","",$T1066&amp;"|"&amp;COUNTIFS($T$7:$T1066,$T1066))</f>
        <v/>
      </c>
      <c r="V1066" s="1">
        <f t="shared" si="136"/>
        <v>0</v>
      </c>
      <c r="W1066" s="1" t="str">
        <f t="shared" si="137"/>
        <v/>
      </c>
      <c r="X1066" s="1"/>
      <c r="Y1066" s="1"/>
      <c r="Z1066" s="1"/>
      <c r="AA1066" s="1"/>
      <c r="AB1066" s="1"/>
      <c r="AC1066" s="1"/>
      <c r="AD1066" s="1">
        <f>IF($C1066="",0,SUMPRODUCT((AY_SONU!$O$7:$O$42="Evet")*(AY_SONU!$B$7:$B$42=DATE(YEAR($C1066),MONTH($C1066),1))))</f>
        <v>0</v>
      </c>
      <c r="AE1066" s="1" t="str">
        <f>IF($E1066="","",$E1066&amp;"|"&amp;COUNTIFS($E$7:$E1066,$E1066))</f>
        <v/>
      </c>
    </row>
    <row r="1067" spans="1:31" ht="18" customHeight="1" x14ac:dyDescent="0.3">
      <c r="A1067" s="2"/>
      <c r="B1067" s="65" t="str">
        <f t="shared" si="130"/>
        <v/>
      </c>
      <c r="C1067" s="66"/>
      <c r="D1067" s="60"/>
      <c r="E1067" s="61"/>
      <c r="F1067" s="61"/>
      <c r="G1067" s="67"/>
      <c r="H1067" s="60"/>
      <c r="I1067" s="60"/>
      <c r="J1067" s="61"/>
      <c r="K1067" s="61"/>
      <c r="L1067" s="60"/>
      <c r="M1067" s="74" t="str">
        <f t="shared" si="131"/>
        <v/>
      </c>
      <c r="N1067" s="74" t="str">
        <f t="shared" si="132"/>
        <v/>
      </c>
      <c r="O1067" s="73" t="str">
        <f t="shared" si="133"/>
        <v/>
      </c>
      <c r="P1067" s="65" t="str">
        <f t="shared" ca="1" si="134"/>
        <v/>
      </c>
      <c r="Q1067" s="2"/>
      <c r="R1067" s="2"/>
      <c r="S1067" s="1" t="str">
        <f t="shared" si="135"/>
        <v/>
      </c>
      <c r="T1067" s="1" t="str">
        <f>IF(OR($C1067="",$D1067&lt;&gt;"Gelir",$L1067=""),"",IFERROR(INDEX(MUSTERILER!$B$7:$B$156,MATCH($S1067,MUSTERILER!$T$7:$T$156,0)),""))</f>
        <v/>
      </c>
      <c r="U1067" s="1" t="str">
        <f>IF($T1067="","",$T1067&amp;"|"&amp;COUNTIFS($T$7:$T1067,$T1067))</f>
        <v/>
      </c>
      <c r="V1067" s="1">
        <f t="shared" si="136"/>
        <v>0</v>
      </c>
      <c r="W1067" s="1" t="str">
        <f t="shared" si="137"/>
        <v/>
      </c>
      <c r="X1067" s="1"/>
      <c r="Y1067" s="1"/>
      <c r="Z1067" s="1"/>
      <c r="AA1067" s="1"/>
      <c r="AB1067" s="1"/>
      <c r="AC1067" s="1"/>
      <c r="AD1067" s="1">
        <f>IF($C1067="",0,SUMPRODUCT((AY_SONU!$O$7:$O$42="Evet")*(AY_SONU!$B$7:$B$42=DATE(YEAR($C1067),MONTH($C1067),1))))</f>
        <v>0</v>
      </c>
      <c r="AE1067" s="1" t="str">
        <f>IF($E1067="","",$E1067&amp;"|"&amp;COUNTIFS($E$7:$E1067,$E1067))</f>
        <v/>
      </c>
    </row>
    <row r="1068" spans="1:31" ht="18" customHeight="1" x14ac:dyDescent="0.3">
      <c r="A1068" s="2"/>
      <c r="B1068" s="65" t="str">
        <f t="shared" si="130"/>
        <v/>
      </c>
      <c r="C1068" s="66"/>
      <c r="D1068" s="60"/>
      <c r="E1068" s="61"/>
      <c r="F1068" s="61"/>
      <c r="G1068" s="67"/>
      <c r="H1068" s="60"/>
      <c r="I1068" s="60"/>
      <c r="J1068" s="61"/>
      <c r="K1068" s="61"/>
      <c r="L1068" s="60"/>
      <c r="M1068" s="74" t="str">
        <f t="shared" si="131"/>
        <v/>
      </c>
      <c r="N1068" s="74" t="str">
        <f t="shared" si="132"/>
        <v/>
      </c>
      <c r="O1068" s="73" t="str">
        <f t="shared" si="133"/>
        <v/>
      </c>
      <c r="P1068" s="65" t="str">
        <f t="shared" ca="1" si="134"/>
        <v/>
      </c>
      <c r="Q1068" s="2"/>
      <c r="R1068" s="2"/>
      <c r="S1068" s="1" t="str">
        <f t="shared" si="135"/>
        <v/>
      </c>
      <c r="T1068" s="1" t="str">
        <f>IF(OR($C1068="",$D1068&lt;&gt;"Gelir",$L1068=""),"",IFERROR(INDEX(MUSTERILER!$B$7:$B$156,MATCH($S1068,MUSTERILER!$T$7:$T$156,0)),""))</f>
        <v/>
      </c>
      <c r="U1068" s="1" t="str">
        <f>IF($T1068="","",$T1068&amp;"|"&amp;COUNTIFS($T$7:$T1068,$T1068))</f>
        <v/>
      </c>
      <c r="V1068" s="1">
        <f t="shared" si="136"/>
        <v>0</v>
      </c>
      <c r="W1068" s="1" t="str">
        <f t="shared" si="137"/>
        <v/>
      </c>
      <c r="X1068" s="1"/>
      <c r="Y1068" s="1"/>
      <c r="Z1068" s="1"/>
      <c r="AA1068" s="1"/>
      <c r="AB1068" s="1"/>
      <c r="AC1068" s="1"/>
      <c r="AD1068" s="1">
        <f>IF($C1068="",0,SUMPRODUCT((AY_SONU!$O$7:$O$42="Evet")*(AY_SONU!$B$7:$B$42=DATE(YEAR($C1068),MONTH($C1068),1))))</f>
        <v>0</v>
      </c>
      <c r="AE1068" s="1" t="str">
        <f>IF($E1068="","",$E1068&amp;"|"&amp;COUNTIFS($E$7:$E1068,$E1068))</f>
        <v/>
      </c>
    </row>
    <row r="1069" spans="1:31" ht="18" customHeight="1" x14ac:dyDescent="0.3">
      <c r="A1069" s="2"/>
      <c r="B1069" s="65" t="str">
        <f t="shared" si="130"/>
        <v/>
      </c>
      <c r="C1069" s="66"/>
      <c r="D1069" s="60"/>
      <c r="E1069" s="61"/>
      <c r="F1069" s="61"/>
      <c r="G1069" s="67"/>
      <c r="H1069" s="60"/>
      <c r="I1069" s="60"/>
      <c r="J1069" s="61"/>
      <c r="K1069" s="61"/>
      <c r="L1069" s="60"/>
      <c r="M1069" s="74" t="str">
        <f t="shared" si="131"/>
        <v/>
      </c>
      <c r="N1069" s="74" t="str">
        <f t="shared" si="132"/>
        <v/>
      </c>
      <c r="O1069" s="73" t="str">
        <f t="shared" si="133"/>
        <v/>
      </c>
      <c r="P1069" s="65" t="str">
        <f t="shared" ca="1" si="134"/>
        <v/>
      </c>
      <c r="Q1069" s="2"/>
      <c r="R1069" s="2"/>
      <c r="S1069" s="1" t="str">
        <f t="shared" si="135"/>
        <v/>
      </c>
      <c r="T1069" s="1" t="str">
        <f>IF(OR($C1069="",$D1069&lt;&gt;"Gelir",$L1069=""),"",IFERROR(INDEX(MUSTERILER!$B$7:$B$156,MATCH($S1069,MUSTERILER!$T$7:$T$156,0)),""))</f>
        <v/>
      </c>
      <c r="U1069" s="1" t="str">
        <f>IF($T1069="","",$T1069&amp;"|"&amp;COUNTIFS($T$7:$T1069,$T1069))</f>
        <v/>
      </c>
      <c r="V1069" s="1">
        <f t="shared" si="136"/>
        <v>0</v>
      </c>
      <c r="W1069" s="1" t="str">
        <f t="shared" si="137"/>
        <v/>
      </c>
      <c r="X1069" s="1"/>
      <c r="Y1069" s="1"/>
      <c r="Z1069" s="1"/>
      <c r="AA1069" s="1"/>
      <c r="AB1069" s="1"/>
      <c r="AC1069" s="1"/>
      <c r="AD1069" s="1">
        <f>IF($C1069="",0,SUMPRODUCT((AY_SONU!$O$7:$O$42="Evet")*(AY_SONU!$B$7:$B$42=DATE(YEAR($C1069),MONTH($C1069),1))))</f>
        <v>0</v>
      </c>
      <c r="AE1069" s="1" t="str">
        <f>IF($E1069="","",$E1069&amp;"|"&amp;COUNTIFS($E$7:$E1069,$E1069))</f>
        <v/>
      </c>
    </row>
    <row r="1070" spans="1:31" ht="18" customHeight="1" x14ac:dyDescent="0.3">
      <c r="A1070" s="2"/>
      <c r="B1070" s="65" t="str">
        <f t="shared" si="130"/>
        <v/>
      </c>
      <c r="C1070" s="66"/>
      <c r="D1070" s="60"/>
      <c r="E1070" s="61"/>
      <c r="F1070" s="61"/>
      <c r="G1070" s="67"/>
      <c r="H1070" s="60"/>
      <c r="I1070" s="60"/>
      <c r="J1070" s="61"/>
      <c r="K1070" s="61"/>
      <c r="L1070" s="60"/>
      <c r="M1070" s="74" t="str">
        <f t="shared" si="131"/>
        <v/>
      </c>
      <c r="N1070" s="74" t="str">
        <f t="shared" si="132"/>
        <v/>
      </c>
      <c r="O1070" s="73" t="str">
        <f t="shared" si="133"/>
        <v/>
      </c>
      <c r="P1070" s="65" t="str">
        <f t="shared" ca="1" si="134"/>
        <v/>
      </c>
      <c r="Q1070" s="2"/>
      <c r="R1070" s="2"/>
      <c r="S1070" s="1" t="str">
        <f t="shared" si="135"/>
        <v/>
      </c>
      <c r="T1070" s="1" t="str">
        <f>IF(OR($C1070="",$D1070&lt;&gt;"Gelir",$L1070=""),"",IFERROR(INDEX(MUSTERILER!$B$7:$B$156,MATCH($S1070,MUSTERILER!$T$7:$T$156,0)),""))</f>
        <v/>
      </c>
      <c r="U1070" s="1" t="str">
        <f>IF($T1070="","",$T1070&amp;"|"&amp;COUNTIFS($T$7:$T1070,$T1070))</f>
        <v/>
      </c>
      <c r="V1070" s="1">
        <f t="shared" si="136"/>
        <v>0</v>
      </c>
      <c r="W1070" s="1" t="str">
        <f t="shared" si="137"/>
        <v/>
      </c>
      <c r="X1070" s="1"/>
      <c r="Y1070" s="1"/>
      <c r="Z1070" s="1"/>
      <c r="AA1070" s="1"/>
      <c r="AB1070" s="1"/>
      <c r="AC1070" s="1"/>
      <c r="AD1070" s="1">
        <f>IF($C1070="",0,SUMPRODUCT((AY_SONU!$O$7:$O$42="Evet")*(AY_SONU!$B$7:$B$42=DATE(YEAR($C1070),MONTH($C1070),1))))</f>
        <v>0</v>
      </c>
      <c r="AE1070" s="1" t="str">
        <f>IF($E1070="","",$E1070&amp;"|"&amp;COUNTIFS($E$7:$E1070,$E1070))</f>
        <v/>
      </c>
    </row>
    <row r="1071" spans="1:31" ht="18" customHeight="1" x14ac:dyDescent="0.3">
      <c r="A1071" s="2"/>
      <c r="B1071" s="65" t="str">
        <f t="shared" si="130"/>
        <v/>
      </c>
      <c r="C1071" s="66"/>
      <c r="D1071" s="60"/>
      <c r="E1071" s="61"/>
      <c r="F1071" s="61"/>
      <c r="G1071" s="67"/>
      <c r="H1071" s="60"/>
      <c r="I1071" s="60"/>
      <c r="J1071" s="61"/>
      <c r="K1071" s="61"/>
      <c r="L1071" s="60"/>
      <c r="M1071" s="74" t="str">
        <f t="shared" si="131"/>
        <v/>
      </c>
      <c r="N1071" s="74" t="str">
        <f t="shared" si="132"/>
        <v/>
      </c>
      <c r="O1071" s="73" t="str">
        <f t="shared" si="133"/>
        <v/>
      </c>
      <c r="P1071" s="65" t="str">
        <f t="shared" ca="1" si="134"/>
        <v/>
      </c>
      <c r="Q1071" s="2"/>
      <c r="R1071" s="2"/>
      <c r="S1071" s="1" t="str">
        <f t="shared" si="135"/>
        <v/>
      </c>
      <c r="T1071" s="1" t="str">
        <f>IF(OR($C1071="",$D1071&lt;&gt;"Gelir",$L1071=""),"",IFERROR(INDEX(MUSTERILER!$B$7:$B$156,MATCH($S1071,MUSTERILER!$T$7:$T$156,0)),""))</f>
        <v/>
      </c>
      <c r="U1071" s="1" t="str">
        <f>IF($T1071="","",$T1071&amp;"|"&amp;COUNTIFS($T$7:$T1071,$T1071))</f>
        <v/>
      </c>
      <c r="V1071" s="1">
        <f t="shared" si="136"/>
        <v>0</v>
      </c>
      <c r="W1071" s="1" t="str">
        <f t="shared" si="137"/>
        <v/>
      </c>
      <c r="X1071" s="1"/>
      <c r="Y1071" s="1"/>
      <c r="Z1071" s="1"/>
      <c r="AA1071" s="1"/>
      <c r="AB1071" s="1"/>
      <c r="AC1071" s="1"/>
      <c r="AD1071" s="1">
        <f>IF($C1071="",0,SUMPRODUCT((AY_SONU!$O$7:$O$42="Evet")*(AY_SONU!$B$7:$B$42=DATE(YEAR($C1071),MONTH($C1071),1))))</f>
        <v>0</v>
      </c>
      <c r="AE1071" s="1" t="str">
        <f>IF($E1071="","",$E1071&amp;"|"&amp;COUNTIFS($E$7:$E1071,$E1071))</f>
        <v/>
      </c>
    </row>
    <row r="1072" spans="1:31" ht="18" customHeight="1" x14ac:dyDescent="0.3">
      <c r="A1072" s="2"/>
      <c r="B1072" s="65" t="str">
        <f t="shared" si="130"/>
        <v/>
      </c>
      <c r="C1072" s="66"/>
      <c r="D1072" s="60"/>
      <c r="E1072" s="61"/>
      <c r="F1072" s="61"/>
      <c r="G1072" s="67"/>
      <c r="H1072" s="60"/>
      <c r="I1072" s="60"/>
      <c r="J1072" s="61"/>
      <c r="K1072" s="61"/>
      <c r="L1072" s="60"/>
      <c r="M1072" s="74" t="str">
        <f t="shared" si="131"/>
        <v/>
      </c>
      <c r="N1072" s="74" t="str">
        <f t="shared" si="132"/>
        <v/>
      </c>
      <c r="O1072" s="73" t="str">
        <f t="shared" si="133"/>
        <v/>
      </c>
      <c r="P1072" s="65" t="str">
        <f t="shared" ca="1" si="134"/>
        <v/>
      </c>
      <c r="Q1072" s="2"/>
      <c r="R1072" s="2"/>
      <c r="S1072" s="1" t="str">
        <f t="shared" si="135"/>
        <v/>
      </c>
      <c r="T1072" s="1" t="str">
        <f>IF(OR($C1072="",$D1072&lt;&gt;"Gelir",$L1072=""),"",IFERROR(INDEX(MUSTERILER!$B$7:$B$156,MATCH($S1072,MUSTERILER!$T$7:$T$156,0)),""))</f>
        <v/>
      </c>
      <c r="U1072" s="1" t="str">
        <f>IF($T1072="","",$T1072&amp;"|"&amp;COUNTIFS($T$7:$T1072,$T1072))</f>
        <v/>
      </c>
      <c r="V1072" s="1">
        <f t="shared" si="136"/>
        <v>0</v>
      </c>
      <c r="W1072" s="1" t="str">
        <f t="shared" si="137"/>
        <v/>
      </c>
      <c r="X1072" s="1"/>
      <c r="Y1072" s="1"/>
      <c r="Z1072" s="1"/>
      <c r="AA1072" s="1"/>
      <c r="AB1072" s="1"/>
      <c r="AC1072" s="1"/>
      <c r="AD1072" s="1">
        <f>IF($C1072="",0,SUMPRODUCT((AY_SONU!$O$7:$O$42="Evet")*(AY_SONU!$B$7:$B$42=DATE(YEAR($C1072),MONTH($C1072),1))))</f>
        <v>0</v>
      </c>
      <c r="AE1072" s="1" t="str">
        <f>IF($E1072="","",$E1072&amp;"|"&amp;COUNTIFS($E$7:$E1072,$E1072))</f>
        <v/>
      </c>
    </row>
    <row r="1073" spans="1:31" ht="18" customHeight="1" x14ac:dyDescent="0.3">
      <c r="A1073" s="2"/>
      <c r="B1073" s="65" t="str">
        <f t="shared" si="130"/>
        <v/>
      </c>
      <c r="C1073" s="66"/>
      <c r="D1073" s="60"/>
      <c r="E1073" s="61"/>
      <c r="F1073" s="61"/>
      <c r="G1073" s="67"/>
      <c r="H1073" s="60"/>
      <c r="I1073" s="60"/>
      <c r="J1073" s="61"/>
      <c r="K1073" s="61"/>
      <c r="L1073" s="60"/>
      <c r="M1073" s="74" t="str">
        <f t="shared" si="131"/>
        <v/>
      </c>
      <c r="N1073" s="74" t="str">
        <f t="shared" si="132"/>
        <v/>
      </c>
      <c r="O1073" s="73" t="str">
        <f t="shared" si="133"/>
        <v/>
      </c>
      <c r="P1073" s="65" t="str">
        <f t="shared" ca="1" si="134"/>
        <v/>
      </c>
      <c r="Q1073" s="2"/>
      <c r="R1073" s="2"/>
      <c r="S1073" s="1" t="str">
        <f t="shared" si="135"/>
        <v/>
      </c>
      <c r="T1073" s="1" t="str">
        <f>IF(OR($C1073="",$D1073&lt;&gt;"Gelir",$L1073=""),"",IFERROR(INDEX(MUSTERILER!$B$7:$B$156,MATCH($S1073,MUSTERILER!$T$7:$T$156,0)),""))</f>
        <v/>
      </c>
      <c r="U1073" s="1" t="str">
        <f>IF($T1073="","",$T1073&amp;"|"&amp;COUNTIFS($T$7:$T1073,$T1073))</f>
        <v/>
      </c>
      <c r="V1073" s="1">
        <f t="shared" si="136"/>
        <v>0</v>
      </c>
      <c r="W1073" s="1" t="str">
        <f t="shared" si="137"/>
        <v/>
      </c>
      <c r="X1073" s="1"/>
      <c r="Y1073" s="1"/>
      <c r="Z1073" s="1"/>
      <c r="AA1073" s="1"/>
      <c r="AB1073" s="1"/>
      <c r="AC1073" s="1"/>
      <c r="AD1073" s="1">
        <f>IF($C1073="",0,SUMPRODUCT((AY_SONU!$O$7:$O$42="Evet")*(AY_SONU!$B$7:$B$42=DATE(YEAR($C1073),MONTH($C1073),1))))</f>
        <v>0</v>
      </c>
      <c r="AE1073" s="1" t="str">
        <f>IF($E1073="","",$E1073&amp;"|"&amp;COUNTIFS($E$7:$E1073,$E1073))</f>
        <v/>
      </c>
    </row>
    <row r="1074" spans="1:31" ht="18" customHeight="1" x14ac:dyDescent="0.3">
      <c r="A1074" s="2"/>
      <c r="B1074" s="65" t="str">
        <f t="shared" si="130"/>
        <v/>
      </c>
      <c r="C1074" s="66"/>
      <c r="D1074" s="60"/>
      <c r="E1074" s="61"/>
      <c r="F1074" s="61"/>
      <c r="G1074" s="67"/>
      <c r="H1074" s="60"/>
      <c r="I1074" s="60"/>
      <c r="J1074" s="61"/>
      <c r="K1074" s="61"/>
      <c r="L1074" s="60"/>
      <c r="M1074" s="74" t="str">
        <f t="shared" si="131"/>
        <v/>
      </c>
      <c r="N1074" s="74" t="str">
        <f t="shared" si="132"/>
        <v/>
      </c>
      <c r="O1074" s="73" t="str">
        <f t="shared" si="133"/>
        <v/>
      </c>
      <c r="P1074" s="65" t="str">
        <f t="shared" ca="1" si="134"/>
        <v/>
      </c>
      <c r="Q1074" s="2"/>
      <c r="R1074" s="2"/>
      <c r="S1074" s="1" t="str">
        <f t="shared" si="135"/>
        <v/>
      </c>
      <c r="T1074" s="1" t="str">
        <f>IF(OR($C1074="",$D1074&lt;&gt;"Gelir",$L1074=""),"",IFERROR(INDEX(MUSTERILER!$B$7:$B$156,MATCH($S1074,MUSTERILER!$T$7:$T$156,0)),""))</f>
        <v/>
      </c>
      <c r="U1074" s="1" t="str">
        <f>IF($T1074="","",$T1074&amp;"|"&amp;COUNTIFS($T$7:$T1074,$T1074))</f>
        <v/>
      </c>
      <c r="V1074" s="1">
        <f t="shared" si="136"/>
        <v>0</v>
      </c>
      <c r="W1074" s="1" t="str">
        <f t="shared" si="137"/>
        <v/>
      </c>
      <c r="X1074" s="1"/>
      <c r="Y1074" s="1"/>
      <c r="Z1074" s="1"/>
      <c r="AA1074" s="1"/>
      <c r="AB1074" s="1"/>
      <c r="AC1074" s="1"/>
      <c r="AD1074" s="1">
        <f>IF($C1074="",0,SUMPRODUCT((AY_SONU!$O$7:$O$42="Evet")*(AY_SONU!$B$7:$B$42=DATE(YEAR($C1074),MONTH($C1074),1))))</f>
        <v>0</v>
      </c>
      <c r="AE1074" s="1" t="str">
        <f>IF($E1074="","",$E1074&amp;"|"&amp;COUNTIFS($E$7:$E1074,$E1074))</f>
        <v/>
      </c>
    </row>
    <row r="1075" spans="1:31" ht="18" customHeight="1" x14ac:dyDescent="0.3">
      <c r="A1075" s="2"/>
      <c r="B1075" s="65" t="str">
        <f t="shared" si="130"/>
        <v/>
      </c>
      <c r="C1075" s="66"/>
      <c r="D1075" s="60"/>
      <c r="E1075" s="61"/>
      <c r="F1075" s="61"/>
      <c r="G1075" s="67"/>
      <c r="H1075" s="60"/>
      <c r="I1075" s="60"/>
      <c r="J1075" s="61"/>
      <c r="K1075" s="61"/>
      <c r="L1075" s="60"/>
      <c r="M1075" s="74" t="str">
        <f t="shared" si="131"/>
        <v/>
      </c>
      <c r="N1075" s="74" t="str">
        <f t="shared" si="132"/>
        <v/>
      </c>
      <c r="O1075" s="73" t="str">
        <f t="shared" si="133"/>
        <v/>
      </c>
      <c r="P1075" s="65" t="str">
        <f t="shared" ca="1" si="134"/>
        <v/>
      </c>
      <c r="Q1075" s="2"/>
      <c r="R1075" s="2"/>
      <c r="S1075" s="1" t="str">
        <f t="shared" si="135"/>
        <v/>
      </c>
      <c r="T1075" s="1" t="str">
        <f>IF(OR($C1075="",$D1075&lt;&gt;"Gelir",$L1075=""),"",IFERROR(INDEX(MUSTERILER!$B$7:$B$156,MATCH($S1075,MUSTERILER!$T$7:$T$156,0)),""))</f>
        <v/>
      </c>
      <c r="U1075" s="1" t="str">
        <f>IF($T1075="","",$T1075&amp;"|"&amp;COUNTIFS($T$7:$T1075,$T1075))</f>
        <v/>
      </c>
      <c r="V1075" s="1">
        <f t="shared" si="136"/>
        <v>0</v>
      </c>
      <c r="W1075" s="1" t="str">
        <f t="shared" si="137"/>
        <v/>
      </c>
      <c r="X1075" s="1"/>
      <c r="Y1075" s="1"/>
      <c r="Z1075" s="1"/>
      <c r="AA1075" s="1"/>
      <c r="AB1075" s="1"/>
      <c r="AC1075" s="1"/>
      <c r="AD1075" s="1">
        <f>IF($C1075="",0,SUMPRODUCT((AY_SONU!$O$7:$O$42="Evet")*(AY_SONU!$B$7:$B$42=DATE(YEAR($C1075),MONTH($C1075),1))))</f>
        <v>0</v>
      </c>
      <c r="AE1075" s="1" t="str">
        <f>IF($E1075="","",$E1075&amp;"|"&amp;COUNTIFS($E$7:$E1075,$E1075))</f>
        <v/>
      </c>
    </row>
    <row r="1076" spans="1:31" ht="18" customHeight="1" x14ac:dyDescent="0.3">
      <c r="A1076" s="2"/>
      <c r="B1076" s="65" t="str">
        <f t="shared" si="130"/>
        <v/>
      </c>
      <c r="C1076" s="66"/>
      <c r="D1076" s="60"/>
      <c r="E1076" s="61"/>
      <c r="F1076" s="61"/>
      <c r="G1076" s="67"/>
      <c r="H1076" s="60"/>
      <c r="I1076" s="60"/>
      <c r="J1076" s="61"/>
      <c r="K1076" s="61"/>
      <c r="L1076" s="60"/>
      <c r="M1076" s="74" t="str">
        <f t="shared" si="131"/>
        <v/>
      </c>
      <c r="N1076" s="74" t="str">
        <f t="shared" si="132"/>
        <v/>
      </c>
      <c r="O1076" s="73" t="str">
        <f t="shared" si="133"/>
        <v/>
      </c>
      <c r="P1076" s="65" t="str">
        <f t="shared" ca="1" si="134"/>
        <v/>
      </c>
      <c r="Q1076" s="2"/>
      <c r="R1076" s="2"/>
      <c r="S1076" s="1" t="str">
        <f t="shared" si="135"/>
        <v/>
      </c>
      <c r="T1076" s="1" t="str">
        <f>IF(OR($C1076="",$D1076&lt;&gt;"Gelir",$L1076=""),"",IFERROR(INDEX(MUSTERILER!$B$7:$B$156,MATCH($S1076,MUSTERILER!$T$7:$T$156,0)),""))</f>
        <v/>
      </c>
      <c r="U1076" s="1" t="str">
        <f>IF($T1076="","",$T1076&amp;"|"&amp;COUNTIFS($T$7:$T1076,$T1076))</f>
        <v/>
      </c>
      <c r="V1076" s="1">
        <f t="shared" si="136"/>
        <v>0</v>
      </c>
      <c r="W1076" s="1" t="str">
        <f t="shared" si="137"/>
        <v/>
      </c>
      <c r="X1076" s="1"/>
      <c r="Y1076" s="1"/>
      <c r="Z1076" s="1"/>
      <c r="AA1076" s="1"/>
      <c r="AB1076" s="1"/>
      <c r="AC1076" s="1"/>
      <c r="AD1076" s="1">
        <f>IF($C1076="",0,SUMPRODUCT((AY_SONU!$O$7:$O$42="Evet")*(AY_SONU!$B$7:$B$42=DATE(YEAR($C1076),MONTH($C1076),1))))</f>
        <v>0</v>
      </c>
      <c r="AE1076" s="1" t="str">
        <f>IF($E1076="","",$E1076&amp;"|"&amp;COUNTIFS($E$7:$E1076,$E1076))</f>
        <v/>
      </c>
    </row>
    <row r="1077" spans="1:31" ht="18" customHeight="1" x14ac:dyDescent="0.3">
      <c r="A1077" s="2"/>
      <c r="B1077" s="65" t="str">
        <f t="shared" si="130"/>
        <v/>
      </c>
      <c r="C1077" s="66"/>
      <c r="D1077" s="60"/>
      <c r="E1077" s="61"/>
      <c r="F1077" s="61"/>
      <c r="G1077" s="67"/>
      <c r="H1077" s="60"/>
      <c r="I1077" s="60"/>
      <c r="J1077" s="61"/>
      <c r="K1077" s="61"/>
      <c r="L1077" s="60"/>
      <c r="M1077" s="74" t="str">
        <f t="shared" si="131"/>
        <v/>
      </c>
      <c r="N1077" s="74" t="str">
        <f t="shared" si="132"/>
        <v/>
      </c>
      <c r="O1077" s="73" t="str">
        <f t="shared" si="133"/>
        <v/>
      </c>
      <c r="P1077" s="65" t="str">
        <f t="shared" ca="1" si="134"/>
        <v/>
      </c>
      <c r="Q1077" s="2"/>
      <c r="R1077" s="2"/>
      <c r="S1077" s="1" t="str">
        <f t="shared" si="135"/>
        <v/>
      </c>
      <c r="T1077" s="1" t="str">
        <f>IF(OR($C1077="",$D1077&lt;&gt;"Gelir",$L1077=""),"",IFERROR(INDEX(MUSTERILER!$B$7:$B$156,MATCH($S1077,MUSTERILER!$T$7:$T$156,0)),""))</f>
        <v/>
      </c>
      <c r="U1077" s="1" t="str">
        <f>IF($T1077="","",$T1077&amp;"|"&amp;COUNTIFS($T$7:$T1077,$T1077))</f>
        <v/>
      </c>
      <c r="V1077" s="1">
        <f t="shared" si="136"/>
        <v>0</v>
      </c>
      <c r="W1077" s="1" t="str">
        <f t="shared" si="137"/>
        <v/>
      </c>
      <c r="X1077" s="1"/>
      <c r="Y1077" s="1"/>
      <c r="Z1077" s="1"/>
      <c r="AA1077" s="1"/>
      <c r="AB1077" s="1"/>
      <c r="AC1077" s="1"/>
      <c r="AD1077" s="1">
        <f>IF($C1077="",0,SUMPRODUCT((AY_SONU!$O$7:$O$42="Evet")*(AY_SONU!$B$7:$B$42=DATE(YEAR($C1077),MONTH($C1077),1))))</f>
        <v>0</v>
      </c>
      <c r="AE1077" s="1" t="str">
        <f>IF($E1077="","",$E1077&amp;"|"&amp;COUNTIFS($E$7:$E1077,$E1077))</f>
        <v/>
      </c>
    </row>
    <row r="1078" spans="1:31" ht="18" customHeight="1" x14ac:dyDescent="0.3">
      <c r="A1078" s="2"/>
      <c r="B1078" s="65" t="str">
        <f t="shared" si="130"/>
        <v/>
      </c>
      <c r="C1078" s="66"/>
      <c r="D1078" s="60"/>
      <c r="E1078" s="61"/>
      <c r="F1078" s="61"/>
      <c r="G1078" s="67"/>
      <c r="H1078" s="60"/>
      <c r="I1078" s="60"/>
      <c r="J1078" s="61"/>
      <c r="K1078" s="61"/>
      <c r="L1078" s="60"/>
      <c r="M1078" s="74" t="str">
        <f t="shared" si="131"/>
        <v/>
      </c>
      <c r="N1078" s="74" t="str">
        <f t="shared" si="132"/>
        <v/>
      </c>
      <c r="O1078" s="73" t="str">
        <f t="shared" si="133"/>
        <v/>
      </c>
      <c r="P1078" s="65" t="str">
        <f t="shared" ca="1" si="134"/>
        <v/>
      </c>
      <c r="Q1078" s="2"/>
      <c r="R1078" s="2"/>
      <c r="S1078" s="1" t="str">
        <f t="shared" si="135"/>
        <v/>
      </c>
      <c r="T1078" s="1" t="str">
        <f>IF(OR($C1078="",$D1078&lt;&gt;"Gelir",$L1078=""),"",IFERROR(INDEX(MUSTERILER!$B$7:$B$156,MATCH($S1078,MUSTERILER!$T$7:$T$156,0)),""))</f>
        <v/>
      </c>
      <c r="U1078" s="1" t="str">
        <f>IF($T1078="","",$T1078&amp;"|"&amp;COUNTIFS($T$7:$T1078,$T1078))</f>
        <v/>
      </c>
      <c r="V1078" s="1">
        <f t="shared" si="136"/>
        <v>0</v>
      </c>
      <c r="W1078" s="1" t="str">
        <f t="shared" si="137"/>
        <v/>
      </c>
      <c r="X1078" s="1"/>
      <c r="Y1078" s="1"/>
      <c r="Z1078" s="1"/>
      <c r="AA1078" s="1"/>
      <c r="AB1078" s="1"/>
      <c r="AC1078" s="1"/>
      <c r="AD1078" s="1">
        <f>IF($C1078="",0,SUMPRODUCT((AY_SONU!$O$7:$O$42="Evet")*(AY_SONU!$B$7:$B$42=DATE(YEAR($C1078),MONTH($C1078),1))))</f>
        <v>0</v>
      </c>
      <c r="AE1078" s="1" t="str">
        <f>IF($E1078="","",$E1078&amp;"|"&amp;COUNTIFS($E$7:$E1078,$E1078))</f>
        <v/>
      </c>
    </row>
    <row r="1079" spans="1:31" ht="18" customHeight="1" x14ac:dyDescent="0.3">
      <c r="A1079" s="2"/>
      <c r="B1079" s="65" t="str">
        <f t="shared" si="130"/>
        <v/>
      </c>
      <c r="C1079" s="66"/>
      <c r="D1079" s="60"/>
      <c r="E1079" s="61"/>
      <c r="F1079" s="61"/>
      <c r="G1079" s="67"/>
      <c r="H1079" s="60"/>
      <c r="I1079" s="60"/>
      <c r="J1079" s="61"/>
      <c r="K1079" s="61"/>
      <c r="L1079" s="60"/>
      <c r="M1079" s="74" t="str">
        <f t="shared" si="131"/>
        <v/>
      </c>
      <c r="N1079" s="74" t="str">
        <f t="shared" si="132"/>
        <v/>
      </c>
      <c r="O1079" s="73" t="str">
        <f t="shared" si="133"/>
        <v/>
      </c>
      <c r="P1079" s="65" t="str">
        <f t="shared" ca="1" si="134"/>
        <v/>
      </c>
      <c r="Q1079" s="2"/>
      <c r="R1079" s="2"/>
      <c r="S1079" s="1" t="str">
        <f t="shared" si="135"/>
        <v/>
      </c>
      <c r="T1079" s="1" t="str">
        <f>IF(OR($C1079="",$D1079&lt;&gt;"Gelir",$L1079=""),"",IFERROR(INDEX(MUSTERILER!$B$7:$B$156,MATCH($S1079,MUSTERILER!$T$7:$T$156,0)),""))</f>
        <v/>
      </c>
      <c r="U1079" s="1" t="str">
        <f>IF($T1079="","",$T1079&amp;"|"&amp;COUNTIFS($T$7:$T1079,$T1079))</f>
        <v/>
      </c>
      <c r="V1079" s="1">
        <f t="shared" si="136"/>
        <v>0</v>
      </c>
      <c r="W1079" s="1" t="str">
        <f t="shared" si="137"/>
        <v/>
      </c>
      <c r="X1079" s="1"/>
      <c r="Y1079" s="1"/>
      <c r="Z1079" s="1"/>
      <c r="AA1079" s="1"/>
      <c r="AB1079" s="1"/>
      <c r="AC1079" s="1"/>
      <c r="AD1079" s="1">
        <f>IF($C1079="",0,SUMPRODUCT((AY_SONU!$O$7:$O$42="Evet")*(AY_SONU!$B$7:$B$42=DATE(YEAR($C1079),MONTH($C1079),1))))</f>
        <v>0</v>
      </c>
      <c r="AE1079" s="1" t="str">
        <f>IF($E1079="","",$E1079&amp;"|"&amp;COUNTIFS($E$7:$E1079,$E1079))</f>
        <v/>
      </c>
    </row>
    <row r="1080" spans="1:31" ht="18" customHeight="1" x14ac:dyDescent="0.3">
      <c r="A1080" s="2"/>
      <c r="B1080" s="65" t="str">
        <f t="shared" si="130"/>
        <v/>
      </c>
      <c r="C1080" s="66"/>
      <c r="D1080" s="60"/>
      <c r="E1080" s="61"/>
      <c r="F1080" s="61"/>
      <c r="G1080" s="67"/>
      <c r="H1080" s="60"/>
      <c r="I1080" s="60"/>
      <c r="J1080" s="61"/>
      <c r="K1080" s="61"/>
      <c r="L1080" s="60"/>
      <c r="M1080" s="74" t="str">
        <f t="shared" si="131"/>
        <v/>
      </c>
      <c r="N1080" s="74" t="str">
        <f t="shared" si="132"/>
        <v/>
      </c>
      <c r="O1080" s="73" t="str">
        <f t="shared" si="133"/>
        <v/>
      </c>
      <c r="P1080" s="65" t="str">
        <f t="shared" ca="1" si="134"/>
        <v/>
      </c>
      <c r="Q1080" s="2"/>
      <c r="R1080" s="2"/>
      <c r="S1080" s="1" t="str">
        <f t="shared" si="135"/>
        <v/>
      </c>
      <c r="T1080" s="1" t="str">
        <f>IF(OR($C1080="",$D1080&lt;&gt;"Gelir",$L1080=""),"",IFERROR(INDEX(MUSTERILER!$B$7:$B$156,MATCH($S1080,MUSTERILER!$T$7:$T$156,0)),""))</f>
        <v/>
      </c>
      <c r="U1080" s="1" t="str">
        <f>IF($T1080="","",$T1080&amp;"|"&amp;COUNTIFS($T$7:$T1080,$T1080))</f>
        <v/>
      </c>
      <c r="V1080" s="1">
        <f t="shared" si="136"/>
        <v>0</v>
      </c>
      <c r="W1080" s="1" t="str">
        <f t="shared" si="137"/>
        <v/>
      </c>
      <c r="X1080" s="1"/>
      <c r="Y1080" s="1"/>
      <c r="Z1080" s="1"/>
      <c r="AA1080" s="1"/>
      <c r="AB1080" s="1"/>
      <c r="AC1080" s="1"/>
      <c r="AD1080" s="1">
        <f>IF($C1080="",0,SUMPRODUCT((AY_SONU!$O$7:$O$42="Evet")*(AY_SONU!$B$7:$B$42=DATE(YEAR($C1080),MONTH($C1080),1))))</f>
        <v>0</v>
      </c>
      <c r="AE1080" s="1" t="str">
        <f>IF($E1080="","",$E1080&amp;"|"&amp;COUNTIFS($E$7:$E1080,$E1080))</f>
        <v/>
      </c>
    </row>
    <row r="1081" spans="1:31" ht="18" customHeight="1" x14ac:dyDescent="0.3">
      <c r="A1081" s="2"/>
      <c r="B1081" s="65" t="str">
        <f t="shared" si="130"/>
        <v/>
      </c>
      <c r="C1081" s="66"/>
      <c r="D1081" s="60"/>
      <c r="E1081" s="61"/>
      <c r="F1081" s="61"/>
      <c r="G1081" s="67"/>
      <c r="H1081" s="60"/>
      <c r="I1081" s="60"/>
      <c r="J1081" s="61"/>
      <c r="K1081" s="61"/>
      <c r="L1081" s="60"/>
      <c r="M1081" s="74" t="str">
        <f t="shared" si="131"/>
        <v/>
      </c>
      <c r="N1081" s="74" t="str">
        <f t="shared" si="132"/>
        <v/>
      </c>
      <c r="O1081" s="73" t="str">
        <f t="shared" si="133"/>
        <v/>
      </c>
      <c r="P1081" s="65" t="str">
        <f t="shared" ca="1" si="134"/>
        <v/>
      </c>
      <c r="Q1081" s="2"/>
      <c r="R1081" s="2"/>
      <c r="S1081" s="1" t="str">
        <f t="shared" si="135"/>
        <v/>
      </c>
      <c r="T1081" s="1" t="str">
        <f>IF(OR($C1081="",$D1081&lt;&gt;"Gelir",$L1081=""),"",IFERROR(INDEX(MUSTERILER!$B$7:$B$156,MATCH($S1081,MUSTERILER!$T$7:$T$156,0)),""))</f>
        <v/>
      </c>
      <c r="U1081" s="1" t="str">
        <f>IF($T1081="","",$T1081&amp;"|"&amp;COUNTIFS($T$7:$T1081,$T1081))</f>
        <v/>
      </c>
      <c r="V1081" s="1">
        <f t="shared" si="136"/>
        <v>0</v>
      </c>
      <c r="W1081" s="1" t="str">
        <f t="shared" si="137"/>
        <v/>
      </c>
      <c r="X1081" s="1"/>
      <c r="Y1081" s="1"/>
      <c r="Z1081" s="1"/>
      <c r="AA1081" s="1"/>
      <c r="AB1081" s="1"/>
      <c r="AC1081" s="1"/>
      <c r="AD1081" s="1">
        <f>IF($C1081="",0,SUMPRODUCT((AY_SONU!$O$7:$O$42="Evet")*(AY_SONU!$B$7:$B$42=DATE(YEAR($C1081),MONTH($C1081),1))))</f>
        <v>0</v>
      </c>
      <c r="AE1081" s="1" t="str">
        <f>IF($E1081="","",$E1081&amp;"|"&amp;COUNTIFS($E$7:$E1081,$E1081))</f>
        <v/>
      </c>
    </row>
    <row r="1082" spans="1:31" ht="18" customHeight="1" x14ac:dyDescent="0.3">
      <c r="A1082" s="2"/>
      <c r="B1082" s="65" t="str">
        <f t="shared" si="130"/>
        <v/>
      </c>
      <c r="C1082" s="66"/>
      <c r="D1082" s="60"/>
      <c r="E1082" s="61"/>
      <c r="F1082" s="61"/>
      <c r="G1082" s="67"/>
      <c r="H1082" s="60"/>
      <c r="I1082" s="60"/>
      <c r="J1082" s="61"/>
      <c r="K1082" s="61"/>
      <c r="L1082" s="60"/>
      <c r="M1082" s="74" t="str">
        <f t="shared" si="131"/>
        <v/>
      </c>
      <c r="N1082" s="74" t="str">
        <f t="shared" si="132"/>
        <v/>
      </c>
      <c r="O1082" s="73" t="str">
        <f t="shared" si="133"/>
        <v/>
      </c>
      <c r="P1082" s="65" t="str">
        <f t="shared" ca="1" si="134"/>
        <v/>
      </c>
      <c r="Q1082" s="2"/>
      <c r="R1082" s="2"/>
      <c r="S1082" s="1" t="str">
        <f t="shared" si="135"/>
        <v/>
      </c>
      <c r="T1082" s="1" t="str">
        <f>IF(OR($C1082="",$D1082&lt;&gt;"Gelir",$L1082=""),"",IFERROR(INDEX(MUSTERILER!$B$7:$B$156,MATCH($S1082,MUSTERILER!$T$7:$T$156,0)),""))</f>
        <v/>
      </c>
      <c r="U1082" s="1" t="str">
        <f>IF($T1082="","",$T1082&amp;"|"&amp;COUNTIFS($T$7:$T1082,$T1082))</f>
        <v/>
      </c>
      <c r="V1082" s="1">
        <f t="shared" si="136"/>
        <v>0</v>
      </c>
      <c r="W1082" s="1" t="str">
        <f t="shared" si="137"/>
        <v/>
      </c>
      <c r="X1082" s="1"/>
      <c r="Y1082" s="1"/>
      <c r="Z1082" s="1"/>
      <c r="AA1082" s="1"/>
      <c r="AB1082" s="1"/>
      <c r="AC1082" s="1"/>
      <c r="AD1082" s="1">
        <f>IF($C1082="",0,SUMPRODUCT((AY_SONU!$O$7:$O$42="Evet")*(AY_SONU!$B$7:$B$42=DATE(YEAR($C1082),MONTH($C1082),1))))</f>
        <v>0</v>
      </c>
      <c r="AE1082" s="1" t="str">
        <f>IF($E1082="","",$E1082&amp;"|"&amp;COUNTIFS($E$7:$E1082,$E1082))</f>
        <v/>
      </c>
    </row>
    <row r="1083" spans="1:31" ht="18" customHeight="1" x14ac:dyDescent="0.3">
      <c r="A1083" s="2"/>
      <c r="B1083" s="65" t="str">
        <f t="shared" si="130"/>
        <v/>
      </c>
      <c r="C1083" s="66"/>
      <c r="D1083" s="60"/>
      <c r="E1083" s="61"/>
      <c r="F1083" s="61"/>
      <c r="G1083" s="67"/>
      <c r="H1083" s="60"/>
      <c r="I1083" s="60"/>
      <c r="J1083" s="61"/>
      <c r="K1083" s="61"/>
      <c r="L1083" s="60"/>
      <c r="M1083" s="74" t="str">
        <f t="shared" si="131"/>
        <v/>
      </c>
      <c r="N1083" s="74" t="str">
        <f t="shared" si="132"/>
        <v/>
      </c>
      <c r="O1083" s="73" t="str">
        <f t="shared" si="133"/>
        <v/>
      </c>
      <c r="P1083" s="65" t="str">
        <f t="shared" ca="1" si="134"/>
        <v/>
      </c>
      <c r="Q1083" s="2"/>
      <c r="R1083" s="2"/>
      <c r="S1083" s="1" t="str">
        <f t="shared" si="135"/>
        <v/>
      </c>
      <c r="T1083" s="1" t="str">
        <f>IF(OR($C1083="",$D1083&lt;&gt;"Gelir",$L1083=""),"",IFERROR(INDEX(MUSTERILER!$B$7:$B$156,MATCH($S1083,MUSTERILER!$T$7:$T$156,0)),""))</f>
        <v/>
      </c>
      <c r="U1083" s="1" t="str">
        <f>IF($T1083="","",$T1083&amp;"|"&amp;COUNTIFS($T$7:$T1083,$T1083))</f>
        <v/>
      </c>
      <c r="V1083" s="1">
        <f t="shared" si="136"/>
        <v>0</v>
      </c>
      <c r="W1083" s="1" t="str">
        <f t="shared" si="137"/>
        <v/>
      </c>
      <c r="X1083" s="1"/>
      <c r="Y1083" s="1"/>
      <c r="Z1083" s="1"/>
      <c r="AA1083" s="1"/>
      <c r="AB1083" s="1"/>
      <c r="AC1083" s="1"/>
      <c r="AD1083" s="1">
        <f>IF($C1083="",0,SUMPRODUCT((AY_SONU!$O$7:$O$42="Evet")*(AY_SONU!$B$7:$B$42=DATE(YEAR($C1083),MONTH($C1083),1))))</f>
        <v>0</v>
      </c>
      <c r="AE1083" s="1" t="str">
        <f>IF($E1083="","",$E1083&amp;"|"&amp;COUNTIFS($E$7:$E1083,$E1083))</f>
        <v/>
      </c>
    </row>
    <row r="1084" spans="1:31" ht="18" customHeight="1" x14ac:dyDescent="0.3">
      <c r="A1084" s="2"/>
      <c r="B1084" s="65" t="str">
        <f t="shared" si="130"/>
        <v/>
      </c>
      <c r="C1084" s="66"/>
      <c r="D1084" s="60"/>
      <c r="E1084" s="61"/>
      <c r="F1084" s="61"/>
      <c r="G1084" s="67"/>
      <c r="H1084" s="60"/>
      <c r="I1084" s="60"/>
      <c r="J1084" s="61"/>
      <c r="K1084" s="61"/>
      <c r="L1084" s="60"/>
      <c r="M1084" s="74" t="str">
        <f t="shared" si="131"/>
        <v/>
      </c>
      <c r="N1084" s="74" t="str">
        <f t="shared" si="132"/>
        <v/>
      </c>
      <c r="O1084" s="73" t="str">
        <f t="shared" si="133"/>
        <v/>
      </c>
      <c r="P1084" s="65" t="str">
        <f t="shared" ca="1" si="134"/>
        <v/>
      </c>
      <c r="Q1084" s="2"/>
      <c r="R1084" s="2"/>
      <c r="S1084" s="1" t="str">
        <f t="shared" si="135"/>
        <v/>
      </c>
      <c r="T1084" s="1" t="str">
        <f>IF(OR($C1084="",$D1084&lt;&gt;"Gelir",$L1084=""),"",IFERROR(INDEX(MUSTERILER!$B$7:$B$156,MATCH($S1084,MUSTERILER!$T$7:$T$156,0)),""))</f>
        <v/>
      </c>
      <c r="U1084" s="1" t="str">
        <f>IF($T1084="","",$T1084&amp;"|"&amp;COUNTIFS($T$7:$T1084,$T1084))</f>
        <v/>
      </c>
      <c r="V1084" s="1">
        <f t="shared" si="136"/>
        <v>0</v>
      </c>
      <c r="W1084" s="1" t="str">
        <f t="shared" si="137"/>
        <v/>
      </c>
      <c r="X1084" s="1"/>
      <c r="Y1084" s="1"/>
      <c r="Z1084" s="1"/>
      <c r="AA1084" s="1"/>
      <c r="AB1084" s="1"/>
      <c r="AC1084" s="1"/>
      <c r="AD1084" s="1">
        <f>IF($C1084="",0,SUMPRODUCT((AY_SONU!$O$7:$O$42="Evet")*(AY_SONU!$B$7:$B$42=DATE(YEAR($C1084),MONTH($C1084),1))))</f>
        <v>0</v>
      </c>
      <c r="AE1084" s="1" t="str">
        <f>IF($E1084="","",$E1084&amp;"|"&amp;COUNTIFS($E$7:$E1084,$E1084))</f>
        <v/>
      </c>
    </row>
    <row r="1085" spans="1:31" ht="18" customHeight="1" x14ac:dyDescent="0.3">
      <c r="A1085" s="2"/>
      <c r="B1085" s="65" t="str">
        <f t="shared" si="130"/>
        <v/>
      </c>
      <c r="C1085" s="66"/>
      <c r="D1085" s="60"/>
      <c r="E1085" s="61"/>
      <c r="F1085" s="61"/>
      <c r="G1085" s="67"/>
      <c r="H1085" s="60"/>
      <c r="I1085" s="60"/>
      <c r="J1085" s="61"/>
      <c r="K1085" s="61"/>
      <c r="L1085" s="60"/>
      <c r="M1085" s="74" t="str">
        <f t="shared" si="131"/>
        <v/>
      </c>
      <c r="N1085" s="74" t="str">
        <f t="shared" si="132"/>
        <v/>
      </c>
      <c r="O1085" s="73" t="str">
        <f t="shared" si="133"/>
        <v/>
      </c>
      <c r="P1085" s="65" t="str">
        <f t="shared" ca="1" si="134"/>
        <v/>
      </c>
      <c r="Q1085" s="2"/>
      <c r="R1085" s="2"/>
      <c r="S1085" s="1" t="str">
        <f t="shared" si="135"/>
        <v/>
      </c>
      <c r="T1085" s="1" t="str">
        <f>IF(OR($C1085="",$D1085&lt;&gt;"Gelir",$L1085=""),"",IFERROR(INDEX(MUSTERILER!$B$7:$B$156,MATCH($S1085,MUSTERILER!$T$7:$T$156,0)),""))</f>
        <v/>
      </c>
      <c r="U1085" s="1" t="str">
        <f>IF($T1085="","",$T1085&amp;"|"&amp;COUNTIFS($T$7:$T1085,$T1085))</f>
        <v/>
      </c>
      <c r="V1085" s="1">
        <f t="shared" si="136"/>
        <v>0</v>
      </c>
      <c r="W1085" s="1" t="str">
        <f t="shared" si="137"/>
        <v/>
      </c>
      <c r="X1085" s="1"/>
      <c r="Y1085" s="1"/>
      <c r="Z1085" s="1"/>
      <c r="AA1085" s="1"/>
      <c r="AB1085" s="1"/>
      <c r="AC1085" s="1"/>
      <c r="AD1085" s="1">
        <f>IF($C1085="",0,SUMPRODUCT((AY_SONU!$O$7:$O$42="Evet")*(AY_SONU!$B$7:$B$42=DATE(YEAR($C1085),MONTH($C1085),1))))</f>
        <v>0</v>
      </c>
      <c r="AE1085" s="1" t="str">
        <f>IF($E1085="","",$E1085&amp;"|"&amp;COUNTIFS($E$7:$E1085,$E1085))</f>
        <v/>
      </c>
    </row>
    <row r="1086" spans="1:31" ht="18" customHeight="1" x14ac:dyDescent="0.3">
      <c r="A1086" s="2"/>
      <c r="B1086" s="65" t="str">
        <f t="shared" si="130"/>
        <v/>
      </c>
      <c r="C1086" s="66"/>
      <c r="D1086" s="60"/>
      <c r="E1086" s="61"/>
      <c r="F1086" s="61"/>
      <c r="G1086" s="67"/>
      <c r="H1086" s="60"/>
      <c r="I1086" s="60"/>
      <c r="J1086" s="61"/>
      <c r="K1086" s="61"/>
      <c r="L1086" s="60"/>
      <c r="M1086" s="74" t="str">
        <f t="shared" si="131"/>
        <v/>
      </c>
      <c r="N1086" s="74" t="str">
        <f t="shared" si="132"/>
        <v/>
      </c>
      <c r="O1086" s="73" t="str">
        <f t="shared" si="133"/>
        <v/>
      </c>
      <c r="P1086" s="65" t="str">
        <f t="shared" ca="1" si="134"/>
        <v/>
      </c>
      <c r="Q1086" s="2"/>
      <c r="R1086" s="2"/>
      <c r="S1086" s="1" t="str">
        <f t="shared" si="135"/>
        <v/>
      </c>
      <c r="T1086" s="1" t="str">
        <f>IF(OR($C1086="",$D1086&lt;&gt;"Gelir",$L1086=""),"",IFERROR(INDEX(MUSTERILER!$B$7:$B$156,MATCH($S1086,MUSTERILER!$T$7:$T$156,0)),""))</f>
        <v/>
      </c>
      <c r="U1086" s="1" t="str">
        <f>IF($T1086="","",$T1086&amp;"|"&amp;COUNTIFS($T$7:$T1086,$T1086))</f>
        <v/>
      </c>
      <c r="V1086" s="1">
        <f t="shared" si="136"/>
        <v>0</v>
      </c>
      <c r="W1086" s="1" t="str">
        <f t="shared" si="137"/>
        <v/>
      </c>
      <c r="X1086" s="1"/>
      <c r="Y1086" s="1"/>
      <c r="Z1086" s="1"/>
      <c r="AA1086" s="1"/>
      <c r="AB1086" s="1"/>
      <c r="AC1086" s="1"/>
      <c r="AD1086" s="1">
        <f>IF($C1086="",0,SUMPRODUCT((AY_SONU!$O$7:$O$42="Evet")*(AY_SONU!$B$7:$B$42=DATE(YEAR($C1086),MONTH($C1086),1))))</f>
        <v>0</v>
      </c>
      <c r="AE1086" s="1" t="str">
        <f>IF($E1086="","",$E1086&amp;"|"&amp;COUNTIFS($E$7:$E1086,$E1086))</f>
        <v/>
      </c>
    </row>
    <row r="1087" spans="1:31" ht="18" customHeight="1" x14ac:dyDescent="0.3">
      <c r="A1087" s="2"/>
      <c r="B1087" s="65" t="str">
        <f t="shared" si="130"/>
        <v/>
      </c>
      <c r="C1087" s="66"/>
      <c r="D1087" s="60"/>
      <c r="E1087" s="61"/>
      <c r="F1087" s="61"/>
      <c r="G1087" s="67"/>
      <c r="H1087" s="60"/>
      <c r="I1087" s="60"/>
      <c r="J1087" s="61"/>
      <c r="K1087" s="61"/>
      <c r="L1087" s="60"/>
      <c r="M1087" s="74" t="str">
        <f t="shared" si="131"/>
        <v/>
      </c>
      <c r="N1087" s="74" t="str">
        <f t="shared" si="132"/>
        <v/>
      </c>
      <c r="O1087" s="73" t="str">
        <f t="shared" si="133"/>
        <v/>
      </c>
      <c r="P1087" s="65" t="str">
        <f t="shared" ca="1" si="134"/>
        <v/>
      </c>
      <c r="Q1087" s="2"/>
      <c r="R1087" s="2"/>
      <c r="S1087" s="1" t="str">
        <f t="shared" si="135"/>
        <v/>
      </c>
      <c r="T1087" s="1" t="str">
        <f>IF(OR($C1087="",$D1087&lt;&gt;"Gelir",$L1087=""),"",IFERROR(INDEX(MUSTERILER!$B$7:$B$156,MATCH($S1087,MUSTERILER!$T$7:$T$156,0)),""))</f>
        <v/>
      </c>
      <c r="U1087" s="1" t="str">
        <f>IF($T1087="","",$T1087&amp;"|"&amp;COUNTIFS($T$7:$T1087,$T1087))</f>
        <v/>
      </c>
      <c r="V1087" s="1">
        <f t="shared" si="136"/>
        <v>0</v>
      </c>
      <c r="W1087" s="1" t="str">
        <f t="shared" si="137"/>
        <v/>
      </c>
      <c r="X1087" s="1"/>
      <c r="Y1087" s="1"/>
      <c r="Z1087" s="1"/>
      <c r="AA1087" s="1"/>
      <c r="AB1087" s="1"/>
      <c r="AC1087" s="1"/>
      <c r="AD1087" s="1">
        <f>IF($C1087="",0,SUMPRODUCT((AY_SONU!$O$7:$O$42="Evet")*(AY_SONU!$B$7:$B$42=DATE(YEAR($C1087),MONTH($C1087),1))))</f>
        <v>0</v>
      </c>
      <c r="AE1087" s="1" t="str">
        <f>IF($E1087="","",$E1087&amp;"|"&amp;COUNTIFS($E$7:$E1087,$E1087))</f>
        <v/>
      </c>
    </row>
    <row r="1088" spans="1:31" ht="18" customHeight="1" x14ac:dyDescent="0.3">
      <c r="A1088" s="2"/>
      <c r="B1088" s="65" t="str">
        <f t="shared" si="130"/>
        <v/>
      </c>
      <c r="C1088" s="66"/>
      <c r="D1088" s="60"/>
      <c r="E1088" s="61"/>
      <c r="F1088" s="61"/>
      <c r="G1088" s="67"/>
      <c r="H1088" s="60"/>
      <c r="I1088" s="60"/>
      <c r="J1088" s="61"/>
      <c r="K1088" s="61"/>
      <c r="L1088" s="60"/>
      <c r="M1088" s="74" t="str">
        <f t="shared" si="131"/>
        <v/>
      </c>
      <c r="N1088" s="74" t="str">
        <f t="shared" si="132"/>
        <v/>
      </c>
      <c r="O1088" s="73" t="str">
        <f t="shared" si="133"/>
        <v/>
      </c>
      <c r="P1088" s="65" t="str">
        <f t="shared" ca="1" si="134"/>
        <v/>
      </c>
      <c r="Q1088" s="2"/>
      <c r="R1088" s="2"/>
      <c r="S1088" s="1" t="str">
        <f t="shared" si="135"/>
        <v/>
      </c>
      <c r="T1088" s="1" t="str">
        <f>IF(OR($C1088="",$D1088&lt;&gt;"Gelir",$L1088=""),"",IFERROR(INDEX(MUSTERILER!$B$7:$B$156,MATCH($S1088,MUSTERILER!$T$7:$T$156,0)),""))</f>
        <v/>
      </c>
      <c r="U1088" s="1" t="str">
        <f>IF($T1088="","",$T1088&amp;"|"&amp;COUNTIFS($T$7:$T1088,$T1088))</f>
        <v/>
      </c>
      <c r="V1088" s="1">
        <f t="shared" si="136"/>
        <v>0</v>
      </c>
      <c r="W1088" s="1" t="str">
        <f t="shared" si="137"/>
        <v/>
      </c>
      <c r="X1088" s="1"/>
      <c r="Y1088" s="1"/>
      <c r="Z1088" s="1"/>
      <c r="AA1088" s="1"/>
      <c r="AB1088" s="1"/>
      <c r="AC1088" s="1"/>
      <c r="AD1088" s="1">
        <f>IF($C1088="",0,SUMPRODUCT((AY_SONU!$O$7:$O$42="Evet")*(AY_SONU!$B$7:$B$42=DATE(YEAR($C1088),MONTH($C1088),1))))</f>
        <v>0</v>
      </c>
      <c r="AE1088" s="1" t="str">
        <f>IF($E1088="","",$E1088&amp;"|"&amp;COUNTIFS($E$7:$E1088,$E1088))</f>
        <v/>
      </c>
    </row>
    <row r="1089" spans="1:31" ht="18" customHeight="1" x14ac:dyDescent="0.3">
      <c r="A1089" s="2"/>
      <c r="B1089" s="65" t="str">
        <f t="shared" si="130"/>
        <v/>
      </c>
      <c r="C1089" s="66"/>
      <c r="D1089" s="60"/>
      <c r="E1089" s="61"/>
      <c r="F1089" s="61"/>
      <c r="G1089" s="67"/>
      <c r="H1089" s="60"/>
      <c r="I1089" s="60"/>
      <c r="J1089" s="61"/>
      <c r="K1089" s="61"/>
      <c r="L1089" s="60"/>
      <c r="M1089" s="74" t="str">
        <f t="shared" si="131"/>
        <v/>
      </c>
      <c r="N1089" s="74" t="str">
        <f t="shared" si="132"/>
        <v/>
      </c>
      <c r="O1089" s="73" t="str">
        <f t="shared" si="133"/>
        <v/>
      </c>
      <c r="P1089" s="65" t="str">
        <f t="shared" ca="1" si="134"/>
        <v/>
      </c>
      <c r="Q1089" s="2"/>
      <c r="R1089" s="2"/>
      <c r="S1089" s="1" t="str">
        <f t="shared" si="135"/>
        <v/>
      </c>
      <c r="T1089" s="1" t="str">
        <f>IF(OR($C1089="",$D1089&lt;&gt;"Gelir",$L1089=""),"",IFERROR(INDEX(MUSTERILER!$B$7:$B$156,MATCH($S1089,MUSTERILER!$T$7:$T$156,0)),""))</f>
        <v/>
      </c>
      <c r="U1089" s="1" t="str">
        <f>IF($T1089="","",$T1089&amp;"|"&amp;COUNTIFS($T$7:$T1089,$T1089))</f>
        <v/>
      </c>
      <c r="V1089" s="1">
        <f t="shared" si="136"/>
        <v>0</v>
      </c>
      <c r="W1089" s="1" t="str">
        <f t="shared" si="137"/>
        <v/>
      </c>
      <c r="X1089" s="1"/>
      <c r="Y1089" s="1"/>
      <c r="Z1089" s="1"/>
      <c r="AA1089" s="1"/>
      <c r="AB1089" s="1"/>
      <c r="AC1089" s="1"/>
      <c r="AD1089" s="1">
        <f>IF($C1089="",0,SUMPRODUCT((AY_SONU!$O$7:$O$42="Evet")*(AY_SONU!$B$7:$B$42=DATE(YEAR($C1089),MONTH($C1089),1))))</f>
        <v>0</v>
      </c>
      <c r="AE1089" s="1" t="str">
        <f>IF($E1089="","",$E1089&amp;"|"&amp;COUNTIFS($E$7:$E1089,$E1089))</f>
        <v/>
      </c>
    </row>
    <row r="1090" spans="1:31" ht="18" customHeight="1" x14ac:dyDescent="0.3">
      <c r="A1090" s="2"/>
      <c r="B1090" s="65" t="str">
        <f t="shared" si="130"/>
        <v/>
      </c>
      <c r="C1090" s="66"/>
      <c r="D1090" s="60"/>
      <c r="E1090" s="61"/>
      <c r="F1090" s="61"/>
      <c r="G1090" s="67"/>
      <c r="H1090" s="60"/>
      <c r="I1090" s="60"/>
      <c r="J1090" s="61"/>
      <c r="K1090" s="61"/>
      <c r="L1090" s="60"/>
      <c r="M1090" s="74" t="str">
        <f t="shared" si="131"/>
        <v/>
      </c>
      <c r="N1090" s="74" t="str">
        <f t="shared" si="132"/>
        <v/>
      </c>
      <c r="O1090" s="73" t="str">
        <f t="shared" si="133"/>
        <v/>
      </c>
      <c r="P1090" s="65" t="str">
        <f t="shared" ca="1" si="134"/>
        <v/>
      </c>
      <c r="Q1090" s="2"/>
      <c r="R1090" s="2"/>
      <c r="S1090" s="1" t="str">
        <f t="shared" si="135"/>
        <v/>
      </c>
      <c r="T1090" s="1" t="str">
        <f>IF(OR($C1090="",$D1090&lt;&gt;"Gelir",$L1090=""),"",IFERROR(INDEX(MUSTERILER!$B$7:$B$156,MATCH($S1090,MUSTERILER!$T$7:$T$156,0)),""))</f>
        <v/>
      </c>
      <c r="U1090" s="1" t="str">
        <f>IF($T1090="","",$T1090&amp;"|"&amp;COUNTIFS($T$7:$T1090,$T1090))</f>
        <v/>
      </c>
      <c r="V1090" s="1">
        <f t="shared" si="136"/>
        <v>0</v>
      </c>
      <c r="W1090" s="1" t="str">
        <f t="shared" si="137"/>
        <v/>
      </c>
      <c r="X1090" s="1"/>
      <c r="Y1090" s="1"/>
      <c r="Z1090" s="1"/>
      <c r="AA1090" s="1"/>
      <c r="AB1090" s="1"/>
      <c r="AC1090" s="1"/>
      <c r="AD1090" s="1">
        <f>IF($C1090="",0,SUMPRODUCT((AY_SONU!$O$7:$O$42="Evet")*(AY_SONU!$B$7:$B$42=DATE(YEAR($C1090),MONTH($C1090),1))))</f>
        <v>0</v>
      </c>
      <c r="AE1090" s="1" t="str">
        <f>IF($E1090="","",$E1090&amp;"|"&amp;COUNTIFS($E$7:$E1090,$E1090))</f>
        <v/>
      </c>
    </row>
    <row r="1091" spans="1:31" ht="18" customHeight="1" x14ac:dyDescent="0.3">
      <c r="A1091" s="2"/>
      <c r="B1091" s="65" t="str">
        <f t="shared" si="130"/>
        <v/>
      </c>
      <c r="C1091" s="66"/>
      <c r="D1091" s="60"/>
      <c r="E1091" s="61"/>
      <c r="F1091" s="61"/>
      <c r="G1091" s="67"/>
      <c r="H1091" s="60"/>
      <c r="I1091" s="60"/>
      <c r="J1091" s="61"/>
      <c r="K1091" s="61"/>
      <c r="L1091" s="60"/>
      <c r="M1091" s="74" t="str">
        <f t="shared" si="131"/>
        <v/>
      </c>
      <c r="N1091" s="74" t="str">
        <f t="shared" si="132"/>
        <v/>
      </c>
      <c r="O1091" s="73" t="str">
        <f t="shared" si="133"/>
        <v/>
      </c>
      <c r="P1091" s="65" t="str">
        <f t="shared" ca="1" si="134"/>
        <v/>
      </c>
      <c r="Q1091" s="2"/>
      <c r="R1091" s="2"/>
      <c r="S1091" s="1" t="str">
        <f t="shared" si="135"/>
        <v/>
      </c>
      <c r="T1091" s="1" t="str">
        <f>IF(OR($C1091="",$D1091&lt;&gt;"Gelir",$L1091=""),"",IFERROR(INDEX(MUSTERILER!$B$7:$B$156,MATCH($S1091,MUSTERILER!$T$7:$T$156,0)),""))</f>
        <v/>
      </c>
      <c r="U1091" s="1" t="str">
        <f>IF($T1091="","",$T1091&amp;"|"&amp;COUNTIFS($T$7:$T1091,$T1091))</f>
        <v/>
      </c>
      <c r="V1091" s="1">
        <f t="shared" si="136"/>
        <v>0</v>
      </c>
      <c r="W1091" s="1" t="str">
        <f t="shared" si="137"/>
        <v/>
      </c>
      <c r="X1091" s="1"/>
      <c r="Y1091" s="1"/>
      <c r="Z1091" s="1"/>
      <c r="AA1091" s="1"/>
      <c r="AB1091" s="1"/>
      <c r="AC1091" s="1"/>
      <c r="AD1091" s="1">
        <f>IF($C1091="",0,SUMPRODUCT((AY_SONU!$O$7:$O$42="Evet")*(AY_SONU!$B$7:$B$42=DATE(YEAR($C1091),MONTH($C1091),1))))</f>
        <v>0</v>
      </c>
      <c r="AE1091" s="1" t="str">
        <f>IF($E1091="","",$E1091&amp;"|"&amp;COUNTIFS($E$7:$E1091,$E1091))</f>
        <v/>
      </c>
    </row>
    <row r="1092" spans="1:31" ht="18" customHeight="1" x14ac:dyDescent="0.3">
      <c r="A1092" s="2"/>
      <c r="B1092" s="65" t="str">
        <f t="shared" si="130"/>
        <v/>
      </c>
      <c r="C1092" s="66"/>
      <c r="D1092" s="60"/>
      <c r="E1092" s="61"/>
      <c r="F1092" s="61"/>
      <c r="G1092" s="67"/>
      <c r="H1092" s="60"/>
      <c r="I1092" s="60"/>
      <c r="J1092" s="61"/>
      <c r="K1092" s="61"/>
      <c r="L1092" s="60"/>
      <c r="M1092" s="74" t="str">
        <f t="shared" si="131"/>
        <v/>
      </c>
      <c r="N1092" s="74" t="str">
        <f t="shared" si="132"/>
        <v/>
      </c>
      <c r="O1092" s="73" t="str">
        <f t="shared" si="133"/>
        <v/>
      </c>
      <c r="P1092" s="65" t="str">
        <f t="shared" ca="1" si="134"/>
        <v/>
      </c>
      <c r="Q1092" s="2"/>
      <c r="R1092" s="2"/>
      <c r="S1092" s="1" t="str">
        <f t="shared" si="135"/>
        <v/>
      </c>
      <c r="T1092" s="1" t="str">
        <f>IF(OR($C1092="",$D1092&lt;&gt;"Gelir",$L1092=""),"",IFERROR(INDEX(MUSTERILER!$B$7:$B$156,MATCH($S1092,MUSTERILER!$T$7:$T$156,0)),""))</f>
        <v/>
      </c>
      <c r="U1092" s="1" t="str">
        <f>IF($T1092="","",$T1092&amp;"|"&amp;COUNTIFS($T$7:$T1092,$T1092))</f>
        <v/>
      </c>
      <c r="V1092" s="1">
        <f t="shared" si="136"/>
        <v>0</v>
      </c>
      <c r="W1092" s="1" t="str">
        <f t="shared" si="137"/>
        <v/>
      </c>
      <c r="X1092" s="1"/>
      <c r="Y1092" s="1"/>
      <c r="Z1092" s="1"/>
      <c r="AA1092" s="1"/>
      <c r="AB1092" s="1"/>
      <c r="AC1092" s="1"/>
      <c r="AD1092" s="1">
        <f>IF($C1092="",0,SUMPRODUCT((AY_SONU!$O$7:$O$42="Evet")*(AY_SONU!$B$7:$B$42=DATE(YEAR($C1092),MONTH($C1092),1))))</f>
        <v>0</v>
      </c>
      <c r="AE1092" s="1" t="str">
        <f>IF($E1092="","",$E1092&amp;"|"&amp;COUNTIFS($E$7:$E1092,$E1092))</f>
        <v/>
      </c>
    </row>
    <row r="1093" spans="1:31" ht="18" customHeight="1" x14ac:dyDescent="0.3">
      <c r="A1093" s="2"/>
      <c r="B1093" s="65" t="str">
        <f t="shared" si="130"/>
        <v/>
      </c>
      <c r="C1093" s="66"/>
      <c r="D1093" s="60"/>
      <c r="E1093" s="61"/>
      <c r="F1093" s="61"/>
      <c r="G1093" s="67"/>
      <c r="H1093" s="60"/>
      <c r="I1093" s="60"/>
      <c r="J1093" s="61"/>
      <c r="K1093" s="61"/>
      <c r="L1093" s="60"/>
      <c r="M1093" s="74" t="str">
        <f t="shared" si="131"/>
        <v/>
      </c>
      <c r="N1093" s="74" t="str">
        <f t="shared" si="132"/>
        <v/>
      </c>
      <c r="O1093" s="73" t="str">
        <f t="shared" si="133"/>
        <v/>
      </c>
      <c r="P1093" s="65" t="str">
        <f t="shared" ca="1" si="134"/>
        <v/>
      </c>
      <c r="Q1093" s="2"/>
      <c r="R1093" s="2"/>
      <c r="S1093" s="1" t="str">
        <f t="shared" si="135"/>
        <v/>
      </c>
      <c r="T1093" s="1" t="str">
        <f>IF(OR($C1093="",$D1093&lt;&gt;"Gelir",$L1093=""),"",IFERROR(INDEX(MUSTERILER!$B$7:$B$156,MATCH($S1093,MUSTERILER!$T$7:$T$156,0)),""))</f>
        <v/>
      </c>
      <c r="U1093" s="1" t="str">
        <f>IF($T1093="","",$T1093&amp;"|"&amp;COUNTIFS($T$7:$T1093,$T1093))</f>
        <v/>
      </c>
      <c r="V1093" s="1">
        <f t="shared" si="136"/>
        <v>0</v>
      </c>
      <c r="W1093" s="1" t="str">
        <f t="shared" si="137"/>
        <v/>
      </c>
      <c r="X1093" s="1"/>
      <c r="Y1093" s="1"/>
      <c r="Z1093" s="1"/>
      <c r="AA1093" s="1"/>
      <c r="AB1093" s="1"/>
      <c r="AC1093" s="1"/>
      <c r="AD1093" s="1">
        <f>IF($C1093="",0,SUMPRODUCT((AY_SONU!$O$7:$O$42="Evet")*(AY_SONU!$B$7:$B$42=DATE(YEAR($C1093),MONTH($C1093),1))))</f>
        <v>0</v>
      </c>
      <c r="AE1093" s="1" t="str">
        <f>IF($E1093="","",$E1093&amp;"|"&amp;COUNTIFS($E$7:$E1093,$E1093))</f>
        <v/>
      </c>
    </row>
    <row r="1094" spans="1:31" ht="18" customHeight="1" x14ac:dyDescent="0.3">
      <c r="A1094" s="2"/>
      <c r="B1094" s="65" t="str">
        <f t="shared" si="130"/>
        <v/>
      </c>
      <c r="C1094" s="66"/>
      <c r="D1094" s="60"/>
      <c r="E1094" s="61"/>
      <c r="F1094" s="61"/>
      <c r="G1094" s="67"/>
      <c r="H1094" s="60"/>
      <c r="I1094" s="60"/>
      <c r="J1094" s="61"/>
      <c r="K1094" s="61"/>
      <c r="L1094" s="60"/>
      <c r="M1094" s="74" t="str">
        <f t="shared" si="131"/>
        <v/>
      </c>
      <c r="N1094" s="74" t="str">
        <f t="shared" si="132"/>
        <v/>
      </c>
      <c r="O1094" s="73" t="str">
        <f t="shared" si="133"/>
        <v/>
      </c>
      <c r="P1094" s="65" t="str">
        <f t="shared" ca="1" si="134"/>
        <v/>
      </c>
      <c r="Q1094" s="2"/>
      <c r="R1094" s="2"/>
      <c r="S1094" s="1" t="str">
        <f t="shared" si="135"/>
        <v/>
      </c>
      <c r="T1094" s="1" t="str">
        <f>IF(OR($C1094="",$D1094&lt;&gt;"Gelir",$L1094=""),"",IFERROR(INDEX(MUSTERILER!$B$7:$B$156,MATCH($S1094,MUSTERILER!$T$7:$T$156,0)),""))</f>
        <v/>
      </c>
      <c r="U1094" s="1" t="str">
        <f>IF($T1094="","",$T1094&amp;"|"&amp;COUNTIFS($T$7:$T1094,$T1094))</f>
        <v/>
      </c>
      <c r="V1094" s="1">
        <f t="shared" si="136"/>
        <v>0</v>
      </c>
      <c r="W1094" s="1" t="str">
        <f t="shared" si="137"/>
        <v/>
      </c>
      <c r="X1094" s="1"/>
      <c r="Y1094" s="1"/>
      <c r="Z1094" s="1"/>
      <c r="AA1094" s="1"/>
      <c r="AB1094" s="1"/>
      <c r="AC1094" s="1"/>
      <c r="AD1094" s="1">
        <f>IF($C1094="",0,SUMPRODUCT((AY_SONU!$O$7:$O$42="Evet")*(AY_SONU!$B$7:$B$42=DATE(YEAR($C1094),MONTH($C1094),1))))</f>
        <v>0</v>
      </c>
      <c r="AE1094" s="1" t="str">
        <f>IF($E1094="","",$E1094&amp;"|"&amp;COUNTIFS($E$7:$E1094,$E1094))</f>
        <v/>
      </c>
    </row>
    <row r="1095" spans="1:31" ht="18" customHeight="1" x14ac:dyDescent="0.3">
      <c r="A1095" s="2"/>
      <c r="B1095" s="65" t="str">
        <f t="shared" ref="B1095:B1158" si="138">IF($C1095="","","GG"&amp;TEXT(ROW()-6,"00000"))</f>
        <v/>
      </c>
      <c r="C1095" s="66"/>
      <c r="D1095" s="60"/>
      <c r="E1095" s="61"/>
      <c r="F1095" s="61"/>
      <c r="G1095" s="67"/>
      <c r="H1095" s="60"/>
      <c r="I1095" s="60"/>
      <c r="J1095" s="61"/>
      <c r="K1095" s="61"/>
      <c r="L1095" s="60"/>
      <c r="M1095" s="74" t="str">
        <f t="shared" ref="M1095:M1158" si="139">IF($C1095="","",IF($D1095="Gider",$E1095,IF($L1095&lt;&gt;"",$L1095,$H1095)))</f>
        <v/>
      </c>
      <c r="N1095" s="74" t="str">
        <f t="shared" ref="N1095:N1158" si="140">IF($C1095="","",IF($D1095="Gider",$H1095,$E1095))</f>
        <v/>
      </c>
      <c r="O1095" s="73" t="str">
        <f t="shared" ref="O1095:O1158" si="141">IF($C1095="","",DATE(YEAR($C1095),MONTH($C1095),1))</f>
        <v/>
      </c>
      <c r="P1095" s="65" t="str">
        <f t="shared" ref="P1095:P1158" ca="1" si="142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TARİH",IF(COUNTIF($W$7:$W$3006,$W1095)&gt;1,"MÜKERRER?",IF($AD1095&gt;0,"KAPALI DÖNEM",IF($I1095="Hayır","ÖDENECEK","UYGUN")))),"EKSİK"))))</f>
        <v/>
      </c>
      <c r="Q1095" s="2"/>
      <c r="R1095" s="2"/>
      <c r="S1095" s="1" t="str">
        <f t="shared" ref="S1095:S1158" si="143"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1" t="str">
        <f>IF(OR($C1095="",$D1095&lt;&gt;"Gelir",$L1095=""),"",IFERROR(INDEX(MUSTERILER!$B$7:$B$156,MATCH($S1095,MUSTERILER!$T$7:$T$156,0)),""))</f>
        <v/>
      </c>
      <c r="U1095" s="1" t="str">
        <f>IF($T1095="","",$T1095&amp;"|"&amp;COUNTIFS($T$7:$T1095,$T1095))</f>
        <v/>
      </c>
      <c r="V1095" s="1">
        <f t="shared" ref="V1095:V1158" si="144">IF($T1095="",0,1)</f>
        <v>0</v>
      </c>
      <c r="W1095" s="1" t="str">
        <f t="shared" ref="W1095:W1158" si="145">IF($C1095="","",$D1095&amp;"|"&amp;$E1095&amp;"|"&amp;TEXT($C1095,"0")&amp;"|"&amp;TEXT($G1095,"0")&amp;"|"&amp;$J1095)</f>
        <v/>
      </c>
      <c r="X1095" s="1"/>
      <c r="Y1095" s="1"/>
      <c r="Z1095" s="1"/>
      <c r="AA1095" s="1"/>
      <c r="AB1095" s="1"/>
      <c r="AC1095" s="1"/>
      <c r="AD1095" s="1">
        <f>IF($C1095="",0,SUMPRODUCT((AY_SONU!$O$7:$O$42="Evet")*(AY_SONU!$B$7:$B$42=DATE(YEAR($C1095),MONTH($C1095),1))))</f>
        <v>0</v>
      </c>
      <c r="AE1095" s="1" t="str">
        <f>IF($E1095="","",$E1095&amp;"|"&amp;COUNTIFS($E$7:$E1095,$E1095))</f>
        <v/>
      </c>
    </row>
    <row r="1096" spans="1:31" ht="18" customHeight="1" x14ac:dyDescent="0.3">
      <c r="A1096" s="2"/>
      <c r="B1096" s="65" t="str">
        <f t="shared" si="138"/>
        <v/>
      </c>
      <c r="C1096" s="66"/>
      <c r="D1096" s="60"/>
      <c r="E1096" s="61"/>
      <c r="F1096" s="61"/>
      <c r="G1096" s="67"/>
      <c r="H1096" s="60"/>
      <c r="I1096" s="60"/>
      <c r="J1096" s="61"/>
      <c r="K1096" s="61"/>
      <c r="L1096" s="60"/>
      <c r="M1096" s="74" t="str">
        <f t="shared" si="139"/>
        <v/>
      </c>
      <c r="N1096" s="74" t="str">
        <f t="shared" si="140"/>
        <v/>
      </c>
      <c r="O1096" s="73" t="str">
        <f t="shared" si="141"/>
        <v/>
      </c>
      <c r="P1096" s="65" t="str">
        <f t="shared" ca="1" si="142"/>
        <v/>
      </c>
      <c r="Q1096" s="2"/>
      <c r="R1096" s="2"/>
      <c r="S1096" s="1" t="str">
        <f t="shared" si="143"/>
        <v/>
      </c>
      <c r="T1096" s="1" t="str">
        <f>IF(OR($C1096="",$D1096&lt;&gt;"Gelir",$L1096=""),"",IFERROR(INDEX(MUSTERILER!$B$7:$B$156,MATCH($S1096,MUSTERILER!$T$7:$T$156,0)),""))</f>
        <v/>
      </c>
      <c r="U1096" s="1" t="str">
        <f>IF($T1096="","",$T1096&amp;"|"&amp;COUNTIFS($T$7:$T1096,$T1096))</f>
        <v/>
      </c>
      <c r="V1096" s="1">
        <f t="shared" si="144"/>
        <v>0</v>
      </c>
      <c r="W1096" s="1" t="str">
        <f t="shared" si="145"/>
        <v/>
      </c>
      <c r="X1096" s="1"/>
      <c r="Y1096" s="1"/>
      <c r="Z1096" s="1"/>
      <c r="AA1096" s="1"/>
      <c r="AB1096" s="1"/>
      <c r="AC1096" s="1"/>
      <c r="AD1096" s="1">
        <f>IF($C1096="",0,SUMPRODUCT((AY_SONU!$O$7:$O$42="Evet")*(AY_SONU!$B$7:$B$42=DATE(YEAR($C1096),MONTH($C1096),1))))</f>
        <v>0</v>
      </c>
      <c r="AE1096" s="1" t="str">
        <f>IF($E1096="","",$E1096&amp;"|"&amp;COUNTIFS($E$7:$E1096,$E1096))</f>
        <v/>
      </c>
    </row>
    <row r="1097" spans="1:31" ht="18" customHeight="1" x14ac:dyDescent="0.3">
      <c r="A1097" s="2"/>
      <c r="B1097" s="65" t="str">
        <f t="shared" si="138"/>
        <v/>
      </c>
      <c r="C1097" s="66"/>
      <c r="D1097" s="60"/>
      <c r="E1097" s="61"/>
      <c r="F1097" s="61"/>
      <c r="G1097" s="67"/>
      <c r="H1097" s="60"/>
      <c r="I1097" s="60"/>
      <c r="J1097" s="61"/>
      <c r="K1097" s="61"/>
      <c r="L1097" s="60"/>
      <c r="M1097" s="74" t="str">
        <f t="shared" si="139"/>
        <v/>
      </c>
      <c r="N1097" s="74" t="str">
        <f t="shared" si="140"/>
        <v/>
      </c>
      <c r="O1097" s="73" t="str">
        <f t="shared" si="141"/>
        <v/>
      </c>
      <c r="P1097" s="65" t="str">
        <f t="shared" ca="1" si="142"/>
        <v/>
      </c>
      <c r="Q1097" s="2"/>
      <c r="R1097" s="2"/>
      <c r="S1097" s="1" t="str">
        <f t="shared" si="143"/>
        <v/>
      </c>
      <c r="T1097" s="1" t="str">
        <f>IF(OR($C1097="",$D1097&lt;&gt;"Gelir",$L1097=""),"",IFERROR(INDEX(MUSTERILER!$B$7:$B$156,MATCH($S1097,MUSTERILER!$T$7:$T$156,0)),""))</f>
        <v/>
      </c>
      <c r="U1097" s="1" t="str">
        <f>IF($T1097="","",$T1097&amp;"|"&amp;COUNTIFS($T$7:$T1097,$T1097))</f>
        <v/>
      </c>
      <c r="V1097" s="1">
        <f t="shared" si="144"/>
        <v>0</v>
      </c>
      <c r="W1097" s="1" t="str">
        <f t="shared" si="145"/>
        <v/>
      </c>
      <c r="X1097" s="1"/>
      <c r="Y1097" s="1"/>
      <c r="Z1097" s="1"/>
      <c r="AA1097" s="1"/>
      <c r="AB1097" s="1"/>
      <c r="AC1097" s="1"/>
      <c r="AD1097" s="1">
        <f>IF($C1097="",0,SUMPRODUCT((AY_SONU!$O$7:$O$42="Evet")*(AY_SONU!$B$7:$B$42=DATE(YEAR($C1097),MONTH($C1097),1))))</f>
        <v>0</v>
      </c>
      <c r="AE1097" s="1" t="str">
        <f>IF($E1097="","",$E1097&amp;"|"&amp;COUNTIFS($E$7:$E1097,$E1097))</f>
        <v/>
      </c>
    </row>
    <row r="1098" spans="1:31" ht="18" customHeight="1" x14ac:dyDescent="0.3">
      <c r="A1098" s="2"/>
      <c r="B1098" s="65" t="str">
        <f t="shared" si="138"/>
        <v/>
      </c>
      <c r="C1098" s="66"/>
      <c r="D1098" s="60"/>
      <c r="E1098" s="61"/>
      <c r="F1098" s="61"/>
      <c r="G1098" s="67"/>
      <c r="H1098" s="60"/>
      <c r="I1098" s="60"/>
      <c r="J1098" s="61"/>
      <c r="K1098" s="61"/>
      <c r="L1098" s="60"/>
      <c r="M1098" s="74" t="str">
        <f t="shared" si="139"/>
        <v/>
      </c>
      <c r="N1098" s="74" t="str">
        <f t="shared" si="140"/>
        <v/>
      </c>
      <c r="O1098" s="73" t="str">
        <f t="shared" si="141"/>
        <v/>
      </c>
      <c r="P1098" s="65" t="str">
        <f t="shared" ca="1" si="142"/>
        <v/>
      </c>
      <c r="Q1098" s="2"/>
      <c r="R1098" s="2"/>
      <c r="S1098" s="1" t="str">
        <f t="shared" si="143"/>
        <v/>
      </c>
      <c r="T1098" s="1" t="str">
        <f>IF(OR($C1098="",$D1098&lt;&gt;"Gelir",$L1098=""),"",IFERROR(INDEX(MUSTERILER!$B$7:$B$156,MATCH($S1098,MUSTERILER!$T$7:$T$156,0)),""))</f>
        <v/>
      </c>
      <c r="U1098" s="1" t="str">
        <f>IF($T1098="","",$T1098&amp;"|"&amp;COUNTIFS($T$7:$T1098,$T1098))</f>
        <v/>
      </c>
      <c r="V1098" s="1">
        <f t="shared" si="144"/>
        <v>0</v>
      </c>
      <c r="W1098" s="1" t="str">
        <f t="shared" si="145"/>
        <v/>
      </c>
      <c r="X1098" s="1"/>
      <c r="Y1098" s="1"/>
      <c r="Z1098" s="1"/>
      <c r="AA1098" s="1"/>
      <c r="AB1098" s="1"/>
      <c r="AC1098" s="1"/>
      <c r="AD1098" s="1">
        <f>IF($C1098="",0,SUMPRODUCT((AY_SONU!$O$7:$O$42="Evet")*(AY_SONU!$B$7:$B$42=DATE(YEAR($C1098),MONTH($C1098),1))))</f>
        <v>0</v>
      </c>
      <c r="AE1098" s="1" t="str">
        <f>IF($E1098="","",$E1098&amp;"|"&amp;COUNTIFS($E$7:$E1098,$E1098))</f>
        <v/>
      </c>
    </row>
    <row r="1099" spans="1:31" ht="18" customHeight="1" x14ac:dyDescent="0.3">
      <c r="A1099" s="2"/>
      <c r="B1099" s="65" t="str">
        <f t="shared" si="138"/>
        <v/>
      </c>
      <c r="C1099" s="66"/>
      <c r="D1099" s="60"/>
      <c r="E1099" s="61"/>
      <c r="F1099" s="61"/>
      <c r="G1099" s="67"/>
      <c r="H1099" s="60"/>
      <c r="I1099" s="60"/>
      <c r="J1099" s="61"/>
      <c r="K1099" s="61"/>
      <c r="L1099" s="60"/>
      <c r="M1099" s="74" t="str">
        <f t="shared" si="139"/>
        <v/>
      </c>
      <c r="N1099" s="74" t="str">
        <f t="shared" si="140"/>
        <v/>
      </c>
      <c r="O1099" s="73" t="str">
        <f t="shared" si="141"/>
        <v/>
      </c>
      <c r="P1099" s="65" t="str">
        <f t="shared" ca="1" si="142"/>
        <v/>
      </c>
      <c r="Q1099" s="2"/>
      <c r="R1099" s="2"/>
      <c r="S1099" s="1" t="str">
        <f t="shared" si="143"/>
        <v/>
      </c>
      <c r="T1099" s="1" t="str">
        <f>IF(OR($C1099="",$D1099&lt;&gt;"Gelir",$L1099=""),"",IFERROR(INDEX(MUSTERILER!$B$7:$B$156,MATCH($S1099,MUSTERILER!$T$7:$T$156,0)),""))</f>
        <v/>
      </c>
      <c r="U1099" s="1" t="str">
        <f>IF($T1099="","",$T1099&amp;"|"&amp;COUNTIFS($T$7:$T1099,$T1099))</f>
        <v/>
      </c>
      <c r="V1099" s="1">
        <f t="shared" si="144"/>
        <v>0</v>
      </c>
      <c r="W1099" s="1" t="str">
        <f t="shared" si="145"/>
        <v/>
      </c>
      <c r="X1099" s="1"/>
      <c r="Y1099" s="1"/>
      <c r="Z1099" s="1"/>
      <c r="AA1099" s="1"/>
      <c r="AB1099" s="1"/>
      <c r="AC1099" s="1"/>
      <c r="AD1099" s="1">
        <f>IF($C1099="",0,SUMPRODUCT((AY_SONU!$O$7:$O$42="Evet")*(AY_SONU!$B$7:$B$42=DATE(YEAR($C1099),MONTH($C1099),1))))</f>
        <v>0</v>
      </c>
      <c r="AE1099" s="1" t="str">
        <f>IF($E1099="","",$E1099&amp;"|"&amp;COUNTIFS($E$7:$E1099,$E1099))</f>
        <v/>
      </c>
    </row>
    <row r="1100" spans="1:31" ht="18" customHeight="1" x14ac:dyDescent="0.3">
      <c r="A1100" s="2"/>
      <c r="B1100" s="65" t="str">
        <f t="shared" si="138"/>
        <v/>
      </c>
      <c r="C1100" s="66"/>
      <c r="D1100" s="60"/>
      <c r="E1100" s="61"/>
      <c r="F1100" s="61"/>
      <c r="G1100" s="67"/>
      <c r="H1100" s="60"/>
      <c r="I1100" s="60"/>
      <c r="J1100" s="61"/>
      <c r="K1100" s="61"/>
      <c r="L1100" s="60"/>
      <c r="M1100" s="74" t="str">
        <f t="shared" si="139"/>
        <v/>
      </c>
      <c r="N1100" s="74" t="str">
        <f t="shared" si="140"/>
        <v/>
      </c>
      <c r="O1100" s="73" t="str">
        <f t="shared" si="141"/>
        <v/>
      </c>
      <c r="P1100" s="65" t="str">
        <f t="shared" ca="1" si="142"/>
        <v/>
      </c>
      <c r="Q1100" s="2"/>
      <c r="R1100" s="2"/>
      <c r="S1100" s="1" t="str">
        <f t="shared" si="143"/>
        <v/>
      </c>
      <c r="T1100" s="1" t="str">
        <f>IF(OR($C1100="",$D1100&lt;&gt;"Gelir",$L1100=""),"",IFERROR(INDEX(MUSTERILER!$B$7:$B$156,MATCH($S1100,MUSTERILER!$T$7:$T$156,0)),""))</f>
        <v/>
      </c>
      <c r="U1100" s="1" t="str">
        <f>IF($T1100="","",$T1100&amp;"|"&amp;COUNTIFS($T$7:$T1100,$T1100))</f>
        <v/>
      </c>
      <c r="V1100" s="1">
        <f t="shared" si="144"/>
        <v>0</v>
      </c>
      <c r="W1100" s="1" t="str">
        <f t="shared" si="145"/>
        <v/>
      </c>
      <c r="X1100" s="1"/>
      <c r="Y1100" s="1"/>
      <c r="Z1100" s="1"/>
      <c r="AA1100" s="1"/>
      <c r="AB1100" s="1"/>
      <c r="AC1100" s="1"/>
      <c r="AD1100" s="1">
        <f>IF($C1100="",0,SUMPRODUCT((AY_SONU!$O$7:$O$42="Evet")*(AY_SONU!$B$7:$B$42=DATE(YEAR($C1100),MONTH($C1100),1))))</f>
        <v>0</v>
      </c>
      <c r="AE1100" s="1" t="str">
        <f>IF($E1100="","",$E1100&amp;"|"&amp;COUNTIFS($E$7:$E1100,$E1100))</f>
        <v/>
      </c>
    </row>
    <row r="1101" spans="1:31" ht="18" customHeight="1" x14ac:dyDescent="0.3">
      <c r="A1101" s="2"/>
      <c r="B1101" s="65" t="str">
        <f t="shared" si="138"/>
        <v/>
      </c>
      <c r="C1101" s="66"/>
      <c r="D1101" s="60"/>
      <c r="E1101" s="61"/>
      <c r="F1101" s="61"/>
      <c r="G1101" s="67"/>
      <c r="H1101" s="60"/>
      <c r="I1101" s="60"/>
      <c r="J1101" s="61"/>
      <c r="K1101" s="61"/>
      <c r="L1101" s="60"/>
      <c r="M1101" s="74" t="str">
        <f t="shared" si="139"/>
        <v/>
      </c>
      <c r="N1101" s="74" t="str">
        <f t="shared" si="140"/>
        <v/>
      </c>
      <c r="O1101" s="73" t="str">
        <f t="shared" si="141"/>
        <v/>
      </c>
      <c r="P1101" s="65" t="str">
        <f t="shared" ca="1" si="142"/>
        <v/>
      </c>
      <c r="Q1101" s="2"/>
      <c r="R1101" s="2"/>
      <c r="S1101" s="1" t="str">
        <f t="shared" si="143"/>
        <v/>
      </c>
      <c r="T1101" s="1" t="str">
        <f>IF(OR($C1101="",$D1101&lt;&gt;"Gelir",$L1101=""),"",IFERROR(INDEX(MUSTERILER!$B$7:$B$156,MATCH($S1101,MUSTERILER!$T$7:$T$156,0)),""))</f>
        <v/>
      </c>
      <c r="U1101" s="1" t="str">
        <f>IF($T1101="","",$T1101&amp;"|"&amp;COUNTIFS($T$7:$T1101,$T1101))</f>
        <v/>
      </c>
      <c r="V1101" s="1">
        <f t="shared" si="144"/>
        <v>0</v>
      </c>
      <c r="W1101" s="1" t="str">
        <f t="shared" si="145"/>
        <v/>
      </c>
      <c r="X1101" s="1"/>
      <c r="Y1101" s="1"/>
      <c r="Z1101" s="1"/>
      <c r="AA1101" s="1"/>
      <c r="AB1101" s="1"/>
      <c r="AC1101" s="1"/>
      <c r="AD1101" s="1">
        <f>IF($C1101="",0,SUMPRODUCT((AY_SONU!$O$7:$O$42="Evet")*(AY_SONU!$B$7:$B$42=DATE(YEAR($C1101),MONTH($C1101),1))))</f>
        <v>0</v>
      </c>
      <c r="AE1101" s="1" t="str">
        <f>IF($E1101="","",$E1101&amp;"|"&amp;COUNTIFS($E$7:$E1101,$E1101))</f>
        <v/>
      </c>
    </row>
    <row r="1102" spans="1:31" ht="18" customHeight="1" x14ac:dyDescent="0.3">
      <c r="A1102" s="2"/>
      <c r="B1102" s="65" t="str">
        <f t="shared" si="138"/>
        <v/>
      </c>
      <c r="C1102" s="66"/>
      <c r="D1102" s="60"/>
      <c r="E1102" s="61"/>
      <c r="F1102" s="61"/>
      <c r="G1102" s="67"/>
      <c r="H1102" s="60"/>
      <c r="I1102" s="60"/>
      <c r="J1102" s="61"/>
      <c r="K1102" s="61"/>
      <c r="L1102" s="60"/>
      <c r="M1102" s="74" t="str">
        <f t="shared" si="139"/>
        <v/>
      </c>
      <c r="N1102" s="74" t="str">
        <f t="shared" si="140"/>
        <v/>
      </c>
      <c r="O1102" s="73" t="str">
        <f t="shared" si="141"/>
        <v/>
      </c>
      <c r="P1102" s="65" t="str">
        <f t="shared" ca="1" si="142"/>
        <v/>
      </c>
      <c r="Q1102" s="2"/>
      <c r="R1102" s="2"/>
      <c r="S1102" s="1" t="str">
        <f t="shared" si="143"/>
        <v/>
      </c>
      <c r="T1102" s="1" t="str">
        <f>IF(OR($C1102="",$D1102&lt;&gt;"Gelir",$L1102=""),"",IFERROR(INDEX(MUSTERILER!$B$7:$B$156,MATCH($S1102,MUSTERILER!$T$7:$T$156,0)),""))</f>
        <v/>
      </c>
      <c r="U1102" s="1" t="str">
        <f>IF($T1102="","",$T1102&amp;"|"&amp;COUNTIFS($T$7:$T1102,$T1102))</f>
        <v/>
      </c>
      <c r="V1102" s="1">
        <f t="shared" si="144"/>
        <v>0</v>
      </c>
      <c r="W1102" s="1" t="str">
        <f t="shared" si="145"/>
        <v/>
      </c>
      <c r="X1102" s="1"/>
      <c r="Y1102" s="1"/>
      <c r="Z1102" s="1"/>
      <c r="AA1102" s="1"/>
      <c r="AB1102" s="1"/>
      <c r="AC1102" s="1"/>
      <c r="AD1102" s="1">
        <f>IF($C1102="",0,SUMPRODUCT((AY_SONU!$O$7:$O$42="Evet")*(AY_SONU!$B$7:$B$42=DATE(YEAR($C1102),MONTH($C1102),1))))</f>
        <v>0</v>
      </c>
      <c r="AE1102" s="1" t="str">
        <f>IF($E1102="","",$E1102&amp;"|"&amp;COUNTIFS($E$7:$E1102,$E1102))</f>
        <v/>
      </c>
    </row>
    <row r="1103" spans="1:31" ht="18" customHeight="1" x14ac:dyDescent="0.3">
      <c r="A1103" s="2"/>
      <c r="B1103" s="65" t="str">
        <f t="shared" si="138"/>
        <v/>
      </c>
      <c r="C1103" s="66"/>
      <c r="D1103" s="60"/>
      <c r="E1103" s="61"/>
      <c r="F1103" s="61"/>
      <c r="G1103" s="67"/>
      <c r="H1103" s="60"/>
      <c r="I1103" s="60"/>
      <c r="J1103" s="61"/>
      <c r="K1103" s="61"/>
      <c r="L1103" s="60"/>
      <c r="M1103" s="74" t="str">
        <f t="shared" si="139"/>
        <v/>
      </c>
      <c r="N1103" s="74" t="str">
        <f t="shared" si="140"/>
        <v/>
      </c>
      <c r="O1103" s="73" t="str">
        <f t="shared" si="141"/>
        <v/>
      </c>
      <c r="P1103" s="65" t="str">
        <f t="shared" ca="1" si="142"/>
        <v/>
      </c>
      <c r="Q1103" s="2"/>
      <c r="R1103" s="2"/>
      <c r="S1103" s="1" t="str">
        <f t="shared" si="143"/>
        <v/>
      </c>
      <c r="T1103" s="1" t="str">
        <f>IF(OR($C1103="",$D1103&lt;&gt;"Gelir",$L1103=""),"",IFERROR(INDEX(MUSTERILER!$B$7:$B$156,MATCH($S1103,MUSTERILER!$T$7:$T$156,0)),""))</f>
        <v/>
      </c>
      <c r="U1103" s="1" t="str">
        <f>IF($T1103="","",$T1103&amp;"|"&amp;COUNTIFS($T$7:$T1103,$T1103))</f>
        <v/>
      </c>
      <c r="V1103" s="1">
        <f t="shared" si="144"/>
        <v>0</v>
      </c>
      <c r="W1103" s="1" t="str">
        <f t="shared" si="145"/>
        <v/>
      </c>
      <c r="X1103" s="1"/>
      <c r="Y1103" s="1"/>
      <c r="Z1103" s="1"/>
      <c r="AA1103" s="1"/>
      <c r="AB1103" s="1"/>
      <c r="AC1103" s="1"/>
      <c r="AD1103" s="1">
        <f>IF($C1103="",0,SUMPRODUCT((AY_SONU!$O$7:$O$42="Evet")*(AY_SONU!$B$7:$B$42=DATE(YEAR($C1103),MONTH($C1103),1))))</f>
        <v>0</v>
      </c>
      <c r="AE1103" s="1" t="str">
        <f>IF($E1103="","",$E1103&amp;"|"&amp;COUNTIFS($E$7:$E1103,$E1103))</f>
        <v/>
      </c>
    </row>
    <row r="1104" spans="1:31" ht="18" customHeight="1" x14ac:dyDescent="0.3">
      <c r="A1104" s="2"/>
      <c r="B1104" s="65" t="str">
        <f t="shared" si="138"/>
        <v/>
      </c>
      <c r="C1104" s="66"/>
      <c r="D1104" s="60"/>
      <c r="E1104" s="61"/>
      <c r="F1104" s="61"/>
      <c r="G1104" s="67"/>
      <c r="H1104" s="60"/>
      <c r="I1104" s="60"/>
      <c r="J1104" s="61"/>
      <c r="K1104" s="61"/>
      <c r="L1104" s="60"/>
      <c r="M1104" s="74" t="str">
        <f t="shared" si="139"/>
        <v/>
      </c>
      <c r="N1104" s="74" t="str">
        <f t="shared" si="140"/>
        <v/>
      </c>
      <c r="O1104" s="73" t="str">
        <f t="shared" si="141"/>
        <v/>
      </c>
      <c r="P1104" s="65" t="str">
        <f t="shared" ca="1" si="142"/>
        <v/>
      </c>
      <c r="Q1104" s="2"/>
      <c r="R1104" s="2"/>
      <c r="S1104" s="1" t="str">
        <f t="shared" si="143"/>
        <v/>
      </c>
      <c r="T1104" s="1" t="str">
        <f>IF(OR($C1104="",$D1104&lt;&gt;"Gelir",$L1104=""),"",IFERROR(INDEX(MUSTERILER!$B$7:$B$156,MATCH($S1104,MUSTERILER!$T$7:$T$156,0)),""))</f>
        <v/>
      </c>
      <c r="U1104" s="1" t="str">
        <f>IF($T1104="","",$T1104&amp;"|"&amp;COUNTIFS($T$7:$T1104,$T1104))</f>
        <v/>
      </c>
      <c r="V1104" s="1">
        <f t="shared" si="144"/>
        <v>0</v>
      </c>
      <c r="W1104" s="1" t="str">
        <f t="shared" si="145"/>
        <v/>
      </c>
      <c r="X1104" s="1"/>
      <c r="Y1104" s="1"/>
      <c r="Z1104" s="1"/>
      <c r="AA1104" s="1"/>
      <c r="AB1104" s="1"/>
      <c r="AC1104" s="1"/>
      <c r="AD1104" s="1">
        <f>IF($C1104="",0,SUMPRODUCT((AY_SONU!$O$7:$O$42="Evet")*(AY_SONU!$B$7:$B$42=DATE(YEAR($C1104),MONTH($C1104),1))))</f>
        <v>0</v>
      </c>
      <c r="AE1104" s="1" t="str">
        <f>IF($E1104="","",$E1104&amp;"|"&amp;COUNTIFS($E$7:$E1104,$E1104))</f>
        <v/>
      </c>
    </row>
    <row r="1105" spans="1:31" ht="18" customHeight="1" x14ac:dyDescent="0.3">
      <c r="A1105" s="2"/>
      <c r="B1105" s="65" t="str">
        <f t="shared" si="138"/>
        <v/>
      </c>
      <c r="C1105" s="66"/>
      <c r="D1105" s="60"/>
      <c r="E1105" s="61"/>
      <c r="F1105" s="61"/>
      <c r="G1105" s="67"/>
      <c r="H1105" s="60"/>
      <c r="I1105" s="60"/>
      <c r="J1105" s="61"/>
      <c r="K1105" s="61"/>
      <c r="L1105" s="60"/>
      <c r="M1105" s="74" t="str">
        <f t="shared" si="139"/>
        <v/>
      </c>
      <c r="N1105" s="74" t="str">
        <f t="shared" si="140"/>
        <v/>
      </c>
      <c r="O1105" s="73" t="str">
        <f t="shared" si="141"/>
        <v/>
      </c>
      <c r="P1105" s="65" t="str">
        <f t="shared" ca="1" si="142"/>
        <v/>
      </c>
      <c r="Q1105" s="2"/>
      <c r="R1105" s="2"/>
      <c r="S1105" s="1" t="str">
        <f t="shared" si="143"/>
        <v/>
      </c>
      <c r="T1105" s="1" t="str">
        <f>IF(OR($C1105="",$D1105&lt;&gt;"Gelir",$L1105=""),"",IFERROR(INDEX(MUSTERILER!$B$7:$B$156,MATCH($S1105,MUSTERILER!$T$7:$T$156,0)),""))</f>
        <v/>
      </c>
      <c r="U1105" s="1" t="str">
        <f>IF($T1105="","",$T1105&amp;"|"&amp;COUNTIFS($T$7:$T1105,$T1105))</f>
        <v/>
      </c>
      <c r="V1105" s="1">
        <f t="shared" si="144"/>
        <v>0</v>
      </c>
      <c r="W1105" s="1" t="str">
        <f t="shared" si="145"/>
        <v/>
      </c>
      <c r="X1105" s="1"/>
      <c r="Y1105" s="1"/>
      <c r="Z1105" s="1"/>
      <c r="AA1105" s="1"/>
      <c r="AB1105" s="1"/>
      <c r="AC1105" s="1"/>
      <c r="AD1105" s="1">
        <f>IF($C1105="",0,SUMPRODUCT((AY_SONU!$O$7:$O$42="Evet")*(AY_SONU!$B$7:$B$42=DATE(YEAR($C1105),MONTH($C1105),1))))</f>
        <v>0</v>
      </c>
      <c r="AE1105" s="1" t="str">
        <f>IF($E1105="","",$E1105&amp;"|"&amp;COUNTIFS($E$7:$E1105,$E1105))</f>
        <v/>
      </c>
    </row>
    <row r="1106" spans="1:31" ht="18" customHeight="1" x14ac:dyDescent="0.3">
      <c r="A1106" s="2"/>
      <c r="B1106" s="65" t="str">
        <f t="shared" si="138"/>
        <v/>
      </c>
      <c r="C1106" s="66"/>
      <c r="D1106" s="60"/>
      <c r="E1106" s="61"/>
      <c r="F1106" s="61"/>
      <c r="G1106" s="67"/>
      <c r="H1106" s="60"/>
      <c r="I1106" s="60"/>
      <c r="J1106" s="61"/>
      <c r="K1106" s="61"/>
      <c r="L1106" s="60"/>
      <c r="M1106" s="74" t="str">
        <f t="shared" si="139"/>
        <v/>
      </c>
      <c r="N1106" s="74" t="str">
        <f t="shared" si="140"/>
        <v/>
      </c>
      <c r="O1106" s="73" t="str">
        <f t="shared" si="141"/>
        <v/>
      </c>
      <c r="P1106" s="65" t="str">
        <f t="shared" ca="1" si="142"/>
        <v/>
      </c>
      <c r="Q1106" s="2"/>
      <c r="R1106" s="2"/>
      <c r="S1106" s="1" t="str">
        <f t="shared" si="143"/>
        <v/>
      </c>
      <c r="T1106" s="1" t="str">
        <f>IF(OR($C1106="",$D1106&lt;&gt;"Gelir",$L1106=""),"",IFERROR(INDEX(MUSTERILER!$B$7:$B$156,MATCH($S1106,MUSTERILER!$T$7:$T$156,0)),""))</f>
        <v/>
      </c>
      <c r="U1106" s="1" t="str">
        <f>IF($T1106="","",$T1106&amp;"|"&amp;COUNTIFS($T$7:$T1106,$T1106))</f>
        <v/>
      </c>
      <c r="V1106" s="1">
        <f t="shared" si="144"/>
        <v>0</v>
      </c>
      <c r="W1106" s="1" t="str">
        <f t="shared" si="145"/>
        <v/>
      </c>
      <c r="X1106" s="1"/>
      <c r="Y1106" s="1"/>
      <c r="Z1106" s="1"/>
      <c r="AA1106" s="1"/>
      <c r="AB1106" s="1"/>
      <c r="AC1106" s="1"/>
      <c r="AD1106" s="1">
        <f>IF($C1106="",0,SUMPRODUCT((AY_SONU!$O$7:$O$42="Evet")*(AY_SONU!$B$7:$B$42=DATE(YEAR($C1106),MONTH($C1106),1))))</f>
        <v>0</v>
      </c>
      <c r="AE1106" s="1" t="str">
        <f>IF($E1106="","",$E1106&amp;"|"&amp;COUNTIFS($E$7:$E1106,$E1106))</f>
        <v/>
      </c>
    </row>
    <row r="1107" spans="1:31" ht="18" customHeight="1" x14ac:dyDescent="0.3">
      <c r="A1107" s="2"/>
      <c r="B1107" s="65" t="str">
        <f t="shared" si="138"/>
        <v/>
      </c>
      <c r="C1107" s="66"/>
      <c r="D1107" s="60"/>
      <c r="E1107" s="61"/>
      <c r="F1107" s="61"/>
      <c r="G1107" s="67"/>
      <c r="H1107" s="60"/>
      <c r="I1107" s="60"/>
      <c r="J1107" s="61"/>
      <c r="K1107" s="61"/>
      <c r="L1107" s="60"/>
      <c r="M1107" s="74" t="str">
        <f t="shared" si="139"/>
        <v/>
      </c>
      <c r="N1107" s="74" t="str">
        <f t="shared" si="140"/>
        <v/>
      </c>
      <c r="O1107" s="73" t="str">
        <f t="shared" si="141"/>
        <v/>
      </c>
      <c r="P1107" s="65" t="str">
        <f t="shared" ca="1" si="142"/>
        <v/>
      </c>
      <c r="Q1107" s="2"/>
      <c r="R1107" s="2"/>
      <c r="S1107" s="1" t="str">
        <f t="shared" si="143"/>
        <v/>
      </c>
      <c r="T1107" s="1" t="str">
        <f>IF(OR($C1107="",$D1107&lt;&gt;"Gelir",$L1107=""),"",IFERROR(INDEX(MUSTERILER!$B$7:$B$156,MATCH($S1107,MUSTERILER!$T$7:$T$156,0)),""))</f>
        <v/>
      </c>
      <c r="U1107" s="1" t="str">
        <f>IF($T1107="","",$T1107&amp;"|"&amp;COUNTIFS($T$7:$T1107,$T1107))</f>
        <v/>
      </c>
      <c r="V1107" s="1">
        <f t="shared" si="144"/>
        <v>0</v>
      </c>
      <c r="W1107" s="1" t="str">
        <f t="shared" si="145"/>
        <v/>
      </c>
      <c r="X1107" s="1"/>
      <c r="Y1107" s="1"/>
      <c r="Z1107" s="1"/>
      <c r="AA1107" s="1"/>
      <c r="AB1107" s="1"/>
      <c r="AC1107" s="1"/>
      <c r="AD1107" s="1">
        <f>IF($C1107="",0,SUMPRODUCT((AY_SONU!$O$7:$O$42="Evet")*(AY_SONU!$B$7:$B$42=DATE(YEAR($C1107),MONTH($C1107),1))))</f>
        <v>0</v>
      </c>
      <c r="AE1107" s="1" t="str">
        <f>IF($E1107="","",$E1107&amp;"|"&amp;COUNTIFS($E$7:$E1107,$E1107))</f>
        <v/>
      </c>
    </row>
    <row r="1108" spans="1:31" ht="18" customHeight="1" x14ac:dyDescent="0.3">
      <c r="A1108" s="2"/>
      <c r="B1108" s="65" t="str">
        <f t="shared" si="138"/>
        <v/>
      </c>
      <c r="C1108" s="66"/>
      <c r="D1108" s="60"/>
      <c r="E1108" s="61"/>
      <c r="F1108" s="61"/>
      <c r="G1108" s="67"/>
      <c r="H1108" s="60"/>
      <c r="I1108" s="60"/>
      <c r="J1108" s="61"/>
      <c r="K1108" s="61"/>
      <c r="L1108" s="60"/>
      <c r="M1108" s="74" t="str">
        <f t="shared" si="139"/>
        <v/>
      </c>
      <c r="N1108" s="74" t="str">
        <f t="shared" si="140"/>
        <v/>
      </c>
      <c r="O1108" s="73" t="str">
        <f t="shared" si="141"/>
        <v/>
      </c>
      <c r="P1108" s="65" t="str">
        <f t="shared" ca="1" si="142"/>
        <v/>
      </c>
      <c r="Q1108" s="2"/>
      <c r="R1108" s="2"/>
      <c r="S1108" s="1" t="str">
        <f t="shared" si="143"/>
        <v/>
      </c>
      <c r="T1108" s="1" t="str">
        <f>IF(OR($C1108="",$D1108&lt;&gt;"Gelir",$L1108=""),"",IFERROR(INDEX(MUSTERILER!$B$7:$B$156,MATCH($S1108,MUSTERILER!$T$7:$T$156,0)),""))</f>
        <v/>
      </c>
      <c r="U1108" s="1" t="str">
        <f>IF($T1108="","",$T1108&amp;"|"&amp;COUNTIFS($T$7:$T1108,$T1108))</f>
        <v/>
      </c>
      <c r="V1108" s="1">
        <f t="shared" si="144"/>
        <v>0</v>
      </c>
      <c r="W1108" s="1" t="str">
        <f t="shared" si="145"/>
        <v/>
      </c>
      <c r="X1108" s="1"/>
      <c r="Y1108" s="1"/>
      <c r="Z1108" s="1"/>
      <c r="AA1108" s="1"/>
      <c r="AB1108" s="1"/>
      <c r="AC1108" s="1"/>
      <c r="AD1108" s="1">
        <f>IF($C1108="",0,SUMPRODUCT((AY_SONU!$O$7:$O$42="Evet")*(AY_SONU!$B$7:$B$42=DATE(YEAR($C1108),MONTH($C1108),1))))</f>
        <v>0</v>
      </c>
      <c r="AE1108" s="1" t="str">
        <f>IF($E1108="","",$E1108&amp;"|"&amp;COUNTIFS($E$7:$E1108,$E1108))</f>
        <v/>
      </c>
    </row>
    <row r="1109" spans="1:31" ht="18" customHeight="1" x14ac:dyDescent="0.3">
      <c r="A1109" s="2"/>
      <c r="B1109" s="65" t="str">
        <f t="shared" si="138"/>
        <v/>
      </c>
      <c r="C1109" s="66"/>
      <c r="D1109" s="60"/>
      <c r="E1109" s="61"/>
      <c r="F1109" s="61"/>
      <c r="G1109" s="67"/>
      <c r="H1109" s="60"/>
      <c r="I1109" s="60"/>
      <c r="J1109" s="61"/>
      <c r="K1109" s="61"/>
      <c r="L1109" s="60"/>
      <c r="M1109" s="74" t="str">
        <f t="shared" si="139"/>
        <v/>
      </c>
      <c r="N1109" s="74" t="str">
        <f t="shared" si="140"/>
        <v/>
      </c>
      <c r="O1109" s="73" t="str">
        <f t="shared" si="141"/>
        <v/>
      </c>
      <c r="P1109" s="65" t="str">
        <f t="shared" ca="1" si="142"/>
        <v/>
      </c>
      <c r="Q1109" s="2"/>
      <c r="R1109" s="2"/>
      <c r="S1109" s="1" t="str">
        <f t="shared" si="143"/>
        <v/>
      </c>
      <c r="T1109" s="1" t="str">
        <f>IF(OR($C1109="",$D1109&lt;&gt;"Gelir",$L1109=""),"",IFERROR(INDEX(MUSTERILER!$B$7:$B$156,MATCH($S1109,MUSTERILER!$T$7:$T$156,0)),""))</f>
        <v/>
      </c>
      <c r="U1109" s="1" t="str">
        <f>IF($T1109="","",$T1109&amp;"|"&amp;COUNTIFS($T$7:$T1109,$T1109))</f>
        <v/>
      </c>
      <c r="V1109" s="1">
        <f t="shared" si="144"/>
        <v>0</v>
      </c>
      <c r="W1109" s="1" t="str">
        <f t="shared" si="145"/>
        <v/>
      </c>
      <c r="X1109" s="1"/>
      <c r="Y1109" s="1"/>
      <c r="Z1109" s="1"/>
      <c r="AA1109" s="1"/>
      <c r="AB1109" s="1"/>
      <c r="AC1109" s="1"/>
      <c r="AD1109" s="1">
        <f>IF($C1109="",0,SUMPRODUCT((AY_SONU!$O$7:$O$42="Evet")*(AY_SONU!$B$7:$B$42=DATE(YEAR($C1109),MONTH($C1109),1))))</f>
        <v>0</v>
      </c>
      <c r="AE1109" s="1" t="str">
        <f>IF($E1109="","",$E1109&amp;"|"&amp;COUNTIFS($E$7:$E1109,$E1109))</f>
        <v/>
      </c>
    </row>
    <row r="1110" spans="1:31" ht="18" customHeight="1" x14ac:dyDescent="0.3">
      <c r="A1110" s="2"/>
      <c r="B1110" s="65" t="str">
        <f t="shared" si="138"/>
        <v/>
      </c>
      <c r="C1110" s="66"/>
      <c r="D1110" s="60"/>
      <c r="E1110" s="61"/>
      <c r="F1110" s="61"/>
      <c r="G1110" s="67"/>
      <c r="H1110" s="60"/>
      <c r="I1110" s="60"/>
      <c r="J1110" s="61"/>
      <c r="K1110" s="61"/>
      <c r="L1110" s="60"/>
      <c r="M1110" s="74" t="str">
        <f t="shared" si="139"/>
        <v/>
      </c>
      <c r="N1110" s="74" t="str">
        <f t="shared" si="140"/>
        <v/>
      </c>
      <c r="O1110" s="73" t="str">
        <f t="shared" si="141"/>
        <v/>
      </c>
      <c r="P1110" s="65" t="str">
        <f t="shared" ca="1" si="142"/>
        <v/>
      </c>
      <c r="Q1110" s="2"/>
      <c r="R1110" s="2"/>
      <c r="S1110" s="1" t="str">
        <f t="shared" si="143"/>
        <v/>
      </c>
      <c r="T1110" s="1" t="str">
        <f>IF(OR($C1110="",$D1110&lt;&gt;"Gelir",$L1110=""),"",IFERROR(INDEX(MUSTERILER!$B$7:$B$156,MATCH($S1110,MUSTERILER!$T$7:$T$156,0)),""))</f>
        <v/>
      </c>
      <c r="U1110" s="1" t="str">
        <f>IF($T1110="","",$T1110&amp;"|"&amp;COUNTIFS($T$7:$T1110,$T1110))</f>
        <v/>
      </c>
      <c r="V1110" s="1">
        <f t="shared" si="144"/>
        <v>0</v>
      </c>
      <c r="W1110" s="1" t="str">
        <f t="shared" si="145"/>
        <v/>
      </c>
      <c r="X1110" s="1"/>
      <c r="Y1110" s="1"/>
      <c r="Z1110" s="1"/>
      <c r="AA1110" s="1"/>
      <c r="AB1110" s="1"/>
      <c r="AC1110" s="1"/>
      <c r="AD1110" s="1">
        <f>IF($C1110="",0,SUMPRODUCT((AY_SONU!$O$7:$O$42="Evet")*(AY_SONU!$B$7:$B$42=DATE(YEAR($C1110),MONTH($C1110),1))))</f>
        <v>0</v>
      </c>
      <c r="AE1110" s="1" t="str">
        <f>IF($E1110="","",$E1110&amp;"|"&amp;COUNTIFS($E$7:$E1110,$E1110))</f>
        <v/>
      </c>
    </row>
    <row r="1111" spans="1:31" ht="18" customHeight="1" x14ac:dyDescent="0.3">
      <c r="A1111" s="2"/>
      <c r="B1111" s="65" t="str">
        <f t="shared" si="138"/>
        <v/>
      </c>
      <c r="C1111" s="66"/>
      <c r="D1111" s="60"/>
      <c r="E1111" s="61"/>
      <c r="F1111" s="61"/>
      <c r="G1111" s="67"/>
      <c r="H1111" s="60"/>
      <c r="I1111" s="60"/>
      <c r="J1111" s="61"/>
      <c r="K1111" s="61"/>
      <c r="L1111" s="60"/>
      <c r="M1111" s="74" t="str">
        <f t="shared" si="139"/>
        <v/>
      </c>
      <c r="N1111" s="74" t="str">
        <f t="shared" si="140"/>
        <v/>
      </c>
      <c r="O1111" s="73" t="str">
        <f t="shared" si="141"/>
        <v/>
      </c>
      <c r="P1111" s="65" t="str">
        <f t="shared" ca="1" si="142"/>
        <v/>
      </c>
      <c r="Q1111" s="2"/>
      <c r="R1111" s="2"/>
      <c r="S1111" s="1" t="str">
        <f t="shared" si="143"/>
        <v/>
      </c>
      <c r="T1111" s="1" t="str">
        <f>IF(OR($C1111="",$D1111&lt;&gt;"Gelir",$L1111=""),"",IFERROR(INDEX(MUSTERILER!$B$7:$B$156,MATCH($S1111,MUSTERILER!$T$7:$T$156,0)),""))</f>
        <v/>
      </c>
      <c r="U1111" s="1" t="str">
        <f>IF($T1111="","",$T1111&amp;"|"&amp;COUNTIFS($T$7:$T1111,$T1111))</f>
        <v/>
      </c>
      <c r="V1111" s="1">
        <f t="shared" si="144"/>
        <v>0</v>
      </c>
      <c r="W1111" s="1" t="str">
        <f t="shared" si="145"/>
        <v/>
      </c>
      <c r="X1111" s="1"/>
      <c r="Y1111" s="1"/>
      <c r="Z1111" s="1"/>
      <c r="AA1111" s="1"/>
      <c r="AB1111" s="1"/>
      <c r="AC1111" s="1"/>
      <c r="AD1111" s="1">
        <f>IF($C1111="",0,SUMPRODUCT((AY_SONU!$O$7:$O$42="Evet")*(AY_SONU!$B$7:$B$42=DATE(YEAR($C1111),MONTH($C1111),1))))</f>
        <v>0</v>
      </c>
      <c r="AE1111" s="1" t="str">
        <f>IF($E1111="","",$E1111&amp;"|"&amp;COUNTIFS($E$7:$E1111,$E1111))</f>
        <v/>
      </c>
    </row>
    <row r="1112" spans="1:31" ht="18" customHeight="1" x14ac:dyDescent="0.3">
      <c r="A1112" s="2"/>
      <c r="B1112" s="65" t="str">
        <f t="shared" si="138"/>
        <v/>
      </c>
      <c r="C1112" s="66"/>
      <c r="D1112" s="60"/>
      <c r="E1112" s="61"/>
      <c r="F1112" s="61"/>
      <c r="G1112" s="67"/>
      <c r="H1112" s="60"/>
      <c r="I1112" s="60"/>
      <c r="J1112" s="61"/>
      <c r="K1112" s="61"/>
      <c r="L1112" s="60"/>
      <c r="M1112" s="74" t="str">
        <f t="shared" si="139"/>
        <v/>
      </c>
      <c r="N1112" s="74" t="str">
        <f t="shared" si="140"/>
        <v/>
      </c>
      <c r="O1112" s="73" t="str">
        <f t="shared" si="141"/>
        <v/>
      </c>
      <c r="P1112" s="65" t="str">
        <f t="shared" ca="1" si="142"/>
        <v/>
      </c>
      <c r="Q1112" s="2"/>
      <c r="R1112" s="2"/>
      <c r="S1112" s="1" t="str">
        <f t="shared" si="143"/>
        <v/>
      </c>
      <c r="T1112" s="1" t="str">
        <f>IF(OR($C1112="",$D1112&lt;&gt;"Gelir",$L1112=""),"",IFERROR(INDEX(MUSTERILER!$B$7:$B$156,MATCH($S1112,MUSTERILER!$T$7:$T$156,0)),""))</f>
        <v/>
      </c>
      <c r="U1112" s="1" t="str">
        <f>IF($T1112="","",$T1112&amp;"|"&amp;COUNTIFS($T$7:$T1112,$T1112))</f>
        <v/>
      </c>
      <c r="V1112" s="1">
        <f t="shared" si="144"/>
        <v>0</v>
      </c>
      <c r="W1112" s="1" t="str">
        <f t="shared" si="145"/>
        <v/>
      </c>
      <c r="X1112" s="1"/>
      <c r="Y1112" s="1"/>
      <c r="Z1112" s="1"/>
      <c r="AA1112" s="1"/>
      <c r="AB1112" s="1"/>
      <c r="AC1112" s="1"/>
      <c r="AD1112" s="1">
        <f>IF($C1112="",0,SUMPRODUCT((AY_SONU!$O$7:$O$42="Evet")*(AY_SONU!$B$7:$B$42=DATE(YEAR($C1112),MONTH($C1112),1))))</f>
        <v>0</v>
      </c>
      <c r="AE1112" s="1" t="str">
        <f>IF($E1112="","",$E1112&amp;"|"&amp;COUNTIFS($E$7:$E1112,$E1112))</f>
        <v/>
      </c>
    </row>
    <row r="1113" spans="1:31" ht="18" customHeight="1" x14ac:dyDescent="0.3">
      <c r="A1113" s="2"/>
      <c r="B1113" s="65" t="str">
        <f t="shared" si="138"/>
        <v/>
      </c>
      <c r="C1113" s="66"/>
      <c r="D1113" s="60"/>
      <c r="E1113" s="61"/>
      <c r="F1113" s="61"/>
      <c r="G1113" s="67"/>
      <c r="H1113" s="60"/>
      <c r="I1113" s="60"/>
      <c r="J1113" s="61"/>
      <c r="K1113" s="61"/>
      <c r="L1113" s="60"/>
      <c r="M1113" s="74" t="str">
        <f t="shared" si="139"/>
        <v/>
      </c>
      <c r="N1113" s="74" t="str">
        <f t="shared" si="140"/>
        <v/>
      </c>
      <c r="O1113" s="73" t="str">
        <f t="shared" si="141"/>
        <v/>
      </c>
      <c r="P1113" s="65" t="str">
        <f t="shared" ca="1" si="142"/>
        <v/>
      </c>
      <c r="Q1113" s="2"/>
      <c r="R1113" s="2"/>
      <c r="S1113" s="1" t="str">
        <f t="shared" si="143"/>
        <v/>
      </c>
      <c r="T1113" s="1" t="str">
        <f>IF(OR($C1113="",$D1113&lt;&gt;"Gelir",$L1113=""),"",IFERROR(INDEX(MUSTERILER!$B$7:$B$156,MATCH($S1113,MUSTERILER!$T$7:$T$156,0)),""))</f>
        <v/>
      </c>
      <c r="U1113" s="1" t="str">
        <f>IF($T1113="","",$T1113&amp;"|"&amp;COUNTIFS($T$7:$T1113,$T1113))</f>
        <v/>
      </c>
      <c r="V1113" s="1">
        <f t="shared" si="144"/>
        <v>0</v>
      </c>
      <c r="W1113" s="1" t="str">
        <f t="shared" si="145"/>
        <v/>
      </c>
      <c r="X1113" s="1"/>
      <c r="Y1113" s="1"/>
      <c r="Z1113" s="1"/>
      <c r="AA1113" s="1"/>
      <c r="AB1113" s="1"/>
      <c r="AC1113" s="1"/>
      <c r="AD1113" s="1">
        <f>IF($C1113="",0,SUMPRODUCT((AY_SONU!$O$7:$O$42="Evet")*(AY_SONU!$B$7:$B$42=DATE(YEAR($C1113),MONTH($C1113),1))))</f>
        <v>0</v>
      </c>
      <c r="AE1113" s="1" t="str">
        <f>IF($E1113="","",$E1113&amp;"|"&amp;COUNTIFS($E$7:$E1113,$E1113))</f>
        <v/>
      </c>
    </row>
    <row r="1114" spans="1:31" ht="18" customHeight="1" x14ac:dyDescent="0.3">
      <c r="A1114" s="2"/>
      <c r="B1114" s="65" t="str">
        <f t="shared" si="138"/>
        <v/>
      </c>
      <c r="C1114" s="66"/>
      <c r="D1114" s="60"/>
      <c r="E1114" s="61"/>
      <c r="F1114" s="61"/>
      <c r="G1114" s="67"/>
      <c r="H1114" s="60"/>
      <c r="I1114" s="60"/>
      <c r="J1114" s="61"/>
      <c r="K1114" s="61"/>
      <c r="L1114" s="60"/>
      <c r="M1114" s="74" t="str">
        <f t="shared" si="139"/>
        <v/>
      </c>
      <c r="N1114" s="74" t="str">
        <f t="shared" si="140"/>
        <v/>
      </c>
      <c r="O1114" s="73" t="str">
        <f t="shared" si="141"/>
        <v/>
      </c>
      <c r="P1114" s="65" t="str">
        <f t="shared" ca="1" si="142"/>
        <v/>
      </c>
      <c r="Q1114" s="2"/>
      <c r="R1114" s="2"/>
      <c r="S1114" s="1" t="str">
        <f t="shared" si="143"/>
        <v/>
      </c>
      <c r="T1114" s="1" t="str">
        <f>IF(OR($C1114="",$D1114&lt;&gt;"Gelir",$L1114=""),"",IFERROR(INDEX(MUSTERILER!$B$7:$B$156,MATCH($S1114,MUSTERILER!$T$7:$T$156,0)),""))</f>
        <v/>
      </c>
      <c r="U1114" s="1" t="str">
        <f>IF($T1114="","",$T1114&amp;"|"&amp;COUNTIFS($T$7:$T1114,$T1114))</f>
        <v/>
      </c>
      <c r="V1114" s="1">
        <f t="shared" si="144"/>
        <v>0</v>
      </c>
      <c r="W1114" s="1" t="str">
        <f t="shared" si="145"/>
        <v/>
      </c>
      <c r="X1114" s="1"/>
      <c r="Y1114" s="1"/>
      <c r="Z1114" s="1"/>
      <c r="AA1114" s="1"/>
      <c r="AB1114" s="1"/>
      <c r="AC1114" s="1"/>
      <c r="AD1114" s="1">
        <f>IF($C1114="",0,SUMPRODUCT((AY_SONU!$O$7:$O$42="Evet")*(AY_SONU!$B$7:$B$42=DATE(YEAR($C1114),MONTH($C1114),1))))</f>
        <v>0</v>
      </c>
      <c r="AE1114" s="1" t="str">
        <f>IF($E1114="","",$E1114&amp;"|"&amp;COUNTIFS($E$7:$E1114,$E1114))</f>
        <v/>
      </c>
    </row>
    <row r="1115" spans="1:31" ht="18" customHeight="1" x14ac:dyDescent="0.3">
      <c r="A1115" s="2"/>
      <c r="B1115" s="65" t="str">
        <f t="shared" si="138"/>
        <v/>
      </c>
      <c r="C1115" s="66"/>
      <c r="D1115" s="60"/>
      <c r="E1115" s="61"/>
      <c r="F1115" s="61"/>
      <c r="G1115" s="67"/>
      <c r="H1115" s="60"/>
      <c r="I1115" s="60"/>
      <c r="J1115" s="61"/>
      <c r="K1115" s="61"/>
      <c r="L1115" s="60"/>
      <c r="M1115" s="74" t="str">
        <f t="shared" si="139"/>
        <v/>
      </c>
      <c r="N1115" s="74" t="str">
        <f t="shared" si="140"/>
        <v/>
      </c>
      <c r="O1115" s="73" t="str">
        <f t="shared" si="141"/>
        <v/>
      </c>
      <c r="P1115" s="65" t="str">
        <f t="shared" ca="1" si="142"/>
        <v/>
      </c>
      <c r="Q1115" s="2"/>
      <c r="R1115" s="2"/>
      <c r="S1115" s="1" t="str">
        <f t="shared" si="143"/>
        <v/>
      </c>
      <c r="T1115" s="1" t="str">
        <f>IF(OR($C1115="",$D1115&lt;&gt;"Gelir",$L1115=""),"",IFERROR(INDEX(MUSTERILER!$B$7:$B$156,MATCH($S1115,MUSTERILER!$T$7:$T$156,0)),""))</f>
        <v/>
      </c>
      <c r="U1115" s="1" t="str">
        <f>IF($T1115="","",$T1115&amp;"|"&amp;COUNTIFS($T$7:$T1115,$T1115))</f>
        <v/>
      </c>
      <c r="V1115" s="1">
        <f t="shared" si="144"/>
        <v>0</v>
      </c>
      <c r="W1115" s="1" t="str">
        <f t="shared" si="145"/>
        <v/>
      </c>
      <c r="X1115" s="1"/>
      <c r="Y1115" s="1"/>
      <c r="Z1115" s="1"/>
      <c r="AA1115" s="1"/>
      <c r="AB1115" s="1"/>
      <c r="AC1115" s="1"/>
      <c r="AD1115" s="1">
        <f>IF($C1115="",0,SUMPRODUCT((AY_SONU!$O$7:$O$42="Evet")*(AY_SONU!$B$7:$B$42=DATE(YEAR($C1115),MONTH($C1115),1))))</f>
        <v>0</v>
      </c>
      <c r="AE1115" s="1" t="str">
        <f>IF($E1115="","",$E1115&amp;"|"&amp;COUNTIFS($E$7:$E1115,$E1115))</f>
        <v/>
      </c>
    </row>
    <row r="1116" spans="1:31" ht="18" customHeight="1" x14ac:dyDescent="0.3">
      <c r="A1116" s="2"/>
      <c r="B1116" s="65" t="str">
        <f t="shared" si="138"/>
        <v/>
      </c>
      <c r="C1116" s="66"/>
      <c r="D1116" s="60"/>
      <c r="E1116" s="61"/>
      <c r="F1116" s="61"/>
      <c r="G1116" s="67"/>
      <c r="H1116" s="60"/>
      <c r="I1116" s="60"/>
      <c r="J1116" s="61"/>
      <c r="K1116" s="61"/>
      <c r="L1116" s="60"/>
      <c r="M1116" s="74" t="str">
        <f t="shared" si="139"/>
        <v/>
      </c>
      <c r="N1116" s="74" t="str">
        <f t="shared" si="140"/>
        <v/>
      </c>
      <c r="O1116" s="73" t="str">
        <f t="shared" si="141"/>
        <v/>
      </c>
      <c r="P1116" s="65" t="str">
        <f t="shared" ca="1" si="142"/>
        <v/>
      </c>
      <c r="Q1116" s="2"/>
      <c r="R1116" s="2"/>
      <c r="S1116" s="1" t="str">
        <f t="shared" si="143"/>
        <v/>
      </c>
      <c r="T1116" s="1" t="str">
        <f>IF(OR($C1116="",$D1116&lt;&gt;"Gelir",$L1116=""),"",IFERROR(INDEX(MUSTERILER!$B$7:$B$156,MATCH($S1116,MUSTERILER!$T$7:$T$156,0)),""))</f>
        <v/>
      </c>
      <c r="U1116" s="1" t="str">
        <f>IF($T1116="","",$T1116&amp;"|"&amp;COUNTIFS($T$7:$T1116,$T1116))</f>
        <v/>
      </c>
      <c r="V1116" s="1">
        <f t="shared" si="144"/>
        <v>0</v>
      </c>
      <c r="W1116" s="1" t="str">
        <f t="shared" si="145"/>
        <v/>
      </c>
      <c r="X1116" s="1"/>
      <c r="Y1116" s="1"/>
      <c r="Z1116" s="1"/>
      <c r="AA1116" s="1"/>
      <c r="AB1116" s="1"/>
      <c r="AC1116" s="1"/>
      <c r="AD1116" s="1">
        <f>IF($C1116="",0,SUMPRODUCT((AY_SONU!$O$7:$O$42="Evet")*(AY_SONU!$B$7:$B$42=DATE(YEAR($C1116),MONTH($C1116),1))))</f>
        <v>0</v>
      </c>
      <c r="AE1116" s="1" t="str">
        <f>IF($E1116="","",$E1116&amp;"|"&amp;COUNTIFS($E$7:$E1116,$E1116))</f>
        <v/>
      </c>
    </row>
    <row r="1117" spans="1:31" ht="18" customHeight="1" x14ac:dyDescent="0.3">
      <c r="A1117" s="2"/>
      <c r="B1117" s="65" t="str">
        <f t="shared" si="138"/>
        <v/>
      </c>
      <c r="C1117" s="66"/>
      <c r="D1117" s="60"/>
      <c r="E1117" s="61"/>
      <c r="F1117" s="61"/>
      <c r="G1117" s="67"/>
      <c r="H1117" s="60"/>
      <c r="I1117" s="60"/>
      <c r="J1117" s="61"/>
      <c r="K1117" s="61"/>
      <c r="L1117" s="60"/>
      <c r="M1117" s="74" t="str">
        <f t="shared" si="139"/>
        <v/>
      </c>
      <c r="N1117" s="74" t="str">
        <f t="shared" si="140"/>
        <v/>
      </c>
      <c r="O1117" s="73" t="str">
        <f t="shared" si="141"/>
        <v/>
      </c>
      <c r="P1117" s="65" t="str">
        <f t="shared" ca="1" si="142"/>
        <v/>
      </c>
      <c r="Q1117" s="2"/>
      <c r="R1117" s="2"/>
      <c r="S1117" s="1" t="str">
        <f t="shared" si="143"/>
        <v/>
      </c>
      <c r="T1117" s="1" t="str">
        <f>IF(OR($C1117="",$D1117&lt;&gt;"Gelir",$L1117=""),"",IFERROR(INDEX(MUSTERILER!$B$7:$B$156,MATCH($S1117,MUSTERILER!$T$7:$T$156,0)),""))</f>
        <v/>
      </c>
      <c r="U1117" s="1" t="str">
        <f>IF($T1117="","",$T1117&amp;"|"&amp;COUNTIFS($T$7:$T1117,$T1117))</f>
        <v/>
      </c>
      <c r="V1117" s="1">
        <f t="shared" si="144"/>
        <v>0</v>
      </c>
      <c r="W1117" s="1" t="str">
        <f t="shared" si="145"/>
        <v/>
      </c>
      <c r="X1117" s="1"/>
      <c r="Y1117" s="1"/>
      <c r="Z1117" s="1"/>
      <c r="AA1117" s="1"/>
      <c r="AB1117" s="1"/>
      <c r="AC1117" s="1"/>
      <c r="AD1117" s="1">
        <f>IF($C1117="",0,SUMPRODUCT((AY_SONU!$O$7:$O$42="Evet")*(AY_SONU!$B$7:$B$42=DATE(YEAR($C1117),MONTH($C1117),1))))</f>
        <v>0</v>
      </c>
      <c r="AE1117" s="1" t="str">
        <f>IF($E1117="","",$E1117&amp;"|"&amp;COUNTIFS($E$7:$E1117,$E1117))</f>
        <v/>
      </c>
    </row>
    <row r="1118" spans="1:31" ht="18" customHeight="1" x14ac:dyDescent="0.3">
      <c r="A1118" s="2"/>
      <c r="B1118" s="65" t="str">
        <f t="shared" si="138"/>
        <v/>
      </c>
      <c r="C1118" s="66"/>
      <c r="D1118" s="60"/>
      <c r="E1118" s="61"/>
      <c r="F1118" s="61"/>
      <c r="G1118" s="67"/>
      <c r="H1118" s="60"/>
      <c r="I1118" s="60"/>
      <c r="J1118" s="61"/>
      <c r="K1118" s="61"/>
      <c r="L1118" s="60"/>
      <c r="M1118" s="74" t="str">
        <f t="shared" si="139"/>
        <v/>
      </c>
      <c r="N1118" s="74" t="str">
        <f t="shared" si="140"/>
        <v/>
      </c>
      <c r="O1118" s="73" t="str">
        <f t="shared" si="141"/>
        <v/>
      </c>
      <c r="P1118" s="65" t="str">
        <f t="shared" ca="1" si="142"/>
        <v/>
      </c>
      <c r="Q1118" s="2"/>
      <c r="R1118" s="2"/>
      <c r="S1118" s="1" t="str">
        <f t="shared" si="143"/>
        <v/>
      </c>
      <c r="T1118" s="1" t="str">
        <f>IF(OR($C1118="",$D1118&lt;&gt;"Gelir",$L1118=""),"",IFERROR(INDEX(MUSTERILER!$B$7:$B$156,MATCH($S1118,MUSTERILER!$T$7:$T$156,0)),""))</f>
        <v/>
      </c>
      <c r="U1118" s="1" t="str">
        <f>IF($T1118="","",$T1118&amp;"|"&amp;COUNTIFS($T$7:$T1118,$T1118))</f>
        <v/>
      </c>
      <c r="V1118" s="1">
        <f t="shared" si="144"/>
        <v>0</v>
      </c>
      <c r="W1118" s="1" t="str">
        <f t="shared" si="145"/>
        <v/>
      </c>
      <c r="X1118" s="1"/>
      <c r="Y1118" s="1"/>
      <c r="Z1118" s="1"/>
      <c r="AA1118" s="1"/>
      <c r="AB1118" s="1"/>
      <c r="AC1118" s="1"/>
      <c r="AD1118" s="1">
        <f>IF($C1118="",0,SUMPRODUCT((AY_SONU!$O$7:$O$42="Evet")*(AY_SONU!$B$7:$B$42=DATE(YEAR($C1118),MONTH($C1118),1))))</f>
        <v>0</v>
      </c>
      <c r="AE1118" s="1" t="str">
        <f>IF($E1118="","",$E1118&amp;"|"&amp;COUNTIFS($E$7:$E1118,$E1118))</f>
        <v/>
      </c>
    </row>
    <row r="1119" spans="1:31" ht="18" customHeight="1" x14ac:dyDescent="0.3">
      <c r="A1119" s="2"/>
      <c r="B1119" s="65" t="str">
        <f t="shared" si="138"/>
        <v/>
      </c>
      <c r="C1119" s="66"/>
      <c r="D1119" s="60"/>
      <c r="E1119" s="61"/>
      <c r="F1119" s="61"/>
      <c r="G1119" s="67"/>
      <c r="H1119" s="60"/>
      <c r="I1119" s="60"/>
      <c r="J1119" s="61"/>
      <c r="K1119" s="61"/>
      <c r="L1119" s="60"/>
      <c r="M1119" s="74" t="str">
        <f t="shared" si="139"/>
        <v/>
      </c>
      <c r="N1119" s="74" t="str">
        <f t="shared" si="140"/>
        <v/>
      </c>
      <c r="O1119" s="73" t="str">
        <f t="shared" si="141"/>
        <v/>
      </c>
      <c r="P1119" s="65" t="str">
        <f t="shared" ca="1" si="142"/>
        <v/>
      </c>
      <c r="Q1119" s="2"/>
      <c r="R1119" s="2"/>
      <c r="S1119" s="1" t="str">
        <f t="shared" si="143"/>
        <v/>
      </c>
      <c r="T1119" s="1" t="str">
        <f>IF(OR($C1119="",$D1119&lt;&gt;"Gelir",$L1119=""),"",IFERROR(INDEX(MUSTERILER!$B$7:$B$156,MATCH($S1119,MUSTERILER!$T$7:$T$156,0)),""))</f>
        <v/>
      </c>
      <c r="U1119" s="1" t="str">
        <f>IF($T1119="","",$T1119&amp;"|"&amp;COUNTIFS($T$7:$T1119,$T1119))</f>
        <v/>
      </c>
      <c r="V1119" s="1">
        <f t="shared" si="144"/>
        <v>0</v>
      </c>
      <c r="W1119" s="1" t="str">
        <f t="shared" si="145"/>
        <v/>
      </c>
      <c r="X1119" s="1"/>
      <c r="Y1119" s="1"/>
      <c r="Z1119" s="1"/>
      <c r="AA1119" s="1"/>
      <c r="AB1119" s="1"/>
      <c r="AC1119" s="1"/>
      <c r="AD1119" s="1">
        <f>IF($C1119="",0,SUMPRODUCT((AY_SONU!$O$7:$O$42="Evet")*(AY_SONU!$B$7:$B$42=DATE(YEAR($C1119),MONTH($C1119),1))))</f>
        <v>0</v>
      </c>
      <c r="AE1119" s="1" t="str">
        <f>IF($E1119="","",$E1119&amp;"|"&amp;COUNTIFS($E$7:$E1119,$E1119))</f>
        <v/>
      </c>
    </row>
    <row r="1120" spans="1:31" ht="18" customHeight="1" x14ac:dyDescent="0.3">
      <c r="A1120" s="2"/>
      <c r="B1120" s="65" t="str">
        <f t="shared" si="138"/>
        <v/>
      </c>
      <c r="C1120" s="66"/>
      <c r="D1120" s="60"/>
      <c r="E1120" s="61"/>
      <c r="F1120" s="61"/>
      <c r="G1120" s="67"/>
      <c r="H1120" s="60"/>
      <c r="I1120" s="60"/>
      <c r="J1120" s="61"/>
      <c r="K1120" s="61"/>
      <c r="L1120" s="60"/>
      <c r="M1120" s="74" t="str">
        <f t="shared" si="139"/>
        <v/>
      </c>
      <c r="N1120" s="74" t="str">
        <f t="shared" si="140"/>
        <v/>
      </c>
      <c r="O1120" s="73" t="str">
        <f t="shared" si="141"/>
        <v/>
      </c>
      <c r="P1120" s="65" t="str">
        <f t="shared" ca="1" si="142"/>
        <v/>
      </c>
      <c r="Q1120" s="2"/>
      <c r="R1120" s="2"/>
      <c r="S1120" s="1" t="str">
        <f t="shared" si="143"/>
        <v/>
      </c>
      <c r="T1120" s="1" t="str">
        <f>IF(OR($C1120="",$D1120&lt;&gt;"Gelir",$L1120=""),"",IFERROR(INDEX(MUSTERILER!$B$7:$B$156,MATCH($S1120,MUSTERILER!$T$7:$T$156,0)),""))</f>
        <v/>
      </c>
      <c r="U1120" s="1" t="str">
        <f>IF($T1120="","",$T1120&amp;"|"&amp;COUNTIFS($T$7:$T1120,$T1120))</f>
        <v/>
      </c>
      <c r="V1120" s="1">
        <f t="shared" si="144"/>
        <v>0</v>
      </c>
      <c r="W1120" s="1" t="str">
        <f t="shared" si="145"/>
        <v/>
      </c>
      <c r="X1120" s="1"/>
      <c r="Y1120" s="1"/>
      <c r="Z1120" s="1"/>
      <c r="AA1120" s="1"/>
      <c r="AB1120" s="1"/>
      <c r="AC1120" s="1"/>
      <c r="AD1120" s="1">
        <f>IF($C1120="",0,SUMPRODUCT((AY_SONU!$O$7:$O$42="Evet")*(AY_SONU!$B$7:$B$42=DATE(YEAR($C1120),MONTH($C1120),1))))</f>
        <v>0</v>
      </c>
      <c r="AE1120" s="1" t="str">
        <f>IF($E1120="","",$E1120&amp;"|"&amp;COUNTIFS($E$7:$E1120,$E1120))</f>
        <v/>
      </c>
    </row>
    <row r="1121" spans="1:31" ht="18" customHeight="1" x14ac:dyDescent="0.3">
      <c r="A1121" s="2"/>
      <c r="B1121" s="65" t="str">
        <f t="shared" si="138"/>
        <v/>
      </c>
      <c r="C1121" s="66"/>
      <c r="D1121" s="60"/>
      <c r="E1121" s="61"/>
      <c r="F1121" s="61"/>
      <c r="G1121" s="67"/>
      <c r="H1121" s="60"/>
      <c r="I1121" s="60"/>
      <c r="J1121" s="61"/>
      <c r="K1121" s="61"/>
      <c r="L1121" s="60"/>
      <c r="M1121" s="74" t="str">
        <f t="shared" si="139"/>
        <v/>
      </c>
      <c r="N1121" s="74" t="str">
        <f t="shared" si="140"/>
        <v/>
      </c>
      <c r="O1121" s="73" t="str">
        <f t="shared" si="141"/>
        <v/>
      </c>
      <c r="P1121" s="65" t="str">
        <f t="shared" ca="1" si="142"/>
        <v/>
      </c>
      <c r="Q1121" s="2"/>
      <c r="R1121" s="2"/>
      <c r="S1121" s="1" t="str">
        <f t="shared" si="143"/>
        <v/>
      </c>
      <c r="T1121" s="1" t="str">
        <f>IF(OR($C1121="",$D1121&lt;&gt;"Gelir",$L1121=""),"",IFERROR(INDEX(MUSTERILER!$B$7:$B$156,MATCH($S1121,MUSTERILER!$T$7:$T$156,0)),""))</f>
        <v/>
      </c>
      <c r="U1121" s="1" t="str">
        <f>IF($T1121="","",$T1121&amp;"|"&amp;COUNTIFS($T$7:$T1121,$T1121))</f>
        <v/>
      </c>
      <c r="V1121" s="1">
        <f t="shared" si="144"/>
        <v>0</v>
      </c>
      <c r="W1121" s="1" t="str">
        <f t="shared" si="145"/>
        <v/>
      </c>
      <c r="X1121" s="1"/>
      <c r="Y1121" s="1"/>
      <c r="Z1121" s="1"/>
      <c r="AA1121" s="1"/>
      <c r="AB1121" s="1"/>
      <c r="AC1121" s="1"/>
      <c r="AD1121" s="1">
        <f>IF($C1121="",0,SUMPRODUCT((AY_SONU!$O$7:$O$42="Evet")*(AY_SONU!$B$7:$B$42=DATE(YEAR($C1121),MONTH($C1121),1))))</f>
        <v>0</v>
      </c>
      <c r="AE1121" s="1" t="str">
        <f>IF($E1121="","",$E1121&amp;"|"&amp;COUNTIFS($E$7:$E1121,$E1121))</f>
        <v/>
      </c>
    </row>
    <row r="1122" spans="1:31" ht="18" customHeight="1" x14ac:dyDescent="0.3">
      <c r="A1122" s="2"/>
      <c r="B1122" s="65" t="str">
        <f t="shared" si="138"/>
        <v/>
      </c>
      <c r="C1122" s="66"/>
      <c r="D1122" s="60"/>
      <c r="E1122" s="61"/>
      <c r="F1122" s="61"/>
      <c r="G1122" s="67"/>
      <c r="H1122" s="60"/>
      <c r="I1122" s="60"/>
      <c r="J1122" s="61"/>
      <c r="K1122" s="61"/>
      <c r="L1122" s="60"/>
      <c r="M1122" s="74" t="str">
        <f t="shared" si="139"/>
        <v/>
      </c>
      <c r="N1122" s="74" t="str">
        <f t="shared" si="140"/>
        <v/>
      </c>
      <c r="O1122" s="73" t="str">
        <f t="shared" si="141"/>
        <v/>
      </c>
      <c r="P1122" s="65" t="str">
        <f t="shared" ca="1" si="142"/>
        <v/>
      </c>
      <c r="Q1122" s="2"/>
      <c r="R1122" s="2"/>
      <c r="S1122" s="1" t="str">
        <f t="shared" si="143"/>
        <v/>
      </c>
      <c r="T1122" s="1" t="str">
        <f>IF(OR($C1122="",$D1122&lt;&gt;"Gelir",$L1122=""),"",IFERROR(INDEX(MUSTERILER!$B$7:$B$156,MATCH($S1122,MUSTERILER!$T$7:$T$156,0)),""))</f>
        <v/>
      </c>
      <c r="U1122" s="1" t="str">
        <f>IF($T1122="","",$T1122&amp;"|"&amp;COUNTIFS($T$7:$T1122,$T1122))</f>
        <v/>
      </c>
      <c r="V1122" s="1">
        <f t="shared" si="144"/>
        <v>0</v>
      </c>
      <c r="W1122" s="1" t="str">
        <f t="shared" si="145"/>
        <v/>
      </c>
      <c r="X1122" s="1"/>
      <c r="Y1122" s="1"/>
      <c r="Z1122" s="1"/>
      <c r="AA1122" s="1"/>
      <c r="AB1122" s="1"/>
      <c r="AC1122" s="1"/>
      <c r="AD1122" s="1">
        <f>IF($C1122="",0,SUMPRODUCT((AY_SONU!$O$7:$O$42="Evet")*(AY_SONU!$B$7:$B$42=DATE(YEAR($C1122),MONTH($C1122),1))))</f>
        <v>0</v>
      </c>
      <c r="AE1122" s="1" t="str">
        <f>IF($E1122="","",$E1122&amp;"|"&amp;COUNTIFS($E$7:$E1122,$E1122))</f>
        <v/>
      </c>
    </row>
    <row r="1123" spans="1:31" ht="18" customHeight="1" x14ac:dyDescent="0.3">
      <c r="A1123" s="2"/>
      <c r="B1123" s="65" t="str">
        <f t="shared" si="138"/>
        <v/>
      </c>
      <c r="C1123" s="66"/>
      <c r="D1123" s="60"/>
      <c r="E1123" s="61"/>
      <c r="F1123" s="61"/>
      <c r="G1123" s="67"/>
      <c r="H1123" s="60"/>
      <c r="I1123" s="60"/>
      <c r="J1123" s="61"/>
      <c r="K1123" s="61"/>
      <c r="L1123" s="60"/>
      <c r="M1123" s="74" t="str">
        <f t="shared" si="139"/>
        <v/>
      </c>
      <c r="N1123" s="74" t="str">
        <f t="shared" si="140"/>
        <v/>
      </c>
      <c r="O1123" s="73" t="str">
        <f t="shared" si="141"/>
        <v/>
      </c>
      <c r="P1123" s="65" t="str">
        <f t="shared" ca="1" si="142"/>
        <v/>
      </c>
      <c r="Q1123" s="2"/>
      <c r="R1123" s="2"/>
      <c r="S1123" s="1" t="str">
        <f t="shared" si="143"/>
        <v/>
      </c>
      <c r="T1123" s="1" t="str">
        <f>IF(OR($C1123="",$D1123&lt;&gt;"Gelir",$L1123=""),"",IFERROR(INDEX(MUSTERILER!$B$7:$B$156,MATCH($S1123,MUSTERILER!$T$7:$T$156,0)),""))</f>
        <v/>
      </c>
      <c r="U1123" s="1" t="str">
        <f>IF($T1123="","",$T1123&amp;"|"&amp;COUNTIFS($T$7:$T1123,$T1123))</f>
        <v/>
      </c>
      <c r="V1123" s="1">
        <f t="shared" si="144"/>
        <v>0</v>
      </c>
      <c r="W1123" s="1" t="str">
        <f t="shared" si="145"/>
        <v/>
      </c>
      <c r="X1123" s="1"/>
      <c r="Y1123" s="1"/>
      <c r="Z1123" s="1"/>
      <c r="AA1123" s="1"/>
      <c r="AB1123" s="1"/>
      <c r="AC1123" s="1"/>
      <c r="AD1123" s="1">
        <f>IF($C1123="",0,SUMPRODUCT((AY_SONU!$O$7:$O$42="Evet")*(AY_SONU!$B$7:$B$42=DATE(YEAR($C1123),MONTH($C1123),1))))</f>
        <v>0</v>
      </c>
      <c r="AE1123" s="1" t="str">
        <f>IF($E1123="","",$E1123&amp;"|"&amp;COUNTIFS($E$7:$E1123,$E1123))</f>
        <v/>
      </c>
    </row>
    <row r="1124" spans="1:31" ht="18" customHeight="1" x14ac:dyDescent="0.3">
      <c r="A1124" s="2"/>
      <c r="B1124" s="65" t="str">
        <f t="shared" si="138"/>
        <v/>
      </c>
      <c r="C1124" s="66"/>
      <c r="D1124" s="60"/>
      <c r="E1124" s="61"/>
      <c r="F1124" s="61"/>
      <c r="G1124" s="67"/>
      <c r="H1124" s="60"/>
      <c r="I1124" s="60"/>
      <c r="J1124" s="61"/>
      <c r="K1124" s="61"/>
      <c r="L1124" s="60"/>
      <c r="M1124" s="74" t="str">
        <f t="shared" si="139"/>
        <v/>
      </c>
      <c r="N1124" s="74" t="str">
        <f t="shared" si="140"/>
        <v/>
      </c>
      <c r="O1124" s="73" t="str">
        <f t="shared" si="141"/>
        <v/>
      </c>
      <c r="P1124" s="65" t="str">
        <f t="shared" ca="1" si="142"/>
        <v/>
      </c>
      <c r="Q1124" s="2"/>
      <c r="R1124" s="2"/>
      <c r="S1124" s="1" t="str">
        <f t="shared" si="143"/>
        <v/>
      </c>
      <c r="T1124" s="1" t="str">
        <f>IF(OR($C1124="",$D1124&lt;&gt;"Gelir",$L1124=""),"",IFERROR(INDEX(MUSTERILER!$B$7:$B$156,MATCH($S1124,MUSTERILER!$T$7:$T$156,0)),""))</f>
        <v/>
      </c>
      <c r="U1124" s="1" t="str">
        <f>IF($T1124="","",$T1124&amp;"|"&amp;COUNTIFS($T$7:$T1124,$T1124))</f>
        <v/>
      </c>
      <c r="V1124" s="1">
        <f t="shared" si="144"/>
        <v>0</v>
      </c>
      <c r="W1124" s="1" t="str">
        <f t="shared" si="145"/>
        <v/>
      </c>
      <c r="X1124" s="1"/>
      <c r="Y1124" s="1"/>
      <c r="Z1124" s="1"/>
      <c r="AA1124" s="1"/>
      <c r="AB1124" s="1"/>
      <c r="AC1124" s="1"/>
      <c r="AD1124" s="1">
        <f>IF($C1124="",0,SUMPRODUCT((AY_SONU!$O$7:$O$42="Evet")*(AY_SONU!$B$7:$B$42=DATE(YEAR($C1124),MONTH($C1124),1))))</f>
        <v>0</v>
      </c>
      <c r="AE1124" s="1" t="str">
        <f>IF($E1124="","",$E1124&amp;"|"&amp;COUNTIFS($E$7:$E1124,$E1124))</f>
        <v/>
      </c>
    </row>
    <row r="1125" spans="1:31" ht="18" customHeight="1" x14ac:dyDescent="0.3">
      <c r="A1125" s="2"/>
      <c r="B1125" s="65" t="str">
        <f t="shared" si="138"/>
        <v/>
      </c>
      <c r="C1125" s="66"/>
      <c r="D1125" s="60"/>
      <c r="E1125" s="61"/>
      <c r="F1125" s="61"/>
      <c r="G1125" s="67"/>
      <c r="H1125" s="60"/>
      <c r="I1125" s="60"/>
      <c r="J1125" s="61"/>
      <c r="K1125" s="61"/>
      <c r="L1125" s="60"/>
      <c r="M1125" s="74" t="str">
        <f t="shared" si="139"/>
        <v/>
      </c>
      <c r="N1125" s="74" t="str">
        <f t="shared" si="140"/>
        <v/>
      </c>
      <c r="O1125" s="73" t="str">
        <f t="shared" si="141"/>
        <v/>
      </c>
      <c r="P1125" s="65" t="str">
        <f t="shared" ca="1" si="142"/>
        <v/>
      </c>
      <c r="Q1125" s="2"/>
      <c r="R1125" s="2"/>
      <c r="S1125" s="1" t="str">
        <f t="shared" si="143"/>
        <v/>
      </c>
      <c r="T1125" s="1" t="str">
        <f>IF(OR($C1125="",$D1125&lt;&gt;"Gelir",$L1125=""),"",IFERROR(INDEX(MUSTERILER!$B$7:$B$156,MATCH($S1125,MUSTERILER!$T$7:$T$156,0)),""))</f>
        <v/>
      </c>
      <c r="U1125" s="1" t="str">
        <f>IF($T1125="","",$T1125&amp;"|"&amp;COUNTIFS($T$7:$T1125,$T1125))</f>
        <v/>
      </c>
      <c r="V1125" s="1">
        <f t="shared" si="144"/>
        <v>0</v>
      </c>
      <c r="W1125" s="1" t="str">
        <f t="shared" si="145"/>
        <v/>
      </c>
      <c r="X1125" s="1"/>
      <c r="Y1125" s="1"/>
      <c r="Z1125" s="1"/>
      <c r="AA1125" s="1"/>
      <c r="AB1125" s="1"/>
      <c r="AC1125" s="1"/>
      <c r="AD1125" s="1">
        <f>IF($C1125="",0,SUMPRODUCT((AY_SONU!$O$7:$O$42="Evet")*(AY_SONU!$B$7:$B$42=DATE(YEAR($C1125),MONTH($C1125),1))))</f>
        <v>0</v>
      </c>
      <c r="AE1125" s="1" t="str">
        <f>IF($E1125="","",$E1125&amp;"|"&amp;COUNTIFS($E$7:$E1125,$E1125))</f>
        <v/>
      </c>
    </row>
    <row r="1126" spans="1:31" ht="18" customHeight="1" x14ac:dyDescent="0.3">
      <c r="A1126" s="2"/>
      <c r="B1126" s="65" t="str">
        <f t="shared" si="138"/>
        <v/>
      </c>
      <c r="C1126" s="66"/>
      <c r="D1126" s="60"/>
      <c r="E1126" s="61"/>
      <c r="F1126" s="61"/>
      <c r="G1126" s="67"/>
      <c r="H1126" s="60"/>
      <c r="I1126" s="60"/>
      <c r="J1126" s="61"/>
      <c r="K1126" s="61"/>
      <c r="L1126" s="60"/>
      <c r="M1126" s="74" t="str">
        <f t="shared" si="139"/>
        <v/>
      </c>
      <c r="N1126" s="74" t="str">
        <f t="shared" si="140"/>
        <v/>
      </c>
      <c r="O1126" s="73" t="str">
        <f t="shared" si="141"/>
        <v/>
      </c>
      <c r="P1126" s="65" t="str">
        <f t="shared" ca="1" si="142"/>
        <v/>
      </c>
      <c r="Q1126" s="2"/>
      <c r="R1126" s="2"/>
      <c r="S1126" s="1" t="str">
        <f t="shared" si="143"/>
        <v/>
      </c>
      <c r="T1126" s="1" t="str">
        <f>IF(OR($C1126="",$D1126&lt;&gt;"Gelir",$L1126=""),"",IFERROR(INDEX(MUSTERILER!$B$7:$B$156,MATCH($S1126,MUSTERILER!$T$7:$T$156,0)),""))</f>
        <v/>
      </c>
      <c r="U1126" s="1" t="str">
        <f>IF($T1126="","",$T1126&amp;"|"&amp;COUNTIFS($T$7:$T1126,$T1126))</f>
        <v/>
      </c>
      <c r="V1126" s="1">
        <f t="shared" si="144"/>
        <v>0</v>
      </c>
      <c r="W1126" s="1" t="str">
        <f t="shared" si="145"/>
        <v/>
      </c>
      <c r="X1126" s="1"/>
      <c r="Y1126" s="1"/>
      <c r="Z1126" s="1"/>
      <c r="AA1126" s="1"/>
      <c r="AB1126" s="1"/>
      <c r="AC1126" s="1"/>
      <c r="AD1126" s="1">
        <f>IF($C1126="",0,SUMPRODUCT((AY_SONU!$O$7:$O$42="Evet")*(AY_SONU!$B$7:$B$42=DATE(YEAR($C1126),MONTH($C1126),1))))</f>
        <v>0</v>
      </c>
      <c r="AE1126" s="1" t="str">
        <f>IF($E1126="","",$E1126&amp;"|"&amp;COUNTIFS($E$7:$E1126,$E1126))</f>
        <v/>
      </c>
    </row>
    <row r="1127" spans="1:31" ht="18" customHeight="1" x14ac:dyDescent="0.3">
      <c r="A1127" s="2"/>
      <c r="B1127" s="65" t="str">
        <f t="shared" si="138"/>
        <v/>
      </c>
      <c r="C1127" s="66"/>
      <c r="D1127" s="60"/>
      <c r="E1127" s="61"/>
      <c r="F1127" s="61"/>
      <c r="G1127" s="67"/>
      <c r="H1127" s="60"/>
      <c r="I1127" s="60"/>
      <c r="J1127" s="61"/>
      <c r="K1127" s="61"/>
      <c r="L1127" s="60"/>
      <c r="M1127" s="74" t="str">
        <f t="shared" si="139"/>
        <v/>
      </c>
      <c r="N1127" s="74" t="str">
        <f t="shared" si="140"/>
        <v/>
      </c>
      <c r="O1127" s="73" t="str">
        <f t="shared" si="141"/>
        <v/>
      </c>
      <c r="P1127" s="65" t="str">
        <f t="shared" ca="1" si="142"/>
        <v/>
      </c>
      <c r="Q1127" s="2"/>
      <c r="R1127" s="2"/>
      <c r="S1127" s="1" t="str">
        <f t="shared" si="143"/>
        <v/>
      </c>
      <c r="T1127" s="1" t="str">
        <f>IF(OR($C1127="",$D1127&lt;&gt;"Gelir",$L1127=""),"",IFERROR(INDEX(MUSTERILER!$B$7:$B$156,MATCH($S1127,MUSTERILER!$T$7:$T$156,0)),""))</f>
        <v/>
      </c>
      <c r="U1127" s="1" t="str">
        <f>IF($T1127="","",$T1127&amp;"|"&amp;COUNTIFS($T$7:$T1127,$T1127))</f>
        <v/>
      </c>
      <c r="V1127" s="1">
        <f t="shared" si="144"/>
        <v>0</v>
      </c>
      <c r="W1127" s="1" t="str">
        <f t="shared" si="145"/>
        <v/>
      </c>
      <c r="X1127" s="1"/>
      <c r="Y1127" s="1"/>
      <c r="Z1127" s="1"/>
      <c r="AA1127" s="1"/>
      <c r="AB1127" s="1"/>
      <c r="AC1127" s="1"/>
      <c r="AD1127" s="1">
        <f>IF($C1127="",0,SUMPRODUCT((AY_SONU!$O$7:$O$42="Evet")*(AY_SONU!$B$7:$B$42=DATE(YEAR($C1127),MONTH($C1127),1))))</f>
        <v>0</v>
      </c>
      <c r="AE1127" s="1" t="str">
        <f>IF($E1127="","",$E1127&amp;"|"&amp;COUNTIFS($E$7:$E1127,$E1127))</f>
        <v/>
      </c>
    </row>
    <row r="1128" spans="1:31" ht="18" customHeight="1" x14ac:dyDescent="0.3">
      <c r="A1128" s="2"/>
      <c r="B1128" s="65" t="str">
        <f t="shared" si="138"/>
        <v/>
      </c>
      <c r="C1128" s="66"/>
      <c r="D1128" s="60"/>
      <c r="E1128" s="61"/>
      <c r="F1128" s="61"/>
      <c r="G1128" s="67"/>
      <c r="H1128" s="60"/>
      <c r="I1128" s="60"/>
      <c r="J1128" s="61"/>
      <c r="K1128" s="61"/>
      <c r="L1128" s="60"/>
      <c r="M1128" s="74" t="str">
        <f t="shared" si="139"/>
        <v/>
      </c>
      <c r="N1128" s="74" t="str">
        <f t="shared" si="140"/>
        <v/>
      </c>
      <c r="O1128" s="73" t="str">
        <f t="shared" si="141"/>
        <v/>
      </c>
      <c r="P1128" s="65" t="str">
        <f t="shared" ca="1" si="142"/>
        <v/>
      </c>
      <c r="Q1128" s="2"/>
      <c r="R1128" s="2"/>
      <c r="S1128" s="1" t="str">
        <f t="shared" si="143"/>
        <v/>
      </c>
      <c r="T1128" s="1" t="str">
        <f>IF(OR($C1128="",$D1128&lt;&gt;"Gelir",$L1128=""),"",IFERROR(INDEX(MUSTERILER!$B$7:$B$156,MATCH($S1128,MUSTERILER!$T$7:$T$156,0)),""))</f>
        <v/>
      </c>
      <c r="U1128" s="1" t="str">
        <f>IF($T1128="","",$T1128&amp;"|"&amp;COUNTIFS($T$7:$T1128,$T1128))</f>
        <v/>
      </c>
      <c r="V1128" s="1">
        <f t="shared" si="144"/>
        <v>0</v>
      </c>
      <c r="W1128" s="1" t="str">
        <f t="shared" si="145"/>
        <v/>
      </c>
      <c r="X1128" s="1"/>
      <c r="Y1128" s="1"/>
      <c r="Z1128" s="1"/>
      <c r="AA1128" s="1"/>
      <c r="AB1128" s="1"/>
      <c r="AC1128" s="1"/>
      <c r="AD1128" s="1">
        <f>IF($C1128="",0,SUMPRODUCT((AY_SONU!$O$7:$O$42="Evet")*(AY_SONU!$B$7:$B$42=DATE(YEAR($C1128),MONTH($C1128),1))))</f>
        <v>0</v>
      </c>
      <c r="AE1128" s="1" t="str">
        <f>IF($E1128="","",$E1128&amp;"|"&amp;COUNTIFS($E$7:$E1128,$E1128))</f>
        <v/>
      </c>
    </row>
    <row r="1129" spans="1:31" ht="18" customHeight="1" x14ac:dyDescent="0.3">
      <c r="A1129" s="2"/>
      <c r="B1129" s="65" t="str">
        <f t="shared" si="138"/>
        <v/>
      </c>
      <c r="C1129" s="66"/>
      <c r="D1129" s="60"/>
      <c r="E1129" s="61"/>
      <c r="F1129" s="61"/>
      <c r="G1129" s="67"/>
      <c r="H1129" s="60"/>
      <c r="I1129" s="60"/>
      <c r="J1129" s="61"/>
      <c r="K1129" s="61"/>
      <c r="L1129" s="60"/>
      <c r="M1129" s="74" t="str">
        <f t="shared" si="139"/>
        <v/>
      </c>
      <c r="N1129" s="74" t="str">
        <f t="shared" si="140"/>
        <v/>
      </c>
      <c r="O1129" s="73" t="str">
        <f t="shared" si="141"/>
        <v/>
      </c>
      <c r="P1129" s="65" t="str">
        <f t="shared" ca="1" si="142"/>
        <v/>
      </c>
      <c r="Q1129" s="2"/>
      <c r="R1129" s="2"/>
      <c r="S1129" s="1" t="str">
        <f t="shared" si="143"/>
        <v/>
      </c>
      <c r="T1129" s="1" t="str">
        <f>IF(OR($C1129="",$D1129&lt;&gt;"Gelir",$L1129=""),"",IFERROR(INDEX(MUSTERILER!$B$7:$B$156,MATCH($S1129,MUSTERILER!$T$7:$T$156,0)),""))</f>
        <v/>
      </c>
      <c r="U1129" s="1" t="str">
        <f>IF($T1129="","",$T1129&amp;"|"&amp;COUNTIFS($T$7:$T1129,$T1129))</f>
        <v/>
      </c>
      <c r="V1129" s="1">
        <f t="shared" si="144"/>
        <v>0</v>
      </c>
      <c r="W1129" s="1" t="str">
        <f t="shared" si="145"/>
        <v/>
      </c>
      <c r="X1129" s="1"/>
      <c r="Y1129" s="1"/>
      <c r="Z1129" s="1"/>
      <c r="AA1129" s="1"/>
      <c r="AB1129" s="1"/>
      <c r="AC1129" s="1"/>
      <c r="AD1129" s="1">
        <f>IF($C1129="",0,SUMPRODUCT((AY_SONU!$O$7:$O$42="Evet")*(AY_SONU!$B$7:$B$42=DATE(YEAR($C1129),MONTH($C1129),1))))</f>
        <v>0</v>
      </c>
      <c r="AE1129" s="1" t="str">
        <f>IF($E1129="","",$E1129&amp;"|"&amp;COUNTIFS($E$7:$E1129,$E1129))</f>
        <v/>
      </c>
    </row>
    <row r="1130" spans="1:31" ht="18" customHeight="1" x14ac:dyDescent="0.3">
      <c r="A1130" s="2"/>
      <c r="B1130" s="65" t="str">
        <f t="shared" si="138"/>
        <v/>
      </c>
      <c r="C1130" s="66"/>
      <c r="D1130" s="60"/>
      <c r="E1130" s="61"/>
      <c r="F1130" s="61"/>
      <c r="G1130" s="67"/>
      <c r="H1130" s="60"/>
      <c r="I1130" s="60"/>
      <c r="J1130" s="61"/>
      <c r="K1130" s="61"/>
      <c r="L1130" s="60"/>
      <c r="M1130" s="74" t="str">
        <f t="shared" si="139"/>
        <v/>
      </c>
      <c r="N1130" s="74" t="str">
        <f t="shared" si="140"/>
        <v/>
      </c>
      <c r="O1130" s="73" t="str">
        <f t="shared" si="141"/>
        <v/>
      </c>
      <c r="P1130" s="65" t="str">
        <f t="shared" ca="1" si="142"/>
        <v/>
      </c>
      <c r="Q1130" s="2"/>
      <c r="R1130" s="2"/>
      <c r="S1130" s="1" t="str">
        <f t="shared" si="143"/>
        <v/>
      </c>
      <c r="T1130" s="1" t="str">
        <f>IF(OR($C1130="",$D1130&lt;&gt;"Gelir",$L1130=""),"",IFERROR(INDEX(MUSTERILER!$B$7:$B$156,MATCH($S1130,MUSTERILER!$T$7:$T$156,0)),""))</f>
        <v/>
      </c>
      <c r="U1130" s="1" t="str">
        <f>IF($T1130="","",$T1130&amp;"|"&amp;COUNTIFS($T$7:$T1130,$T1130))</f>
        <v/>
      </c>
      <c r="V1130" s="1">
        <f t="shared" si="144"/>
        <v>0</v>
      </c>
      <c r="W1130" s="1" t="str">
        <f t="shared" si="145"/>
        <v/>
      </c>
      <c r="X1130" s="1"/>
      <c r="Y1130" s="1"/>
      <c r="Z1130" s="1"/>
      <c r="AA1130" s="1"/>
      <c r="AB1130" s="1"/>
      <c r="AC1130" s="1"/>
      <c r="AD1130" s="1">
        <f>IF($C1130="",0,SUMPRODUCT((AY_SONU!$O$7:$O$42="Evet")*(AY_SONU!$B$7:$B$42=DATE(YEAR($C1130),MONTH($C1130),1))))</f>
        <v>0</v>
      </c>
      <c r="AE1130" s="1" t="str">
        <f>IF($E1130="","",$E1130&amp;"|"&amp;COUNTIFS($E$7:$E1130,$E1130))</f>
        <v/>
      </c>
    </row>
    <row r="1131" spans="1:31" ht="18" customHeight="1" x14ac:dyDescent="0.3">
      <c r="A1131" s="2"/>
      <c r="B1131" s="65" t="str">
        <f t="shared" si="138"/>
        <v/>
      </c>
      <c r="C1131" s="66"/>
      <c r="D1131" s="60"/>
      <c r="E1131" s="61"/>
      <c r="F1131" s="61"/>
      <c r="G1131" s="67"/>
      <c r="H1131" s="60"/>
      <c r="I1131" s="60"/>
      <c r="J1131" s="61"/>
      <c r="K1131" s="61"/>
      <c r="L1131" s="60"/>
      <c r="M1131" s="74" t="str">
        <f t="shared" si="139"/>
        <v/>
      </c>
      <c r="N1131" s="74" t="str">
        <f t="shared" si="140"/>
        <v/>
      </c>
      <c r="O1131" s="73" t="str">
        <f t="shared" si="141"/>
        <v/>
      </c>
      <c r="P1131" s="65" t="str">
        <f t="shared" ca="1" si="142"/>
        <v/>
      </c>
      <c r="Q1131" s="2"/>
      <c r="R1131" s="2"/>
      <c r="S1131" s="1" t="str">
        <f t="shared" si="143"/>
        <v/>
      </c>
      <c r="T1131" s="1" t="str">
        <f>IF(OR($C1131="",$D1131&lt;&gt;"Gelir",$L1131=""),"",IFERROR(INDEX(MUSTERILER!$B$7:$B$156,MATCH($S1131,MUSTERILER!$T$7:$T$156,0)),""))</f>
        <v/>
      </c>
      <c r="U1131" s="1" t="str">
        <f>IF($T1131="","",$T1131&amp;"|"&amp;COUNTIFS($T$7:$T1131,$T1131))</f>
        <v/>
      </c>
      <c r="V1131" s="1">
        <f t="shared" si="144"/>
        <v>0</v>
      </c>
      <c r="W1131" s="1" t="str">
        <f t="shared" si="145"/>
        <v/>
      </c>
      <c r="X1131" s="1"/>
      <c r="Y1131" s="1"/>
      <c r="Z1131" s="1"/>
      <c r="AA1131" s="1"/>
      <c r="AB1131" s="1"/>
      <c r="AC1131" s="1"/>
      <c r="AD1131" s="1">
        <f>IF($C1131="",0,SUMPRODUCT((AY_SONU!$O$7:$O$42="Evet")*(AY_SONU!$B$7:$B$42=DATE(YEAR($C1131),MONTH($C1131),1))))</f>
        <v>0</v>
      </c>
      <c r="AE1131" s="1" t="str">
        <f>IF($E1131="","",$E1131&amp;"|"&amp;COUNTIFS($E$7:$E1131,$E1131))</f>
        <v/>
      </c>
    </row>
    <row r="1132" spans="1:31" ht="18" customHeight="1" x14ac:dyDescent="0.3">
      <c r="A1132" s="2"/>
      <c r="B1132" s="65" t="str">
        <f t="shared" si="138"/>
        <v/>
      </c>
      <c r="C1132" s="66"/>
      <c r="D1132" s="60"/>
      <c r="E1132" s="61"/>
      <c r="F1132" s="61"/>
      <c r="G1132" s="67"/>
      <c r="H1132" s="60"/>
      <c r="I1132" s="60"/>
      <c r="J1132" s="61"/>
      <c r="K1132" s="61"/>
      <c r="L1132" s="60"/>
      <c r="M1132" s="74" t="str">
        <f t="shared" si="139"/>
        <v/>
      </c>
      <c r="N1132" s="74" t="str">
        <f t="shared" si="140"/>
        <v/>
      </c>
      <c r="O1132" s="73" t="str">
        <f t="shared" si="141"/>
        <v/>
      </c>
      <c r="P1132" s="65" t="str">
        <f t="shared" ca="1" si="142"/>
        <v/>
      </c>
      <c r="Q1132" s="2"/>
      <c r="R1132" s="2"/>
      <c r="S1132" s="1" t="str">
        <f t="shared" si="143"/>
        <v/>
      </c>
      <c r="T1132" s="1" t="str">
        <f>IF(OR($C1132="",$D1132&lt;&gt;"Gelir",$L1132=""),"",IFERROR(INDEX(MUSTERILER!$B$7:$B$156,MATCH($S1132,MUSTERILER!$T$7:$T$156,0)),""))</f>
        <v/>
      </c>
      <c r="U1132" s="1" t="str">
        <f>IF($T1132="","",$T1132&amp;"|"&amp;COUNTIFS($T$7:$T1132,$T1132))</f>
        <v/>
      </c>
      <c r="V1132" s="1">
        <f t="shared" si="144"/>
        <v>0</v>
      </c>
      <c r="W1132" s="1" t="str">
        <f t="shared" si="145"/>
        <v/>
      </c>
      <c r="X1132" s="1"/>
      <c r="Y1132" s="1"/>
      <c r="Z1132" s="1"/>
      <c r="AA1132" s="1"/>
      <c r="AB1132" s="1"/>
      <c r="AC1132" s="1"/>
      <c r="AD1132" s="1">
        <f>IF($C1132="",0,SUMPRODUCT((AY_SONU!$O$7:$O$42="Evet")*(AY_SONU!$B$7:$B$42=DATE(YEAR($C1132),MONTH($C1132),1))))</f>
        <v>0</v>
      </c>
      <c r="AE1132" s="1" t="str">
        <f>IF($E1132="","",$E1132&amp;"|"&amp;COUNTIFS($E$7:$E1132,$E1132))</f>
        <v/>
      </c>
    </row>
    <row r="1133" spans="1:31" ht="18" customHeight="1" x14ac:dyDescent="0.3">
      <c r="A1133" s="2"/>
      <c r="B1133" s="65" t="str">
        <f t="shared" si="138"/>
        <v/>
      </c>
      <c r="C1133" s="66"/>
      <c r="D1133" s="60"/>
      <c r="E1133" s="61"/>
      <c r="F1133" s="61"/>
      <c r="G1133" s="67"/>
      <c r="H1133" s="60"/>
      <c r="I1133" s="60"/>
      <c r="J1133" s="61"/>
      <c r="K1133" s="61"/>
      <c r="L1133" s="60"/>
      <c r="M1133" s="74" t="str">
        <f t="shared" si="139"/>
        <v/>
      </c>
      <c r="N1133" s="74" t="str">
        <f t="shared" si="140"/>
        <v/>
      </c>
      <c r="O1133" s="73" t="str">
        <f t="shared" si="141"/>
        <v/>
      </c>
      <c r="P1133" s="65" t="str">
        <f t="shared" ca="1" si="142"/>
        <v/>
      </c>
      <c r="Q1133" s="2"/>
      <c r="R1133" s="2"/>
      <c r="S1133" s="1" t="str">
        <f t="shared" si="143"/>
        <v/>
      </c>
      <c r="T1133" s="1" t="str">
        <f>IF(OR($C1133="",$D1133&lt;&gt;"Gelir",$L1133=""),"",IFERROR(INDEX(MUSTERILER!$B$7:$B$156,MATCH($S1133,MUSTERILER!$T$7:$T$156,0)),""))</f>
        <v/>
      </c>
      <c r="U1133" s="1" t="str">
        <f>IF($T1133="","",$T1133&amp;"|"&amp;COUNTIFS($T$7:$T1133,$T1133))</f>
        <v/>
      </c>
      <c r="V1133" s="1">
        <f t="shared" si="144"/>
        <v>0</v>
      </c>
      <c r="W1133" s="1" t="str">
        <f t="shared" si="145"/>
        <v/>
      </c>
      <c r="X1133" s="1"/>
      <c r="Y1133" s="1"/>
      <c r="Z1133" s="1"/>
      <c r="AA1133" s="1"/>
      <c r="AB1133" s="1"/>
      <c r="AC1133" s="1"/>
      <c r="AD1133" s="1">
        <f>IF($C1133="",0,SUMPRODUCT((AY_SONU!$O$7:$O$42="Evet")*(AY_SONU!$B$7:$B$42=DATE(YEAR($C1133),MONTH($C1133),1))))</f>
        <v>0</v>
      </c>
      <c r="AE1133" s="1" t="str">
        <f>IF($E1133="","",$E1133&amp;"|"&amp;COUNTIFS($E$7:$E1133,$E1133))</f>
        <v/>
      </c>
    </row>
    <row r="1134" spans="1:31" ht="18" customHeight="1" x14ac:dyDescent="0.3">
      <c r="A1134" s="2"/>
      <c r="B1134" s="65" t="str">
        <f t="shared" si="138"/>
        <v/>
      </c>
      <c r="C1134" s="66"/>
      <c r="D1134" s="60"/>
      <c r="E1134" s="61"/>
      <c r="F1134" s="61"/>
      <c r="G1134" s="67"/>
      <c r="H1134" s="60"/>
      <c r="I1134" s="60"/>
      <c r="J1134" s="61"/>
      <c r="K1134" s="61"/>
      <c r="L1134" s="60"/>
      <c r="M1134" s="74" t="str">
        <f t="shared" si="139"/>
        <v/>
      </c>
      <c r="N1134" s="74" t="str">
        <f t="shared" si="140"/>
        <v/>
      </c>
      <c r="O1134" s="73" t="str">
        <f t="shared" si="141"/>
        <v/>
      </c>
      <c r="P1134" s="65" t="str">
        <f t="shared" ca="1" si="142"/>
        <v/>
      </c>
      <c r="Q1134" s="2"/>
      <c r="R1134" s="2"/>
      <c r="S1134" s="1" t="str">
        <f t="shared" si="143"/>
        <v/>
      </c>
      <c r="T1134" s="1" t="str">
        <f>IF(OR($C1134="",$D1134&lt;&gt;"Gelir",$L1134=""),"",IFERROR(INDEX(MUSTERILER!$B$7:$B$156,MATCH($S1134,MUSTERILER!$T$7:$T$156,0)),""))</f>
        <v/>
      </c>
      <c r="U1134" s="1" t="str">
        <f>IF($T1134="","",$T1134&amp;"|"&amp;COUNTIFS($T$7:$T1134,$T1134))</f>
        <v/>
      </c>
      <c r="V1134" s="1">
        <f t="shared" si="144"/>
        <v>0</v>
      </c>
      <c r="W1134" s="1" t="str">
        <f t="shared" si="145"/>
        <v/>
      </c>
      <c r="X1134" s="1"/>
      <c r="Y1134" s="1"/>
      <c r="Z1134" s="1"/>
      <c r="AA1134" s="1"/>
      <c r="AB1134" s="1"/>
      <c r="AC1134" s="1"/>
      <c r="AD1134" s="1">
        <f>IF($C1134="",0,SUMPRODUCT((AY_SONU!$O$7:$O$42="Evet")*(AY_SONU!$B$7:$B$42=DATE(YEAR($C1134),MONTH($C1134),1))))</f>
        <v>0</v>
      </c>
      <c r="AE1134" s="1" t="str">
        <f>IF($E1134="","",$E1134&amp;"|"&amp;COUNTIFS($E$7:$E1134,$E1134))</f>
        <v/>
      </c>
    </row>
    <row r="1135" spans="1:31" ht="18" customHeight="1" x14ac:dyDescent="0.3">
      <c r="A1135" s="2"/>
      <c r="B1135" s="65" t="str">
        <f t="shared" si="138"/>
        <v/>
      </c>
      <c r="C1135" s="66"/>
      <c r="D1135" s="60"/>
      <c r="E1135" s="61"/>
      <c r="F1135" s="61"/>
      <c r="G1135" s="67"/>
      <c r="H1135" s="60"/>
      <c r="I1135" s="60"/>
      <c r="J1135" s="61"/>
      <c r="K1135" s="61"/>
      <c r="L1135" s="60"/>
      <c r="M1135" s="74" t="str">
        <f t="shared" si="139"/>
        <v/>
      </c>
      <c r="N1135" s="74" t="str">
        <f t="shared" si="140"/>
        <v/>
      </c>
      <c r="O1135" s="73" t="str">
        <f t="shared" si="141"/>
        <v/>
      </c>
      <c r="P1135" s="65" t="str">
        <f t="shared" ca="1" si="142"/>
        <v/>
      </c>
      <c r="Q1135" s="2"/>
      <c r="R1135" s="2"/>
      <c r="S1135" s="1" t="str">
        <f t="shared" si="143"/>
        <v/>
      </c>
      <c r="T1135" s="1" t="str">
        <f>IF(OR($C1135="",$D1135&lt;&gt;"Gelir",$L1135=""),"",IFERROR(INDEX(MUSTERILER!$B$7:$B$156,MATCH($S1135,MUSTERILER!$T$7:$T$156,0)),""))</f>
        <v/>
      </c>
      <c r="U1135" s="1" t="str">
        <f>IF($T1135="","",$T1135&amp;"|"&amp;COUNTIFS($T$7:$T1135,$T1135))</f>
        <v/>
      </c>
      <c r="V1135" s="1">
        <f t="shared" si="144"/>
        <v>0</v>
      </c>
      <c r="W1135" s="1" t="str">
        <f t="shared" si="145"/>
        <v/>
      </c>
      <c r="X1135" s="1"/>
      <c r="Y1135" s="1"/>
      <c r="Z1135" s="1"/>
      <c r="AA1135" s="1"/>
      <c r="AB1135" s="1"/>
      <c r="AC1135" s="1"/>
      <c r="AD1135" s="1">
        <f>IF($C1135="",0,SUMPRODUCT((AY_SONU!$O$7:$O$42="Evet")*(AY_SONU!$B$7:$B$42=DATE(YEAR($C1135),MONTH($C1135),1))))</f>
        <v>0</v>
      </c>
      <c r="AE1135" s="1" t="str">
        <f>IF($E1135="","",$E1135&amp;"|"&amp;COUNTIFS($E$7:$E1135,$E1135))</f>
        <v/>
      </c>
    </row>
    <row r="1136" spans="1:31" ht="18" customHeight="1" x14ac:dyDescent="0.3">
      <c r="A1136" s="2"/>
      <c r="B1136" s="65" t="str">
        <f t="shared" si="138"/>
        <v/>
      </c>
      <c r="C1136" s="66"/>
      <c r="D1136" s="60"/>
      <c r="E1136" s="61"/>
      <c r="F1136" s="61"/>
      <c r="G1136" s="67"/>
      <c r="H1136" s="60"/>
      <c r="I1136" s="60"/>
      <c r="J1136" s="61"/>
      <c r="K1136" s="61"/>
      <c r="L1136" s="60"/>
      <c r="M1136" s="74" t="str">
        <f t="shared" si="139"/>
        <v/>
      </c>
      <c r="N1136" s="74" t="str">
        <f t="shared" si="140"/>
        <v/>
      </c>
      <c r="O1136" s="73" t="str">
        <f t="shared" si="141"/>
        <v/>
      </c>
      <c r="P1136" s="65" t="str">
        <f t="shared" ca="1" si="142"/>
        <v/>
      </c>
      <c r="Q1136" s="2"/>
      <c r="R1136" s="2"/>
      <c r="S1136" s="1" t="str">
        <f t="shared" si="143"/>
        <v/>
      </c>
      <c r="T1136" s="1" t="str">
        <f>IF(OR($C1136="",$D1136&lt;&gt;"Gelir",$L1136=""),"",IFERROR(INDEX(MUSTERILER!$B$7:$B$156,MATCH($S1136,MUSTERILER!$T$7:$T$156,0)),""))</f>
        <v/>
      </c>
      <c r="U1136" s="1" t="str">
        <f>IF($T1136="","",$T1136&amp;"|"&amp;COUNTIFS($T$7:$T1136,$T1136))</f>
        <v/>
      </c>
      <c r="V1136" s="1">
        <f t="shared" si="144"/>
        <v>0</v>
      </c>
      <c r="W1136" s="1" t="str">
        <f t="shared" si="145"/>
        <v/>
      </c>
      <c r="X1136" s="1"/>
      <c r="Y1136" s="1"/>
      <c r="Z1136" s="1"/>
      <c r="AA1136" s="1"/>
      <c r="AB1136" s="1"/>
      <c r="AC1136" s="1"/>
      <c r="AD1136" s="1">
        <f>IF($C1136="",0,SUMPRODUCT((AY_SONU!$O$7:$O$42="Evet")*(AY_SONU!$B$7:$B$42=DATE(YEAR($C1136),MONTH($C1136),1))))</f>
        <v>0</v>
      </c>
      <c r="AE1136" s="1" t="str">
        <f>IF($E1136="","",$E1136&amp;"|"&amp;COUNTIFS($E$7:$E1136,$E1136))</f>
        <v/>
      </c>
    </row>
    <row r="1137" spans="1:31" ht="18" customHeight="1" x14ac:dyDescent="0.3">
      <c r="A1137" s="2"/>
      <c r="B1137" s="65" t="str">
        <f t="shared" si="138"/>
        <v/>
      </c>
      <c r="C1137" s="66"/>
      <c r="D1137" s="60"/>
      <c r="E1137" s="61"/>
      <c r="F1137" s="61"/>
      <c r="G1137" s="67"/>
      <c r="H1137" s="60"/>
      <c r="I1137" s="60"/>
      <c r="J1137" s="61"/>
      <c r="K1137" s="61"/>
      <c r="L1137" s="60"/>
      <c r="M1137" s="74" t="str">
        <f t="shared" si="139"/>
        <v/>
      </c>
      <c r="N1137" s="74" t="str">
        <f t="shared" si="140"/>
        <v/>
      </c>
      <c r="O1137" s="73" t="str">
        <f t="shared" si="141"/>
        <v/>
      </c>
      <c r="P1137" s="65" t="str">
        <f t="shared" ca="1" si="142"/>
        <v/>
      </c>
      <c r="Q1137" s="2"/>
      <c r="R1137" s="2"/>
      <c r="S1137" s="1" t="str">
        <f t="shared" si="143"/>
        <v/>
      </c>
      <c r="T1137" s="1" t="str">
        <f>IF(OR($C1137="",$D1137&lt;&gt;"Gelir",$L1137=""),"",IFERROR(INDEX(MUSTERILER!$B$7:$B$156,MATCH($S1137,MUSTERILER!$T$7:$T$156,0)),""))</f>
        <v/>
      </c>
      <c r="U1137" s="1" t="str">
        <f>IF($T1137="","",$T1137&amp;"|"&amp;COUNTIFS($T$7:$T1137,$T1137))</f>
        <v/>
      </c>
      <c r="V1137" s="1">
        <f t="shared" si="144"/>
        <v>0</v>
      </c>
      <c r="W1137" s="1" t="str">
        <f t="shared" si="145"/>
        <v/>
      </c>
      <c r="X1137" s="1"/>
      <c r="Y1137" s="1"/>
      <c r="Z1137" s="1"/>
      <c r="AA1137" s="1"/>
      <c r="AB1137" s="1"/>
      <c r="AC1137" s="1"/>
      <c r="AD1137" s="1">
        <f>IF($C1137="",0,SUMPRODUCT((AY_SONU!$O$7:$O$42="Evet")*(AY_SONU!$B$7:$B$42=DATE(YEAR($C1137),MONTH($C1137),1))))</f>
        <v>0</v>
      </c>
      <c r="AE1137" s="1" t="str">
        <f>IF($E1137="","",$E1137&amp;"|"&amp;COUNTIFS($E$7:$E1137,$E1137))</f>
        <v/>
      </c>
    </row>
    <row r="1138" spans="1:31" ht="18" customHeight="1" x14ac:dyDescent="0.3">
      <c r="A1138" s="2"/>
      <c r="B1138" s="65" t="str">
        <f t="shared" si="138"/>
        <v/>
      </c>
      <c r="C1138" s="66"/>
      <c r="D1138" s="60"/>
      <c r="E1138" s="61"/>
      <c r="F1138" s="61"/>
      <c r="G1138" s="67"/>
      <c r="H1138" s="60"/>
      <c r="I1138" s="60"/>
      <c r="J1138" s="61"/>
      <c r="K1138" s="61"/>
      <c r="L1138" s="60"/>
      <c r="M1138" s="74" t="str">
        <f t="shared" si="139"/>
        <v/>
      </c>
      <c r="N1138" s="74" t="str">
        <f t="shared" si="140"/>
        <v/>
      </c>
      <c r="O1138" s="73" t="str">
        <f t="shared" si="141"/>
        <v/>
      </c>
      <c r="P1138" s="65" t="str">
        <f t="shared" ca="1" si="142"/>
        <v/>
      </c>
      <c r="Q1138" s="2"/>
      <c r="R1138" s="2"/>
      <c r="S1138" s="1" t="str">
        <f t="shared" si="143"/>
        <v/>
      </c>
      <c r="T1138" s="1" t="str">
        <f>IF(OR($C1138="",$D1138&lt;&gt;"Gelir",$L1138=""),"",IFERROR(INDEX(MUSTERILER!$B$7:$B$156,MATCH($S1138,MUSTERILER!$T$7:$T$156,0)),""))</f>
        <v/>
      </c>
      <c r="U1138" s="1" t="str">
        <f>IF($T1138="","",$T1138&amp;"|"&amp;COUNTIFS($T$7:$T1138,$T1138))</f>
        <v/>
      </c>
      <c r="V1138" s="1">
        <f t="shared" si="144"/>
        <v>0</v>
      </c>
      <c r="W1138" s="1" t="str">
        <f t="shared" si="145"/>
        <v/>
      </c>
      <c r="X1138" s="1"/>
      <c r="Y1138" s="1"/>
      <c r="Z1138" s="1"/>
      <c r="AA1138" s="1"/>
      <c r="AB1138" s="1"/>
      <c r="AC1138" s="1"/>
      <c r="AD1138" s="1">
        <f>IF($C1138="",0,SUMPRODUCT((AY_SONU!$O$7:$O$42="Evet")*(AY_SONU!$B$7:$B$42=DATE(YEAR($C1138),MONTH($C1138),1))))</f>
        <v>0</v>
      </c>
      <c r="AE1138" s="1" t="str">
        <f>IF($E1138="","",$E1138&amp;"|"&amp;COUNTIFS($E$7:$E1138,$E1138))</f>
        <v/>
      </c>
    </row>
    <row r="1139" spans="1:31" ht="18" customHeight="1" x14ac:dyDescent="0.3">
      <c r="A1139" s="2"/>
      <c r="B1139" s="65" t="str">
        <f t="shared" si="138"/>
        <v/>
      </c>
      <c r="C1139" s="66"/>
      <c r="D1139" s="60"/>
      <c r="E1139" s="61"/>
      <c r="F1139" s="61"/>
      <c r="G1139" s="67"/>
      <c r="H1139" s="60"/>
      <c r="I1139" s="60"/>
      <c r="J1139" s="61"/>
      <c r="K1139" s="61"/>
      <c r="L1139" s="60"/>
      <c r="M1139" s="74" t="str">
        <f t="shared" si="139"/>
        <v/>
      </c>
      <c r="N1139" s="74" t="str">
        <f t="shared" si="140"/>
        <v/>
      </c>
      <c r="O1139" s="73" t="str">
        <f t="shared" si="141"/>
        <v/>
      </c>
      <c r="P1139" s="65" t="str">
        <f t="shared" ca="1" si="142"/>
        <v/>
      </c>
      <c r="Q1139" s="2"/>
      <c r="R1139" s="2"/>
      <c r="S1139" s="1" t="str">
        <f t="shared" si="143"/>
        <v/>
      </c>
      <c r="T1139" s="1" t="str">
        <f>IF(OR($C1139="",$D1139&lt;&gt;"Gelir",$L1139=""),"",IFERROR(INDEX(MUSTERILER!$B$7:$B$156,MATCH($S1139,MUSTERILER!$T$7:$T$156,0)),""))</f>
        <v/>
      </c>
      <c r="U1139" s="1" t="str">
        <f>IF($T1139="","",$T1139&amp;"|"&amp;COUNTIFS($T$7:$T1139,$T1139))</f>
        <v/>
      </c>
      <c r="V1139" s="1">
        <f t="shared" si="144"/>
        <v>0</v>
      </c>
      <c r="W1139" s="1" t="str">
        <f t="shared" si="145"/>
        <v/>
      </c>
      <c r="X1139" s="1"/>
      <c r="Y1139" s="1"/>
      <c r="Z1139" s="1"/>
      <c r="AA1139" s="1"/>
      <c r="AB1139" s="1"/>
      <c r="AC1139" s="1"/>
      <c r="AD1139" s="1">
        <f>IF($C1139="",0,SUMPRODUCT((AY_SONU!$O$7:$O$42="Evet")*(AY_SONU!$B$7:$B$42=DATE(YEAR($C1139),MONTH($C1139),1))))</f>
        <v>0</v>
      </c>
      <c r="AE1139" s="1" t="str">
        <f>IF($E1139="","",$E1139&amp;"|"&amp;COUNTIFS($E$7:$E1139,$E1139))</f>
        <v/>
      </c>
    </row>
    <row r="1140" spans="1:31" ht="18" customHeight="1" x14ac:dyDescent="0.3">
      <c r="A1140" s="2"/>
      <c r="B1140" s="65" t="str">
        <f t="shared" si="138"/>
        <v/>
      </c>
      <c r="C1140" s="66"/>
      <c r="D1140" s="60"/>
      <c r="E1140" s="61"/>
      <c r="F1140" s="61"/>
      <c r="G1140" s="67"/>
      <c r="H1140" s="60"/>
      <c r="I1140" s="60"/>
      <c r="J1140" s="61"/>
      <c r="K1140" s="61"/>
      <c r="L1140" s="60"/>
      <c r="M1140" s="74" t="str">
        <f t="shared" si="139"/>
        <v/>
      </c>
      <c r="N1140" s="74" t="str">
        <f t="shared" si="140"/>
        <v/>
      </c>
      <c r="O1140" s="73" t="str">
        <f t="shared" si="141"/>
        <v/>
      </c>
      <c r="P1140" s="65" t="str">
        <f t="shared" ca="1" si="142"/>
        <v/>
      </c>
      <c r="Q1140" s="2"/>
      <c r="R1140" s="2"/>
      <c r="S1140" s="1" t="str">
        <f t="shared" si="143"/>
        <v/>
      </c>
      <c r="T1140" s="1" t="str">
        <f>IF(OR($C1140="",$D1140&lt;&gt;"Gelir",$L1140=""),"",IFERROR(INDEX(MUSTERILER!$B$7:$B$156,MATCH($S1140,MUSTERILER!$T$7:$T$156,0)),""))</f>
        <v/>
      </c>
      <c r="U1140" s="1" t="str">
        <f>IF($T1140="","",$T1140&amp;"|"&amp;COUNTIFS($T$7:$T1140,$T1140))</f>
        <v/>
      </c>
      <c r="V1140" s="1">
        <f t="shared" si="144"/>
        <v>0</v>
      </c>
      <c r="W1140" s="1" t="str">
        <f t="shared" si="145"/>
        <v/>
      </c>
      <c r="X1140" s="1"/>
      <c r="Y1140" s="1"/>
      <c r="Z1140" s="1"/>
      <c r="AA1140" s="1"/>
      <c r="AB1140" s="1"/>
      <c r="AC1140" s="1"/>
      <c r="AD1140" s="1">
        <f>IF($C1140="",0,SUMPRODUCT((AY_SONU!$O$7:$O$42="Evet")*(AY_SONU!$B$7:$B$42=DATE(YEAR($C1140),MONTH($C1140),1))))</f>
        <v>0</v>
      </c>
      <c r="AE1140" s="1" t="str">
        <f>IF($E1140="","",$E1140&amp;"|"&amp;COUNTIFS($E$7:$E1140,$E1140))</f>
        <v/>
      </c>
    </row>
    <row r="1141" spans="1:31" ht="18" customHeight="1" x14ac:dyDescent="0.3">
      <c r="A1141" s="2"/>
      <c r="B1141" s="65" t="str">
        <f t="shared" si="138"/>
        <v/>
      </c>
      <c r="C1141" s="66"/>
      <c r="D1141" s="60"/>
      <c r="E1141" s="61"/>
      <c r="F1141" s="61"/>
      <c r="G1141" s="67"/>
      <c r="H1141" s="60"/>
      <c r="I1141" s="60"/>
      <c r="J1141" s="61"/>
      <c r="K1141" s="61"/>
      <c r="L1141" s="60"/>
      <c r="M1141" s="74" t="str">
        <f t="shared" si="139"/>
        <v/>
      </c>
      <c r="N1141" s="74" t="str">
        <f t="shared" si="140"/>
        <v/>
      </c>
      <c r="O1141" s="73" t="str">
        <f t="shared" si="141"/>
        <v/>
      </c>
      <c r="P1141" s="65" t="str">
        <f t="shared" ca="1" si="142"/>
        <v/>
      </c>
      <c r="Q1141" s="2"/>
      <c r="R1141" s="2"/>
      <c r="S1141" s="1" t="str">
        <f t="shared" si="143"/>
        <v/>
      </c>
      <c r="T1141" s="1" t="str">
        <f>IF(OR($C1141="",$D1141&lt;&gt;"Gelir",$L1141=""),"",IFERROR(INDEX(MUSTERILER!$B$7:$B$156,MATCH($S1141,MUSTERILER!$T$7:$T$156,0)),""))</f>
        <v/>
      </c>
      <c r="U1141" s="1" t="str">
        <f>IF($T1141="","",$T1141&amp;"|"&amp;COUNTIFS($T$7:$T1141,$T1141))</f>
        <v/>
      </c>
      <c r="V1141" s="1">
        <f t="shared" si="144"/>
        <v>0</v>
      </c>
      <c r="W1141" s="1" t="str">
        <f t="shared" si="145"/>
        <v/>
      </c>
      <c r="X1141" s="1"/>
      <c r="Y1141" s="1"/>
      <c r="Z1141" s="1"/>
      <c r="AA1141" s="1"/>
      <c r="AB1141" s="1"/>
      <c r="AC1141" s="1"/>
      <c r="AD1141" s="1">
        <f>IF($C1141="",0,SUMPRODUCT((AY_SONU!$O$7:$O$42="Evet")*(AY_SONU!$B$7:$B$42=DATE(YEAR($C1141),MONTH($C1141),1))))</f>
        <v>0</v>
      </c>
      <c r="AE1141" s="1" t="str">
        <f>IF($E1141="","",$E1141&amp;"|"&amp;COUNTIFS($E$7:$E1141,$E1141))</f>
        <v/>
      </c>
    </row>
    <row r="1142" spans="1:31" ht="18" customHeight="1" x14ac:dyDescent="0.3">
      <c r="A1142" s="2"/>
      <c r="B1142" s="65" t="str">
        <f t="shared" si="138"/>
        <v/>
      </c>
      <c r="C1142" s="66"/>
      <c r="D1142" s="60"/>
      <c r="E1142" s="61"/>
      <c r="F1142" s="61"/>
      <c r="G1142" s="67"/>
      <c r="H1142" s="60"/>
      <c r="I1142" s="60"/>
      <c r="J1142" s="61"/>
      <c r="K1142" s="61"/>
      <c r="L1142" s="60"/>
      <c r="M1142" s="74" t="str">
        <f t="shared" si="139"/>
        <v/>
      </c>
      <c r="N1142" s="74" t="str">
        <f t="shared" si="140"/>
        <v/>
      </c>
      <c r="O1142" s="73" t="str">
        <f t="shared" si="141"/>
        <v/>
      </c>
      <c r="P1142" s="65" t="str">
        <f t="shared" ca="1" si="142"/>
        <v/>
      </c>
      <c r="Q1142" s="2"/>
      <c r="R1142" s="2"/>
      <c r="S1142" s="1" t="str">
        <f t="shared" si="143"/>
        <v/>
      </c>
      <c r="T1142" s="1" t="str">
        <f>IF(OR($C1142="",$D1142&lt;&gt;"Gelir",$L1142=""),"",IFERROR(INDEX(MUSTERILER!$B$7:$B$156,MATCH($S1142,MUSTERILER!$T$7:$T$156,0)),""))</f>
        <v/>
      </c>
      <c r="U1142" s="1" t="str">
        <f>IF($T1142="","",$T1142&amp;"|"&amp;COUNTIFS($T$7:$T1142,$T1142))</f>
        <v/>
      </c>
      <c r="V1142" s="1">
        <f t="shared" si="144"/>
        <v>0</v>
      </c>
      <c r="W1142" s="1" t="str">
        <f t="shared" si="145"/>
        <v/>
      </c>
      <c r="X1142" s="1"/>
      <c r="Y1142" s="1"/>
      <c r="Z1142" s="1"/>
      <c r="AA1142" s="1"/>
      <c r="AB1142" s="1"/>
      <c r="AC1142" s="1"/>
      <c r="AD1142" s="1">
        <f>IF($C1142="",0,SUMPRODUCT((AY_SONU!$O$7:$O$42="Evet")*(AY_SONU!$B$7:$B$42=DATE(YEAR($C1142),MONTH($C1142),1))))</f>
        <v>0</v>
      </c>
      <c r="AE1142" s="1" t="str">
        <f>IF($E1142="","",$E1142&amp;"|"&amp;COUNTIFS($E$7:$E1142,$E1142))</f>
        <v/>
      </c>
    </row>
    <row r="1143" spans="1:31" ht="18" customHeight="1" x14ac:dyDescent="0.3">
      <c r="A1143" s="2"/>
      <c r="B1143" s="65" t="str">
        <f t="shared" si="138"/>
        <v/>
      </c>
      <c r="C1143" s="66"/>
      <c r="D1143" s="60"/>
      <c r="E1143" s="61"/>
      <c r="F1143" s="61"/>
      <c r="G1143" s="67"/>
      <c r="H1143" s="60"/>
      <c r="I1143" s="60"/>
      <c r="J1143" s="61"/>
      <c r="K1143" s="61"/>
      <c r="L1143" s="60"/>
      <c r="M1143" s="74" t="str">
        <f t="shared" si="139"/>
        <v/>
      </c>
      <c r="N1143" s="74" t="str">
        <f t="shared" si="140"/>
        <v/>
      </c>
      <c r="O1143" s="73" t="str">
        <f t="shared" si="141"/>
        <v/>
      </c>
      <c r="P1143" s="65" t="str">
        <f t="shared" ca="1" si="142"/>
        <v/>
      </c>
      <c r="Q1143" s="2"/>
      <c r="R1143" s="2"/>
      <c r="S1143" s="1" t="str">
        <f t="shared" si="143"/>
        <v/>
      </c>
      <c r="T1143" s="1" t="str">
        <f>IF(OR($C1143="",$D1143&lt;&gt;"Gelir",$L1143=""),"",IFERROR(INDEX(MUSTERILER!$B$7:$B$156,MATCH($S1143,MUSTERILER!$T$7:$T$156,0)),""))</f>
        <v/>
      </c>
      <c r="U1143" s="1" t="str">
        <f>IF($T1143="","",$T1143&amp;"|"&amp;COUNTIFS($T$7:$T1143,$T1143))</f>
        <v/>
      </c>
      <c r="V1143" s="1">
        <f t="shared" si="144"/>
        <v>0</v>
      </c>
      <c r="W1143" s="1" t="str">
        <f t="shared" si="145"/>
        <v/>
      </c>
      <c r="X1143" s="1"/>
      <c r="Y1143" s="1"/>
      <c r="Z1143" s="1"/>
      <c r="AA1143" s="1"/>
      <c r="AB1143" s="1"/>
      <c r="AC1143" s="1"/>
      <c r="AD1143" s="1">
        <f>IF($C1143="",0,SUMPRODUCT((AY_SONU!$O$7:$O$42="Evet")*(AY_SONU!$B$7:$B$42=DATE(YEAR($C1143),MONTH($C1143),1))))</f>
        <v>0</v>
      </c>
      <c r="AE1143" s="1" t="str">
        <f>IF($E1143="","",$E1143&amp;"|"&amp;COUNTIFS($E$7:$E1143,$E1143))</f>
        <v/>
      </c>
    </row>
    <row r="1144" spans="1:31" ht="18" customHeight="1" x14ac:dyDescent="0.3">
      <c r="A1144" s="2"/>
      <c r="B1144" s="65" t="str">
        <f t="shared" si="138"/>
        <v/>
      </c>
      <c r="C1144" s="66"/>
      <c r="D1144" s="60"/>
      <c r="E1144" s="61"/>
      <c r="F1144" s="61"/>
      <c r="G1144" s="67"/>
      <c r="H1144" s="60"/>
      <c r="I1144" s="60"/>
      <c r="J1144" s="61"/>
      <c r="K1144" s="61"/>
      <c r="L1144" s="60"/>
      <c r="M1144" s="74" t="str">
        <f t="shared" si="139"/>
        <v/>
      </c>
      <c r="N1144" s="74" t="str">
        <f t="shared" si="140"/>
        <v/>
      </c>
      <c r="O1144" s="73" t="str">
        <f t="shared" si="141"/>
        <v/>
      </c>
      <c r="P1144" s="65" t="str">
        <f t="shared" ca="1" si="142"/>
        <v/>
      </c>
      <c r="Q1144" s="2"/>
      <c r="R1144" s="2"/>
      <c r="S1144" s="1" t="str">
        <f t="shared" si="143"/>
        <v/>
      </c>
      <c r="T1144" s="1" t="str">
        <f>IF(OR($C1144="",$D1144&lt;&gt;"Gelir",$L1144=""),"",IFERROR(INDEX(MUSTERILER!$B$7:$B$156,MATCH($S1144,MUSTERILER!$T$7:$T$156,0)),""))</f>
        <v/>
      </c>
      <c r="U1144" s="1" t="str">
        <f>IF($T1144="","",$T1144&amp;"|"&amp;COUNTIFS($T$7:$T1144,$T1144))</f>
        <v/>
      </c>
      <c r="V1144" s="1">
        <f t="shared" si="144"/>
        <v>0</v>
      </c>
      <c r="W1144" s="1" t="str">
        <f t="shared" si="145"/>
        <v/>
      </c>
      <c r="X1144" s="1"/>
      <c r="Y1144" s="1"/>
      <c r="Z1144" s="1"/>
      <c r="AA1144" s="1"/>
      <c r="AB1144" s="1"/>
      <c r="AC1144" s="1"/>
      <c r="AD1144" s="1">
        <f>IF($C1144="",0,SUMPRODUCT((AY_SONU!$O$7:$O$42="Evet")*(AY_SONU!$B$7:$B$42=DATE(YEAR($C1144),MONTH($C1144),1))))</f>
        <v>0</v>
      </c>
      <c r="AE1144" s="1" t="str">
        <f>IF($E1144="","",$E1144&amp;"|"&amp;COUNTIFS($E$7:$E1144,$E1144))</f>
        <v/>
      </c>
    </row>
    <row r="1145" spans="1:31" ht="18" customHeight="1" x14ac:dyDescent="0.3">
      <c r="A1145" s="2"/>
      <c r="B1145" s="65" t="str">
        <f t="shared" si="138"/>
        <v/>
      </c>
      <c r="C1145" s="66"/>
      <c r="D1145" s="60"/>
      <c r="E1145" s="61"/>
      <c r="F1145" s="61"/>
      <c r="G1145" s="67"/>
      <c r="H1145" s="60"/>
      <c r="I1145" s="60"/>
      <c r="J1145" s="61"/>
      <c r="K1145" s="61"/>
      <c r="L1145" s="60"/>
      <c r="M1145" s="74" t="str">
        <f t="shared" si="139"/>
        <v/>
      </c>
      <c r="N1145" s="74" t="str">
        <f t="shared" si="140"/>
        <v/>
      </c>
      <c r="O1145" s="73" t="str">
        <f t="shared" si="141"/>
        <v/>
      </c>
      <c r="P1145" s="65" t="str">
        <f t="shared" ca="1" si="142"/>
        <v/>
      </c>
      <c r="Q1145" s="2"/>
      <c r="R1145" s="2"/>
      <c r="S1145" s="1" t="str">
        <f t="shared" si="143"/>
        <v/>
      </c>
      <c r="T1145" s="1" t="str">
        <f>IF(OR($C1145="",$D1145&lt;&gt;"Gelir",$L1145=""),"",IFERROR(INDEX(MUSTERILER!$B$7:$B$156,MATCH($S1145,MUSTERILER!$T$7:$T$156,0)),""))</f>
        <v/>
      </c>
      <c r="U1145" s="1" t="str">
        <f>IF($T1145="","",$T1145&amp;"|"&amp;COUNTIFS($T$7:$T1145,$T1145))</f>
        <v/>
      </c>
      <c r="V1145" s="1">
        <f t="shared" si="144"/>
        <v>0</v>
      </c>
      <c r="W1145" s="1" t="str">
        <f t="shared" si="145"/>
        <v/>
      </c>
      <c r="X1145" s="1"/>
      <c r="Y1145" s="1"/>
      <c r="Z1145" s="1"/>
      <c r="AA1145" s="1"/>
      <c r="AB1145" s="1"/>
      <c r="AC1145" s="1"/>
      <c r="AD1145" s="1">
        <f>IF($C1145="",0,SUMPRODUCT((AY_SONU!$O$7:$O$42="Evet")*(AY_SONU!$B$7:$B$42=DATE(YEAR($C1145),MONTH($C1145),1))))</f>
        <v>0</v>
      </c>
      <c r="AE1145" s="1" t="str">
        <f>IF($E1145="","",$E1145&amp;"|"&amp;COUNTIFS($E$7:$E1145,$E1145))</f>
        <v/>
      </c>
    </row>
    <row r="1146" spans="1:31" ht="18" customHeight="1" x14ac:dyDescent="0.3">
      <c r="A1146" s="2"/>
      <c r="B1146" s="65" t="str">
        <f t="shared" si="138"/>
        <v/>
      </c>
      <c r="C1146" s="66"/>
      <c r="D1146" s="60"/>
      <c r="E1146" s="61"/>
      <c r="F1146" s="61"/>
      <c r="G1146" s="67"/>
      <c r="H1146" s="60"/>
      <c r="I1146" s="60"/>
      <c r="J1146" s="61"/>
      <c r="K1146" s="61"/>
      <c r="L1146" s="60"/>
      <c r="M1146" s="74" t="str">
        <f t="shared" si="139"/>
        <v/>
      </c>
      <c r="N1146" s="74" t="str">
        <f t="shared" si="140"/>
        <v/>
      </c>
      <c r="O1146" s="73" t="str">
        <f t="shared" si="141"/>
        <v/>
      </c>
      <c r="P1146" s="65" t="str">
        <f t="shared" ca="1" si="142"/>
        <v/>
      </c>
      <c r="Q1146" s="2"/>
      <c r="R1146" s="2"/>
      <c r="S1146" s="1" t="str">
        <f t="shared" si="143"/>
        <v/>
      </c>
      <c r="T1146" s="1" t="str">
        <f>IF(OR($C1146="",$D1146&lt;&gt;"Gelir",$L1146=""),"",IFERROR(INDEX(MUSTERILER!$B$7:$B$156,MATCH($S1146,MUSTERILER!$T$7:$T$156,0)),""))</f>
        <v/>
      </c>
      <c r="U1146" s="1" t="str">
        <f>IF($T1146="","",$T1146&amp;"|"&amp;COUNTIFS($T$7:$T1146,$T1146))</f>
        <v/>
      </c>
      <c r="V1146" s="1">
        <f t="shared" si="144"/>
        <v>0</v>
      </c>
      <c r="W1146" s="1" t="str">
        <f t="shared" si="145"/>
        <v/>
      </c>
      <c r="X1146" s="1"/>
      <c r="Y1146" s="1"/>
      <c r="Z1146" s="1"/>
      <c r="AA1146" s="1"/>
      <c r="AB1146" s="1"/>
      <c r="AC1146" s="1"/>
      <c r="AD1146" s="1">
        <f>IF($C1146="",0,SUMPRODUCT((AY_SONU!$O$7:$O$42="Evet")*(AY_SONU!$B$7:$B$42=DATE(YEAR($C1146),MONTH($C1146),1))))</f>
        <v>0</v>
      </c>
      <c r="AE1146" s="1" t="str">
        <f>IF($E1146="","",$E1146&amp;"|"&amp;COUNTIFS($E$7:$E1146,$E1146))</f>
        <v/>
      </c>
    </row>
    <row r="1147" spans="1:31" ht="18" customHeight="1" x14ac:dyDescent="0.3">
      <c r="A1147" s="2"/>
      <c r="B1147" s="65" t="str">
        <f t="shared" si="138"/>
        <v/>
      </c>
      <c r="C1147" s="66"/>
      <c r="D1147" s="60"/>
      <c r="E1147" s="61"/>
      <c r="F1147" s="61"/>
      <c r="G1147" s="67"/>
      <c r="H1147" s="60"/>
      <c r="I1147" s="60"/>
      <c r="J1147" s="61"/>
      <c r="K1147" s="61"/>
      <c r="L1147" s="60"/>
      <c r="M1147" s="74" t="str">
        <f t="shared" si="139"/>
        <v/>
      </c>
      <c r="N1147" s="74" t="str">
        <f t="shared" si="140"/>
        <v/>
      </c>
      <c r="O1147" s="73" t="str">
        <f t="shared" si="141"/>
        <v/>
      </c>
      <c r="P1147" s="65" t="str">
        <f t="shared" ca="1" si="142"/>
        <v/>
      </c>
      <c r="Q1147" s="2"/>
      <c r="R1147" s="2"/>
      <c r="S1147" s="1" t="str">
        <f t="shared" si="143"/>
        <v/>
      </c>
      <c r="T1147" s="1" t="str">
        <f>IF(OR($C1147="",$D1147&lt;&gt;"Gelir",$L1147=""),"",IFERROR(INDEX(MUSTERILER!$B$7:$B$156,MATCH($S1147,MUSTERILER!$T$7:$T$156,0)),""))</f>
        <v/>
      </c>
      <c r="U1147" s="1" t="str">
        <f>IF($T1147="","",$T1147&amp;"|"&amp;COUNTIFS($T$7:$T1147,$T1147))</f>
        <v/>
      </c>
      <c r="V1147" s="1">
        <f t="shared" si="144"/>
        <v>0</v>
      </c>
      <c r="W1147" s="1" t="str">
        <f t="shared" si="145"/>
        <v/>
      </c>
      <c r="X1147" s="1"/>
      <c r="Y1147" s="1"/>
      <c r="Z1147" s="1"/>
      <c r="AA1147" s="1"/>
      <c r="AB1147" s="1"/>
      <c r="AC1147" s="1"/>
      <c r="AD1147" s="1">
        <f>IF($C1147="",0,SUMPRODUCT((AY_SONU!$O$7:$O$42="Evet")*(AY_SONU!$B$7:$B$42=DATE(YEAR($C1147),MONTH($C1147),1))))</f>
        <v>0</v>
      </c>
      <c r="AE1147" s="1" t="str">
        <f>IF($E1147="","",$E1147&amp;"|"&amp;COUNTIFS($E$7:$E1147,$E1147))</f>
        <v/>
      </c>
    </row>
    <row r="1148" spans="1:31" ht="18" customHeight="1" x14ac:dyDescent="0.3">
      <c r="A1148" s="2"/>
      <c r="B1148" s="65" t="str">
        <f t="shared" si="138"/>
        <v/>
      </c>
      <c r="C1148" s="66"/>
      <c r="D1148" s="60"/>
      <c r="E1148" s="61"/>
      <c r="F1148" s="61"/>
      <c r="G1148" s="67"/>
      <c r="H1148" s="60"/>
      <c r="I1148" s="60"/>
      <c r="J1148" s="61"/>
      <c r="K1148" s="61"/>
      <c r="L1148" s="60"/>
      <c r="M1148" s="74" t="str">
        <f t="shared" si="139"/>
        <v/>
      </c>
      <c r="N1148" s="74" t="str">
        <f t="shared" si="140"/>
        <v/>
      </c>
      <c r="O1148" s="73" t="str">
        <f t="shared" si="141"/>
        <v/>
      </c>
      <c r="P1148" s="65" t="str">
        <f t="shared" ca="1" si="142"/>
        <v/>
      </c>
      <c r="Q1148" s="2"/>
      <c r="R1148" s="2"/>
      <c r="S1148" s="1" t="str">
        <f t="shared" si="143"/>
        <v/>
      </c>
      <c r="T1148" s="1" t="str">
        <f>IF(OR($C1148="",$D1148&lt;&gt;"Gelir",$L1148=""),"",IFERROR(INDEX(MUSTERILER!$B$7:$B$156,MATCH($S1148,MUSTERILER!$T$7:$T$156,0)),""))</f>
        <v/>
      </c>
      <c r="U1148" s="1" t="str">
        <f>IF($T1148="","",$T1148&amp;"|"&amp;COUNTIFS($T$7:$T1148,$T1148))</f>
        <v/>
      </c>
      <c r="V1148" s="1">
        <f t="shared" si="144"/>
        <v>0</v>
      </c>
      <c r="W1148" s="1" t="str">
        <f t="shared" si="145"/>
        <v/>
      </c>
      <c r="X1148" s="1"/>
      <c r="Y1148" s="1"/>
      <c r="Z1148" s="1"/>
      <c r="AA1148" s="1"/>
      <c r="AB1148" s="1"/>
      <c r="AC1148" s="1"/>
      <c r="AD1148" s="1">
        <f>IF($C1148="",0,SUMPRODUCT((AY_SONU!$O$7:$O$42="Evet")*(AY_SONU!$B$7:$B$42=DATE(YEAR($C1148),MONTH($C1148),1))))</f>
        <v>0</v>
      </c>
      <c r="AE1148" s="1" t="str">
        <f>IF($E1148="","",$E1148&amp;"|"&amp;COUNTIFS($E$7:$E1148,$E1148))</f>
        <v/>
      </c>
    </row>
    <row r="1149" spans="1:31" ht="18" customHeight="1" x14ac:dyDescent="0.3">
      <c r="A1149" s="2"/>
      <c r="B1149" s="65" t="str">
        <f t="shared" si="138"/>
        <v/>
      </c>
      <c r="C1149" s="66"/>
      <c r="D1149" s="60"/>
      <c r="E1149" s="61"/>
      <c r="F1149" s="61"/>
      <c r="G1149" s="67"/>
      <c r="H1149" s="60"/>
      <c r="I1149" s="60"/>
      <c r="J1149" s="61"/>
      <c r="K1149" s="61"/>
      <c r="L1149" s="60"/>
      <c r="M1149" s="74" t="str">
        <f t="shared" si="139"/>
        <v/>
      </c>
      <c r="N1149" s="74" t="str">
        <f t="shared" si="140"/>
        <v/>
      </c>
      <c r="O1149" s="73" t="str">
        <f t="shared" si="141"/>
        <v/>
      </c>
      <c r="P1149" s="65" t="str">
        <f t="shared" ca="1" si="142"/>
        <v/>
      </c>
      <c r="Q1149" s="2"/>
      <c r="R1149" s="2"/>
      <c r="S1149" s="1" t="str">
        <f t="shared" si="143"/>
        <v/>
      </c>
      <c r="T1149" s="1" t="str">
        <f>IF(OR($C1149="",$D1149&lt;&gt;"Gelir",$L1149=""),"",IFERROR(INDEX(MUSTERILER!$B$7:$B$156,MATCH($S1149,MUSTERILER!$T$7:$T$156,0)),""))</f>
        <v/>
      </c>
      <c r="U1149" s="1" t="str">
        <f>IF($T1149="","",$T1149&amp;"|"&amp;COUNTIFS($T$7:$T1149,$T1149))</f>
        <v/>
      </c>
      <c r="V1149" s="1">
        <f t="shared" si="144"/>
        <v>0</v>
      </c>
      <c r="W1149" s="1" t="str">
        <f t="shared" si="145"/>
        <v/>
      </c>
      <c r="X1149" s="1"/>
      <c r="Y1149" s="1"/>
      <c r="Z1149" s="1"/>
      <c r="AA1149" s="1"/>
      <c r="AB1149" s="1"/>
      <c r="AC1149" s="1"/>
      <c r="AD1149" s="1">
        <f>IF($C1149="",0,SUMPRODUCT((AY_SONU!$O$7:$O$42="Evet")*(AY_SONU!$B$7:$B$42=DATE(YEAR($C1149),MONTH($C1149),1))))</f>
        <v>0</v>
      </c>
      <c r="AE1149" s="1" t="str">
        <f>IF($E1149="","",$E1149&amp;"|"&amp;COUNTIFS($E$7:$E1149,$E1149))</f>
        <v/>
      </c>
    </row>
    <row r="1150" spans="1:31" ht="18" customHeight="1" x14ac:dyDescent="0.3">
      <c r="A1150" s="2"/>
      <c r="B1150" s="65" t="str">
        <f t="shared" si="138"/>
        <v/>
      </c>
      <c r="C1150" s="66"/>
      <c r="D1150" s="60"/>
      <c r="E1150" s="61"/>
      <c r="F1150" s="61"/>
      <c r="G1150" s="67"/>
      <c r="H1150" s="60"/>
      <c r="I1150" s="60"/>
      <c r="J1150" s="61"/>
      <c r="K1150" s="61"/>
      <c r="L1150" s="60"/>
      <c r="M1150" s="74" t="str">
        <f t="shared" si="139"/>
        <v/>
      </c>
      <c r="N1150" s="74" t="str">
        <f t="shared" si="140"/>
        <v/>
      </c>
      <c r="O1150" s="73" t="str">
        <f t="shared" si="141"/>
        <v/>
      </c>
      <c r="P1150" s="65" t="str">
        <f t="shared" ca="1" si="142"/>
        <v/>
      </c>
      <c r="Q1150" s="2"/>
      <c r="R1150" s="2"/>
      <c r="S1150" s="1" t="str">
        <f t="shared" si="143"/>
        <v/>
      </c>
      <c r="T1150" s="1" t="str">
        <f>IF(OR($C1150="",$D1150&lt;&gt;"Gelir",$L1150=""),"",IFERROR(INDEX(MUSTERILER!$B$7:$B$156,MATCH($S1150,MUSTERILER!$T$7:$T$156,0)),""))</f>
        <v/>
      </c>
      <c r="U1150" s="1" t="str">
        <f>IF($T1150="","",$T1150&amp;"|"&amp;COUNTIFS($T$7:$T1150,$T1150))</f>
        <v/>
      </c>
      <c r="V1150" s="1">
        <f t="shared" si="144"/>
        <v>0</v>
      </c>
      <c r="W1150" s="1" t="str">
        <f t="shared" si="145"/>
        <v/>
      </c>
      <c r="X1150" s="1"/>
      <c r="Y1150" s="1"/>
      <c r="Z1150" s="1"/>
      <c r="AA1150" s="1"/>
      <c r="AB1150" s="1"/>
      <c r="AC1150" s="1"/>
      <c r="AD1150" s="1">
        <f>IF($C1150="",0,SUMPRODUCT((AY_SONU!$O$7:$O$42="Evet")*(AY_SONU!$B$7:$B$42=DATE(YEAR($C1150),MONTH($C1150),1))))</f>
        <v>0</v>
      </c>
      <c r="AE1150" s="1" t="str">
        <f>IF($E1150="","",$E1150&amp;"|"&amp;COUNTIFS($E$7:$E1150,$E1150))</f>
        <v/>
      </c>
    </row>
    <row r="1151" spans="1:31" ht="18" customHeight="1" x14ac:dyDescent="0.3">
      <c r="A1151" s="2"/>
      <c r="B1151" s="65" t="str">
        <f t="shared" si="138"/>
        <v/>
      </c>
      <c r="C1151" s="66"/>
      <c r="D1151" s="60"/>
      <c r="E1151" s="61"/>
      <c r="F1151" s="61"/>
      <c r="G1151" s="67"/>
      <c r="H1151" s="60"/>
      <c r="I1151" s="60"/>
      <c r="J1151" s="61"/>
      <c r="K1151" s="61"/>
      <c r="L1151" s="60"/>
      <c r="M1151" s="74" t="str">
        <f t="shared" si="139"/>
        <v/>
      </c>
      <c r="N1151" s="74" t="str">
        <f t="shared" si="140"/>
        <v/>
      </c>
      <c r="O1151" s="73" t="str">
        <f t="shared" si="141"/>
        <v/>
      </c>
      <c r="P1151" s="65" t="str">
        <f t="shared" ca="1" si="142"/>
        <v/>
      </c>
      <c r="Q1151" s="2"/>
      <c r="R1151" s="2"/>
      <c r="S1151" s="1" t="str">
        <f t="shared" si="143"/>
        <v/>
      </c>
      <c r="T1151" s="1" t="str">
        <f>IF(OR($C1151="",$D1151&lt;&gt;"Gelir",$L1151=""),"",IFERROR(INDEX(MUSTERILER!$B$7:$B$156,MATCH($S1151,MUSTERILER!$T$7:$T$156,0)),""))</f>
        <v/>
      </c>
      <c r="U1151" s="1" t="str">
        <f>IF($T1151="","",$T1151&amp;"|"&amp;COUNTIFS($T$7:$T1151,$T1151))</f>
        <v/>
      </c>
      <c r="V1151" s="1">
        <f t="shared" si="144"/>
        <v>0</v>
      </c>
      <c r="W1151" s="1" t="str">
        <f t="shared" si="145"/>
        <v/>
      </c>
      <c r="X1151" s="1"/>
      <c r="Y1151" s="1"/>
      <c r="Z1151" s="1"/>
      <c r="AA1151" s="1"/>
      <c r="AB1151" s="1"/>
      <c r="AC1151" s="1"/>
      <c r="AD1151" s="1">
        <f>IF($C1151="",0,SUMPRODUCT((AY_SONU!$O$7:$O$42="Evet")*(AY_SONU!$B$7:$B$42=DATE(YEAR($C1151),MONTH($C1151),1))))</f>
        <v>0</v>
      </c>
      <c r="AE1151" s="1" t="str">
        <f>IF($E1151="","",$E1151&amp;"|"&amp;COUNTIFS($E$7:$E1151,$E1151))</f>
        <v/>
      </c>
    </row>
    <row r="1152" spans="1:31" ht="18" customHeight="1" x14ac:dyDescent="0.3">
      <c r="A1152" s="2"/>
      <c r="B1152" s="65" t="str">
        <f t="shared" si="138"/>
        <v/>
      </c>
      <c r="C1152" s="66"/>
      <c r="D1152" s="60"/>
      <c r="E1152" s="61"/>
      <c r="F1152" s="61"/>
      <c r="G1152" s="67"/>
      <c r="H1152" s="60"/>
      <c r="I1152" s="60"/>
      <c r="J1152" s="61"/>
      <c r="K1152" s="61"/>
      <c r="L1152" s="60"/>
      <c r="M1152" s="74" t="str">
        <f t="shared" si="139"/>
        <v/>
      </c>
      <c r="N1152" s="74" t="str">
        <f t="shared" si="140"/>
        <v/>
      </c>
      <c r="O1152" s="73" t="str">
        <f t="shared" si="141"/>
        <v/>
      </c>
      <c r="P1152" s="65" t="str">
        <f t="shared" ca="1" si="142"/>
        <v/>
      </c>
      <c r="Q1152" s="2"/>
      <c r="R1152" s="2"/>
      <c r="S1152" s="1" t="str">
        <f t="shared" si="143"/>
        <v/>
      </c>
      <c r="T1152" s="1" t="str">
        <f>IF(OR($C1152="",$D1152&lt;&gt;"Gelir",$L1152=""),"",IFERROR(INDEX(MUSTERILER!$B$7:$B$156,MATCH($S1152,MUSTERILER!$T$7:$T$156,0)),""))</f>
        <v/>
      </c>
      <c r="U1152" s="1" t="str">
        <f>IF($T1152="","",$T1152&amp;"|"&amp;COUNTIFS($T$7:$T1152,$T1152))</f>
        <v/>
      </c>
      <c r="V1152" s="1">
        <f t="shared" si="144"/>
        <v>0</v>
      </c>
      <c r="W1152" s="1" t="str">
        <f t="shared" si="145"/>
        <v/>
      </c>
      <c r="X1152" s="1"/>
      <c r="Y1152" s="1"/>
      <c r="Z1152" s="1"/>
      <c r="AA1152" s="1"/>
      <c r="AB1152" s="1"/>
      <c r="AC1152" s="1"/>
      <c r="AD1152" s="1">
        <f>IF($C1152="",0,SUMPRODUCT((AY_SONU!$O$7:$O$42="Evet")*(AY_SONU!$B$7:$B$42=DATE(YEAR($C1152),MONTH($C1152),1))))</f>
        <v>0</v>
      </c>
      <c r="AE1152" s="1" t="str">
        <f>IF($E1152="","",$E1152&amp;"|"&amp;COUNTIFS($E$7:$E1152,$E1152))</f>
        <v/>
      </c>
    </row>
    <row r="1153" spans="1:31" ht="18" customHeight="1" x14ac:dyDescent="0.3">
      <c r="A1153" s="2"/>
      <c r="B1153" s="65" t="str">
        <f t="shared" si="138"/>
        <v/>
      </c>
      <c r="C1153" s="66"/>
      <c r="D1153" s="60"/>
      <c r="E1153" s="61"/>
      <c r="F1153" s="61"/>
      <c r="G1153" s="67"/>
      <c r="H1153" s="60"/>
      <c r="I1153" s="60"/>
      <c r="J1153" s="61"/>
      <c r="K1153" s="61"/>
      <c r="L1153" s="60"/>
      <c r="M1153" s="74" t="str">
        <f t="shared" si="139"/>
        <v/>
      </c>
      <c r="N1153" s="74" t="str">
        <f t="shared" si="140"/>
        <v/>
      </c>
      <c r="O1153" s="73" t="str">
        <f t="shared" si="141"/>
        <v/>
      </c>
      <c r="P1153" s="65" t="str">
        <f t="shared" ca="1" si="142"/>
        <v/>
      </c>
      <c r="Q1153" s="2"/>
      <c r="R1153" s="2"/>
      <c r="S1153" s="1" t="str">
        <f t="shared" si="143"/>
        <v/>
      </c>
      <c r="T1153" s="1" t="str">
        <f>IF(OR($C1153="",$D1153&lt;&gt;"Gelir",$L1153=""),"",IFERROR(INDEX(MUSTERILER!$B$7:$B$156,MATCH($S1153,MUSTERILER!$T$7:$T$156,0)),""))</f>
        <v/>
      </c>
      <c r="U1153" s="1" t="str">
        <f>IF($T1153="","",$T1153&amp;"|"&amp;COUNTIFS($T$7:$T1153,$T1153))</f>
        <v/>
      </c>
      <c r="V1153" s="1">
        <f t="shared" si="144"/>
        <v>0</v>
      </c>
      <c r="W1153" s="1" t="str">
        <f t="shared" si="145"/>
        <v/>
      </c>
      <c r="X1153" s="1"/>
      <c r="Y1153" s="1"/>
      <c r="Z1153" s="1"/>
      <c r="AA1153" s="1"/>
      <c r="AB1153" s="1"/>
      <c r="AC1153" s="1"/>
      <c r="AD1153" s="1">
        <f>IF($C1153="",0,SUMPRODUCT((AY_SONU!$O$7:$O$42="Evet")*(AY_SONU!$B$7:$B$42=DATE(YEAR($C1153),MONTH($C1153),1))))</f>
        <v>0</v>
      </c>
      <c r="AE1153" s="1" t="str">
        <f>IF($E1153="","",$E1153&amp;"|"&amp;COUNTIFS($E$7:$E1153,$E1153))</f>
        <v/>
      </c>
    </row>
    <row r="1154" spans="1:31" ht="18" customHeight="1" x14ac:dyDescent="0.3">
      <c r="A1154" s="2"/>
      <c r="B1154" s="65" t="str">
        <f t="shared" si="138"/>
        <v/>
      </c>
      <c r="C1154" s="66"/>
      <c r="D1154" s="60"/>
      <c r="E1154" s="61"/>
      <c r="F1154" s="61"/>
      <c r="G1154" s="67"/>
      <c r="H1154" s="60"/>
      <c r="I1154" s="60"/>
      <c r="J1154" s="61"/>
      <c r="K1154" s="61"/>
      <c r="L1154" s="60"/>
      <c r="M1154" s="74" t="str">
        <f t="shared" si="139"/>
        <v/>
      </c>
      <c r="N1154" s="74" t="str">
        <f t="shared" si="140"/>
        <v/>
      </c>
      <c r="O1154" s="73" t="str">
        <f t="shared" si="141"/>
        <v/>
      </c>
      <c r="P1154" s="65" t="str">
        <f t="shared" ca="1" si="142"/>
        <v/>
      </c>
      <c r="Q1154" s="2"/>
      <c r="R1154" s="2"/>
      <c r="S1154" s="1" t="str">
        <f t="shared" si="143"/>
        <v/>
      </c>
      <c r="T1154" s="1" t="str">
        <f>IF(OR($C1154="",$D1154&lt;&gt;"Gelir",$L1154=""),"",IFERROR(INDEX(MUSTERILER!$B$7:$B$156,MATCH($S1154,MUSTERILER!$T$7:$T$156,0)),""))</f>
        <v/>
      </c>
      <c r="U1154" s="1" t="str">
        <f>IF($T1154="","",$T1154&amp;"|"&amp;COUNTIFS($T$7:$T1154,$T1154))</f>
        <v/>
      </c>
      <c r="V1154" s="1">
        <f t="shared" si="144"/>
        <v>0</v>
      </c>
      <c r="W1154" s="1" t="str">
        <f t="shared" si="145"/>
        <v/>
      </c>
      <c r="X1154" s="1"/>
      <c r="Y1154" s="1"/>
      <c r="Z1154" s="1"/>
      <c r="AA1154" s="1"/>
      <c r="AB1154" s="1"/>
      <c r="AC1154" s="1"/>
      <c r="AD1154" s="1">
        <f>IF($C1154="",0,SUMPRODUCT((AY_SONU!$O$7:$O$42="Evet")*(AY_SONU!$B$7:$B$42=DATE(YEAR($C1154),MONTH($C1154),1))))</f>
        <v>0</v>
      </c>
      <c r="AE1154" s="1" t="str">
        <f>IF($E1154="","",$E1154&amp;"|"&amp;COUNTIFS($E$7:$E1154,$E1154))</f>
        <v/>
      </c>
    </row>
    <row r="1155" spans="1:31" ht="18" customHeight="1" x14ac:dyDescent="0.3">
      <c r="A1155" s="2"/>
      <c r="B1155" s="65" t="str">
        <f t="shared" si="138"/>
        <v/>
      </c>
      <c r="C1155" s="66"/>
      <c r="D1155" s="60"/>
      <c r="E1155" s="61"/>
      <c r="F1155" s="61"/>
      <c r="G1155" s="67"/>
      <c r="H1155" s="60"/>
      <c r="I1155" s="60"/>
      <c r="J1155" s="61"/>
      <c r="K1155" s="61"/>
      <c r="L1155" s="60"/>
      <c r="M1155" s="74" t="str">
        <f t="shared" si="139"/>
        <v/>
      </c>
      <c r="N1155" s="74" t="str">
        <f t="shared" si="140"/>
        <v/>
      </c>
      <c r="O1155" s="73" t="str">
        <f t="shared" si="141"/>
        <v/>
      </c>
      <c r="P1155" s="65" t="str">
        <f t="shared" ca="1" si="142"/>
        <v/>
      </c>
      <c r="Q1155" s="2"/>
      <c r="R1155" s="2"/>
      <c r="S1155" s="1" t="str">
        <f t="shared" si="143"/>
        <v/>
      </c>
      <c r="T1155" s="1" t="str">
        <f>IF(OR($C1155="",$D1155&lt;&gt;"Gelir",$L1155=""),"",IFERROR(INDEX(MUSTERILER!$B$7:$B$156,MATCH($S1155,MUSTERILER!$T$7:$T$156,0)),""))</f>
        <v/>
      </c>
      <c r="U1155" s="1" t="str">
        <f>IF($T1155="","",$T1155&amp;"|"&amp;COUNTIFS($T$7:$T1155,$T1155))</f>
        <v/>
      </c>
      <c r="V1155" s="1">
        <f t="shared" si="144"/>
        <v>0</v>
      </c>
      <c r="W1155" s="1" t="str">
        <f t="shared" si="145"/>
        <v/>
      </c>
      <c r="X1155" s="1"/>
      <c r="Y1155" s="1"/>
      <c r="Z1155" s="1"/>
      <c r="AA1155" s="1"/>
      <c r="AB1155" s="1"/>
      <c r="AC1155" s="1"/>
      <c r="AD1155" s="1">
        <f>IF($C1155="",0,SUMPRODUCT((AY_SONU!$O$7:$O$42="Evet")*(AY_SONU!$B$7:$B$42=DATE(YEAR($C1155),MONTH($C1155),1))))</f>
        <v>0</v>
      </c>
      <c r="AE1155" s="1" t="str">
        <f>IF($E1155="","",$E1155&amp;"|"&amp;COUNTIFS($E$7:$E1155,$E1155))</f>
        <v/>
      </c>
    </row>
    <row r="1156" spans="1:31" ht="18" customHeight="1" x14ac:dyDescent="0.3">
      <c r="A1156" s="2"/>
      <c r="B1156" s="65" t="str">
        <f t="shared" si="138"/>
        <v/>
      </c>
      <c r="C1156" s="66"/>
      <c r="D1156" s="60"/>
      <c r="E1156" s="61"/>
      <c r="F1156" s="61"/>
      <c r="G1156" s="67"/>
      <c r="H1156" s="60"/>
      <c r="I1156" s="60"/>
      <c r="J1156" s="61"/>
      <c r="K1156" s="61"/>
      <c r="L1156" s="60"/>
      <c r="M1156" s="74" t="str">
        <f t="shared" si="139"/>
        <v/>
      </c>
      <c r="N1156" s="74" t="str">
        <f t="shared" si="140"/>
        <v/>
      </c>
      <c r="O1156" s="73" t="str">
        <f t="shared" si="141"/>
        <v/>
      </c>
      <c r="P1156" s="65" t="str">
        <f t="shared" ca="1" si="142"/>
        <v/>
      </c>
      <c r="Q1156" s="2"/>
      <c r="R1156" s="2"/>
      <c r="S1156" s="1" t="str">
        <f t="shared" si="143"/>
        <v/>
      </c>
      <c r="T1156" s="1" t="str">
        <f>IF(OR($C1156="",$D1156&lt;&gt;"Gelir",$L1156=""),"",IFERROR(INDEX(MUSTERILER!$B$7:$B$156,MATCH($S1156,MUSTERILER!$T$7:$T$156,0)),""))</f>
        <v/>
      </c>
      <c r="U1156" s="1" t="str">
        <f>IF($T1156="","",$T1156&amp;"|"&amp;COUNTIFS($T$7:$T1156,$T1156))</f>
        <v/>
      </c>
      <c r="V1156" s="1">
        <f t="shared" si="144"/>
        <v>0</v>
      </c>
      <c r="W1156" s="1" t="str">
        <f t="shared" si="145"/>
        <v/>
      </c>
      <c r="X1156" s="1"/>
      <c r="Y1156" s="1"/>
      <c r="Z1156" s="1"/>
      <c r="AA1156" s="1"/>
      <c r="AB1156" s="1"/>
      <c r="AC1156" s="1"/>
      <c r="AD1156" s="1">
        <f>IF($C1156="",0,SUMPRODUCT((AY_SONU!$O$7:$O$42="Evet")*(AY_SONU!$B$7:$B$42=DATE(YEAR($C1156),MONTH($C1156),1))))</f>
        <v>0</v>
      </c>
      <c r="AE1156" s="1" t="str">
        <f>IF($E1156="","",$E1156&amp;"|"&amp;COUNTIFS($E$7:$E1156,$E1156))</f>
        <v/>
      </c>
    </row>
    <row r="1157" spans="1:31" ht="18" customHeight="1" x14ac:dyDescent="0.3">
      <c r="A1157" s="2"/>
      <c r="B1157" s="65" t="str">
        <f t="shared" si="138"/>
        <v/>
      </c>
      <c r="C1157" s="66"/>
      <c r="D1157" s="60"/>
      <c r="E1157" s="61"/>
      <c r="F1157" s="61"/>
      <c r="G1157" s="67"/>
      <c r="H1157" s="60"/>
      <c r="I1157" s="60"/>
      <c r="J1157" s="61"/>
      <c r="K1157" s="61"/>
      <c r="L1157" s="60"/>
      <c r="M1157" s="74" t="str">
        <f t="shared" si="139"/>
        <v/>
      </c>
      <c r="N1157" s="74" t="str">
        <f t="shared" si="140"/>
        <v/>
      </c>
      <c r="O1157" s="73" t="str">
        <f t="shared" si="141"/>
        <v/>
      </c>
      <c r="P1157" s="65" t="str">
        <f t="shared" ca="1" si="142"/>
        <v/>
      </c>
      <c r="Q1157" s="2"/>
      <c r="R1157" s="2"/>
      <c r="S1157" s="1" t="str">
        <f t="shared" si="143"/>
        <v/>
      </c>
      <c r="T1157" s="1" t="str">
        <f>IF(OR($C1157="",$D1157&lt;&gt;"Gelir",$L1157=""),"",IFERROR(INDEX(MUSTERILER!$B$7:$B$156,MATCH($S1157,MUSTERILER!$T$7:$T$156,0)),""))</f>
        <v/>
      </c>
      <c r="U1157" s="1" t="str">
        <f>IF($T1157="","",$T1157&amp;"|"&amp;COUNTIFS($T$7:$T1157,$T1157))</f>
        <v/>
      </c>
      <c r="V1157" s="1">
        <f t="shared" si="144"/>
        <v>0</v>
      </c>
      <c r="W1157" s="1" t="str">
        <f t="shared" si="145"/>
        <v/>
      </c>
      <c r="X1157" s="1"/>
      <c r="Y1157" s="1"/>
      <c r="Z1157" s="1"/>
      <c r="AA1157" s="1"/>
      <c r="AB1157" s="1"/>
      <c r="AC1157" s="1"/>
      <c r="AD1157" s="1">
        <f>IF($C1157="",0,SUMPRODUCT((AY_SONU!$O$7:$O$42="Evet")*(AY_SONU!$B$7:$B$42=DATE(YEAR($C1157),MONTH($C1157),1))))</f>
        <v>0</v>
      </c>
      <c r="AE1157" s="1" t="str">
        <f>IF($E1157="","",$E1157&amp;"|"&amp;COUNTIFS($E$7:$E1157,$E1157))</f>
        <v/>
      </c>
    </row>
    <row r="1158" spans="1:31" ht="18" customHeight="1" x14ac:dyDescent="0.3">
      <c r="A1158" s="2"/>
      <c r="B1158" s="65" t="str">
        <f t="shared" si="138"/>
        <v/>
      </c>
      <c r="C1158" s="66"/>
      <c r="D1158" s="60"/>
      <c r="E1158" s="61"/>
      <c r="F1158" s="61"/>
      <c r="G1158" s="67"/>
      <c r="H1158" s="60"/>
      <c r="I1158" s="60"/>
      <c r="J1158" s="61"/>
      <c r="K1158" s="61"/>
      <c r="L1158" s="60"/>
      <c r="M1158" s="74" t="str">
        <f t="shared" si="139"/>
        <v/>
      </c>
      <c r="N1158" s="74" t="str">
        <f t="shared" si="140"/>
        <v/>
      </c>
      <c r="O1158" s="73" t="str">
        <f t="shared" si="141"/>
        <v/>
      </c>
      <c r="P1158" s="65" t="str">
        <f t="shared" ca="1" si="142"/>
        <v/>
      </c>
      <c r="Q1158" s="2"/>
      <c r="R1158" s="2"/>
      <c r="S1158" s="1" t="str">
        <f t="shared" si="143"/>
        <v/>
      </c>
      <c r="T1158" s="1" t="str">
        <f>IF(OR($C1158="",$D1158&lt;&gt;"Gelir",$L1158=""),"",IFERROR(INDEX(MUSTERILER!$B$7:$B$156,MATCH($S1158,MUSTERILER!$T$7:$T$156,0)),""))</f>
        <v/>
      </c>
      <c r="U1158" s="1" t="str">
        <f>IF($T1158="","",$T1158&amp;"|"&amp;COUNTIFS($T$7:$T1158,$T1158))</f>
        <v/>
      </c>
      <c r="V1158" s="1">
        <f t="shared" si="144"/>
        <v>0</v>
      </c>
      <c r="W1158" s="1" t="str">
        <f t="shared" si="145"/>
        <v/>
      </c>
      <c r="X1158" s="1"/>
      <c r="Y1158" s="1"/>
      <c r="Z1158" s="1"/>
      <c r="AA1158" s="1"/>
      <c r="AB1158" s="1"/>
      <c r="AC1158" s="1"/>
      <c r="AD1158" s="1">
        <f>IF($C1158="",0,SUMPRODUCT((AY_SONU!$O$7:$O$42="Evet")*(AY_SONU!$B$7:$B$42=DATE(YEAR($C1158),MONTH($C1158),1))))</f>
        <v>0</v>
      </c>
      <c r="AE1158" s="1" t="str">
        <f>IF($E1158="","",$E1158&amp;"|"&amp;COUNTIFS($E$7:$E1158,$E1158))</f>
        <v/>
      </c>
    </row>
    <row r="1159" spans="1:31" ht="18" customHeight="1" x14ac:dyDescent="0.3">
      <c r="A1159" s="2"/>
      <c r="B1159" s="65" t="str">
        <f t="shared" ref="B1159:B1222" si="146">IF($C1159="","","GG"&amp;TEXT(ROW()-6,"00000"))</f>
        <v/>
      </c>
      <c r="C1159" s="66"/>
      <c r="D1159" s="60"/>
      <c r="E1159" s="61"/>
      <c r="F1159" s="61"/>
      <c r="G1159" s="67"/>
      <c r="H1159" s="60"/>
      <c r="I1159" s="60"/>
      <c r="J1159" s="61"/>
      <c r="K1159" s="61"/>
      <c r="L1159" s="60"/>
      <c r="M1159" s="74" t="str">
        <f t="shared" ref="M1159:M1222" si="147">IF($C1159="","",IF($D1159="Gider",$E1159,IF($L1159&lt;&gt;"",$L1159,$H1159)))</f>
        <v/>
      </c>
      <c r="N1159" s="74" t="str">
        <f t="shared" ref="N1159:N1222" si="148">IF($C1159="","",IF($D1159="Gider",$H1159,$E1159))</f>
        <v/>
      </c>
      <c r="O1159" s="73" t="str">
        <f t="shared" ref="O1159:O1222" si="149">IF($C1159="","",DATE(YEAR($C1159),MONTH($C1159),1))</f>
        <v/>
      </c>
      <c r="P1159" s="65" t="str">
        <f t="shared" ref="P1159:P1222" ca="1" si="150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TARİH",IF(COUNTIF($W$7:$W$3006,$W1159)&gt;1,"MÜKERRER?",IF($AD1159&gt;0,"KAPALI DÖNEM",IF($I1159="Hayır","ÖDENECEK","UYGUN")))),"EKSİK"))))</f>
        <v/>
      </c>
      <c r="Q1159" s="2"/>
      <c r="R1159" s="2"/>
      <c r="S1159" s="1" t="str">
        <f t="shared" ref="S1159:S1222" si="151"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1" t="str">
        <f>IF(OR($C1159="",$D1159&lt;&gt;"Gelir",$L1159=""),"",IFERROR(INDEX(MUSTERILER!$B$7:$B$156,MATCH($S1159,MUSTERILER!$T$7:$T$156,0)),""))</f>
        <v/>
      </c>
      <c r="U1159" s="1" t="str">
        <f>IF($T1159="","",$T1159&amp;"|"&amp;COUNTIFS($T$7:$T1159,$T1159))</f>
        <v/>
      </c>
      <c r="V1159" s="1">
        <f t="shared" ref="V1159:V1222" si="152">IF($T1159="",0,1)</f>
        <v>0</v>
      </c>
      <c r="W1159" s="1" t="str">
        <f t="shared" ref="W1159:W1222" si="153">IF($C1159="","",$D1159&amp;"|"&amp;$E1159&amp;"|"&amp;TEXT($C1159,"0")&amp;"|"&amp;TEXT($G1159,"0")&amp;"|"&amp;$J1159)</f>
        <v/>
      </c>
      <c r="X1159" s="1"/>
      <c r="Y1159" s="1"/>
      <c r="Z1159" s="1"/>
      <c r="AA1159" s="1"/>
      <c r="AB1159" s="1"/>
      <c r="AC1159" s="1"/>
      <c r="AD1159" s="1">
        <f>IF($C1159="",0,SUMPRODUCT((AY_SONU!$O$7:$O$42="Evet")*(AY_SONU!$B$7:$B$42=DATE(YEAR($C1159),MONTH($C1159),1))))</f>
        <v>0</v>
      </c>
      <c r="AE1159" s="1" t="str">
        <f>IF($E1159="","",$E1159&amp;"|"&amp;COUNTIFS($E$7:$E1159,$E1159))</f>
        <v/>
      </c>
    </row>
    <row r="1160" spans="1:31" ht="18" customHeight="1" x14ac:dyDescent="0.3">
      <c r="A1160" s="2"/>
      <c r="B1160" s="65" t="str">
        <f t="shared" si="146"/>
        <v/>
      </c>
      <c r="C1160" s="66"/>
      <c r="D1160" s="60"/>
      <c r="E1160" s="61"/>
      <c r="F1160" s="61"/>
      <c r="G1160" s="67"/>
      <c r="H1160" s="60"/>
      <c r="I1160" s="60"/>
      <c r="J1160" s="61"/>
      <c r="K1160" s="61"/>
      <c r="L1160" s="60"/>
      <c r="M1160" s="74" t="str">
        <f t="shared" si="147"/>
        <v/>
      </c>
      <c r="N1160" s="74" t="str">
        <f t="shared" si="148"/>
        <v/>
      </c>
      <c r="O1160" s="73" t="str">
        <f t="shared" si="149"/>
        <v/>
      </c>
      <c r="P1160" s="65" t="str">
        <f t="shared" ca="1" si="150"/>
        <v/>
      </c>
      <c r="Q1160" s="2"/>
      <c r="R1160" s="2"/>
      <c r="S1160" s="1" t="str">
        <f t="shared" si="151"/>
        <v/>
      </c>
      <c r="T1160" s="1" t="str">
        <f>IF(OR($C1160="",$D1160&lt;&gt;"Gelir",$L1160=""),"",IFERROR(INDEX(MUSTERILER!$B$7:$B$156,MATCH($S1160,MUSTERILER!$T$7:$T$156,0)),""))</f>
        <v/>
      </c>
      <c r="U1160" s="1" t="str">
        <f>IF($T1160="","",$T1160&amp;"|"&amp;COUNTIFS($T$7:$T1160,$T1160))</f>
        <v/>
      </c>
      <c r="V1160" s="1">
        <f t="shared" si="152"/>
        <v>0</v>
      </c>
      <c r="W1160" s="1" t="str">
        <f t="shared" si="153"/>
        <v/>
      </c>
      <c r="X1160" s="1"/>
      <c r="Y1160" s="1"/>
      <c r="Z1160" s="1"/>
      <c r="AA1160" s="1"/>
      <c r="AB1160" s="1"/>
      <c r="AC1160" s="1"/>
      <c r="AD1160" s="1">
        <f>IF($C1160="",0,SUMPRODUCT((AY_SONU!$O$7:$O$42="Evet")*(AY_SONU!$B$7:$B$42=DATE(YEAR($C1160),MONTH($C1160),1))))</f>
        <v>0</v>
      </c>
      <c r="AE1160" s="1" t="str">
        <f>IF($E1160="","",$E1160&amp;"|"&amp;COUNTIFS($E$7:$E1160,$E1160))</f>
        <v/>
      </c>
    </row>
    <row r="1161" spans="1:31" ht="18" customHeight="1" x14ac:dyDescent="0.3">
      <c r="A1161" s="2"/>
      <c r="B1161" s="65" t="str">
        <f t="shared" si="146"/>
        <v/>
      </c>
      <c r="C1161" s="66"/>
      <c r="D1161" s="60"/>
      <c r="E1161" s="61"/>
      <c r="F1161" s="61"/>
      <c r="G1161" s="67"/>
      <c r="H1161" s="60"/>
      <c r="I1161" s="60"/>
      <c r="J1161" s="61"/>
      <c r="K1161" s="61"/>
      <c r="L1161" s="60"/>
      <c r="M1161" s="74" t="str">
        <f t="shared" si="147"/>
        <v/>
      </c>
      <c r="N1161" s="74" t="str">
        <f t="shared" si="148"/>
        <v/>
      </c>
      <c r="O1161" s="73" t="str">
        <f t="shared" si="149"/>
        <v/>
      </c>
      <c r="P1161" s="65" t="str">
        <f t="shared" ca="1" si="150"/>
        <v/>
      </c>
      <c r="Q1161" s="2"/>
      <c r="R1161" s="2"/>
      <c r="S1161" s="1" t="str">
        <f t="shared" si="151"/>
        <v/>
      </c>
      <c r="T1161" s="1" t="str">
        <f>IF(OR($C1161="",$D1161&lt;&gt;"Gelir",$L1161=""),"",IFERROR(INDEX(MUSTERILER!$B$7:$B$156,MATCH($S1161,MUSTERILER!$T$7:$T$156,0)),""))</f>
        <v/>
      </c>
      <c r="U1161" s="1" t="str">
        <f>IF($T1161="","",$T1161&amp;"|"&amp;COUNTIFS($T$7:$T1161,$T1161))</f>
        <v/>
      </c>
      <c r="V1161" s="1">
        <f t="shared" si="152"/>
        <v>0</v>
      </c>
      <c r="W1161" s="1" t="str">
        <f t="shared" si="153"/>
        <v/>
      </c>
      <c r="X1161" s="1"/>
      <c r="Y1161" s="1"/>
      <c r="Z1161" s="1"/>
      <c r="AA1161" s="1"/>
      <c r="AB1161" s="1"/>
      <c r="AC1161" s="1"/>
      <c r="AD1161" s="1">
        <f>IF($C1161="",0,SUMPRODUCT((AY_SONU!$O$7:$O$42="Evet")*(AY_SONU!$B$7:$B$42=DATE(YEAR($C1161),MONTH($C1161),1))))</f>
        <v>0</v>
      </c>
      <c r="AE1161" s="1" t="str">
        <f>IF($E1161="","",$E1161&amp;"|"&amp;COUNTIFS($E$7:$E1161,$E1161))</f>
        <v/>
      </c>
    </row>
    <row r="1162" spans="1:31" ht="18" customHeight="1" x14ac:dyDescent="0.3">
      <c r="A1162" s="2"/>
      <c r="B1162" s="65" t="str">
        <f t="shared" si="146"/>
        <v/>
      </c>
      <c r="C1162" s="66"/>
      <c r="D1162" s="60"/>
      <c r="E1162" s="61"/>
      <c r="F1162" s="61"/>
      <c r="G1162" s="67"/>
      <c r="H1162" s="60"/>
      <c r="I1162" s="60"/>
      <c r="J1162" s="61"/>
      <c r="K1162" s="61"/>
      <c r="L1162" s="60"/>
      <c r="M1162" s="74" t="str">
        <f t="shared" si="147"/>
        <v/>
      </c>
      <c r="N1162" s="74" t="str">
        <f t="shared" si="148"/>
        <v/>
      </c>
      <c r="O1162" s="73" t="str">
        <f t="shared" si="149"/>
        <v/>
      </c>
      <c r="P1162" s="65" t="str">
        <f t="shared" ca="1" si="150"/>
        <v/>
      </c>
      <c r="Q1162" s="2"/>
      <c r="R1162" s="2"/>
      <c r="S1162" s="1" t="str">
        <f t="shared" si="151"/>
        <v/>
      </c>
      <c r="T1162" s="1" t="str">
        <f>IF(OR($C1162="",$D1162&lt;&gt;"Gelir",$L1162=""),"",IFERROR(INDEX(MUSTERILER!$B$7:$B$156,MATCH($S1162,MUSTERILER!$T$7:$T$156,0)),""))</f>
        <v/>
      </c>
      <c r="U1162" s="1" t="str">
        <f>IF($T1162="","",$T1162&amp;"|"&amp;COUNTIFS($T$7:$T1162,$T1162))</f>
        <v/>
      </c>
      <c r="V1162" s="1">
        <f t="shared" si="152"/>
        <v>0</v>
      </c>
      <c r="W1162" s="1" t="str">
        <f t="shared" si="153"/>
        <v/>
      </c>
      <c r="X1162" s="1"/>
      <c r="Y1162" s="1"/>
      <c r="Z1162" s="1"/>
      <c r="AA1162" s="1"/>
      <c r="AB1162" s="1"/>
      <c r="AC1162" s="1"/>
      <c r="AD1162" s="1">
        <f>IF($C1162="",0,SUMPRODUCT((AY_SONU!$O$7:$O$42="Evet")*(AY_SONU!$B$7:$B$42=DATE(YEAR($C1162),MONTH($C1162),1))))</f>
        <v>0</v>
      </c>
      <c r="AE1162" s="1" t="str">
        <f>IF($E1162="","",$E1162&amp;"|"&amp;COUNTIFS($E$7:$E1162,$E1162))</f>
        <v/>
      </c>
    </row>
    <row r="1163" spans="1:31" ht="18" customHeight="1" x14ac:dyDescent="0.3">
      <c r="A1163" s="2"/>
      <c r="B1163" s="65" t="str">
        <f t="shared" si="146"/>
        <v/>
      </c>
      <c r="C1163" s="66"/>
      <c r="D1163" s="60"/>
      <c r="E1163" s="61"/>
      <c r="F1163" s="61"/>
      <c r="G1163" s="67"/>
      <c r="H1163" s="60"/>
      <c r="I1163" s="60"/>
      <c r="J1163" s="61"/>
      <c r="K1163" s="61"/>
      <c r="L1163" s="60"/>
      <c r="M1163" s="74" t="str">
        <f t="shared" si="147"/>
        <v/>
      </c>
      <c r="N1163" s="74" t="str">
        <f t="shared" si="148"/>
        <v/>
      </c>
      <c r="O1163" s="73" t="str">
        <f t="shared" si="149"/>
        <v/>
      </c>
      <c r="P1163" s="65" t="str">
        <f t="shared" ca="1" si="150"/>
        <v/>
      </c>
      <c r="Q1163" s="2"/>
      <c r="R1163" s="2"/>
      <c r="S1163" s="1" t="str">
        <f t="shared" si="151"/>
        <v/>
      </c>
      <c r="T1163" s="1" t="str">
        <f>IF(OR($C1163="",$D1163&lt;&gt;"Gelir",$L1163=""),"",IFERROR(INDEX(MUSTERILER!$B$7:$B$156,MATCH($S1163,MUSTERILER!$T$7:$T$156,0)),""))</f>
        <v/>
      </c>
      <c r="U1163" s="1" t="str">
        <f>IF($T1163="","",$T1163&amp;"|"&amp;COUNTIFS($T$7:$T1163,$T1163))</f>
        <v/>
      </c>
      <c r="V1163" s="1">
        <f t="shared" si="152"/>
        <v>0</v>
      </c>
      <c r="W1163" s="1" t="str">
        <f t="shared" si="153"/>
        <v/>
      </c>
      <c r="X1163" s="1"/>
      <c r="Y1163" s="1"/>
      <c r="Z1163" s="1"/>
      <c r="AA1163" s="1"/>
      <c r="AB1163" s="1"/>
      <c r="AC1163" s="1"/>
      <c r="AD1163" s="1">
        <f>IF($C1163="",0,SUMPRODUCT((AY_SONU!$O$7:$O$42="Evet")*(AY_SONU!$B$7:$B$42=DATE(YEAR($C1163),MONTH($C1163),1))))</f>
        <v>0</v>
      </c>
      <c r="AE1163" s="1" t="str">
        <f>IF($E1163="","",$E1163&amp;"|"&amp;COUNTIFS($E$7:$E1163,$E1163))</f>
        <v/>
      </c>
    </row>
    <row r="1164" spans="1:31" ht="18" customHeight="1" x14ac:dyDescent="0.3">
      <c r="A1164" s="2"/>
      <c r="B1164" s="65" t="str">
        <f t="shared" si="146"/>
        <v/>
      </c>
      <c r="C1164" s="66"/>
      <c r="D1164" s="60"/>
      <c r="E1164" s="61"/>
      <c r="F1164" s="61"/>
      <c r="G1164" s="67"/>
      <c r="H1164" s="60"/>
      <c r="I1164" s="60"/>
      <c r="J1164" s="61"/>
      <c r="K1164" s="61"/>
      <c r="L1164" s="60"/>
      <c r="M1164" s="74" t="str">
        <f t="shared" si="147"/>
        <v/>
      </c>
      <c r="N1164" s="74" t="str">
        <f t="shared" si="148"/>
        <v/>
      </c>
      <c r="O1164" s="73" t="str">
        <f t="shared" si="149"/>
        <v/>
      </c>
      <c r="P1164" s="65" t="str">
        <f t="shared" ca="1" si="150"/>
        <v/>
      </c>
      <c r="Q1164" s="2"/>
      <c r="R1164" s="2"/>
      <c r="S1164" s="1" t="str">
        <f t="shared" si="151"/>
        <v/>
      </c>
      <c r="T1164" s="1" t="str">
        <f>IF(OR($C1164="",$D1164&lt;&gt;"Gelir",$L1164=""),"",IFERROR(INDEX(MUSTERILER!$B$7:$B$156,MATCH($S1164,MUSTERILER!$T$7:$T$156,0)),""))</f>
        <v/>
      </c>
      <c r="U1164" s="1" t="str">
        <f>IF($T1164="","",$T1164&amp;"|"&amp;COUNTIFS($T$7:$T1164,$T1164))</f>
        <v/>
      </c>
      <c r="V1164" s="1">
        <f t="shared" si="152"/>
        <v>0</v>
      </c>
      <c r="W1164" s="1" t="str">
        <f t="shared" si="153"/>
        <v/>
      </c>
      <c r="X1164" s="1"/>
      <c r="Y1164" s="1"/>
      <c r="Z1164" s="1"/>
      <c r="AA1164" s="1"/>
      <c r="AB1164" s="1"/>
      <c r="AC1164" s="1"/>
      <c r="AD1164" s="1">
        <f>IF($C1164="",0,SUMPRODUCT((AY_SONU!$O$7:$O$42="Evet")*(AY_SONU!$B$7:$B$42=DATE(YEAR($C1164),MONTH($C1164),1))))</f>
        <v>0</v>
      </c>
      <c r="AE1164" s="1" t="str">
        <f>IF($E1164="","",$E1164&amp;"|"&amp;COUNTIFS($E$7:$E1164,$E1164))</f>
        <v/>
      </c>
    </row>
    <row r="1165" spans="1:31" ht="18" customHeight="1" x14ac:dyDescent="0.3">
      <c r="A1165" s="2"/>
      <c r="B1165" s="65" t="str">
        <f t="shared" si="146"/>
        <v/>
      </c>
      <c r="C1165" s="66"/>
      <c r="D1165" s="60"/>
      <c r="E1165" s="61"/>
      <c r="F1165" s="61"/>
      <c r="G1165" s="67"/>
      <c r="H1165" s="60"/>
      <c r="I1165" s="60"/>
      <c r="J1165" s="61"/>
      <c r="K1165" s="61"/>
      <c r="L1165" s="60"/>
      <c r="M1165" s="74" t="str">
        <f t="shared" si="147"/>
        <v/>
      </c>
      <c r="N1165" s="74" t="str">
        <f t="shared" si="148"/>
        <v/>
      </c>
      <c r="O1165" s="73" t="str">
        <f t="shared" si="149"/>
        <v/>
      </c>
      <c r="P1165" s="65" t="str">
        <f t="shared" ca="1" si="150"/>
        <v/>
      </c>
      <c r="Q1165" s="2"/>
      <c r="R1165" s="2"/>
      <c r="S1165" s="1" t="str">
        <f t="shared" si="151"/>
        <v/>
      </c>
      <c r="T1165" s="1" t="str">
        <f>IF(OR($C1165="",$D1165&lt;&gt;"Gelir",$L1165=""),"",IFERROR(INDEX(MUSTERILER!$B$7:$B$156,MATCH($S1165,MUSTERILER!$T$7:$T$156,0)),""))</f>
        <v/>
      </c>
      <c r="U1165" s="1" t="str">
        <f>IF($T1165="","",$T1165&amp;"|"&amp;COUNTIFS($T$7:$T1165,$T1165))</f>
        <v/>
      </c>
      <c r="V1165" s="1">
        <f t="shared" si="152"/>
        <v>0</v>
      </c>
      <c r="W1165" s="1" t="str">
        <f t="shared" si="153"/>
        <v/>
      </c>
      <c r="X1165" s="1"/>
      <c r="Y1165" s="1"/>
      <c r="Z1165" s="1"/>
      <c r="AA1165" s="1"/>
      <c r="AB1165" s="1"/>
      <c r="AC1165" s="1"/>
      <c r="AD1165" s="1">
        <f>IF($C1165="",0,SUMPRODUCT((AY_SONU!$O$7:$O$42="Evet")*(AY_SONU!$B$7:$B$42=DATE(YEAR($C1165),MONTH($C1165),1))))</f>
        <v>0</v>
      </c>
      <c r="AE1165" s="1" t="str">
        <f>IF($E1165="","",$E1165&amp;"|"&amp;COUNTIFS($E$7:$E1165,$E1165))</f>
        <v/>
      </c>
    </row>
    <row r="1166" spans="1:31" ht="18" customHeight="1" x14ac:dyDescent="0.3">
      <c r="A1166" s="2"/>
      <c r="B1166" s="65" t="str">
        <f t="shared" si="146"/>
        <v/>
      </c>
      <c r="C1166" s="66"/>
      <c r="D1166" s="60"/>
      <c r="E1166" s="61"/>
      <c r="F1166" s="61"/>
      <c r="G1166" s="67"/>
      <c r="H1166" s="60"/>
      <c r="I1166" s="60"/>
      <c r="J1166" s="61"/>
      <c r="K1166" s="61"/>
      <c r="L1166" s="60"/>
      <c r="M1166" s="74" t="str">
        <f t="shared" si="147"/>
        <v/>
      </c>
      <c r="N1166" s="74" t="str">
        <f t="shared" si="148"/>
        <v/>
      </c>
      <c r="O1166" s="73" t="str">
        <f t="shared" si="149"/>
        <v/>
      </c>
      <c r="P1166" s="65" t="str">
        <f t="shared" ca="1" si="150"/>
        <v/>
      </c>
      <c r="Q1166" s="2"/>
      <c r="R1166" s="2"/>
      <c r="S1166" s="1" t="str">
        <f t="shared" si="151"/>
        <v/>
      </c>
      <c r="T1166" s="1" t="str">
        <f>IF(OR($C1166="",$D1166&lt;&gt;"Gelir",$L1166=""),"",IFERROR(INDEX(MUSTERILER!$B$7:$B$156,MATCH($S1166,MUSTERILER!$T$7:$T$156,0)),""))</f>
        <v/>
      </c>
      <c r="U1166" s="1" t="str">
        <f>IF($T1166="","",$T1166&amp;"|"&amp;COUNTIFS($T$7:$T1166,$T1166))</f>
        <v/>
      </c>
      <c r="V1166" s="1">
        <f t="shared" si="152"/>
        <v>0</v>
      </c>
      <c r="W1166" s="1" t="str">
        <f t="shared" si="153"/>
        <v/>
      </c>
      <c r="X1166" s="1"/>
      <c r="Y1166" s="1"/>
      <c r="Z1166" s="1"/>
      <c r="AA1166" s="1"/>
      <c r="AB1166" s="1"/>
      <c r="AC1166" s="1"/>
      <c r="AD1166" s="1">
        <f>IF($C1166="",0,SUMPRODUCT((AY_SONU!$O$7:$O$42="Evet")*(AY_SONU!$B$7:$B$42=DATE(YEAR($C1166),MONTH($C1166),1))))</f>
        <v>0</v>
      </c>
      <c r="AE1166" s="1" t="str">
        <f>IF($E1166="","",$E1166&amp;"|"&amp;COUNTIFS($E$7:$E1166,$E1166))</f>
        <v/>
      </c>
    </row>
    <row r="1167" spans="1:31" ht="18" customHeight="1" x14ac:dyDescent="0.3">
      <c r="A1167" s="2"/>
      <c r="B1167" s="65" t="str">
        <f t="shared" si="146"/>
        <v/>
      </c>
      <c r="C1167" s="66"/>
      <c r="D1167" s="60"/>
      <c r="E1167" s="61"/>
      <c r="F1167" s="61"/>
      <c r="G1167" s="67"/>
      <c r="H1167" s="60"/>
      <c r="I1167" s="60"/>
      <c r="J1167" s="61"/>
      <c r="K1167" s="61"/>
      <c r="L1167" s="60"/>
      <c r="M1167" s="74" t="str">
        <f t="shared" si="147"/>
        <v/>
      </c>
      <c r="N1167" s="74" t="str">
        <f t="shared" si="148"/>
        <v/>
      </c>
      <c r="O1167" s="73" t="str">
        <f t="shared" si="149"/>
        <v/>
      </c>
      <c r="P1167" s="65" t="str">
        <f t="shared" ca="1" si="150"/>
        <v/>
      </c>
      <c r="Q1167" s="2"/>
      <c r="R1167" s="2"/>
      <c r="S1167" s="1" t="str">
        <f t="shared" si="151"/>
        <v/>
      </c>
      <c r="T1167" s="1" t="str">
        <f>IF(OR($C1167="",$D1167&lt;&gt;"Gelir",$L1167=""),"",IFERROR(INDEX(MUSTERILER!$B$7:$B$156,MATCH($S1167,MUSTERILER!$T$7:$T$156,0)),""))</f>
        <v/>
      </c>
      <c r="U1167" s="1" t="str">
        <f>IF($T1167="","",$T1167&amp;"|"&amp;COUNTIFS($T$7:$T1167,$T1167))</f>
        <v/>
      </c>
      <c r="V1167" s="1">
        <f t="shared" si="152"/>
        <v>0</v>
      </c>
      <c r="W1167" s="1" t="str">
        <f t="shared" si="153"/>
        <v/>
      </c>
      <c r="X1167" s="1"/>
      <c r="Y1167" s="1"/>
      <c r="Z1167" s="1"/>
      <c r="AA1167" s="1"/>
      <c r="AB1167" s="1"/>
      <c r="AC1167" s="1"/>
      <c r="AD1167" s="1">
        <f>IF($C1167="",0,SUMPRODUCT((AY_SONU!$O$7:$O$42="Evet")*(AY_SONU!$B$7:$B$42=DATE(YEAR($C1167),MONTH($C1167),1))))</f>
        <v>0</v>
      </c>
      <c r="AE1167" s="1" t="str">
        <f>IF($E1167="","",$E1167&amp;"|"&amp;COUNTIFS($E$7:$E1167,$E1167))</f>
        <v/>
      </c>
    </row>
    <row r="1168" spans="1:31" ht="18" customHeight="1" x14ac:dyDescent="0.3">
      <c r="A1168" s="2"/>
      <c r="B1168" s="65" t="str">
        <f t="shared" si="146"/>
        <v/>
      </c>
      <c r="C1168" s="66"/>
      <c r="D1168" s="60"/>
      <c r="E1168" s="61"/>
      <c r="F1168" s="61"/>
      <c r="G1168" s="67"/>
      <c r="H1168" s="60"/>
      <c r="I1168" s="60"/>
      <c r="J1168" s="61"/>
      <c r="K1168" s="61"/>
      <c r="L1168" s="60"/>
      <c r="M1168" s="74" t="str">
        <f t="shared" si="147"/>
        <v/>
      </c>
      <c r="N1168" s="74" t="str">
        <f t="shared" si="148"/>
        <v/>
      </c>
      <c r="O1168" s="73" t="str">
        <f t="shared" si="149"/>
        <v/>
      </c>
      <c r="P1168" s="65" t="str">
        <f t="shared" ca="1" si="150"/>
        <v/>
      </c>
      <c r="Q1168" s="2"/>
      <c r="R1168" s="2"/>
      <c r="S1168" s="1" t="str">
        <f t="shared" si="151"/>
        <v/>
      </c>
      <c r="T1168" s="1" t="str">
        <f>IF(OR($C1168="",$D1168&lt;&gt;"Gelir",$L1168=""),"",IFERROR(INDEX(MUSTERILER!$B$7:$B$156,MATCH($S1168,MUSTERILER!$T$7:$T$156,0)),""))</f>
        <v/>
      </c>
      <c r="U1168" s="1" t="str">
        <f>IF($T1168="","",$T1168&amp;"|"&amp;COUNTIFS($T$7:$T1168,$T1168))</f>
        <v/>
      </c>
      <c r="V1168" s="1">
        <f t="shared" si="152"/>
        <v>0</v>
      </c>
      <c r="W1168" s="1" t="str">
        <f t="shared" si="153"/>
        <v/>
      </c>
      <c r="X1168" s="1"/>
      <c r="Y1168" s="1"/>
      <c r="Z1168" s="1"/>
      <c r="AA1168" s="1"/>
      <c r="AB1168" s="1"/>
      <c r="AC1168" s="1"/>
      <c r="AD1168" s="1">
        <f>IF($C1168="",0,SUMPRODUCT((AY_SONU!$O$7:$O$42="Evet")*(AY_SONU!$B$7:$B$42=DATE(YEAR($C1168),MONTH($C1168),1))))</f>
        <v>0</v>
      </c>
      <c r="AE1168" s="1" t="str">
        <f>IF($E1168="","",$E1168&amp;"|"&amp;COUNTIFS($E$7:$E1168,$E1168))</f>
        <v/>
      </c>
    </row>
    <row r="1169" spans="1:31" ht="18" customHeight="1" x14ac:dyDescent="0.3">
      <c r="A1169" s="2"/>
      <c r="B1169" s="65" t="str">
        <f t="shared" si="146"/>
        <v/>
      </c>
      <c r="C1169" s="66"/>
      <c r="D1169" s="60"/>
      <c r="E1169" s="61"/>
      <c r="F1169" s="61"/>
      <c r="G1169" s="67"/>
      <c r="H1169" s="60"/>
      <c r="I1169" s="60"/>
      <c r="J1169" s="61"/>
      <c r="K1169" s="61"/>
      <c r="L1169" s="60"/>
      <c r="M1169" s="74" t="str">
        <f t="shared" si="147"/>
        <v/>
      </c>
      <c r="N1169" s="74" t="str">
        <f t="shared" si="148"/>
        <v/>
      </c>
      <c r="O1169" s="73" t="str">
        <f t="shared" si="149"/>
        <v/>
      </c>
      <c r="P1169" s="65" t="str">
        <f t="shared" ca="1" si="150"/>
        <v/>
      </c>
      <c r="Q1169" s="2"/>
      <c r="R1169" s="2"/>
      <c r="S1169" s="1" t="str">
        <f t="shared" si="151"/>
        <v/>
      </c>
      <c r="T1169" s="1" t="str">
        <f>IF(OR($C1169="",$D1169&lt;&gt;"Gelir",$L1169=""),"",IFERROR(INDEX(MUSTERILER!$B$7:$B$156,MATCH($S1169,MUSTERILER!$T$7:$T$156,0)),""))</f>
        <v/>
      </c>
      <c r="U1169" s="1" t="str">
        <f>IF($T1169="","",$T1169&amp;"|"&amp;COUNTIFS($T$7:$T1169,$T1169))</f>
        <v/>
      </c>
      <c r="V1169" s="1">
        <f t="shared" si="152"/>
        <v>0</v>
      </c>
      <c r="W1169" s="1" t="str">
        <f t="shared" si="153"/>
        <v/>
      </c>
      <c r="X1169" s="1"/>
      <c r="Y1169" s="1"/>
      <c r="Z1169" s="1"/>
      <c r="AA1169" s="1"/>
      <c r="AB1169" s="1"/>
      <c r="AC1169" s="1"/>
      <c r="AD1169" s="1">
        <f>IF($C1169="",0,SUMPRODUCT((AY_SONU!$O$7:$O$42="Evet")*(AY_SONU!$B$7:$B$42=DATE(YEAR($C1169),MONTH($C1169),1))))</f>
        <v>0</v>
      </c>
      <c r="AE1169" s="1" t="str">
        <f>IF($E1169="","",$E1169&amp;"|"&amp;COUNTIFS($E$7:$E1169,$E1169))</f>
        <v/>
      </c>
    </row>
    <row r="1170" spans="1:31" ht="18" customHeight="1" x14ac:dyDescent="0.3">
      <c r="A1170" s="2"/>
      <c r="B1170" s="65" t="str">
        <f t="shared" si="146"/>
        <v/>
      </c>
      <c r="C1170" s="66"/>
      <c r="D1170" s="60"/>
      <c r="E1170" s="61"/>
      <c r="F1170" s="61"/>
      <c r="G1170" s="67"/>
      <c r="H1170" s="60"/>
      <c r="I1170" s="60"/>
      <c r="J1170" s="61"/>
      <c r="K1170" s="61"/>
      <c r="L1170" s="60"/>
      <c r="M1170" s="74" t="str">
        <f t="shared" si="147"/>
        <v/>
      </c>
      <c r="N1170" s="74" t="str">
        <f t="shared" si="148"/>
        <v/>
      </c>
      <c r="O1170" s="73" t="str">
        <f t="shared" si="149"/>
        <v/>
      </c>
      <c r="P1170" s="65" t="str">
        <f t="shared" ca="1" si="150"/>
        <v/>
      </c>
      <c r="Q1170" s="2"/>
      <c r="R1170" s="2"/>
      <c r="S1170" s="1" t="str">
        <f t="shared" si="151"/>
        <v/>
      </c>
      <c r="T1170" s="1" t="str">
        <f>IF(OR($C1170="",$D1170&lt;&gt;"Gelir",$L1170=""),"",IFERROR(INDEX(MUSTERILER!$B$7:$B$156,MATCH($S1170,MUSTERILER!$T$7:$T$156,0)),""))</f>
        <v/>
      </c>
      <c r="U1170" s="1" t="str">
        <f>IF($T1170="","",$T1170&amp;"|"&amp;COUNTIFS($T$7:$T1170,$T1170))</f>
        <v/>
      </c>
      <c r="V1170" s="1">
        <f t="shared" si="152"/>
        <v>0</v>
      </c>
      <c r="W1170" s="1" t="str">
        <f t="shared" si="153"/>
        <v/>
      </c>
      <c r="X1170" s="1"/>
      <c r="Y1170" s="1"/>
      <c r="Z1170" s="1"/>
      <c r="AA1170" s="1"/>
      <c r="AB1170" s="1"/>
      <c r="AC1170" s="1"/>
      <c r="AD1170" s="1">
        <f>IF($C1170="",0,SUMPRODUCT((AY_SONU!$O$7:$O$42="Evet")*(AY_SONU!$B$7:$B$42=DATE(YEAR($C1170),MONTH($C1170),1))))</f>
        <v>0</v>
      </c>
      <c r="AE1170" s="1" t="str">
        <f>IF($E1170="","",$E1170&amp;"|"&amp;COUNTIFS($E$7:$E1170,$E1170))</f>
        <v/>
      </c>
    </row>
    <row r="1171" spans="1:31" ht="18" customHeight="1" x14ac:dyDescent="0.3">
      <c r="A1171" s="2"/>
      <c r="B1171" s="65" t="str">
        <f t="shared" si="146"/>
        <v/>
      </c>
      <c r="C1171" s="66"/>
      <c r="D1171" s="60"/>
      <c r="E1171" s="61"/>
      <c r="F1171" s="61"/>
      <c r="G1171" s="67"/>
      <c r="H1171" s="60"/>
      <c r="I1171" s="60"/>
      <c r="J1171" s="61"/>
      <c r="K1171" s="61"/>
      <c r="L1171" s="60"/>
      <c r="M1171" s="74" t="str">
        <f t="shared" si="147"/>
        <v/>
      </c>
      <c r="N1171" s="74" t="str">
        <f t="shared" si="148"/>
        <v/>
      </c>
      <c r="O1171" s="73" t="str">
        <f t="shared" si="149"/>
        <v/>
      </c>
      <c r="P1171" s="65" t="str">
        <f t="shared" ca="1" si="150"/>
        <v/>
      </c>
      <c r="Q1171" s="2"/>
      <c r="R1171" s="2"/>
      <c r="S1171" s="1" t="str">
        <f t="shared" si="151"/>
        <v/>
      </c>
      <c r="T1171" s="1" t="str">
        <f>IF(OR($C1171="",$D1171&lt;&gt;"Gelir",$L1171=""),"",IFERROR(INDEX(MUSTERILER!$B$7:$B$156,MATCH($S1171,MUSTERILER!$T$7:$T$156,0)),""))</f>
        <v/>
      </c>
      <c r="U1171" s="1" t="str">
        <f>IF($T1171="","",$T1171&amp;"|"&amp;COUNTIFS($T$7:$T1171,$T1171))</f>
        <v/>
      </c>
      <c r="V1171" s="1">
        <f t="shared" si="152"/>
        <v>0</v>
      </c>
      <c r="W1171" s="1" t="str">
        <f t="shared" si="153"/>
        <v/>
      </c>
      <c r="X1171" s="1"/>
      <c r="Y1171" s="1"/>
      <c r="Z1171" s="1"/>
      <c r="AA1171" s="1"/>
      <c r="AB1171" s="1"/>
      <c r="AC1171" s="1"/>
      <c r="AD1171" s="1">
        <f>IF($C1171="",0,SUMPRODUCT((AY_SONU!$O$7:$O$42="Evet")*(AY_SONU!$B$7:$B$42=DATE(YEAR($C1171),MONTH($C1171),1))))</f>
        <v>0</v>
      </c>
      <c r="AE1171" s="1" t="str">
        <f>IF($E1171="","",$E1171&amp;"|"&amp;COUNTIFS($E$7:$E1171,$E1171))</f>
        <v/>
      </c>
    </row>
    <row r="1172" spans="1:31" ht="18" customHeight="1" x14ac:dyDescent="0.3">
      <c r="A1172" s="2"/>
      <c r="B1172" s="65" t="str">
        <f t="shared" si="146"/>
        <v/>
      </c>
      <c r="C1172" s="66"/>
      <c r="D1172" s="60"/>
      <c r="E1172" s="61"/>
      <c r="F1172" s="61"/>
      <c r="G1172" s="67"/>
      <c r="H1172" s="60"/>
      <c r="I1172" s="60"/>
      <c r="J1172" s="61"/>
      <c r="K1172" s="61"/>
      <c r="L1172" s="60"/>
      <c r="M1172" s="74" t="str">
        <f t="shared" si="147"/>
        <v/>
      </c>
      <c r="N1172" s="74" t="str">
        <f t="shared" si="148"/>
        <v/>
      </c>
      <c r="O1172" s="73" t="str">
        <f t="shared" si="149"/>
        <v/>
      </c>
      <c r="P1172" s="65" t="str">
        <f t="shared" ca="1" si="150"/>
        <v/>
      </c>
      <c r="Q1172" s="2"/>
      <c r="R1172" s="2"/>
      <c r="S1172" s="1" t="str">
        <f t="shared" si="151"/>
        <v/>
      </c>
      <c r="T1172" s="1" t="str">
        <f>IF(OR($C1172="",$D1172&lt;&gt;"Gelir",$L1172=""),"",IFERROR(INDEX(MUSTERILER!$B$7:$B$156,MATCH($S1172,MUSTERILER!$T$7:$T$156,0)),""))</f>
        <v/>
      </c>
      <c r="U1172" s="1" t="str">
        <f>IF($T1172="","",$T1172&amp;"|"&amp;COUNTIFS($T$7:$T1172,$T1172))</f>
        <v/>
      </c>
      <c r="V1172" s="1">
        <f t="shared" si="152"/>
        <v>0</v>
      </c>
      <c r="W1172" s="1" t="str">
        <f t="shared" si="153"/>
        <v/>
      </c>
      <c r="X1172" s="1"/>
      <c r="Y1172" s="1"/>
      <c r="Z1172" s="1"/>
      <c r="AA1172" s="1"/>
      <c r="AB1172" s="1"/>
      <c r="AC1172" s="1"/>
      <c r="AD1172" s="1">
        <f>IF($C1172="",0,SUMPRODUCT((AY_SONU!$O$7:$O$42="Evet")*(AY_SONU!$B$7:$B$42=DATE(YEAR($C1172),MONTH($C1172),1))))</f>
        <v>0</v>
      </c>
      <c r="AE1172" s="1" t="str">
        <f>IF($E1172="","",$E1172&amp;"|"&amp;COUNTIFS($E$7:$E1172,$E1172))</f>
        <v/>
      </c>
    </row>
    <row r="1173" spans="1:31" ht="18" customHeight="1" x14ac:dyDescent="0.3">
      <c r="A1173" s="2"/>
      <c r="B1173" s="65" t="str">
        <f t="shared" si="146"/>
        <v/>
      </c>
      <c r="C1173" s="66"/>
      <c r="D1173" s="60"/>
      <c r="E1173" s="61"/>
      <c r="F1173" s="61"/>
      <c r="G1173" s="67"/>
      <c r="H1173" s="60"/>
      <c r="I1173" s="60"/>
      <c r="J1173" s="61"/>
      <c r="K1173" s="61"/>
      <c r="L1173" s="60"/>
      <c r="M1173" s="74" t="str">
        <f t="shared" si="147"/>
        <v/>
      </c>
      <c r="N1173" s="74" t="str">
        <f t="shared" si="148"/>
        <v/>
      </c>
      <c r="O1173" s="73" t="str">
        <f t="shared" si="149"/>
        <v/>
      </c>
      <c r="P1173" s="65" t="str">
        <f t="shared" ca="1" si="150"/>
        <v/>
      </c>
      <c r="Q1173" s="2"/>
      <c r="R1173" s="2"/>
      <c r="S1173" s="1" t="str">
        <f t="shared" si="151"/>
        <v/>
      </c>
      <c r="T1173" s="1" t="str">
        <f>IF(OR($C1173="",$D1173&lt;&gt;"Gelir",$L1173=""),"",IFERROR(INDEX(MUSTERILER!$B$7:$B$156,MATCH($S1173,MUSTERILER!$T$7:$T$156,0)),""))</f>
        <v/>
      </c>
      <c r="U1173" s="1" t="str">
        <f>IF($T1173="","",$T1173&amp;"|"&amp;COUNTIFS($T$7:$T1173,$T1173))</f>
        <v/>
      </c>
      <c r="V1173" s="1">
        <f t="shared" si="152"/>
        <v>0</v>
      </c>
      <c r="W1173" s="1" t="str">
        <f t="shared" si="153"/>
        <v/>
      </c>
      <c r="X1173" s="1"/>
      <c r="Y1173" s="1"/>
      <c r="Z1173" s="1"/>
      <c r="AA1173" s="1"/>
      <c r="AB1173" s="1"/>
      <c r="AC1173" s="1"/>
      <c r="AD1173" s="1">
        <f>IF($C1173="",0,SUMPRODUCT((AY_SONU!$O$7:$O$42="Evet")*(AY_SONU!$B$7:$B$42=DATE(YEAR($C1173),MONTH($C1173),1))))</f>
        <v>0</v>
      </c>
      <c r="AE1173" s="1" t="str">
        <f>IF($E1173="","",$E1173&amp;"|"&amp;COUNTIFS($E$7:$E1173,$E1173))</f>
        <v/>
      </c>
    </row>
    <row r="1174" spans="1:31" ht="18" customHeight="1" x14ac:dyDescent="0.3">
      <c r="A1174" s="2"/>
      <c r="B1174" s="65" t="str">
        <f t="shared" si="146"/>
        <v/>
      </c>
      <c r="C1174" s="66"/>
      <c r="D1174" s="60"/>
      <c r="E1174" s="61"/>
      <c r="F1174" s="61"/>
      <c r="G1174" s="67"/>
      <c r="H1174" s="60"/>
      <c r="I1174" s="60"/>
      <c r="J1174" s="61"/>
      <c r="K1174" s="61"/>
      <c r="L1174" s="60"/>
      <c r="M1174" s="74" t="str">
        <f t="shared" si="147"/>
        <v/>
      </c>
      <c r="N1174" s="74" t="str">
        <f t="shared" si="148"/>
        <v/>
      </c>
      <c r="O1174" s="73" t="str">
        <f t="shared" si="149"/>
        <v/>
      </c>
      <c r="P1174" s="65" t="str">
        <f t="shared" ca="1" si="150"/>
        <v/>
      </c>
      <c r="Q1174" s="2"/>
      <c r="R1174" s="2"/>
      <c r="S1174" s="1" t="str">
        <f t="shared" si="151"/>
        <v/>
      </c>
      <c r="T1174" s="1" t="str">
        <f>IF(OR($C1174="",$D1174&lt;&gt;"Gelir",$L1174=""),"",IFERROR(INDEX(MUSTERILER!$B$7:$B$156,MATCH($S1174,MUSTERILER!$T$7:$T$156,0)),""))</f>
        <v/>
      </c>
      <c r="U1174" s="1" t="str">
        <f>IF($T1174="","",$T1174&amp;"|"&amp;COUNTIFS($T$7:$T1174,$T1174))</f>
        <v/>
      </c>
      <c r="V1174" s="1">
        <f t="shared" si="152"/>
        <v>0</v>
      </c>
      <c r="W1174" s="1" t="str">
        <f t="shared" si="153"/>
        <v/>
      </c>
      <c r="X1174" s="1"/>
      <c r="Y1174" s="1"/>
      <c r="Z1174" s="1"/>
      <c r="AA1174" s="1"/>
      <c r="AB1174" s="1"/>
      <c r="AC1174" s="1"/>
      <c r="AD1174" s="1">
        <f>IF($C1174="",0,SUMPRODUCT((AY_SONU!$O$7:$O$42="Evet")*(AY_SONU!$B$7:$B$42=DATE(YEAR($C1174),MONTH($C1174),1))))</f>
        <v>0</v>
      </c>
      <c r="AE1174" s="1" t="str">
        <f>IF($E1174="","",$E1174&amp;"|"&amp;COUNTIFS($E$7:$E1174,$E1174))</f>
        <v/>
      </c>
    </row>
    <row r="1175" spans="1:31" ht="18" customHeight="1" x14ac:dyDescent="0.3">
      <c r="A1175" s="2"/>
      <c r="B1175" s="65" t="str">
        <f t="shared" si="146"/>
        <v/>
      </c>
      <c r="C1175" s="66"/>
      <c r="D1175" s="60"/>
      <c r="E1175" s="61"/>
      <c r="F1175" s="61"/>
      <c r="G1175" s="67"/>
      <c r="H1175" s="60"/>
      <c r="I1175" s="60"/>
      <c r="J1175" s="61"/>
      <c r="K1175" s="61"/>
      <c r="L1175" s="60"/>
      <c r="M1175" s="74" t="str">
        <f t="shared" si="147"/>
        <v/>
      </c>
      <c r="N1175" s="74" t="str">
        <f t="shared" si="148"/>
        <v/>
      </c>
      <c r="O1175" s="73" t="str">
        <f t="shared" si="149"/>
        <v/>
      </c>
      <c r="P1175" s="65" t="str">
        <f t="shared" ca="1" si="150"/>
        <v/>
      </c>
      <c r="Q1175" s="2"/>
      <c r="R1175" s="2"/>
      <c r="S1175" s="1" t="str">
        <f t="shared" si="151"/>
        <v/>
      </c>
      <c r="T1175" s="1" t="str">
        <f>IF(OR($C1175="",$D1175&lt;&gt;"Gelir",$L1175=""),"",IFERROR(INDEX(MUSTERILER!$B$7:$B$156,MATCH($S1175,MUSTERILER!$T$7:$T$156,0)),""))</f>
        <v/>
      </c>
      <c r="U1175" s="1" t="str">
        <f>IF($T1175="","",$T1175&amp;"|"&amp;COUNTIFS($T$7:$T1175,$T1175))</f>
        <v/>
      </c>
      <c r="V1175" s="1">
        <f t="shared" si="152"/>
        <v>0</v>
      </c>
      <c r="W1175" s="1" t="str">
        <f t="shared" si="153"/>
        <v/>
      </c>
      <c r="X1175" s="1"/>
      <c r="Y1175" s="1"/>
      <c r="Z1175" s="1"/>
      <c r="AA1175" s="1"/>
      <c r="AB1175" s="1"/>
      <c r="AC1175" s="1"/>
      <c r="AD1175" s="1">
        <f>IF($C1175="",0,SUMPRODUCT((AY_SONU!$O$7:$O$42="Evet")*(AY_SONU!$B$7:$B$42=DATE(YEAR($C1175),MONTH($C1175),1))))</f>
        <v>0</v>
      </c>
      <c r="AE1175" s="1" t="str">
        <f>IF($E1175="","",$E1175&amp;"|"&amp;COUNTIFS($E$7:$E1175,$E1175))</f>
        <v/>
      </c>
    </row>
    <row r="1176" spans="1:31" ht="18" customHeight="1" x14ac:dyDescent="0.3">
      <c r="A1176" s="2"/>
      <c r="B1176" s="65" t="str">
        <f t="shared" si="146"/>
        <v/>
      </c>
      <c r="C1176" s="66"/>
      <c r="D1176" s="60"/>
      <c r="E1176" s="61"/>
      <c r="F1176" s="61"/>
      <c r="G1176" s="67"/>
      <c r="H1176" s="60"/>
      <c r="I1176" s="60"/>
      <c r="J1176" s="61"/>
      <c r="K1176" s="61"/>
      <c r="L1176" s="60"/>
      <c r="M1176" s="74" t="str">
        <f t="shared" si="147"/>
        <v/>
      </c>
      <c r="N1176" s="74" t="str">
        <f t="shared" si="148"/>
        <v/>
      </c>
      <c r="O1176" s="73" t="str">
        <f t="shared" si="149"/>
        <v/>
      </c>
      <c r="P1176" s="65" t="str">
        <f t="shared" ca="1" si="150"/>
        <v/>
      </c>
      <c r="Q1176" s="2"/>
      <c r="R1176" s="2"/>
      <c r="S1176" s="1" t="str">
        <f t="shared" si="151"/>
        <v/>
      </c>
      <c r="T1176" s="1" t="str">
        <f>IF(OR($C1176="",$D1176&lt;&gt;"Gelir",$L1176=""),"",IFERROR(INDEX(MUSTERILER!$B$7:$B$156,MATCH($S1176,MUSTERILER!$T$7:$T$156,0)),""))</f>
        <v/>
      </c>
      <c r="U1176" s="1" t="str">
        <f>IF($T1176="","",$T1176&amp;"|"&amp;COUNTIFS($T$7:$T1176,$T1176))</f>
        <v/>
      </c>
      <c r="V1176" s="1">
        <f t="shared" si="152"/>
        <v>0</v>
      </c>
      <c r="W1176" s="1" t="str">
        <f t="shared" si="153"/>
        <v/>
      </c>
      <c r="X1176" s="1"/>
      <c r="Y1176" s="1"/>
      <c r="Z1176" s="1"/>
      <c r="AA1176" s="1"/>
      <c r="AB1176" s="1"/>
      <c r="AC1176" s="1"/>
      <c r="AD1176" s="1">
        <f>IF($C1176="",0,SUMPRODUCT((AY_SONU!$O$7:$O$42="Evet")*(AY_SONU!$B$7:$B$42=DATE(YEAR($C1176),MONTH($C1176),1))))</f>
        <v>0</v>
      </c>
      <c r="AE1176" s="1" t="str">
        <f>IF($E1176="","",$E1176&amp;"|"&amp;COUNTIFS($E$7:$E1176,$E1176))</f>
        <v/>
      </c>
    </row>
    <row r="1177" spans="1:31" ht="18" customHeight="1" x14ac:dyDescent="0.3">
      <c r="A1177" s="2"/>
      <c r="B1177" s="65" t="str">
        <f t="shared" si="146"/>
        <v/>
      </c>
      <c r="C1177" s="66"/>
      <c r="D1177" s="60"/>
      <c r="E1177" s="61"/>
      <c r="F1177" s="61"/>
      <c r="G1177" s="67"/>
      <c r="H1177" s="60"/>
      <c r="I1177" s="60"/>
      <c r="J1177" s="61"/>
      <c r="K1177" s="61"/>
      <c r="L1177" s="60"/>
      <c r="M1177" s="74" t="str">
        <f t="shared" si="147"/>
        <v/>
      </c>
      <c r="N1177" s="74" t="str">
        <f t="shared" si="148"/>
        <v/>
      </c>
      <c r="O1177" s="73" t="str">
        <f t="shared" si="149"/>
        <v/>
      </c>
      <c r="P1177" s="65" t="str">
        <f t="shared" ca="1" si="150"/>
        <v/>
      </c>
      <c r="Q1177" s="2"/>
      <c r="R1177" s="2"/>
      <c r="S1177" s="1" t="str">
        <f t="shared" si="151"/>
        <v/>
      </c>
      <c r="T1177" s="1" t="str">
        <f>IF(OR($C1177="",$D1177&lt;&gt;"Gelir",$L1177=""),"",IFERROR(INDEX(MUSTERILER!$B$7:$B$156,MATCH($S1177,MUSTERILER!$T$7:$T$156,0)),""))</f>
        <v/>
      </c>
      <c r="U1177" s="1" t="str">
        <f>IF($T1177="","",$T1177&amp;"|"&amp;COUNTIFS($T$7:$T1177,$T1177))</f>
        <v/>
      </c>
      <c r="V1177" s="1">
        <f t="shared" si="152"/>
        <v>0</v>
      </c>
      <c r="W1177" s="1" t="str">
        <f t="shared" si="153"/>
        <v/>
      </c>
      <c r="X1177" s="1"/>
      <c r="Y1177" s="1"/>
      <c r="Z1177" s="1"/>
      <c r="AA1177" s="1"/>
      <c r="AB1177" s="1"/>
      <c r="AC1177" s="1"/>
      <c r="AD1177" s="1">
        <f>IF($C1177="",0,SUMPRODUCT((AY_SONU!$O$7:$O$42="Evet")*(AY_SONU!$B$7:$B$42=DATE(YEAR($C1177),MONTH($C1177),1))))</f>
        <v>0</v>
      </c>
      <c r="AE1177" s="1" t="str">
        <f>IF($E1177="","",$E1177&amp;"|"&amp;COUNTIFS($E$7:$E1177,$E1177))</f>
        <v/>
      </c>
    </row>
    <row r="1178" spans="1:31" ht="18" customHeight="1" x14ac:dyDescent="0.3">
      <c r="A1178" s="2"/>
      <c r="B1178" s="65" t="str">
        <f t="shared" si="146"/>
        <v/>
      </c>
      <c r="C1178" s="66"/>
      <c r="D1178" s="60"/>
      <c r="E1178" s="61"/>
      <c r="F1178" s="61"/>
      <c r="G1178" s="67"/>
      <c r="H1178" s="60"/>
      <c r="I1178" s="60"/>
      <c r="J1178" s="61"/>
      <c r="K1178" s="61"/>
      <c r="L1178" s="60"/>
      <c r="M1178" s="74" t="str">
        <f t="shared" si="147"/>
        <v/>
      </c>
      <c r="N1178" s="74" t="str">
        <f t="shared" si="148"/>
        <v/>
      </c>
      <c r="O1178" s="73" t="str">
        <f t="shared" si="149"/>
        <v/>
      </c>
      <c r="P1178" s="65" t="str">
        <f t="shared" ca="1" si="150"/>
        <v/>
      </c>
      <c r="Q1178" s="2"/>
      <c r="R1178" s="2"/>
      <c r="S1178" s="1" t="str">
        <f t="shared" si="151"/>
        <v/>
      </c>
      <c r="T1178" s="1" t="str">
        <f>IF(OR($C1178="",$D1178&lt;&gt;"Gelir",$L1178=""),"",IFERROR(INDEX(MUSTERILER!$B$7:$B$156,MATCH($S1178,MUSTERILER!$T$7:$T$156,0)),""))</f>
        <v/>
      </c>
      <c r="U1178" s="1" t="str">
        <f>IF($T1178="","",$T1178&amp;"|"&amp;COUNTIFS($T$7:$T1178,$T1178))</f>
        <v/>
      </c>
      <c r="V1178" s="1">
        <f t="shared" si="152"/>
        <v>0</v>
      </c>
      <c r="W1178" s="1" t="str">
        <f t="shared" si="153"/>
        <v/>
      </c>
      <c r="X1178" s="1"/>
      <c r="Y1178" s="1"/>
      <c r="Z1178" s="1"/>
      <c r="AA1178" s="1"/>
      <c r="AB1178" s="1"/>
      <c r="AC1178" s="1"/>
      <c r="AD1178" s="1">
        <f>IF($C1178="",0,SUMPRODUCT((AY_SONU!$O$7:$O$42="Evet")*(AY_SONU!$B$7:$B$42=DATE(YEAR($C1178),MONTH($C1178),1))))</f>
        <v>0</v>
      </c>
      <c r="AE1178" s="1" t="str">
        <f>IF($E1178="","",$E1178&amp;"|"&amp;COUNTIFS($E$7:$E1178,$E1178))</f>
        <v/>
      </c>
    </row>
    <row r="1179" spans="1:31" ht="18" customHeight="1" x14ac:dyDescent="0.3">
      <c r="A1179" s="2"/>
      <c r="B1179" s="65" t="str">
        <f t="shared" si="146"/>
        <v/>
      </c>
      <c r="C1179" s="66"/>
      <c r="D1179" s="60"/>
      <c r="E1179" s="61"/>
      <c r="F1179" s="61"/>
      <c r="G1179" s="67"/>
      <c r="H1179" s="60"/>
      <c r="I1179" s="60"/>
      <c r="J1179" s="61"/>
      <c r="K1179" s="61"/>
      <c r="L1179" s="60"/>
      <c r="M1179" s="74" t="str">
        <f t="shared" si="147"/>
        <v/>
      </c>
      <c r="N1179" s="74" t="str">
        <f t="shared" si="148"/>
        <v/>
      </c>
      <c r="O1179" s="73" t="str">
        <f t="shared" si="149"/>
        <v/>
      </c>
      <c r="P1179" s="65" t="str">
        <f t="shared" ca="1" si="150"/>
        <v/>
      </c>
      <c r="Q1179" s="2"/>
      <c r="R1179" s="2"/>
      <c r="S1179" s="1" t="str">
        <f t="shared" si="151"/>
        <v/>
      </c>
      <c r="T1179" s="1" t="str">
        <f>IF(OR($C1179="",$D1179&lt;&gt;"Gelir",$L1179=""),"",IFERROR(INDEX(MUSTERILER!$B$7:$B$156,MATCH($S1179,MUSTERILER!$T$7:$T$156,0)),""))</f>
        <v/>
      </c>
      <c r="U1179" s="1" t="str">
        <f>IF($T1179="","",$T1179&amp;"|"&amp;COUNTIFS($T$7:$T1179,$T1179))</f>
        <v/>
      </c>
      <c r="V1179" s="1">
        <f t="shared" si="152"/>
        <v>0</v>
      </c>
      <c r="W1179" s="1" t="str">
        <f t="shared" si="153"/>
        <v/>
      </c>
      <c r="X1179" s="1"/>
      <c r="Y1179" s="1"/>
      <c r="Z1179" s="1"/>
      <c r="AA1179" s="1"/>
      <c r="AB1179" s="1"/>
      <c r="AC1179" s="1"/>
      <c r="AD1179" s="1">
        <f>IF($C1179="",0,SUMPRODUCT((AY_SONU!$O$7:$O$42="Evet")*(AY_SONU!$B$7:$B$42=DATE(YEAR($C1179),MONTH($C1179),1))))</f>
        <v>0</v>
      </c>
      <c r="AE1179" s="1" t="str">
        <f>IF($E1179="","",$E1179&amp;"|"&amp;COUNTIFS($E$7:$E1179,$E1179))</f>
        <v/>
      </c>
    </row>
    <row r="1180" spans="1:31" ht="18" customHeight="1" x14ac:dyDescent="0.3">
      <c r="A1180" s="2"/>
      <c r="B1180" s="65" t="str">
        <f t="shared" si="146"/>
        <v/>
      </c>
      <c r="C1180" s="66"/>
      <c r="D1180" s="60"/>
      <c r="E1180" s="61"/>
      <c r="F1180" s="61"/>
      <c r="G1180" s="67"/>
      <c r="H1180" s="60"/>
      <c r="I1180" s="60"/>
      <c r="J1180" s="61"/>
      <c r="K1180" s="61"/>
      <c r="L1180" s="60"/>
      <c r="M1180" s="74" t="str">
        <f t="shared" si="147"/>
        <v/>
      </c>
      <c r="N1180" s="74" t="str">
        <f t="shared" si="148"/>
        <v/>
      </c>
      <c r="O1180" s="73" t="str">
        <f t="shared" si="149"/>
        <v/>
      </c>
      <c r="P1180" s="65" t="str">
        <f t="shared" ca="1" si="150"/>
        <v/>
      </c>
      <c r="Q1180" s="2"/>
      <c r="R1180" s="2"/>
      <c r="S1180" s="1" t="str">
        <f t="shared" si="151"/>
        <v/>
      </c>
      <c r="T1180" s="1" t="str">
        <f>IF(OR($C1180="",$D1180&lt;&gt;"Gelir",$L1180=""),"",IFERROR(INDEX(MUSTERILER!$B$7:$B$156,MATCH($S1180,MUSTERILER!$T$7:$T$156,0)),""))</f>
        <v/>
      </c>
      <c r="U1180" s="1" t="str">
        <f>IF($T1180="","",$T1180&amp;"|"&amp;COUNTIFS($T$7:$T1180,$T1180))</f>
        <v/>
      </c>
      <c r="V1180" s="1">
        <f t="shared" si="152"/>
        <v>0</v>
      </c>
      <c r="W1180" s="1" t="str">
        <f t="shared" si="153"/>
        <v/>
      </c>
      <c r="X1180" s="1"/>
      <c r="Y1180" s="1"/>
      <c r="Z1180" s="1"/>
      <c r="AA1180" s="1"/>
      <c r="AB1180" s="1"/>
      <c r="AC1180" s="1"/>
      <c r="AD1180" s="1">
        <f>IF($C1180="",0,SUMPRODUCT((AY_SONU!$O$7:$O$42="Evet")*(AY_SONU!$B$7:$B$42=DATE(YEAR($C1180),MONTH($C1180),1))))</f>
        <v>0</v>
      </c>
      <c r="AE1180" s="1" t="str">
        <f>IF($E1180="","",$E1180&amp;"|"&amp;COUNTIFS($E$7:$E1180,$E1180))</f>
        <v/>
      </c>
    </row>
    <row r="1181" spans="1:31" ht="18" customHeight="1" x14ac:dyDescent="0.3">
      <c r="A1181" s="2"/>
      <c r="B1181" s="65" t="str">
        <f t="shared" si="146"/>
        <v/>
      </c>
      <c r="C1181" s="66"/>
      <c r="D1181" s="60"/>
      <c r="E1181" s="61"/>
      <c r="F1181" s="61"/>
      <c r="G1181" s="67"/>
      <c r="H1181" s="60"/>
      <c r="I1181" s="60"/>
      <c r="J1181" s="61"/>
      <c r="K1181" s="61"/>
      <c r="L1181" s="60"/>
      <c r="M1181" s="74" t="str">
        <f t="shared" si="147"/>
        <v/>
      </c>
      <c r="N1181" s="74" t="str">
        <f t="shared" si="148"/>
        <v/>
      </c>
      <c r="O1181" s="73" t="str">
        <f t="shared" si="149"/>
        <v/>
      </c>
      <c r="P1181" s="65" t="str">
        <f t="shared" ca="1" si="150"/>
        <v/>
      </c>
      <c r="Q1181" s="2"/>
      <c r="R1181" s="2"/>
      <c r="S1181" s="1" t="str">
        <f t="shared" si="151"/>
        <v/>
      </c>
      <c r="T1181" s="1" t="str">
        <f>IF(OR($C1181="",$D1181&lt;&gt;"Gelir",$L1181=""),"",IFERROR(INDEX(MUSTERILER!$B$7:$B$156,MATCH($S1181,MUSTERILER!$T$7:$T$156,0)),""))</f>
        <v/>
      </c>
      <c r="U1181" s="1" t="str">
        <f>IF($T1181="","",$T1181&amp;"|"&amp;COUNTIFS($T$7:$T1181,$T1181))</f>
        <v/>
      </c>
      <c r="V1181" s="1">
        <f t="shared" si="152"/>
        <v>0</v>
      </c>
      <c r="W1181" s="1" t="str">
        <f t="shared" si="153"/>
        <v/>
      </c>
      <c r="X1181" s="1"/>
      <c r="Y1181" s="1"/>
      <c r="Z1181" s="1"/>
      <c r="AA1181" s="1"/>
      <c r="AB1181" s="1"/>
      <c r="AC1181" s="1"/>
      <c r="AD1181" s="1">
        <f>IF($C1181="",0,SUMPRODUCT((AY_SONU!$O$7:$O$42="Evet")*(AY_SONU!$B$7:$B$42=DATE(YEAR($C1181),MONTH($C1181),1))))</f>
        <v>0</v>
      </c>
      <c r="AE1181" s="1" t="str">
        <f>IF($E1181="","",$E1181&amp;"|"&amp;COUNTIFS($E$7:$E1181,$E1181))</f>
        <v/>
      </c>
    </row>
    <row r="1182" spans="1:31" ht="18" customHeight="1" x14ac:dyDescent="0.3">
      <c r="A1182" s="2"/>
      <c r="B1182" s="65" t="str">
        <f t="shared" si="146"/>
        <v/>
      </c>
      <c r="C1182" s="66"/>
      <c r="D1182" s="60"/>
      <c r="E1182" s="61"/>
      <c r="F1182" s="61"/>
      <c r="G1182" s="67"/>
      <c r="H1182" s="60"/>
      <c r="I1182" s="60"/>
      <c r="J1182" s="61"/>
      <c r="K1182" s="61"/>
      <c r="L1182" s="60"/>
      <c r="M1182" s="74" t="str">
        <f t="shared" si="147"/>
        <v/>
      </c>
      <c r="N1182" s="74" t="str">
        <f t="shared" si="148"/>
        <v/>
      </c>
      <c r="O1182" s="73" t="str">
        <f t="shared" si="149"/>
        <v/>
      </c>
      <c r="P1182" s="65" t="str">
        <f t="shared" ca="1" si="150"/>
        <v/>
      </c>
      <c r="Q1182" s="2"/>
      <c r="R1182" s="2"/>
      <c r="S1182" s="1" t="str">
        <f t="shared" si="151"/>
        <v/>
      </c>
      <c r="T1182" s="1" t="str">
        <f>IF(OR($C1182="",$D1182&lt;&gt;"Gelir",$L1182=""),"",IFERROR(INDEX(MUSTERILER!$B$7:$B$156,MATCH($S1182,MUSTERILER!$T$7:$T$156,0)),""))</f>
        <v/>
      </c>
      <c r="U1182" s="1" t="str">
        <f>IF($T1182="","",$T1182&amp;"|"&amp;COUNTIFS($T$7:$T1182,$T1182))</f>
        <v/>
      </c>
      <c r="V1182" s="1">
        <f t="shared" si="152"/>
        <v>0</v>
      </c>
      <c r="W1182" s="1" t="str">
        <f t="shared" si="153"/>
        <v/>
      </c>
      <c r="X1182" s="1"/>
      <c r="Y1182" s="1"/>
      <c r="Z1182" s="1"/>
      <c r="AA1182" s="1"/>
      <c r="AB1182" s="1"/>
      <c r="AC1182" s="1"/>
      <c r="AD1182" s="1">
        <f>IF($C1182="",0,SUMPRODUCT((AY_SONU!$O$7:$O$42="Evet")*(AY_SONU!$B$7:$B$42=DATE(YEAR($C1182),MONTH($C1182),1))))</f>
        <v>0</v>
      </c>
      <c r="AE1182" s="1" t="str">
        <f>IF($E1182="","",$E1182&amp;"|"&amp;COUNTIFS($E$7:$E1182,$E1182))</f>
        <v/>
      </c>
    </row>
    <row r="1183" spans="1:31" ht="18" customHeight="1" x14ac:dyDescent="0.3">
      <c r="A1183" s="2"/>
      <c r="B1183" s="65" t="str">
        <f t="shared" si="146"/>
        <v/>
      </c>
      <c r="C1183" s="66"/>
      <c r="D1183" s="60"/>
      <c r="E1183" s="61"/>
      <c r="F1183" s="61"/>
      <c r="G1183" s="67"/>
      <c r="H1183" s="60"/>
      <c r="I1183" s="60"/>
      <c r="J1183" s="61"/>
      <c r="K1183" s="61"/>
      <c r="L1183" s="60"/>
      <c r="M1183" s="74" t="str">
        <f t="shared" si="147"/>
        <v/>
      </c>
      <c r="N1183" s="74" t="str">
        <f t="shared" si="148"/>
        <v/>
      </c>
      <c r="O1183" s="73" t="str">
        <f t="shared" si="149"/>
        <v/>
      </c>
      <c r="P1183" s="65" t="str">
        <f t="shared" ca="1" si="150"/>
        <v/>
      </c>
      <c r="Q1183" s="2"/>
      <c r="R1183" s="2"/>
      <c r="S1183" s="1" t="str">
        <f t="shared" si="151"/>
        <v/>
      </c>
      <c r="T1183" s="1" t="str">
        <f>IF(OR($C1183="",$D1183&lt;&gt;"Gelir",$L1183=""),"",IFERROR(INDEX(MUSTERILER!$B$7:$B$156,MATCH($S1183,MUSTERILER!$T$7:$T$156,0)),""))</f>
        <v/>
      </c>
      <c r="U1183" s="1" t="str">
        <f>IF($T1183="","",$T1183&amp;"|"&amp;COUNTIFS($T$7:$T1183,$T1183))</f>
        <v/>
      </c>
      <c r="V1183" s="1">
        <f t="shared" si="152"/>
        <v>0</v>
      </c>
      <c r="W1183" s="1" t="str">
        <f t="shared" si="153"/>
        <v/>
      </c>
      <c r="X1183" s="1"/>
      <c r="Y1183" s="1"/>
      <c r="Z1183" s="1"/>
      <c r="AA1183" s="1"/>
      <c r="AB1183" s="1"/>
      <c r="AC1183" s="1"/>
      <c r="AD1183" s="1">
        <f>IF($C1183="",0,SUMPRODUCT((AY_SONU!$O$7:$O$42="Evet")*(AY_SONU!$B$7:$B$42=DATE(YEAR($C1183),MONTH($C1183),1))))</f>
        <v>0</v>
      </c>
      <c r="AE1183" s="1" t="str">
        <f>IF($E1183="","",$E1183&amp;"|"&amp;COUNTIFS($E$7:$E1183,$E1183))</f>
        <v/>
      </c>
    </row>
    <row r="1184" spans="1:31" ht="18" customHeight="1" x14ac:dyDescent="0.3">
      <c r="A1184" s="2"/>
      <c r="B1184" s="65" t="str">
        <f t="shared" si="146"/>
        <v/>
      </c>
      <c r="C1184" s="66"/>
      <c r="D1184" s="60"/>
      <c r="E1184" s="61"/>
      <c r="F1184" s="61"/>
      <c r="G1184" s="67"/>
      <c r="H1184" s="60"/>
      <c r="I1184" s="60"/>
      <c r="J1184" s="61"/>
      <c r="K1184" s="61"/>
      <c r="L1184" s="60"/>
      <c r="M1184" s="74" t="str">
        <f t="shared" si="147"/>
        <v/>
      </c>
      <c r="N1184" s="74" t="str">
        <f t="shared" si="148"/>
        <v/>
      </c>
      <c r="O1184" s="73" t="str">
        <f t="shared" si="149"/>
        <v/>
      </c>
      <c r="P1184" s="65" t="str">
        <f t="shared" ca="1" si="150"/>
        <v/>
      </c>
      <c r="Q1184" s="2"/>
      <c r="R1184" s="2"/>
      <c r="S1184" s="1" t="str">
        <f t="shared" si="151"/>
        <v/>
      </c>
      <c r="T1184" s="1" t="str">
        <f>IF(OR($C1184="",$D1184&lt;&gt;"Gelir",$L1184=""),"",IFERROR(INDEX(MUSTERILER!$B$7:$B$156,MATCH($S1184,MUSTERILER!$T$7:$T$156,0)),""))</f>
        <v/>
      </c>
      <c r="U1184" s="1" t="str">
        <f>IF($T1184="","",$T1184&amp;"|"&amp;COUNTIFS($T$7:$T1184,$T1184))</f>
        <v/>
      </c>
      <c r="V1184" s="1">
        <f t="shared" si="152"/>
        <v>0</v>
      </c>
      <c r="W1184" s="1" t="str">
        <f t="shared" si="153"/>
        <v/>
      </c>
      <c r="X1184" s="1"/>
      <c r="Y1184" s="1"/>
      <c r="Z1184" s="1"/>
      <c r="AA1184" s="1"/>
      <c r="AB1184" s="1"/>
      <c r="AC1184" s="1"/>
      <c r="AD1184" s="1">
        <f>IF($C1184="",0,SUMPRODUCT((AY_SONU!$O$7:$O$42="Evet")*(AY_SONU!$B$7:$B$42=DATE(YEAR($C1184),MONTH($C1184),1))))</f>
        <v>0</v>
      </c>
      <c r="AE1184" s="1" t="str">
        <f>IF($E1184="","",$E1184&amp;"|"&amp;COUNTIFS($E$7:$E1184,$E1184))</f>
        <v/>
      </c>
    </row>
    <row r="1185" spans="1:31" ht="18" customHeight="1" x14ac:dyDescent="0.3">
      <c r="A1185" s="2"/>
      <c r="B1185" s="65" t="str">
        <f t="shared" si="146"/>
        <v/>
      </c>
      <c r="C1185" s="66"/>
      <c r="D1185" s="60"/>
      <c r="E1185" s="61"/>
      <c r="F1185" s="61"/>
      <c r="G1185" s="67"/>
      <c r="H1185" s="60"/>
      <c r="I1185" s="60"/>
      <c r="J1185" s="61"/>
      <c r="K1185" s="61"/>
      <c r="L1185" s="60"/>
      <c r="M1185" s="74" t="str">
        <f t="shared" si="147"/>
        <v/>
      </c>
      <c r="N1185" s="74" t="str">
        <f t="shared" si="148"/>
        <v/>
      </c>
      <c r="O1185" s="73" t="str">
        <f t="shared" si="149"/>
        <v/>
      </c>
      <c r="P1185" s="65" t="str">
        <f t="shared" ca="1" si="150"/>
        <v/>
      </c>
      <c r="Q1185" s="2"/>
      <c r="R1185" s="2"/>
      <c r="S1185" s="1" t="str">
        <f t="shared" si="151"/>
        <v/>
      </c>
      <c r="T1185" s="1" t="str">
        <f>IF(OR($C1185="",$D1185&lt;&gt;"Gelir",$L1185=""),"",IFERROR(INDEX(MUSTERILER!$B$7:$B$156,MATCH($S1185,MUSTERILER!$T$7:$T$156,0)),""))</f>
        <v/>
      </c>
      <c r="U1185" s="1" t="str">
        <f>IF($T1185="","",$T1185&amp;"|"&amp;COUNTIFS($T$7:$T1185,$T1185))</f>
        <v/>
      </c>
      <c r="V1185" s="1">
        <f t="shared" si="152"/>
        <v>0</v>
      </c>
      <c r="W1185" s="1" t="str">
        <f t="shared" si="153"/>
        <v/>
      </c>
      <c r="X1185" s="1"/>
      <c r="Y1185" s="1"/>
      <c r="Z1185" s="1"/>
      <c r="AA1185" s="1"/>
      <c r="AB1185" s="1"/>
      <c r="AC1185" s="1"/>
      <c r="AD1185" s="1">
        <f>IF($C1185="",0,SUMPRODUCT((AY_SONU!$O$7:$O$42="Evet")*(AY_SONU!$B$7:$B$42=DATE(YEAR($C1185),MONTH($C1185),1))))</f>
        <v>0</v>
      </c>
      <c r="AE1185" s="1" t="str">
        <f>IF($E1185="","",$E1185&amp;"|"&amp;COUNTIFS($E$7:$E1185,$E1185))</f>
        <v/>
      </c>
    </row>
    <row r="1186" spans="1:31" ht="18" customHeight="1" x14ac:dyDescent="0.3">
      <c r="A1186" s="2"/>
      <c r="B1186" s="65" t="str">
        <f t="shared" si="146"/>
        <v/>
      </c>
      <c r="C1186" s="66"/>
      <c r="D1186" s="60"/>
      <c r="E1186" s="61"/>
      <c r="F1186" s="61"/>
      <c r="G1186" s="67"/>
      <c r="H1186" s="60"/>
      <c r="I1186" s="60"/>
      <c r="J1186" s="61"/>
      <c r="K1186" s="61"/>
      <c r="L1186" s="60"/>
      <c r="M1186" s="74" t="str">
        <f t="shared" si="147"/>
        <v/>
      </c>
      <c r="N1186" s="74" t="str">
        <f t="shared" si="148"/>
        <v/>
      </c>
      <c r="O1186" s="73" t="str">
        <f t="shared" si="149"/>
        <v/>
      </c>
      <c r="P1186" s="65" t="str">
        <f t="shared" ca="1" si="150"/>
        <v/>
      </c>
      <c r="Q1186" s="2"/>
      <c r="R1186" s="2"/>
      <c r="S1186" s="1" t="str">
        <f t="shared" si="151"/>
        <v/>
      </c>
      <c r="T1186" s="1" t="str">
        <f>IF(OR($C1186="",$D1186&lt;&gt;"Gelir",$L1186=""),"",IFERROR(INDEX(MUSTERILER!$B$7:$B$156,MATCH($S1186,MUSTERILER!$T$7:$T$156,0)),""))</f>
        <v/>
      </c>
      <c r="U1186" s="1" t="str">
        <f>IF($T1186="","",$T1186&amp;"|"&amp;COUNTIFS($T$7:$T1186,$T1186))</f>
        <v/>
      </c>
      <c r="V1186" s="1">
        <f t="shared" si="152"/>
        <v>0</v>
      </c>
      <c r="W1186" s="1" t="str">
        <f t="shared" si="153"/>
        <v/>
      </c>
      <c r="X1186" s="1"/>
      <c r="Y1186" s="1"/>
      <c r="Z1186" s="1"/>
      <c r="AA1186" s="1"/>
      <c r="AB1186" s="1"/>
      <c r="AC1186" s="1"/>
      <c r="AD1186" s="1">
        <f>IF($C1186="",0,SUMPRODUCT((AY_SONU!$O$7:$O$42="Evet")*(AY_SONU!$B$7:$B$42=DATE(YEAR($C1186),MONTH($C1186),1))))</f>
        <v>0</v>
      </c>
      <c r="AE1186" s="1" t="str">
        <f>IF($E1186="","",$E1186&amp;"|"&amp;COUNTIFS($E$7:$E1186,$E1186))</f>
        <v/>
      </c>
    </row>
    <row r="1187" spans="1:31" ht="18" customHeight="1" x14ac:dyDescent="0.3">
      <c r="A1187" s="2"/>
      <c r="B1187" s="65" t="str">
        <f t="shared" si="146"/>
        <v/>
      </c>
      <c r="C1187" s="66"/>
      <c r="D1187" s="60"/>
      <c r="E1187" s="61"/>
      <c r="F1187" s="61"/>
      <c r="G1187" s="67"/>
      <c r="H1187" s="60"/>
      <c r="I1187" s="60"/>
      <c r="J1187" s="61"/>
      <c r="K1187" s="61"/>
      <c r="L1187" s="60"/>
      <c r="M1187" s="74" t="str">
        <f t="shared" si="147"/>
        <v/>
      </c>
      <c r="N1187" s="74" t="str">
        <f t="shared" si="148"/>
        <v/>
      </c>
      <c r="O1187" s="73" t="str">
        <f t="shared" si="149"/>
        <v/>
      </c>
      <c r="P1187" s="65" t="str">
        <f t="shared" ca="1" si="150"/>
        <v/>
      </c>
      <c r="Q1187" s="2"/>
      <c r="R1187" s="2"/>
      <c r="S1187" s="1" t="str">
        <f t="shared" si="151"/>
        <v/>
      </c>
      <c r="T1187" s="1" t="str">
        <f>IF(OR($C1187="",$D1187&lt;&gt;"Gelir",$L1187=""),"",IFERROR(INDEX(MUSTERILER!$B$7:$B$156,MATCH($S1187,MUSTERILER!$T$7:$T$156,0)),""))</f>
        <v/>
      </c>
      <c r="U1187" s="1" t="str">
        <f>IF($T1187="","",$T1187&amp;"|"&amp;COUNTIFS($T$7:$T1187,$T1187))</f>
        <v/>
      </c>
      <c r="V1187" s="1">
        <f t="shared" si="152"/>
        <v>0</v>
      </c>
      <c r="W1187" s="1" t="str">
        <f t="shared" si="153"/>
        <v/>
      </c>
      <c r="X1187" s="1"/>
      <c r="Y1187" s="1"/>
      <c r="Z1187" s="1"/>
      <c r="AA1187" s="1"/>
      <c r="AB1187" s="1"/>
      <c r="AC1187" s="1"/>
      <c r="AD1187" s="1">
        <f>IF($C1187="",0,SUMPRODUCT((AY_SONU!$O$7:$O$42="Evet")*(AY_SONU!$B$7:$B$42=DATE(YEAR($C1187),MONTH($C1187),1))))</f>
        <v>0</v>
      </c>
      <c r="AE1187" s="1" t="str">
        <f>IF($E1187="","",$E1187&amp;"|"&amp;COUNTIFS($E$7:$E1187,$E1187))</f>
        <v/>
      </c>
    </row>
    <row r="1188" spans="1:31" ht="18" customHeight="1" x14ac:dyDescent="0.3">
      <c r="A1188" s="2"/>
      <c r="B1188" s="65" t="str">
        <f t="shared" si="146"/>
        <v/>
      </c>
      <c r="C1188" s="66"/>
      <c r="D1188" s="60"/>
      <c r="E1188" s="61"/>
      <c r="F1188" s="61"/>
      <c r="G1188" s="67"/>
      <c r="H1188" s="60"/>
      <c r="I1188" s="60"/>
      <c r="J1188" s="61"/>
      <c r="K1188" s="61"/>
      <c r="L1188" s="60"/>
      <c r="M1188" s="74" t="str">
        <f t="shared" si="147"/>
        <v/>
      </c>
      <c r="N1188" s="74" t="str">
        <f t="shared" si="148"/>
        <v/>
      </c>
      <c r="O1188" s="73" t="str">
        <f t="shared" si="149"/>
        <v/>
      </c>
      <c r="P1188" s="65" t="str">
        <f t="shared" ca="1" si="150"/>
        <v/>
      </c>
      <c r="Q1188" s="2"/>
      <c r="R1188" s="2"/>
      <c r="S1188" s="1" t="str">
        <f t="shared" si="151"/>
        <v/>
      </c>
      <c r="T1188" s="1" t="str">
        <f>IF(OR($C1188="",$D1188&lt;&gt;"Gelir",$L1188=""),"",IFERROR(INDEX(MUSTERILER!$B$7:$B$156,MATCH($S1188,MUSTERILER!$T$7:$T$156,0)),""))</f>
        <v/>
      </c>
      <c r="U1188" s="1" t="str">
        <f>IF($T1188="","",$T1188&amp;"|"&amp;COUNTIFS($T$7:$T1188,$T1188))</f>
        <v/>
      </c>
      <c r="V1188" s="1">
        <f t="shared" si="152"/>
        <v>0</v>
      </c>
      <c r="W1188" s="1" t="str">
        <f t="shared" si="153"/>
        <v/>
      </c>
      <c r="X1188" s="1"/>
      <c r="Y1188" s="1"/>
      <c r="Z1188" s="1"/>
      <c r="AA1188" s="1"/>
      <c r="AB1188" s="1"/>
      <c r="AC1188" s="1"/>
      <c r="AD1188" s="1">
        <f>IF($C1188="",0,SUMPRODUCT((AY_SONU!$O$7:$O$42="Evet")*(AY_SONU!$B$7:$B$42=DATE(YEAR($C1188),MONTH($C1188),1))))</f>
        <v>0</v>
      </c>
      <c r="AE1188" s="1" t="str">
        <f>IF($E1188="","",$E1188&amp;"|"&amp;COUNTIFS($E$7:$E1188,$E1188))</f>
        <v/>
      </c>
    </row>
    <row r="1189" spans="1:31" ht="18" customHeight="1" x14ac:dyDescent="0.3">
      <c r="A1189" s="2"/>
      <c r="B1189" s="65" t="str">
        <f t="shared" si="146"/>
        <v/>
      </c>
      <c r="C1189" s="66"/>
      <c r="D1189" s="60"/>
      <c r="E1189" s="61"/>
      <c r="F1189" s="61"/>
      <c r="G1189" s="67"/>
      <c r="H1189" s="60"/>
      <c r="I1189" s="60"/>
      <c r="J1189" s="61"/>
      <c r="K1189" s="61"/>
      <c r="L1189" s="60"/>
      <c r="M1189" s="74" t="str">
        <f t="shared" si="147"/>
        <v/>
      </c>
      <c r="N1189" s="74" t="str">
        <f t="shared" si="148"/>
        <v/>
      </c>
      <c r="O1189" s="73" t="str">
        <f t="shared" si="149"/>
        <v/>
      </c>
      <c r="P1189" s="65" t="str">
        <f t="shared" ca="1" si="150"/>
        <v/>
      </c>
      <c r="Q1189" s="2"/>
      <c r="R1189" s="2"/>
      <c r="S1189" s="1" t="str">
        <f t="shared" si="151"/>
        <v/>
      </c>
      <c r="T1189" s="1" t="str">
        <f>IF(OR($C1189="",$D1189&lt;&gt;"Gelir",$L1189=""),"",IFERROR(INDEX(MUSTERILER!$B$7:$B$156,MATCH($S1189,MUSTERILER!$T$7:$T$156,0)),""))</f>
        <v/>
      </c>
      <c r="U1189" s="1" t="str">
        <f>IF($T1189="","",$T1189&amp;"|"&amp;COUNTIFS($T$7:$T1189,$T1189))</f>
        <v/>
      </c>
      <c r="V1189" s="1">
        <f t="shared" si="152"/>
        <v>0</v>
      </c>
      <c r="W1189" s="1" t="str">
        <f t="shared" si="153"/>
        <v/>
      </c>
      <c r="X1189" s="1"/>
      <c r="Y1189" s="1"/>
      <c r="Z1189" s="1"/>
      <c r="AA1189" s="1"/>
      <c r="AB1189" s="1"/>
      <c r="AC1189" s="1"/>
      <c r="AD1189" s="1">
        <f>IF($C1189="",0,SUMPRODUCT((AY_SONU!$O$7:$O$42="Evet")*(AY_SONU!$B$7:$B$42=DATE(YEAR($C1189),MONTH($C1189),1))))</f>
        <v>0</v>
      </c>
      <c r="AE1189" s="1" t="str">
        <f>IF($E1189="","",$E1189&amp;"|"&amp;COUNTIFS($E$7:$E1189,$E1189))</f>
        <v/>
      </c>
    </row>
    <row r="1190" spans="1:31" ht="18" customHeight="1" x14ac:dyDescent="0.3">
      <c r="A1190" s="2"/>
      <c r="B1190" s="65" t="str">
        <f t="shared" si="146"/>
        <v/>
      </c>
      <c r="C1190" s="66"/>
      <c r="D1190" s="60"/>
      <c r="E1190" s="61"/>
      <c r="F1190" s="61"/>
      <c r="G1190" s="67"/>
      <c r="H1190" s="60"/>
      <c r="I1190" s="60"/>
      <c r="J1190" s="61"/>
      <c r="K1190" s="61"/>
      <c r="L1190" s="60"/>
      <c r="M1190" s="74" t="str">
        <f t="shared" si="147"/>
        <v/>
      </c>
      <c r="N1190" s="74" t="str">
        <f t="shared" si="148"/>
        <v/>
      </c>
      <c r="O1190" s="73" t="str">
        <f t="shared" si="149"/>
        <v/>
      </c>
      <c r="P1190" s="65" t="str">
        <f t="shared" ca="1" si="150"/>
        <v/>
      </c>
      <c r="Q1190" s="2"/>
      <c r="R1190" s="2"/>
      <c r="S1190" s="1" t="str">
        <f t="shared" si="151"/>
        <v/>
      </c>
      <c r="T1190" s="1" t="str">
        <f>IF(OR($C1190="",$D1190&lt;&gt;"Gelir",$L1190=""),"",IFERROR(INDEX(MUSTERILER!$B$7:$B$156,MATCH($S1190,MUSTERILER!$T$7:$T$156,0)),""))</f>
        <v/>
      </c>
      <c r="U1190" s="1" t="str">
        <f>IF($T1190="","",$T1190&amp;"|"&amp;COUNTIFS($T$7:$T1190,$T1190))</f>
        <v/>
      </c>
      <c r="V1190" s="1">
        <f t="shared" si="152"/>
        <v>0</v>
      </c>
      <c r="W1190" s="1" t="str">
        <f t="shared" si="153"/>
        <v/>
      </c>
      <c r="X1190" s="1"/>
      <c r="Y1190" s="1"/>
      <c r="Z1190" s="1"/>
      <c r="AA1190" s="1"/>
      <c r="AB1190" s="1"/>
      <c r="AC1190" s="1"/>
      <c r="AD1190" s="1">
        <f>IF($C1190="",0,SUMPRODUCT((AY_SONU!$O$7:$O$42="Evet")*(AY_SONU!$B$7:$B$42=DATE(YEAR($C1190),MONTH($C1190),1))))</f>
        <v>0</v>
      </c>
      <c r="AE1190" s="1" t="str">
        <f>IF($E1190="","",$E1190&amp;"|"&amp;COUNTIFS($E$7:$E1190,$E1190))</f>
        <v/>
      </c>
    </row>
    <row r="1191" spans="1:31" ht="18" customHeight="1" x14ac:dyDescent="0.3">
      <c r="A1191" s="2"/>
      <c r="B1191" s="65" t="str">
        <f t="shared" si="146"/>
        <v/>
      </c>
      <c r="C1191" s="66"/>
      <c r="D1191" s="60"/>
      <c r="E1191" s="61"/>
      <c r="F1191" s="61"/>
      <c r="G1191" s="67"/>
      <c r="H1191" s="60"/>
      <c r="I1191" s="60"/>
      <c r="J1191" s="61"/>
      <c r="K1191" s="61"/>
      <c r="L1191" s="60"/>
      <c r="M1191" s="74" t="str">
        <f t="shared" si="147"/>
        <v/>
      </c>
      <c r="N1191" s="74" t="str">
        <f t="shared" si="148"/>
        <v/>
      </c>
      <c r="O1191" s="73" t="str">
        <f t="shared" si="149"/>
        <v/>
      </c>
      <c r="P1191" s="65" t="str">
        <f t="shared" ca="1" si="150"/>
        <v/>
      </c>
      <c r="Q1191" s="2"/>
      <c r="R1191" s="2"/>
      <c r="S1191" s="1" t="str">
        <f t="shared" si="151"/>
        <v/>
      </c>
      <c r="T1191" s="1" t="str">
        <f>IF(OR($C1191="",$D1191&lt;&gt;"Gelir",$L1191=""),"",IFERROR(INDEX(MUSTERILER!$B$7:$B$156,MATCH($S1191,MUSTERILER!$T$7:$T$156,0)),""))</f>
        <v/>
      </c>
      <c r="U1191" s="1" t="str">
        <f>IF($T1191="","",$T1191&amp;"|"&amp;COUNTIFS($T$7:$T1191,$T1191))</f>
        <v/>
      </c>
      <c r="V1191" s="1">
        <f t="shared" si="152"/>
        <v>0</v>
      </c>
      <c r="W1191" s="1" t="str">
        <f t="shared" si="153"/>
        <v/>
      </c>
      <c r="X1191" s="1"/>
      <c r="Y1191" s="1"/>
      <c r="Z1191" s="1"/>
      <c r="AA1191" s="1"/>
      <c r="AB1191" s="1"/>
      <c r="AC1191" s="1"/>
      <c r="AD1191" s="1">
        <f>IF($C1191="",0,SUMPRODUCT((AY_SONU!$O$7:$O$42="Evet")*(AY_SONU!$B$7:$B$42=DATE(YEAR($C1191),MONTH($C1191),1))))</f>
        <v>0</v>
      </c>
      <c r="AE1191" s="1" t="str">
        <f>IF($E1191="","",$E1191&amp;"|"&amp;COUNTIFS($E$7:$E1191,$E1191))</f>
        <v/>
      </c>
    </row>
    <row r="1192" spans="1:31" ht="18" customHeight="1" x14ac:dyDescent="0.3">
      <c r="A1192" s="2"/>
      <c r="B1192" s="65" t="str">
        <f t="shared" si="146"/>
        <v/>
      </c>
      <c r="C1192" s="66"/>
      <c r="D1192" s="60"/>
      <c r="E1192" s="61"/>
      <c r="F1192" s="61"/>
      <c r="G1192" s="67"/>
      <c r="H1192" s="60"/>
      <c r="I1192" s="60"/>
      <c r="J1192" s="61"/>
      <c r="K1192" s="61"/>
      <c r="L1192" s="60"/>
      <c r="M1192" s="74" t="str">
        <f t="shared" si="147"/>
        <v/>
      </c>
      <c r="N1192" s="74" t="str">
        <f t="shared" si="148"/>
        <v/>
      </c>
      <c r="O1192" s="73" t="str">
        <f t="shared" si="149"/>
        <v/>
      </c>
      <c r="P1192" s="65" t="str">
        <f t="shared" ca="1" si="150"/>
        <v/>
      </c>
      <c r="Q1192" s="2"/>
      <c r="R1192" s="2"/>
      <c r="S1192" s="1" t="str">
        <f t="shared" si="151"/>
        <v/>
      </c>
      <c r="T1192" s="1" t="str">
        <f>IF(OR($C1192="",$D1192&lt;&gt;"Gelir",$L1192=""),"",IFERROR(INDEX(MUSTERILER!$B$7:$B$156,MATCH($S1192,MUSTERILER!$T$7:$T$156,0)),""))</f>
        <v/>
      </c>
      <c r="U1192" s="1" t="str">
        <f>IF($T1192="","",$T1192&amp;"|"&amp;COUNTIFS($T$7:$T1192,$T1192))</f>
        <v/>
      </c>
      <c r="V1192" s="1">
        <f t="shared" si="152"/>
        <v>0</v>
      </c>
      <c r="W1192" s="1" t="str">
        <f t="shared" si="153"/>
        <v/>
      </c>
      <c r="X1192" s="1"/>
      <c r="Y1192" s="1"/>
      <c r="Z1192" s="1"/>
      <c r="AA1192" s="1"/>
      <c r="AB1192" s="1"/>
      <c r="AC1192" s="1"/>
      <c r="AD1192" s="1">
        <f>IF($C1192="",0,SUMPRODUCT((AY_SONU!$O$7:$O$42="Evet")*(AY_SONU!$B$7:$B$42=DATE(YEAR($C1192),MONTH($C1192),1))))</f>
        <v>0</v>
      </c>
      <c r="AE1192" s="1" t="str">
        <f>IF($E1192="","",$E1192&amp;"|"&amp;COUNTIFS($E$7:$E1192,$E1192))</f>
        <v/>
      </c>
    </row>
    <row r="1193" spans="1:31" ht="18" customHeight="1" x14ac:dyDescent="0.3">
      <c r="A1193" s="2"/>
      <c r="B1193" s="65" t="str">
        <f t="shared" si="146"/>
        <v/>
      </c>
      <c r="C1193" s="66"/>
      <c r="D1193" s="60"/>
      <c r="E1193" s="61"/>
      <c r="F1193" s="61"/>
      <c r="G1193" s="67"/>
      <c r="H1193" s="60"/>
      <c r="I1193" s="60"/>
      <c r="J1193" s="61"/>
      <c r="K1193" s="61"/>
      <c r="L1193" s="60"/>
      <c r="M1193" s="74" t="str">
        <f t="shared" si="147"/>
        <v/>
      </c>
      <c r="N1193" s="74" t="str">
        <f t="shared" si="148"/>
        <v/>
      </c>
      <c r="O1193" s="73" t="str">
        <f t="shared" si="149"/>
        <v/>
      </c>
      <c r="P1193" s="65" t="str">
        <f t="shared" ca="1" si="150"/>
        <v/>
      </c>
      <c r="Q1193" s="2"/>
      <c r="R1193" s="2"/>
      <c r="S1193" s="1" t="str">
        <f t="shared" si="151"/>
        <v/>
      </c>
      <c r="T1193" s="1" t="str">
        <f>IF(OR($C1193="",$D1193&lt;&gt;"Gelir",$L1193=""),"",IFERROR(INDEX(MUSTERILER!$B$7:$B$156,MATCH($S1193,MUSTERILER!$T$7:$T$156,0)),""))</f>
        <v/>
      </c>
      <c r="U1193" s="1" t="str">
        <f>IF($T1193="","",$T1193&amp;"|"&amp;COUNTIFS($T$7:$T1193,$T1193))</f>
        <v/>
      </c>
      <c r="V1193" s="1">
        <f t="shared" si="152"/>
        <v>0</v>
      </c>
      <c r="W1193" s="1" t="str">
        <f t="shared" si="153"/>
        <v/>
      </c>
      <c r="X1193" s="1"/>
      <c r="Y1193" s="1"/>
      <c r="Z1193" s="1"/>
      <c r="AA1193" s="1"/>
      <c r="AB1193" s="1"/>
      <c r="AC1193" s="1"/>
      <c r="AD1193" s="1">
        <f>IF($C1193="",0,SUMPRODUCT((AY_SONU!$O$7:$O$42="Evet")*(AY_SONU!$B$7:$B$42=DATE(YEAR($C1193),MONTH($C1193),1))))</f>
        <v>0</v>
      </c>
      <c r="AE1193" s="1" t="str">
        <f>IF($E1193="","",$E1193&amp;"|"&amp;COUNTIFS($E$7:$E1193,$E1193))</f>
        <v/>
      </c>
    </row>
    <row r="1194" spans="1:31" ht="18" customHeight="1" x14ac:dyDescent="0.3">
      <c r="A1194" s="2"/>
      <c r="B1194" s="65" t="str">
        <f t="shared" si="146"/>
        <v/>
      </c>
      <c r="C1194" s="66"/>
      <c r="D1194" s="60"/>
      <c r="E1194" s="61"/>
      <c r="F1194" s="61"/>
      <c r="G1194" s="67"/>
      <c r="H1194" s="60"/>
      <c r="I1194" s="60"/>
      <c r="J1194" s="61"/>
      <c r="K1194" s="61"/>
      <c r="L1194" s="60"/>
      <c r="M1194" s="74" t="str">
        <f t="shared" si="147"/>
        <v/>
      </c>
      <c r="N1194" s="74" t="str">
        <f t="shared" si="148"/>
        <v/>
      </c>
      <c r="O1194" s="73" t="str">
        <f t="shared" si="149"/>
        <v/>
      </c>
      <c r="P1194" s="65" t="str">
        <f t="shared" ca="1" si="150"/>
        <v/>
      </c>
      <c r="Q1194" s="2"/>
      <c r="R1194" s="2"/>
      <c r="S1194" s="1" t="str">
        <f t="shared" si="151"/>
        <v/>
      </c>
      <c r="T1194" s="1" t="str">
        <f>IF(OR($C1194="",$D1194&lt;&gt;"Gelir",$L1194=""),"",IFERROR(INDEX(MUSTERILER!$B$7:$B$156,MATCH($S1194,MUSTERILER!$T$7:$T$156,0)),""))</f>
        <v/>
      </c>
      <c r="U1194" s="1" t="str">
        <f>IF($T1194="","",$T1194&amp;"|"&amp;COUNTIFS($T$7:$T1194,$T1194))</f>
        <v/>
      </c>
      <c r="V1194" s="1">
        <f t="shared" si="152"/>
        <v>0</v>
      </c>
      <c r="W1194" s="1" t="str">
        <f t="shared" si="153"/>
        <v/>
      </c>
      <c r="X1194" s="1"/>
      <c r="Y1194" s="1"/>
      <c r="Z1194" s="1"/>
      <c r="AA1194" s="1"/>
      <c r="AB1194" s="1"/>
      <c r="AC1194" s="1"/>
      <c r="AD1194" s="1">
        <f>IF($C1194="",0,SUMPRODUCT((AY_SONU!$O$7:$O$42="Evet")*(AY_SONU!$B$7:$B$42=DATE(YEAR($C1194),MONTH($C1194),1))))</f>
        <v>0</v>
      </c>
      <c r="AE1194" s="1" t="str">
        <f>IF($E1194="","",$E1194&amp;"|"&amp;COUNTIFS($E$7:$E1194,$E1194))</f>
        <v/>
      </c>
    </row>
    <row r="1195" spans="1:31" ht="18" customHeight="1" x14ac:dyDescent="0.3">
      <c r="A1195" s="2"/>
      <c r="B1195" s="65" t="str">
        <f t="shared" si="146"/>
        <v/>
      </c>
      <c r="C1195" s="66"/>
      <c r="D1195" s="60"/>
      <c r="E1195" s="61"/>
      <c r="F1195" s="61"/>
      <c r="G1195" s="67"/>
      <c r="H1195" s="60"/>
      <c r="I1195" s="60"/>
      <c r="J1195" s="61"/>
      <c r="K1195" s="61"/>
      <c r="L1195" s="60"/>
      <c r="M1195" s="74" t="str">
        <f t="shared" si="147"/>
        <v/>
      </c>
      <c r="N1195" s="74" t="str">
        <f t="shared" si="148"/>
        <v/>
      </c>
      <c r="O1195" s="73" t="str">
        <f t="shared" si="149"/>
        <v/>
      </c>
      <c r="P1195" s="65" t="str">
        <f t="shared" ca="1" si="150"/>
        <v/>
      </c>
      <c r="Q1195" s="2"/>
      <c r="R1195" s="2"/>
      <c r="S1195" s="1" t="str">
        <f t="shared" si="151"/>
        <v/>
      </c>
      <c r="T1195" s="1" t="str">
        <f>IF(OR($C1195="",$D1195&lt;&gt;"Gelir",$L1195=""),"",IFERROR(INDEX(MUSTERILER!$B$7:$B$156,MATCH($S1195,MUSTERILER!$T$7:$T$156,0)),""))</f>
        <v/>
      </c>
      <c r="U1195" s="1" t="str">
        <f>IF($T1195="","",$T1195&amp;"|"&amp;COUNTIFS($T$7:$T1195,$T1195))</f>
        <v/>
      </c>
      <c r="V1195" s="1">
        <f t="shared" si="152"/>
        <v>0</v>
      </c>
      <c r="W1195" s="1" t="str">
        <f t="shared" si="153"/>
        <v/>
      </c>
      <c r="X1195" s="1"/>
      <c r="Y1195" s="1"/>
      <c r="Z1195" s="1"/>
      <c r="AA1195" s="1"/>
      <c r="AB1195" s="1"/>
      <c r="AC1195" s="1"/>
      <c r="AD1195" s="1">
        <f>IF($C1195="",0,SUMPRODUCT((AY_SONU!$O$7:$O$42="Evet")*(AY_SONU!$B$7:$B$42=DATE(YEAR($C1195),MONTH($C1195),1))))</f>
        <v>0</v>
      </c>
      <c r="AE1195" s="1" t="str">
        <f>IF($E1195="","",$E1195&amp;"|"&amp;COUNTIFS($E$7:$E1195,$E1195))</f>
        <v/>
      </c>
    </row>
    <row r="1196" spans="1:31" ht="18" customHeight="1" x14ac:dyDescent="0.3">
      <c r="A1196" s="2"/>
      <c r="B1196" s="65" t="str">
        <f t="shared" si="146"/>
        <v/>
      </c>
      <c r="C1196" s="66"/>
      <c r="D1196" s="60"/>
      <c r="E1196" s="61"/>
      <c r="F1196" s="61"/>
      <c r="G1196" s="67"/>
      <c r="H1196" s="60"/>
      <c r="I1196" s="60"/>
      <c r="J1196" s="61"/>
      <c r="K1196" s="61"/>
      <c r="L1196" s="60"/>
      <c r="M1196" s="74" t="str">
        <f t="shared" si="147"/>
        <v/>
      </c>
      <c r="N1196" s="74" t="str">
        <f t="shared" si="148"/>
        <v/>
      </c>
      <c r="O1196" s="73" t="str">
        <f t="shared" si="149"/>
        <v/>
      </c>
      <c r="P1196" s="65" t="str">
        <f t="shared" ca="1" si="150"/>
        <v/>
      </c>
      <c r="Q1196" s="2"/>
      <c r="R1196" s="2"/>
      <c r="S1196" s="1" t="str">
        <f t="shared" si="151"/>
        <v/>
      </c>
      <c r="T1196" s="1" t="str">
        <f>IF(OR($C1196="",$D1196&lt;&gt;"Gelir",$L1196=""),"",IFERROR(INDEX(MUSTERILER!$B$7:$B$156,MATCH($S1196,MUSTERILER!$T$7:$T$156,0)),""))</f>
        <v/>
      </c>
      <c r="U1196" s="1" t="str">
        <f>IF($T1196="","",$T1196&amp;"|"&amp;COUNTIFS($T$7:$T1196,$T1196))</f>
        <v/>
      </c>
      <c r="V1196" s="1">
        <f t="shared" si="152"/>
        <v>0</v>
      </c>
      <c r="W1196" s="1" t="str">
        <f t="shared" si="153"/>
        <v/>
      </c>
      <c r="X1196" s="1"/>
      <c r="Y1196" s="1"/>
      <c r="Z1196" s="1"/>
      <c r="AA1196" s="1"/>
      <c r="AB1196" s="1"/>
      <c r="AC1196" s="1"/>
      <c r="AD1196" s="1">
        <f>IF($C1196="",0,SUMPRODUCT((AY_SONU!$O$7:$O$42="Evet")*(AY_SONU!$B$7:$B$42=DATE(YEAR($C1196),MONTH($C1196),1))))</f>
        <v>0</v>
      </c>
      <c r="AE1196" s="1" t="str">
        <f>IF($E1196="","",$E1196&amp;"|"&amp;COUNTIFS($E$7:$E1196,$E1196))</f>
        <v/>
      </c>
    </row>
    <row r="1197" spans="1:31" ht="18" customHeight="1" x14ac:dyDescent="0.3">
      <c r="A1197" s="2"/>
      <c r="B1197" s="65" t="str">
        <f t="shared" si="146"/>
        <v/>
      </c>
      <c r="C1197" s="66"/>
      <c r="D1197" s="60"/>
      <c r="E1197" s="61"/>
      <c r="F1197" s="61"/>
      <c r="G1197" s="67"/>
      <c r="H1197" s="60"/>
      <c r="I1197" s="60"/>
      <c r="J1197" s="61"/>
      <c r="K1197" s="61"/>
      <c r="L1197" s="60"/>
      <c r="M1197" s="74" t="str">
        <f t="shared" si="147"/>
        <v/>
      </c>
      <c r="N1197" s="74" t="str">
        <f t="shared" si="148"/>
        <v/>
      </c>
      <c r="O1197" s="73" t="str">
        <f t="shared" si="149"/>
        <v/>
      </c>
      <c r="P1197" s="65" t="str">
        <f t="shared" ca="1" si="150"/>
        <v/>
      </c>
      <c r="Q1197" s="2"/>
      <c r="R1197" s="2"/>
      <c r="S1197" s="1" t="str">
        <f t="shared" si="151"/>
        <v/>
      </c>
      <c r="T1197" s="1" t="str">
        <f>IF(OR($C1197="",$D1197&lt;&gt;"Gelir",$L1197=""),"",IFERROR(INDEX(MUSTERILER!$B$7:$B$156,MATCH($S1197,MUSTERILER!$T$7:$T$156,0)),""))</f>
        <v/>
      </c>
      <c r="U1197" s="1" t="str">
        <f>IF($T1197="","",$T1197&amp;"|"&amp;COUNTIFS($T$7:$T1197,$T1197))</f>
        <v/>
      </c>
      <c r="V1197" s="1">
        <f t="shared" si="152"/>
        <v>0</v>
      </c>
      <c r="W1197" s="1" t="str">
        <f t="shared" si="153"/>
        <v/>
      </c>
      <c r="X1197" s="1"/>
      <c r="Y1197" s="1"/>
      <c r="Z1197" s="1"/>
      <c r="AA1197" s="1"/>
      <c r="AB1197" s="1"/>
      <c r="AC1197" s="1"/>
      <c r="AD1197" s="1">
        <f>IF($C1197="",0,SUMPRODUCT((AY_SONU!$O$7:$O$42="Evet")*(AY_SONU!$B$7:$B$42=DATE(YEAR($C1197),MONTH($C1197),1))))</f>
        <v>0</v>
      </c>
      <c r="AE1197" s="1" t="str">
        <f>IF($E1197="","",$E1197&amp;"|"&amp;COUNTIFS($E$7:$E1197,$E1197))</f>
        <v/>
      </c>
    </row>
    <row r="1198" spans="1:31" ht="18" customHeight="1" x14ac:dyDescent="0.3">
      <c r="A1198" s="2"/>
      <c r="B1198" s="65" t="str">
        <f t="shared" si="146"/>
        <v/>
      </c>
      <c r="C1198" s="66"/>
      <c r="D1198" s="60"/>
      <c r="E1198" s="61"/>
      <c r="F1198" s="61"/>
      <c r="G1198" s="67"/>
      <c r="H1198" s="60"/>
      <c r="I1198" s="60"/>
      <c r="J1198" s="61"/>
      <c r="K1198" s="61"/>
      <c r="L1198" s="60"/>
      <c r="M1198" s="74" t="str">
        <f t="shared" si="147"/>
        <v/>
      </c>
      <c r="N1198" s="74" t="str">
        <f t="shared" si="148"/>
        <v/>
      </c>
      <c r="O1198" s="73" t="str">
        <f t="shared" si="149"/>
        <v/>
      </c>
      <c r="P1198" s="65" t="str">
        <f t="shared" ca="1" si="150"/>
        <v/>
      </c>
      <c r="Q1198" s="2"/>
      <c r="R1198" s="2"/>
      <c r="S1198" s="1" t="str">
        <f t="shared" si="151"/>
        <v/>
      </c>
      <c r="T1198" s="1" t="str">
        <f>IF(OR($C1198="",$D1198&lt;&gt;"Gelir",$L1198=""),"",IFERROR(INDEX(MUSTERILER!$B$7:$B$156,MATCH($S1198,MUSTERILER!$T$7:$T$156,0)),""))</f>
        <v/>
      </c>
      <c r="U1198" s="1" t="str">
        <f>IF($T1198="","",$T1198&amp;"|"&amp;COUNTIFS($T$7:$T1198,$T1198))</f>
        <v/>
      </c>
      <c r="V1198" s="1">
        <f t="shared" si="152"/>
        <v>0</v>
      </c>
      <c r="W1198" s="1" t="str">
        <f t="shared" si="153"/>
        <v/>
      </c>
      <c r="X1198" s="1"/>
      <c r="Y1198" s="1"/>
      <c r="Z1198" s="1"/>
      <c r="AA1198" s="1"/>
      <c r="AB1198" s="1"/>
      <c r="AC1198" s="1"/>
      <c r="AD1198" s="1">
        <f>IF($C1198="",0,SUMPRODUCT((AY_SONU!$O$7:$O$42="Evet")*(AY_SONU!$B$7:$B$42=DATE(YEAR($C1198),MONTH($C1198),1))))</f>
        <v>0</v>
      </c>
      <c r="AE1198" s="1" t="str">
        <f>IF($E1198="","",$E1198&amp;"|"&amp;COUNTIFS($E$7:$E1198,$E1198))</f>
        <v/>
      </c>
    </row>
    <row r="1199" spans="1:31" ht="18" customHeight="1" x14ac:dyDescent="0.3">
      <c r="A1199" s="2"/>
      <c r="B1199" s="65" t="str">
        <f t="shared" si="146"/>
        <v/>
      </c>
      <c r="C1199" s="66"/>
      <c r="D1199" s="60"/>
      <c r="E1199" s="61"/>
      <c r="F1199" s="61"/>
      <c r="G1199" s="67"/>
      <c r="H1199" s="60"/>
      <c r="I1199" s="60"/>
      <c r="J1199" s="61"/>
      <c r="K1199" s="61"/>
      <c r="L1199" s="60"/>
      <c r="M1199" s="74" t="str">
        <f t="shared" si="147"/>
        <v/>
      </c>
      <c r="N1199" s="74" t="str">
        <f t="shared" si="148"/>
        <v/>
      </c>
      <c r="O1199" s="73" t="str">
        <f t="shared" si="149"/>
        <v/>
      </c>
      <c r="P1199" s="65" t="str">
        <f t="shared" ca="1" si="150"/>
        <v/>
      </c>
      <c r="Q1199" s="2"/>
      <c r="R1199" s="2"/>
      <c r="S1199" s="1" t="str">
        <f t="shared" si="151"/>
        <v/>
      </c>
      <c r="T1199" s="1" t="str">
        <f>IF(OR($C1199="",$D1199&lt;&gt;"Gelir",$L1199=""),"",IFERROR(INDEX(MUSTERILER!$B$7:$B$156,MATCH($S1199,MUSTERILER!$T$7:$T$156,0)),""))</f>
        <v/>
      </c>
      <c r="U1199" s="1" t="str">
        <f>IF($T1199="","",$T1199&amp;"|"&amp;COUNTIFS($T$7:$T1199,$T1199))</f>
        <v/>
      </c>
      <c r="V1199" s="1">
        <f t="shared" si="152"/>
        <v>0</v>
      </c>
      <c r="W1199" s="1" t="str">
        <f t="shared" si="153"/>
        <v/>
      </c>
      <c r="X1199" s="1"/>
      <c r="Y1199" s="1"/>
      <c r="Z1199" s="1"/>
      <c r="AA1199" s="1"/>
      <c r="AB1199" s="1"/>
      <c r="AC1199" s="1"/>
      <c r="AD1199" s="1">
        <f>IF($C1199="",0,SUMPRODUCT((AY_SONU!$O$7:$O$42="Evet")*(AY_SONU!$B$7:$B$42=DATE(YEAR($C1199),MONTH($C1199),1))))</f>
        <v>0</v>
      </c>
      <c r="AE1199" s="1" t="str">
        <f>IF($E1199="","",$E1199&amp;"|"&amp;COUNTIFS($E$7:$E1199,$E1199))</f>
        <v/>
      </c>
    </row>
    <row r="1200" spans="1:31" ht="18" customHeight="1" x14ac:dyDescent="0.3">
      <c r="A1200" s="2"/>
      <c r="B1200" s="65" t="str">
        <f t="shared" si="146"/>
        <v/>
      </c>
      <c r="C1200" s="66"/>
      <c r="D1200" s="60"/>
      <c r="E1200" s="61"/>
      <c r="F1200" s="61"/>
      <c r="G1200" s="67"/>
      <c r="H1200" s="60"/>
      <c r="I1200" s="60"/>
      <c r="J1200" s="61"/>
      <c r="K1200" s="61"/>
      <c r="L1200" s="60"/>
      <c r="M1200" s="74" t="str">
        <f t="shared" si="147"/>
        <v/>
      </c>
      <c r="N1200" s="74" t="str">
        <f t="shared" si="148"/>
        <v/>
      </c>
      <c r="O1200" s="73" t="str">
        <f t="shared" si="149"/>
        <v/>
      </c>
      <c r="P1200" s="65" t="str">
        <f t="shared" ca="1" si="150"/>
        <v/>
      </c>
      <c r="Q1200" s="2"/>
      <c r="R1200" s="2"/>
      <c r="S1200" s="1" t="str">
        <f t="shared" si="151"/>
        <v/>
      </c>
      <c r="T1200" s="1" t="str">
        <f>IF(OR($C1200="",$D1200&lt;&gt;"Gelir",$L1200=""),"",IFERROR(INDEX(MUSTERILER!$B$7:$B$156,MATCH($S1200,MUSTERILER!$T$7:$T$156,0)),""))</f>
        <v/>
      </c>
      <c r="U1200" s="1" t="str">
        <f>IF($T1200="","",$T1200&amp;"|"&amp;COUNTIFS($T$7:$T1200,$T1200))</f>
        <v/>
      </c>
      <c r="V1200" s="1">
        <f t="shared" si="152"/>
        <v>0</v>
      </c>
      <c r="W1200" s="1" t="str">
        <f t="shared" si="153"/>
        <v/>
      </c>
      <c r="X1200" s="1"/>
      <c r="Y1200" s="1"/>
      <c r="Z1200" s="1"/>
      <c r="AA1200" s="1"/>
      <c r="AB1200" s="1"/>
      <c r="AC1200" s="1"/>
      <c r="AD1200" s="1">
        <f>IF($C1200="",0,SUMPRODUCT((AY_SONU!$O$7:$O$42="Evet")*(AY_SONU!$B$7:$B$42=DATE(YEAR($C1200),MONTH($C1200),1))))</f>
        <v>0</v>
      </c>
      <c r="AE1200" s="1" t="str">
        <f>IF($E1200="","",$E1200&amp;"|"&amp;COUNTIFS($E$7:$E1200,$E1200))</f>
        <v/>
      </c>
    </row>
    <row r="1201" spans="1:31" ht="18" customHeight="1" x14ac:dyDescent="0.3">
      <c r="A1201" s="2"/>
      <c r="B1201" s="65" t="str">
        <f t="shared" si="146"/>
        <v/>
      </c>
      <c r="C1201" s="66"/>
      <c r="D1201" s="60"/>
      <c r="E1201" s="61"/>
      <c r="F1201" s="61"/>
      <c r="G1201" s="67"/>
      <c r="H1201" s="60"/>
      <c r="I1201" s="60"/>
      <c r="J1201" s="61"/>
      <c r="K1201" s="61"/>
      <c r="L1201" s="60"/>
      <c r="M1201" s="74" t="str">
        <f t="shared" si="147"/>
        <v/>
      </c>
      <c r="N1201" s="74" t="str">
        <f t="shared" si="148"/>
        <v/>
      </c>
      <c r="O1201" s="73" t="str">
        <f t="shared" si="149"/>
        <v/>
      </c>
      <c r="P1201" s="65" t="str">
        <f t="shared" ca="1" si="150"/>
        <v/>
      </c>
      <c r="Q1201" s="2"/>
      <c r="R1201" s="2"/>
      <c r="S1201" s="1" t="str">
        <f t="shared" si="151"/>
        <v/>
      </c>
      <c r="T1201" s="1" t="str">
        <f>IF(OR($C1201="",$D1201&lt;&gt;"Gelir",$L1201=""),"",IFERROR(INDEX(MUSTERILER!$B$7:$B$156,MATCH($S1201,MUSTERILER!$T$7:$T$156,0)),""))</f>
        <v/>
      </c>
      <c r="U1201" s="1" t="str">
        <f>IF($T1201="","",$T1201&amp;"|"&amp;COUNTIFS($T$7:$T1201,$T1201))</f>
        <v/>
      </c>
      <c r="V1201" s="1">
        <f t="shared" si="152"/>
        <v>0</v>
      </c>
      <c r="W1201" s="1" t="str">
        <f t="shared" si="153"/>
        <v/>
      </c>
      <c r="X1201" s="1"/>
      <c r="Y1201" s="1"/>
      <c r="Z1201" s="1"/>
      <c r="AA1201" s="1"/>
      <c r="AB1201" s="1"/>
      <c r="AC1201" s="1"/>
      <c r="AD1201" s="1">
        <f>IF($C1201="",0,SUMPRODUCT((AY_SONU!$O$7:$O$42="Evet")*(AY_SONU!$B$7:$B$42=DATE(YEAR($C1201),MONTH($C1201),1))))</f>
        <v>0</v>
      </c>
      <c r="AE1201" s="1" t="str">
        <f>IF($E1201="","",$E1201&amp;"|"&amp;COUNTIFS($E$7:$E1201,$E1201))</f>
        <v/>
      </c>
    </row>
    <row r="1202" spans="1:31" ht="18" customHeight="1" x14ac:dyDescent="0.3">
      <c r="A1202" s="2"/>
      <c r="B1202" s="65" t="str">
        <f t="shared" si="146"/>
        <v/>
      </c>
      <c r="C1202" s="66"/>
      <c r="D1202" s="60"/>
      <c r="E1202" s="61"/>
      <c r="F1202" s="61"/>
      <c r="G1202" s="67"/>
      <c r="H1202" s="60"/>
      <c r="I1202" s="60"/>
      <c r="J1202" s="61"/>
      <c r="K1202" s="61"/>
      <c r="L1202" s="60"/>
      <c r="M1202" s="74" t="str">
        <f t="shared" si="147"/>
        <v/>
      </c>
      <c r="N1202" s="74" t="str">
        <f t="shared" si="148"/>
        <v/>
      </c>
      <c r="O1202" s="73" t="str">
        <f t="shared" si="149"/>
        <v/>
      </c>
      <c r="P1202" s="65" t="str">
        <f t="shared" ca="1" si="150"/>
        <v/>
      </c>
      <c r="Q1202" s="2"/>
      <c r="R1202" s="2"/>
      <c r="S1202" s="1" t="str">
        <f t="shared" si="151"/>
        <v/>
      </c>
      <c r="T1202" s="1" t="str">
        <f>IF(OR($C1202="",$D1202&lt;&gt;"Gelir",$L1202=""),"",IFERROR(INDEX(MUSTERILER!$B$7:$B$156,MATCH($S1202,MUSTERILER!$T$7:$T$156,0)),""))</f>
        <v/>
      </c>
      <c r="U1202" s="1" t="str">
        <f>IF($T1202="","",$T1202&amp;"|"&amp;COUNTIFS($T$7:$T1202,$T1202))</f>
        <v/>
      </c>
      <c r="V1202" s="1">
        <f t="shared" si="152"/>
        <v>0</v>
      </c>
      <c r="W1202" s="1" t="str">
        <f t="shared" si="153"/>
        <v/>
      </c>
      <c r="X1202" s="1"/>
      <c r="Y1202" s="1"/>
      <c r="Z1202" s="1"/>
      <c r="AA1202" s="1"/>
      <c r="AB1202" s="1"/>
      <c r="AC1202" s="1"/>
      <c r="AD1202" s="1">
        <f>IF($C1202="",0,SUMPRODUCT((AY_SONU!$O$7:$O$42="Evet")*(AY_SONU!$B$7:$B$42=DATE(YEAR($C1202),MONTH($C1202),1))))</f>
        <v>0</v>
      </c>
      <c r="AE1202" s="1" t="str">
        <f>IF($E1202="","",$E1202&amp;"|"&amp;COUNTIFS($E$7:$E1202,$E1202))</f>
        <v/>
      </c>
    </row>
    <row r="1203" spans="1:31" ht="18" customHeight="1" x14ac:dyDescent="0.3">
      <c r="A1203" s="2"/>
      <c r="B1203" s="65" t="str">
        <f t="shared" si="146"/>
        <v/>
      </c>
      <c r="C1203" s="66"/>
      <c r="D1203" s="60"/>
      <c r="E1203" s="61"/>
      <c r="F1203" s="61"/>
      <c r="G1203" s="67"/>
      <c r="H1203" s="60"/>
      <c r="I1203" s="60"/>
      <c r="J1203" s="61"/>
      <c r="K1203" s="61"/>
      <c r="L1203" s="60"/>
      <c r="M1203" s="74" t="str">
        <f t="shared" si="147"/>
        <v/>
      </c>
      <c r="N1203" s="74" t="str">
        <f t="shared" si="148"/>
        <v/>
      </c>
      <c r="O1203" s="73" t="str">
        <f t="shared" si="149"/>
        <v/>
      </c>
      <c r="P1203" s="65" t="str">
        <f t="shared" ca="1" si="150"/>
        <v/>
      </c>
      <c r="Q1203" s="2"/>
      <c r="R1203" s="2"/>
      <c r="S1203" s="1" t="str">
        <f t="shared" si="151"/>
        <v/>
      </c>
      <c r="T1203" s="1" t="str">
        <f>IF(OR($C1203="",$D1203&lt;&gt;"Gelir",$L1203=""),"",IFERROR(INDEX(MUSTERILER!$B$7:$B$156,MATCH($S1203,MUSTERILER!$T$7:$T$156,0)),""))</f>
        <v/>
      </c>
      <c r="U1203" s="1" t="str">
        <f>IF($T1203="","",$T1203&amp;"|"&amp;COUNTIFS($T$7:$T1203,$T1203))</f>
        <v/>
      </c>
      <c r="V1203" s="1">
        <f t="shared" si="152"/>
        <v>0</v>
      </c>
      <c r="W1203" s="1" t="str">
        <f t="shared" si="153"/>
        <v/>
      </c>
      <c r="X1203" s="1"/>
      <c r="Y1203" s="1"/>
      <c r="Z1203" s="1"/>
      <c r="AA1203" s="1"/>
      <c r="AB1203" s="1"/>
      <c r="AC1203" s="1"/>
      <c r="AD1203" s="1">
        <f>IF($C1203="",0,SUMPRODUCT((AY_SONU!$O$7:$O$42="Evet")*(AY_SONU!$B$7:$B$42=DATE(YEAR($C1203),MONTH($C1203),1))))</f>
        <v>0</v>
      </c>
      <c r="AE1203" s="1" t="str">
        <f>IF($E1203="","",$E1203&amp;"|"&amp;COUNTIFS($E$7:$E1203,$E1203))</f>
        <v/>
      </c>
    </row>
    <row r="1204" spans="1:31" ht="18" customHeight="1" x14ac:dyDescent="0.3">
      <c r="A1204" s="2"/>
      <c r="B1204" s="65" t="str">
        <f t="shared" si="146"/>
        <v/>
      </c>
      <c r="C1204" s="66"/>
      <c r="D1204" s="60"/>
      <c r="E1204" s="61"/>
      <c r="F1204" s="61"/>
      <c r="G1204" s="67"/>
      <c r="H1204" s="60"/>
      <c r="I1204" s="60"/>
      <c r="J1204" s="61"/>
      <c r="K1204" s="61"/>
      <c r="L1204" s="60"/>
      <c r="M1204" s="74" t="str">
        <f t="shared" si="147"/>
        <v/>
      </c>
      <c r="N1204" s="74" t="str">
        <f t="shared" si="148"/>
        <v/>
      </c>
      <c r="O1204" s="73" t="str">
        <f t="shared" si="149"/>
        <v/>
      </c>
      <c r="P1204" s="65" t="str">
        <f t="shared" ca="1" si="150"/>
        <v/>
      </c>
      <c r="Q1204" s="2"/>
      <c r="R1204" s="2"/>
      <c r="S1204" s="1" t="str">
        <f t="shared" si="151"/>
        <v/>
      </c>
      <c r="T1204" s="1" t="str">
        <f>IF(OR($C1204="",$D1204&lt;&gt;"Gelir",$L1204=""),"",IFERROR(INDEX(MUSTERILER!$B$7:$B$156,MATCH($S1204,MUSTERILER!$T$7:$T$156,0)),""))</f>
        <v/>
      </c>
      <c r="U1204" s="1" t="str">
        <f>IF($T1204="","",$T1204&amp;"|"&amp;COUNTIFS($T$7:$T1204,$T1204))</f>
        <v/>
      </c>
      <c r="V1204" s="1">
        <f t="shared" si="152"/>
        <v>0</v>
      </c>
      <c r="W1204" s="1" t="str">
        <f t="shared" si="153"/>
        <v/>
      </c>
      <c r="X1204" s="1"/>
      <c r="Y1204" s="1"/>
      <c r="Z1204" s="1"/>
      <c r="AA1204" s="1"/>
      <c r="AB1204" s="1"/>
      <c r="AC1204" s="1"/>
      <c r="AD1204" s="1">
        <f>IF($C1204="",0,SUMPRODUCT((AY_SONU!$O$7:$O$42="Evet")*(AY_SONU!$B$7:$B$42=DATE(YEAR($C1204),MONTH($C1204),1))))</f>
        <v>0</v>
      </c>
      <c r="AE1204" s="1" t="str">
        <f>IF($E1204="","",$E1204&amp;"|"&amp;COUNTIFS($E$7:$E1204,$E1204))</f>
        <v/>
      </c>
    </row>
    <row r="1205" spans="1:31" ht="18" customHeight="1" x14ac:dyDescent="0.3">
      <c r="A1205" s="2"/>
      <c r="B1205" s="65" t="str">
        <f t="shared" si="146"/>
        <v/>
      </c>
      <c r="C1205" s="66"/>
      <c r="D1205" s="60"/>
      <c r="E1205" s="61"/>
      <c r="F1205" s="61"/>
      <c r="G1205" s="67"/>
      <c r="H1205" s="60"/>
      <c r="I1205" s="60"/>
      <c r="J1205" s="61"/>
      <c r="K1205" s="61"/>
      <c r="L1205" s="60"/>
      <c r="M1205" s="74" t="str">
        <f t="shared" si="147"/>
        <v/>
      </c>
      <c r="N1205" s="74" t="str">
        <f t="shared" si="148"/>
        <v/>
      </c>
      <c r="O1205" s="73" t="str">
        <f t="shared" si="149"/>
        <v/>
      </c>
      <c r="P1205" s="65" t="str">
        <f t="shared" ca="1" si="150"/>
        <v/>
      </c>
      <c r="Q1205" s="2"/>
      <c r="R1205" s="2"/>
      <c r="S1205" s="1" t="str">
        <f t="shared" si="151"/>
        <v/>
      </c>
      <c r="T1205" s="1" t="str">
        <f>IF(OR($C1205="",$D1205&lt;&gt;"Gelir",$L1205=""),"",IFERROR(INDEX(MUSTERILER!$B$7:$B$156,MATCH($S1205,MUSTERILER!$T$7:$T$156,0)),""))</f>
        <v/>
      </c>
      <c r="U1205" s="1" t="str">
        <f>IF($T1205="","",$T1205&amp;"|"&amp;COUNTIFS($T$7:$T1205,$T1205))</f>
        <v/>
      </c>
      <c r="V1205" s="1">
        <f t="shared" si="152"/>
        <v>0</v>
      </c>
      <c r="W1205" s="1" t="str">
        <f t="shared" si="153"/>
        <v/>
      </c>
      <c r="X1205" s="1"/>
      <c r="Y1205" s="1"/>
      <c r="Z1205" s="1"/>
      <c r="AA1205" s="1"/>
      <c r="AB1205" s="1"/>
      <c r="AC1205" s="1"/>
      <c r="AD1205" s="1">
        <f>IF($C1205="",0,SUMPRODUCT((AY_SONU!$O$7:$O$42="Evet")*(AY_SONU!$B$7:$B$42=DATE(YEAR($C1205),MONTH($C1205),1))))</f>
        <v>0</v>
      </c>
      <c r="AE1205" s="1" t="str">
        <f>IF($E1205="","",$E1205&amp;"|"&amp;COUNTIFS($E$7:$E1205,$E1205))</f>
        <v/>
      </c>
    </row>
    <row r="1206" spans="1:31" ht="18" customHeight="1" x14ac:dyDescent="0.3">
      <c r="A1206" s="2"/>
      <c r="B1206" s="65" t="str">
        <f t="shared" si="146"/>
        <v/>
      </c>
      <c r="C1206" s="66"/>
      <c r="D1206" s="60"/>
      <c r="E1206" s="61"/>
      <c r="F1206" s="61"/>
      <c r="G1206" s="67"/>
      <c r="H1206" s="60"/>
      <c r="I1206" s="60"/>
      <c r="J1206" s="61"/>
      <c r="K1206" s="61"/>
      <c r="L1206" s="60"/>
      <c r="M1206" s="74" t="str">
        <f t="shared" si="147"/>
        <v/>
      </c>
      <c r="N1206" s="74" t="str">
        <f t="shared" si="148"/>
        <v/>
      </c>
      <c r="O1206" s="73" t="str">
        <f t="shared" si="149"/>
        <v/>
      </c>
      <c r="P1206" s="65" t="str">
        <f t="shared" ca="1" si="150"/>
        <v/>
      </c>
      <c r="Q1206" s="2"/>
      <c r="R1206" s="2"/>
      <c r="S1206" s="1" t="str">
        <f t="shared" si="151"/>
        <v/>
      </c>
      <c r="T1206" s="1" t="str">
        <f>IF(OR($C1206="",$D1206&lt;&gt;"Gelir",$L1206=""),"",IFERROR(INDEX(MUSTERILER!$B$7:$B$156,MATCH($S1206,MUSTERILER!$T$7:$T$156,0)),""))</f>
        <v/>
      </c>
      <c r="U1206" s="1" t="str">
        <f>IF($T1206="","",$T1206&amp;"|"&amp;COUNTIFS($T$7:$T1206,$T1206))</f>
        <v/>
      </c>
      <c r="V1206" s="1">
        <f t="shared" si="152"/>
        <v>0</v>
      </c>
      <c r="W1206" s="1" t="str">
        <f t="shared" si="153"/>
        <v/>
      </c>
      <c r="X1206" s="1"/>
      <c r="Y1206" s="1"/>
      <c r="Z1206" s="1"/>
      <c r="AA1206" s="1"/>
      <c r="AB1206" s="1"/>
      <c r="AC1206" s="1"/>
      <c r="AD1206" s="1">
        <f>IF($C1206="",0,SUMPRODUCT((AY_SONU!$O$7:$O$42="Evet")*(AY_SONU!$B$7:$B$42=DATE(YEAR($C1206),MONTH($C1206),1))))</f>
        <v>0</v>
      </c>
      <c r="AE1206" s="1" t="str">
        <f>IF($E1206="","",$E1206&amp;"|"&amp;COUNTIFS($E$7:$E1206,$E1206))</f>
        <v/>
      </c>
    </row>
    <row r="1207" spans="1:31" ht="18" customHeight="1" x14ac:dyDescent="0.3">
      <c r="A1207" s="2"/>
      <c r="B1207" s="65" t="str">
        <f t="shared" si="146"/>
        <v/>
      </c>
      <c r="C1207" s="66"/>
      <c r="D1207" s="60"/>
      <c r="E1207" s="61"/>
      <c r="F1207" s="61"/>
      <c r="G1207" s="67"/>
      <c r="H1207" s="60"/>
      <c r="I1207" s="60"/>
      <c r="J1207" s="61"/>
      <c r="K1207" s="61"/>
      <c r="L1207" s="60"/>
      <c r="M1207" s="74" t="str">
        <f t="shared" si="147"/>
        <v/>
      </c>
      <c r="N1207" s="74" t="str">
        <f t="shared" si="148"/>
        <v/>
      </c>
      <c r="O1207" s="73" t="str">
        <f t="shared" si="149"/>
        <v/>
      </c>
      <c r="P1207" s="65" t="str">
        <f t="shared" ca="1" si="150"/>
        <v/>
      </c>
      <c r="Q1207" s="2"/>
      <c r="R1207" s="2"/>
      <c r="S1207" s="1" t="str">
        <f t="shared" si="151"/>
        <v/>
      </c>
      <c r="T1207" s="1" t="str">
        <f>IF(OR($C1207="",$D1207&lt;&gt;"Gelir",$L1207=""),"",IFERROR(INDEX(MUSTERILER!$B$7:$B$156,MATCH($S1207,MUSTERILER!$T$7:$T$156,0)),""))</f>
        <v/>
      </c>
      <c r="U1207" s="1" t="str">
        <f>IF($T1207="","",$T1207&amp;"|"&amp;COUNTIFS($T$7:$T1207,$T1207))</f>
        <v/>
      </c>
      <c r="V1207" s="1">
        <f t="shared" si="152"/>
        <v>0</v>
      </c>
      <c r="W1207" s="1" t="str">
        <f t="shared" si="153"/>
        <v/>
      </c>
      <c r="X1207" s="1"/>
      <c r="Y1207" s="1"/>
      <c r="Z1207" s="1"/>
      <c r="AA1207" s="1"/>
      <c r="AB1207" s="1"/>
      <c r="AC1207" s="1"/>
      <c r="AD1207" s="1">
        <f>IF($C1207="",0,SUMPRODUCT((AY_SONU!$O$7:$O$42="Evet")*(AY_SONU!$B$7:$B$42=DATE(YEAR($C1207),MONTH($C1207),1))))</f>
        <v>0</v>
      </c>
      <c r="AE1207" s="1" t="str">
        <f>IF($E1207="","",$E1207&amp;"|"&amp;COUNTIFS($E$7:$E1207,$E1207))</f>
        <v/>
      </c>
    </row>
    <row r="1208" spans="1:31" ht="18" customHeight="1" x14ac:dyDescent="0.3">
      <c r="A1208" s="2"/>
      <c r="B1208" s="65" t="str">
        <f t="shared" si="146"/>
        <v/>
      </c>
      <c r="C1208" s="66"/>
      <c r="D1208" s="60"/>
      <c r="E1208" s="61"/>
      <c r="F1208" s="61"/>
      <c r="G1208" s="67"/>
      <c r="H1208" s="60"/>
      <c r="I1208" s="60"/>
      <c r="J1208" s="61"/>
      <c r="K1208" s="61"/>
      <c r="L1208" s="60"/>
      <c r="M1208" s="74" t="str">
        <f t="shared" si="147"/>
        <v/>
      </c>
      <c r="N1208" s="74" t="str">
        <f t="shared" si="148"/>
        <v/>
      </c>
      <c r="O1208" s="73" t="str">
        <f t="shared" si="149"/>
        <v/>
      </c>
      <c r="P1208" s="65" t="str">
        <f t="shared" ca="1" si="150"/>
        <v/>
      </c>
      <c r="Q1208" s="2"/>
      <c r="R1208" s="2"/>
      <c r="S1208" s="1" t="str">
        <f t="shared" si="151"/>
        <v/>
      </c>
      <c r="T1208" s="1" t="str">
        <f>IF(OR($C1208="",$D1208&lt;&gt;"Gelir",$L1208=""),"",IFERROR(INDEX(MUSTERILER!$B$7:$B$156,MATCH($S1208,MUSTERILER!$T$7:$T$156,0)),""))</f>
        <v/>
      </c>
      <c r="U1208" s="1" t="str">
        <f>IF($T1208="","",$T1208&amp;"|"&amp;COUNTIFS($T$7:$T1208,$T1208))</f>
        <v/>
      </c>
      <c r="V1208" s="1">
        <f t="shared" si="152"/>
        <v>0</v>
      </c>
      <c r="W1208" s="1" t="str">
        <f t="shared" si="153"/>
        <v/>
      </c>
      <c r="X1208" s="1"/>
      <c r="Y1208" s="1"/>
      <c r="Z1208" s="1"/>
      <c r="AA1208" s="1"/>
      <c r="AB1208" s="1"/>
      <c r="AC1208" s="1"/>
      <c r="AD1208" s="1">
        <f>IF($C1208="",0,SUMPRODUCT((AY_SONU!$O$7:$O$42="Evet")*(AY_SONU!$B$7:$B$42=DATE(YEAR($C1208),MONTH($C1208),1))))</f>
        <v>0</v>
      </c>
      <c r="AE1208" s="1" t="str">
        <f>IF($E1208="","",$E1208&amp;"|"&amp;COUNTIFS($E$7:$E1208,$E1208))</f>
        <v/>
      </c>
    </row>
    <row r="1209" spans="1:31" ht="18" customHeight="1" x14ac:dyDescent="0.3">
      <c r="A1209" s="2"/>
      <c r="B1209" s="65" t="str">
        <f t="shared" si="146"/>
        <v/>
      </c>
      <c r="C1209" s="66"/>
      <c r="D1209" s="60"/>
      <c r="E1209" s="61"/>
      <c r="F1209" s="61"/>
      <c r="G1209" s="67"/>
      <c r="H1209" s="60"/>
      <c r="I1209" s="60"/>
      <c r="J1209" s="61"/>
      <c r="K1209" s="61"/>
      <c r="L1209" s="60"/>
      <c r="M1209" s="74" t="str">
        <f t="shared" si="147"/>
        <v/>
      </c>
      <c r="N1209" s="74" t="str">
        <f t="shared" si="148"/>
        <v/>
      </c>
      <c r="O1209" s="73" t="str">
        <f t="shared" si="149"/>
        <v/>
      </c>
      <c r="P1209" s="65" t="str">
        <f t="shared" ca="1" si="150"/>
        <v/>
      </c>
      <c r="Q1209" s="2"/>
      <c r="R1209" s="2"/>
      <c r="S1209" s="1" t="str">
        <f t="shared" si="151"/>
        <v/>
      </c>
      <c r="T1209" s="1" t="str">
        <f>IF(OR($C1209="",$D1209&lt;&gt;"Gelir",$L1209=""),"",IFERROR(INDEX(MUSTERILER!$B$7:$B$156,MATCH($S1209,MUSTERILER!$T$7:$T$156,0)),""))</f>
        <v/>
      </c>
      <c r="U1209" s="1" t="str">
        <f>IF($T1209="","",$T1209&amp;"|"&amp;COUNTIFS($T$7:$T1209,$T1209))</f>
        <v/>
      </c>
      <c r="V1209" s="1">
        <f t="shared" si="152"/>
        <v>0</v>
      </c>
      <c r="W1209" s="1" t="str">
        <f t="shared" si="153"/>
        <v/>
      </c>
      <c r="X1209" s="1"/>
      <c r="Y1209" s="1"/>
      <c r="Z1209" s="1"/>
      <c r="AA1209" s="1"/>
      <c r="AB1209" s="1"/>
      <c r="AC1209" s="1"/>
      <c r="AD1209" s="1">
        <f>IF($C1209="",0,SUMPRODUCT((AY_SONU!$O$7:$O$42="Evet")*(AY_SONU!$B$7:$B$42=DATE(YEAR($C1209),MONTH($C1209),1))))</f>
        <v>0</v>
      </c>
      <c r="AE1209" s="1" t="str">
        <f>IF($E1209="","",$E1209&amp;"|"&amp;COUNTIFS($E$7:$E1209,$E1209))</f>
        <v/>
      </c>
    </row>
    <row r="1210" spans="1:31" ht="18" customHeight="1" x14ac:dyDescent="0.3">
      <c r="A1210" s="2"/>
      <c r="B1210" s="65" t="str">
        <f t="shared" si="146"/>
        <v/>
      </c>
      <c r="C1210" s="66"/>
      <c r="D1210" s="60"/>
      <c r="E1210" s="61"/>
      <c r="F1210" s="61"/>
      <c r="G1210" s="67"/>
      <c r="H1210" s="60"/>
      <c r="I1210" s="60"/>
      <c r="J1210" s="61"/>
      <c r="K1210" s="61"/>
      <c r="L1210" s="60"/>
      <c r="M1210" s="74" t="str">
        <f t="shared" si="147"/>
        <v/>
      </c>
      <c r="N1210" s="74" t="str">
        <f t="shared" si="148"/>
        <v/>
      </c>
      <c r="O1210" s="73" t="str">
        <f t="shared" si="149"/>
        <v/>
      </c>
      <c r="P1210" s="65" t="str">
        <f t="shared" ca="1" si="150"/>
        <v/>
      </c>
      <c r="Q1210" s="2"/>
      <c r="R1210" s="2"/>
      <c r="S1210" s="1" t="str">
        <f t="shared" si="151"/>
        <v/>
      </c>
      <c r="T1210" s="1" t="str">
        <f>IF(OR($C1210="",$D1210&lt;&gt;"Gelir",$L1210=""),"",IFERROR(INDEX(MUSTERILER!$B$7:$B$156,MATCH($S1210,MUSTERILER!$T$7:$T$156,0)),""))</f>
        <v/>
      </c>
      <c r="U1210" s="1" t="str">
        <f>IF($T1210="","",$T1210&amp;"|"&amp;COUNTIFS($T$7:$T1210,$T1210))</f>
        <v/>
      </c>
      <c r="V1210" s="1">
        <f t="shared" si="152"/>
        <v>0</v>
      </c>
      <c r="W1210" s="1" t="str">
        <f t="shared" si="153"/>
        <v/>
      </c>
      <c r="X1210" s="1"/>
      <c r="Y1210" s="1"/>
      <c r="Z1210" s="1"/>
      <c r="AA1210" s="1"/>
      <c r="AB1210" s="1"/>
      <c r="AC1210" s="1"/>
      <c r="AD1210" s="1">
        <f>IF($C1210="",0,SUMPRODUCT((AY_SONU!$O$7:$O$42="Evet")*(AY_SONU!$B$7:$B$42=DATE(YEAR($C1210),MONTH($C1210),1))))</f>
        <v>0</v>
      </c>
      <c r="AE1210" s="1" t="str">
        <f>IF($E1210="","",$E1210&amp;"|"&amp;COUNTIFS($E$7:$E1210,$E1210))</f>
        <v/>
      </c>
    </row>
    <row r="1211" spans="1:31" ht="18" customHeight="1" x14ac:dyDescent="0.3">
      <c r="A1211" s="2"/>
      <c r="B1211" s="65" t="str">
        <f t="shared" si="146"/>
        <v/>
      </c>
      <c r="C1211" s="66"/>
      <c r="D1211" s="60"/>
      <c r="E1211" s="61"/>
      <c r="F1211" s="61"/>
      <c r="G1211" s="67"/>
      <c r="H1211" s="60"/>
      <c r="I1211" s="60"/>
      <c r="J1211" s="61"/>
      <c r="K1211" s="61"/>
      <c r="L1211" s="60"/>
      <c r="M1211" s="74" t="str">
        <f t="shared" si="147"/>
        <v/>
      </c>
      <c r="N1211" s="74" t="str">
        <f t="shared" si="148"/>
        <v/>
      </c>
      <c r="O1211" s="73" t="str">
        <f t="shared" si="149"/>
        <v/>
      </c>
      <c r="P1211" s="65" t="str">
        <f t="shared" ca="1" si="150"/>
        <v/>
      </c>
      <c r="Q1211" s="2"/>
      <c r="R1211" s="2"/>
      <c r="S1211" s="1" t="str">
        <f t="shared" si="151"/>
        <v/>
      </c>
      <c r="T1211" s="1" t="str">
        <f>IF(OR($C1211="",$D1211&lt;&gt;"Gelir",$L1211=""),"",IFERROR(INDEX(MUSTERILER!$B$7:$B$156,MATCH($S1211,MUSTERILER!$T$7:$T$156,0)),""))</f>
        <v/>
      </c>
      <c r="U1211" s="1" t="str">
        <f>IF($T1211="","",$T1211&amp;"|"&amp;COUNTIFS($T$7:$T1211,$T1211))</f>
        <v/>
      </c>
      <c r="V1211" s="1">
        <f t="shared" si="152"/>
        <v>0</v>
      </c>
      <c r="W1211" s="1" t="str">
        <f t="shared" si="153"/>
        <v/>
      </c>
      <c r="X1211" s="1"/>
      <c r="Y1211" s="1"/>
      <c r="Z1211" s="1"/>
      <c r="AA1211" s="1"/>
      <c r="AB1211" s="1"/>
      <c r="AC1211" s="1"/>
      <c r="AD1211" s="1">
        <f>IF($C1211="",0,SUMPRODUCT((AY_SONU!$O$7:$O$42="Evet")*(AY_SONU!$B$7:$B$42=DATE(YEAR($C1211),MONTH($C1211),1))))</f>
        <v>0</v>
      </c>
      <c r="AE1211" s="1" t="str">
        <f>IF($E1211="","",$E1211&amp;"|"&amp;COUNTIFS($E$7:$E1211,$E1211))</f>
        <v/>
      </c>
    </row>
    <row r="1212" spans="1:31" ht="18" customHeight="1" x14ac:dyDescent="0.3">
      <c r="A1212" s="2"/>
      <c r="B1212" s="65" t="str">
        <f t="shared" si="146"/>
        <v/>
      </c>
      <c r="C1212" s="66"/>
      <c r="D1212" s="60"/>
      <c r="E1212" s="61"/>
      <c r="F1212" s="61"/>
      <c r="G1212" s="67"/>
      <c r="H1212" s="60"/>
      <c r="I1212" s="60"/>
      <c r="J1212" s="61"/>
      <c r="K1212" s="61"/>
      <c r="L1212" s="60"/>
      <c r="M1212" s="74" t="str">
        <f t="shared" si="147"/>
        <v/>
      </c>
      <c r="N1212" s="74" t="str">
        <f t="shared" si="148"/>
        <v/>
      </c>
      <c r="O1212" s="73" t="str">
        <f t="shared" si="149"/>
        <v/>
      </c>
      <c r="P1212" s="65" t="str">
        <f t="shared" ca="1" si="150"/>
        <v/>
      </c>
      <c r="Q1212" s="2"/>
      <c r="R1212" s="2"/>
      <c r="S1212" s="1" t="str">
        <f t="shared" si="151"/>
        <v/>
      </c>
      <c r="T1212" s="1" t="str">
        <f>IF(OR($C1212="",$D1212&lt;&gt;"Gelir",$L1212=""),"",IFERROR(INDEX(MUSTERILER!$B$7:$B$156,MATCH($S1212,MUSTERILER!$T$7:$T$156,0)),""))</f>
        <v/>
      </c>
      <c r="U1212" s="1" t="str">
        <f>IF($T1212="","",$T1212&amp;"|"&amp;COUNTIFS($T$7:$T1212,$T1212))</f>
        <v/>
      </c>
      <c r="V1212" s="1">
        <f t="shared" si="152"/>
        <v>0</v>
      </c>
      <c r="W1212" s="1" t="str">
        <f t="shared" si="153"/>
        <v/>
      </c>
      <c r="X1212" s="1"/>
      <c r="Y1212" s="1"/>
      <c r="Z1212" s="1"/>
      <c r="AA1212" s="1"/>
      <c r="AB1212" s="1"/>
      <c r="AC1212" s="1"/>
      <c r="AD1212" s="1">
        <f>IF($C1212="",0,SUMPRODUCT((AY_SONU!$O$7:$O$42="Evet")*(AY_SONU!$B$7:$B$42=DATE(YEAR($C1212),MONTH($C1212),1))))</f>
        <v>0</v>
      </c>
      <c r="AE1212" s="1" t="str">
        <f>IF($E1212="","",$E1212&amp;"|"&amp;COUNTIFS($E$7:$E1212,$E1212))</f>
        <v/>
      </c>
    </row>
    <row r="1213" spans="1:31" ht="18" customHeight="1" x14ac:dyDescent="0.3">
      <c r="A1213" s="2"/>
      <c r="B1213" s="65" t="str">
        <f t="shared" si="146"/>
        <v/>
      </c>
      <c r="C1213" s="66"/>
      <c r="D1213" s="60"/>
      <c r="E1213" s="61"/>
      <c r="F1213" s="61"/>
      <c r="G1213" s="67"/>
      <c r="H1213" s="60"/>
      <c r="I1213" s="60"/>
      <c r="J1213" s="61"/>
      <c r="K1213" s="61"/>
      <c r="L1213" s="60"/>
      <c r="M1213" s="74" t="str">
        <f t="shared" si="147"/>
        <v/>
      </c>
      <c r="N1213" s="74" t="str">
        <f t="shared" si="148"/>
        <v/>
      </c>
      <c r="O1213" s="73" t="str">
        <f t="shared" si="149"/>
        <v/>
      </c>
      <c r="P1213" s="65" t="str">
        <f t="shared" ca="1" si="150"/>
        <v/>
      </c>
      <c r="Q1213" s="2"/>
      <c r="R1213" s="2"/>
      <c r="S1213" s="1" t="str">
        <f t="shared" si="151"/>
        <v/>
      </c>
      <c r="T1213" s="1" t="str">
        <f>IF(OR($C1213="",$D1213&lt;&gt;"Gelir",$L1213=""),"",IFERROR(INDEX(MUSTERILER!$B$7:$B$156,MATCH($S1213,MUSTERILER!$T$7:$T$156,0)),""))</f>
        <v/>
      </c>
      <c r="U1213" s="1" t="str">
        <f>IF($T1213="","",$T1213&amp;"|"&amp;COUNTIFS($T$7:$T1213,$T1213))</f>
        <v/>
      </c>
      <c r="V1213" s="1">
        <f t="shared" si="152"/>
        <v>0</v>
      </c>
      <c r="W1213" s="1" t="str">
        <f t="shared" si="153"/>
        <v/>
      </c>
      <c r="X1213" s="1"/>
      <c r="Y1213" s="1"/>
      <c r="Z1213" s="1"/>
      <c r="AA1213" s="1"/>
      <c r="AB1213" s="1"/>
      <c r="AC1213" s="1"/>
      <c r="AD1213" s="1">
        <f>IF($C1213="",0,SUMPRODUCT((AY_SONU!$O$7:$O$42="Evet")*(AY_SONU!$B$7:$B$42=DATE(YEAR($C1213),MONTH($C1213),1))))</f>
        <v>0</v>
      </c>
      <c r="AE1213" s="1" t="str">
        <f>IF($E1213="","",$E1213&amp;"|"&amp;COUNTIFS($E$7:$E1213,$E1213))</f>
        <v/>
      </c>
    </row>
    <row r="1214" spans="1:31" ht="18" customHeight="1" x14ac:dyDescent="0.3">
      <c r="A1214" s="2"/>
      <c r="B1214" s="65" t="str">
        <f t="shared" si="146"/>
        <v/>
      </c>
      <c r="C1214" s="66"/>
      <c r="D1214" s="60"/>
      <c r="E1214" s="61"/>
      <c r="F1214" s="61"/>
      <c r="G1214" s="67"/>
      <c r="H1214" s="60"/>
      <c r="I1214" s="60"/>
      <c r="J1214" s="61"/>
      <c r="K1214" s="61"/>
      <c r="L1214" s="60"/>
      <c r="M1214" s="74" t="str">
        <f t="shared" si="147"/>
        <v/>
      </c>
      <c r="N1214" s="74" t="str">
        <f t="shared" si="148"/>
        <v/>
      </c>
      <c r="O1214" s="73" t="str">
        <f t="shared" si="149"/>
        <v/>
      </c>
      <c r="P1214" s="65" t="str">
        <f t="shared" ca="1" si="150"/>
        <v/>
      </c>
      <c r="Q1214" s="2"/>
      <c r="R1214" s="2"/>
      <c r="S1214" s="1" t="str">
        <f t="shared" si="151"/>
        <v/>
      </c>
      <c r="T1214" s="1" t="str">
        <f>IF(OR($C1214="",$D1214&lt;&gt;"Gelir",$L1214=""),"",IFERROR(INDEX(MUSTERILER!$B$7:$B$156,MATCH($S1214,MUSTERILER!$T$7:$T$156,0)),""))</f>
        <v/>
      </c>
      <c r="U1214" s="1" t="str">
        <f>IF($T1214="","",$T1214&amp;"|"&amp;COUNTIFS($T$7:$T1214,$T1214))</f>
        <v/>
      </c>
      <c r="V1214" s="1">
        <f t="shared" si="152"/>
        <v>0</v>
      </c>
      <c r="W1214" s="1" t="str">
        <f t="shared" si="153"/>
        <v/>
      </c>
      <c r="X1214" s="1"/>
      <c r="Y1214" s="1"/>
      <c r="Z1214" s="1"/>
      <c r="AA1214" s="1"/>
      <c r="AB1214" s="1"/>
      <c r="AC1214" s="1"/>
      <c r="AD1214" s="1">
        <f>IF($C1214="",0,SUMPRODUCT((AY_SONU!$O$7:$O$42="Evet")*(AY_SONU!$B$7:$B$42=DATE(YEAR($C1214),MONTH($C1214),1))))</f>
        <v>0</v>
      </c>
      <c r="AE1214" s="1" t="str">
        <f>IF($E1214="","",$E1214&amp;"|"&amp;COUNTIFS($E$7:$E1214,$E1214))</f>
        <v/>
      </c>
    </row>
    <row r="1215" spans="1:31" ht="18" customHeight="1" x14ac:dyDescent="0.3">
      <c r="A1215" s="2"/>
      <c r="B1215" s="65" t="str">
        <f t="shared" si="146"/>
        <v/>
      </c>
      <c r="C1215" s="66"/>
      <c r="D1215" s="60"/>
      <c r="E1215" s="61"/>
      <c r="F1215" s="61"/>
      <c r="G1215" s="67"/>
      <c r="H1215" s="60"/>
      <c r="I1215" s="60"/>
      <c r="J1215" s="61"/>
      <c r="K1215" s="61"/>
      <c r="L1215" s="60"/>
      <c r="M1215" s="74" t="str">
        <f t="shared" si="147"/>
        <v/>
      </c>
      <c r="N1215" s="74" t="str">
        <f t="shared" si="148"/>
        <v/>
      </c>
      <c r="O1215" s="73" t="str">
        <f t="shared" si="149"/>
        <v/>
      </c>
      <c r="P1215" s="65" t="str">
        <f t="shared" ca="1" si="150"/>
        <v/>
      </c>
      <c r="Q1215" s="2"/>
      <c r="R1215" s="2"/>
      <c r="S1215" s="1" t="str">
        <f t="shared" si="151"/>
        <v/>
      </c>
      <c r="T1215" s="1" t="str">
        <f>IF(OR($C1215="",$D1215&lt;&gt;"Gelir",$L1215=""),"",IFERROR(INDEX(MUSTERILER!$B$7:$B$156,MATCH($S1215,MUSTERILER!$T$7:$T$156,0)),""))</f>
        <v/>
      </c>
      <c r="U1215" s="1" t="str">
        <f>IF($T1215="","",$T1215&amp;"|"&amp;COUNTIFS($T$7:$T1215,$T1215))</f>
        <v/>
      </c>
      <c r="V1215" s="1">
        <f t="shared" si="152"/>
        <v>0</v>
      </c>
      <c r="W1215" s="1" t="str">
        <f t="shared" si="153"/>
        <v/>
      </c>
      <c r="X1215" s="1"/>
      <c r="Y1215" s="1"/>
      <c r="Z1215" s="1"/>
      <c r="AA1215" s="1"/>
      <c r="AB1215" s="1"/>
      <c r="AC1215" s="1"/>
      <c r="AD1215" s="1">
        <f>IF($C1215="",0,SUMPRODUCT((AY_SONU!$O$7:$O$42="Evet")*(AY_SONU!$B$7:$B$42=DATE(YEAR($C1215),MONTH($C1215),1))))</f>
        <v>0</v>
      </c>
      <c r="AE1215" s="1" t="str">
        <f>IF($E1215="","",$E1215&amp;"|"&amp;COUNTIFS($E$7:$E1215,$E1215))</f>
        <v/>
      </c>
    </row>
    <row r="1216" spans="1:31" ht="18" customHeight="1" x14ac:dyDescent="0.3">
      <c r="A1216" s="2"/>
      <c r="B1216" s="65" t="str">
        <f t="shared" si="146"/>
        <v/>
      </c>
      <c r="C1216" s="66"/>
      <c r="D1216" s="60"/>
      <c r="E1216" s="61"/>
      <c r="F1216" s="61"/>
      <c r="G1216" s="67"/>
      <c r="H1216" s="60"/>
      <c r="I1216" s="60"/>
      <c r="J1216" s="61"/>
      <c r="K1216" s="61"/>
      <c r="L1216" s="60"/>
      <c r="M1216" s="74" t="str">
        <f t="shared" si="147"/>
        <v/>
      </c>
      <c r="N1216" s="74" t="str">
        <f t="shared" si="148"/>
        <v/>
      </c>
      <c r="O1216" s="73" t="str">
        <f t="shared" si="149"/>
        <v/>
      </c>
      <c r="P1216" s="65" t="str">
        <f t="shared" ca="1" si="150"/>
        <v/>
      </c>
      <c r="Q1216" s="2"/>
      <c r="R1216" s="2"/>
      <c r="S1216" s="1" t="str">
        <f t="shared" si="151"/>
        <v/>
      </c>
      <c r="T1216" s="1" t="str">
        <f>IF(OR($C1216="",$D1216&lt;&gt;"Gelir",$L1216=""),"",IFERROR(INDEX(MUSTERILER!$B$7:$B$156,MATCH($S1216,MUSTERILER!$T$7:$T$156,0)),""))</f>
        <v/>
      </c>
      <c r="U1216" s="1" t="str">
        <f>IF($T1216="","",$T1216&amp;"|"&amp;COUNTIFS($T$7:$T1216,$T1216))</f>
        <v/>
      </c>
      <c r="V1216" s="1">
        <f t="shared" si="152"/>
        <v>0</v>
      </c>
      <c r="W1216" s="1" t="str">
        <f t="shared" si="153"/>
        <v/>
      </c>
      <c r="X1216" s="1"/>
      <c r="Y1216" s="1"/>
      <c r="Z1216" s="1"/>
      <c r="AA1216" s="1"/>
      <c r="AB1216" s="1"/>
      <c r="AC1216" s="1"/>
      <c r="AD1216" s="1">
        <f>IF($C1216="",0,SUMPRODUCT((AY_SONU!$O$7:$O$42="Evet")*(AY_SONU!$B$7:$B$42=DATE(YEAR($C1216),MONTH($C1216),1))))</f>
        <v>0</v>
      </c>
      <c r="AE1216" s="1" t="str">
        <f>IF($E1216="","",$E1216&amp;"|"&amp;COUNTIFS($E$7:$E1216,$E1216))</f>
        <v/>
      </c>
    </row>
    <row r="1217" spans="1:31" ht="18" customHeight="1" x14ac:dyDescent="0.3">
      <c r="A1217" s="2"/>
      <c r="B1217" s="65" t="str">
        <f t="shared" si="146"/>
        <v/>
      </c>
      <c r="C1217" s="66"/>
      <c r="D1217" s="60"/>
      <c r="E1217" s="61"/>
      <c r="F1217" s="61"/>
      <c r="G1217" s="67"/>
      <c r="H1217" s="60"/>
      <c r="I1217" s="60"/>
      <c r="J1217" s="61"/>
      <c r="K1217" s="61"/>
      <c r="L1217" s="60"/>
      <c r="M1217" s="74" t="str">
        <f t="shared" si="147"/>
        <v/>
      </c>
      <c r="N1217" s="74" t="str">
        <f t="shared" si="148"/>
        <v/>
      </c>
      <c r="O1217" s="73" t="str">
        <f t="shared" si="149"/>
        <v/>
      </c>
      <c r="P1217" s="65" t="str">
        <f t="shared" ca="1" si="150"/>
        <v/>
      </c>
      <c r="Q1217" s="2"/>
      <c r="R1217" s="2"/>
      <c r="S1217" s="1" t="str">
        <f t="shared" si="151"/>
        <v/>
      </c>
      <c r="T1217" s="1" t="str">
        <f>IF(OR($C1217="",$D1217&lt;&gt;"Gelir",$L1217=""),"",IFERROR(INDEX(MUSTERILER!$B$7:$B$156,MATCH($S1217,MUSTERILER!$T$7:$T$156,0)),""))</f>
        <v/>
      </c>
      <c r="U1217" s="1" t="str">
        <f>IF($T1217="","",$T1217&amp;"|"&amp;COUNTIFS($T$7:$T1217,$T1217))</f>
        <v/>
      </c>
      <c r="V1217" s="1">
        <f t="shared" si="152"/>
        <v>0</v>
      </c>
      <c r="W1217" s="1" t="str">
        <f t="shared" si="153"/>
        <v/>
      </c>
      <c r="X1217" s="1"/>
      <c r="Y1217" s="1"/>
      <c r="Z1217" s="1"/>
      <c r="AA1217" s="1"/>
      <c r="AB1217" s="1"/>
      <c r="AC1217" s="1"/>
      <c r="AD1217" s="1">
        <f>IF($C1217="",0,SUMPRODUCT((AY_SONU!$O$7:$O$42="Evet")*(AY_SONU!$B$7:$B$42=DATE(YEAR($C1217),MONTH($C1217),1))))</f>
        <v>0</v>
      </c>
      <c r="AE1217" s="1" t="str">
        <f>IF($E1217="","",$E1217&amp;"|"&amp;COUNTIFS($E$7:$E1217,$E1217))</f>
        <v/>
      </c>
    </row>
    <row r="1218" spans="1:31" ht="18" customHeight="1" x14ac:dyDescent="0.3">
      <c r="A1218" s="2"/>
      <c r="B1218" s="65" t="str">
        <f t="shared" si="146"/>
        <v/>
      </c>
      <c r="C1218" s="66"/>
      <c r="D1218" s="60"/>
      <c r="E1218" s="61"/>
      <c r="F1218" s="61"/>
      <c r="G1218" s="67"/>
      <c r="H1218" s="60"/>
      <c r="I1218" s="60"/>
      <c r="J1218" s="61"/>
      <c r="K1218" s="61"/>
      <c r="L1218" s="60"/>
      <c r="M1218" s="74" t="str">
        <f t="shared" si="147"/>
        <v/>
      </c>
      <c r="N1218" s="74" t="str">
        <f t="shared" si="148"/>
        <v/>
      </c>
      <c r="O1218" s="73" t="str">
        <f t="shared" si="149"/>
        <v/>
      </c>
      <c r="P1218" s="65" t="str">
        <f t="shared" ca="1" si="150"/>
        <v/>
      </c>
      <c r="Q1218" s="2"/>
      <c r="R1218" s="2"/>
      <c r="S1218" s="1" t="str">
        <f t="shared" si="151"/>
        <v/>
      </c>
      <c r="T1218" s="1" t="str">
        <f>IF(OR($C1218="",$D1218&lt;&gt;"Gelir",$L1218=""),"",IFERROR(INDEX(MUSTERILER!$B$7:$B$156,MATCH($S1218,MUSTERILER!$T$7:$T$156,0)),""))</f>
        <v/>
      </c>
      <c r="U1218" s="1" t="str">
        <f>IF($T1218="","",$T1218&amp;"|"&amp;COUNTIFS($T$7:$T1218,$T1218))</f>
        <v/>
      </c>
      <c r="V1218" s="1">
        <f t="shared" si="152"/>
        <v>0</v>
      </c>
      <c r="W1218" s="1" t="str">
        <f t="shared" si="153"/>
        <v/>
      </c>
      <c r="X1218" s="1"/>
      <c r="Y1218" s="1"/>
      <c r="Z1218" s="1"/>
      <c r="AA1218" s="1"/>
      <c r="AB1218" s="1"/>
      <c r="AC1218" s="1"/>
      <c r="AD1218" s="1">
        <f>IF($C1218="",0,SUMPRODUCT((AY_SONU!$O$7:$O$42="Evet")*(AY_SONU!$B$7:$B$42=DATE(YEAR($C1218),MONTH($C1218),1))))</f>
        <v>0</v>
      </c>
      <c r="AE1218" s="1" t="str">
        <f>IF($E1218="","",$E1218&amp;"|"&amp;COUNTIFS($E$7:$E1218,$E1218))</f>
        <v/>
      </c>
    </row>
    <row r="1219" spans="1:31" ht="18" customHeight="1" x14ac:dyDescent="0.3">
      <c r="A1219" s="2"/>
      <c r="B1219" s="65" t="str">
        <f t="shared" si="146"/>
        <v/>
      </c>
      <c r="C1219" s="66"/>
      <c r="D1219" s="60"/>
      <c r="E1219" s="61"/>
      <c r="F1219" s="61"/>
      <c r="G1219" s="67"/>
      <c r="H1219" s="60"/>
      <c r="I1219" s="60"/>
      <c r="J1219" s="61"/>
      <c r="K1219" s="61"/>
      <c r="L1219" s="60"/>
      <c r="M1219" s="74" t="str">
        <f t="shared" si="147"/>
        <v/>
      </c>
      <c r="N1219" s="74" t="str">
        <f t="shared" si="148"/>
        <v/>
      </c>
      <c r="O1219" s="73" t="str">
        <f t="shared" si="149"/>
        <v/>
      </c>
      <c r="P1219" s="65" t="str">
        <f t="shared" ca="1" si="150"/>
        <v/>
      </c>
      <c r="Q1219" s="2"/>
      <c r="R1219" s="2"/>
      <c r="S1219" s="1" t="str">
        <f t="shared" si="151"/>
        <v/>
      </c>
      <c r="T1219" s="1" t="str">
        <f>IF(OR($C1219="",$D1219&lt;&gt;"Gelir",$L1219=""),"",IFERROR(INDEX(MUSTERILER!$B$7:$B$156,MATCH($S1219,MUSTERILER!$T$7:$T$156,0)),""))</f>
        <v/>
      </c>
      <c r="U1219" s="1" t="str">
        <f>IF($T1219="","",$T1219&amp;"|"&amp;COUNTIFS($T$7:$T1219,$T1219))</f>
        <v/>
      </c>
      <c r="V1219" s="1">
        <f t="shared" si="152"/>
        <v>0</v>
      </c>
      <c r="W1219" s="1" t="str">
        <f t="shared" si="153"/>
        <v/>
      </c>
      <c r="X1219" s="1"/>
      <c r="Y1219" s="1"/>
      <c r="Z1219" s="1"/>
      <c r="AA1219" s="1"/>
      <c r="AB1219" s="1"/>
      <c r="AC1219" s="1"/>
      <c r="AD1219" s="1">
        <f>IF($C1219="",0,SUMPRODUCT((AY_SONU!$O$7:$O$42="Evet")*(AY_SONU!$B$7:$B$42=DATE(YEAR($C1219),MONTH($C1219),1))))</f>
        <v>0</v>
      </c>
      <c r="AE1219" s="1" t="str">
        <f>IF($E1219="","",$E1219&amp;"|"&amp;COUNTIFS($E$7:$E1219,$E1219))</f>
        <v/>
      </c>
    </row>
    <row r="1220" spans="1:31" ht="18" customHeight="1" x14ac:dyDescent="0.3">
      <c r="A1220" s="2"/>
      <c r="B1220" s="65" t="str">
        <f t="shared" si="146"/>
        <v/>
      </c>
      <c r="C1220" s="66"/>
      <c r="D1220" s="60"/>
      <c r="E1220" s="61"/>
      <c r="F1220" s="61"/>
      <c r="G1220" s="67"/>
      <c r="H1220" s="60"/>
      <c r="I1220" s="60"/>
      <c r="J1220" s="61"/>
      <c r="K1220" s="61"/>
      <c r="L1220" s="60"/>
      <c r="M1220" s="74" t="str">
        <f t="shared" si="147"/>
        <v/>
      </c>
      <c r="N1220" s="74" t="str">
        <f t="shared" si="148"/>
        <v/>
      </c>
      <c r="O1220" s="73" t="str">
        <f t="shared" si="149"/>
        <v/>
      </c>
      <c r="P1220" s="65" t="str">
        <f t="shared" ca="1" si="150"/>
        <v/>
      </c>
      <c r="Q1220" s="2"/>
      <c r="R1220" s="2"/>
      <c r="S1220" s="1" t="str">
        <f t="shared" si="151"/>
        <v/>
      </c>
      <c r="T1220" s="1" t="str">
        <f>IF(OR($C1220="",$D1220&lt;&gt;"Gelir",$L1220=""),"",IFERROR(INDEX(MUSTERILER!$B$7:$B$156,MATCH($S1220,MUSTERILER!$T$7:$T$156,0)),""))</f>
        <v/>
      </c>
      <c r="U1220" s="1" t="str">
        <f>IF($T1220="","",$T1220&amp;"|"&amp;COUNTIFS($T$7:$T1220,$T1220))</f>
        <v/>
      </c>
      <c r="V1220" s="1">
        <f t="shared" si="152"/>
        <v>0</v>
      </c>
      <c r="W1220" s="1" t="str">
        <f t="shared" si="153"/>
        <v/>
      </c>
      <c r="X1220" s="1"/>
      <c r="Y1220" s="1"/>
      <c r="Z1220" s="1"/>
      <c r="AA1220" s="1"/>
      <c r="AB1220" s="1"/>
      <c r="AC1220" s="1"/>
      <c r="AD1220" s="1">
        <f>IF($C1220="",0,SUMPRODUCT((AY_SONU!$O$7:$O$42="Evet")*(AY_SONU!$B$7:$B$42=DATE(YEAR($C1220),MONTH($C1220),1))))</f>
        <v>0</v>
      </c>
      <c r="AE1220" s="1" t="str">
        <f>IF($E1220="","",$E1220&amp;"|"&amp;COUNTIFS($E$7:$E1220,$E1220))</f>
        <v/>
      </c>
    </row>
    <row r="1221" spans="1:31" ht="18" customHeight="1" x14ac:dyDescent="0.3">
      <c r="A1221" s="2"/>
      <c r="B1221" s="65" t="str">
        <f t="shared" si="146"/>
        <v/>
      </c>
      <c r="C1221" s="66"/>
      <c r="D1221" s="60"/>
      <c r="E1221" s="61"/>
      <c r="F1221" s="61"/>
      <c r="G1221" s="67"/>
      <c r="H1221" s="60"/>
      <c r="I1221" s="60"/>
      <c r="J1221" s="61"/>
      <c r="K1221" s="61"/>
      <c r="L1221" s="60"/>
      <c r="M1221" s="74" t="str">
        <f t="shared" si="147"/>
        <v/>
      </c>
      <c r="N1221" s="74" t="str">
        <f t="shared" si="148"/>
        <v/>
      </c>
      <c r="O1221" s="73" t="str">
        <f t="shared" si="149"/>
        <v/>
      </c>
      <c r="P1221" s="65" t="str">
        <f t="shared" ca="1" si="150"/>
        <v/>
      </c>
      <c r="Q1221" s="2"/>
      <c r="R1221" s="2"/>
      <c r="S1221" s="1" t="str">
        <f t="shared" si="151"/>
        <v/>
      </c>
      <c r="T1221" s="1" t="str">
        <f>IF(OR($C1221="",$D1221&lt;&gt;"Gelir",$L1221=""),"",IFERROR(INDEX(MUSTERILER!$B$7:$B$156,MATCH($S1221,MUSTERILER!$T$7:$T$156,0)),""))</f>
        <v/>
      </c>
      <c r="U1221" s="1" t="str">
        <f>IF($T1221="","",$T1221&amp;"|"&amp;COUNTIFS($T$7:$T1221,$T1221))</f>
        <v/>
      </c>
      <c r="V1221" s="1">
        <f t="shared" si="152"/>
        <v>0</v>
      </c>
      <c r="W1221" s="1" t="str">
        <f t="shared" si="153"/>
        <v/>
      </c>
      <c r="X1221" s="1"/>
      <c r="Y1221" s="1"/>
      <c r="Z1221" s="1"/>
      <c r="AA1221" s="1"/>
      <c r="AB1221" s="1"/>
      <c r="AC1221" s="1"/>
      <c r="AD1221" s="1">
        <f>IF($C1221="",0,SUMPRODUCT((AY_SONU!$O$7:$O$42="Evet")*(AY_SONU!$B$7:$B$42=DATE(YEAR($C1221),MONTH($C1221),1))))</f>
        <v>0</v>
      </c>
      <c r="AE1221" s="1" t="str">
        <f>IF($E1221="","",$E1221&amp;"|"&amp;COUNTIFS($E$7:$E1221,$E1221))</f>
        <v/>
      </c>
    </row>
    <row r="1222" spans="1:31" ht="18" customHeight="1" x14ac:dyDescent="0.3">
      <c r="A1222" s="2"/>
      <c r="B1222" s="65" t="str">
        <f t="shared" si="146"/>
        <v/>
      </c>
      <c r="C1222" s="66"/>
      <c r="D1222" s="60"/>
      <c r="E1222" s="61"/>
      <c r="F1222" s="61"/>
      <c r="G1222" s="67"/>
      <c r="H1222" s="60"/>
      <c r="I1222" s="60"/>
      <c r="J1222" s="61"/>
      <c r="K1222" s="61"/>
      <c r="L1222" s="60"/>
      <c r="M1222" s="74" t="str">
        <f t="shared" si="147"/>
        <v/>
      </c>
      <c r="N1222" s="74" t="str">
        <f t="shared" si="148"/>
        <v/>
      </c>
      <c r="O1222" s="73" t="str">
        <f t="shared" si="149"/>
        <v/>
      </c>
      <c r="P1222" s="65" t="str">
        <f t="shared" ca="1" si="150"/>
        <v/>
      </c>
      <c r="Q1222" s="2"/>
      <c r="R1222" s="2"/>
      <c r="S1222" s="1" t="str">
        <f t="shared" si="151"/>
        <v/>
      </c>
      <c r="T1222" s="1" t="str">
        <f>IF(OR($C1222="",$D1222&lt;&gt;"Gelir",$L1222=""),"",IFERROR(INDEX(MUSTERILER!$B$7:$B$156,MATCH($S1222,MUSTERILER!$T$7:$T$156,0)),""))</f>
        <v/>
      </c>
      <c r="U1222" s="1" t="str">
        <f>IF($T1222="","",$T1222&amp;"|"&amp;COUNTIFS($T$7:$T1222,$T1222))</f>
        <v/>
      </c>
      <c r="V1222" s="1">
        <f t="shared" si="152"/>
        <v>0</v>
      </c>
      <c r="W1222" s="1" t="str">
        <f t="shared" si="153"/>
        <v/>
      </c>
      <c r="X1222" s="1"/>
      <c r="Y1222" s="1"/>
      <c r="Z1222" s="1"/>
      <c r="AA1222" s="1"/>
      <c r="AB1222" s="1"/>
      <c r="AC1222" s="1"/>
      <c r="AD1222" s="1">
        <f>IF($C1222="",0,SUMPRODUCT((AY_SONU!$O$7:$O$42="Evet")*(AY_SONU!$B$7:$B$42=DATE(YEAR($C1222),MONTH($C1222),1))))</f>
        <v>0</v>
      </c>
      <c r="AE1222" s="1" t="str">
        <f>IF($E1222="","",$E1222&amp;"|"&amp;COUNTIFS($E$7:$E1222,$E1222))</f>
        <v/>
      </c>
    </row>
    <row r="1223" spans="1:31" ht="18" customHeight="1" x14ac:dyDescent="0.3">
      <c r="A1223" s="2"/>
      <c r="B1223" s="65" t="str">
        <f t="shared" ref="B1223:B1286" si="154">IF($C1223="","","GG"&amp;TEXT(ROW()-6,"00000"))</f>
        <v/>
      </c>
      <c r="C1223" s="66"/>
      <c r="D1223" s="60"/>
      <c r="E1223" s="61"/>
      <c r="F1223" s="61"/>
      <c r="G1223" s="67"/>
      <c r="H1223" s="60"/>
      <c r="I1223" s="60"/>
      <c r="J1223" s="61"/>
      <c r="K1223" s="61"/>
      <c r="L1223" s="60"/>
      <c r="M1223" s="74" t="str">
        <f t="shared" ref="M1223:M1286" si="155">IF($C1223="","",IF($D1223="Gider",$E1223,IF($L1223&lt;&gt;"",$L1223,$H1223)))</f>
        <v/>
      </c>
      <c r="N1223" s="74" t="str">
        <f t="shared" ref="N1223:N1286" si="156">IF($C1223="","",IF($D1223="Gider",$H1223,$E1223))</f>
        <v/>
      </c>
      <c r="O1223" s="73" t="str">
        <f t="shared" ref="O1223:O1286" si="157">IF($C1223="","",DATE(YEAR($C1223),MONTH($C1223),1))</f>
        <v/>
      </c>
      <c r="P1223" s="65" t="str">
        <f t="shared" ref="P1223:P1286" ca="1" si="158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TARİH",IF(COUNTIF($W$7:$W$3006,$W1223)&gt;1,"MÜKERRER?",IF($AD1223&gt;0,"KAPALI DÖNEM",IF($I1223="Hayır","ÖDENECEK","UYGUN")))),"EKSİK"))))</f>
        <v/>
      </c>
      <c r="Q1223" s="2"/>
      <c r="R1223" s="2"/>
      <c r="S1223" s="1" t="str">
        <f t="shared" ref="S1223:S1286" si="159"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1" t="str">
        <f>IF(OR($C1223="",$D1223&lt;&gt;"Gelir",$L1223=""),"",IFERROR(INDEX(MUSTERILER!$B$7:$B$156,MATCH($S1223,MUSTERILER!$T$7:$T$156,0)),""))</f>
        <v/>
      </c>
      <c r="U1223" s="1" t="str">
        <f>IF($T1223="","",$T1223&amp;"|"&amp;COUNTIFS($T$7:$T1223,$T1223))</f>
        <v/>
      </c>
      <c r="V1223" s="1">
        <f t="shared" ref="V1223:V1286" si="160">IF($T1223="",0,1)</f>
        <v>0</v>
      </c>
      <c r="W1223" s="1" t="str">
        <f t="shared" ref="W1223:W1286" si="161">IF($C1223="","",$D1223&amp;"|"&amp;$E1223&amp;"|"&amp;TEXT($C1223,"0")&amp;"|"&amp;TEXT($G1223,"0")&amp;"|"&amp;$J1223)</f>
        <v/>
      </c>
      <c r="X1223" s="1"/>
      <c r="Y1223" s="1"/>
      <c r="Z1223" s="1"/>
      <c r="AA1223" s="1"/>
      <c r="AB1223" s="1"/>
      <c r="AC1223" s="1"/>
      <c r="AD1223" s="1">
        <f>IF($C1223="",0,SUMPRODUCT((AY_SONU!$O$7:$O$42="Evet")*(AY_SONU!$B$7:$B$42=DATE(YEAR($C1223),MONTH($C1223),1))))</f>
        <v>0</v>
      </c>
      <c r="AE1223" s="1" t="str">
        <f>IF($E1223="","",$E1223&amp;"|"&amp;COUNTIFS($E$7:$E1223,$E1223))</f>
        <v/>
      </c>
    </row>
    <row r="1224" spans="1:31" ht="18" customHeight="1" x14ac:dyDescent="0.3">
      <c r="A1224" s="2"/>
      <c r="B1224" s="65" t="str">
        <f t="shared" si="154"/>
        <v/>
      </c>
      <c r="C1224" s="66"/>
      <c r="D1224" s="60"/>
      <c r="E1224" s="61"/>
      <c r="F1224" s="61"/>
      <c r="G1224" s="67"/>
      <c r="H1224" s="60"/>
      <c r="I1224" s="60"/>
      <c r="J1224" s="61"/>
      <c r="K1224" s="61"/>
      <c r="L1224" s="60"/>
      <c r="M1224" s="74" t="str">
        <f t="shared" si="155"/>
        <v/>
      </c>
      <c r="N1224" s="74" t="str">
        <f t="shared" si="156"/>
        <v/>
      </c>
      <c r="O1224" s="73" t="str">
        <f t="shared" si="157"/>
        <v/>
      </c>
      <c r="P1224" s="65" t="str">
        <f t="shared" ca="1" si="158"/>
        <v/>
      </c>
      <c r="Q1224" s="2"/>
      <c r="R1224" s="2"/>
      <c r="S1224" s="1" t="str">
        <f t="shared" si="159"/>
        <v/>
      </c>
      <c r="T1224" s="1" t="str">
        <f>IF(OR($C1224="",$D1224&lt;&gt;"Gelir",$L1224=""),"",IFERROR(INDEX(MUSTERILER!$B$7:$B$156,MATCH($S1224,MUSTERILER!$T$7:$T$156,0)),""))</f>
        <v/>
      </c>
      <c r="U1224" s="1" t="str">
        <f>IF($T1224="","",$T1224&amp;"|"&amp;COUNTIFS($T$7:$T1224,$T1224))</f>
        <v/>
      </c>
      <c r="V1224" s="1">
        <f t="shared" si="160"/>
        <v>0</v>
      </c>
      <c r="W1224" s="1" t="str">
        <f t="shared" si="161"/>
        <v/>
      </c>
      <c r="X1224" s="1"/>
      <c r="Y1224" s="1"/>
      <c r="Z1224" s="1"/>
      <c r="AA1224" s="1"/>
      <c r="AB1224" s="1"/>
      <c r="AC1224" s="1"/>
      <c r="AD1224" s="1">
        <f>IF($C1224="",0,SUMPRODUCT((AY_SONU!$O$7:$O$42="Evet")*(AY_SONU!$B$7:$B$42=DATE(YEAR($C1224),MONTH($C1224),1))))</f>
        <v>0</v>
      </c>
      <c r="AE1224" s="1" t="str">
        <f>IF($E1224="","",$E1224&amp;"|"&amp;COUNTIFS($E$7:$E1224,$E1224))</f>
        <v/>
      </c>
    </row>
    <row r="1225" spans="1:31" ht="18" customHeight="1" x14ac:dyDescent="0.3">
      <c r="A1225" s="2"/>
      <c r="B1225" s="65" t="str">
        <f t="shared" si="154"/>
        <v/>
      </c>
      <c r="C1225" s="66"/>
      <c r="D1225" s="60"/>
      <c r="E1225" s="61"/>
      <c r="F1225" s="61"/>
      <c r="G1225" s="67"/>
      <c r="H1225" s="60"/>
      <c r="I1225" s="60"/>
      <c r="J1225" s="61"/>
      <c r="K1225" s="61"/>
      <c r="L1225" s="60"/>
      <c r="M1225" s="74" t="str">
        <f t="shared" si="155"/>
        <v/>
      </c>
      <c r="N1225" s="74" t="str">
        <f t="shared" si="156"/>
        <v/>
      </c>
      <c r="O1225" s="73" t="str">
        <f t="shared" si="157"/>
        <v/>
      </c>
      <c r="P1225" s="65" t="str">
        <f t="shared" ca="1" si="158"/>
        <v/>
      </c>
      <c r="Q1225" s="2"/>
      <c r="R1225" s="2"/>
      <c r="S1225" s="1" t="str">
        <f t="shared" si="159"/>
        <v/>
      </c>
      <c r="T1225" s="1" t="str">
        <f>IF(OR($C1225="",$D1225&lt;&gt;"Gelir",$L1225=""),"",IFERROR(INDEX(MUSTERILER!$B$7:$B$156,MATCH($S1225,MUSTERILER!$T$7:$T$156,0)),""))</f>
        <v/>
      </c>
      <c r="U1225" s="1" t="str">
        <f>IF($T1225="","",$T1225&amp;"|"&amp;COUNTIFS($T$7:$T1225,$T1225))</f>
        <v/>
      </c>
      <c r="V1225" s="1">
        <f t="shared" si="160"/>
        <v>0</v>
      </c>
      <c r="W1225" s="1" t="str">
        <f t="shared" si="161"/>
        <v/>
      </c>
      <c r="X1225" s="1"/>
      <c r="Y1225" s="1"/>
      <c r="Z1225" s="1"/>
      <c r="AA1225" s="1"/>
      <c r="AB1225" s="1"/>
      <c r="AC1225" s="1"/>
      <c r="AD1225" s="1">
        <f>IF($C1225="",0,SUMPRODUCT((AY_SONU!$O$7:$O$42="Evet")*(AY_SONU!$B$7:$B$42=DATE(YEAR($C1225),MONTH($C1225),1))))</f>
        <v>0</v>
      </c>
      <c r="AE1225" s="1" t="str">
        <f>IF($E1225="","",$E1225&amp;"|"&amp;COUNTIFS($E$7:$E1225,$E1225))</f>
        <v/>
      </c>
    </row>
    <row r="1226" spans="1:31" ht="18" customHeight="1" x14ac:dyDescent="0.3">
      <c r="A1226" s="2"/>
      <c r="B1226" s="65" t="str">
        <f t="shared" si="154"/>
        <v/>
      </c>
      <c r="C1226" s="66"/>
      <c r="D1226" s="60"/>
      <c r="E1226" s="61"/>
      <c r="F1226" s="61"/>
      <c r="G1226" s="67"/>
      <c r="H1226" s="60"/>
      <c r="I1226" s="60"/>
      <c r="J1226" s="61"/>
      <c r="K1226" s="61"/>
      <c r="L1226" s="60"/>
      <c r="M1226" s="74" t="str">
        <f t="shared" si="155"/>
        <v/>
      </c>
      <c r="N1226" s="74" t="str">
        <f t="shared" si="156"/>
        <v/>
      </c>
      <c r="O1226" s="73" t="str">
        <f t="shared" si="157"/>
        <v/>
      </c>
      <c r="P1226" s="65" t="str">
        <f t="shared" ca="1" si="158"/>
        <v/>
      </c>
      <c r="Q1226" s="2"/>
      <c r="R1226" s="2"/>
      <c r="S1226" s="1" t="str">
        <f t="shared" si="159"/>
        <v/>
      </c>
      <c r="T1226" s="1" t="str">
        <f>IF(OR($C1226="",$D1226&lt;&gt;"Gelir",$L1226=""),"",IFERROR(INDEX(MUSTERILER!$B$7:$B$156,MATCH($S1226,MUSTERILER!$T$7:$T$156,0)),""))</f>
        <v/>
      </c>
      <c r="U1226" s="1" t="str">
        <f>IF($T1226="","",$T1226&amp;"|"&amp;COUNTIFS($T$7:$T1226,$T1226))</f>
        <v/>
      </c>
      <c r="V1226" s="1">
        <f t="shared" si="160"/>
        <v>0</v>
      </c>
      <c r="W1226" s="1" t="str">
        <f t="shared" si="161"/>
        <v/>
      </c>
      <c r="X1226" s="1"/>
      <c r="Y1226" s="1"/>
      <c r="Z1226" s="1"/>
      <c r="AA1226" s="1"/>
      <c r="AB1226" s="1"/>
      <c r="AC1226" s="1"/>
      <c r="AD1226" s="1">
        <f>IF($C1226="",0,SUMPRODUCT((AY_SONU!$O$7:$O$42="Evet")*(AY_SONU!$B$7:$B$42=DATE(YEAR($C1226),MONTH($C1226),1))))</f>
        <v>0</v>
      </c>
      <c r="AE1226" s="1" t="str">
        <f>IF($E1226="","",$E1226&amp;"|"&amp;COUNTIFS($E$7:$E1226,$E1226))</f>
        <v/>
      </c>
    </row>
    <row r="1227" spans="1:31" ht="18" customHeight="1" x14ac:dyDescent="0.3">
      <c r="A1227" s="2"/>
      <c r="B1227" s="65" t="str">
        <f t="shared" si="154"/>
        <v/>
      </c>
      <c r="C1227" s="66"/>
      <c r="D1227" s="60"/>
      <c r="E1227" s="61"/>
      <c r="F1227" s="61"/>
      <c r="G1227" s="67"/>
      <c r="H1227" s="60"/>
      <c r="I1227" s="60"/>
      <c r="J1227" s="61"/>
      <c r="K1227" s="61"/>
      <c r="L1227" s="60"/>
      <c r="M1227" s="74" t="str">
        <f t="shared" si="155"/>
        <v/>
      </c>
      <c r="N1227" s="74" t="str">
        <f t="shared" si="156"/>
        <v/>
      </c>
      <c r="O1227" s="73" t="str">
        <f t="shared" si="157"/>
        <v/>
      </c>
      <c r="P1227" s="65" t="str">
        <f t="shared" ca="1" si="158"/>
        <v/>
      </c>
      <c r="Q1227" s="2"/>
      <c r="R1227" s="2"/>
      <c r="S1227" s="1" t="str">
        <f t="shared" si="159"/>
        <v/>
      </c>
      <c r="T1227" s="1" t="str">
        <f>IF(OR($C1227="",$D1227&lt;&gt;"Gelir",$L1227=""),"",IFERROR(INDEX(MUSTERILER!$B$7:$B$156,MATCH($S1227,MUSTERILER!$T$7:$T$156,0)),""))</f>
        <v/>
      </c>
      <c r="U1227" s="1" t="str">
        <f>IF($T1227="","",$T1227&amp;"|"&amp;COUNTIFS($T$7:$T1227,$T1227))</f>
        <v/>
      </c>
      <c r="V1227" s="1">
        <f t="shared" si="160"/>
        <v>0</v>
      </c>
      <c r="W1227" s="1" t="str">
        <f t="shared" si="161"/>
        <v/>
      </c>
      <c r="X1227" s="1"/>
      <c r="Y1227" s="1"/>
      <c r="Z1227" s="1"/>
      <c r="AA1227" s="1"/>
      <c r="AB1227" s="1"/>
      <c r="AC1227" s="1"/>
      <c r="AD1227" s="1">
        <f>IF($C1227="",0,SUMPRODUCT((AY_SONU!$O$7:$O$42="Evet")*(AY_SONU!$B$7:$B$42=DATE(YEAR($C1227),MONTH($C1227),1))))</f>
        <v>0</v>
      </c>
      <c r="AE1227" s="1" t="str">
        <f>IF($E1227="","",$E1227&amp;"|"&amp;COUNTIFS($E$7:$E1227,$E1227))</f>
        <v/>
      </c>
    </row>
    <row r="1228" spans="1:31" ht="18" customHeight="1" x14ac:dyDescent="0.3">
      <c r="A1228" s="2"/>
      <c r="B1228" s="65" t="str">
        <f t="shared" si="154"/>
        <v/>
      </c>
      <c r="C1228" s="66"/>
      <c r="D1228" s="60"/>
      <c r="E1228" s="61"/>
      <c r="F1228" s="61"/>
      <c r="G1228" s="67"/>
      <c r="H1228" s="60"/>
      <c r="I1228" s="60"/>
      <c r="J1228" s="61"/>
      <c r="K1228" s="61"/>
      <c r="L1228" s="60"/>
      <c r="M1228" s="74" t="str">
        <f t="shared" si="155"/>
        <v/>
      </c>
      <c r="N1228" s="74" t="str">
        <f t="shared" si="156"/>
        <v/>
      </c>
      <c r="O1228" s="73" t="str">
        <f t="shared" si="157"/>
        <v/>
      </c>
      <c r="P1228" s="65" t="str">
        <f t="shared" ca="1" si="158"/>
        <v/>
      </c>
      <c r="Q1228" s="2"/>
      <c r="R1228" s="2"/>
      <c r="S1228" s="1" t="str">
        <f t="shared" si="159"/>
        <v/>
      </c>
      <c r="T1228" s="1" t="str">
        <f>IF(OR($C1228="",$D1228&lt;&gt;"Gelir",$L1228=""),"",IFERROR(INDEX(MUSTERILER!$B$7:$B$156,MATCH($S1228,MUSTERILER!$T$7:$T$156,0)),""))</f>
        <v/>
      </c>
      <c r="U1228" s="1" t="str">
        <f>IF($T1228="","",$T1228&amp;"|"&amp;COUNTIFS($T$7:$T1228,$T1228))</f>
        <v/>
      </c>
      <c r="V1228" s="1">
        <f t="shared" si="160"/>
        <v>0</v>
      </c>
      <c r="W1228" s="1" t="str">
        <f t="shared" si="161"/>
        <v/>
      </c>
      <c r="X1228" s="1"/>
      <c r="Y1228" s="1"/>
      <c r="Z1228" s="1"/>
      <c r="AA1228" s="1"/>
      <c r="AB1228" s="1"/>
      <c r="AC1228" s="1"/>
      <c r="AD1228" s="1">
        <f>IF($C1228="",0,SUMPRODUCT((AY_SONU!$O$7:$O$42="Evet")*(AY_SONU!$B$7:$B$42=DATE(YEAR($C1228),MONTH($C1228),1))))</f>
        <v>0</v>
      </c>
      <c r="AE1228" s="1" t="str">
        <f>IF($E1228="","",$E1228&amp;"|"&amp;COUNTIFS($E$7:$E1228,$E1228))</f>
        <v/>
      </c>
    </row>
    <row r="1229" spans="1:31" ht="18" customHeight="1" x14ac:dyDescent="0.3">
      <c r="A1229" s="2"/>
      <c r="B1229" s="65" t="str">
        <f t="shared" si="154"/>
        <v/>
      </c>
      <c r="C1229" s="66"/>
      <c r="D1229" s="60"/>
      <c r="E1229" s="61"/>
      <c r="F1229" s="61"/>
      <c r="G1229" s="67"/>
      <c r="H1229" s="60"/>
      <c r="I1229" s="60"/>
      <c r="J1229" s="61"/>
      <c r="K1229" s="61"/>
      <c r="L1229" s="60"/>
      <c r="M1229" s="74" t="str">
        <f t="shared" si="155"/>
        <v/>
      </c>
      <c r="N1229" s="74" t="str">
        <f t="shared" si="156"/>
        <v/>
      </c>
      <c r="O1229" s="73" t="str">
        <f t="shared" si="157"/>
        <v/>
      </c>
      <c r="P1229" s="65" t="str">
        <f t="shared" ca="1" si="158"/>
        <v/>
      </c>
      <c r="Q1229" s="2"/>
      <c r="R1229" s="2"/>
      <c r="S1229" s="1" t="str">
        <f t="shared" si="159"/>
        <v/>
      </c>
      <c r="T1229" s="1" t="str">
        <f>IF(OR($C1229="",$D1229&lt;&gt;"Gelir",$L1229=""),"",IFERROR(INDEX(MUSTERILER!$B$7:$B$156,MATCH($S1229,MUSTERILER!$T$7:$T$156,0)),""))</f>
        <v/>
      </c>
      <c r="U1229" s="1" t="str">
        <f>IF($T1229="","",$T1229&amp;"|"&amp;COUNTIFS($T$7:$T1229,$T1229))</f>
        <v/>
      </c>
      <c r="V1229" s="1">
        <f t="shared" si="160"/>
        <v>0</v>
      </c>
      <c r="W1229" s="1" t="str">
        <f t="shared" si="161"/>
        <v/>
      </c>
      <c r="X1229" s="1"/>
      <c r="Y1229" s="1"/>
      <c r="Z1229" s="1"/>
      <c r="AA1229" s="1"/>
      <c r="AB1229" s="1"/>
      <c r="AC1229" s="1"/>
      <c r="AD1229" s="1">
        <f>IF($C1229="",0,SUMPRODUCT((AY_SONU!$O$7:$O$42="Evet")*(AY_SONU!$B$7:$B$42=DATE(YEAR($C1229),MONTH($C1229),1))))</f>
        <v>0</v>
      </c>
      <c r="AE1229" s="1" t="str">
        <f>IF($E1229="","",$E1229&amp;"|"&amp;COUNTIFS($E$7:$E1229,$E1229))</f>
        <v/>
      </c>
    </row>
    <row r="1230" spans="1:31" ht="18" customHeight="1" x14ac:dyDescent="0.3">
      <c r="A1230" s="2"/>
      <c r="B1230" s="65" t="str">
        <f t="shared" si="154"/>
        <v/>
      </c>
      <c r="C1230" s="66"/>
      <c r="D1230" s="60"/>
      <c r="E1230" s="61"/>
      <c r="F1230" s="61"/>
      <c r="G1230" s="67"/>
      <c r="H1230" s="60"/>
      <c r="I1230" s="60"/>
      <c r="J1230" s="61"/>
      <c r="K1230" s="61"/>
      <c r="L1230" s="60"/>
      <c r="M1230" s="74" t="str">
        <f t="shared" si="155"/>
        <v/>
      </c>
      <c r="N1230" s="74" t="str">
        <f t="shared" si="156"/>
        <v/>
      </c>
      <c r="O1230" s="73" t="str">
        <f t="shared" si="157"/>
        <v/>
      </c>
      <c r="P1230" s="65" t="str">
        <f t="shared" ca="1" si="158"/>
        <v/>
      </c>
      <c r="Q1230" s="2"/>
      <c r="R1230" s="2"/>
      <c r="S1230" s="1" t="str">
        <f t="shared" si="159"/>
        <v/>
      </c>
      <c r="T1230" s="1" t="str">
        <f>IF(OR($C1230="",$D1230&lt;&gt;"Gelir",$L1230=""),"",IFERROR(INDEX(MUSTERILER!$B$7:$B$156,MATCH($S1230,MUSTERILER!$T$7:$T$156,0)),""))</f>
        <v/>
      </c>
      <c r="U1230" s="1" t="str">
        <f>IF($T1230="","",$T1230&amp;"|"&amp;COUNTIFS($T$7:$T1230,$T1230))</f>
        <v/>
      </c>
      <c r="V1230" s="1">
        <f t="shared" si="160"/>
        <v>0</v>
      </c>
      <c r="W1230" s="1" t="str">
        <f t="shared" si="161"/>
        <v/>
      </c>
      <c r="X1230" s="1"/>
      <c r="Y1230" s="1"/>
      <c r="Z1230" s="1"/>
      <c r="AA1230" s="1"/>
      <c r="AB1230" s="1"/>
      <c r="AC1230" s="1"/>
      <c r="AD1230" s="1">
        <f>IF($C1230="",0,SUMPRODUCT((AY_SONU!$O$7:$O$42="Evet")*(AY_SONU!$B$7:$B$42=DATE(YEAR($C1230),MONTH($C1230),1))))</f>
        <v>0</v>
      </c>
      <c r="AE1230" s="1" t="str">
        <f>IF($E1230="","",$E1230&amp;"|"&amp;COUNTIFS($E$7:$E1230,$E1230))</f>
        <v/>
      </c>
    </row>
    <row r="1231" spans="1:31" ht="18" customHeight="1" x14ac:dyDescent="0.3">
      <c r="A1231" s="2"/>
      <c r="B1231" s="65" t="str">
        <f t="shared" si="154"/>
        <v/>
      </c>
      <c r="C1231" s="66"/>
      <c r="D1231" s="60"/>
      <c r="E1231" s="61"/>
      <c r="F1231" s="61"/>
      <c r="G1231" s="67"/>
      <c r="H1231" s="60"/>
      <c r="I1231" s="60"/>
      <c r="J1231" s="61"/>
      <c r="K1231" s="61"/>
      <c r="L1231" s="60"/>
      <c r="M1231" s="74" t="str">
        <f t="shared" si="155"/>
        <v/>
      </c>
      <c r="N1231" s="74" t="str">
        <f t="shared" si="156"/>
        <v/>
      </c>
      <c r="O1231" s="73" t="str">
        <f t="shared" si="157"/>
        <v/>
      </c>
      <c r="P1231" s="65" t="str">
        <f t="shared" ca="1" si="158"/>
        <v/>
      </c>
      <c r="Q1231" s="2"/>
      <c r="R1231" s="2"/>
      <c r="S1231" s="1" t="str">
        <f t="shared" si="159"/>
        <v/>
      </c>
      <c r="T1231" s="1" t="str">
        <f>IF(OR($C1231="",$D1231&lt;&gt;"Gelir",$L1231=""),"",IFERROR(INDEX(MUSTERILER!$B$7:$B$156,MATCH($S1231,MUSTERILER!$T$7:$T$156,0)),""))</f>
        <v/>
      </c>
      <c r="U1231" s="1" t="str">
        <f>IF($T1231="","",$T1231&amp;"|"&amp;COUNTIFS($T$7:$T1231,$T1231))</f>
        <v/>
      </c>
      <c r="V1231" s="1">
        <f t="shared" si="160"/>
        <v>0</v>
      </c>
      <c r="W1231" s="1" t="str">
        <f t="shared" si="161"/>
        <v/>
      </c>
      <c r="X1231" s="1"/>
      <c r="Y1231" s="1"/>
      <c r="Z1231" s="1"/>
      <c r="AA1231" s="1"/>
      <c r="AB1231" s="1"/>
      <c r="AC1231" s="1"/>
      <c r="AD1231" s="1">
        <f>IF($C1231="",0,SUMPRODUCT((AY_SONU!$O$7:$O$42="Evet")*(AY_SONU!$B$7:$B$42=DATE(YEAR($C1231),MONTH($C1231),1))))</f>
        <v>0</v>
      </c>
      <c r="AE1231" s="1" t="str">
        <f>IF($E1231="","",$E1231&amp;"|"&amp;COUNTIFS($E$7:$E1231,$E1231))</f>
        <v/>
      </c>
    </row>
    <row r="1232" spans="1:31" ht="18" customHeight="1" x14ac:dyDescent="0.3">
      <c r="A1232" s="2"/>
      <c r="B1232" s="65" t="str">
        <f t="shared" si="154"/>
        <v/>
      </c>
      <c r="C1232" s="66"/>
      <c r="D1232" s="60"/>
      <c r="E1232" s="61"/>
      <c r="F1232" s="61"/>
      <c r="G1232" s="67"/>
      <c r="H1232" s="60"/>
      <c r="I1232" s="60"/>
      <c r="J1232" s="61"/>
      <c r="K1232" s="61"/>
      <c r="L1232" s="60"/>
      <c r="M1232" s="74" t="str">
        <f t="shared" si="155"/>
        <v/>
      </c>
      <c r="N1232" s="74" t="str">
        <f t="shared" si="156"/>
        <v/>
      </c>
      <c r="O1232" s="73" t="str">
        <f t="shared" si="157"/>
        <v/>
      </c>
      <c r="P1232" s="65" t="str">
        <f t="shared" ca="1" si="158"/>
        <v/>
      </c>
      <c r="Q1232" s="2"/>
      <c r="R1232" s="2"/>
      <c r="S1232" s="1" t="str">
        <f t="shared" si="159"/>
        <v/>
      </c>
      <c r="T1232" s="1" t="str">
        <f>IF(OR($C1232="",$D1232&lt;&gt;"Gelir",$L1232=""),"",IFERROR(INDEX(MUSTERILER!$B$7:$B$156,MATCH($S1232,MUSTERILER!$T$7:$T$156,0)),""))</f>
        <v/>
      </c>
      <c r="U1232" s="1" t="str">
        <f>IF($T1232="","",$T1232&amp;"|"&amp;COUNTIFS($T$7:$T1232,$T1232))</f>
        <v/>
      </c>
      <c r="V1232" s="1">
        <f t="shared" si="160"/>
        <v>0</v>
      </c>
      <c r="W1232" s="1" t="str">
        <f t="shared" si="161"/>
        <v/>
      </c>
      <c r="X1232" s="1"/>
      <c r="Y1232" s="1"/>
      <c r="Z1232" s="1"/>
      <c r="AA1232" s="1"/>
      <c r="AB1232" s="1"/>
      <c r="AC1232" s="1"/>
      <c r="AD1232" s="1">
        <f>IF($C1232="",0,SUMPRODUCT((AY_SONU!$O$7:$O$42="Evet")*(AY_SONU!$B$7:$B$42=DATE(YEAR($C1232),MONTH($C1232),1))))</f>
        <v>0</v>
      </c>
      <c r="AE1232" s="1" t="str">
        <f>IF($E1232="","",$E1232&amp;"|"&amp;COUNTIFS($E$7:$E1232,$E1232))</f>
        <v/>
      </c>
    </row>
    <row r="1233" spans="1:31" ht="18" customHeight="1" x14ac:dyDescent="0.3">
      <c r="A1233" s="2"/>
      <c r="B1233" s="65" t="str">
        <f t="shared" si="154"/>
        <v/>
      </c>
      <c r="C1233" s="66"/>
      <c r="D1233" s="60"/>
      <c r="E1233" s="61"/>
      <c r="F1233" s="61"/>
      <c r="G1233" s="67"/>
      <c r="H1233" s="60"/>
      <c r="I1233" s="60"/>
      <c r="J1233" s="61"/>
      <c r="K1233" s="61"/>
      <c r="L1233" s="60"/>
      <c r="M1233" s="74" t="str">
        <f t="shared" si="155"/>
        <v/>
      </c>
      <c r="N1233" s="74" t="str">
        <f t="shared" si="156"/>
        <v/>
      </c>
      <c r="O1233" s="73" t="str">
        <f t="shared" si="157"/>
        <v/>
      </c>
      <c r="P1233" s="65" t="str">
        <f t="shared" ca="1" si="158"/>
        <v/>
      </c>
      <c r="Q1233" s="2"/>
      <c r="R1233" s="2"/>
      <c r="S1233" s="1" t="str">
        <f t="shared" si="159"/>
        <v/>
      </c>
      <c r="T1233" s="1" t="str">
        <f>IF(OR($C1233="",$D1233&lt;&gt;"Gelir",$L1233=""),"",IFERROR(INDEX(MUSTERILER!$B$7:$B$156,MATCH($S1233,MUSTERILER!$T$7:$T$156,0)),""))</f>
        <v/>
      </c>
      <c r="U1233" s="1" t="str">
        <f>IF($T1233="","",$T1233&amp;"|"&amp;COUNTIFS($T$7:$T1233,$T1233))</f>
        <v/>
      </c>
      <c r="V1233" s="1">
        <f t="shared" si="160"/>
        <v>0</v>
      </c>
      <c r="W1233" s="1" t="str">
        <f t="shared" si="161"/>
        <v/>
      </c>
      <c r="X1233" s="1"/>
      <c r="Y1233" s="1"/>
      <c r="Z1233" s="1"/>
      <c r="AA1233" s="1"/>
      <c r="AB1233" s="1"/>
      <c r="AC1233" s="1"/>
      <c r="AD1233" s="1">
        <f>IF($C1233="",0,SUMPRODUCT((AY_SONU!$O$7:$O$42="Evet")*(AY_SONU!$B$7:$B$42=DATE(YEAR($C1233),MONTH($C1233),1))))</f>
        <v>0</v>
      </c>
      <c r="AE1233" s="1" t="str">
        <f>IF($E1233="","",$E1233&amp;"|"&amp;COUNTIFS($E$7:$E1233,$E1233))</f>
        <v/>
      </c>
    </row>
    <row r="1234" spans="1:31" ht="18" customHeight="1" x14ac:dyDescent="0.3">
      <c r="A1234" s="2"/>
      <c r="B1234" s="65" t="str">
        <f t="shared" si="154"/>
        <v/>
      </c>
      <c r="C1234" s="66"/>
      <c r="D1234" s="60"/>
      <c r="E1234" s="61"/>
      <c r="F1234" s="61"/>
      <c r="G1234" s="67"/>
      <c r="H1234" s="60"/>
      <c r="I1234" s="60"/>
      <c r="J1234" s="61"/>
      <c r="K1234" s="61"/>
      <c r="L1234" s="60"/>
      <c r="M1234" s="74" t="str">
        <f t="shared" si="155"/>
        <v/>
      </c>
      <c r="N1234" s="74" t="str">
        <f t="shared" si="156"/>
        <v/>
      </c>
      <c r="O1234" s="73" t="str">
        <f t="shared" si="157"/>
        <v/>
      </c>
      <c r="P1234" s="65" t="str">
        <f t="shared" ca="1" si="158"/>
        <v/>
      </c>
      <c r="Q1234" s="2"/>
      <c r="R1234" s="2"/>
      <c r="S1234" s="1" t="str">
        <f t="shared" si="159"/>
        <v/>
      </c>
      <c r="T1234" s="1" t="str">
        <f>IF(OR($C1234="",$D1234&lt;&gt;"Gelir",$L1234=""),"",IFERROR(INDEX(MUSTERILER!$B$7:$B$156,MATCH($S1234,MUSTERILER!$T$7:$T$156,0)),""))</f>
        <v/>
      </c>
      <c r="U1234" s="1" t="str">
        <f>IF($T1234="","",$T1234&amp;"|"&amp;COUNTIFS($T$7:$T1234,$T1234))</f>
        <v/>
      </c>
      <c r="V1234" s="1">
        <f t="shared" si="160"/>
        <v>0</v>
      </c>
      <c r="W1234" s="1" t="str">
        <f t="shared" si="161"/>
        <v/>
      </c>
      <c r="X1234" s="1"/>
      <c r="Y1234" s="1"/>
      <c r="Z1234" s="1"/>
      <c r="AA1234" s="1"/>
      <c r="AB1234" s="1"/>
      <c r="AC1234" s="1"/>
      <c r="AD1234" s="1">
        <f>IF($C1234="",0,SUMPRODUCT((AY_SONU!$O$7:$O$42="Evet")*(AY_SONU!$B$7:$B$42=DATE(YEAR($C1234),MONTH($C1234),1))))</f>
        <v>0</v>
      </c>
      <c r="AE1234" s="1" t="str">
        <f>IF($E1234="","",$E1234&amp;"|"&amp;COUNTIFS($E$7:$E1234,$E1234))</f>
        <v/>
      </c>
    </row>
    <row r="1235" spans="1:31" ht="18" customHeight="1" x14ac:dyDescent="0.3">
      <c r="A1235" s="2"/>
      <c r="B1235" s="65" t="str">
        <f t="shared" si="154"/>
        <v/>
      </c>
      <c r="C1235" s="66"/>
      <c r="D1235" s="60"/>
      <c r="E1235" s="61"/>
      <c r="F1235" s="61"/>
      <c r="G1235" s="67"/>
      <c r="H1235" s="60"/>
      <c r="I1235" s="60"/>
      <c r="J1235" s="61"/>
      <c r="K1235" s="61"/>
      <c r="L1235" s="60"/>
      <c r="M1235" s="74" t="str">
        <f t="shared" si="155"/>
        <v/>
      </c>
      <c r="N1235" s="74" t="str">
        <f t="shared" si="156"/>
        <v/>
      </c>
      <c r="O1235" s="73" t="str">
        <f t="shared" si="157"/>
        <v/>
      </c>
      <c r="P1235" s="65" t="str">
        <f t="shared" ca="1" si="158"/>
        <v/>
      </c>
      <c r="Q1235" s="2"/>
      <c r="R1235" s="2"/>
      <c r="S1235" s="1" t="str">
        <f t="shared" si="159"/>
        <v/>
      </c>
      <c r="T1235" s="1" t="str">
        <f>IF(OR($C1235="",$D1235&lt;&gt;"Gelir",$L1235=""),"",IFERROR(INDEX(MUSTERILER!$B$7:$B$156,MATCH($S1235,MUSTERILER!$T$7:$T$156,0)),""))</f>
        <v/>
      </c>
      <c r="U1235" s="1" t="str">
        <f>IF($T1235="","",$T1235&amp;"|"&amp;COUNTIFS($T$7:$T1235,$T1235))</f>
        <v/>
      </c>
      <c r="V1235" s="1">
        <f t="shared" si="160"/>
        <v>0</v>
      </c>
      <c r="W1235" s="1" t="str">
        <f t="shared" si="161"/>
        <v/>
      </c>
      <c r="X1235" s="1"/>
      <c r="Y1235" s="1"/>
      <c r="Z1235" s="1"/>
      <c r="AA1235" s="1"/>
      <c r="AB1235" s="1"/>
      <c r="AC1235" s="1"/>
      <c r="AD1235" s="1">
        <f>IF($C1235="",0,SUMPRODUCT((AY_SONU!$O$7:$O$42="Evet")*(AY_SONU!$B$7:$B$42=DATE(YEAR($C1235),MONTH($C1235),1))))</f>
        <v>0</v>
      </c>
      <c r="AE1235" s="1" t="str">
        <f>IF($E1235="","",$E1235&amp;"|"&amp;COUNTIFS($E$7:$E1235,$E1235))</f>
        <v/>
      </c>
    </row>
    <row r="1236" spans="1:31" ht="18" customHeight="1" x14ac:dyDescent="0.3">
      <c r="A1236" s="2"/>
      <c r="B1236" s="65" t="str">
        <f t="shared" si="154"/>
        <v/>
      </c>
      <c r="C1236" s="66"/>
      <c r="D1236" s="60"/>
      <c r="E1236" s="61"/>
      <c r="F1236" s="61"/>
      <c r="G1236" s="67"/>
      <c r="H1236" s="60"/>
      <c r="I1236" s="60"/>
      <c r="J1236" s="61"/>
      <c r="K1236" s="61"/>
      <c r="L1236" s="60"/>
      <c r="M1236" s="74" t="str">
        <f t="shared" si="155"/>
        <v/>
      </c>
      <c r="N1236" s="74" t="str">
        <f t="shared" si="156"/>
        <v/>
      </c>
      <c r="O1236" s="73" t="str">
        <f t="shared" si="157"/>
        <v/>
      </c>
      <c r="P1236" s="65" t="str">
        <f t="shared" ca="1" si="158"/>
        <v/>
      </c>
      <c r="Q1236" s="2"/>
      <c r="R1236" s="2"/>
      <c r="S1236" s="1" t="str">
        <f t="shared" si="159"/>
        <v/>
      </c>
      <c r="T1236" s="1" t="str">
        <f>IF(OR($C1236="",$D1236&lt;&gt;"Gelir",$L1236=""),"",IFERROR(INDEX(MUSTERILER!$B$7:$B$156,MATCH($S1236,MUSTERILER!$T$7:$T$156,0)),""))</f>
        <v/>
      </c>
      <c r="U1236" s="1" t="str">
        <f>IF($T1236="","",$T1236&amp;"|"&amp;COUNTIFS($T$7:$T1236,$T1236))</f>
        <v/>
      </c>
      <c r="V1236" s="1">
        <f t="shared" si="160"/>
        <v>0</v>
      </c>
      <c r="W1236" s="1" t="str">
        <f t="shared" si="161"/>
        <v/>
      </c>
      <c r="X1236" s="1"/>
      <c r="Y1236" s="1"/>
      <c r="Z1236" s="1"/>
      <c r="AA1236" s="1"/>
      <c r="AB1236" s="1"/>
      <c r="AC1236" s="1"/>
      <c r="AD1236" s="1">
        <f>IF($C1236="",0,SUMPRODUCT((AY_SONU!$O$7:$O$42="Evet")*(AY_SONU!$B$7:$B$42=DATE(YEAR($C1236),MONTH($C1236),1))))</f>
        <v>0</v>
      </c>
      <c r="AE1236" s="1" t="str">
        <f>IF($E1236="","",$E1236&amp;"|"&amp;COUNTIFS($E$7:$E1236,$E1236))</f>
        <v/>
      </c>
    </row>
    <row r="1237" spans="1:31" ht="18" customHeight="1" x14ac:dyDescent="0.3">
      <c r="A1237" s="2"/>
      <c r="B1237" s="65" t="str">
        <f t="shared" si="154"/>
        <v/>
      </c>
      <c r="C1237" s="66"/>
      <c r="D1237" s="60"/>
      <c r="E1237" s="61"/>
      <c r="F1237" s="61"/>
      <c r="G1237" s="67"/>
      <c r="H1237" s="60"/>
      <c r="I1237" s="60"/>
      <c r="J1237" s="61"/>
      <c r="K1237" s="61"/>
      <c r="L1237" s="60"/>
      <c r="M1237" s="74" t="str">
        <f t="shared" si="155"/>
        <v/>
      </c>
      <c r="N1237" s="74" t="str">
        <f t="shared" si="156"/>
        <v/>
      </c>
      <c r="O1237" s="73" t="str">
        <f t="shared" si="157"/>
        <v/>
      </c>
      <c r="P1237" s="65" t="str">
        <f t="shared" ca="1" si="158"/>
        <v/>
      </c>
      <c r="Q1237" s="2"/>
      <c r="R1237" s="2"/>
      <c r="S1237" s="1" t="str">
        <f t="shared" si="159"/>
        <v/>
      </c>
      <c r="T1237" s="1" t="str">
        <f>IF(OR($C1237="",$D1237&lt;&gt;"Gelir",$L1237=""),"",IFERROR(INDEX(MUSTERILER!$B$7:$B$156,MATCH($S1237,MUSTERILER!$T$7:$T$156,0)),""))</f>
        <v/>
      </c>
      <c r="U1237" s="1" t="str">
        <f>IF($T1237="","",$T1237&amp;"|"&amp;COUNTIFS($T$7:$T1237,$T1237))</f>
        <v/>
      </c>
      <c r="V1237" s="1">
        <f t="shared" si="160"/>
        <v>0</v>
      </c>
      <c r="W1237" s="1" t="str">
        <f t="shared" si="161"/>
        <v/>
      </c>
      <c r="X1237" s="1"/>
      <c r="Y1237" s="1"/>
      <c r="Z1237" s="1"/>
      <c r="AA1237" s="1"/>
      <c r="AB1237" s="1"/>
      <c r="AC1237" s="1"/>
      <c r="AD1237" s="1">
        <f>IF($C1237="",0,SUMPRODUCT((AY_SONU!$O$7:$O$42="Evet")*(AY_SONU!$B$7:$B$42=DATE(YEAR($C1237),MONTH($C1237),1))))</f>
        <v>0</v>
      </c>
      <c r="AE1237" s="1" t="str">
        <f>IF($E1237="","",$E1237&amp;"|"&amp;COUNTIFS($E$7:$E1237,$E1237))</f>
        <v/>
      </c>
    </row>
    <row r="1238" spans="1:31" ht="18" customHeight="1" x14ac:dyDescent="0.3">
      <c r="A1238" s="2"/>
      <c r="B1238" s="65" t="str">
        <f t="shared" si="154"/>
        <v/>
      </c>
      <c r="C1238" s="66"/>
      <c r="D1238" s="60"/>
      <c r="E1238" s="61"/>
      <c r="F1238" s="61"/>
      <c r="G1238" s="67"/>
      <c r="H1238" s="60"/>
      <c r="I1238" s="60"/>
      <c r="J1238" s="61"/>
      <c r="K1238" s="61"/>
      <c r="L1238" s="60"/>
      <c r="M1238" s="74" t="str">
        <f t="shared" si="155"/>
        <v/>
      </c>
      <c r="N1238" s="74" t="str">
        <f t="shared" si="156"/>
        <v/>
      </c>
      <c r="O1238" s="73" t="str">
        <f t="shared" si="157"/>
        <v/>
      </c>
      <c r="P1238" s="65" t="str">
        <f t="shared" ca="1" si="158"/>
        <v/>
      </c>
      <c r="Q1238" s="2"/>
      <c r="R1238" s="2"/>
      <c r="S1238" s="1" t="str">
        <f t="shared" si="159"/>
        <v/>
      </c>
      <c r="T1238" s="1" t="str">
        <f>IF(OR($C1238="",$D1238&lt;&gt;"Gelir",$L1238=""),"",IFERROR(INDEX(MUSTERILER!$B$7:$B$156,MATCH($S1238,MUSTERILER!$T$7:$T$156,0)),""))</f>
        <v/>
      </c>
      <c r="U1238" s="1" t="str">
        <f>IF($T1238="","",$T1238&amp;"|"&amp;COUNTIFS($T$7:$T1238,$T1238))</f>
        <v/>
      </c>
      <c r="V1238" s="1">
        <f t="shared" si="160"/>
        <v>0</v>
      </c>
      <c r="W1238" s="1" t="str">
        <f t="shared" si="161"/>
        <v/>
      </c>
      <c r="X1238" s="1"/>
      <c r="Y1238" s="1"/>
      <c r="Z1238" s="1"/>
      <c r="AA1238" s="1"/>
      <c r="AB1238" s="1"/>
      <c r="AC1238" s="1"/>
      <c r="AD1238" s="1">
        <f>IF($C1238="",0,SUMPRODUCT((AY_SONU!$O$7:$O$42="Evet")*(AY_SONU!$B$7:$B$42=DATE(YEAR($C1238),MONTH($C1238),1))))</f>
        <v>0</v>
      </c>
      <c r="AE1238" s="1" t="str">
        <f>IF($E1238="","",$E1238&amp;"|"&amp;COUNTIFS($E$7:$E1238,$E1238))</f>
        <v/>
      </c>
    </row>
    <row r="1239" spans="1:31" ht="18" customHeight="1" x14ac:dyDescent="0.3">
      <c r="A1239" s="2"/>
      <c r="B1239" s="65" t="str">
        <f t="shared" si="154"/>
        <v/>
      </c>
      <c r="C1239" s="66"/>
      <c r="D1239" s="60"/>
      <c r="E1239" s="61"/>
      <c r="F1239" s="61"/>
      <c r="G1239" s="67"/>
      <c r="H1239" s="60"/>
      <c r="I1239" s="60"/>
      <c r="J1239" s="61"/>
      <c r="K1239" s="61"/>
      <c r="L1239" s="60"/>
      <c r="M1239" s="74" t="str">
        <f t="shared" si="155"/>
        <v/>
      </c>
      <c r="N1239" s="74" t="str">
        <f t="shared" si="156"/>
        <v/>
      </c>
      <c r="O1239" s="73" t="str">
        <f t="shared" si="157"/>
        <v/>
      </c>
      <c r="P1239" s="65" t="str">
        <f t="shared" ca="1" si="158"/>
        <v/>
      </c>
      <c r="Q1239" s="2"/>
      <c r="R1239" s="2"/>
      <c r="S1239" s="1" t="str">
        <f t="shared" si="159"/>
        <v/>
      </c>
      <c r="T1239" s="1" t="str">
        <f>IF(OR($C1239="",$D1239&lt;&gt;"Gelir",$L1239=""),"",IFERROR(INDEX(MUSTERILER!$B$7:$B$156,MATCH($S1239,MUSTERILER!$T$7:$T$156,0)),""))</f>
        <v/>
      </c>
      <c r="U1239" s="1" t="str">
        <f>IF($T1239="","",$T1239&amp;"|"&amp;COUNTIFS($T$7:$T1239,$T1239))</f>
        <v/>
      </c>
      <c r="V1239" s="1">
        <f t="shared" si="160"/>
        <v>0</v>
      </c>
      <c r="W1239" s="1" t="str">
        <f t="shared" si="161"/>
        <v/>
      </c>
      <c r="X1239" s="1"/>
      <c r="Y1239" s="1"/>
      <c r="Z1239" s="1"/>
      <c r="AA1239" s="1"/>
      <c r="AB1239" s="1"/>
      <c r="AC1239" s="1"/>
      <c r="AD1239" s="1">
        <f>IF($C1239="",0,SUMPRODUCT((AY_SONU!$O$7:$O$42="Evet")*(AY_SONU!$B$7:$B$42=DATE(YEAR($C1239),MONTH($C1239),1))))</f>
        <v>0</v>
      </c>
      <c r="AE1239" s="1" t="str">
        <f>IF($E1239="","",$E1239&amp;"|"&amp;COUNTIFS($E$7:$E1239,$E1239))</f>
        <v/>
      </c>
    </row>
    <row r="1240" spans="1:31" ht="18" customHeight="1" x14ac:dyDescent="0.3">
      <c r="A1240" s="2"/>
      <c r="B1240" s="65" t="str">
        <f t="shared" si="154"/>
        <v/>
      </c>
      <c r="C1240" s="66"/>
      <c r="D1240" s="60"/>
      <c r="E1240" s="61"/>
      <c r="F1240" s="61"/>
      <c r="G1240" s="67"/>
      <c r="H1240" s="60"/>
      <c r="I1240" s="60"/>
      <c r="J1240" s="61"/>
      <c r="K1240" s="61"/>
      <c r="L1240" s="60"/>
      <c r="M1240" s="74" t="str">
        <f t="shared" si="155"/>
        <v/>
      </c>
      <c r="N1240" s="74" t="str">
        <f t="shared" si="156"/>
        <v/>
      </c>
      <c r="O1240" s="73" t="str">
        <f t="shared" si="157"/>
        <v/>
      </c>
      <c r="P1240" s="65" t="str">
        <f t="shared" ca="1" si="158"/>
        <v/>
      </c>
      <c r="Q1240" s="2"/>
      <c r="R1240" s="2"/>
      <c r="S1240" s="1" t="str">
        <f t="shared" si="159"/>
        <v/>
      </c>
      <c r="T1240" s="1" t="str">
        <f>IF(OR($C1240="",$D1240&lt;&gt;"Gelir",$L1240=""),"",IFERROR(INDEX(MUSTERILER!$B$7:$B$156,MATCH($S1240,MUSTERILER!$T$7:$T$156,0)),""))</f>
        <v/>
      </c>
      <c r="U1240" s="1" t="str">
        <f>IF($T1240="","",$T1240&amp;"|"&amp;COUNTIFS($T$7:$T1240,$T1240))</f>
        <v/>
      </c>
      <c r="V1240" s="1">
        <f t="shared" si="160"/>
        <v>0</v>
      </c>
      <c r="W1240" s="1" t="str">
        <f t="shared" si="161"/>
        <v/>
      </c>
      <c r="X1240" s="1"/>
      <c r="Y1240" s="1"/>
      <c r="Z1240" s="1"/>
      <c r="AA1240" s="1"/>
      <c r="AB1240" s="1"/>
      <c r="AC1240" s="1"/>
      <c r="AD1240" s="1">
        <f>IF($C1240="",0,SUMPRODUCT((AY_SONU!$O$7:$O$42="Evet")*(AY_SONU!$B$7:$B$42=DATE(YEAR($C1240),MONTH($C1240),1))))</f>
        <v>0</v>
      </c>
      <c r="AE1240" s="1" t="str">
        <f>IF($E1240="","",$E1240&amp;"|"&amp;COUNTIFS($E$7:$E1240,$E1240))</f>
        <v/>
      </c>
    </row>
    <row r="1241" spans="1:31" ht="18" customHeight="1" x14ac:dyDescent="0.3">
      <c r="A1241" s="2"/>
      <c r="B1241" s="65" t="str">
        <f t="shared" si="154"/>
        <v/>
      </c>
      <c r="C1241" s="66"/>
      <c r="D1241" s="60"/>
      <c r="E1241" s="61"/>
      <c r="F1241" s="61"/>
      <c r="G1241" s="67"/>
      <c r="H1241" s="60"/>
      <c r="I1241" s="60"/>
      <c r="J1241" s="61"/>
      <c r="K1241" s="61"/>
      <c r="L1241" s="60"/>
      <c r="M1241" s="74" t="str">
        <f t="shared" si="155"/>
        <v/>
      </c>
      <c r="N1241" s="74" t="str">
        <f t="shared" si="156"/>
        <v/>
      </c>
      <c r="O1241" s="73" t="str">
        <f t="shared" si="157"/>
        <v/>
      </c>
      <c r="P1241" s="65" t="str">
        <f t="shared" ca="1" si="158"/>
        <v/>
      </c>
      <c r="Q1241" s="2"/>
      <c r="R1241" s="2"/>
      <c r="S1241" s="1" t="str">
        <f t="shared" si="159"/>
        <v/>
      </c>
      <c r="T1241" s="1" t="str">
        <f>IF(OR($C1241="",$D1241&lt;&gt;"Gelir",$L1241=""),"",IFERROR(INDEX(MUSTERILER!$B$7:$B$156,MATCH($S1241,MUSTERILER!$T$7:$T$156,0)),""))</f>
        <v/>
      </c>
      <c r="U1241" s="1" t="str">
        <f>IF($T1241="","",$T1241&amp;"|"&amp;COUNTIFS($T$7:$T1241,$T1241))</f>
        <v/>
      </c>
      <c r="V1241" s="1">
        <f t="shared" si="160"/>
        <v>0</v>
      </c>
      <c r="W1241" s="1" t="str">
        <f t="shared" si="161"/>
        <v/>
      </c>
      <c r="X1241" s="1"/>
      <c r="Y1241" s="1"/>
      <c r="Z1241" s="1"/>
      <c r="AA1241" s="1"/>
      <c r="AB1241" s="1"/>
      <c r="AC1241" s="1"/>
      <c r="AD1241" s="1">
        <f>IF($C1241="",0,SUMPRODUCT((AY_SONU!$O$7:$O$42="Evet")*(AY_SONU!$B$7:$B$42=DATE(YEAR($C1241),MONTH($C1241),1))))</f>
        <v>0</v>
      </c>
      <c r="AE1241" s="1" t="str">
        <f>IF($E1241="","",$E1241&amp;"|"&amp;COUNTIFS($E$7:$E1241,$E1241))</f>
        <v/>
      </c>
    </row>
    <row r="1242" spans="1:31" ht="18" customHeight="1" x14ac:dyDescent="0.3">
      <c r="A1242" s="2"/>
      <c r="B1242" s="65" t="str">
        <f t="shared" si="154"/>
        <v/>
      </c>
      <c r="C1242" s="66"/>
      <c r="D1242" s="60"/>
      <c r="E1242" s="61"/>
      <c r="F1242" s="61"/>
      <c r="G1242" s="67"/>
      <c r="H1242" s="60"/>
      <c r="I1242" s="60"/>
      <c r="J1242" s="61"/>
      <c r="K1242" s="61"/>
      <c r="L1242" s="60"/>
      <c r="M1242" s="74" t="str">
        <f t="shared" si="155"/>
        <v/>
      </c>
      <c r="N1242" s="74" t="str">
        <f t="shared" si="156"/>
        <v/>
      </c>
      <c r="O1242" s="73" t="str">
        <f t="shared" si="157"/>
        <v/>
      </c>
      <c r="P1242" s="65" t="str">
        <f t="shared" ca="1" si="158"/>
        <v/>
      </c>
      <c r="Q1242" s="2"/>
      <c r="R1242" s="2"/>
      <c r="S1242" s="1" t="str">
        <f t="shared" si="159"/>
        <v/>
      </c>
      <c r="T1242" s="1" t="str">
        <f>IF(OR($C1242="",$D1242&lt;&gt;"Gelir",$L1242=""),"",IFERROR(INDEX(MUSTERILER!$B$7:$B$156,MATCH($S1242,MUSTERILER!$T$7:$T$156,0)),""))</f>
        <v/>
      </c>
      <c r="U1242" s="1" t="str">
        <f>IF($T1242="","",$T1242&amp;"|"&amp;COUNTIFS($T$7:$T1242,$T1242))</f>
        <v/>
      </c>
      <c r="V1242" s="1">
        <f t="shared" si="160"/>
        <v>0</v>
      </c>
      <c r="W1242" s="1" t="str">
        <f t="shared" si="161"/>
        <v/>
      </c>
      <c r="X1242" s="1"/>
      <c r="Y1242" s="1"/>
      <c r="Z1242" s="1"/>
      <c r="AA1242" s="1"/>
      <c r="AB1242" s="1"/>
      <c r="AC1242" s="1"/>
      <c r="AD1242" s="1">
        <f>IF($C1242="",0,SUMPRODUCT((AY_SONU!$O$7:$O$42="Evet")*(AY_SONU!$B$7:$B$42=DATE(YEAR($C1242),MONTH($C1242),1))))</f>
        <v>0</v>
      </c>
      <c r="AE1242" s="1" t="str">
        <f>IF($E1242="","",$E1242&amp;"|"&amp;COUNTIFS($E$7:$E1242,$E1242))</f>
        <v/>
      </c>
    </row>
    <row r="1243" spans="1:31" ht="18" customHeight="1" x14ac:dyDescent="0.3">
      <c r="A1243" s="2"/>
      <c r="B1243" s="65" t="str">
        <f t="shared" si="154"/>
        <v/>
      </c>
      <c r="C1243" s="66"/>
      <c r="D1243" s="60"/>
      <c r="E1243" s="61"/>
      <c r="F1243" s="61"/>
      <c r="G1243" s="67"/>
      <c r="H1243" s="60"/>
      <c r="I1243" s="60"/>
      <c r="J1243" s="61"/>
      <c r="K1243" s="61"/>
      <c r="L1243" s="60"/>
      <c r="M1243" s="74" t="str">
        <f t="shared" si="155"/>
        <v/>
      </c>
      <c r="N1243" s="74" t="str">
        <f t="shared" si="156"/>
        <v/>
      </c>
      <c r="O1243" s="73" t="str">
        <f t="shared" si="157"/>
        <v/>
      </c>
      <c r="P1243" s="65" t="str">
        <f t="shared" ca="1" si="158"/>
        <v/>
      </c>
      <c r="Q1243" s="2"/>
      <c r="R1243" s="2"/>
      <c r="S1243" s="1" t="str">
        <f t="shared" si="159"/>
        <v/>
      </c>
      <c r="T1243" s="1" t="str">
        <f>IF(OR($C1243="",$D1243&lt;&gt;"Gelir",$L1243=""),"",IFERROR(INDEX(MUSTERILER!$B$7:$B$156,MATCH($S1243,MUSTERILER!$T$7:$T$156,0)),""))</f>
        <v/>
      </c>
      <c r="U1243" s="1" t="str">
        <f>IF($T1243="","",$T1243&amp;"|"&amp;COUNTIFS($T$7:$T1243,$T1243))</f>
        <v/>
      </c>
      <c r="V1243" s="1">
        <f t="shared" si="160"/>
        <v>0</v>
      </c>
      <c r="W1243" s="1" t="str">
        <f t="shared" si="161"/>
        <v/>
      </c>
      <c r="X1243" s="1"/>
      <c r="Y1243" s="1"/>
      <c r="Z1243" s="1"/>
      <c r="AA1243" s="1"/>
      <c r="AB1243" s="1"/>
      <c r="AC1243" s="1"/>
      <c r="AD1243" s="1">
        <f>IF($C1243="",0,SUMPRODUCT((AY_SONU!$O$7:$O$42="Evet")*(AY_SONU!$B$7:$B$42=DATE(YEAR($C1243),MONTH($C1243),1))))</f>
        <v>0</v>
      </c>
      <c r="AE1243" s="1" t="str">
        <f>IF($E1243="","",$E1243&amp;"|"&amp;COUNTIFS($E$7:$E1243,$E1243))</f>
        <v/>
      </c>
    </row>
    <row r="1244" spans="1:31" ht="18" customHeight="1" x14ac:dyDescent="0.3">
      <c r="A1244" s="2"/>
      <c r="B1244" s="65" t="str">
        <f t="shared" si="154"/>
        <v/>
      </c>
      <c r="C1244" s="66"/>
      <c r="D1244" s="60"/>
      <c r="E1244" s="61"/>
      <c r="F1244" s="61"/>
      <c r="G1244" s="67"/>
      <c r="H1244" s="60"/>
      <c r="I1244" s="60"/>
      <c r="J1244" s="61"/>
      <c r="K1244" s="61"/>
      <c r="L1244" s="60"/>
      <c r="M1244" s="74" t="str">
        <f t="shared" si="155"/>
        <v/>
      </c>
      <c r="N1244" s="74" t="str">
        <f t="shared" si="156"/>
        <v/>
      </c>
      <c r="O1244" s="73" t="str">
        <f t="shared" si="157"/>
        <v/>
      </c>
      <c r="P1244" s="65" t="str">
        <f t="shared" ca="1" si="158"/>
        <v/>
      </c>
      <c r="Q1244" s="2"/>
      <c r="R1244" s="2"/>
      <c r="S1244" s="1" t="str">
        <f t="shared" si="159"/>
        <v/>
      </c>
      <c r="T1244" s="1" t="str">
        <f>IF(OR($C1244="",$D1244&lt;&gt;"Gelir",$L1244=""),"",IFERROR(INDEX(MUSTERILER!$B$7:$B$156,MATCH($S1244,MUSTERILER!$T$7:$T$156,0)),""))</f>
        <v/>
      </c>
      <c r="U1244" s="1" t="str">
        <f>IF($T1244="","",$T1244&amp;"|"&amp;COUNTIFS($T$7:$T1244,$T1244))</f>
        <v/>
      </c>
      <c r="V1244" s="1">
        <f t="shared" si="160"/>
        <v>0</v>
      </c>
      <c r="W1244" s="1" t="str">
        <f t="shared" si="161"/>
        <v/>
      </c>
      <c r="X1244" s="1"/>
      <c r="Y1244" s="1"/>
      <c r="Z1244" s="1"/>
      <c r="AA1244" s="1"/>
      <c r="AB1244" s="1"/>
      <c r="AC1244" s="1"/>
      <c r="AD1244" s="1">
        <f>IF($C1244="",0,SUMPRODUCT((AY_SONU!$O$7:$O$42="Evet")*(AY_SONU!$B$7:$B$42=DATE(YEAR($C1244),MONTH($C1244),1))))</f>
        <v>0</v>
      </c>
      <c r="AE1244" s="1" t="str">
        <f>IF($E1244="","",$E1244&amp;"|"&amp;COUNTIFS($E$7:$E1244,$E1244))</f>
        <v/>
      </c>
    </row>
    <row r="1245" spans="1:31" ht="18" customHeight="1" x14ac:dyDescent="0.3">
      <c r="A1245" s="2"/>
      <c r="B1245" s="65" t="str">
        <f t="shared" si="154"/>
        <v/>
      </c>
      <c r="C1245" s="66"/>
      <c r="D1245" s="60"/>
      <c r="E1245" s="61"/>
      <c r="F1245" s="61"/>
      <c r="G1245" s="67"/>
      <c r="H1245" s="60"/>
      <c r="I1245" s="60"/>
      <c r="J1245" s="61"/>
      <c r="K1245" s="61"/>
      <c r="L1245" s="60"/>
      <c r="M1245" s="74" t="str">
        <f t="shared" si="155"/>
        <v/>
      </c>
      <c r="N1245" s="74" t="str">
        <f t="shared" si="156"/>
        <v/>
      </c>
      <c r="O1245" s="73" t="str">
        <f t="shared" si="157"/>
        <v/>
      </c>
      <c r="P1245" s="65" t="str">
        <f t="shared" ca="1" si="158"/>
        <v/>
      </c>
      <c r="Q1245" s="2"/>
      <c r="R1245" s="2"/>
      <c r="S1245" s="1" t="str">
        <f t="shared" si="159"/>
        <v/>
      </c>
      <c r="T1245" s="1" t="str">
        <f>IF(OR($C1245="",$D1245&lt;&gt;"Gelir",$L1245=""),"",IFERROR(INDEX(MUSTERILER!$B$7:$B$156,MATCH($S1245,MUSTERILER!$T$7:$T$156,0)),""))</f>
        <v/>
      </c>
      <c r="U1245" s="1" t="str">
        <f>IF($T1245="","",$T1245&amp;"|"&amp;COUNTIFS($T$7:$T1245,$T1245))</f>
        <v/>
      </c>
      <c r="V1245" s="1">
        <f t="shared" si="160"/>
        <v>0</v>
      </c>
      <c r="W1245" s="1" t="str">
        <f t="shared" si="161"/>
        <v/>
      </c>
      <c r="X1245" s="1"/>
      <c r="Y1245" s="1"/>
      <c r="Z1245" s="1"/>
      <c r="AA1245" s="1"/>
      <c r="AB1245" s="1"/>
      <c r="AC1245" s="1"/>
      <c r="AD1245" s="1">
        <f>IF($C1245="",0,SUMPRODUCT((AY_SONU!$O$7:$O$42="Evet")*(AY_SONU!$B$7:$B$42=DATE(YEAR($C1245),MONTH($C1245),1))))</f>
        <v>0</v>
      </c>
      <c r="AE1245" s="1" t="str">
        <f>IF($E1245="","",$E1245&amp;"|"&amp;COUNTIFS($E$7:$E1245,$E1245))</f>
        <v/>
      </c>
    </row>
    <row r="1246" spans="1:31" ht="18" customHeight="1" x14ac:dyDescent="0.3">
      <c r="A1246" s="2"/>
      <c r="B1246" s="65" t="str">
        <f t="shared" si="154"/>
        <v/>
      </c>
      <c r="C1246" s="66"/>
      <c r="D1246" s="60"/>
      <c r="E1246" s="61"/>
      <c r="F1246" s="61"/>
      <c r="G1246" s="67"/>
      <c r="H1246" s="60"/>
      <c r="I1246" s="60"/>
      <c r="J1246" s="61"/>
      <c r="K1246" s="61"/>
      <c r="L1246" s="60"/>
      <c r="M1246" s="74" t="str">
        <f t="shared" si="155"/>
        <v/>
      </c>
      <c r="N1246" s="74" t="str">
        <f t="shared" si="156"/>
        <v/>
      </c>
      <c r="O1246" s="73" t="str">
        <f t="shared" si="157"/>
        <v/>
      </c>
      <c r="P1246" s="65" t="str">
        <f t="shared" ca="1" si="158"/>
        <v/>
      </c>
      <c r="Q1246" s="2"/>
      <c r="R1246" s="2"/>
      <c r="S1246" s="1" t="str">
        <f t="shared" si="159"/>
        <v/>
      </c>
      <c r="T1246" s="1" t="str">
        <f>IF(OR($C1246="",$D1246&lt;&gt;"Gelir",$L1246=""),"",IFERROR(INDEX(MUSTERILER!$B$7:$B$156,MATCH($S1246,MUSTERILER!$T$7:$T$156,0)),""))</f>
        <v/>
      </c>
      <c r="U1246" s="1" t="str">
        <f>IF($T1246="","",$T1246&amp;"|"&amp;COUNTIFS($T$7:$T1246,$T1246))</f>
        <v/>
      </c>
      <c r="V1246" s="1">
        <f t="shared" si="160"/>
        <v>0</v>
      </c>
      <c r="W1246" s="1" t="str">
        <f t="shared" si="161"/>
        <v/>
      </c>
      <c r="X1246" s="1"/>
      <c r="Y1246" s="1"/>
      <c r="Z1246" s="1"/>
      <c r="AA1246" s="1"/>
      <c r="AB1246" s="1"/>
      <c r="AC1246" s="1"/>
      <c r="AD1246" s="1">
        <f>IF($C1246="",0,SUMPRODUCT((AY_SONU!$O$7:$O$42="Evet")*(AY_SONU!$B$7:$B$42=DATE(YEAR($C1246),MONTH($C1246),1))))</f>
        <v>0</v>
      </c>
      <c r="AE1246" s="1" t="str">
        <f>IF($E1246="","",$E1246&amp;"|"&amp;COUNTIFS($E$7:$E1246,$E1246))</f>
        <v/>
      </c>
    </row>
    <row r="1247" spans="1:31" ht="18" customHeight="1" x14ac:dyDescent="0.3">
      <c r="A1247" s="2"/>
      <c r="B1247" s="65" t="str">
        <f t="shared" si="154"/>
        <v/>
      </c>
      <c r="C1247" s="66"/>
      <c r="D1247" s="60"/>
      <c r="E1247" s="61"/>
      <c r="F1247" s="61"/>
      <c r="G1247" s="67"/>
      <c r="H1247" s="60"/>
      <c r="I1247" s="60"/>
      <c r="J1247" s="61"/>
      <c r="K1247" s="61"/>
      <c r="L1247" s="60"/>
      <c r="M1247" s="74" t="str">
        <f t="shared" si="155"/>
        <v/>
      </c>
      <c r="N1247" s="74" t="str">
        <f t="shared" si="156"/>
        <v/>
      </c>
      <c r="O1247" s="73" t="str">
        <f t="shared" si="157"/>
        <v/>
      </c>
      <c r="P1247" s="65" t="str">
        <f t="shared" ca="1" si="158"/>
        <v/>
      </c>
      <c r="Q1247" s="2"/>
      <c r="R1247" s="2"/>
      <c r="S1247" s="1" t="str">
        <f t="shared" si="159"/>
        <v/>
      </c>
      <c r="T1247" s="1" t="str">
        <f>IF(OR($C1247="",$D1247&lt;&gt;"Gelir",$L1247=""),"",IFERROR(INDEX(MUSTERILER!$B$7:$B$156,MATCH($S1247,MUSTERILER!$T$7:$T$156,0)),""))</f>
        <v/>
      </c>
      <c r="U1247" s="1" t="str">
        <f>IF($T1247="","",$T1247&amp;"|"&amp;COUNTIFS($T$7:$T1247,$T1247))</f>
        <v/>
      </c>
      <c r="V1247" s="1">
        <f t="shared" si="160"/>
        <v>0</v>
      </c>
      <c r="W1247" s="1" t="str">
        <f t="shared" si="161"/>
        <v/>
      </c>
      <c r="X1247" s="1"/>
      <c r="Y1247" s="1"/>
      <c r="Z1247" s="1"/>
      <c r="AA1247" s="1"/>
      <c r="AB1247" s="1"/>
      <c r="AC1247" s="1"/>
      <c r="AD1247" s="1">
        <f>IF($C1247="",0,SUMPRODUCT((AY_SONU!$O$7:$O$42="Evet")*(AY_SONU!$B$7:$B$42=DATE(YEAR($C1247),MONTH($C1247),1))))</f>
        <v>0</v>
      </c>
      <c r="AE1247" s="1" t="str">
        <f>IF($E1247="","",$E1247&amp;"|"&amp;COUNTIFS($E$7:$E1247,$E1247))</f>
        <v/>
      </c>
    </row>
    <row r="1248" spans="1:31" ht="18" customHeight="1" x14ac:dyDescent="0.3">
      <c r="A1248" s="2"/>
      <c r="B1248" s="65" t="str">
        <f t="shared" si="154"/>
        <v/>
      </c>
      <c r="C1248" s="66"/>
      <c r="D1248" s="60"/>
      <c r="E1248" s="61"/>
      <c r="F1248" s="61"/>
      <c r="G1248" s="67"/>
      <c r="H1248" s="60"/>
      <c r="I1248" s="60"/>
      <c r="J1248" s="61"/>
      <c r="K1248" s="61"/>
      <c r="L1248" s="60"/>
      <c r="M1248" s="74" t="str">
        <f t="shared" si="155"/>
        <v/>
      </c>
      <c r="N1248" s="74" t="str">
        <f t="shared" si="156"/>
        <v/>
      </c>
      <c r="O1248" s="73" t="str">
        <f t="shared" si="157"/>
        <v/>
      </c>
      <c r="P1248" s="65" t="str">
        <f t="shared" ca="1" si="158"/>
        <v/>
      </c>
      <c r="Q1248" s="2"/>
      <c r="R1248" s="2"/>
      <c r="S1248" s="1" t="str">
        <f t="shared" si="159"/>
        <v/>
      </c>
      <c r="T1248" s="1" t="str">
        <f>IF(OR($C1248="",$D1248&lt;&gt;"Gelir",$L1248=""),"",IFERROR(INDEX(MUSTERILER!$B$7:$B$156,MATCH($S1248,MUSTERILER!$T$7:$T$156,0)),""))</f>
        <v/>
      </c>
      <c r="U1248" s="1" t="str">
        <f>IF($T1248="","",$T1248&amp;"|"&amp;COUNTIFS($T$7:$T1248,$T1248))</f>
        <v/>
      </c>
      <c r="V1248" s="1">
        <f t="shared" si="160"/>
        <v>0</v>
      </c>
      <c r="W1248" s="1" t="str">
        <f t="shared" si="161"/>
        <v/>
      </c>
      <c r="X1248" s="1"/>
      <c r="Y1248" s="1"/>
      <c r="Z1248" s="1"/>
      <c r="AA1248" s="1"/>
      <c r="AB1248" s="1"/>
      <c r="AC1248" s="1"/>
      <c r="AD1248" s="1">
        <f>IF($C1248="",0,SUMPRODUCT((AY_SONU!$O$7:$O$42="Evet")*(AY_SONU!$B$7:$B$42=DATE(YEAR($C1248),MONTH($C1248),1))))</f>
        <v>0</v>
      </c>
      <c r="AE1248" s="1" t="str">
        <f>IF($E1248="","",$E1248&amp;"|"&amp;COUNTIFS($E$7:$E1248,$E1248))</f>
        <v/>
      </c>
    </row>
    <row r="1249" spans="1:31" ht="18" customHeight="1" x14ac:dyDescent="0.3">
      <c r="A1249" s="2"/>
      <c r="B1249" s="65" t="str">
        <f t="shared" si="154"/>
        <v/>
      </c>
      <c r="C1249" s="66"/>
      <c r="D1249" s="60"/>
      <c r="E1249" s="61"/>
      <c r="F1249" s="61"/>
      <c r="G1249" s="67"/>
      <c r="H1249" s="60"/>
      <c r="I1249" s="60"/>
      <c r="J1249" s="61"/>
      <c r="K1249" s="61"/>
      <c r="L1249" s="60"/>
      <c r="M1249" s="74" t="str">
        <f t="shared" si="155"/>
        <v/>
      </c>
      <c r="N1249" s="74" t="str">
        <f t="shared" si="156"/>
        <v/>
      </c>
      <c r="O1249" s="73" t="str">
        <f t="shared" si="157"/>
        <v/>
      </c>
      <c r="P1249" s="65" t="str">
        <f t="shared" ca="1" si="158"/>
        <v/>
      </c>
      <c r="Q1249" s="2"/>
      <c r="R1249" s="2"/>
      <c r="S1249" s="1" t="str">
        <f t="shared" si="159"/>
        <v/>
      </c>
      <c r="T1249" s="1" t="str">
        <f>IF(OR($C1249="",$D1249&lt;&gt;"Gelir",$L1249=""),"",IFERROR(INDEX(MUSTERILER!$B$7:$B$156,MATCH($S1249,MUSTERILER!$T$7:$T$156,0)),""))</f>
        <v/>
      </c>
      <c r="U1249" s="1" t="str">
        <f>IF($T1249="","",$T1249&amp;"|"&amp;COUNTIFS($T$7:$T1249,$T1249))</f>
        <v/>
      </c>
      <c r="V1249" s="1">
        <f t="shared" si="160"/>
        <v>0</v>
      </c>
      <c r="W1249" s="1" t="str">
        <f t="shared" si="161"/>
        <v/>
      </c>
      <c r="X1249" s="1"/>
      <c r="Y1249" s="1"/>
      <c r="Z1249" s="1"/>
      <c r="AA1249" s="1"/>
      <c r="AB1249" s="1"/>
      <c r="AC1249" s="1"/>
      <c r="AD1249" s="1">
        <f>IF($C1249="",0,SUMPRODUCT((AY_SONU!$O$7:$O$42="Evet")*(AY_SONU!$B$7:$B$42=DATE(YEAR($C1249),MONTH($C1249),1))))</f>
        <v>0</v>
      </c>
      <c r="AE1249" s="1" t="str">
        <f>IF($E1249="","",$E1249&amp;"|"&amp;COUNTIFS($E$7:$E1249,$E1249))</f>
        <v/>
      </c>
    </row>
    <row r="1250" spans="1:31" ht="18" customHeight="1" x14ac:dyDescent="0.3">
      <c r="A1250" s="2"/>
      <c r="B1250" s="65" t="str">
        <f t="shared" si="154"/>
        <v/>
      </c>
      <c r="C1250" s="66"/>
      <c r="D1250" s="60"/>
      <c r="E1250" s="61"/>
      <c r="F1250" s="61"/>
      <c r="G1250" s="67"/>
      <c r="H1250" s="60"/>
      <c r="I1250" s="60"/>
      <c r="J1250" s="61"/>
      <c r="K1250" s="61"/>
      <c r="L1250" s="60"/>
      <c r="M1250" s="74" t="str">
        <f t="shared" si="155"/>
        <v/>
      </c>
      <c r="N1250" s="74" t="str">
        <f t="shared" si="156"/>
        <v/>
      </c>
      <c r="O1250" s="73" t="str">
        <f t="shared" si="157"/>
        <v/>
      </c>
      <c r="P1250" s="65" t="str">
        <f t="shared" ca="1" si="158"/>
        <v/>
      </c>
      <c r="Q1250" s="2"/>
      <c r="R1250" s="2"/>
      <c r="S1250" s="1" t="str">
        <f t="shared" si="159"/>
        <v/>
      </c>
      <c r="T1250" s="1" t="str">
        <f>IF(OR($C1250="",$D1250&lt;&gt;"Gelir",$L1250=""),"",IFERROR(INDEX(MUSTERILER!$B$7:$B$156,MATCH($S1250,MUSTERILER!$T$7:$T$156,0)),""))</f>
        <v/>
      </c>
      <c r="U1250" s="1" t="str">
        <f>IF($T1250="","",$T1250&amp;"|"&amp;COUNTIFS($T$7:$T1250,$T1250))</f>
        <v/>
      </c>
      <c r="V1250" s="1">
        <f t="shared" si="160"/>
        <v>0</v>
      </c>
      <c r="W1250" s="1" t="str">
        <f t="shared" si="161"/>
        <v/>
      </c>
      <c r="X1250" s="1"/>
      <c r="Y1250" s="1"/>
      <c r="Z1250" s="1"/>
      <c r="AA1250" s="1"/>
      <c r="AB1250" s="1"/>
      <c r="AC1250" s="1"/>
      <c r="AD1250" s="1">
        <f>IF($C1250="",0,SUMPRODUCT((AY_SONU!$O$7:$O$42="Evet")*(AY_SONU!$B$7:$B$42=DATE(YEAR($C1250),MONTH($C1250),1))))</f>
        <v>0</v>
      </c>
      <c r="AE1250" s="1" t="str">
        <f>IF($E1250="","",$E1250&amp;"|"&amp;COUNTIFS($E$7:$E1250,$E1250))</f>
        <v/>
      </c>
    </row>
    <row r="1251" spans="1:31" ht="18" customHeight="1" x14ac:dyDescent="0.3">
      <c r="A1251" s="2"/>
      <c r="B1251" s="65" t="str">
        <f t="shared" si="154"/>
        <v/>
      </c>
      <c r="C1251" s="66"/>
      <c r="D1251" s="60"/>
      <c r="E1251" s="61"/>
      <c r="F1251" s="61"/>
      <c r="G1251" s="67"/>
      <c r="H1251" s="60"/>
      <c r="I1251" s="60"/>
      <c r="J1251" s="61"/>
      <c r="K1251" s="61"/>
      <c r="L1251" s="60"/>
      <c r="M1251" s="74" t="str">
        <f t="shared" si="155"/>
        <v/>
      </c>
      <c r="N1251" s="74" t="str">
        <f t="shared" si="156"/>
        <v/>
      </c>
      <c r="O1251" s="73" t="str">
        <f t="shared" si="157"/>
        <v/>
      </c>
      <c r="P1251" s="65" t="str">
        <f t="shared" ca="1" si="158"/>
        <v/>
      </c>
      <c r="Q1251" s="2"/>
      <c r="R1251" s="2"/>
      <c r="S1251" s="1" t="str">
        <f t="shared" si="159"/>
        <v/>
      </c>
      <c r="T1251" s="1" t="str">
        <f>IF(OR($C1251="",$D1251&lt;&gt;"Gelir",$L1251=""),"",IFERROR(INDEX(MUSTERILER!$B$7:$B$156,MATCH($S1251,MUSTERILER!$T$7:$T$156,0)),""))</f>
        <v/>
      </c>
      <c r="U1251" s="1" t="str">
        <f>IF($T1251="","",$T1251&amp;"|"&amp;COUNTIFS($T$7:$T1251,$T1251))</f>
        <v/>
      </c>
      <c r="V1251" s="1">
        <f t="shared" si="160"/>
        <v>0</v>
      </c>
      <c r="W1251" s="1" t="str">
        <f t="shared" si="161"/>
        <v/>
      </c>
      <c r="X1251" s="1"/>
      <c r="Y1251" s="1"/>
      <c r="Z1251" s="1"/>
      <c r="AA1251" s="1"/>
      <c r="AB1251" s="1"/>
      <c r="AC1251" s="1"/>
      <c r="AD1251" s="1">
        <f>IF($C1251="",0,SUMPRODUCT((AY_SONU!$O$7:$O$42="Evet")*(AY_SONU!$B$7:$B$42=DATE(YEAR($C1251),MONTH($C1251),1))))</f>
        <v>0</v>
      </c>
      <c r="AE1251" s="1" t="str">
        <f>IF($E1251="","",$E1251&amp;"|"&amp;COUNTIFS($E$7:$E1251,$E1251))</f>
        <v/>
      </c>
    </row>
    <row r="1252" spans="1:31" ht="18" customHeight="1" x14ac:dyDescent="0.3">
      <c r="A1252" s="2"/>
      <c r="B1252" s="65" t="str">
        <f t="shared" si="154"/>
        <v/>
      </c>
      <c r="C1252" s="66"/>
      <c r="D1252" s="60"/>
      <c r="E1252" s="61"/>
      <c r="F1252" s="61"/>
      <c r="G1252" s="67"/>
      <c r="H1252" s="60"/>
      <c r="I1252" s="60"/>
      <c r="J1252" s="61"/>
      <c r="K1252" s="61"/>
      <c r="L1252" s="60"/>
      <c r="M1252" s="74" t="str">
        <f t="shared" si="155"/>
        <v/>
      </c>
      <c r="N1252" s="74" t="str">
        <f t="shared" si="156"/>
        <v/>
      </c>
      <c r="O1252" s="73" t="str">
        <f t="shared" si="157"/>
        <v/>
      </c>
      <c r="P1252" s="65" t="str">
        <f t="shared" ca="1" si="158"/>
        <v/>
      </c>
      <c r="Q1252" s="2"/>
      <c r="R1252" s="2"/>
      <c r="S1252" s="1" t="str">
        <f t="shared" si="159"/>
        <v/>
      </c>
      <c r="T1252" s="1" t="str">
        <f>IF(OR($C1252="",$D1252&lt;&gt;"Gelir",$L1252=""),"",IFERROR(INDEX(MUSTERILER!$B$7:$B$156,MATCH($S1252,MUSTERILER!$T$7:$T$156,0)),""))</f>
        <v/>
      </c>
      <c r="U1252" s="1" t="str">
        <f>IF($T1252="","",$T1252&amp;"|"&amp;COUNTIFS($T$7:$T1252,$T1252))</f>
        <v/>
      </c>
      <c r="V1252" s="1">
        <f t="shared" si="160"/>
        <v>0</v>
      </c>
      <c r="W1252" s="1" t="str">
        <f t="shared" si="161"/>
        <v/>
      </c>
      <c r="X1252" s="1"/>
      <c r="Y1252" s="1"/>
      <c r="Z1252" s="1"/>
      <c r="AA1252" s="1"/>
      <c r="AB1252" s="1"/>
      <c r="AC1252" s="1"/>
      <c r="AD1252" s="1">
        <f>IF($C1252="",0,SUMPRODUCT((AY_SONU!$O$7:$O$42="Evet")*(AY_SONU!$B$7:$B$42=DATE(YEAR($C1252),MONTH($C1252),1))))</f>
        <v>0</v>
      </c>
      <c r="AE1252" s="1" t="str">
        <f>IF($E1252="","",$E1252&amp;"|"&amp;COUNTIFS($E$7:$E1252,$E1252))</f>
        <v/>
      </c>
    </row>
    <row r="1253" spans="1:31" ht="18" customHeight="1" x14ac:dyDescent="0.3">
      <c r="A1253" s="2"/>
      <c r="B1253" s="65" t="str">
        <f t="shared" si="154"/>
        <v/>
      </c>
      <c r="C1253" s="66"/>
      <c r="D1253" s="60"/>
      <c r="E1253" s="61"/>
      <c r="F1253" s="61"/>
      <c r="G1253" s="67"/>
      <c r="H1253" s="60"/>
      <c r="I1253" s="60"/>
      <c r="J1253" s="61"/>
      <c r="K1253" s="61"/>
      <c r="L1253" s="60"/>
      <c r="M1253" s="74" t="str">
        <f t="shared" si="155"/>
        <v/>
      </c>
      <c r="N1253" s="74" t="str">
        <f t="shared" si="156"/>
        <v/>
      </c>
      <c r="O1253" s="73" t="str">
        <f t="shared" si="157"/>
        <v/>
      </c>
      <c r="P1253" s="65" t="str">
        <f t="shared" ca="1" si="158"/>
        <v/>
      </c>
      <c r="Q1253" s="2"/>
      <c r="R1253" s="2"/>
      <c r="S1253" s="1" t="str">
        <f t="shared" si="159"/>
        <v/>
      </c>
      <c r="T1253" s="1" t="str">
        <f>IF(OR($C1253="",$D1253&lt;&gt;"Gelir",$L1253=""),"",IFERROR(INDEX(MUSTERILER!$B$7:$B$156,MATCH($S1253,MUSTERILER!$T$7:$T$156,0)),""))</f>
        <v/>
      </c>
      <c r="U1253" s="1" t="str">
        <f>IF($T1253="","",$T1253&amp;"|"&amp;COUNTIFS($T$7:$T1253,$T1253))</f>
        <v/>
      </c>
      <c r="V1253" s="1">
        <f t="shared" si="160"/>
        <v>0</v>
      </c>
      <c r="W1253" s="1" t="str">
        <f t="shared" si="161"/>
        <v/>
      </c>
      <c r="X1253" s="1"/>
      <c r="Y1253" s="1"/>
      <c r="Z1253" s="1"/>
      <c r="AA1253" s="1"/>
      <c r="AB1253" s="1"/>
      <c r="AC1253" s="1"/>
      <c r="AD1253" s="1">
        <f>IF($C1253="",0,SUMPRODUCT((AY_SONU!$O$7:$O$42="Evet")*(AY_SONU!$B$7:$B$42=DATE(YEAR($C1253),MONTH($C1253),1))))</f>
        <v>0</v>
      </c>
      <c r="AE1253" s="1" t="str">
        <f>IF($E1253="","",$E1253&amp;"|"&amp;COUNTIFS($E$7:$E1253,$E1253))</f>
        <v/>
      </c>
    </row>
    <row r="1254" spans="1:31" ht="18" customHeight="1" x14ac:dyDescent="0.3">
      <c r="A1254" s="2"/>
      <c r="B1254" s="65" t="str">
        <f t="shared" si="154"/>
        <v/>
      </c>
      <c r="C1254" s="66"/>
      <c r="D1254" s="60"/>
      <c r="E1254" s="61"/>
      <c r="F1254" s="61"/>
      <c r="G1254" s="67"/>
      <c r="H1254" s="60"/>
      <c r="I1254" s="60"/>
      <c r="J1254" s="61"/>
      <c r="K1254" s="61"/>
      <c r="L1254" s="60"/>
      <c r="M1254" s="74" t="str">
        <f t="shared" si="155"/>
        <v/>
      </c>
      <c r="N1254" s="74" t="str">
        <f t="shared" si="156"/>
        <v/>
      </c>
      <c r="O1254" s="73" t="str">
        <f t="shared" si="157"/>
        <v/>
      </c>
      <c r="P1254" s="65" t="str">
        <f t="shared" ca="1" si="158"/>
        <v/>
      </c>
      <c r="Q1254" s="2"/>
      <c r="R1254" s="2"/>
      <c r="S1254" s="1" t="str">
        <f t="shared" si="159"/>
        <v/>
      </c>
      <c r="T1254" s="1" t="str">
        <f>IF(OR($C1254="",$D1254&lt;&gt;"Gelir",$L1254=""),"",IFERROR(INDEX(MUSTERILER!$B$7:$B$156,MATCH($S1254,MUSTERILER!$T$7:$T$156,0)),""))</f>
        <v/>
      </c>
      <c r="U1254" s="1" t="str">
        <f>IF($T1254="","",$T1254&amp;"|"&amp;COUNTIFS($T$7:$T1254,$T1254))</f>
        <v/>
      </c>
      <c r="V1254" s="1">
        <f t="shared" si="160"/>
        <v>0</v>
      </c>
      <c r="W1254" s="1" t="str">
        <f t="shared" si="161"/>
        <v/>
      </c>
      <c r="X1254" s="1"/>
      <c r="Y1254" s="1"/>
      <c r="Z1254" s="1"/>
      <c r="AA1254" s="1"/>
      <c r="AB1254" s="1"/>
      <c r="AC1254" s="1"/>
      <c r="AD1254" s="1">
        <f>IF($C1254="",0,SUMPRODUCT((AY_SONU!$O$7:$O$42="Evet")*(AY_SONU!$B$7:$B$42=DATE(YEAR($C1254),MONTH($C1254),1))))</f>
        <v>0</v>
      </c>
      <c r="AE1254" s="1" t="str">
        <f>IF($E1254="","",$E1254&amp;"|"&amp;COUNTIFS($E$7:$E1254,$E1254))</f>
        <v/>
      </c>
    </row>
    <row r="1255" spans="1:31" ht="18" customHeight="1" x14ac:dyDescent="0.3">
      <c r="A1255" s="2"/>
      <c r="B1255" s="65" t="str">
        <f t="shared" si="154"/>
        <v/>
      </c>
      <c r="C1255" s="66"/>
      <c r="D1255" s="60"/>
      <c r="E1255" s="61"/>
      <c r="F1255" s="61"/>
      <c r="G1255" s="67"/>
      <c r="H1255" s="60"/>
      <c r="I1255" s="60"/>
      <c r="J1255" s="61"/>
      <c r="K1255" s="61"/>
      <c r="L1255" s="60"/>
      <c r="M1255" s="74" t="str">
        <f t="shared" si="155"/>
        <v/>
      </c>
      <c r="N1255" s="74" t="str">
        <f t="shared" si="156"/>
        <v/>
      </c>
      <c r="O1255" s="73" t="str">
        <f t="shared" si="157"/>
        <v/>
      </c>
      <c r="P1255" s="65" t="str">
        <f t="shared" ca="1" si="158"/>
        <v/>
      </c>
      <c r="Q1255" s="2"/>
      <c r="R1255" s="2"/>
      <c r="S1255" s="1" t="str">
        <f t="shared" si="159"/>
        <v/>
      </c>
      <c r="T1255" s="1" t="str">
        <f>IF(OR($C1255="",$D1255&lt;&gt;"Gelir",$L1255=""),"",IFERROR(INDEX(MUSTERILER!$B$7:$B$156,MATCH($S1255,MUSTERILER!$T$7:$T$156,0)),""))</f>
        <v/>
      </c>
      <c r="U1255" s="1" t="str">
        <f>IF($T1255="","",$T1255&amp;"|"&amp;COUNTIFS($T$7:$T1255,$T1255))</f>
        <v/>
      </c>
      <c r="V1255" s="1">
        <f t="shared" si="160"/>
        <v>0</v>
      </c>
      <c r="W1255" s="1" t="str">
        <f t="shared" si="161"/>
        <v/>
      </c>
      <c r="X1255" s="1"/>
      <c r="Y1255" s="1"/>
      <c r="Z1255" s="1"/>
      <c r="AA1255" s="1"/>
      <c r="AB1255" s="1"/>
      <c r="AC1255" s="1"/>
      <c r="AD1255" s="1">
        <f>IF($C1255="",0,SUMPRODUCT((AY_SONU!$O$7:$O$42="Evet")*(AY_SONU!$B$7:$B$42=DATE(YEAR($C1255),MONTH($C1255),1))))</f>
        <v>0</v>
      </c>
      <c r="AE1255" s="1" t="str">
        <f>IF($E1255="","",$E1255&amp;"|"&amp;COUNTIFS($E$7:$E1255,$E1255))</f>
        <v/>
      </c>
    </row>
    <row r="1256" spans="1:31" ht="18" customHeight="1" x14ac:dyDescent="0.3">
      <c r="A1256" s="2"/>
      <c r="B1256" s="65" t="str">
        <f t="shared" si="154"/>
        <v/>
      </c>
      <c r="C1256" s="66"/>
      <c r="D1256" s="60"/>
      <c r="E1256" s="61"/>
      <c r="F1256" s="61"/>
      <c r="G1256" s="67"/>
      <c r="H1256" s="60"/>
      <c r="I1256" s="60"/>
      <c r="J1256" s="61"/>
      <c r="K1256" s="61"/>
      <c r="L1256" s="60"/>
      <c r="M1256" s="74" t="str">
        <f t="shared" si="155"/>
        <v/>
      </c>
      <c r="N1256" s="74" t="str">
        <f t="shared" si="156"/>
        <v/>
      </c>
      <c r="O1256" s="73" t="str">
        <f t="shared" si="157"/>
        <v/>
      </c>
      <c r="P1256" s="65" t="str">
        <f t="shared" ca="1" si="158"/>
        <v/>
      </c>
      <c r="Q1256" s="2"/>
      <c r="R1256" s="2"/>
      <c r="S1256" s="1" t="str">
        <f t="shared" si="159"/>
        <v/>
      </c>
      <c r="T1256" s="1" t="str">
        <f>IF(OR($C1256="",$D1256&lt;&gt;"Gelir",$L1256=""),"",IFERROR(INDEX(MUSTERILER!$B$7:$B$156,MATCH($S1256,MUSTERILER!$T$7:$T$156,0)),""))</f>
        <v/>
      </c>
      <c r="U1256" s="1" t="str">
        <f>IF($T1256="","",$T1256&amp;"|"&amp;COUNTIFS($T$7:$T1256,$T1256))</f>
        <v/>
      </c>
      <c r="V1256" s="1">
        <f t="shared" si="160"/>
        <v>0</v>
      </c>
      <c r="W1256" s="1" t="str">
        <f t="shared" si="161"/>
        <v/>
      </c>
      <c r="X1256" s="1"/>
      <c r="Y1256" s="1"/>
      <c r="Z1256" s="1"/>
      <c r="AA1256" s="1"/>
      <c r="AB1256" s="1"/>
      <c r="AC1256" s="1"/>
      <c r="AD1256" s="1">
        <f>IF($C1256="",0,SUMPRODUCT((AY_SONU!$O$7:$O$42="Evet")*(AY_SONU!$B$7:$B$42=DATE(YEAR($C1256),MONTH($C1256),1))))</f>
        <v>0</v>
      </c>
      <c r="AE1256" s="1" t="str">
        <f>IF($E1256="","",$E1256&amp;"|"&amp;COUNTIFS($E$7:$E1256,$E1256))</f>
        <v/>
      </c>
    </row>
    <row r="1257" spans="1:31" ht="18" customHeight="1" x14ac:dyDescent="0.3">
      <c r="A1257" s="2"/>
      <c r="B1257" s="65" t="str">
        <f t="shared" si="154"/>
        <v/>
      </c>
      <c r="C1257" s="66"/>
      <c r="D1257" s="60"/>
      <c r="E1257" s="61"/>
      <c r="F1257" s="61"/>
      <c r="G1257" s="67"/>
      <c r="H1257" s="60"/>
      <c r="I1257" s="60"/>
      <c r="J1257" s="61"/>
      <c r="K1257" s="61"/>
      <c r="L1257" s="60"/>
      <c r="M1257" s="74" t="str">
        <f t="shared" si="155"/>
        <v/>
      </c>
      <c r="N1257" s="74" t="str">
        <f t="shared" si="156"/>
        <v/>
      </c>
      <c r="O1257" s="73" t="str">
        <f t="shared" si="157"/>
        <v/>
      </c>
      <c r="P1257" s="65" t="str">
        <f t="shared" ca="1" si="158"/>
        <v/>
      </c>
      <c r="Q1257" s="2"/>
      <c r="R1257" s="2"/>
      <c r="S1257" s="1" t="str">
        <f t="shared" si="159"/>
        <v/>
      </c>
      <c r="T1257" s="1" t="str">
        <f>IF(OR($C1257="",$D1257&lt;&gt;"Gelir",$L1257=""),"",IFERROR(INDEX(MUSTERILER!$B$7:$B$156,MATCH($S1257,MUSTERILER!$T$7:$T$156,0)),""))</f>
        <v/>
      </c>
      <c r="U1257" s="1" t="str">
        <f>IF($T1257="","",$T1257&amp;"|"&amp;COUNTIFS($T$7:$T1257,$T1257))</f>
        <v/>
      </c>
      <c r="V1257" s="1">
        <f t="shared" si="160"/>
        <v>0</v>
      </c>
      <c r="W1257" s="1" t="str">
        <f t="shared" si="161"/>
        <v/>
      </c>
      <c r="X1257" s="1"/>
      <c r="Y1257" s="1"/>
      <c r="Z1257" s="1"/>
      <c r="AA1257" s="1"/>
      <c r="AB1257" s="1"/>
      <c r="AC1257" s="1"/>
      <c r="AD1257" s="1">
        <f>IF($C1257="",0,SUMPRODUCT((AY_SONU!$O$7:$O$42="Evet")*(AY_SONU!$B$7:$B$42=DATE(YEAR($C1257),MONTH($C1257),1))))</f>
        <v>0</v>
      </c>
      <c r="AE1257" s="1" t="str">
        <f>IF($E1257="","",$E1257&amp;"|"&amp;COUNTIFS($E$7:$E1257,$E1257))</f>
        <v/>
      </c>
    </row>
    <row r="1258" spans="1:31" ht="18" customHeight="1" x14ac:dyDescent="0.3">
      <c r="A1258" s="2"/>
      <c r="B1258" s="65" t="str">
        <f t="shared" si="154"/>
        <v/>
      </c>
      <c r="C1258" s="66"/>
      <c r="D1258" s="60"/>
      <c r="E1258" s="61"/>
      <c r="F1258" s="61"/>
      <c r="G1258" s="67"/>
      <c r="H1258" s="60"/>
      <c r="I1258" s="60"/>
      <c r="J1258" s="61"/>
      <c r="K1258" s="61"/>
      <c r="L1258" s="60"/>
      <c r="M1258" s="74" t="str">
        <f t="shared" si="155"/>
        <v/>
      </c>
      <c r="N1258" s="74" t="str">
        <f t="shared" si="156"/>
        <v/>
      </c>
      <c r="O1258" s="73" t="str">
        <f t="shared" si="157"/>
        <v/>
      </c>
      <c r="P1258" s="65" t="str">
        <f t="shared" ca="1" si="158"/>
        <v/>
      </c>
      <c r="Q1258" s="2"/>
      <c r="R1258" s="2"/>
      <c r="S1258" s="1" t="str">
        <f t="shared" si="159"/>
        <v/>
      </c>
      <c r="T1258" s="1" t="str">
        <f>IF(OR($C1258="",$D1258&lt;&gt;"Gelir",$L1258=""),"",IFERROR(INDEX(MUSTERILER!$B$7:$B$156,MATCH($S1258,MUSTERILER!$T$7:$T$156,0)),""))</f>
        <v/>
      </c>
      <c r="U1258" s="1" t="str">
        <f>IF($T1258="","",$T1258&amp;"|"&amp;COUNTIFS($T$7:$T1258,$T1258))</f>
        <v/>
      </c>
      <c r="V1258" s="1">
        <f t="shared" si="160"/>
        <v>0</v>
      </c>
      <c r="W1258" s="1" t="str">
        <f t="shared" si="161"/>
        <v/>
      </c>
      <c r="X1258" s="1"/>
      <c r="Y1258" s="1"/>
      <c r="Z1258" s="1"/>
      <c r="AA1258" s="1"/>
      <c r="AB1258" s="1"/>
      <c r="AC1258" s="1"/>
      <c r="AD1258" s="1">
        <f>IF($C1258="",0,SUMPRODUCT((AY_SONU!$O$7:$O$42="Evet")*(AY_SONU!$B$7:$B$42=DATE(YEAR($C1258),MONTH($C1258),1))))</f>
        <v>0</v>
      </c>
      <c r="AE1258" s="1" t="str">
        <f>IF($E1258="","",$E1258&amp;"|"&amp;COUNTIFS($E$7:$E1258,$E1258))</f>
        <v/>
      </c>
    </row>
    <row r="1259" spans="1:31" ht="18" customHeight="1" x14ac:dyDescent="0.3">
      <c r="A1259" s="2"/>
      <c r="B1259" s="65" t="str">
        <f t="shared" si="154"/>
        <v/>
      </c>
      <c r="C1259" s="66"/>
      <c r="D1259" s="60"/>
      <c r="E1259" s="61"/>
      <c r="F1259" s="61"/>
      <c r="G1259" s="67"/>
      <c r="H1259" s="60"/>
      <c r="I1259" s="60"/>
      <c r="J1259" s="61"/>
      <c r="K1259" s="61"/>
      <c r="L1259" s="60"/>
      <c r="M1259" s="74" t="str">
        <f t="shared" si="155"/>
        <v/>
      </c>
      <c r="N1259" s="74" t="str">
        <f t="shared" si="156"/>
        <v/>
      </c>
      <c r="O1259" s="73" t="str">
        <f t="shared" si="157"/>
        <v/>
      </c>
      <c r="P1259" s="65" t="str">
        <f t="shared" ca="1" si="158"/>
        <v/>
      </c>
      <c r="Q1259" s="2"/>
      <c r="R1259" s="2"/>
      <c r="S1259" s="1" t="str">
        <f t="shared" si="159"/>
        <v/>
      </c>
      <c r="T1259" s="1" t="str">
        <f>IF(OR($C1259="",$D1259&lt;&gt;"Gelir",$L1259=""),"",IFERROR(INDEX(MUSTERILER!$B$7:$B$156,MATCH($S1259,MUSTERILER!$T$7:$T$156,0)),""))</f>
        <v/>
      </c>
      <c r="U1259" s="1" t="str">
        <f>IF($T1259="","",$T1259&amp;"|"&amp;COUNTIFS($T$7:$T1259,$T1259))</f>
        <v/>
      </c>
      <c r="V1259" s="1">
        <f t="shared" si="160"/>
        <v>0</v>
      </c>
      <c r="W1259" s="1" t="str">
        <f t="shared" si="161"/>
        <v/>
      </c>
      <c r="X1259" s="1"/>
      <c r="Y1259" s="1"/>
      <c r="Z1259" s="1"/>
      <c r="AA1259" s="1"/>
      <c r="AB1259" s="1"/>
      <c r="AC1259" s="1"/>
      <c r="AD1259" s="1">
        <f>IF($C1259="",0,SUMPRODUCT((AY_SONU!$O$7:$O$42="Evet")*(AY_SONU!$B$7:$B$42=DATE(YEAR($C1259),MONTH($C1259),1))))</f>
        <v>0</v>
      </c>
      <c r="AE1259" s="1" t="str">
        <f>IF($E1259="","",$E1259&amp;"|"&amp;COUNTIFS($E$7:$E1259,$E1259))</f>
        <v/>
      </c>
    </row>
    <row r="1260" spans="1:31" ht="18" customHeight="1" x14ac:dyDescent="0.3">
      <c r="A1260" s="2"/>
      <c r="B1260" s="65" t="str">
        <f t="shared" si="154"/>
        <v/>
      </c>
      <c r="C1260" s="66"/>
      <c r="D1260" s="60"/>
      <c r="E1260" s="61"/>
      <c r="F1260" s="61"/>
      <c r="G1260" s="67"/>
      <c r="H1260" s="60"/>
      <c r="I1260" s="60"/>
      <c r="J1260" s="61"/>
      <c r="K1260" s="61"/>
      <c r="L1260" s="60"/>
      <c r="M1260" s="74" t="str">
        <f t="shared" si="155"/>
        <v/>
      </c>
      <c r="N1260" s="74" t="str">
        <f t="shared" si="156"/>
        <v/>
      </c>
      <c r="O1260" s="73" t="str">
        <f t="shared" si="157"/>
        <v/>
      </c>
      <c r="P1260" s="65" t="str">
        <f t="shared" ca="1" si="158"/>
        <v/>
      </c>
      <c r="Q1260" s="2"/>
      <c r="R1260" s="2"/>
      <c r="S1260" s="1" t="str">
        <f t="shared" si="159"/>
        <v/>
      </c>
      <c r="T1260" s="1" t="str">
        <f>IF(OR($C1260="",$D1260&lt;&gt;"Gelir",$L1260=""),"",IFERROR(INDEX(MUSTERILER!$B$7:$B$156,MATCH($S1260,MUSTERILER!$T$7:$T$156,0)),""))</f>
        <v/>
      </c>
      <c r="U1260" s="1" t="str">
        <f>IF($T1260="","",$T1260&amp;"|"&amp;COUNTIFS($T$7:$T1260,$T1260))</f>
        <v/>
      </c>
      <c r="V1260" s="1">
        <f t="shared" si="160"/>
        <v>0</v>
      </c>
      <c r="W1260" s="1" t="str">
        <f t="shared" si="161"/>
        <v/>
      </c>
      <c r="X1260" s="1"/>
      <c r="Y1260" s="1"/>
      <c r="Z1260" s="1"/>
      <c r="AA1260" s="1"/>
      <c r="AB1260" s="1"/>
      <c r="AC1260" s="1"/>
      <c r="AD1260" s="1">
        <f>IF($C1260="",0,SUMPRODUCT((AY_SONU!$O$7:$O$42="Evet")*(AY_SONU!$B$7:$B$42=DATE(YEAR($C1260),MONTH($C1260),1))))</f>
        <v>0</v>
      </c>
      <c r="AE1260" s="1" t="str">
        <f>IF($E1260="","",$E1260&amp;"|"&amp;COUNTIFS($E$7:$E1260,$E1260))</f>
        <v/>
      </c>
    </row>
    <row r="1261" spans="1:31" ht="18" customHeight="1" x14ac:dyDescent="0.3">
      <c r="A1261" s="2"/>
      <c r="B1261" s="65" t="str">
        <f t="shared" si="154"/>
        <v/>
      </c>
      <c r="C1261" s="66"/>
      <c r="D1261" s="60"/>
      <c r="E1261" s="61"/>
      <c r="F1261" s="61"/>
      <c r="G1261" s="67"/>
      <c r="H1261" s="60"/>
      <c r="I1261" s="60"/>
      <c r="J1261" s="61"/>
      <c r="K1261" s="61"/>
      <c r="L1261" s="60"/>
      <c r="M1261" s="74" t="str">
        <f t="shared" si="155"/>
        <v/>
      </c>
      <c r="N1261" s="74" t="str">
        <f t="shared" si="156"/>
        <v/>
      </c>
      <c r="O1261" s="73" t="str">
        <f t="shared" si="157"/>
        <v/>
      </c>
      <c r="P1261" s="65" t="str">
        <f t="shared" ca="1" si="158"/>
        <v/>
      </c>
      <c r="Q1261" s="2"/>
      <c r="R1261" s="2"/>
      <c r="S1261" s="1" t="str">
        <f t="shared" si="159"/>
        <v/>
      </c>
      <c r="T1261" s="1" t="str">
        <f>IF(OR($C1261="",$D1261&lt;&gt;"Gelir",$L1261=""),"",IFERROR(INDEX(MUSTERILER!$B$7:$B$156,MATCH($S1261,MUSTERILER!$T$7:$T$156,0)),""))</f>
        <v/>
      </c>
      <c r="U1261" s="1" t="str">
        <f>IF($T1261="","",$T1261&amp;"|"&amp;COUNTIFS($T$7:$T1261,$T1261))</f>
        <v/>
      </c>
      <c r="V1261" s="1">
        <f t="shared" si="160"/>
        <v>0</v>
      </c>
      <c r="W1261" s="1" t="str">
        <f t="shared" si="161"/>
        <v/>
      </c>
      <c r="X1261" s="1"/>
      <c r="Y1261" s="1"/>
      <c r="Z1261" s="1"/>
      <c r="AA1261" s="1"/>
      <c r="AB1261" s="1"/>
      <c r="AC1261" s="1"/>
      <c r="AD1261" s="1">
        <f>IF($C1261="",0,SUMPRODUCT((AY_SONU!$O$7:$O$42="Evet")*(AY_SONU!$B$7:$B$42=DATE(YEAR($C1261),MONTH($C1261),1))))</f>
        <v>0</v>
      </c>
      <c r="AE1261" s="1" t="str">
        <f>IF($E1261="","",$E1261&amp;"|"&amp;COUNTIFS($E$7:$E1261,$E1261))</f>
        <v/>
      </c>
    </row>
    <row r="1262" spans="1:31" ht="18" customHeight="1" x14ac:dyDescent="0.3">
      <c r="A1262" s="2"/>
      <c r="B1262" s="65" t="str">
        <f t="shared" si="154"/>
        <v/>
      </c>
      <c r="C1262" s="66"/>
      <c r="D1262" s="60"/>
      <c r="E1262" s="61"/>
      <c r="F1262" s="61"/>
      <c r="G1262" s="67"/>
      <c r="H1262" s="60"/>
      <c r="I1262" s="60"/>
      <c r="J1262" s="61"/>
      <c r="K1262" s="61"/>
      <c r="L1262" s="60"/>
      <c r="M1262" s="74" t="str">
        <f t="shared" si="155"/>
        <v/>
      </c>
      <c r="N1262" s="74" t="str">
        <f t="shared" si="156"/>
        <v/>
      </c>
      <c r="O1262" s="73" t="str">
        <f t="shared" si="157"/>
        <v/>
      </c>
      <c r="P1262" s="65" t="str">
        <f t="shared" ca="1" si="158"/>
        <v/>
      </c>
      <c r="Q1262" s="2"/>
      <c r="R1262" s="2"/>
      <c r="S1262" s="1" t="str">
        <f t="shared" si="159"/>
        <v/>
      </c>
      <c r="T1262" s="1" t="str">
        <f>IF(OR($C1262="",$D1262&lt;&gt;"Gelir",$L1262=""),"",IFERROR(INDEX(MUSTERILER!$B$7:$B$156,MATCH($S1262,MUSTERILER!$T$7:$T$156,0)),""))</f>
        <v/>
      </c>
      <c r="U1262" s="1" t="str">
        <f>IF($T1262="","",$T1262&amp;"|"&amp;COUNTIFS($T$7:$T1262,$T1262))</f>
        <v/>
      </c>
      <c r="V1262" s="1">
        <f t="shared" si="160"/>
        <v>0</v>
      </c>
      <c r="W1262" s="1" t="str">
        <f t="shared" si="161"/>
        <v/>
      </c>
      <c r="X1262" s="1"/>
      <c r="Y1262" s="1"/>
      <c r="Z1262" s="1"/>
      <c r="AA1262" s="1"/>
      <c r="AB1262" s="1"/>
      <c r="AC1262" s="1"/>
      <c r="AD1262" s="1">
        <f>IF($C1262="",0,SUMPRODUCT((AY_SONU!$O$7:$O$42="Evet")*(AY_SONU!$B$7:$B$42=DATE(YEAR($C1262),MONTH($C1262),1))))</f>
        <v>0</v>
      </c>
      <c r="AE1262" s="1" t="str">
        <f>IF($E1262="","",$E1262&amp;"|"&amp;COUNTIFS($E$7:$E1262,$E1262))</f>
        <v/>
      </c>
    </row>
    <row r="1263" spans="1:31" ht="18" customHeight="1" x14ac:dyDescent="0.3">
      <c r="A1263" s="2"/>
      <c r="B1263" s="65" t="str">
        <f t="shared" si="154"/>
        <v/>
      </c>
      <c r="C1263" s="66"/>
      <c r="D1263" s="60"/>
      <c r="E1263" s="61"/>
      <c r="F1263" s="61"/>
      <c r="G1263" s="67"/>
      <c r="H1263" s="60"/>
      <c r="I1263" s="60"/>
      <c r="J1263" s="61"/>
      <c r="K1263" s="61"/>
      <c r="L1263" s="60"/>
      <c r="M1263" s="74" t="str">
        <f t="shared" si="155"/>
        <v/>
      </c>
      <c r="N1263" s="74" t="str">
        <f t="shared" si="156"/>
        <v/>
      </c>
      <c r="O1263" s="73" t="str">
        <f t="shared" si="157"/>
        <v/>
      </c>
      <c r="P1263" s="65" t="str">
        <f t="shared" ca="1" si="158"/>
        <v/>
      </c>
      <c r="Q1263" s="2"/>
      <c r="R1263" s="2"/>
      <c r="S1263" s="1" t="str">
        <f t="shared" si="159"/>
        <v/>
      </c>
      <c r="T1263" s="1" t="str">
        <f>IF(OR($C1263="",$D1263&lt;&gt;"Gelir",$L1263=""),"",IFERROR(INDEX(MUSTERILER!$B$7:$B$156,MATCH($S1263,MUSTERILER!$T$7:$T$156,0)),""))</f>
        <v/>
      </c>
      <c r="U1263" s="1" t="str">
        <f>IF($T1263="","",$T1263&amp;"|"&amp;COUNTIFS($T$7:$T1263,$T1263))</f>
        <v/>
      </c>
      <c r="V1263" s="1">
        <f t="shared" si="160"/>
        <v>0</v>
      </c>
      <c r="W1263" s="1" t="str">
        <f t="shared" si="161"/>
        <v/>
      </c>
      <c r="X1263" s="1"/>
      <c r="Y1263" s="1"/>
      <c r="Z1263" s="1"/>
      <c r="AA1263" s="1"/>
      <c r="AB1263" s="1"/>
      <c r="AC1263" s="1"/>
      <c r="AD1263" s="1">
        <f>IF($C1263="",0,SUMPRODUCT((AY_SONU!$O$7:$O$42="Evet")*(AY_SONU!$B$7:$B$42=DATE(YEAR($C1263),MONTH($C1263),1))))</f>
        <v>0</v>
      </c>
      <c r="AE1263" s="1" t="str">
        <f>IF($E1263="","",$E1263&amp;"|"&amp;COUNTIFS($E$7:$E1263,$E1263))</f>
        <v/>
      </c>
    </row>
    <row r="1264" spans="1:31" ht="18" customHeight="1" x14ac:dyDescent="0.3">
      <c r="A1264" s="2"/>
      <c r="B1264" s="65" t="str">
        <f t="shared" si="154"/>
        <v/>
      </c>
      <c r="C1264" s="66"/>
      <c r="D1264" s="60"/>
      <c r="E1264" s="61"/>
      <c r="F1264" s="61"/>
      <c r="G1264" s="67"/>
      <c r="H1264" s="60"/>
      <c r="I1264" s="60"/>
      <c r="J1264" s="61"/>
      <c r="K1264" s="61"/>
      <c r="L1264" s="60"/>
      <c r="M1264" s="74" t="str">
        <f t="shared" si="155"/>
        <v/>
      </c>
      <c r="N1264" s="74" t="str">
        <f t="shared" si="156"/>
        <v/>
      </c>
      <c r="O1264" s="73" t="str">
        <f t="shared" si="157"/>
        <v/>
      </c>
      <c r="P1264" s="65" t="str">
        <f t="shared" ca="1" si="158"/>
        <v/>
      </c>
      <c r="Q1264" s="2"/>
      <c r="R1264" s="2"/>
      <c r="S1264" s="1" t="str">
        <f t="shared" si="159"/>
        <v/>
      </c>
      <c r="T1264" s="1" t="str">
        <f>IF(OR($C1264="",$D1264&lt;&gt;"Gelir",$L1264=""),"",IFERROR(INDEX(MUSTERILER!$B$7:$B$156,MATCH($S1264,MUSTERILER!$T$7:$T$156,0)),""))</f>
        <v/>
      </c>
      <c r="U1264" s="1" t="str">
        <f>IF($T1264="","",$T1264&amp;"|"&amp;COUNTIFS($T$7:$T1264,$T1264))</f>
        <v/>
      </c>
      <c r="V1264" s="1">
        <f t="shared" si="160"/>
        <v>0</v>
      </c>
      <c r="W1264" s="1" t="str">
        <f t="shared" si="161"/>
        <v/>
      </c>
      <c r="X1264" s="1"/>
      <c r="Y1264" s="1"/>
      <c r="Z1264" s="1"/>
      <c r="AA1264" s="1"/>
      <c r="AB1264" s="1"/>
      <c r="AC1264" s="1"/>
      <c r="AD1264" s="1">
        <f>IF($C1264="",0,SUMPRODUCT((AY_SONU!$O$7:$O$42="Evet")*(AY_SONU!$B$7:$B$42=DATE(YEAR($C1264),MONTH($C1264),1))))</f>
        <v>0</v>
      </c>
      <c r="AE1264" s="1" t="str">
        <f>IF($E1264="","",$E1264&amp;"|"&amp;COUNTIFS($E$7:$E1264,$E1264))</f>
        <v/>
      </c>
    </row>
    <row r="1265" spans="1:31" ht="18" customHeight="1" x14ac:dyDescent="0.3">
      <c r="A1265" s="2"/>
      <c r="B1265" s="65" t="str">
        <f t="shared" si="154"/>
        <v/>
      </c>
      <c r="C1265" s="66"/>
      <c r="D1265" s="60"/>
      <c r="E1265" s="61"/>
      <c r="F1265" s="61"/>
      <c r="G1265" s="67"/>
      <c r="H1265" s="60"/>
      <c r="I1265" s="60"/>
      <c r="J1265" s="61"/>
      <c r="K1265" s="61"/>
      <c r="L1265" s="60"/>
      <c r="M1265" s="74" t="str">
        <f t="shared" si="155"/>
        <v/>
      </c>
      <c r="N1265" s="74" t="str">
        <f t="shared" si="156"/>
        <v/>
      </c>
      <c r="O1265" s="73" t="str">
        <f t="shared" si="157"/>
        <v/>
      </c>
      <c r="P1265" s="65" t="str">
        <f t="shared" ca="1" si="158"/>
        <v/>
      </c>
      <c r="Q1265" s="2"/>
      <c r="R1265" s="2"/>
      <c r="S1265" s="1" t="str">
        <f t="shared" si="159"/>
        <v/>
      </c>
      <c r="T1265" s="1" t="str">
        <f>IF(OR($C1265="",$D1265&lt;&gt;"Gelir",$L1265=""),"",IFERROR(INDEX(MUSTERILER!$B$7:$B$156,MATCH($S1265,MUSTERILER!$T$7:$T$156,0)),""))</f>
        <v/>
      </c>
      <c r="U1265" s="1" t="str">
        <f>IF($T1265="","",$T1265&amp;"|"&amp;COUNTIFS($T$7:$T1265,$T1265))</f>
        <v/>
      </c>
      <c r="V1265" s="1">
        <f t="shared" si="160"/>
        <v>0</v>
      </c>
      <c r="W1265" s="1" t="str">
        <f t="shared" si="161"/>
        <v/>
      </c>
      <c r="X1265" s="1"/>
      <c r="Y1265" s="1"/>
      <c r="Z1265" s="1"/>
      <c r="AA1265" s="1"/>
      <c r="AB1265" s="1"/>
      <c r="AC1265" s="1"/>
      <c r="AD1265" s="1">
        <f>IF($C1265="",0,SUMPRODUCT((AY_SONU!$O$7:$O$42="Evet")*(AY_SONU!$B$7:$B$42=DATE(YEAR($C1265),MONTH($C1265),1))))</f>
        <v>0</v>
      </c>
      <c r="AE1265" s="1" t="str">
        <f>IF($E1265="","",$E1265&amp;"|"&amp;COUNTIFS($E$7:$E1265,$E1265))</f>
        <v/>
      </c>
    </row>
    <row r="1266" spans="1:31" ht="18" customHeight="1" x14ac:dyDescent="0.3">
      <c r="A1266" s="2"/>
      <c r="B1266" s="65" t="str">
        <f t="shared" si="154"/>
        <v/>
      </c>
      <c r="C1266" s="66"/>
      <c r="D1266" s="60"/>
      <c r="E1266" s="61"/>
      <c r="F1266" s="61"/>
      <c r="G1266" s="67"/>
      <c r="H1266" s="60"/>
      <c r="I1266" s="60"/>
      <c r="J1266" s="61"/>
      <c r="K1266" s="61"/>
      <c r="L1266" s="60"/>
      <c r="M1266" s="74" t="str">
        <f t="shared" si="155"/>
        <v/>
      </c>
      <c r="N1266" s="74" t="str">
        <f t="shared" si="156"/>
        <v/>
      </c>
      <c r="O1266" s="73" t="str">
        <f t="shared" si="157"/>
        <v/>
      </c>
      <c r="P1266" s="65" t="str">
        <f t="shared" ca="1" si="158"/>
        <v/>
      </c>
      <c r="Q1266" s="2"/>
      <c r="R1266" s="2"/>
      <c r="S1266" s="1" t="str">
        <f t="shared" si="159"/>
        <v/>
      </c>
      <c r="T1266" s="1" t="str">
        <f>IF(OR($C1266="",$D1266&lt;&gt;"Gelir",$L1266=""),"",IFERROR(INDEX(MUSTERILER!$B$7:$B$156,MATCH($S1266,MUSTERILER!$T$7:$T$156,0)),""))</f>
        <v/>
      </c>
      <c r="U1266" s="1" t="str">
        <f>IF($T1266="","",$T1266&amp;"|"&amp;COUNTIFS($T$7:$T1266,$T1266))</f>
        <v/>
      </c>
      <c r="V1266" s="1">
        <f t="shared" si="160"/>
        <v>0</v>
      </c>
      <c r="W1266" s="1" t="str">
        <f t="shared" si="161"/>
        <v/>
      </c>
      <c r="X1266" s="1"/>
      <c r="Y1266" s="1"/>
      <c r="Z1266" s="1"/>
      <c r="AA1266" s="1"/>
      <c r="AB1266" s="1"/>
      <c r="AC1266" s="1"/>
      <c r="AD1266" s="1">
        <f>IF($C1266="",0,SUMPRODUCT((AY_SONU!$O$7:$O$42="Evet")*(AY_SONU!$B$7:$B$42=DATE(YEAR($C1266),MONTH($C1266),1))))</f>
        <v>0</v>
      </c>
      <c r="AE1266" s="1" t="str">
        <f>IF($E1266="","",$E1266&amp;"|"&amp;COUNTIFS($E$7:$E1266,$E1266))</f>
        <v/>
      </c>
    </row>
    <row r="1267" spans="1:31" ht="18" customHeight="1" x14ac:dyDescent="0.3">
      <c r="A1267" s="2"/>
      <c r="B1267" s="65" t="str">
        <f t="shared" si="154"/>
        <v/>
      </c>
      <c r="C1267" s="66"/>
      <c r="D1267" s="60"/>
      <c r="E1267" s="61"/>
      <c r="F1267" s="61"/>
      <c r="G1267" s="67"/>
      <c r="H1267" s="60"/>
      <c r="I1267" s="60"/>
      <c r="J1267" s="61"/>
      <c r="K1267" s="61"/>
      <c r="L1267" s="60"/>
      <c r="M1267" s="74" t="str">
        <f t="shared" si="155"/>
        <v/>
      </c>
      <c r="N1267" s="74" t="str">
        <f t="shared" si="156"/>
        <v/>
      </c>
      <c r="O1267" s="73" t="str">
        <f t="shared" si="157"/>
        <v/>
      </c>
      <c r="P1267" s="65" t="str">
        <f t="shared" ca="1" si="158"/>
        <v/>
      </c>
      <c r="Q1267" s="2"/>
      <c r="R1267" s="2"/>
      <c r="S1267" s="1" t="str">
        <f t="shared" si="159"/>
        <v/>
      </c>
      <c r="T1267" s="1" t="str">
        <f>IF(OR($C1267="",$D1267&lt;&gt;"Gelir",$L1267=""),"",IFERROR(INDEX(MUSTERILER!$B$7:$B$156,MATCH($S1267,MUSTERILER!$T$7:$T$156,0)),""))</f>
        <v/>
      </c>
      <c r="U1267" s="1" t="str">
        <f>IF($T1267="","",$T1267&amp;"|"&amp;COUNTIFS($T$7:$T1267,$T1267))</f>
        <v/>
      </c>
      <c r="V1267" s="1">
        <f t="shared" si="160"/>
        <v>0</v>
      </c>
      <c r="W1267" s="1" t="str">
        <f t="shared" si="161"/>
        <v/>
      </c>
      <c r="X1267" s="1"/>
      <c r="Y1267" s="1"/>
      <c r="Z1267" s="1"/>
      <c r="AA1267" s="1"/>
      <c r="AB1267" s="1"/>
      <c r="AC1267" s="1"/>
      <c r="AD1267" s="1">
        <f>IF($C1267="",0,SUMPRODUCT((AY_SONU!$O$7:$O$42="Evet")*(AY_SONU!$B$7:$B$42=DATE(YEAR($C1267),MONTH($C1267),1))))</f>
        <v>0</v>
      </c>
      <c r="AE1267" s="1" t="str">
        <f>IF($E1267="","",$E1267&amp;"|"&amp;COUNTIFS($E$7:$E1267,$E1267))</f>
        <v/>
      </c>
    </row>
    <row r="1268" spans="1:31" ht="18" customHeight="1" x14ac:dyDescent="0.3">
      <c r="A1268" s="2"/>
      <c r="B1268" s="65" t="str">
        <f t="shared" si="154"/>
        <v/>
      </c>
      <c r="C1268" s="66"/>
      <c r="D1268" s="60"/>
      <c r="E1268" s="61"/>
      <c r="F1268" s="61"/>
      <c r="G1268" s="67"/>
      <c r="H1268" s="60"/>
      <c r="I1268" s="60"/>
      <c r="J1268" s="61"/>
      <c r="K1268" s="61"/>
      <c r="L1268" s="60"/>
      <c r="M1268" s="74" t="str">
        <f t="shared" si="155"/>
        <v/>
      </c>
      <c r="N1268" s="74" t="str">
        <f t="shared" si="156"/>
        <v/>
      </c>
      <c r="O1268" s="73" t="str">
        <f t="shared" si="157"/>
        <v/>
      </c>
      <c r="P1268" s="65" t="str">
        <f t="shared" ca="1" si="158"/>
        <v/>
      </c>
      <c r="Q1268" s="2"/>
      <c r="R1268" s="2"/>
      <c r="S1268" s="1" t="str">
        <f t="shared" si="159"/>
        <v/>
      </c>
      <c r="T1268" s="1" t="str">
        <f>IF(OR($C1268="",$D1268&lt;&gt;"Gelir",$L1268=""),"",IFERROR(INDEX(MUSTERILER!$B$7:$B$156,MATCH($S1268,MUSTERILER!$T$7:$T$156,0)),""))</f>
        <v/>
      </c>
      <c r="U1268" s="1" t="str">
        <f>IF($T1268="","",$T1268&amp;"|"&amp;COUNTIFS($T$7:$T1268,$T1268))</f>
        <v/>
      </c>
      <c r="V1268" s="1">
        <f t="shared" si="160"/>
        <v>0</v>
      </c>
      <c r="W1268" s="1" t="str">
        <f t="shared" si="161"/>
        <v/>
      </c>
      <c r="X1268" s="1"/>
      <c r="Y1268" s="1"/>
      <c r="Z1268" s="1"/>
      <c r="AA1268" s="1"/>
      <c r="AB1268" s="1"/>
      <c r="AC1268" s="1"/>
      <c r="AD1268" s="1">
        <f>IF($C1268="",0,SUMPRODUCT((AY_SONU!$O$7:$O$42="Evet")*(AY_SONU!$B$7:$B$42=DATE(YEAR($C1268),MONTH($C1268),1))))</f>
        <v>0</v>
      </c>
      <c r="AE1268" s="1" t="str">
        <f>IF($E1268="","",$E1268&amp;"|"&amp;COUNTIFS($E$7:$E1268,$E1268))</f>
        <v/>
      </c>
    </row>
    <row r="1269" spans="1:31" ht="18" customHeight="1" x14ac:dyDescent="0.3">
      <c r="A1269" s="2"/>
      <c r="B1269" s="65" t="str">
        <f t="shared" si="154"/>
        <v/>
      </c>
      <c r="C1269" s="66"/>
      <c r="D1269" s="60"/>
      <c r="E1269" s="61"/>
      <c r="F1269" s="61"/>
      <c r="G1269" s="67"/>
      <c r="H1269" s="60"/>
      <c r="I1269" s="60"/>
      <c r="J1269" s="61"/>
      <c r="K1269" s="61"/>
      <c r="L1269" s="60"/>
      <c r="M1269" s="74" t="str">
        <f t="shared" si="155"/>
        <v/>
      </c>
      <c r="N1269" s="74" t="str">
        <f t="shared" si="156"/>
        <v/>
      </c>
      <c r="O1269" s="73" t="str">
        <f t="shared" si="157"/>
        <v/>
      </c>
      <c r="P1269" s="65" t="str">
        <f t="shared" ca="1" si="158"/>
        <v/>
      </c>
      <c r="Q1269" s="2"/>
      <c r="R1269" s="2"/>
      <c r="S1269" s="1" t="str">
        <f t="shared" si="159"/>
        <v/>
      </c>
      <c r="T1269" s="1" t="str">
        <f>IF(OR($C1269="",$D1269&lt;&gt;"Gelir",$L1269=""),"",IFERROR(INDEX(MUSTERILER!$B$7:$B$156,MATCH($S1269,MUSTERILER!$T$7:$T$156,0)),""))</f>
        <v/>
      </c>
      <c r="U1269" s="1" t="str">
        <f>IF($T1269="","",$T1269&amp;"|"&amp;COUNTIFS($T$7:$T1269,$T1269))</f>
        <v/>
      </c>
      <c r="V1269" s="1">
        <f t="shared" si="160"/>
        <v>0</v>
      </c>
      <c r="W1269" s="1" t="str">
        <f t="shared" si="161"/>
        <v/>
      </c>
      <c r="X1269" s="1"/>
      <c r="Y1269" s="1"/>
      <c r="Z1269" s="1"/>
      <c r="AA1269" s="1"/>
      <c r="AB1269" s="1"/>
      <c r="AC1269" s="1"/>
      <c r="AD1269" s="1">
        <f>IF($C1269="",0,SUMPRODUCT((AY_SONU!$O$7:$O$42="Evet")*(AY_SONU!$B$7:$B$42=DATE(YEAR($C1269),MONTH($C1269),1))))</f>
        <v>0</v>
      </c>
      <c r="AE1269" s="1" t="str">
        <f>IF($E1269="","",$E1269&amp;"|"&amp;COUNTIFS($E$7:$E1269,$E1269))</f>
        <v/>
      </c>
    </row>
    <row r="1270" spans="1:31" ht="18" customHeight="1" x14ac:dyDescent="0.3">
      <c r="A1270" s="2"/>
      <c r="B1270" s="65" t="str">
        <f t="shared" si="154"/>
        <v/>
      </c>
      <c r="C1270" s="66"/>
      <c r="D1270" s="60"/>
      <c r="E1270" s="61"/>
      <c r="F1270" s="61"/>
      <c r="G1270" s="67"/>
      <c r="H1270" s="60"/>
      <c r="I1270" s="60"/>
      <c r="J1270" s="61"/>
      <c r="K1270" s="61"/>
      <c r="L1270" s="60"/>
      <c r="M1270" s="74" t="str">
        <f t="shared" si="155"/>
        <v/>
      </c>
      <c r="N1270" s="74" t="str">
        <f t="shared" si="156"/>
        <v/>
      </c>
      <c r="O1270" s="73" t="str">
        <f t="shared" si="157"/>
        <v/>
      </c>
      <c r="P1270" s="65" t="str">
        <f t="shared" ca="1" si="158"/>
        <v/>
      </c>
      <c r="Q1270" s="2"/>
      <c r="R1270" s="2"/>
      <c r="S1270" s="1" t="str">
        <f t="shared" si="159"/>
        <v/>
      </c>
      <c r="T1270" s="1" t="str">
        <f>IF(OR($C1270="",$D1270&lt;&gt;"Gelir",$L1270=""),"",IFERROR(INDEX(MUSTERILER!$B$7:$B$156,MATCH($S1270,MUSTERILER!$T$7:$T$156,0)),""))</f>
        <v/>
      </c>
      <c r="U1270" s="1" t="str">
        <f>IF($T1270="","",$T1270&amp;"|"&amp;COUNTIFS($T$7:$T1270,$T1270))</f>
        <v/>
      </c>
      <c r="V1270" s="1">
        <f t="shared" si="160"/>
        <v>0</v>
      </c>
      <c r="W1270" s="1" t="str">
        <f t="shared" si="161"/>
        <v/>
      </c>
      <c r="X1270" s="1"/>
      <c r="Y1270" s="1"/>
      <c r="Z1270" s="1"/>
      <c r="AA1270" s="1"/>
      <c r="AB1270" s="1"/>
      <c r="AC1270" s="1"/>
      <c r="AD1270" s="1">
        <f>IF($C1270="",0,SUMPRODUCT((AY_SONU!$O$7:$O$42="Evet")*(AY_SONU!$B$7:$B$42=DATE(YEAR($C1270),MONTH($C1270),1))))</f>
        <v>0</v>
      </c>
      <c r="AE1270" s="1" t="str">
        <f>IF($E1270="","",$E1270&amp;"|"&amp;COUNTIFS($E$7:$E1270,$E1270))</f>
        <v/>
      </c>
    </row>
    <row r="1271" spans="1:31" ht="18" customHeight="1" x14ac:dyDescent="0.3">
      <c r="A1271" s="2"/>
      <c r="B1271" s="65" t="str">
        <f t="shared" si="154"/>
        <v/>
      </c>
      <c r="C1271" s="66"/>
      <c r="D1271" s="60"/>
      <c r="E1271" s="61"/>
      <c r="F1271" s="61"/>
      <c r="G1271" s="67"/>
      <c r="H1271" s="60"/>
      <c r="I1271" s="60"/>
      <c r="J1271" s="61"/>
      <c r="K1271" s="61"/>
      <c r="L1271" s="60"/>
      <c r="M1271" s="74" t="str">
        <f t="shared" si="155"/>
        <v/>
      </c>
      <c r="N1271" s="74" t="str">
        <f t="shared" si="156"/>
        <v/>
      </c>
      <c r="O1271" s="73" t="str">
        <f t="shared" si="157"/>
        <v/>
      </c>
      <c r="P1271" s="65" t="str">
        <f t="shared" ca="1" si="158"/>
        <v/>
      </c>
      <c r="Q1271" s="2"/>
      <c r="R1271" s="2"/>
      <c r="S1271" s="1" t="str">
        <f t="shared" si="159"/>
        <v/>
      </c>
      <c r="T1271" s="1" t="str">
        <f>IF(OR($C1271="",$D1271&lt;&gt;"Gelir",$L1271=""),"",IFERROR(INDEX(MUSTERILER!$B$7:$B$156,MATCH($S1271,MUSTERILER!$T$7:$T$156,0)),""))</f>
        <v/>
      </c>
      <c r="U1271" s="1" t="str">
        <f>IF($T1271="","",$T1271&amp;"|"&amp;COUNTIFS($T$7:$T1271,$T1271))</f>
        <v/>
      </c>
      <c r="V1271" s="1">
        <f t="shared" si="160"/>
        <v>0</v>
      </c>
      <c r="W1271" s="1" t="str">
        <f t="shared" si="161"/>
        <v/>
      </c>
      <c r="X1271" s="1"/>
      <c r="Y1271" s="1"/>
      <c r="Z1271" s="1"/>
      <c r="AA1271" s="1"/>
      <c r="AB1271" s="1"/>
      <c r="AC1271" s="1"/>
      <c r="AD1271" s="1">
        <f>IF($C1271="",0,SUMPRODUCT((AY_SONU!$O$7:$O$42="Evet")*(AY_SONU!$B$7:$B$42=DATE(YEAR($C1271),MONTH($C1271),1))))</f>
        <v>0</v>
      </c>
      <c r="AE1271" s="1" t="str">
        <f>IF($E1271="","",$E1271&amp;"|"&amp;COUNTIFS($E$7:$E1271,$E1271))</f>
        <v/>
      </c>
    </row>
    <row r="1272" spans="1:31" ht="18" customHeight="1" x14ac:dyDescent="0.3">
      <c r="A1272" s="2"/>
      <c r="B1272" s="65" t="str">
        <f t="shared" si="154"/>
        <v/>
      </c>
      <c r="C1272" s="66"/>
      <c r="D1272" s="60"/>
      <c r="E1272" s="61"/>
      <c r="F1272" s="61"/>
      <c r="G1272" s="67"/>
      <c r="H1272" s="60"/>
      <c r="I1272" s="60"/>
      <c r="J1272" s="61"/>
      <c r="K1272" s="61"/>
      <c r="L1272" s="60"/>
      <c r="M1272" s="74" t="str">
        <f t="shared" si="155"/>
        <v/>
      </c>
      <c r="N1272" s="74" t="str">
        <f t="shared" si="156"/>
        <v/>
      </c>
      <c r="O1272" s="73" t="str">
        <f t="shared" si="157"/>
        <v/>
      </c>
      <c r="P1272" s="65" t="str">
        <f t="shared" ca="1" si="158"/>
        <v/>
      </c>
      <c r="Q1272" s="2"/>
      <c r="R1272" s="2"/>
      <c r="S1272" s="1" t="str">
        <f t="shared" si="159"/>
        <v/>
      </c>
      <c r="T1272" s="1" t="str">
        <f>IF(OR($C1272="",$D1272&lt;&gt;"Gelir",$L1272=""),"",IFERROR(INDEX(MUSTERILER!$B$7:$B$156,MATCH($S1272,MUSTERILER!$T$7:$T$156,0)),""))</f>
        <v/>
      </c>
      <c r="U1272" s="1" t="str">
        <f>IF($T1272="","",$T1272&amp;"|"&amp;COUNTIFS($T$7:$T1272,$T1272))</f>
        <v/>
      </c>
      <c r="V1272" s="1">
        <f t="shared" si="160"/>
        <v>0</v>
      </c>
      <c r="W1272" s="1" t="str">
        <f t="shared" si="161"/>
        <v/>
      </c>
      <c r="X1272" s="1"/>
      <c r="Y1272" s="1"/>
      <c r="Z1272" s="1"/>
      <c r="AA1272" s="1"/>
      <c r="AB1272" s="1"/>
      <c r="AC1272" s="1"/>
      <c r="AD1272" s="1">
        <f>IF($C1272="",0,SUMPRODUCT((AY_SONU!$O$7:$O$42="Evet")*(AY_SONU!$B$7:$B$42=DATE(YEAR($C1272),MONTH($C1272),1))))</f>
        <v>0</v>
      </c>
      <c r="AE1272" s="1" t="str">
        <f>IF($E1272="","",$E1272&amp;"|"&amp;COUNTIFS($E$7:$E1272,$E1272))</f>
        <v/>
      </c>
    </row>
    <row r="1273" spans="1:31" ht="18" customHeight="1" x14ac:dyDescent="0.3">
      <c r="A1273" s="2"/>
      <c r="B1273" s="65" t="str">
        <f t="shared" si="154"/>
        <v/>
      </c>
      <c r="C1273" s="66"/>
      <c r="D1273" s="60"/>
      <c r="E1273" s="61"/>
      <c r="F1273" s="61"/>
      <c r="G1273" s="67"/>
      <c r="H1273" s="60"/>
      <c r="I1273" s="60"/>
      <c r="J1273" s="61"/>
      <c r="K1273" s="61"/>
      <c r="L1273" s="60"/>
      <c r="M1273" s="74" t="str">
        <f t="shared" si="155"/>
        <v/>
      </c>
      <c r="N1273" s="74" t="str">
        <f t="shared" si="156"/>
        <v/>
      </c>
      <c r="O1273" s="73" t="str">
        <f t="shared" si="157"/>
        <v/>
      </c>
      <c r="P1273" s="65" t="str">
        <f t="shared" ca="1" si="158"/>
        <v/>
      </c>
      <c r="Q1273" s="2"/>
      <c r="R1273" s="2"/>
      <c r="S1273" s="1" t="str">
        <f t="shared" si="159"/>
        <v/>
      </c>
      <c r="T1273" s="1" t="str">
        <f>IF(OR($C1273="",$D1273&lt;&gt;"Gelir",$L1273=""),"",IFERROR(INDEX(MUSTERILER!$B$7:$B$156,MATCH($S1273,MUSTERILER!$T$7:$T$156,0)),""))</f>
        <v/>
      </c>
      <c r="U1273" s="1" t="str">
        <f>IF($T1273="","",$T1273&amp;"|"&amp;COUNTIFS($T$7:$T1273,$T1273))</f>
        <v/>
      </c>
      <c r="V1273" s="1">
        <f t="shared" si="160"/>
        <v>0</v>
      </c>
      <c r="W1273" s="1" t="str">
        <f t="shared" si="161"/>
        <v/>
      </c>
      <c r="X1273" s="1"/>
      <c r="Y1273" s="1"/>
      <c r="Z1273" s="1"/>
      <c r="AA1273" s="1"/>
      <c r="AB1273" s="1"/>
      <c r="AC1273" s="1"/>
      <c r="AD1273" s="1">
        <f>IF($C1273="",0,SUMPRODUCT((AY_SONU!$O$7:$O$42="Evet")*(AY_SONU!$B$7:$B$42=DATE(YEAR($C1273),MONTH($C1273),1))))</f>
        <v>0</v>
      </c>
      <c r="AE1273" s="1" t="str">
        <f>IF($E1273="","",$E1273&amp;"|"&amp;COUNTIFS($E$7:$E1273,$E1273))</f>
        <v/>
      </c>
    </row>
    <row r="1274" spans="1:31" ht="18" customHeight="1" x14ac:dyDescent="0.3">
      <c r="A1274" s="2"/>
      <c r="B1274" s="65" t="str">
        <f t="shared" si="154"/>
        <v/>
      </c>
      <c r="C1274" s="66"/>
      <c r="D1274" s="60"/>
      <c r="E1274" s="61"/>
      <c r="F1274" s="61"/>
      <c r="G1274" s="67"/>
      <c r="H1274" s="60"/>
      <c r="I1274" s="60"/>
      <c r="J1274" s="61"/>
      <c r="K1274" s="61"/>
      <c r="L1274" s="60"/>
      <c r="M1274" s="74" t="str">
        <f t="shared" si="155"/>
        <v/>
      </c>
      <c r="N1274" s="74" t="str">
        <f t="shared" si="156"/>
        <v/>
      </c>
      <c r="O1274" s="73" t="str">
        <f t="shared" si="157"/>
        <v/>
      </c>
      <c r="P1274" s="65" t="str">
        <f t="shared" ca="1" si="158"/>
        <v/>
      </c>
      <c r="Q1274" s="2"/>
      <c r="R1274" s="2"/>
      <c r="S1274" s="1" t="str">
        <f t="shared" si="159"/>
        <v/>
      </c>
      <c r="T1274" s="1" t="str">
        <f>IF(OR($C1274="",$D1274&lt;&gt;"Gelir",$L1274=""),"",IFERROR(INDEX(MUSTERILER!$B$7:$B$156,MATCH($S1274,MUSTERILER!$T$7:$T$156,0)),""))</f>
        <v/>
      </c>
      <c r="U1274" s="1" t="str">
        <f>IF($T1274="","",$T1274&amp;"|"&amp;COUNTIFS($T$7:$T1274,$T1274))</f>
        <v/>
      </c>
      <c r="V1274" s="1">
        <f t="shared" si="160"/>
        <v>0</v>
      </c>
      <c r="W1274" s="1" t="str">
        <f t="shared" si="161"/>
        <v/>
      </c>
      <c r="X1274" s="1"/>
      <c r="Y1274" s="1"/>
      <c r="Z1274" s="1"/>
      <c r="AA1274" s="1"/>
      <c r="AB1274" s="1"/>
      <c r="AC1274" s="1"/>
      <c r="AD1274" s="1">
        <f>IF($C1274="",0,SUMPRODUCT((AY_SONU!$O$7:$O$42="Evet")*(AY_SONU!$B$7:$B$42=DATE(YEAR($C1274),MONTH($C1274),1))))</f>
        <v>0</v>
      </c>
      <c r="AE1274" s="1" t="str">
        <f>IF($E1274="","",$E1274&amp;"|"&amp;COUNTIFS($E$7:$E1274,$E1274))</f>
        <v/>
      </c>
    </row>
    <row r="1275" spans="1:31" ht="18" customHeight="1" x14ac:dyDescent="0.3">
      <c r="A1275" s="2"/>
      <c r="B1275" s="65" t="str">
        <f t="shared" si="154"/>
        <v/>
      </c>
      <c r="C1275" s="66"/>
      <c r="D1275" s="60"/>
      <c r="E1275" s="61"/>
      <c r="F1275" s="61"/>
      <c r="G1275" s="67"/>
      <c r="H1275" s="60"/>
      <c r="I1275" s="60"/>
      <c r="J1275" s="61"/>
      <c r="K1275" s="61"/>
      <c r="L1275" s="60"/>
      <c r="M1275" s="74" t="str">
        <f t="shared" si="155"/>
        <v/>
      </c>
      <c r="N1275" s="74" t="str">
        <f t="shared" si="156"/>
        <v/>
      </c>
      <c r="O1275" s="73" t="str">
        <f t="shared" si="157"/>
        <v/>
      </c>
      <c r="P1275" s="65" t="str">
        <f t="shared" ca="1" si="158"/>
        <v/>
      </c>
      <c r="Q1275" s="2"/>
      <c r="R1275" s="2"/>
      <c r="S1275" s="1" t="str">
        <f t="shared" si="159"/>
        <v/>
      </c>
      <c r="T1275" s="1" t="str">
        <f>IF(OR($C1275="",$D1275&lt;&gt;"Gelir",$L1275=""),"",IFERROR(INDEX(MUSTERILER!$B$7:$B$156,MATCH($S1275,MUSTERILER!$T$7:$T$156,0)),""))</f>
        <v/>
      </c>
      <c r="U1275" s="1" t="str">
        <f>IF($T1275="","",$T1275&amp;"|"&amp;COUNTIFS($T$7:$T1275,$T1275))</f>
        <v/>
      </c>
      <c r="V1275" s="1">
        <f t="shared" si="160"/>
        <v>0</v>
      </c>
      <c r="W1275" s="1" t="str">
        <f t="shared" si="161"/>
        <v/>
      </c>
      <c r="X1275" s="1"/>
      <c r="Y1275" s="1"/>
      <c r="Z1275" s="1"/>
      <c r="AA1275" s="1"/>
      <c r="AB1275" s="1"/>
      <c r="AC1275" s="1"/>
      <c r="AD1275" s="1">
        <f>IF($C1275="",0,SUMPRODUCT((AY_SONU!$O$7:$O$42="Evet")*(AY_SONU!$B$7:$B$42=DATE(YEAR($C1275),MONTH($C1275),1))))</f>
        <v>0</v>
      </c>
      <c r="AE1275" s="1" t="str">
        <f>IF($E1275="","",$E1275&amp;"|"&amp;COUNTIFS($E$7:$E1275,$E1275))</f>
        <v/>
      </c>
    </row>
    <row r="1276" spans="1:31" ht="18" customHeight="1" x14ac:dyDescent="0.3">
      <c r="A1276" s="2"/>
      <c r="B1276" s="65" t="str">
        <f t="shared" si="154"/>
        <v/>
      </c>
      <c r="C1276" s="66"/>
      <c r="D1276" s="60"/>
      <c r="E1276" s="61"/>
      <c r="F1276" s="61"/>
      <c r="G1276" s="67"/>
      <c r="H1276" s="60"/>
      <c r="I1276" s="60"/>
      <c r="J1276" s="61"/>
      <c r="K1276" s="61"/>
      <c r="L1276" s="60"/>
      <c r="M1276" s="74" t="str">
        <f t="shared" si="155"/>
        <v/>
      </c>
      <c r="N1276" s="74" t="str">
        <f t="shared" si="156"/>
        <v/>
      </c>
      <c r="O1276" s="73" t="str">
        <f t="shared" si="157"/>
        <v/>
      </c>
      <c r="P1276" s="65" t="str">
        <f t="shared" ca="1" si="158"/>
        <v/>
      </c>
      <c r="Q1276" s="2"/>
      <c r="R1276" s="2"/>
      <c r="S1276" s="1" t="str">
        <f t="shared" si="159"/>
        <v/>
      </c>
      <c r="T1276" s="1" t="str">
        <f>IF(OR($C1276="",$D1276&lt;&gt;"Gelir",$L1276=""),"",IFERROR(INDEX(MUSTERILER!$B$7:$B$156,MATCH($S1276,MUSTERILER!$T$7:$T$156,0)),""))</f>
        <v/>
      </c>
      <c r="U1276" s="1" t="str">
        <f>IF($T1276="","",$T1276&amp;"|"&amp;COUNTIFS($T$7:$T1276,$T1276))</f>
        <v/>
      </c>
      <c r="V1276" s="1">
        <f t="shared" si="160"/>
        <v>0</v>
      </c>
      <c r="W1276" s="1" t="str">
        <f t="shared" si="161"/>
        <v/>
      </c>
      <c r="X1276" s="1"/>
      <c r="Y1276" s="1"/>
      <c r="Z1276" s="1"/>
      <c r="AA1276" s="1"/>
      <c r="AB1276" s="1"/>
      <c r="AC1276" s="1"/>
      <c r="AD1276" s="1">
        <f>IF($C1276="",0,SUMPRODUCT((AY_SONU!$O$7:$O$42="Evet")*(AY_SONU!$B$7:$B$42=DATE(YEAR($C1276),MONTH($C1276),1))))</f>
        <v>0</v>
      </c>
      <c r="AE1276" s="1" t="str">
        <f>IF($E1276="","",$E1276&amp;"|"&amp;COUNTIFS($E$7:$E1276,$E1276))</f>
        <v/>
      </c>
    </row>
    <row r="1277" spans="1:31" ht="18" customHeight="1" x14ac:dyDescent="0.3">
      <c r="A1277" s="2"/>
      <c r="B1277" s="65" t="str">
        <f t="shared" si="154"/>
        <v/>
      </c>
      <c r="C1277" s="66"/>
      <c r="D1277" s="60"/>
      <c r="E1277" s="61"/>
      <c r="F1277" s="61"/>
      <c r="G1277" s="67"/>
      <c r="H1277" s="60"/>
      <c r="I1277" s="60"/>
      <c r="J1277" s="61"/>
      <c r="K1277" s="61"/>
      <c r="L1277" s="60"/>
      <c r="M1277" s="74" t="str">
        <f t="shared" si="155"/>
        <v/>
      </c>
      <c r="N1277" s="74" t="str">
        <f t="shared" si="156"/>
        <v/>
      </c>
      <c r="O1277" s="73" t="str">
        <f t="shared" si="157"/>
        <v/>
      </c>
      <c r="P1277" s="65" t="str">
        <f t="shared" ca="1" si="158"/>
        <v/>
      </c>
      <c r="Q1277" s="2"/>
      <c r="R1277" s="2"/>
      <c r="S1277" s="1" t="str">
        <f t="shared" si="159"/>
        <v/>
      </c>
      <c r="T1277" s="1" t="str">
        <f>IF(OR($C1277="",$D1277&lt;&gt;"Gelir",$L1277=""),"",IFERROR(INDEX(MUSTERILER!$B$7:$B$156,MATCH($S1277,MUSTERILER!$T$7:$T$156,0)),""))</f>
        <v/>
      </c>
      <c r="U1277" s="1" t="str">
        <f>IF($T1277="","",$T1277&amp;"|"&amp;COUNTIFS($T$7:$T1277,$T1277))</f>
        <v/>
      </c>
      <c r="V1277" s="1">
        <f t="shared" si="160"/>
        <v>0</v>
      </c>
      <c r="W1277" s="1" t="str">
        <f t="shared" si="161"/>
        <v/>
      </c>
      <c r="X1277" s="1"/>
      <c r="Y1277" s="1"/>
      <c r="Z1277" s="1"/>
      <c r="AA1277" s="1"/>
      <c r="AB1277" s="1"/>
      <c r="AC1277" s="1"/>
      <c r="AD1277" s="1">
        <f>IF($C1277="",0,SUMPRODUCT((AY_SONU!$O$7:$O$42="Evet")*(AY_SONU!$B$7:$B$42=DATE(YEAR($C1277),MONTH($C1277),1))))</f>
        <v>0</v>
      </c>
      <c r="AE1277" s="1" t="str">
        <f>IF($E1277="","",$E1277&amp;"|"&amp;COUNTIFS($E$7:$E1277,$E1277))</f>
        <v/>
      </c>
    </row>
    <row r="1278" spans="1:31" ht="18" customHeight="1" x14ac:dyDescent="0.3">
      <c r="A1278" s="2"/>
      <c r="B1278" s="65" t="str">
        <f t="shared" si="154"/>
        <v/>
      </c>
      <c r="C1278" s="66"/>
      <c r="D1278" s="60"/>
      <c r="E1278" s="61"/>
      <c r="F1278" s="61"/>
      <c r="G1278" s="67"/>
      <c r="H1278" s="60"/>
      <c r="I1278" s="60"/>
      <c r="J1278" s="61"/>
      <c r="K1278" s="61"/>
      <c r="L1278" s="60"/>
      <c r="M1278" s="74" t="str">
        <f t="shared" si="155"/>
        <v/>
      </c>
      <c r="N1278" s="74" t="str">
        <f t="shared" si="156"/>
        <v/>
      </c>
      <c r="O1278" s="73" t="str">
        <f t="shared" si="157"/>
        <v/>
      </c>
      <c r="P1278" s="65" t="str">
        <f t="shared" ca="1" si="158"/>
        <v/>
      </c>
      <c r="Q1278" s="2"/>
      <c r="R1278" s="2"/>
      <c r="S1278" s="1" t="str">
        <f t="shared" si="159"/>
        <v/>
      </c>
      <c r="T1278" s="1" t="str">
        <f>IF(OR($C1278="",$D1278&lt;&gt;"Gelir",$L1278=""),"",IFERROR(INDEX(MUSTERILER!$B$7:$B$156,MATCH($S1278,MUSTERILER!$T$7:$T$156,0)),""))</f>
        <v/>
      </c>
      <c r="U1278" s="1" t="str">
        <f>IF($T1278="","",$T1278&amp;"|"&amp;COUNTIFS($T$7:$T1278,$T1278))</f>
        <v/>
      </c>
      <c r="V1278" s="1">
        <f t="shared" si="160"/>
        <v>0</v>
      </c>
      <c r="W1278" s="1" t="str">
        <f t="shared" si="161"/>
        <v/>
      </c>
      <c r="X1278" s="1"/>
      <c r="Y1278" s="1"/>
      <c r="Z1278" s="1"/>
      <c r="AA1278" s="1"/>
      <c r="AB1278" s="1"/>
      <c r="AC1278" s="1"/>
      <c r="AD1278" s="1">
        <f>IF($C1278="",0,SUMPRODUCT((AY_SONU!$O$7:$O$42="Evet")*(AY_SONU!$B$7:$B$42=DATE(YEAR($C1278),MONTH($C1278),1))))</f>
        <v>0</v>
      </c>
      <c r="AE1278" s="1" t="str">
        <f>IF($E1278="","",$E1278&amp;"|"&amp;COUNTIFS($E$7:$E1278,$E1278))</f>
        <v/>
      </c>
    </row>
    <row r="1279" spans="1:31" ht="18" customHeight="1" x14ac:dyDescent="0.3">
      <c r="A1279" s="2"/>
      <c r="B1279" s="65" t="str">
        <f t="shared" si="154"/>
        <v/>
      </c>
      <c r="C1279" s="66"/>
      <c r="D1279" s="60"/>
      <c r="E1279" s="61"/>
      <c r="F1279" s="61"/>
      <c r="G1279" s="67"/>
      <c r="H1279" s="60"/>
      <c r="I1279" s="60"/>
      <c r="J1279" s="61"/>
      <c r="K1279" s="61"/>
      <c r="L1279" s="60"/>
      <c r="M1279" s="74" t="str">
        <f t="shared" si="155"/>
        <v/>
      </c>
      <c r="N1279" s="74" t="str">
        <f t="shared" si="156"/>
        <v/>
      </c>
      <c r="O1279" s="73" t="str">
        <f t="shared" si="157"/>
        <v/>
      </c>
      <c r="P1279" s="65" t="str">
        <f t="shared" ca="1" si="158"/>
        <v/>
      </c>
      <c r="Q1279" s="2"/>
      <c r="R1279" s="2"/>
      <c r="S1279" s="1" t="str">
        <f t="shared" si="159"/>
        <v/>
      </c>
      <c r="T1279" s="1" t="str">
        <f>IF(OR($C1279="",$D1279&lt;&gt;"Gelir",$L1279=""),"",IFERROR(INDEX(MUSTERILER!$B$7:$B$156,MATCH($S1279,MUSTERILER!$T$7:$T$156,0)),""))</f>
        <v/>
      </c>
      <c r="U1279" s="1" t="str">
        <f>IF($T1279="","",$T1279&amp;"|"&amp;COUNTIFS($T$7:$T1279,$T1279))</f>
        <v/>
      </c>
      <c r="V1279" s="1">
        <f t="shared" si="160"/>
        <v>0</v>
      </c>
      <c r="W1279" s="1" t="str">
        <f t="shared" si="161"/>
        <v/>
      </c>
      <c r="X1279" s="1"/>
      <c r="Y1279" s="1"/>
      <c r="Z1279" s="1"/>
      <c r="AA1279" s="1"/>
      <c r="AB1279" s="1"/>
      <c r="AC1279" s="1"/>
      <c r="AD1279" s="1">
        <f>IF($C1279="",0,SUMPRODUCT((AY_SONU!$O$7:$O$42="Evet")*(AY_SONU!$B$7:$B$42=DATE(YEAR($C1279),MONTH($C1279),1))))</f>
        <v>0</v>
      </c>
      <c r="AE1279" s="1" t="str">
        <f>IF($E1279="","",$E1279&amp;"|"&amp;COUNTIFS($E$7:$E1279,$E1279))</f>
        <v/>
      </c>
    </row>
    <row r="1280" spans="1:31" ht="18" customHeight="1" x14ac:dyDescent="0.3">
      <c r="A1280" s="2"/>
      <c r="B1280" s="65" t="str">
        <f t="shared" si="154"/>
        <v/>
      </c>
      <c r="C1280" s="66"/>
      <c r="D1280" s="60"/>
      <c r="E1280" s="61"/>
      <c r="F1280" s="61"/>
      <c r="G1280" s="67"/>
      <c r="H1280" s="60"/>
      <c r="I1280" s="60"/>
      <c r="J1280" s="61"/>
      <c r="K1280" s="61"/>
      <c r="L1280" s="60"/>
      <c r="M1280" s="74" t="str">
        <f t="shared" si="155"/>
        <v/>
      </c>
      <c r="N1280" s="74" t="str">
        <f t="shared" si="156"/>
        <v/>
      </c>
      <c r="O1280" s="73" t="str">
        <f t="shared" si="157"/>
        <v/>
      </c>
      <c r="P1280" s="65" t="str">
        <f t="shared" ca="1" si="158"/>
        <v/>
      </c>
      <c r="Q1280" s="2"/>
      <c r="R1280" s="2"/>
      <c r="S1280" s="1" t="str">
        <f t="shared" si="159"/>
        <v/>
      </c>
      <c r="T1280" s="1" t="str">
        <f>IF(OR($C1280="",$D1280&lt;&gt;"Gelir",$L1280=""),"",IFERROR(INDEX(MUSTERILER!$B$7:$B$156,MATCH($S1280,MUSTERILER!$T$7:$T$156,0)),""))</f>
        <v/>
      </c>
      <c r="U1280" s="1" t="str">
        <f>IF($T1280="","",$T1280&amp;"|"&amp;COUNTIFS($T$7:$T1280,$T1280))</f>
        <v/>
      </c>
      <c r="V1280" s="1">
        <f t="shared" si="160"/>
        <v>0</v>
      </c>
      <c r="W1280" s="1" t="str">
        <f t="shared" si="161"/>
        <v/>
      </c>
      <c r="X1280" s="1"/>
      <c r="Y1280" s="1"/>
      <c r="Z1280" s="1"/>
      <c r="AA1280" s="1"/>
      <c r="AB1280" s="1"/>
      <c r="AC1280" s="1"/>
      <c r="AD1280" s="1">
        <f>IF($C1280="",0,SUMPRODUCT((AY_SONU!$O$7:$O$42="Evet")*(AY_SONU!$B$7:$B$42=DATE(YEAR($C1280),MONTH($C1280),1))))</f>
        <v>0</v>
      </c>
      <c r="AE1280" s="1" t="str">
        <f>IF($E1280="","",$E1280&amp;"|"&amp;COUNTIFS($E$7:$E1280,$E1280))</f>
        <v/>
      </c>
    </row>
    <row r="1281" spans="1:31" ht="18" customHeight="1" x14ac:dyDescent="0.3">
      <c r="A1281" s="2"/>
      <c r="B1281" s="65" t="str">
        <f t="shared" si="154"/>
        <v/>
      </c>
      <c r="C1281" s="66"/>
      <c r="D1281" s="60"/>
      <c r="E1281" s="61"/>
      <c r="F1281" s="61"/>
      <c r="G1281" s="67"/>
      <c r="H1281" s="60"/>
      <c r="I1281" s="60"/>
      <c r="J1281" s="61"/>
      <c r="K1281" s="61"/>
      <c r="L1281" s="60"/>
      <c r="M1281" s="74" t="str">
        <f t="shared" si="155"/>
        <v/>
      </c>
      <c r="N1281" s="74" t="str">
        <f t="shared" si="156"/>
        <v/>
      </c>
      <c r="O1281" s="73" t="str">
        <f t="shared" si="157"/>
        <v/>
      </c>
      <c r="P1281" s="65" t="str">
        <f t="shared" ca="1" si="158"/>
        <v/>
      </c>
      <c r="Q1281" s="2"/>
      <c r="R1281" s="2"/>
      <c r="S1281" s="1" t="str">
        <f t="shared" si="159"/>
        <v/>
      </c>
      <c r="T1281" s="1" t="str">
        <f>IF(OR($C1281="",$D1281&lt;&gt;"Gelir",$L1281=""),"",IFERROR(INDEX(MUSTERILER!$B$7:$B$156,MATCH($S1281,MUSTERILER!$T$7:$T$156,0)),""))</f>
        <v/>
      </c>
      <c r="U1281" s="1" t="str">
        <f>IF($T1281="","",$T1281&amp;"|"&amp;COUNTIFS($T$7:$T1281,$T1281))</f>
        <v/>
      </c>
      <c r="V1281" s="1">
        <f t="shared" si="160"/>
        <v>0</v>
      </c>
      <c r="W1281" s="1" t="str">
        <f t="shared" si="161"/>
        <v/>
      </c>
      <c r="X1281" s="1"/>
      <c r="Y1281" s="1"/>
      <c r="Z1281" s="1"/>
      <c r="AA1281" s="1"/>
      <c r="AB1281" s="1"/>
      <c r="AC1281" s="1"/>
      <c r="AD1281" s="1">
        <f>IF($C1281="",0,SUMPRODUCT((AY_SONU!$O$7:$O$42="Evet")*(AY_SONU!$B$7:$B$42=DATE(YEAR($C1281),MONTH($C1281),1))))</f>
        <v>0</v>
      </c>
      <c r="AE1281" s="1" t="str">
        <f>IF($E1281="","",$E1281&amp;"|"&amp;COUNTIFS($E$7:$E1281,$E1281))</f>
        <v/>
      </c>
    </row>
    <row r="1282" spans="1:31" ht="18" customHeight="1" x14ac:dyDescent="0.3">
      <c r="A1282" s="2"/>
      <c r="B1282" s="65" t="str">
        <f t="shared" si="154"/>
        <v/>
      </c>
      <c r="C1282" s="66"/>
      <c r="D1282" s="60"/>
      <c r="E1282" s="61"/>
      <c r="F1282" s="61"/>
      <c r="G1282" s="67"/>
      <c r="H1282" s="60"/>
      <c r="I1282" s="60"/>
      <c r="J1282" s="61"/>
      <c r="K1282" s="61"/>
      <c r="L1282" s="60"/>
      <c r="M1282" s="74" t="str">
        <f t="shared" si="155"/>
        <v/>
      </c>
      <c r="N1282" s="74" t="str">
        <f t="shared" si="156"/>
        <v/>
      </c>
      <c r="O1282" s="73" t="str">
        <f t="shared" si="157"/>
        <v/>
      </c>
      <c r="P1282" s="65" t="str">
        <f t="shared" ca="1" si="158"/>
        <v/>
      </c>
      <c r="Q1282" s="2"/>
      <c r="R1282" s="2"/>
      <c r="S1282" s="1" t="str">
        <f t="shared" si="159"/>
        <v/>
      </c>
      <c r="T1282" s="1" t="str">
        <f>IF(OR($C1282="",$D1282&lt;&gt;"Gelir",$L1282=""),"",IFERROR(INDEX(MUSTERILER!$B$7:$B$156,MATCH($S1282,MUSTERILER!$T$7:$T$156,0)),""))</f>
        <v/>
      </c>
      <c r="U1282" s="1" t="str">
        <f>IF($T1282="","",$T1282&amp;"|"&amp;COUNTIFS($T$7:$T1282,$T1282))</f>
        <v/>
      </c>
      <c r="V1282" s="1">
        <f t="shared" si="160"/>
        <v>0</v>
      </c>
      <c r="W1282" s="1" t="str">
        <f t="shared" si="161"/>
        <v/>
      </c>
      <c r="X1282" s="1"/>
      <c r="Y1282" s="1"/>
      <c r="Z1282" s="1"/>
      <c r="AA1282" s="1"/>
      <c r="AB1282" s="1"/>
      <c r="AC1282" s="1"/>
      <c r="AD1282" s="1">
        <f>IF($C1282="",0,SUMPRODUCT((AY_SONU!$O$7:$O$42="Evet")*(AY_SONU!$B$7:$B$42=DATE(YEAR($C1282),MONTH($C1282),1))))</f>
        <v>0</v>
      </c>
      <c r="AE1282" s="1" t="str">
        <f>IF($E1282="","",$E1282&amp;"|"&amp;COUNTIFS($E$7:$E1282,$E1282))</f>
        <v/>
      </c>
    </row>
    <row r="1283" spans="1:31" ht="18" customHeight="1" x14ac:dyDescent="0.3">
      <c r="A1283" s="2"/>
      <c r="B1283" s="65" t="str">
        <f t="shared" si="154"/>
        <v/>
      </c>
      <c r="C1283" s="66"/>
      <c r="D1283" s="60"/>
      <c r="E1283" s="61"/>
      <c r="F1283" s="61"/>
      <c r="G1283" s="67"/>
      <c r="H1283" s="60"/>
      <c r="I1283" s="60"/>
      <c r="J1283" s="61"/>
      <c r="K1283" s="61"/>
      <c r="L1283" s="60"/>
      <c r="M1283" s="74" t="str">
        <f t="shared" si="155"/>
        <v/>
      </c>
      <c r="N1283" s="74" t="str">
        <f t="shared" si="156"/>
        <v/>
      </c>
      <c r="O1283" s="73" t="str">
        <f t="shared" si="157"/>
        <v/>
      </c>
      <c r="P1283" s="65" t="str">
        <f t="shared" ca="1" si="158"/>
        <v/>
      </c>
      <c r="Q1283" s="2"/>
      <c r="R1283" s="2"/>
      <c r="S1283" s="1" t="str">
        <f t="shared" si="159"/>
        <v/>
      </c>
      <c r="T1283" s="1" t="str">
        <f>IF(OR($C1283="",$D1283&lt;&gt;"Gelir",$L1283=""),"",IFERROR(INDEX(MUSTERILER!$B$7:$B$156,MATCH($S1283,MUSTERILER!$T$7:$T$156,0)),""))</f>
        <v/>
      </c>
      <c r="U1283" s="1" t="str">
        <f>IF($T1283="","",$T1283&amp;"|"&amp;COUNTIFS($T$7:$T1283,$T1283))</f>
        <v/>
      </c>
      <c r="V1283" s="1">
        <f t="shared" si="160"/>
        <v>0</v>
      </c>
      <c r="W1283" s="1" t="str">
        <f t="shared" si="161"/>
        <v/>
      </c>
      <c r="X1283" s="1"/>
      <c r="Y1283" s="1"/>
      <c r="Z1283" s="1"/>
      <c r="AA1283" s="1"/>
      <c r="AB1283" s="1"/>
      <c r="AC1283" s="1"/>
      <c r="AD1283" s="1">
        <f>IF($C1283="",0,SUMPRODUCT((AY_SONU!$O$7:$O$42="Evet")*(AY_SONU!$B$7:$B$42=DATE(YEAR($C1283),MONTH($C1283),1))))</f>
        <v>0</v>
      </c>
      <c r="AE1283" s="1" t="str">
        <f>IF($E1283="","",$E1283&amp;"|"&amp;COUNTIFS($E$7:$E1283,$E1283))</f>
        <v/>
      </c>
    </row>
    <row r="1284" spans="1:31" ht="18" customHeight="1" x14ac:dyDescent="0.3">
      <c r="A1284" s="2"/>
      <c r="B1284" s="65" t="str">
        <f t="shared" si="154"/>
        <v/>
      </c>
      <c r="C1284" s="66"/>
      <c r="D1284" s="60"/>
      <c r="E1284" s="61"/>
      <c r="F1284" s="61"/>
      <c r="G1284" s="67"/>
      <c r="H1284" s="60"/>
      <c r="I1284" s="60"/>
      <c r="J1284" s="61"/>
      <c r="K1284" s="61"/>
      <c r="L1284" s="60"/>
      <c r="M1284" s="74" t="str">
        <f t="shared" si="155"/>
        <v/>
      </c>
      <c r="N1284" s="74" t="str">
        <f t="shared" si="156"/>
        <v/>
      </c>
      <c r="O1284" s="73" t="str">
        <f t="shared" si="157"/>
        <v/>
      </c>
      <c r="P1284" s="65" t="str">
        <f t="shared" ca="1" si="158"/>
        <v/>
      </c>
      <c r="Q1284" s="2"/>
      <c r="R1284" s="2"/>
      <c r="S1284" s="1" t="str">
        <f t="shared" si="159"/>
        <v/>
      </c>
      <c r="T1284" s="1" t="str">
        <f>IF(OR($C1284="",$D1284&lt;&gt;"Gelir",$L1284=""),"",IFERROR(INDEX(MUSTERILER!$B$7:$B$156,MATCH($S1284,MUSTERILER!$T$7:$T$156,0)),""))</f>
        <v/>
      </c>
      <c r="U1284" s="1" t="str">
        <f>IF($T1284="","",$T1284&amp;"|"&amp;COUNTIFS($T$7:$T1284,$T1284))</f>
        <v/>
      </c>
      <c r="V1284" s="1">
        <f t="shared" si="160"/>
        <v>0</v>
      </c>
      <c r="W1284" s="1" t="str">
        <f t="shared" si="161"/>
        <v/>
      </c>
      <c r="X1284" s="1"/>
      <c r="Y1284" s="1"/>
      <c r="Z1284" s="1"/>
      <c r="AA1284" s="1"/>
      <c r="AB1284" s="1"/>
      <c r="AC1284" s="1"/>
      <c r="AD1284" s="1">
        <f>IF($C1284="",0,SUMPRODUCT((AY_SONU!$O$7:$O$42="Evet")*(AY_SONU!$B$7:$B$42=DATE(YEAR($C1284),MONTH($C1284),1))))</f>
        <v>0</v>
      </c>
      <c r="AE1284" s="1" t="str">
        <f>IF($E1284="","",$E1284&amp;"|"&amp;COUNTIFS($E$7:$E1284,$E1284))</f>
        <v/>
      </c>
    </row>
    <row r="1285" spans="1:31" ht="18" customHeight="1" x14ac:dyDescent="0.3">
      <c r="A1285" s="2"/>
      <c r="B1285" s="65" t="str">
        <f t="shared" si="154"/>
        <v/>
      </c>
      <c r="C1285" s="66"/>
      <c r="D1285" s="60"/>
      <c r="E1285" s="61"/>
      <c r="F1285" s="61"/>
      <c r="G1285" s="67"/>
      <c r="H1285" s="60"/>
      <c r="I1285" s="60"/>
      <c r="J1285" s="61"/>
      <c r="K1285" s="61"/>
      <c r="L1285" s="60"/>
      <c r="M1285" s="74" t="str">
        <f t="shared" si="155"/>
        <v/>
      </c>
      <c r="N1285" s="74" t="str">
        <f t="shared" si="156"/>
        <v/>
      </c>
      <c r="O1285" s="73" t="str">
        <f t="shared" si="157"/>
        <v/>
      </c>
      <c r="P1285" s="65" t="str">
        <f t="shared" ca="1" si="158"/>
        <v/>
      </c>
      <c r="Q1285" s="2"/>
      <c r="R1285" s="2"/>
      <c r="S1285" s="1" t="str">
        <f t="shared" si="159"/>
        <v/>
      </c>
      <c r="T1285" s="1" t="str">
        <f>IF(OR($C1285="",$D1285&lt;&gt;"Gelir",$L1285=""),"",IFERROR(INDEX(MUSTERILER!$B$7:$B$156,MATCH($S1285,MUSTERILER!$T$7:$T$156,0)),""))</f>
        <v/>
      </c>
      <c r="U1285" s="1" t="str">
        <f>IF($T1285="","",$T1285&amp;"|"&amp;COUNTIFS($T$7:$T1285,$T1285))</f>
        <v/>
      </c>
      <c r="V1285" s="1">
        <f t="shared" si="160"/>
        <v>0</v>
      </c>
      <c r="W1285" s="1" t="str">
        <f t="shared" si="161"/>
        <v/>
      </c>
      <c r="X1285" s="1"/>
      <c r="Y1285" s="1"/>
      <c r="Z1285" s="1"/>
      <c r="AA1285" s="1"/>
      <c r="AB1285" s="1"/>
      <c r="AC1285" s="1"/>
      <c r="AD1285" s="1">
        <f>IF($C1285="",0,SUMPRODUCT((AY_SONU!$O$7:$O$42="Evet")*(AY_SONU!$B$7:$B$42=DATE(YEAR($C1285),MONTH($C1285),1))))</f>
        <v>0</v>
      </c>
      <c r="AE1285" s="1" t="str">
        <f>IF($E1285="","",$E1285&amp;"|"&amp;COUNTIFS($E$7:$E1285,$E1285))</f>
        <v/>
      </c>
    </row>
    <row r="1286" spans="1:31" ht="18" customHeight="1" x14ac:dyDescent="0.3">
      <c r="A1286" s="2"/>
      <c r="B1286" s="65" t="str">
        <f t="shared" si="154"/>
        <v/>
      </c>
      <c r="C1286" s="66"/>
      <c r="D1286" s="60"/>
      <c r="E1286" s="61"/>
      <c r="F1286" s="61"/>
      <c r="G1286" s="67"/>
      <c r="H1286" s="60"/>
      <c r="I1286" s="60"/>
      <c r="J1286" s="61"/>
      <c r="K1286" s="61"/>
      <c r="L1286" s="60"/>
      <c r="M1286" s="74" t="str">
        <f t="shared" si="155"/>
        <v/>
      </c>
      <c r="N1286" s="74" t="str">
        <f t="shared" si="156"/>
        <v/>
      </c>
      <c r="O1286" s="73" t="str">
        <f t="shared" si="157"/>
        <v/>
      </c>
      <c r="P1286" s="65" t="str">
        <f t="shared" ca="1" si="158"/>
        <v/>
      </c>
      <c r="Q1286" s="2"/>
      <c r="R1286" s="2"/>
      <c r="S1286" s="1" t="str">
        <f t="shared" si="159"/>
        <v/>
      </c>
      <c r="T1286" s="1" t="str">
        <f>IF(OR($C1286="",$D1286&lt;&gt;"Gelir",$L1286=""),"",IFERROR(INDEX(MUSTERILER!$B$7:$B$156,MATCH($S1286,MUSTERILER!$T$7:$T$156,0)),""))</f>
        <v/>
      </c>
      <c r="U1286" s="1" t="str">
        <f>IF($T1286="","",$T1286&amp;"|"&amp;COUNTIFS($T$7:$T1286,$T1286))</f>
        <v/>
      </c>
      <c r="V1286" s="1">
        <f t="shared" si="160"/>
        <v>0</v>
      </c>
      <c r="W1286" s="1" t="str">
        <f t="shared" si="161"/>
        <v/>
      </c>
      <c r="X1286" s="1"/>
      <c r="Y1286" s="1"/>
      <c r="Z1286" s="1"/>
      <c r="AA1286" s="1"/>
      <c r="AB1286" s="1"/>
      <c r="AC1286" s="1"/>
      <c r="AD1286" s="1">
        <f>IF($C1286="",0,SUMPRODUCT((AY_SONU!$O$7:$O$42="Evet")*(AY_SONU!$B$7:$B$42=DATE(YEAR($C1286),MONTH($C1286),1))))</f>
        <v>0</v>
      </c>
      <c r="AE1286" s="1" t="str">
        <f>IF($E1286="","",$E1286&amp;"|"&amp;COUNTIFS($E$7:$E1286,$E1286))</f>
        <v/>
      </c>
    </row>
    <row r="1287" spans="1:31" ht="18" customHeight="1" x14ac:dyDescent="0.3">
      <c r="A1287" s="2"/>
      <c r="B1287" s="65" t="str">
        <f t="shared" ref="B1287:B1350" si="162">IF($C1287="","","GG"&amp;TEXT(ROW()-6,"00000"))</f>
        <v/>
      </c>
      <c r="C1287" s="66"/>
      <c r="D1287" s="60"/>
      <c r="E1287" s="61"/>
      <c r="F1287" s="61"/>
      <c r="G1287" s="67"/>
      <c r="H1287" s="60"/>
      <c r="I1287" s="60"/>
      <c r="J1287" s="61"/>
      <c r="K1287" s="61"/>
      <c r="L1287" s="60"/>
      <c r="M1287" s="74" t="str">
        <f t="shared" ref="M1287:M1350" si="163">IF($C1287="","",IF($D1287="Gider",$E1287,IF($L1287&lt;&gt;"",$L1287,$H1287)))</f>
        <v/>
      </c>
      <c r="N1287" s="74" t="str">
        <f t="shared" ref="N1287:N1350" si="164">IF($C1287="","",IF($D1287="Gider",$H1287,$E1287))</f>
        <v/>
      </c>
      <c r="O1287" s="73" t="str">
        <f t="shared" ref="O1287:O1350" si="165">IF($C1287="","",DATE(YEAR($C1287),MONTH($C1287),1))</f>
        <v/>
      </c>
      <c r="P1287" s="65" t="str">
        <f t="shared" ref="P1287:P1350" ca="1" si="166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TARİH",IF(COUNTIF($W$7:$W$3006,$W1287)&gt;1,"MÜKERRER?",IF($AD1287&gt;0,"KAPALI DÖNEM",IF($I1287="Hayır","ÖDENECEK","UYGUN")))),"EKSİK"))))</f>
        <v/>
      </c>
      <c r="Q1287" s="2"/>
      <c r="R1287" s="2"/>
      <c r="S1287" s="1" t="str">
        <f t="shared" ref="S1287:S1350" si="167"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1" t="str">
        <f>IF(OR($C1287="",$D1287&lt;&gt;"Gelir",$L1287=""),"",IFERROR(INDEX(MUSTERILER!$B$7:$B$156,MATCH($S1287,MUSTERILER!$T$7:$T$156,0)),""))</f>
        <v/>
      </c>
      <c r="U1287" s="1" t="str">
        <f>IF($T1287="","",$T1287&amp;"|"&amp;COUNTIFS($T$7:$T1287,$T1287))</f>
        <v/>
      </c>
      <c r="V1287" s="1">
        <f t="shared" ref="V1287:V1350" si="168">IF($T1287="",0,1)</f>
        <v>0</v>
      </c>
      <c r="W1287" s="1" t="str">
        <f t="shared" ref="W1287:W1350" si="169">IF($C1287="","",$D1287&amp;"|"&amp;$E1287&amp;"|"&amp;TEXT($C1287,"0")&amp;"|"&amp;TEXT($G1287,"0")&amp;"|"&amp;$J1287)</f>
        <v/>
      </c>
      <c r="X1287" s="1"/>
      <c r="Y1287" s="1"/>
      <c r="Z1287" s="1"/>
      <c r="AA1287" s="1"/>
      <c r="AB1287" s="1"/>
      <c r="AC1287" s="1"/>
      <c r="AD1287" s="1">
        <f>IF($C1287="",0,SUMPRODUCT((AY_SONU!$O$7:$O$42="Evet")*(AY_SONU!$B$7:$B$42=DATE(YEAR($C1287),MONTH($C1287),1))))</f>
        <v>0</v>
      </c>
      <c r="AE1287" s="1" t="str">
        <f>IF($E1287="","",$E1287&amp;"|"&amp;COUNTIFS($E$7:$E1287,$E1287))</f>
        <v/>
      </c>
    </row>
    <row r="1288" spans="1:31" ht="18" customHeight="1" x14ac:dyDescent="0.3">
      <c r="A1288" s="2"/>
      <c r="B1288" s="65" t="str">
        <f t="shared" si="162"/>
        <v/>
      </c>
      <c r="C1288" s="66"/>
      <c r="D1288" s="60"/>
      <c r="E1288" s="61"/>
      <c r="F1288" s="61"/>
      <c r="G1288" s="67"/>
      <c r="H1288" s="60"/>
      <c r="I1288" s="60"/>
      <c r="J1288" s="61"/>
      <c r="K1288" s="61"/>
      <c r="L1288" s="60"/>
      <c r="M1288" s="74" t="str">
        <f t="shared" si="163"/>
        <v/>
      </c>
      <c r="N1288" s="74" t="str">
        <f t="shared" si="164"/>
        <v/>
      </c>
      <c r="O1288" s="73" t="str">
        <f t="shared" si="165"/>
        <v/>
      </c>
      <c r="P1288" s="65" t="str">
        <f t="shared" ca="1" si="166"/>
        <v/>
      </c>
      <c r="Q1288" s="2"/>
      <c r="R1288" s="2"/>
      <c r="S1288" s="1" t="str">
        <f t="shared" si="167"/>
        <v/>
      </c>
      <c r="T1288" s="1" t="str">
        <f>IF(OR($C1288="",$D1288&lt;&gt;"Gelir",$L1288=""),"",IFERROR(INDEX(MUSTERILER!$B$7:$B$156,MATCH($S1288,MUSTERILER!$T$7:$T$156,0)),""))</f>
        <v/>
      </c>
      <c r="U1288" s="1" t="str">
        <f>IF($T1288="","",$T1288&amp;"|"&amp;COUNTIFS($T$7:$T1288,$T1288))</f>
        <v/>
      </c>
      <c r="V1288" s="1">
        <f t="shared" si="168"/>
        <v>0</v>
      </c>
      <c r="W1288" s="1" t="str">
        <f t="shared" si="169"/>
        <v/>
      </c>
      <c r="X1288" s="1"/>
      <c r="Y1288" s="1"/>
      <c r="Z1288" s="1"/>
      <c r="AA1288" s="1"/>
      <c r="AB1288" s="1"/>
      <c r="AC1288" s="1"/>
      <c r="AD1288" s="1">
        <f>IF($C1288="",0,SUMPRODUCT((AY_SONU!$O$7:$O$42="Evet")*(AY_SONU!$B$7:$B$42=DATE(YEAR($C1288),MONTH($C1288),1))))</f>
        <v>0</v>
      </c>
      <c r="AE1288" s="1" t="str">
        <f>IF($E1288="","",$E1288&amp;"|"&amp;COUNTIFS($E$7:$E1288,$E1288))</f>
        <v/>
      </c>
    </row>
    <row r="1289" spans="1:31" ht="18" customHeight="1" x14ac:dyDescent="0.3">
      <c r="A1289" s="2"/>
      <c r="B1289" s="65" t="str">
        <f t="shared" si="162"/>
        <v/>
      </c>
      <c r="C1289" s="66"/>
      <c r="D1289" s="60"/>
      <c r="E1289" s="61"/>
      <c r="F1289" s="61"/>
      <c r="G1289" s="67"/>
      <c r="H1289" s="60"/>
      <c r="I1289" s="60"/>
      <c r="J1289" s="61"/>
      <c r="K1289" s="61"/>
      <c r="L1289" s="60"/>
      <c r="M1289" s="74" t="str">
        <f t="shared" si="163"/>
        <v/>
      </c>
      <c r="N1289" s="74" t="str">
        <f t="shared" si="164"/>
        <v/>
      </c>
      <c r="O1289" s="73" t="str">
        <f t="shared" si="165"/>
        <v/>
      </c>
      <c r="P1289" s="65" t="str">
        <f t="shared" ca="1" si="166"/>
        <v/>
      </c>
      <c r="Q1289" s="2"/>
      <c r="R1289" s="2"/>
      <c r="S1289" s="1" t="str">
        <f t="shared" si="167"/>
        <v/>
      </c>
      <c r="T1289" s="1" t="str">
        <f>IF(OR($C1289="",$D1289&lt;&gt;"Gelir",$L1289=""),"",IFERROR(INDEX(MUSTERILER!$B$7:$B$156,MATCH($S1289,MUSTERILER!$T$7:$T$156,0)),""))</f>
        <v/>
      </c>
      <c r="U1289" s="1" t="str">
        <f>IF($T1289="","",$T1289&amp;"|"&amp;COUNTIFS($T$7:$T1289,$T1289))</f>
        <v/>
      </c>
      <c r="V1289" s="1">
        <f t="shared" si="168"/>
        <v>0</v>
      </c>
      <c r="W1289" s="1" t="str">
        <f t="shared" si="169"/>
        <v/>
      </c>
      <c r="X1289" s="1"/>
      <c r="Y1289" s="1"/>
      <c r="Z1289" s="1"/>
      <c r="AA1289" s="1"/>
      <c r="AB1289" s="1"/>
      <c r="AC1289" s="1"/>
      <c r="AD1289" s="1">
        <f>IF($C1289="",0,SUMPRODUCT((AY_SONU!$O$7:$O$42="Evet")*(AY_SONU!$B$7:$B$42=DATE(YEAR($C1289),MONTH($C1289),1))))</f>
        <v>0</v>
      </c>
      <c r="AE1289" s="1" t="str">
        <f>IF($E1289="","",$E1289&amp;"|"&amp;COUNTIFS($E$7:$E1289,$E1289))</f>
        <v/>
      </c>
    </row>
    <row r="1290" spans="1:31" ht="18" customHeight="1" x14ac:dyDescent="0.3">
      <c r="A1290" s="2"/>
      <c r="B1290" s="65" t="str">
        <f t="shared" si="162"/>
        <v/>
      </c>
      <c r="C1290" s="66"/>
      <c r="D1290" s="60"/>
      <c r="E1290" s="61"/>
      <c r="F1290" s="61"/>
      <c r="G1290" s="67"/>
      <c r="H1290" s="60"/>
      <c r="I1290" s="60"/>
      <c r="J1290" s="61"/>
      <c r="K1290" s="61"/>
      <c r="L1290" s="60"/>
      <c r="M1290" s="74" t="str">
        <f t="shared" si="163"/>
        <v/>
      </c>
      <c r="N1290" s="74" t="str">
        <f t="shared" si="164"/>
        <v/>
      </c>
      <c r="O1290" s="73" t="str">
        <f t="shared" si="165"/>
        <v/>
      </c>
      <c r="P1290" s="65" t="str">
        <f t="shared" ca="1" si="166"/>
        <v/>
      </c>
      <c r="Q1290" s="2"/>
      <c r="R1290" s="2"/>
      <c r="S1290" s="1" t="str">
        <f t="shared" si="167"/>
        <v/>
      </c>
      <c r="T1290" s="1" t="str">
        <f>IF(OR($C1290="",$D1290&lt;&gt;"Gelir",$L1290=""),"",IFERROR(INDEX(MUSTERILER!$B$7:$B$156,MATCH($S1290,MUSTERILER!$T$7:$T$156,0)),""))</f>
        <v/>
      </c>
      <c r="U1290" s="1" t="str">
        <f>IF($T1290="","",$T1290&amp;"|"&amp;COUNTIFS($T$7:$T1290,$T1290))</f>
        <v/>
      </c>
      <c r="V1290" s="1">
        <f t="shared" si="168"/>
        <v>0</v>
      </c>
      <c r="W1290" s="1" t="str">
        <f t="shared" si="169"/>
        <v/>
      </c>
      <c r="X1290" s="1"/>
      <c r="Y1290" s="1"/>
      <c r="Z1290" s="1"/>
      <c r="AA1290" s="1"/>
      <c r="AB1290" s="1"/>
      <c r="AC1290" s="1"/>
      <c r="AD1290" s="1">
        <f>IF($C1290="",0,SUMPRODUCT((AY_SONU!$O$7:$O$42="Evet")*(AY_SONU!$B$7:$B$42=DATE(YEAR($C1290),MONTH($C1290),1))))</f>
        <v>0</v>
      </c>
      <c r="AE1290" s="1" t="str">
        <f>IF($E1290="","",$E1290&amp;"|"&amp;COUNTIFS($E$7:$E1290,$E1290))</f>
        <v/>
      </c>
    </row>
    <row r="1291" spans="1:31" ht="18" customHeight="1" x14ac:dyDescent="0.3">
      <c r="A1291" s="2"/>
      <c r="B1291" s="65" t="str">
        <f t="shared" si="162"/>
        <v/>
      </c>
      <c r="C1291" s="66"/>
      <c r="D1291" s="60"/>
      <c r="E1291" s="61"/>
      <c r="F1291" s="61"/>
      <c r="G1291" s="67"/>
      <c r="H1291" s="60"/>
      <c r="I1291" s="60"/>
      <c r="J1291" s="61"/>
      <c r="K1291" s="61"/>
      <c r="L1291" s="60"/>
      <c r="M1291" s="74" t="str">
        <f t="shared" si="163"/>
        <v/>
      </c>
      <c r="N1291" s="74" t="str">
        <f t="shared" si="164"/>
        <v/>
      </c>
      <c r="O1291" s="73" t="str">
        <f t="shared" si="165"/>
        <v/>
      </c>
      <c r="P1291" s="65" t="str">
        <f t="shared" ca="1" si="166"/>
        <v/>
      </c>
      <c r="Q1291" s="2"/>
      <c r="R1291" s="2"/>
      <c r="S1291" s="1" t="str">
        <f t="shared" si="167"/>
        <v/>
      </c>
      <c r="T1291" s="1" t="str">
        <f>IF(OR($C1291="",$D1291&lt;&gt;"Gelir",$L1291=""),"",IFERROR(INDEX(MUSTERILER!$B$7:$B$156,MATCH($S1291,MUSTERILER!$T$7:$T$156,0)),""))</f>
        <v/>
      </c>
      <c r="U1291" s="1" t="str">
        <f>IF($T1291="","",$T1291&amp;"|"&amp;COUNTIFS($T$7:$T1291,$T1291))</f>
        <v/>
      </c>
      <c r="V1291" s="1">
        <f t="shared" si="168"/>
        <v>0</v>
      </c>
      <c r="W1291" s="1" t="str">
        <f t="shared" si="169"/>
        <v/>
      </c>
      <c r="X1291" s="1"/>
      <c r="Y1291" s="1"/>
      <c r="Z1291" s="1"/>
      <c r="AA1291" s="1"/>
      <c r="AB1291" s="1"/>
      <c r="AC1291" s="1"/>
      <c r="AD1291" s="1">
        <f>IF($C1291="",0,SUMPRODUCT((AY_SONU!$O$7:$O$42="Evet")*(AY_SONU!$B$7:$B$42=DATE(YEAR($C1291),MONTH($C1291),1))))</f>
        <v>0</v>
      </c>
      <c r="AE1291" s="1" t="str">
        <f>IF($E1291="","",$E1291&amp;"|"&amp;COUNTIFS($E$7:$E1291,$E1291))</f>
        <v/>
      </c>
    </row>
    <row r="1292" spans="1:31" ht="18" customHeight="1" x14ac:dyDescent="0.3">
      <c r="A1292" s="2"/>
      <c r="B1292" s="65" t="str">
        <f t="shared" si="162"/>
        <v/>
      </c>
      <c r="C1292" s="66"/>
      <c r="D1292" s="60"/>
      <c r="E1292" s="61"/>
      <c r="F1292" s="61"/>
      <c r="G1292" s="67"/>
      <c r="H1292" s="60"/>
      <c r="I1292" s="60"/>
      <c r="J1292" s="61"/>
      <c r="K1292" s="61"/>
      <c r="L1292" s="60"/>
      <c r="M1292" s="74" t="str">
        <f t="shared" si="163"/>
        <v/>
      </c>
      <c r="N1292" s="74" t="str">
        <f t="shared" si="164"/>
        <v/>
      </c>
      <c r="O1292" s="73" t="str">
        <f t="shared" si="165"/>
        <v/>
      </c>
      <c r="P1292" s="65" t="str">
        <f t="shared" ca="1" si="166"/>
        <v/>
      </c>
      <c r="Q1292" s="2"/>
      <c r="R1292" s="2"/>
      <c r="S1292" s="1" t="str">
        <f t="shared" si="167"/>
        <v/>
      </c>
      <c r="T1292" s="1" t="str">
        <f>IF(OR($C1292="",$D1292&lt;&gt;"Gelir",$L1292=""),"",IFERROR(INDEX(MUSTERILER!$B$7:$B$156,MATCH($S1292,MUSTERILER!$T$7:$T$156,0)),""))</f>
        <v/>
      </c>
      <c r="U1292" s="1" t="str">
        <f>IF($T1292="","",$T1292&amp;"|"&amp;COUNTIFS($T$7:$T1292,$T1292))</f>
        <v/>
      </c>
      <c r="V1292" s="1">
        <f t="shared" si="168"/>
        <v>0</v>
      </c>
      <c r="W1292" s="1" t="str">
        <f t="shared" si="169"/>
        <v/>
      </c>
      <c r="X1292" s="1"/>
      <c r="Y1292" s="1"/>
      <c r="Z1292" s="1"/>
      <c r="AA1292" s="1"/>
      <c r="AB1292" s="1"/>
      <c r="AC1292" s="1"/>
      <c r="AD1292" s="1">
        <f>IF($C1292="",0,SUMPRODUCT((AY_SONU!$O$7:$O$42="Evet")*(AY_SONU!$B$7:$B$42=DATE(YEAR($C1292),MONTH($C1292),1))))</f>
        <v>0</v>
      </c>
      <c r="AE1292" s="1" t="str">
        <f>IF($E1292="","",$E1292&amp;"|"&amp;COUNTIFS($E$7:$E1292,$E1292))</f>
        <v/>
      </c>
    </row>
    <row r="1293" spans="1:31" ht="18" customHeight="1" x14ac:dyDescent="0.3">
      <c r="A1293" s="2"/>
      <c r="B1293" s="65" t="str">
        <f t="shared" si="162"/>
        <v/>
      </c>
      <c r="C1293" s="66"/>
      <c r="D1293" s="60"/>
      <c r="E1293" s="61"/>
      <c r="F1293" s="61"/>
      <c r="G1293" s="67"/>
      <c r="H1293" s="60"/>
      <c r="I1293" s="60"/>
      <c r="J1293" s="61"/>
      <c r="K1293" s="61"/>
      <c r="L1293" s="60"/>
      <c r="M1293" s="74" t="str">
        <f t="shared" si="163"/>
        <v/>
      </c>
      <c r="N1293" s="74" t="str">
        <f t="shared" si="164"/>
        <v/>
      </c>
      <c r="O1293" s="73" t="str">
        <f t="shared" si="165"/>
        <v/>
      </c>
      <c r="P1293" s="65" t="str">
        <f t="shared" ca="1" si="166"/>
        <v/>
      </c>
      <c r="Q1293" s="2"/>
      <c r="R1293" s="2"/>
      <c r="S1293" s="1" t="str">
        <f t="shared" si="167"/>
        <v/>
      </c>
      <c r="T1293" s="1" t="str">
        <f>IF(OR($C1293="",$D1293&lt;&gt;"Gelir",$L1293=""),"",IFERROR(INDEX(MUSTERILER!$B$7:$B$156,MATCH($S1293,MUSTERILER!$T$7:$T$156,0)),""))</f>
        <v/>
      </c>
      <c r="U1293" s="1" t="str">
        <f>IF($T1293="","",$T1293&amp;"|"&amp;COUNTIFS($T$7:$T1293,$T1293))</f>
        <v/>
      </c>
      <c r="V1293" s="1">
        <f t="shared" si="168"/>
        <v>0</v>
      </c>
      <c r="W1293" s="1" t="str">
        <f t="shared" si="169"/>
        <v/>
      </c>
      <c r="X1293" s="1"/>
      <c r="Y1293" s="1"/>
      <c r="Z1293" s="1"/>
      <c r="AA1293" s="1"/>
      <c r="AB1293" s="1"/>
      <c r="AC1293" s="1"/>
      <c r="AD1293" s="1">
        <f>IF($C1293="",0,SUMPRODUCT((AY_SONU!$O$7:$O$42="Evet")*(AY_SONU!$B$7:$B$42=DATE(YEAR($C1293),MONTH($C1293),1))))</f>
        <v>0</v>
      </c>
      <c r="AE1293" s="1" t="str">
        <f>IF($E1293="","",$E1293&amp;"|"&amp;COUNTIFS($E$7:$E1293,$E1293))</f>
        <v/>
      </c>
    </row>
    <row r="1294" spans="1:31" ht="18" customHeight="1" x14ac:dyDescent="0.3">
      <c r="A1294" s="2"/>
      <c r="B1294" s="65" t="str">
        <f t="shared" si="162"/>
        <v/>
      </c>
      <c r="C1294" s="66"/>
      <c r="D1294" s="60"/>
      <c r="E1294" s="61"/>
      <c r="F1294" s="61"/>
      <c r="G1294" s="67"/>
      <c r="H1294" s="60"/>
      <c r="I1294" s="60"/>
      <c r="J1294" s="61"/>
      <c r="K1294" s="61"/>
      <c r="L1294" s="60"/>
      <c r="M1294" s="74" t="str">
        <f t="shared" si="163"/>
        <v/>
      </c>
      <c r="N1294" s="74" t="str">
        <f t="shared" si="164"/>
        <v/>
      </c>
      <c r="O1294" s="73" t="str">
        <f t="shared" si="165"/>
        <v/>
      </c>
      <c r="P1294" s="65" t="str">
        <f t="shared" ca="1" si="166"/>
        <v/>
      </c>
      <c r="Q1294" s="2"/>
      <c r="R1294" s="2"/>
      <c r="S1294" s="1" t="str">
        <f t="shared" si="167"/>
        <v/>
      </c>
      <c r="T1294" s="1" t="str">
        <f>IF(OR($C1294="",$D1294&lt;&gt;"Gelir",$L1294=""),"",IFERROR(INDEX(MUSTERILER!$B$7:$B$156,MATCH($S1294,MUSTERILER!$T$7:$T$156,0)),""))</f>
        <v/>
      </c>
      <c r="U1294" s="1" t="str">
        <f>IF($T1294="","",$T1294&amp;"|"&amp;COUNTIFS($T$7:$T1294,$T1294))</f>
        <v/>
      </c>
      <c r="V1294" s="1">
        <f t="shared" si="168"/>
        <v>0</v>
      </c>
      <c r="W1294" s="1" t="str">
        <f t="shared" si="169"/>
        <v/>
      </c>
      <c r="X1294" s="1"/>
      <c r="Y1294" s="1"/>
      <c r="Z1294" s="1"/>
      <c r="AA1294" s="1"/>
      <c r="AB1294" s="1"/>
      <c r="AC1294" s="1"/>
      <c r="AD1294" s="1">
        <f>IF($C1294="",0,SUMPRODUCT((AY_SONU!$O$7:$O$42="Evet")*(AY_SONU!$B$7:$B$42=DATE(YEAR($C1294),MONTH($C1294),1))))</f>
        <v>0</v>
      </c>
      <c r="AE1294" s="1" t="str">
        <f>IF($E1294="","",$E1294&amp;"|"&amp;COUNTIFS($E$7:$E1294,$E1294))</f>
        <v/>
      </c>
    </row>
    <row r="1295" spans="1:31" ht="18" customHeight="1" x14ac:dyDescent="0.3">
      <c r="A1295" s="2"/>
      <c r="B1295" s="65" t="str">
        <f t="shared" si="162"/>
        <v/>
      </c>
      <c r="C1295" s="66"/>
      <c r="D1295" s="60"/>
      <c r="E1295" s="61"/>
      <c r="F1295" s="61"/>
      <c r="G1295" s="67"/>
      <c r="H1295" s="60"/>
      <c r="I1295" s="60"/>
      <c r="J1295" s="61"/>
      <c r="K1295" s="61"/>
      <c r="L1295" s="60"/>
      <c r="M1295" s="74" t="str">
        <f t="shared" si="163"/>
        <v/>
      </c>
      <c r="N1295" s="74" t="str">
        <f t="shared" si="164"/>
        <v/>
      </c>
      <c r="O1295" s="73" t="str">
        <f t="shared" si="165"/>
        <v/>
      </c>
      <c r="P1295" s="65" t="str">
        <f t="shared" ca="1" si="166"/>
        <v/>
      </c>
      <c r="Q1295" s="2"/>
      <c r="R1295" s="2"/>
      <c r="S1295" s="1" t="str">
        <f t="shared" si="167"/>
        <v/>
      </c>
      <c r="T1295" s="1" t="str">
        <f>IF(OR($C1295="",$D1295&lt;&gt;"Gelir",$L1295=""),"",IFERROR(INDEX(MUSTERILER!$B$7:$B$156,MATCH($S1295,MUSTERILER!$T$7:$T$156,0)),""))</f>
        <v/>
      </c>
      <c r="U1295" s="1" t="str">
        <f>IF($T1295="","",$T1295&amp;"|"&amp;COUNTIFS($T$7:$T1295,$T1295))</f>
        <v/>
      </c>
      <c r="V1295" s="1">
        <f t="shared" si="168"/>
        <v>0</v>
      </c>
      <c r="W1295" s="1" t="str">
        <f t="shared" si="169"/>
        <v/>
      </c>
      <c r="X1295" s="1"/>
      <c r="Y1295" s="1"/>
      <c r="Z1295" s="1"/>
      <c r="AA1295" s="1"/>
      <c r="AB1295" s="1"/>
      <c r="AC1295" s="1"/>
      <c r="AD1295" s="1">
        <f>IF($C1295="",0,SUMPRODUCT((AY_SONU!$O$7:$O$42="Evet")*(AY_SONU!$B$7:$B$42=DATE(YEAR($C1295),MONTH($C1295),1))))</f>
        <v>0</v>
      </c>
      <c r="AE1295" s="1" t="str">
        <f>IF($E1295="","",$E1295&amp;"|"&amp;COUNTIFS($E$7:$E1295,$E1295))</f>
        <v/>
      </c>
    </row>
    <row r="1296" spans="1:31" ht="18" customHeight="1" x14ac:dyDescent="0.3">
      <c r="A1296" s="2"/>
      <c r="B1296" s="65" t="str">
        <f t="shared" si="162"/>
        <v/>
      </c>
      <c r="C1296" s="66"/>
      <c r="D1296" s="60"/>
      <c r="E1296" s="61"/>
      <c r="F1296" s="61"/>
      <c r="G1296" s="67"/>
      <c r="H1296" s="60"/>
      <c r="I1296" s="60"/>
      <c r="J1296" s="61"/>
      <c r="K1296" s="61"/>
      <c r="L1296" s="60"/>
      <c r="M1296" s="74" t="str">
        <f t="shared" si="163"/>
        <v/>
      </c>
      <c r="N1296" s="74" t="str">
        <f t="shared" si="164"/>
        <v/>
      </c>
      <c r="O1296" s="73" t="str">
        <f t="shared" si="165"/>
        <v/>
      </c>
      <c r="P1296" s="65" t="str">
        <f t="shared" ca="1" si="166"/>
        <v/>
      </c>
      <c r="Q1296" s="2"/>
      <c r="R1296" s="2"/>
      <c r="S1296" s="1" t="str">
        <f t="shared" si="167"/>
        <v/>
      </c>
      <c r="T1296" s="1" t="str">
        <f>IF(OR($C1296="",$D1296&lt;&gt;"Gelir",$L1296=""),"",IFERROR(INDEX(MUSTERILER!$B$7:$B$156,MATCH($S1296,MUSTERILER!$T$7:$T$156,0)),""))</f>
        <v/>
      </c>
      <c r="U1296" s="1" t="str">
        <f>IF($T1296="","",$T1296&amp;"|"&amp;COUNTIFS($T$7:$T1296,$T1296))</f>
        <v/>
      </c>
      <c r="V1296" s="1">
        <f t="shared" si="168"/>
        <v>0</v>
      </c>
      <c r="W1296" s="1" t="str">
        <f t="shared" si="169"/>
        <v/>
      </c>
      <c r="X1296" s="1"/>
      <c r="Y1296" s="1"/>
      <c r="Z1296" s="1"/>
      <c r="AA1296" s="1"/>
      <c r="AB1296" s="1"/>
      <c r="AC1296" s="1"/>
      <c r="AD1296" s="1">
        <f>IF($C1296="",0,SUMPRODUCT((AY_SONU!$O$7:$O$42="Evet")*(AY_SONU!$B$7:$B$42=DATE(YEAR($C1296),MONTH($C1296),1))))</f>
        <v>0</v>
      </c>
      <c r="AE1296" s="1" t="str">
        <f>IF($E1296="","",$E1296&amp;"|"&amp;COUNTIFS($E$7:$E1296,$E1296))</f>
        <v/>
      </c>
    </row>
    <row r="1297" spans="1:31" ht="18" customHeight="1" x14ac:dyDescent="0.3">
      <c r="A1297" s="2"/>
      <c r="B1297" s="65" t="str">
        <f t="shared" si="162"/>
        <v/>
      </c>
      <c r="C1297" s="66"/>
      <c r="D1297" s="60"/>
      <c r="E1297" s="61"/>
      <c r="F1297" s="61"/>
      <c r="G1297" s="67"/>
      <c r="H1297" s="60"/>
      <c r="I1297" s="60"/>
      <c r="J1297" s="61"/>
      <c r="K1297" s="61"/>
      <c r="L1297" s="60"/>
      <c r="M1297" s="74" t="str">
        <f t="shared" si="163"/>
        <v/>
      </c>
      <c r="N1297" s="74" t="str">
        <f t="shared" si="164"/>
        <v/>
      </c>
      <c r="O1297" s="73" t="str">
        <f t="shared" si="165"/>
        <v/>
      </c>
      <c r="P1297" s="65" t="str">
        <f t="shared" ca="1" si="166"/>
        <v/>
      </c>
      <c r="Q1297" s="2"/>
      <c r="R1297" s="2"/>
      <c r="S1297" s="1" t="str">
        <f t="shared" si="167"/>
        <v/>
      </c>
      <c r="T1297" s="1" t="str">
        <f>IF(OR($C1297="",$D1297&lt;&gt;"Gelir",$L1297=""),"",IFERROR(INDEX(MUSTERILER!$B$7:$B$156,MATCH($S1297,MUSTERILER!$T$7:$T$156,0)),""))</f>
        <v/>
      </c>
      <c r="U1297" s="1" t="str">
        <f>IF($T1297="","",$T1297&amp;"|"&amp;COUNTIFS($T$7:$T1297,$T1297))</f>
        <v/>
      </c>
      <c r="V1297" s="1">
        <f t="shared" si="168"/>
        <v>0</v>
      </c>
      <c r="W1297" s="1" t="str">
        <f t="shared" si="169"/>
        <v/>
      </c>
      <c r="X1297" s="1"/>
      <c r="Y1297" s="1"/>
      <c r="Z1297" s="1"/>
      <c r="AA1297" s="1"/>
      <c r="AB1297" s="1"/>
      <c r="AC1297" s="1"/>
      <c r="AD1297" s="1">
        <f>IF($C1297="",0,SUMPRODUCT((AY_SONU!$O$7:$O$42="Evet")*(AY_SONU!$B$7:$B$42=DATE(YEAR($C1297),MONTH($C1297),1))))</f>
        <v>0</v>
      </c>
      <c r="AE1297" s="1" t="str">
        <f>IF($E1297="","",$E1297&amp;"|"&amp;COUNTIFS($E$7:$E1297,$E1297))</f>
        <v/>
      </c>
    </row>
    <row r="1298" spans="1:31" ht="18" customHeight="1" x14ac:dyDescent="0.3">
      <c r="A1298" s="2"/>
      <c r="B1298" s="65" t="str">
        <f t="shared" si="162"/>
        <v/>
      </c>
      <c r="C1298" s="66"/>
      <c r="D1298" s="60"/>
      <c r="E1298" s="61"/>
      <c r="F1298" s="61"/>
      <c r="G1298" s="67"/>
      <c r="H1298" s="60"/>
      <c r="I1298" s="60"/>
      <c r="J1298" s="61"/>
      <c r="K1298" s="61"/>
      <c r="L1298" s="60"/>
      <c r="M1298" s="74" t="str">
        <f t="shared" si="163"/>
        <v/>
      </c>
      <c r="N1298" s="74" t="str">
        <f t="shared" si="164"/>
        <v/>
      </c>
      <c r="O1298" s="73" t="str">
        <f t="shared" si="165"/>
        <v/>
      </c>
      <c r="P1298" s="65" t="str">
        <f t="shared" ca="1" si="166"/>
        <v/>
      </c>
      <c r="Q1298" s="2"/>
      <c r="R1298" s="2"/>
      <c r="S1298" s="1" t="str">
        <f t="shared" si="167"/>
        <v/>
      </c>
      <c r="T1298" s="1" t="str">
        <f>IF(OR($C1298="",$D1298&lt;&gt;"Gelir",$L1298=""),"",IFERROR(INDEX(MUSTERILER!$B$7:$B$156,MATCH($S1298,MUSTERILER!$T$7:$T$156,0)),""))</f>
        <v/>
      </c>
      <c r="U1298" s="1" t="str">
        <f>IF($T1298="","",$T1298&amp;"|"&amp;COUNTIFS($T$7:$T1298,$T1298))</f>
        <v/>
      </c>
      <c r="V1298" s="1">
        <f t="shared" si="168"/>
        <v>0</v>
      </c>
      <c r="W1298" s="1" t="str">
        <f t="shared" si="169"/>
        <v/>
      </c>
      <c r="X1298" s="1"/>
      <c r="Y1298" s="1"/>
      <c r="Z1298" s="1"/>
      <c r="AA1298" s="1"/>
      <c r="AB1298" s="1"/>
      <c r="AC1298" s="1"/>
      <c r="AD1298" s="1">
        <f>IF($C1298="",0,SUMPRODUCT((AY_SONU!$O$7:$O$42="Evet")*(AY_SONU!$B$7:$B$42=DATE(YEAR($C1298),MONTH($C1298),1))))</f>
        <v>0</v>
      </c>
      <c r="AE1298" s="1" t="str">
        <f>IF($E1298="","",$E1298&amp;"|"&amp;COUNTIFS($E$7:$E1298,$E1298))</f>
        <v/>
      </c>
    </row>
    <row r="1299" spans="1:31" ht="18" customHeight="1" x14ac:dyDescent="0.3">
      <c r="A1299" s="2"/>
      <c r="B1299" s="65" t="str">
        <f t="shared" si="162"/>
        <v/>
      </c>
      <c r="C1299" s="66"/>
      <c r="D1299" s="60"/>
      <c r="E1299" s="61"/>
      <c r="F1299" s="61"/>
      <c r="G1299" s="67"/>
      <c r="H1299" s="60"/>
      <c r="I1299" s="60"/>
      <c r="J1299" s="61"/>
      <c r="K1299" s="61"/>
      <c r="L1299" s="60"/>
      <c r="M1299" s="74" t="str">
        <f t="shared" si="163"/>
        <v/>
      </c>
      <c r="N1299" s="74" t="str">
        <f t="shared" si="164"/>
        <v/>
      </c>
      <c r="O1299" s="73" t="str">
        <f t="shared" si="165"/>
        <v/>
      </c>
      <c r="P1299" s="65" t="str">
        <f t="shared" ca="1" si="166"/>
        <v/>
      </c>
      <c r="Q1299" s="2"/>
      <c r="R1299" s="2"/>
      <c r="S1299" s="1" t="str">
        <f t="shared" si="167"/>
        <v/>
      </c>
      <c r="T1299" s="1" t="str">
        <f>IF(OR($C1299="",$D1299&lt;&gt;"Gelir",$L1299=""),"",IFERROR(INDEX(MUSTERILER!$B$7:$B$156,MATCH($S1299,MUSTERILER!$T$7:$T$156,0)),""))</f>
        <v/>
      </c>
      <c r="U1299" s="1" t="str">
        <f>IF($T1299="","",$T1299&amp;"|"&amp;COUNTIFS($T$7:$T1299,$T1299))</f>
        <v/>
      </c>
      <c r="V1299" s="1">
        <f t="shared" si="168"/>
        <v>0</v>
      </c>
      <c r="W1299" s="1" t="str">
        <f t="shared" si="169"/>
        <v/>
      </c>
      <c r="X1299" s="1"/>
      <c r="Y1299" s="1"/>
      <c r="Z1299" s="1"/>
      <c r="AA1299" s="1"/>
      <c r="AB1299" s="1"/>
      <c r="AC1299" s="1"/>
      <c r="AD1299" s="1">
        <f>IF($C1299="",0,SUMPRODUCT((AY_SONU!$O$7:$O$42="Evet")*(AY_SONU!$B$7:$B$42=DATE(YEAR($C1299),MONTH($C1299),1))))</f>
        <v>0</v>
      </c>
      <c r="AE1299" s="1" t="str">
        <f>IF($E1299="","",$E1299&amp;"|"&amp;COUNTIFS($E$7:$E1299,$E1299))</f>
        <v/>
      </c>
    </row>
    <row r="1300" spans="1:31" ht="18" customHeight="1" x14ac:dyDescent="0.3">
      <c r="A1300" s="2"/>
      <c r="B1300" s="65" t="str">
        <f t="shared" si="162"/>
        <v/>
      </c>
      <c r="C1300" s="66"/>
      <c r="D1300" s="60"/>
      <c r="E1300" s="61"/>
      <c r="F1300" s="61"/>
      <c r="G1300" s="67"/>
      <c r="H1300" s="60"/>
      <c r="I1300" s="60"/>
      <c r="J1300" s="61"/>
      <c r="K1300" s="61"/>
      <c r="L1300" s="60"/>
      <c r="M1300" s="74" t="str">
        <f t="shared" si="163"/>
        <v/>
      </c>
      <c r="N1300" s="74" t="str">
        <f t="shared" si="164"/>
        <v/>
      </c>
      <c r="O1300" s="73" t="str">
        <f t="shared" si="165"/>
        <v/>
      </c>
      <c r="P1300" s="65" t="str">
        <f t="shared" ca="1" si="166"/>
        <v/>
      </c>
      <c r="Q1300" s="2"/>
      <c r="R1300" s="2"/>
      <c r="S1300" s="1" t="str">
        <f t="shared" si="167"/>
        <v/>
      </c>
      <c r="T1300" s="1" t="str">
        <f>IF(OR($C1300="",$D1300&lt;&gt;"Gelir",$L1300=""),"",IFERROR(INDEX(MUSTERILER!$B$7:$B$156,MATCH($S1300,MUSTERILER!$T$7:$T$156,0)),""))</f>
        <v/>
      </c>
      <c r="U1300" s="1" t="str">
        <f>IF($T1300="","",$T1300&amp;"|"&amp;COUNTIFS($T$7:$T1300,$T1300))</f>
        <v/>
      </c>
      <c r="V1300" s="1">
        <f t="shared" si="168"/>
        <v>0</v>
      </c>
      <c r="W1300" s="1" t="str">
        <f t="shared" si="169"/>
        <v/>
      </c>
      <c r="X1300" s="1"/>
      <c r="Y1300" s="1"/>
      <c r="Z1300" s="1"/>
      <c r="AA1300" s="1"/>
      <c r="AB1300" s="1"/>
      <c r="AC1300" s="1"/>
      <c r="AD1300" s="1">
        <f>IF($C1300="",0,SUMPRODUCT((AY_SONU!$O$7:$O$42="Evet")*(AY_SONU!$B$7:$B$42=DATE(YEAR($C1300),MONTH($C1300),1))))</f>
        <v>0</v>
      </c>
      <c r="AE1300" s="1" t="str">
        <f>IF($E1300="","",$E1300&amp;"|"&amp;COUNTIFS($E$7:$E1300,$E1300))</f>
        <v/>
      </c>
    </row>
    <row r="1301" spans="1:31" ht="18" customHeight="1" x14ac:dyDescent="0.3">
      <c r="A1301" s="2"/>
      <c r="B1301" s="65" t="str">
        <f t="shared" si="162"/>
        <v/>
      </c>
      <c r="C1301" s="66"/>
      <c r="D1301" s="60"/>
      <c r="E1301" s="61"/>
      <c r="F1301" s="61"/>
      <c r="G1301" s="67"/>
      <c r="H1301" s="60"/>
      <c r="I1301" s="60"/>
      <c r="J1301" s="61"/>
      <c r="K1301" s="61"/>
      <c r="L1301" s="60"/>
      <c r="M1301" s="74" t="str">
        <f t="shared" si="163"/>
        <v/>
      </c>
      <c r="N1301" s="74" t="str">
        <f t="shared" si="164"/>
        <v/>
      </c>
      <c r="O1301" s="73" t="str">
        <f t="shared" si="165"/>
        <v/>
      </c>
      <c r="P1301" s="65" t="str">
        <f t="shared" ca="1" si="166"/>
        <v/>
      </c>
      <c r="Q1301" s="2"/>
      <c r="R1301" s="2"/>
      <c r="S1301" s="1" t="str">
        <f t="shared" si="167"/>
        <v/>
      </c>
      <c r="T1301" s="1" t="str">
        <f>IF(OR($C1301="",$D1301&lt;&gt;"Gelir",$L1301=""),"",IFERROR(INDEX(MUSTERILER!$B$7:$B$156,MATCH($S1301,MUSTERILER!$T$7:$T$156,0)),""))</f>
        <v/>
      </c>
      <c r="U1301" s="1" t="str">
        <f>IF($T1301="","",$T1301&amp;"|"&amp;COUNTIFS($T$7:$T1301,$T1301))</f>
        <v/>
      </c>
      <c r="V1301" s="1">
        <f t="shared" si="168"/>
        <v>0</v>
      </c>
      <c r="W1301" s="1" t="str">
        <f t="shared" si="169"/>
        <v/>
      </c>
      <c r="X1301" s="1"/>
      <c r="Y1301" s="1"/>
      <c r="Z1301" s="1"/>
      <c r="AA1301" s="1"/>
      <c r="AB1301" s="1"/>
      <c r="AC1301" s="1"/>
      <c r="AD1301" s="1">
        <f>IF($C1301="",0,SUMPRODUCT((AY_SONU!$O$7:$O$42="Evet")*(AY_SONU!$B$7:$B$42=DATE(YEAR($C1301),MONTH($C1301),1))))</f>
        <v>0</v>
      </c>
      <c r="AE1301" s="1" t="str">
        <f>IF($E1301="","",$E1301&amp;"|"&amp;COUNTIFS($E$7:$E1301,$E1301))</f>
        <v/>
      </c>
    </row>
    <row r="1302" spans="1:31" ht="18" customHeight="1" x14ac:dyDescent="0.3">
      <c r="A1302" s="2"/>
      <c r="B1302" s="65" t="str">
        <f t="shared" si="162"/>
        <v/>
      </c>
      <c r="C1302" s="66"/>
      <c r="D1302" s="60"/>
      <c r="E1302" s="61"/>
      <c r="F1302" s="61"/>
      <c r="G1302" s="67"/>
      <c r="H1302" s="60"/>
      <c r="I1302" s="60"/>
      <c r="J1302" s="61"/>
      <c r="K1302" s="61"/>
      <c r="L1302" s="60"/>
      <c r="M1302" s="74" t="str">
        <f t="shared" si="163"/>
        <v/>
      </c>
      <c r="N1302" s="74" t="str">
        <f t="shared" si="164"/>
        <v/>
      </c>
      <c r="O1302" s="73" t="str">
        <f t="shared" si="165"/>
        <v/>
      </c>
      <c r="P1302" s="65" t="str">
        <f t="shared" ca="1" si="166"/>
        <v/>
      </c>
      <c r="Q1302" s="2"/>
      <c r="R1302" s="2"/>
      <c r="S1302" s="1" t="str">
        <f t="shared" si="167"/>
        <v/>
      </c>
      <c r="T1302" s="1" t="str">
        <f>IF(OR($C1302="",$D1302&lt;&gt;"Gelir",$L1302=""),"",IFERROR(INDEX(MUSTERILER!$B$7:$B$156,MATCH($S1302,MUSTERILER!$T$7:$T$156,0)),""))</f>
        <v/>
      </c>
      <c r="U1302" s="1" t="str">
        <f>IF($T1302="","",$T1302&amp;"|"&amp;COUNTIFS($T$7:$T1302,$T1302))</f>
        <v/>
      </c>
      <c r="V1302" s="1">
        <f t="shared" si="168"/>
        <v>0</v>
      </c>
      <c r="W1302" s="1" t="str">
        <f t="shared" si="169"/>
        <v/>
      </c>
      <c r="X1302" s="1"/>
      <c r="Y1302" s="1"/>
      <c r="Z1302" s="1"/>
      <c r="AA1302" s="1"/>
      <c r="AB1302" s="1"/>
      <c r="AC1302" s="1"/>
      <c r="AD1302" s="1">
        <f>IF($C1302="",0,SUMPRODUCT((AY_SONU!$O$7:$O$42="Evet")*(AY_SONU!$B$7:$B$42=DATE(YEAR($C1302),MONTH($C1302),1))))</f>
        <v>0</v>
      </c>
      <c r="AE1302" s="1" t="str">
        <f>IF($E1302="","",$E1302&amp;"|"&amp;COUNTIFS($E$7:$E1302,$E1302))</f>
        <v/>
      </c>
    </row>
    <row r="1303" spans="1:31" ht="18" customHeight="1" x14ac:dyDescent="0.3">
      <c r="A1303" s="2"/>
      <c r="B1303" s="65" t="str">
        <f t="shared" si="162"/>
        <v/>
      </c>
      <c r="C1303" s="66"/>
      <c r="D1303" s="60"/>
      <c r="E1303" s="61"/>
      <c r="F1303" s="61"/>
      <c r="G1303" s="67"/>
      <c r="H1303" s="60"/>
      <c r="I1303" s="60"/>
      <c r="J1303" s="61"/>
      <c r="K1303" s="61"/>
      <c r="L1303" s="60"/>
      <c r="M1303" s="74" t="str">
        <f t="shared" si="163"/>
        <v/>
      </c>
      <c r="N1303" s="74" t="str">
        <f t="shared" si="164"/>
        <v/>
      </c>
      <c r="O1303" s="73" t="str">
        <f t="shared" si="165"/>
        <v/>
      </c>
      <c r="P1303" s="65" t="str">
        <f t="shared" ca="1" si="166"/>
        <v/>
      </c>
      <c r="Q1303" s="2"/>
      <c r="R1303" s="2"/>
      <c r="S1303" s="1" t="str">
        <f t="shared" si="167"/>
        <v/>
      </c>
      <c r="T1303" s="1" t="str">
        <f>IF(OR($C1303="",$D1303&lt;&gt;"Gelir",$L1303=""),"",IFERROR(INDEX(MUSTERILER!$B$7:$B$156,MATCH($S1303,MUSTERILER!$T$7:$T$156,0)),""))</f>
        <v/>
      </c>
      <c r="U1303" s="1" t="str">
        <f>IF($T1303="","",$T1303&amp;"|"&amp;COUNTIFS($T$7:$T1303,$T1303))</f>
        <v/>
      </c>
      <c r="V1303" s="1">
        <f t="shared" si="168"/>
        <v>0</v>
      </c>
      <c r="W1303" s="1" t="str">
        <f t="shared" si="169"/>
        <v/>
      </c>
      <c r="X1303" s="1"/>
      <c r="Y1303" s="1"/>
      <c r="Z1303" s="1"/>
      <c r="AA1303" s="1"/>
      <c r="AB1303" s="1"/>
      <c r="AC1303" s="1"/>
      <c r="AD1303" s="1">
        <f>IF($C1303="",0,SUMPRODUCT((AY_SONU!$O$7:$O$42="Evet")*(AY_SONU!$B$7:$B$42=DATE(YEAR($C1303),MONTH($C1303),1))))</f>
        <v>0</v>
      </c>
      <c r="AE1303" s="1" t="str">
        <f>IF($E1303="","",$E1303&amp;"|"&amp;COUNTIFS($E$7:$E1303,$E1303))</f>
        <v/>
      </c>
    </row>
    <row r="1304" spans="1:31" ht="18" customHeight="1" x14ac:dyDescent="0.3">
      <c r="A1304" s="2"/>
      <c r="B1304" s="65" t="str">
        <f t="shared" si="162"/>
        <v/>
      </c>
      <c r="C1304" s="66"/>
      <c r="D1304" s="60"/>
      <c r="E1304" s="61"/>
      <c r="F1304" s="61"/>
      <c r="G1304" s="67"/>
      <c r="H1304" s="60"/>
      <c r="I1304" s="60"/>
      <c r="J1304" s="61"/>
      <c r="K1304" s="61"/>
      <c r="L1304" s="60"/>
      <c r="M1304" s="74" t="str">
        <f t="shared" si="163"/>
        <v/>
      </c>
      <c r="N1304" s="74" t="str">
        <f t="shared" si="164"/>
        <v/>
      </c>
      <c r="O1304" s="73" t="str">
        <f t="shared" si="165"/>
        <v/>
      </c>
      <c r="P1304" s="65" t="str">
        <f t="shared" ca="1" si="166"/>
        <v/>
      </c>
      <c r="Q1304" s="2"/>
      <c r="R1304" s="2"/>
      <c r="S1304" s="1" t="str">
        <f t="shared" si="167"/>
        <v/>
      </c>
      <c r="T1304" s="1" t="str">
        <f>IF(OR($C1304="",$D1304&lt;&gt;"Gelir",$L1304=""),"",IFERROR(INDEX(MUSTERILER!$B$7:$B$156,MATCH($S1304,MUSTERILER!$T$7:$T$156,0)),""))</f>
        <v/>
      </c>
      <c r="U1304" s="1" t="str">
        <f>IF($T1304="","",$T1304&amp;"|"&amp;COUNTIFS($T$7:$T1304,$T1304))</f>
        <v/>
      </c>
      <c r="V1304" s="1">
        <f t="shared" si="168"/>
        <v>0</v>
      </c>
      <c r="W1304" s="1" t="str">
        <f t="shared" si="169"/>
        <v/>
      </c>
      <c r="X1304" s="1"/>
      <c r="Y1304" s="1"/>
      <c r="Z1304" s="1"/>
      <c r="AA1304" s="1"/>
      <c r="AB1304" s="1"/>
      <c r="AC1304" s="1"/>
      <c r="AD1304" s="1">
        <f>IF($C1304="",0,SUMPRODUCT((AY_SONU!$O$7:$O$42="Evet")*(AY_SONU!$B$7:$B$42=DATE(YEAR($C1304),MONTH($C1304),1))))</f>
        <v>0</v>
      </c>
      <c r="AE1304" s="1" t="str">
        <f>IF($E1304="","",$E1304&amp;"|"&amp;COUNTIFS($E$7:$E1304,$E1304))</f>
        <v/>
      </c>
    </row>
    <row r="1305" spans="1:31" ht="18" customHeight="1" x14ac:dyDescent="0.3">
      <c r="A1305" s="2"/>
      <c r="B1305" s="65" t="str">
        <f t="shared" si="162"/>
        <v/>
      </c>
      <c r="C1305" s="66"/>
      <c r="D1305" s="60"/>
      <c r="E1305" s="61"/>
      <c r="F1305" s="61"/>
      <c r="G1305" s="67"/>
      <c r="H1305" s="60"/>
      <c r="I1305" s="60"/>
      <c r="J1305" s="61"/>
      <c r="K1305" s="61"/>
      <c r="L1305" s="60"/>
      <c r="M1305" s="74" t="str">
        <f t="shared" si="163"/>
        <v/>
      </c>
      <c r="N1305" s="74" t="str">
        <f t="shared" si="164"/>
        <v/>
      </c>
      <c r="O1305" s="73" t="str">
        <f t="shared" si="165"/>
        <v/>
      </c>
      <c r="P1305" s="65" t="str">
        <f t="shared" ca="1" si="166"/>
        <v/>
      </c>
      <c r="Q1305" s="2"/>
      <c r="R1305" s="2"/>
      <c r="S1305" s="1" t="str">
        <f t="shared" si="167"/>
        <v/>
      </c>
      <c r="T1305" s="1" t="str">
        <f>IF(OR($C1305="",$D1305&lt;&gt;"Gelir",$L1305=""),"",IFERROR(INDEX(MUSTERILER!$B$7:$B$156,MATCH($S1305,MUSTERILER!$T$7:$T$156,0)),""))</f>
        <v/>
      </c>
      <c r="U1305" s="1" t="str">
        <f>IF($T1305="","",$T1305&amp;"|"&amp;COUNTIFS($T$7:$T1305,$T1305))</f>
        <v/>
      </c>
      <c r="V1305" s="1">
        <f t="shared" si="168"/>
        <v>0</v>
      </c>
      <c r="W1305" s="1" t="str">
        <f t="shared" si="169"/>
        <v/>
      </c>
      <c r="X1305" s="1"/>
      <c r="Y1305" s="1"/>
      <c r="Z1305" s="1"/>
      <c r="AA1305" s="1"/>
      <c r="AB1305" s="1"/>
      <c r="AC1305" s="1"/>
      <c r="AD1305" s="1">
        <f>IF($C1305="",0,SUMPRODUCT((AY_SONU!$O$7:$O$42="Evet")*(AY_SONU!$B$7:$B$42=DATE(YEAR($C1305),MONTH($C1305),1))))</f>
        <v>0</v>
      </c>
      <c r="AE1305" s="1" t="str">
        <f>IF($E1305="","",$E1305&amp;"|"&amp;COUNTIFS($E$7:$E1305,$E1305))</f>
        <v/>
      </c>
    </row>
    <row r="1306" spans="1:31" ht="18" customHeight="1" x14ac:dyDescent="0.3">
      <c r="A1306" s="2"/>
      <c r="B1306" s="65" t="str">
        <f t="shared" si="162"/>
        <v/>
      </c>
      <c r="C1306" s="66"/>
      <c r="D1306" s="60"/>
      <c r="E1306" s="61"/>
      <c r="F1306" s="61"/>
      <c r="G1306" s="67"/>
      <c r="H1306" s="60"/>
      <c r="I1306" s="60"/>
      <c r="J1306" s="61"/>
      <c r="K1306" s="61"/>
      <c r="L1306" s="60"/>
      <c r="M1306" s="74" t="str">
        <f t="shared" si="163"/>
        <v/>
      </c>
      <c r="N1306" s="74" t="str">
        <f t="shared" si="164"/>
        <v/>
      </c>
      <c r="O1306" s="73" t="str">
        <f t="shared" si="165"/>
        <v/>
      </c>
      <c r="P1306" s="65" t="str">
        <f t="shared" ca="1" si="166"/>
        <v/>
      </c>
      <c r="Q1306" s="2"/>
      <c r="R1306" s="2"/>
      <c r="S1306" s="1" t="str">
        <f t="shared" si="167"/>
        <v/>
      </c>
      <c r="T1306" s="1" t="str">
        <f>IF(OR($C1306="",$D1306&lt;&gt;"Gelir",$L1306=""),"",IFERROR(INDEX(MUSTERILER!$B$7:$B$156,MATCH($S1306,MUSTERILER!$T$7:$T$156,0)),""))</f>
        <v/>
      </c>
      <c r="U1306" s="1" t="str">
        <f>IF($T1306="","",$T1306&amp;"|"&amp;COUNTIFS($T$7:$T1306,$T1306))</f>
        <v/>
      </c>
      <c r="V1306" s="1">
        <f t="shared" si="168"/>
        <v>0</v>
      </c>
      <c r="W1306" s="1" t="str">
        <f t="shared" si="169"/>
        <v/>
      </c>
      <c r="X1306" s="1"/>
      <c r="Y1306" s="1"/>
      <c r="Z1306" s="1"/>
      <c r="AA1306" s="1"/>
      <c r="AB1306" s="1"/>
      <c r="AC1306" s="1"/>
      <c r="AD1306" s="1">
        <f>IF($C1306="",0,SUMPRODUCT((AY_SONU!$O$7:$O$42="Evet")*(AY_SONU!$B$7:$B$42=DATE(YEAR($C1306),MONTH($C1306),1))))</f>
        <v>0</v>
      </c>
      <c r="AE1306" s="1" t="str">
        <f>IF($E1306="","",$E1306&amp;"|"&amp;COUNTIFS($E$7:$E1306,$E1306))</f>
        <v/>
      </c>
    </row>
    <row r="1307" spans="1:31" ht="18" customHeight="1" x14ac:dyDescent="0.3">
      <c r="A1307" s="2"/>
      <c r="B1307" s="65" t="str">
        <f t="shared" si="162"/>
        <v/>
      </c>
      <c r="C1307" s="66"/>
      <c r="D1307" s="60"/>
      <c r="E1307" s="61"/>
      <c r="F1307" s="61"/>
      <c r="G1307" s="67"/>
      <c r="H1307" s="60"/>
      <c r="I1307" s="60"/>
      <c r="J1307" s="61"/>
      <c r="K1307" s="61"/>
      <c r="L1307" s="60"/>
      <c r="M1307" s="74" t="str">
        <f t="shared" si="163"/>
        <v/>
      </c>
      <c r="N1307" s="74" t="str">
        <f t="shared" si="164"/>
        <v/>
      </c>
      <c r="O1307" s="73" t="str">
        <f t="shared" si="165"/>
        <v/>
      </c>
      <c r="P1307" s="65" t="str">
        <f t="shared" ca="1" si="166"/>
        <v/>
      </c>
      <c r="Q1307" s="2"/>
      <c r="R1307" s="2"/>
      <c r="S1307" s="1" t="str">
        <f t="shared" si="167"/>
        <v/>
      </c>
      <c r="T1307" s="1" t="str">
        <f>IF(OR($C1307="",$D1307&lt;&gt;"Gelir",$L1307=""),"",IFERROR(INDEX(MUSTERILER!$B$7:$B$156,MATCH($S1307,MUSTERILER!$T$7:$T$156,0)),""))</f>
        <v/>
      </c>
      <c r="U1307" s="1" t="str">
        <f>IF($T1307="","",$T1307&amp;"|"&amp;COUNTIFS($T$7:$T1307,$T1307))</f>
        <v/>
      </c>
      <c r="V1307" s="1">
        <f t="shared" si="168"/>
        <v>0</v>
      </c>
      <c r="W1307" s="1" t="str">
        <f t="shared" si="169"/>
        <v/>
      </c>
      <c r="X1307" s="1"/>
      <c r="Y1307" s="1"/>
      <c r="Z1307" s="1"/>
      <c r="AA1307" s="1"/>
      <c r="AB1307" s="1"/>
      <c r="AC1307" s="1"/>
      <c r="AD1307" s="1">
        <f>IF($C1307="",0,SUMPRODUCT((AY_SONU!$O$7:$O$42="Evet")*(AY_SONU!$B$7:$B$42=DATE(YEAR($C1307),MONTH($C1307),1))))</f>
        <v>0</v>
      </c>
      <c r="AE1307" s="1" t="str">
        <f>IF($E1307="","",$E1307&amp;"|"&amp;COUNTIFS($E$7:$E1307,$E1307))</f>
        <v/>
      </c>
    </row>
    <row r="1308" spans="1:31" ht="18" customHeight="1" x14ac:dyDescent="0.3">
      <c r="A1308" s="2"/>
      <c r="B1308" s="65" t="str">
        <f t="shared" si="162"/>
        <v/>
      </c>
      <c r="C1308" s="66"/>
      <c r="D1308" s="60"/>
      <c r="E1308" s="61"/>
      <c r="F1308" s="61"/>
      <c r="G1308" s="67"/>
      <c r="H1308" s="60"/>
      <c r="I1308" s="60"/>
      <c r="J1308" s="61"/>
      <c r="K1308" s="61"/>
      <c r="L1308" s="60"/>
      <c r="M1308" s="74" t="str">
        <f t="shared" si="163"/>
        <v/>
      </c>
      <c r="N1308" s="74" t="str">
        <f t="shared" si="164"/>
        <v/>
      </c>
      <c r="O1308" s="73" t="str">
        <f t="shared" si="165"/>
        <v/>
      </c>
      <c r="P1308" s="65" t="str">
        <f t="shared" ca="1" si="166"/>
        <v/>
      </c>
      <c r="Q1308" s="2"/>
      <c r="R1308" s="2"/>
      <c r="S1308" s="1" t="str">
        <f t="shared" si="167"/>
        <v/>
      </c>
      <c r="T1308" s="1" t="str">
        <f>IF(OR($C1308="",$D1308&lt;&gt;"Gelir",$L1308=""),"",IFERROR(INDEX(MUSTERILER!$B$7:$B$156,MATCH($S1308,MUSTERILER!$T$7:$T$156,0)),""))</f>
        <v/>
      </c>
      <c r="U1308" s="1" t="str">
        <f>IF($T1308="","",$T1308&amp;"|"&amp;COUNTIFS($T$7:$T1308,$T1308))</f>
        <v/>
      </c>
      <c r="V1308" s="1">
        <f t="shared" si="168"/>
        <v>0</v>
      </c>
      <c r="W1308" s="1" t="str">
        <f t="shared" si="169"/>
        <v/>
      </c>
      <c r="X1308" s="1"/>
      <c r="Y1308" s="1"/>
      <c r="Z1308" s="1"/>
      <c r="AA1308" s="1"/>
      <c r="AB1308" s="1"/>
      <c r="AC1308" s="1"/>
      <c r="AD1308" s="1">
        <f>IF($C1308="",0,SUMPRODUCT((AY_SONU!$O$7:$O$42="Evet")*(AY_SONU!$B$7:$B$42=DATE(YEAR($C1308),MONTH($C1308),1))))</f>
        <v>0</v>
      </c>
      <c r="AE1308" s="1" t="str">
        <f>IF($E1308="","",$E1308&amp;"|"&amp;COUNTIFS($E$7:$E1308,$E1308))</f>
        <v/>
      </c>
    </row>
    <row r="1309" spans="1:31" ht="18" customHeight="1" x14ac:dyDescent="0.3">
      <c r="A1309" s="2"/>
      <c r="B1309" s="65" t="str">
        <f t="shared" si="162"/>
        <v/>
      </c>
      <c r="C1309" s="66"/>
      <c r="D1309" s="60"/>
      <c r="E1309" s="61"/>
      <c r="F1309" s="61"/>
      <c r="G1309" s="67"/>
      <c r="H1309" s="60"/>
      <c r="I1309" s="60"/>
      <c r="J1309" s="61"/>
      <c r="K1309" s="61"/>
      <c r="L1309" s="60"/>
      <c r="M1309" s="74" t="str">
        <f t="shared" si="163"/>
        <v/>
      </c>
      <c r="N1309" s="74" t="str">
        <f t="shared" si="164"/>
        <v/>
      </c>
      <c r="O1309" s="73" t="str">
        <f t="shared" si="165"/>
        <v/>
      </c>
      <c r="P1309" s="65" t="str">
        <f t="shared" ca="1" si="166"/>
        <v/>
      </c>
      <c r="Q1309" s="2"/>
      <c r="R1309" s="2"/>
      <c r="S1309" s="1" t="str">
        <f t="shared" si="167"/>
        <v/>
      </c>
      <c r="T1309" s="1" t="str">
        <f>IF(OR($C1309="",$D1309&lt;&gt;"Gelir",$L1309=""),"",IFERROR(INDEX(MUSTERILER!$B$7:$B$156,MATCH($S1309,MUSTERILER!$T$7:$T$156,0)),""))</f>
        <v/>
      </c>
      <c r="U1309" s="1" t="str">
        <f>IF($T1309="","",$T1309&amp;"|"&amp;COUNTIFS($T$7:$T1309,$T1309))</f>
        <v/>
      </c>
      <c r="V1309" s="1">
        <f t="shared" si="168"/>
        <v>0</v>
      </c>
      <c r="W1309" s="1" t="str">
        <f t="shared" si="169"/>
        <v/>
      </c>
      <c r="X1309" s="1"/>
      <c r="Y1309" s="1"/>
      <c r="Z1309" s="1"/>
      <c r="AA1309" s="1"/>
      <c r="AB1309" s="1"/>
      <c r="AC1309" s="1"/>
      <c r="AD1309" s="1">
        <f>IF($C1309="",0,SUMPRODUCT((AY_SONU!$O$7:$O$42="Evet")*(AY_SONU!$B$7:$B$42=DATE(YEAR($C1309),MONTH($C1309),1))))</f>
        <v>0</v>
      </c>
      <c r="AE1309" s="1" t="str">
        <f>IF($E1309="","",$E1309&amp;"|"&amp;COUNTIFS($E$7:$E1309,$E1309))</f>
        <v/>
      </c>
    </row>
    <row r="1310" spans="1:31" ht="18" customHeight="1" x14ac:dyDescent="0.3">
      <c r="A1310" s="2"/>
      <c r="B1310" s="65" t="str">
        <f t="shared" si="162"/>
        <v/>
      </c>
      <c r="C1310" s="66"/>
      <c r="D1310" s="60"/>
      <c r="E1310" s="61"/>
      <c r="F1310" s="61"/>
      <c r="G1310" s="67"/>
      <c r="H1310" s="60"/>
      <c r="I1310" s="60"/>
      <c r="J1310" s="61"/>
      <c r="K1310" s="61"/>
      <c r="L1310" s="60"/>
      <c r="M1310" s="74" t="str">
        <f t="shared" si="163"/>
        <v/>
      </c>
      <c r="N1310" s="74" t="str">
        <f t="shared" si="164"/>
        <v/>
      </c>
      <c r="O1310" s="73" t="str">
        <f t="shared" si="165"/>
        <v/>
      </c>
      <c r="P1310" s="65" t="str">
        <f t="shared" ca="1" si="166"/>
        <v/>
      </c>
      <c r="Q1310" s="2"/>
      <c r="R1310" s="2"/>
      <c r="S1310" s="1" t="str">
        <f t="shared" si="167"/>
        <v/>
      </c>
      <c r="T1310" s="1" t="str">
        <f>IF(OR($C1310="",$D1310&lt;&gt;"Gelir",$L1310=""),"",IFERROR(INDEX(MUSTERILER!$B$7:$B$156,MATCH($S1310,MUSTERILER!$T$7:$T$156,0)),""))</f>
        <v/>
      </c>
      <c r="U1310" s="1" t="str">
        <f>IF($T1310="","",$T1310&amp;"|"&amp;COUNTIFS($T$7:$T1310,$T1310))</f>
        <v/>
      </c>
      <c r="V1310" s="1">
        <f t="shared" si="168"/>
        <v>0</v>
      </c>
      <c r="W1310" s="1" t="str">
        <f t="shared" si="169"/>
        <v/>
      </c>
      <c r="X1310" s="1"/>
      <c r="Y1310" s="1"/>
      <c r="Z1310" s="1"/>
      <c r="AA1310" s="1"/>
      <c r="AB1310" s="1"/>
      <c r="AC1310" s="1"/>
      <c r="AD1310" s="1">
        <f>IF($C1310="",0,SUMPRODUCT((AY_SONU!$O$7:$O$42="Evet")*(AY_SONU!$B$7:$B$42=DATE(YEAR($C1310),MONTH($C1310),1))))</f>
        <v>0</v>
      </c>
      <c r="AE1310" s="1" t="str">
        <f>IF($E1310="","",$E1310&amp;"|"&amp;COUNTIFS($E$7:$E1310,$E1310))</f>
        <v/>
      </c>
    </row>
    <row r="1311" spans="1:31" ht="18" customHeight="1" x14ac:dyDescent="0.3">
      <c r="A1311" s="2"/>
      <c r="B1311" s="65" t="str">
        <f t="shared" si="162"/>
        <v/>
      </c>
      <c r="C1311" s="66"/>
      <c r="D1311" s="60"/>
      <c r="E1311" s="61"/>
      <c r="F1311" s="61"/>
      <c r="G1311" s="67"/>
      <c r="H1311" s="60"/>
      <c r="I1311" s="60"/>
      <c r="J1311" s="61"/>
      <c r="K1311" s="61"/>
      <c r="L1311" s="60"/>
      <c r="M1311" s="74" t="str">
        <f t="shared" si="163"/>
        <v/>
      </c>
      <c r="N1311" s="74" t="str">
        <f t="shared" si="164"/>
        <v/>
      </c>
      <c r="O1311" s="73" t="str">
        <f t="shared" si="165"/>
        <v/>
      </c>
      <c r="P1311" s="65" t="str">
        <f t="shared" ca="1" si="166"/>
        <v/>
      </c>
      <c r="Q1311" s="2"/>
      <c r="R1311" s="2"/>
      <c r="S1311" s="1" t="str">
        <f t="shared" si="167"/>
        <v/>
      </c>
      <c r="T1311" s="1" t="str">
        <f>IF(OR($C1311="",$D1311&lt;&gt;"Gelir",$L1311=""),"",IFERROR(INDEX(MUSTERILER!$B$7:$B$156,MATCH($S1311,MUSTERILER!$T$7:$T$156,0)),""))</f>
        <v/>
      </c>
      <c r="U1311" s="1" t="str">
        <f>IF($T1311="","",$T1311&amp;"|"&amp;COUNTIFS($T$7:$T1311,$T1311))</f>
        <v/>
      </c>
      <c r="V1311" s="1">
        <f t="shared" si="168"/>
        <v>0</v>
      </c>
      <c r="W1311" s="1" t="str">
        <f t="shared" si="169"/>
        <v/>
      </c>
      <c r="X1311" s="1"/>
      <c r="Y1311" s="1"/>
      <c r="Z1311" s="1"/>
      <c r="AA1311" s="1"/>
      <c r="AB1311" s="1"/>
      <c r="AC1311" s="1"/>
      <c r="AD1311" s="1">
        <f>IF($C1311="",0,SUMPRODUCT((AY_SONU!$O$7:$O$42="Evet")*(AY_SONU!$B$7:$B$42=DATE(YEAR($C1311),MONTH($C1311),1))))</f>
        <v>0</v>
      </c>
      <c r="AE1311" s="1" t="str">
        <f>IF($E1311="","",$E1311&amp;"|"&amp;COUNTIFS($E$7:$E1311,$E1311))</f>
        <v/>
      </c>
    </row>
    <row r="1312" spans="1:31" ht="18" customHeight="1" x14ac:dyDescent="0.3">
      <c r="A1312" s="2"/>
      <c r="B1312" s="65" t="str">
        <f t="shared" si="162"/>
        <v/>
      </c>
      <c r="C1312" s="66"/>
      <c r="D1312" s="60"/>
      <c r="E1312" s="61"/>
      <c r="F1312" s="61"/>
      <c r="G1312" s="67"/>
      <c r="H1312" s="60"/>
      <c r="I1312" s="60"/>
      <c r="J1312" s="61"/>
      <c r="K1312" s="61"/>
      <c r="L1312" s="60"/>
      <c r="M1312" s="74" t="str">
        <f t="shared" si="163"/>
        <v/>
      </c>
      <c r="N1312" s="74" t="str">
        <f t="shared" si="164"/>
        <v/>
      </c>
      <c r="O1312" s="73" t="str">
        <f t="shared" si="165"/>
        <v/>
      </c>
      <c r="P1312" s="65" t="str">
        <f t="shared" ca="1" si="166"/>
        <v/>
      </c>
      <c r="Q1312" s="2"/>
      <c r="R1312" s="2"/>
      <c r="S1312" s="1" t="str">
        <f t="shared" si="167"/>
        <v/>
      </c>
      <c r="T1312" s="1" t="str">
        <f>IF(OR($C1312="",$D1312&lt;&gt;"Gelir",$L1312=""),"",IFERROR(INDEX(MUSTERILER!$B$7:$B$156,MATCH($S1312,MUSTERILER!$T$7:$T$156,0)),""))</f>
        <v/>
      </c>
      <c r="U1312" s="1" t="str">
        <f>IF($T1312="","",$T1312&amp;"|"&amp;COUNTIFS($T$7:$T1312,$T1312))</f>
        <v/>
      </c>
      <c r="V1312" s="1">
        <f t="shared" si="168"/>
        <v>0</v>
      </c>
      <c r="W1312" s="1" t="str">
        <f t="shared" si="169"/>
        <v/>
      </c>
      <c r="X1312" s="1"/>
      <c r="Y1312" s="1"/>
      <c r="Z1312" s="1"/>
      <c r="AA1312" s="1"/>
      <c r="AB1312" s="1"/>
      <c r="AC1312" s="1"/>
      <c r="AD1312" s="1">
        <f>IF($C1312="",0,SUMPRODUCT((AY_SONU!$O$7:$O$42="Evet")*(AY_SONU!$B$7:$B$42=DATE(YEAR($C1312),MONTH($C1312),1))))</f>
        <v>0</v>
      </c>
      <c r="AE1312" s="1" t="str">
        <f>IF($E1312="","",$E1312&amp;"|"&amp;COUNTIFS($E$7:$E1312,$E1312))</f>
        <v/>
      </c>
    </row>
    <row r="1313" spans="1:31" ht="18" customHeight="1" x14ac:dyDescent="0.3">
      <c r="A1313" s="2"/>
      <c r="B1313" s="65" t="str">
        <f t="shared" si="162"/>
        <v/>
      </c>
      <c r="C1313" s="66"/>
      <c r="D1313" s="60"/>
      <c r="E1313" s="61"/>
      <c r="F1313" s="61"/>
      <c r="G1313" s="67"/>
      <c r="H1313" s="60"/>
      <c r="I1313" s="60"/>
      <c r="J1313" s="61"/>
      <c r="K1313" s="61"/>
      <c r="L1313" s="60"/>
      <c r="M1313" s="74" t="str">
        <f t="shared" si="163"/>
        <v/>
      </c>
      <c r="N1313" s="74" t="str">
        <f t="shared" si="164"/>
        <v/>
      </c>
      <c r="O1313" s="73" t="str">
        <f t="shared" si="165"/>
        <v/>
      </c>
      <c r="P1313" s="65" t="str">
        <f t="shared" ca="1" si="166"/>
        <v/>
      </c>
      <c r="Q1313" s="2"/>
      <c r="R1313" s="2"/>
      <c r="S1313" s="1" t="str">
        <f t="shared" si="167"/>
        <v/>
      </c>
      <c r="T1313" s="1" t="str">
        <f>IF(OR($C1313="",$D1313&lt;&gt;"Gelir",$L1313=""),"",IFERROR(INDEX(MUSTERILER!$B$7:$B$156,MATCH($S1313,MUSTERILER!$T$7:$T$156,0)),""))</f>
        <v/>
      </c>
      <c r="U1313" s="1" t="str">
        <f>IF($T1313="","",$T1313&amp;"|"&amp;COUNTIFS($T$7:$T1313,$T1313))</f>
        <v/>
      </c>
      <c r="V1313" s="1">
        <f t="shared" si="168"/>
        <v>0</v>
      </c>
      <c r="W1313" s="1" t="str">
        <f t="shared" si="169"/>
        <v/>
      </c>
      <c r="X1313" s="1"/>
      <c r="Y1313" s="1"/>
      <c r="Z1313" s="1"/>
      <c r="AA1313" s="1"/>
      <c r="AB1313" s="1"/>
      <c r="AC1313" s="1"/>
      <c r="AD1313" s="1">
        <f>IF($C1313="",0,SUMPRODUCT((AY_SONU!$O$7:$O$42="Evet")*(AY_SONU!$B$7:$B$42=DATE(YEAR($C1313),MONTH($C1313),1))))</f>
        <v>0</v>
      </c>
      <c r="AE1313" s="1" t="str">
        <f>IF($E1313="","",$E1313&amp;"|"&amp;COUNTIFS($E$7:$E1313,$E1313))</f>
        <v/>
      </c>
    </row>
    <row r="1314" spans="1:31" ht="18" customHeight="1" x14ac:dyDescent="0.3">
      <c r="A1314" s="2"/>
      <c r="B1314" s="65" t="str">
        <f t="shared" si="162"/>
        <v/>
      </c>
      <c r="C1314" s="66"/>
      <c r="D1314" s="60"/>
      <c r="E1314" s="61"/>
      <c r="F1314" s="61"/>
      <c r="G1314" s="67"/>
      <c r="H1314" s="60"/>
      <c r="I1314" s="60"/>
      <c r="J1314" s="61"/>
      <c r="K1314" s="61"/>
      <c r="L1314" s="60"/>
      <c r="M1314" s="74" t="str">
        <f t="shared" si="163"/>
        <v/>
      </c>
      <c r="N1314" s="74" t="str">
        <f t="shared" si="164"/>
        <v/>
      </c>
      <c r="O1314" s="73" t="str">
        <f t="shared" si="165"/>
        <v/>
      </c>
      <c r="P1314" s="65" t="str">
        <f t="shared" ca="1" si="166"/>
        <v/>
      </c>
      <c r="Q1314" s="2"/>
      <c r="R1314" s="2"/>
      <c r="S1314" s="1" t="str">
        <f t="shared" si="167"/>
        <v/>
      </c>
      <c r="T1314" s="1" t="str">
        <f>IF(OR($C1314="",$D1314&lt;&gt;"Gelir",$L1314=""),"",IFERROR(INDEX(MUSTERILER!$B$7:$B$156,MATCH($S1314,MUSTERILER!$T$7:$T$156,0)),""))</f>
        <v/>
      </c>
      <c r="U1314" s="1" t="str">
        <f>IF($T1314="","",$T1314&amp;"|"&amp;COUNTIFS($T$7:$T1314,$T1314))</f>
        <v/>
      </c>
      <c r="V1314" s="1">
        <f t="shared" si="168"/>
        <v>0</v>
      </c>
      <c r="W1314" s="1" t="str">
        <f t="shared" si="169"/>
        <v/>
      </c>
      <c r="X1314" s="1"/>
      <c r="Y1314" s="1"/>
      <c r="Z1314" s="1"/>
      <c r="AA1314" s="1"/>
      <c r="AB1314" s="1"/>
      <c r="AC1314" s="1"/>
      <c r="AD1314" s="1">
        <f>IF($C1314="",0,SUMPRODUCT((AY_SONU!$O$7:$O$42="Evet")*(AY_SONU!$B$7:$B$42=DATE(YEAR($C1314),MONTH($C1314),1))))</f>
        <v>0</v>
      </c>
      <c r="AE1314" s="1" t="str">
        <f>IF($E1314="","",$E1314&amp;"|"&amp;COUNTIFS($E$7:$E1314,$E1314))</f>
        <v/>
      </c>
    </row>
    <row r="1315" spans="1:31" ht="18" customHeight="1" x14ac:dyDescent="0.3">
      <c r="A1315" s="2"/>
      <c r="B1315" s="65" t="str">
        <f t="shared" si="162"/>
        <v/>
      </c>
      <c r="C1315" s="66"/>
      <c r="D1315" s="60"/>
      <c r="E1315" s="61"/>
      <c r="F1315" s="61"/>
      <c r="G1315" s="67"/>
      <c r="H1315" s="60"/>
      <c r="I1315" s="60"/>
      <c r="J1315" s="61"/>
      <c r="K1315" s="61"/>
      <c r="L1315" s="60"/>
      <c r="M1315" s="74" t="str">
        <f t="shared" si="163"/>
        <v/>
      </c>
      <c r="N1315" s="74" t="str">
        <f t="shared" si="164"/>
        <v/>
      </c>
      <c r="O1315" s="73" t="str">
        <f t="shared" si="165"/>
        <v/>
      </c>
      <c r="P1315" s="65" t="str">
        <f t="shared" ca="1" si="166"/>
        <v/>
      </c>
      <c r="Q1315" s="2"/>
      <c r="R1315" s="2"/>
      <c r="S1315" s="1" t="str">
        <f t="shared" si="167"/>
        <v/>
      </c>
      <c r="T1315" s="1" t="str">
        <f>IF(OR($C1315="",$D1315&lt;&gt;"Gelir",$L1315=""),"",IFERROR(INDEX(MUSTERILER!$B$7:$B$156,MATCH($S1315,MUSTERILER!$T$7:$T$156,0)),""))</f>
        <v/>
      </c>
      <c r="U1315" s="1" t="str">
        <f>IF($T1315="","",$T1315&amp;"|"&amp;COUNTIFS($T$7:$T1315,$T1315))</f>
        <v/>
      </c>
      <c r="V1315" s="1">
        <f t="shared" si="168"/>
        <v>0</v>
      </c>
      <c r="W1315" s="1" t="str">
        <f t="shared" si="169"/>
        <v/>
      </c>
      <c r="X1315" s="1"/>
      <c r="Y1315" s="1"/>
      <c r="Z1315" s="1"/>
      <c r="AA1315" s="1"/>
      <c r="AB1315" s="1"/>
      <c r="AC1315" s="1"/>
      <c r="AD1315" s="1">
        <f>IF($C1315="",0,SUMPRODUCT((AY_SONU!$O$7:$O$42="Evet")*(AY_SONU!$B$7:$B$42=DATE(YEAR($C1315),MONTH($C1315),1))))</f>
        <v>0</v>
      </c>
      <c r="AE1315" s="1" t="str">
        <f>IF($E1315="","",$E1315&amp;"|"&amp;COUNTIFS($E$7:$E1315,$E1315))</f>
        <v/>
      </c>
    </row>
    <row r="1316" spans="1:31" ht="18" customHeight="1" x14ac:dyDescent="0.3">
      <c r="A1316" s="2"/>
      <c r="B1316" s="65" t="str">
        <f t="shared" si="162"/>
        <v/>
      </c>
      <c r="C1316" s="66"/>
      <c r="D1316" s="60"/>
      <c r="E1316" s="61"/>
      <c r="F1316" s="61"/>
      <c r="G1316" s="67"/>
      <c r="H1316" s="60"/>
      <c r="I1316" s="60"/>
      <c r="J1316" s="61"/>
      <c r="K1316" s="61"/>
      <c r="L1316" s="60"/>
      <c r="M1316" s="74" t="str">
        <f t="shared" si="163"/>
        <v/>
      </c>
      <c r="N1316" s="74" t="str">
        <f t="shared" si="164"/>
        <v/>
      </c>
      <c r="O1316" s="73" t="str">
        <f t="shared" si="165"/>
        <v/>
      </c>
      <c r="P1316" s="65" t="str">
        <f t="shared" ca="1" si="166"/>
        <v/>
      </c>
      <c r="Q1316" s="2"/>
      <c r="R1316" s="2"/>
      <c r="S1316" s="1" t="str">
        <f t="shared" si="167"/>
        <v/>
      </c>
      <c r="T1316" s="1" t="str">
        <f>IF(OR($C1316="",$D1316&lt;&gt;"Gelir",$L1316=""),"",IFERROR(INDEX(MUSTERILER!$B$7:$B$156,MATCH($S1316,MUSTERILER!$T$7:$T$156,0)),""))</f>
        <v/>
      </c>
      <c r="U1316" s="1" t="str">
        <f>IF($T1316="","",$T1316&amp;"|"&amp;COUNTIFS($T$7:$T1316,$T1316))</f>
        <v/>
      </c>
      <c r="V1316" s="1">
        <f t="shared" si="168"/>
        <v>0</v>
      </c>
      <c r="W1316" s="1" t="str">
        <f t="shared" si="169"/>
        <v/>
      </c>
      <c r="X1316" s="1"/>
      <c r="Y1316" s="1"/>
      <c r="Z1316" s="1"/>
      <c r="AA1316" s="1"/>
      <c r="AB1316" s="1"/>
      <c r="AC1316" s="1"/>
      <c r="AD1316" s="1">
        <f>IF($C1316="",0,SUMPRODUCT((AY_SONU!$O$7:$O$42="Evet")*(AY_SONU!$B$7:$B$42=DATE(YEAR($C1316),MONTH($C1316),1))))</f>
        <v>0</v>
      </c>
      <c r="AE1316" s="1" t="str">
        <f>IF($E1316="","",$E1316&amp;"|"&amp;COUNTIFS($E$7:$E1316,$E1316))</f>
        <v/>
      </c>
    </row>
    <row r="1317" spans="1:31" ht="18" customHeight="1" x14ac:dyDescent="0.3">
      <c r="A1317" s="2"/>
      <c r="B1317" s="65" t="str">
        <f t="shared" si="162"/>
        <v/>
      </c>
      <c r="C1317" s="66"/>
      <c r="D1317" s="60"/>
      <c r="E1317" s="61"/>
      <c r="F1317" s="61"/>
      <c r="G1317" s="67"/>
      <c r="H1317" s="60"/>
      <c r="I1317" s="60"/>
      <c r="J1317" s="61"/>
      <c r="K1317" s="61"/>
      <c r="L1317" s="60"/>
      <c r="M1317" s="74" t="str">
        <f t="shared" si="163"/>
        <v/>
      </c>
      <c r="N1317" s="74" t="str">
        <f t="shared" si="164"/>
        <v/>
      </c>
      <c r="O1317" s="73" t="str">
        <f t="shared" si="165"/>
        <v/>
      </c>
      <c r="P1317" s="65" t="str">
        <f t="shared" ca="1" si="166"/>
        <v/>
      </c>
      <c r="Q1317" s="2"/>
      <c r="R1317" s="2"/>
      <c r="S1317" s="1" t="str">
        <f t="shared" si="167"/>
        <v/>
      </c>
      <c r="T1317" s="1" t="str">
        <f>IF(OR($C1317="",$D1317&lt;&gt;"Gelir",$L1317=""),"",IFERROR(INDEX(MUSTERILER!$B$7:$B$156,MATCH($S1317,MUSTERILER!$T$7:$T$156,0)),""))</f>
        <v/>
      </c>
      <c r="U1317" s="1" t="str">
        <f>IF($T1317="","",$T1317&amp;"|"&amp;COUNTIFS($T$7:$T1317,$T1317))</f>
        <v/>
      </c>
      <c r="V1317" s="1">
        <f t="shared" si="168"/>
        <v>0</v>
      </c>
      <c r="W1317" s="1" t="str">
        <f t="shared" si="169"/>
        <v/>
      </c>
      <c r="X1317" s="1"/>
      <c r="Y1317" s="1"/>
      <c r="Z1317" s="1"/>
      <c r="AA1317" s="1"/>
      <c r="AB1317" s="1"/>
      <c r="AC1317" s="1"/>
      <c r="AD1317" s="1">
        <f>IF($C1317="",0,SUMPRODUCT((AY_SONU!$O$7:$O$42="Evet")*(AY_SONU!$B$7:$B$42=DATE(YEAR($C1317),MONTH($C1317),1))))</f>
        <v>0</v>
      </c>
      <c r="AE1317" s="1" t="str">
        <f>IF($E1317="","",$E1317&amp;"|"&amp;COUNTIFS($E$7:$E1317,$E1317))</f>
        <v/>
      </c>
    </row>
    <row r="1318" spans="1:31" ht="18" customHeight="1" x14ac:dyDescent="0.3">
      <c r="A1318" s="2"/>
      <c r="B1318" s="65" t="str">
        <f t="shared" si="162"/>
        <v/>
      </c>
      <c r="C1318" s="66"/>
      <c r="D1318" s="60"/>
      <c r="E1318" s="61"/>
      <c r="F1318" s="61"/>
      <c r="G1318" s="67"/>
      <c r="H1318" s="60"/>
      <c r="I1318" s="60"/>
      <c r="J1318" s="61"/>
      <c r="K1318" s="61"/>
      <c r="L1318" s="60"/>
      <c r="M1318" s="74" t="str">
        <f t="shared" si="163"/>
        <v/>
      </c>
      <c r="N1318" s="74" t="str">
        <f t="shared" si="164"/>
        <v/>
      </c>
      <c r="O1318" s="73" t="str">
        <f t="shared" si="165"/>
        <v/>
      </c>
      <c r="P1318" s="65" t="str">
        <f t="shared" ca="1" si="166"/>
        <v/>
      </c>
      <c r="Q1318" s="2"/>
      <c r="R1318" s="2"/>
      <c r="S1318" s="1" t="str">
        <f t="shared" si="167"/>
        <v/>
      </c>
      <c r="T1318" s="1" t="str">
        <f>IF(OR($C1318="",$D1318&lt;&gt;"Gelir",$L1318=""),"",IFERROR(INDEX(MUSTERILER!$B$7:$B$156,MATCH($S1318,MUSTERILER!$T$7:$T$156,0)),""))</f>
        <v/>
      </c>
      <c r="U1318" s="1" t="str">
        <f>IF($T1318="","",$T1318&amp;"|"&amp;COUNTIFS($T$7:$T1318,$T1318))</f>
        <v/>
      </c>
      <c r="V1318" s="1">
        <f t="shared" si="168"/>
        <v>0</v>
      </c>
      <c r="W1318" s="1" t="str">
        <f t="shared" si="169"/>
        <v/>
      </c>
      <c r="X1318" s="1"/>
      <c r="Y1318" s="1"/>
      <c r="Z1318" s="1"/>
      <c r="AA1318" s="1"/>
      <c r="AB1318" s="1"/>
      <c r="AC1318" s="1"/>
      <c r="AD1318" s="1">
        <f>IF($C1318="",0,SUMPRODUCT((AY_SONU!$O$7:$O$42="Evet")*(AY_SONU!$B$7:$B$42=DATE(YEAR($C1318),MONTH($C1318),1))))</f>
        <v>0</v>
      </c>
      <c r="AE1318" s="1" t="str">
        <f>IF($E1318="","",$E1318&amp;"|"&amp;COUNTIFS($E$7:$E1318,$E1318))</f>
        <v/>
      </c>
    </row>
    <row r="1319" spans="1:31" ht="18" customHeight="1" x14ac:dyDescent="0.3">
      <c r="A1319" s="2"/>
      <c r="B1319" s="65" t="str">
        <f t="shared" si="162"/>
        <v/>
      </c>
      <c r="C1319" s="66"/>
      <c r="D1319" s="60"/>
      <c r="E1319" s="61"/>
      <c r="F1319" s="61"/>
      <c r="G1319" s="67"/>
      <c r="H1319" s="60"/>
      <c r="I1319" s="60"/>
      <c r="J1319" s="61"/>
      <c r="K1319" s="61"/>
      <c r="L1319" s="60"/>
      <c r="M1319" s="74" t="str">
        <f t="shared" si="163"/>
        <v/>
      </c>
      <c r="N1319" s="74" t="str">
        <f t="shared" si="164"/>
        <v/>
      </c>
      <c r="O1319" s="73" t="str">
        <f t="shared" si="165"/>
        <v/>
      </c>
      <c r="P1319" s="65" t="str">
        <f t="shared" ca="1" si="166"/>
        <v/>
      </c>
      <c r="Q1319" s="2"/>
      <c r="R1319" s="2"/>
      <c r="S1319" s="1" t="str">
        <f t="shared" si="167"/>
        <v/>
      </c>
      <c r="T1319" s="1" t="str">
        <f>IF(OR($C1319="",$D1319&lt;&gt;"Gelir",$L1319=""),"",IFERROR(INDEX(MUSTERILER!$B$7:$B$156,MATCH($S1319,MUSTERILER!$T$7:$T$156,0)),""))</f>
        <v/>
      </c>
      <c r="U1319" s="1" t="str">
        <f>IF($T1319="","",$T1319&amp;"|"&amp;COUNTIFS($T$7:$T1319,$T1319))</f>
        <v/>
      </c>
      <c r="V1319" s="1">
        <f t="shared" si="168"/>
        <v>0</v>
      </c>
      <c r="W1319" s="1" t="str">
        <f t="shared" si="169"/>
        <v/>
      </c>
      <c r="X1319" s="1"/>
      <c r="Y1319" s="1"/>
      <c r="Z1319" s="1"/>
      <c r="AA1319" s="1"/>
      <c r="AB1319" s="1"/>
      <c r="AC1319" s="1"/>
      <c r="AD1319" s="1">
        <f>IF($C1319="",0,SUMPRODUCT((AY_SONU!$O$7:$O$42="Evet")*(AY_SONU!$B$7:$B$42=DATE(YEAR($C1319),MONTH($C1319),1))))</f>
        <v>0</v>
      </c>
      <c r="AE1319" s="1" t="str">
        <f>IF($E1319="","",$E1319&amp;"|"&amp;COUNTIFS($E$7:$E1319,$E1319))</f>
        <v/>
      </c>
    </row>
    <row r="1320" spans="1:31" ht="18" customHeight="1" x14ac:dyDescent="0.3">
      <c r="A1320" s="2"/>
      <c r="B1320" s="65" t="str">
        <f t="shared" si="162"/>
        <v/>
      </c>
      <c r="C1320" s="66"/>
      <c r="D1320" s="60"/>
      <c r="E1320" s="61"/>
      <c r="F1320" s="61"/>
      <c r="G1320" s="67"/>
      <c r="H1320" s="60"/>
      <c r="I1320" s="60"/>
      <c r="J1320" s="61"/>
      <c r="K1320" s="61"/>
      <c r="L1320" s="60"/>
      <c r="M1320" s="74" t="str">
        <f t="shared" si="163"/>
        <v/>
      </c>
      <c r="N1320" s="74" t="str">
        <f t="shared" si="164"/>
        <v/>
      </c>
      <c r="O1320" s="73" t="str">
        <f t="shared" si="165"/>
        <v/>
      </c>
      <c r="P1320" s="65" t="str">
        <f t="shared" ca="1" si="166"/>
        <v/>
      </c>
      <c r="Q1320" s="2"/>
      <c r="R1320" s="2"/>
      <c r="S1320" s="1" t="str">
        <f t="shared" si="167"/>
        <v/>
      </c>
      <c r="T1320" s="1" t="str">
        <f>IF(OR($C1320="",$D1320&lt;&gt;"Gelir",$L1320=""),"",IFERROR(INDEX(MUSTERILER!$B$7:$B$156,MATCH($S1320,MUSTERILER!$T$7:$T$156,0)),""))</f>
        <v/>
      </c>
      <c r="U1320" s="1" t="str">
        <f>IF($T1320="","",$T1320&amp;"|"&amp;COUNTIFS($T$7:$T1320,$T1320))</f>
        <v/>
      </c>
      <c r="V1320" s="1">
        <f t="shared" si="168"/>
        <v>0</v>
      </c>
      <c r="W1320" s="1" t="str">
        <f t="shared" si="169"/>
        <v/>
      </c>
      <c r="X1320" s="1"/>
      <c r="Y1320" s="1"/>
      <c r="Z1320" s="1"/>
      <c r="AA1320" s="1"/>
      <c r="AB1320" s="1"/>
      <c r="AC1320" s="1"/>
      <c r="AD1320" s="1">
        <f>IF($C1320="",0,SUMPRODUCT((AY_SONU!$O$7:$O$42="Evet")*(AY_SONU!$B$7:$B$42=DATE(YEAR($C1320),MONTH($C1320),1))))</f>
        <v>0</v>
      </c>
      <c r="AE1320" s="1" t="str">
        <f>IF($E1320="","",$E1320&amp;"|"&amp;COUNTIFS($E$7:$E1320,$E1320))</f>
        <v/>
      </c>
    </row>
    <row r="1321" spans="1:31" ht="18" customHeight="1" x14ac:dyDescent="0.3">
      <c r="A1321" s="2"/>
      <c r="B1321" s="65" t="str">
        <f t="shared" si="162"/>
        <v/>
      </c>
      <c r="C1321" s="66"/>
      <c r="D1321" s="60"/>
      <c r="E1321" s="61"/>
      <c r="F1321" s="61"/>
      <c r="G1321" s="67"/>
      <c r="H1321" s="60"/>
      <c r="I1321" s="60"/>
      <c r="J1321" s="61"/>
      <c r="K1321" s="61"/>
      <c r="L1321" s="60"/>
      <c r="M1321" s="74" t="str">
        <f t="shared" si="163"/>
        <v/>
      </c>
      <c r="N1321" s="74" t="str">
        <f t="shared" si="164"/>
        <v/>
      </c>
      <c r="O1321" s="73" t="str">
        <f t="shared" si="165"/>
        <v/>
      </c>
      <c r="P1321" s="65" t="str">
        <f t="shared" ca="1" si="166"/>
        <v/>
      </c>
      <c r="Q1321" s="2"/>
      <c r="R1321" s="2"/>
      <c r="S1321" s="1" t="str">
        <f t="shared" si="167"/>
        <v/>
      </c>
      <c r="T1321" s="1" t="str">
        <f>IF(OR($C1321="",$D1321&lt;&gt;"Gelir",$L1321=""),"",IFERROR(INDEX(MUSTERILER!$B$7:$B$156,MATCH($S1321,MUSTERILER!$T$7:$T$156,0)),""))</f>
        <v/>
      </c>
      <c r="U1321" s="1" t="str">
        <f>IF($T1321="","",$T1321&amp;"|"&amp;COUNTIFS($T$7:$T1321,$T1321))</f>
        <v/>
      </c>
      <c r="V1321" s="1">
        <f t="shared" si="168"/>
        <v>0</v>
      </c>
      <c r="W1321" s="1" t="str">
        <f t="shared" si="169"/>
        <v/>
      </c>
      <c r="X1321" s="1"/>
      <c r="Y1321" s="1"/>
      <c r="Z1321" s="1"/>
      <c r="AA1321" s="1"/>
      <c r="AB1321" s="1"/>
      <c r="AC1321" s="1"/>
      <c r="AD1321" s="1">
        <f>IF($C1321="",0,SUMPRODUCT((AY_SONU!$O$7:$O$42="Evet")*(AY_SONU!$B$7:$B$42=DATE(YEAR($C1321),MONTH($C1321),1))))</f>
        <v>0</v>
      </c>
      <c r="AE1321" s="1" t="str">
        <f>IF($E1321="","",$E1321&amp;"|"&amp;COUNTIFS($E$7:$E1321,$E1321))</f>
        <v/>
      </c>
    </row>
    <row r="1322" spans="1:31" ht="18" customHeight="1" x14ac:dyDescent="0.3">
      <c r="A1322" s="2"/>
      <c r="B1322" s="65" t="str">
        <f t="shared" si="162"/>
        <v/>
      </c>
      <c r="C1322" s="66"/>
      <c r="D1322" s="60"/>
      <c r="E1322" s="61"/>
      <c r="F1322" s="61"/>
      <c r="G1322" s="67"/>
      <c r="H1322" s="60"/>
      <c r="I1322" s="60"/>
      <c r="J1322" s="61"/>
      <c r="K1322" s="61"/>
      <c r="L1322" s="60"/>
      <c r="M1322" s="74" t="str">
        <f t="shared" si="163"/>
        <v/>
      </c>
      <c r="N1322" s="74" t="str">
        <f t="shared" si="164"/>
        <v/>
      </c>
      <c r="O1322" s="73" t="str">
        <f t="shared" si="165"/>
        <v/>
      </c>
      <c r="P1322" s="65" t="str">
        <f t="shared" ca="1" si="166"/>
        <v/>
      </c>
      <c r="Q1322" s="2"/>
      <c r="R1322" s="2"/>
      <c r="S1322" s="1" t="str">
        <f t="shared" si="167"/>
        <v/>
      </c>
      <c r="T1322" s="1" t="str">
        <f>IF(OR($C1322="",$D1322&lt;&gt;"Gelir",$L1322=""),"",IFERROR(INDEX(MUSTERILER!$B$7:$B$156,MATCH($S1322,MUSTERILER!$T$7:$T$156,0)),""))</f>
        <v/>
      </c>
      <c r="U1322" s="1" t="str">
        <f>IF($T1322="","",$T1322&amp;"|"&amp;COUNTIFS($T$7:$T1322,$T1322))</f>
        <v/>
      </c>
      <c r="V1322" s="1">
        <f t="shared" si="168"/>
        <v>0</v>
      </c>
      <c r="W1322" s="1" t="str">
        <f t="shared" si="169"/>
        <v/>
      </c>
      <c r="X1322" s="1"/>
      <c r="Y1322" s="1"/>
      <c r="Z1322" s="1"/>
      <c r="AA1322" s="1"/>
      <c r="AB1322" s="1"/>
      <c r="AC1322" s="1"/>
      <c r="AD1322" s="1">
        <f>IF($C1322="",0,SUMPRODUCT((AY_SONU!$O$7:$O$42="Evet")*(AY_SONU!$B$7:$B$42=DATE(YEAR($C1322),MONTH($C1322),1))))</f>
        <v>0</v>
      </c>
      <c r="AE1322" s="1" t="str">
        <f>IF($E1322="","",$E1322&amp;"|"&amp;COUNTIFS($E$7:$E1322,$E1322))</f>
        <v/>
      </c>
    </row>
    <row r="1323" spans="1:31" ht="18" customHeight="1" x14ac:dyDescent="0.3">
      <c r="A1323" s="2"/>
      <c r="B1323" s="65" t="str">
        <f t="shared" si="162"/>
        <v/>
      </c>
      <c r="C1323" s="66"/>
      <c r="D1323" s="60"/>
      <c r="E1323" s="61"/>
      <c r="F1323" s="61"/>
      <c r="G1323" s="67"/>
      <c r="H1323" s="60"/>
      <c r="I1323" s="60"/>
      <c r="J1323" s="61"/>
      <c r="K1323" s="61"/>
      <c r="L1323" s="60"/>
      <c r="M1323" s="74" t="str">
        <f t="shared" si="163"/>
        <v/>
      </c>
      <c r="N1323" s="74" t="str">
        <f t="shared" si="164"/>
        <v/>
      </c>
      <c r="O1323" s="73" t="str">
        <f t="shared" si="165"/>
        <v/>
      </c>
      <c r="P1323" s="65" t="str">
        <f t="shared" ca="1" si="166"/>
        <v/>
      </c>
      <c r="Q1323" s="2"/>
      <c r="R1323" s="2"/>
      <c r="S1323" s="1" t="str">
        <f t="shared" si="167"/>
        <v/>
      </c>
      <c r="T1323" s="1" t="str">
        <f>IF(OR($C1323="",$D1323&lt;&gt;"Gelir",$L1323=""),"",IFERROR(INDEX(MUSTERILER!$B$7:$B$156,MATCH($S1323,MUSTERILER!$T$7:$T$156,0)),""))</f>
        <v/>
      </c>
      <c r="U1323" s="1" t="str">
        <f>IF($T1323="","",$T1323&amp;"|"&amp;COUNTIFS($T$7:$T1323,$T1323))</f>
        <v/>
      </c>
      <c r="V1323" s="1">
        <f t="shared" si="168"/>
        <v>0</v>
      </c>
      <c r="W1323" s="1" t="str">
        <f t="shared" si="169"/>
        <v/>
      </c>
      <c r="X1323" s="1"/>
      <c r="Y1323" s="1"/>
      <c r="Z1323" s="1"/>
      <c r="AA1323" s="1"/>
      <c r="AB1323" s="1"/>
      <c r="AC1323" s="1"/>
      <c r="AD1323" s="1">
        <f>IF($C1323="",0,SUMPRODUCT((AY_SONU!$O$7:$O$42="Evet")*(AY_SONU!$B$7:$B$42=DATE(YEAR($C1323),MONTH($C1323),1))))</f>
        <v>0</v>
      </c>
      <c r="AE1323" s="1" t="str">
        <f>IF($E1323="","",$E1323&amp;"|"&amp;COUNTIFS($E$7:$E1323,$E1323))</f>
        <v/>
      </c>
    </row>
    <row r="1324" spans="1:31" ht="18" customHeight="1" x14ac:dyDescent="0.3">
      <c r="A1324" s="2"/>
      <c r="B1324" s="65" t="str">
        <f t="shared" si="162"/>
        <v/>
      </c>
      <c r="C1324" s="66"/>
      <c r="D1324" s="60"/>
      <c r="E1324" s="61"/>
      <c r="F1324" s="61"/>
      <c r="G1324" s="67"/>
      <c r="H1324" s="60"/>
      <c r="I1324" s="60"/>
      <c r="J1324" s="61"/>
      <c r="K1324" s="61"/>
      <c r="L1324" s="60"/>
      <c r="M1324" s="74" t="str">
        <f t="shared" si="163"/>
        <v/>
      </c>
      <c r="N1324" s="74" t="str">
        <f t="shared" si="164"/>
        <v/>
      </c>
      <c r="O1324" s="73" t="str">
        <f t="shared" si="165"/>
        <v/>
      </c>
      <c r="P1324" s="65" t="str">
        <f t="shared" ca="1" si="166"/>
        <v/>
      </c>
      <c r="Q1324" s="2"/>
      <c r="R1324" s="2"/>
      <c r="S1324" s="1" t="str">
        <f t="shared" si="167"/>
        <v/>
      </c>
      <c r="T1324" s="1" t="str">
        <f>IF(OR($C1324="",$D1324&lt;&gt;"Gelir",$L1324=""),"",IFERROR(INDEX(MUSTERILER!$B$7:$B$156,MATCH($S1324,MUSTERILER!$T$7:$T$156,0)),""))</f>
        <v/>
      </c>
      <c r="U1324" s="1" t="str">
        <f>IF($T1324="","",$T1324&amp;"|"&amp;COUNTIFS($T$7:$T1324,$T1324))</f>
        <v/>
      </c>
      <c r="V1324" s="1">
        <f t="shared" si="168"/>
        <v>0</v>
      </c>
      <c r="W1324" s="1" t="str">
        <f t="shared" si="169"/>
        <v/>
      </c>
      <c r="X1324" s="1"/>
      <c r="Y1324" s="1"/>
      <c r="Z1324" s="1"/>
      <c r="AA1324" s="1"/>
      <c r="AB1324" s="1"/>
      <c r="AC1324" s="1"/>
      <c r="AD1324" s="1">
        <f>IF($C1324="",0,SUMPRODUCT((AY_SONU!$O$7:$O$42="Evet")*(AY_SONU!$B$7:$B$42=DATE(YEAR($C1324),MONTH($C1324),1))))</f>
        <v>0</v>
      </c>
      <c r="AE1324" s="1" t="str">
        <f>IF($E1324="","",$E1324&amp;"|"&amp;COUNTIFS($E$7:$E1324,$E1324))</f>
        <v/>
      </c>
    </row>
    <row r="1325" spans="1:31" ht="18" customHeight="1" x14ac:dyDescent="0.3">
      <c r="A1325" s="2"/>
      <c r="B1325" s="65" t="str">
        <f t="shared" si="162"/>
        <v/>
      </c>
      <c r="C1325" s="66"/>
      <c r="D1325" s="60"/>
      <c r="E1325" s="61"/>
      <c r="F1325" s="61"/>
      <c r="G1325" s="67"/>
      <c r="H1325" s="60"/>
      <c r="I1325" s="60"/>
      <c r="J1325" s="61"/>
      <c r="K1325" s="61"/>
      <c r="L1325" s="60"/>
      <c r="M1325" s="74" t="str">
        <f t="shared" si="163"/>
        <v/>
      </c>
      <c r="N1325" s="74" t="str">
        <f t="shared" si="164"/>
        <v/>
      </c>
      <c r="O1325" s="73" t="str">
        <f t="shared" si="165"/>
        <v/>
      </c>
      <c r="P1325" s="65" t="str">
        <f t="shared" ca="1" si="166"/>
        <v/>
      </c>
      <c r="Q1325" s="2"/>
      <c r="R1325" s="2"/>
      <c r="S1325" s="1" t="str">
        <f t="shared" si="167"/>
        <v/>
      </c>
      <c r="T1325" s="1" t="str">
        <f>IF(OR($C1325="",$D1325&lt;&gt;"Gelir",$L1325=""),"",IFERROR(INDEX(MUSTERILER!$B$7:$B$156,MATCH($S1325,MUSTERILER!$T$7:$T$156,0)),""))</f>
        <v/>
      </c>
      <c r="U1325" s="1" t="str">
        <f>IF($T1325="","",$T1325&amp;"|"&amp;COUNTIFS($T$7:$T1325,$T1325))</f>
        <v/>
      </c>
      <c r="V1325" s="1">
        <f t="shared" si="168"/>
        <v>0</v>
      </c>
      <c r="W1325" s="1" t="str">
        <f t="shared" si="169"/>
        <v/>
      </c>
      <c r="X1325" s="1"/>
      <c r="Y1325" s="1"/>
      <c r="Z1325" s="1"/>
      <c r="AA1325" s="1"/>
      <c r="AB1325" s="1"/>
      <c r="AC1325" s="1"/>
      <c r="AD1325" s="1">
        <f>IF($C1325="",0,SUMPRODUCT((AY_SONU!$O$7:$O$42="Evet")*(AY_SONU!$B$7:$B$42=DATE(YEAR($C1325),MONTH($C1325),1))))</f>
        <v>0</v>
      </c>
      <c r="AE1325" s="1" t="str">
        <f>IF($E1325="","",$E1325&amp;"|"&amp;COUNTIFS($E$7:$E1325,$E1325))</f>
        <v/>
      </c>
    </row>
    <row r="1326" spans="1:31" ht="18" customHeight="1" x14ac:dyDescent="0.3">
      <c r="A1326" s="2"/>
      <c r="B1326" s="65" t="str">
        <f t="shared" si="162"/>
        <v/>
      </c>
      <c r="C1326" s="66"/>
      <c r="D1326" s="60"/>
      <c r="E1326" s="61"/>
      <c r="F1326" s="61"/>
      <c r="G1326" s="67"/>
      <c r="H1326" s="60"/>
      <c r="I1326" s="60"/>
      <c r="J1326" s="61"/>
      <c r="K1326" s="61"/>
      <c r="L1326" s="60"/>
      <c r="M1326" s="74" t="str">
        <f t="shared" si="163"/>
        <v/>
      </c>
      <c r="N1326" s="74" t="str">
        <f t="shared" si="164"/>
        <v/>
      </c>
      <c r="O1326" s="73" t="str">
        <f t="shared" si="165"/>
        <v/>
      </c>
      <c r="P1326" s="65" t="str">
        <f t="shared" ca="1" si="166"/>
        <v/>
      </c>
      <c r="Q1326" s="2"/>
      <c r="R1326" s="2"/>
      <c r="S1326" s="1" t="str">
        <f t="shared" si="167"/>
        <v/>
      </c>
      <c r="T1326" s="1" t="str">
        <f>IF(OR($C1326="",$D1326&lt;&gt;"Gelir",$L1326=""),"",IFERROR(INDEX(MUSTERILER!$B$7:$B$156,MATCH($S1326,MUSTERILER!$T$7:$T$156,0)),""))</f>
        <v/>
      </c>
      <c r="U1326" s="1" t="str">
        <f>IF($T1326="","",$T1326&amp;"|"&amp;COUNTIFS($T$7:$T1326,$T1326))</f>
        <v/>
      </c>
      <c r="V1326" s="1">
        <f t="shared" si="168"/>
        <v>0</v>
      </c>
      <c r="W1326" s="1" t="str">
        <f t="shared" si="169"/>
        <v/>
      </c>
      <c r="X1326" s="1"/>
      <c r="Y1326" s="1"/>
      <c r="Z1326" s="1"/>
      <c r="AA1326" s="1"/>
      <c r="AB1326" s="1"/>
      <c r="AC1326" s="1"/>
      <c r="AD1326" s="1">
        <f>IF($C1326="",0,SUMPRODUCT((AY_SONU!$O$7:$O$42="Evet")*(AY_SONU!$B$7:$B$42=DATE(YEAR($C1326),MONTH($C1326),1))))</f>
        <v>0</v>
      </c>
      <c r="AE1326" s="1" t="str">
        <f>IF($E1326="","",$E1326&amp;"|"&amp;COUNTIFS($E$7:$E1326,$E1326))</f>
        <v/>
      </c>
    </row>
    <row r="1327" spans="1:31" ht="18" customHeight="1" x14ac:dyDescent="0.3">
      <c r="A1327" s="2"/>
      <c r="B1327" s="65" t="str">
        <f t="shared" si="162"/>
        <v/>
      </c>
      <c r="C1327" s="66"/>
      <c r="D1327" s="60"/>
      <c r="E1327" s="61"/>
      <c r="F1327" s="61"/>
      <c r="G1327" s="67"/>
      <c r="H1327" s="60"/>
      <c r="I1327" s="60"/>
      <c r="J1327" s="61"/>
      <c r="K1327" s="61"/>
      <c r="L1327" s="60"/>
      <c r="M1327" s="74" t="str">
        <f t="shared" si="163"/>
        <v/>
      </c>
      <c r="N1327" s="74" t="str">
        <f t="shared" si="164"/>
        <v/>
      </c>
      <c r="O1327" s="73" t="str">
        <f t="shared" si="165"/>
        <v/>
      </c>
      <c r="P1327" s="65" t="str">
        <f t="shared" ca="1" si="166"/>
        <v/>
      </c>
      <c r="Q1327" s="2"/>
      <c r="R1327" s="2"/>
      <c r="S1327" s="1" t="str">
        <f t="shared" si="167"/>
        <v/>
      </c>
      <c r="T1327" s="1" t="str">
        <f>IF(OR($C1327="",$D1327&lt;&gt;"Gelir",$L1327=""),"",IFERROR(INDEX(MUSTERILER!$B$7:$B$156,MATCH($S1327,MUSTERILER!$T$7:$T$156,0)),""))</f>
        <v/>
      </c>
      <c r="U1327" s="1" t="str">
        <f>IF($T1327="","",$T1327&amp;"|"&amp;COUNTIFS($T$7:$T1327,$T1327))</f>
        <v/>
      </c>
      <c r="V1327" s="1">
        <f t="shared" si="168"/>
        <v>0</v>
      </c>
      <c r="W1327" s="1" t="str">
        <f t="shared" si="169"/>
        <v/>
      </c>
      <c r="X1327" s="1"/>
      <c r="Y1327" s="1"/>
      <c r="Z1327" s="1"/>
      <c r="AA1327" s="1"/>
      <c r="AB1327" s="1"/>
      <c r="AC1327" s="1"/>
      <c r="AD1327" s="1">
        <f>IF($C1327="",0,SUMPRODUCT((AY_SONU!$O$7:$O$42="Evet")*(AY_SONU!$B$7:$B$42=DATE(YEAR($C1327),MONTH($C1327),1))))</f>
        <v>0</v>
      </c>
      <c r="AE1327" s="1" t="str">
        <f>IF($E1327="","",$E1327&amp;"|"&amp;COUNTIFS($E$7:$E1327,$E1327))</f>
        <v/>
      </c>
    </row>
    <row r="1328" spans="1:31" ht="18" customHeight="1" x14ac:dyDescent="0.3">
      <c r="A1328" s="2"/>
      <c r="B1328" s="65" t="str">
        <f t="shared" si="162"/>
        <v/>
      </c>
      <c r="C1328" s="66"/>
      <c r="D1328" s="60"/>
      <c r="E1328" s="61"/>
      <c r="F1328" s="61"/>
      <c r="G1328" s="67"/>
      <c r="H1328" s="60"/>
      <c r="I1328" s="60"/>
      <c r="J1328" s="61"/>
      <c r="K1328" s="61"/>
      <c r="L1328" s="60"/>
      <c r="M1328" s="74" t="str">
        <f t="shared" si="163"/>
        <v/>
      </c>
      <c r="N1328" s="74" t="str">
        <f t="shared" si="164"/>
        <v/>
      </c>
      <c r="O1328" s="73" t="str">
        <f t="shared" si="165"/>
        <v/>
      </c>
      <c r="P1328" s="65" t="str">
        <f t="shared" ca="1" si="166"/>
        <v/>
      </c>
      <c r="Q1328" s="2"/>
      <c r="R1328" s="2"/>
      <c r="S1328" s="1" t="str">
        <f t="shared" si="167"/>
        <v/>
      </c>
      <c r="T1328" s="1" t="str">
        <f>IF(OR($C1328="",$D1328&lt;&gt;"Gelir",$L1328=""),"",IFERROR(INDEX(MUSTERILER!$B$7:$B$156,MATCH($S1328,MUSTERILER!$T$7:$T$156,0)),""))</f>
        <v/>
      </c>
      <c r="U1328" s="1" t="str">
        <f>IF($T1328="","",$T1328&amp;"|"&amp;COUNTIFS($T$7:$T1328,$T1328))</f>
        <v/>
      </c>
      <c r="V1328" s="1">
        <f t="shared" si="168"/>
        <v>0</v>
      </c>
      <c r="W1328" s="1" t="str">
        <f t="shared" si="169"/>
        <v/>
      </c>
      <c r="X1328" s="1"/>
      <c r="Y1328" s="1"/>
      <c r="Z1328" s="1"/>
      <c r="AA1328" s="1"/>
      <c r="AB1328" s="1"/>
      <c r="AC1328" s="1"/>
      <c r="AD1328" s="1">
        <f>IF($C1328="",0,SUMPRODUCT((AY_SONU!$O$7:$O$42="Evet")*(AY_SONU!$B$7:$B$42=DATE(YEAR($C1328),MONTH($C1328),1))))</f>
        <v>0</v>
      </c>
      <c r="AE1328" s="1" t="str">
        <f>IF($E1328="","",$E1328&amp;"|"&amp;COUNTIFS($E$7:$E1328,$E1328))</f>
        <v/>
      </c>
    </row>
    <row r="1329" spans="1:31" ht="18" customHeight="1" x14ac:dyDescent="0.3">
      <c r="A1329" s="2"/>
      <c r="B1329" s="65" t="str">
        <f t="shared" si="162"/>
        <v/>
      </c>
      <c r="C1329" s="66"/>
      <c r="D1329" s="60"/>
      <c r="E1329" s="61"/>
      <c r="F1329" s="61"/>
      <c r="G1329" s="67"/>
      <c r="H1329" s="60"/>
      <c r="I1329" s="60"/>
      <c r="J1329" s="61"/>
      <c r="K1329" s="61"/>
      <c r="L1329" s="60"/>
      <c r="M1329" s="74" t="str">
        <f t="shared" si="163"/>
        <v/>
      </c>
      <c r="N1329" s="74" t="str">
        <f t="shared" si="164"/>
        <v/>
      </c>
      <c r="O1329" s="73" t="str">
        <f t="shared" si="165"/>
        <v/>
      </c>
      <c r="P1329" s="65" t="str">
        <f t="shared" ca="1" si="166"/>
        <v/>
      </c>
      <c r="Q1329" s="2"/>
      <c r="R1329" s="2"/>
      <c r="S1329" s="1" t="str">
        <f t="shared" si="167"/>
        <v/>
      </c>
      <c r="T1329" s="1" t="str">
        <f>IF(OR($C1329="",$D1329&lt;&gt;"Gelir",$L1329=""),"",IFERROR(INDEX(MUSTERILER!$B$7:$B$156,MATCH($S1329,MUSTERILER!$T$7:$T$156,0)),""))</f>
        <v/>
      </c>
      <c r="U1329" s="1" t="str">
        <f>IF($T1329="","",$T1329&amp;"|"&amp;COUNTIFS($T$7:$T1329,$T1329))</f>
        <v/>
      </c>
      <c r="V1329" s="1">
        <f t="shared" si="168"/>
        <v>0</v>
      </c>
      <c r="W1329" s="1" t="str">
        <f t="shared" si="169"/>
        <v/>
      </c>
      <c r="X1329" s="1"/>
      <c r="Y1329" s="1"/>
      <c r="Z1329" s="1"/>
      <c r="AA1329" s="1"/>
      <c r="AB1329" s="1"/>
      <c r="AC1329" s="1"/>
      <c r="AD1329" s="1">
        <f>IF($C1329="",0,SUMPRODUCT((AY_SONU!$O$7:$O$42="Evet")*(AY_SONU!$B$7:$B$42=DATE(YEAR($C1329),MONTH($C1329),1))))</f>
        <v>0</v>
      </c>
      <c r="AE1329" s="1" t="str">
        <f>IF($E1329="","",$E1329&amp;"|"&amp;COUNTIFS($E$7:$E1329,$E1329))</f>
        <v/>
      </c>
    </row>
    <row r="1330" spans="1:31" ht="18" customHeight="1" x14ac:dyDescent="0.3">
      <c r="A1330" s="2"/>
      <c r="B1330" s="65" t="str">
        <f t="shared" si="162"/>
        <v/>
      </c>
      <c r="C1330" s="66"/>
      <c r="D1330" s="60"/>
      <c r="E1330" s="61"/>
      <c r="F1330" s="61"/>
      <c r="G1330" s="67"/>
      <c r="H1330" s="60"/>
      <c r="I1330" s="60"/>
      <c r="J1330" s="61"/>
      <c r="K1330" s="61"/>
      <c r="L1330" s="60"/>
      <c r="M1330" s="74" t="str">
        <f t="shared" si="163"/>
        <v/>
      </c>
      <c r="N1330" s="74" t="str">
        <f t="shared" si="164"/>
        <v/>
      </c>
      <c r="O1330" s="73" t="str">
        <f t="shared" si="165"/>
        <v/>
      </c>
      <c r="P1330" s="65" t="str">
        <f t="shared" ca="1" si="166"/>
        <v/>
      </c>
      <c r="Q1330" s="2"/>
      <c r="R1330" s="2"/>
      <c r="S1330" s="1" t="str">
        <f t="shared" si="167"/>
        <v/>
      </c>
      <c r="T1330" s="1" t="str">
        <f>IF(OR($C1330="",$D1330&lt;&gt;"Gelir",$L1330=""),"",IFERROR(INDEX(MUSTERILER!$B$7:$B$156,MATCH($S1330,MUSTERILER!$T$7:$T$156,0)),""))</f>
        <v/>
      </c>
      <c r="U1330" s="1" t="str">
        <f>IF($T1330="","",$T1330&amp;"|"&amp;COUNTIFS($T$7:$T1330,$T1330))</f>
        <v/>
      </c>
      <c r="V1330" s="1">
        <f t="shared" si="168"/>
        <v>0</v>
      </c>
      <c r="W1330" s="1" t="str">
        <f t="shared" si="169"/>
        <v/>
      </c>
      <c r="X1330" s="1"/>
      <c r="Y1330" s="1"/>
      <c r="Z1330" s="1"/>
      <c r="AA1330" s="1"/>
      <c r="AB1330" s="1"/>
      <c r="AC1330" s="1"/>
      <c r="AD1330" s="1">
        <f>IF($C1330="",0,SUMPRODUCT((AY_SONU!$O$7:$O$42="Evet")*(AY_SONU!$B$7:$B$42=DATE(YEAR($C1330),MONTH($C1330),1))))</f>
        <v>0</v>
      </c>
      <c r="AE1330" s="1" t="str">
        <f>IF($E1330="","",$E1330&amp;"|"&amp;COUNTIFS($E$7:$E1330,$E1330))</f>
        <v/>
      </c>
    </row>
    <row r="1331" spans="1:31" ht="18" customHeight="1" x14ac:dyDescent="0.3">
      <c r="A1331" s="2"/>
      <c r="B1331" s="65" t="str">
        <f t="shared" si="162"/>
        <v/>
      </c>
      <c r="C1331" s="66"/>
      <c r="D1331" s="60"/>
      <c r="E1331" s="61"/>
      <c r="F1331" s="61"/>
      <c r="G1331" s="67"/>
      <c r="H1331" s="60"/>
      <c r="I1331" s="60"/>
      <c r="J1331" s="61"/>
      <c r="K1331" s="61"/>
      <c r="L1331" s="60"/>
      <c r="M1331" s="74" t="str">
        <f t="shared" si="163"/>
        <v/>
      </c>
      <c r="N1331" s="74" t="str">
        <f t="shared" si="164"/>
        <v/>
      </c>
      <c r="O1331" s="73" t="str">
        <f t="shared" si="165"/>
        <v/>
      </c>
      <c r="P1331" s="65" t="str">
        <f t="shared" ca="1" si="166"/>
        <v/>
      </c>
      <c r="Q1331" s="2"/>
      <c r="R1331" s="2"/>
      <c r="S1331" s="1" t="str">
        <f t="shared" si="167"/>
        <v/>
      </c>
      <c r="T1331" s="1" t="str">
        <f>IF(OR($C1331="",$D1331&lt;&gt;"Gelir",$L1331=""),"",IFERROR(INDEX(MUSTERILER!$B$7:$B$156,MATCH($S1331,MUSTERILER!$T$7:$T$156,0)),""))</f>
        <v/>
      </c>
      <c r="U1331" s="1" t="str">
        <f>IF($T1331="","",$T1331&amp;"|"&amp;COUNTIFS($T$7:$T1331,$T1331))</f>
        <v/>
      </c>
      <c r="V1331" s="1">
        <f t="shared" si="168"/>
        <v>0</v>
      </c>
      <c r="W1331" s="1" t="str">
        <f t="shared" si="169"/>
        <v/>
      </c>
      <c r="X1331" s="1"/>
      <c r="Y1331" s="1"/>
      <c r="Z1331" s="1"/>
      <c r="AA1331" s="1"/>
      <c r="AB1331" s="1"/>
      <c r="AC1331" s="1"/>
      <c r="AD1331" s="1">
        <f>IF($C1331="",0,SUMPRODUCT((AY_SONU!$O$7:$O$42="Evet")*(AY_SONU!$B$7:$B$42=DATE(YEAR($C1331),MONTH($C1331),1))))</f>
        <v>0</v>
      </c>
      <c r="AE1331" s="1" t="str">
        <f>IF($E1331="","",$E1331&amp;"|"&amp;COUNTIFS($E$7:$E1331,$E1331))</f>
        <v/>
      </c>
    </row>
    <row r="1332" spans="1:31" ht="18" customHeight="1" x14ac:dyDescent="0.3">
      <c r="A1332" s="2"/>
      <c r="B1332" s="65" t="str">
        <f t="shared" si="162"/>
        <v/>
      </c>
      <c r="C1332" s="66"/>
      <c r="D1332" s="60"/>
      <c r="E1332" s="61"/>
      <c r="F1332" s="61"/>
      <c r="G1332" s="67"/>
      <c r="H1332" s="60"/>
      <c r="I1332" s="60"/>
      <c r="J1332" s="61"/>
      <c r="K1332" s="61"/>
      <c r="L1332" s="60"/>
      <c r="M1332" s="74" t="str">
        <f t="shared" si="163"/>
        <v/>
      </c>
      <c r="N1332" s="74" t="str">
        <f t="shared" si="164"/>
        <v/>
      </c>
      <c r="O1332" s="73" t="str">
        <f t="shared" si="165"/>
        <v/>
      </c>
      <c r="P1332" s="65" t="str">
        <f t="shared" ca="1" si="166"/>
        <v/>
      </c>
      <c r="Q1332" s="2"/>
      <c r="R1332" s="2"/>
      <c r="S1332" s="1" t="str">
        <f t="shared" si="167"/>
        <v/>
      </c>
      <c r="T1332" s="1" t="str">
        <f>IF(OR($C1332="",$D1332&lt;&gt;"Gelir",$L1332=""),"",IFERROR(INDEX(MUSTERILER!$B$7:$B$156,MATCH($S1332,MUSTERILER!$T$7:$T$156,0)),""))</f>
        <v/>
      </c>
      <c r="U1332" s="1" t="str">
        <f>IF($T1332="","",$T1332&amp;"|"&amp;COUNTIFS($T$7:$T1332,$T1332))</f>
        <v/>
      </c>
      <c r="V1332" s="1">
        <f t="shared" si="168"/>
        <v>0</v>
      </c>
      <c r="W1332" s="1" t="str">
        <f t="shared" si="169"/>
        <v/>
      </c>
      <c r="X1332" s="1"/>
      <c r="Y1332" s="1"/>
      <c r="Z1332" s="1"/>
      <c r="AA1332" s="1"/>
      <c r="AB1332" s="1"/>
      <c r="AC1332" s="1"/>
      <c r="AD1332" s="1">
        <f>IF($C1332="",0,SUMPRODUCT((AY_SONU!$O$7:$O$42="Evet")*(AY_SONU!$B$7:$B$42=DATE(YEAR($C1332),MONTH($C1332),1))))</f>
        <v>0</v>
      </c>
      <c r="AE1332" s="1" t="str">
        <f>IF($E1332="","",$E1332&amp;"|"&amp;COUNTIFS($E$7:$E1332,$E1332))</f>
        <v/>
      </c>
    </row>
    <row r="1333" spans="1:31" ht="18" customHeight="1" x14ac:dyDescent="0.3">
      <c r="A1333" s="2"/>
      <c r="B1333" s="65" t="str">
        <f t="shared" si="162"/>
        <v/>
      </c>
      <c r="C1333" s="66"/>
      <c r="D1333" s="60"/>
      <c r="E1333" s="61"/>
      <c r="F1333" s="61"/>
      <c r="G1333" s="67"/>
      <c r="H1333" s="60"/>
      <c r="I1333" s="60"/>
      <c r="J1333" s="61"/>
      <c r="K1333" s="61"/>
      <c r="L1333" s="60"/>
      <c r="M1333" s="74" t="str">
        <f t="shared" si="163"/>
        <v/>
      </c>
      <c r="N1333" s="74" t="str">
        <f t="shared" si="164"/>
        <v/>
      </c>
      <c r="O1333" s="73" t="str">
        <f t="shared" si="165"/>
        <v/>
      </c>
      <c r="P1333" s="65" t="str">
        <f t="shared" ca="1" si="166"/>
        <v/>
      </c>
      <c r="Q1333" s="2"/>
      <c r="R1333" s="2"/>
      <c r="S1333" s="1" t="str">
        <f t="shared" si="167"/>
        <v/>
      </c>
      <c r="T1333" s="1" t="str">
        <f>IF(OR($C1333="",$D1333&lt;&gt;"Gelir",$L1333=""),"",IFERROR(INDEX(MUSTERILER!$B$7:$B$156,MATCH($S1333,MUSTERILER!$T$7:$T$156,0)),""))</f>
        <v/>
      </c>
      <c r="U1333" s="1" t="str">
        <f>IF($T1333="","",$T1333&amp;"|"&amp;COUNTIFS($T$7:$T1333,$T1333))</f>
        <v/>
      </c>
      <c r="V1333" s="1">
        <f t="shared" si="168"/>
        <v>0</v>
      </c>
      <c r="W1333" s="1" t="str">
        <f t="shared" si="169"/>
        <v/>
      </c>
      <c r="X1333" s="1"/>
      <c r="Y1333" s="1"/>
      <c r="Z1333" s="1"/>
      <c r="AA1333" s="1"/>
      <c r="AB1333" s="1"/>
      <c r="AC1333" s="1"/>
      <c r="AD1333" s="1">
        <f>IF($C1333="",0,SUMPRODUCT((AY_SONU!$O$7:$O$42="Evet")*(AY_SONU!$B$7:$B$42=DATE(YEAR($C1333),MONTH($C1333),1))))</f>
        <v>0</v>
      </c>
      <c r="AE1333" s="1" t="str">
        <f>IF($E1333="","",$E1333&amp;"|"&amp;COUNTIFS($E$7:$E1333,$E1333))</f>
        <v/>
      </c>
    </row>
    <row r="1334" spans="1:31" ht="18" customHeight="1" x14ac:dyDescent="0.3">
      <c r="A1334" s="2"/>
      <c r="B1334" s="65" t="str">
        <f t="shared" si="162"/>
        <v/>
      </c>
      <c r="C1334" s="66"/>
      <c r="D1334" s="60"/>
      <c r="E1334" s="61"/>
      <c r="F1334" s="61"/>
      <c r="G1334" s="67"/>
      <c r="H1334" s="60"/>
      <c r="I1334" s="60"/>
      <c r="J1334" s="61"/>
      <c r="K1334" s="61"/>
      <c r="L1334" s="60"/>
      <c r="M1334" s="74" t="str">
        <f t="shared" si="163"/>
        <v/>
      </c>
      <c r="N1334" s="74" t="str">
        <f t="shared" si="164"/>
        <v/>
      </c>
      <c r="O1334" s="73" t="str">
        <f t="shared" si="165"/>
        <v/>
      </c>
      <c r="P1334" s="65" t="str">
        <f t="shared" ca="1" si="166"/>
        <v/>
      </c>
      <c r="Q1334" s="2"/>
      <c r="R1334" s="2"/>
      <c r="S1334" s="1" t="str">
        <f t="shared" si="167"/>
        <v/>
      </c>
      <c r="T1334" s="1" t="str">
        <f>IF(OR($C1334="",$D1334&lt;&gt;"Gelir",$L1334=""),"",IFERROR(INDEX(MUSTERILER!$B$7:$B$156,MATCH($S1334,MUSTERILER!$T$7:$T$156,0)),""))</f>
        <v/>
      </c>
      <c r="U1334" s="1" t="str">
        <f>IF($T1334="","",$T1334&amp;"|"&amp;COUNTIFS($T$7:$T1334,$T1334))</f>
        <v/>
      </c>
      <c r="V1334" s="1">
        <f t="shared" si="168"/>
        <v>0</v>
      </c>
      <c r="W1334" s="1" t="str">
        <f t="shared" si="169"/>
        <v/>
      </c>
      <c r="X1334" s="1"/>
      <c r="Y1334" s="1"/>
      <c r="Z1334" s="1"/>
      <c r="AA1334" s="1"/>
      <c r="AB1334" s="1"/>
      <c r="AC1334" s="1"/>
      <c r="AD1334" s="1">
        <f>IF($C1334="",0,SUMPRODUCT((AY_SONU!$O$7:$O$42="Evet")*(AY_SONU!$B$7:$B$42=DATE(YEAR($C1334),MONTH($C1334),1))))</f>
        <v>0</v>
      </c>
      <c r="AE1334" s="1" t="str">
        <f>IF($E1334="","",$E1334&amp;"|"&amp;COUNTIFS($E$7:$E1334,$E1334))</f>
        <v/>
      </c>
    </row>
    <row r="1335" spans="1:31" ht="18" customHeight="1" x14ac:dyDescent="0.3">
      <c r="A1335" s="2"/>
      <c r="B1335" s="65" t="str">
        <f t="shared" si="162"/>
        <v/>
      </c>
      <c r="C1335" s="66"/>
      <c r="D1335" s="60"/>
      <c r="E1335" s="61"/>
      <c r="F1335" s="61"/>
      <c r="G1335" s="67"/>
      <c r="H1335" s="60"/>
      <c r="I1335" s="60"/>
      <c r="J1335" s="61"/>
      <c r="K1335" s="61"/>
      <c r="L1335" s="60"/>
      <c r="M1335" s="74" t="str">
        <f t="shared" si="163"/>
        <v/>
      </c>
      <c r="N1335" s="74" t="str">
        <f t="shared" si="164"/>
        <v/>
      </c>
      <c r="O1335" s="73" t="str">
        <f t="shared" si="165"/>
        <v/>
      </c>
      <c r="P1335" s="65" t="str">
        <f t="shared" ca="1" si="166"/>
        <v/>
      </c>
      <c r="Q1335" s="2"/>
      <c r="R1335" s="2"/>
      <c r="S1335" s="1" t="str">
        <f t="shared" si="167"/>
        <v/>
      </c>
      <c r="T1335" s="1" t="str">
        <f>IF(OR($C1335="",$D1335&lt;&gt;"Gelir",$L1335=""),"",IFERROR(INDEX(MUSTERILER!$B$7:$B$156,MATCH($S1335,MUSTERILER!$T$7:$T$156,0)),""))</f>
        <v/>
      </c>
      <c r="U1335" s="1" t="str">
        <f>IF($T1335="","",$T1335&amp;"|"&amp;COUNTIFS($T$7:$T1335,$T1335))</f>
        <v/>
      </c>
      <c r="V1335" s="1">
        <f t="shared" si="168"/>
        <v>0</v>
      </c>
      <c r="W1335" s="1" t="str">
        <f t="shared" si="169"/>
        <v/>
      </c>
      <c r="X1335" s="1"/>
      <c r="Y1335" s="1"/>
      <c r="Z1335" s="1"/>
      <c r="AA1335" s="1"/>
      <c r="AB1335" s="1"/>
      <c r="AC1335" s="1"/>
      <c r="AD1335" s="1">
        <f>IF($C1335="",0,SUMPRODUCT((AY_SONU!$O$7:$O$42="Evet")*(AY_SONU!$B$7:$B$42=DATE(YEAR($C1335),MONTH($C1335),1))))</f>
        <v>0</v>
      </c>
      <c r="AE1335" s="1" t="str">
        <f>IF($E1335="","",$E1335&amp;"|"&amp;COUNTIFS($E$7:$E1335,$E1335))</f>
        <v/>
      </c>
    </row>
    <row r="1336" spans="1:31" ht="18" customHeight="1" x14ac:dyDescent="0.3">
      <c r="A1336" s="2"/>
      <c r="B1336" s="65" t="str">
        <f t="shared" si="162"/>
        <v/>
      </c>
      <c r="C1336" s="66"/>
      <c r="D1336" s="60"/>
      <c r="E1336" s="61"/>
      <c r="F1336" s="61"/>
      <c r="G1336" s="67"/>
      <c r="H1336" s="60"/>
      <c r="I1336" s="60"/>
      <c r="J1336" s="61"/>
      <c r="K1336" s="61"/>
      <c r="L1336" s="60"/>
      <c r="M1336" s="74" t="str">
        <f t="shared" si="163"/>
        <v/>
      </c>
      <c r="N1336" s="74" t="str">
        <f t="shared" si="164"/>
        <v/>
      </c>
      <c r="O1336" s="73" t="str">
        <f t="shared" si="165"/>
        <v/>
      </c>
      <c r="P1336" s="65" t="str">
        <f t="shared" ca="1" si="166"/>
        <v/>
      </c>
      <c r="Q1336" s="2"/>
      <c r="R1336" s="2"/>
      <c r="S1336" s="1" t="str">
        <f t="shared" si="167"/>
        <v/>
      </c>
      <c r="T1336" s="1" t="str">
        <f>IF(OR($C1336="",$D1336&lt;&gt;"Gelir",$L1336=""),"",IFERROR(INDEX(MUSTERILER!$B$7:$B$156,MATCH($S1336,MUSTERILER!$T$7:$T$156,0)),""))</f>
        <v/>
      </c>
      <c r="U1336" s="1" t="str">
        <f>IF($T1336="","",$T1336&amp;"|"&amp;COUNTIFS($T$7:$T1336,$T1336))</f>
        <v/>
      </c>
      <c r="V1336" s="1">
        <f t="shared" si="168"/>
        <v>0</v>
      </c>
      <c r="W1336" s="1" t="str">
        <f t="shared" si="169"/>
        <v/>
      </c>
      <c r="X1336" s="1"/>
      <c r="Y1336" s="1"/>
      <c r="Z1336" s="1"/>
      <c r="AA1336" s="1"/>
      <c r="AB1336" s="1"/>
      <c r="AC1336" s="1"/>
      <c r="AD1336" s="1">
        <f>IF($C1336="",0,SUMPRODUCT((AY_SONU!$O$7:$O$42="Evet")*(AY_SONU!$B$7:$B$42=DATE(YEAR($C1336),MONTH($C1336),1))))</f>
        <v>0</v>
      </c>
      <c r="AE1336" s="1" t="str">
        <f>IF($E1336="","",$E1336&amp;"|"&amp;COUNTIFS($E$7:$E1336,$E1336))</f>
        <v/>
      </c>
    </row>
    <row r="1337" spans="1:31" ht="18" customHeight="1" x14ac:dyDescent="0.3">
      <c r="A1337" s="2"/>
      <c r="B1337" s="65" t="str">
        <f t="shared" si="162"/>
        <v/>
      </c>
      <c r="C1337" s="66"/>
      <c r="D1337" s="60"/>
      <c r="E1337" s="61"/>
      <c r="F1337" s="61"/>
      <c r="G1337" s="67"/>
      <c r="H1337" s="60"/>
      <c r="I1337" s="60"/>
      <c r="J1337" s="61"/>
      <c r="K1337" s="61"/>
      <c r="L1337" s="60"/>
      <c r="M1337" s="74" t="str">
        <f t="shared" si="163"/>
        <v/>
      </c>
      <c r="N1337" s="74" t="str">
        <f t="shared" si="164"/>
        <v/>
      </c>
      <c r="O1337" s="73" t="str">
        <f t="shared" si="165"/>
        <v/>
      </c>
      <c r="P1337" s="65" t="str">
        <f t="shared" ca="1" si="166"/>
        <v/>
      </c>
      <c r="Q1337" s="2"/>
      <c r="R1337" s="2"/>
      <c r="S1337" s="1" t="str">
        <f t="shared" si="167"/>
        <v/>
      </c>
      <c r="T1337" s="1" t="str">
        <f>IF(OR($C1337="",$D1337&lt;&gt;"Gelir",$L1337=""),"",IFERROR(INDEX(MUSTERILER!$B$7:$B$156,MATCH($S1337,MUSTERILER!$T$7:$T$156,0)),""))</f>
        <v/>
      </c>
      <c r="U1337" s="1" t="str">
        <f>IF($T1337="","",$T1337&amp;"|"&amp;COUNTIFS($T$7:$T1337,$T1337))</f>
        <v/>
      </c>
      <c r="V1337" s="1">
        <f t="shared" si="168"/>
        <v>0</v>
      </c>
      <c r="W1337" s="1" t="str">
        <f t="shared" si="169"/>
        <v/>
      </c>
      <c r="X1337" s="1"/>
      <c r="Y1337" s="1"/>
      <c r="Z1337" s="1"/>
      <c r="AA1337" s="1"/>
      <c r="AB1337" s="1"/>
      <c r="AC1337" s="1"/>
      <c r="AD1337" s="1">
        <f>IF($C1337="",0,SUMPRODUCT((AY_SONU!$O$7:$O$42="Evet")*(AY_SONU!$B$7:$B$42=DATE(YEAR($C1337),MONTH($C1337),1))))</f>
        <v>0</v>
      </c>
      <c r="AE1337" s="1" t="str">
        <f>IF($E1337="","",$E1337&amp;"|"&amp;COUNTIFS($E$7:$E1337,$E1337))</f>
        <v/>
      </c>
    </row>
    <row r="1338" spans="1:31" ht="18" customHeight="1" x14ac:dyDescent="0.3">
      <c r="A1338" s="2"/>
      <c r="B1338" s="65" t="str">
        <f t="shared" si="162"/>
        <v/>
      </c>
      <c r="C1338" s="66"/>
      <c r="D1338" s="60"/>
      <c r="E1338" s="61"/>
      <c r="F1338" s="61"/>
      <c r="G1338" s="67"/>
      <c r="H1338" s="60"/>
      <c r="I1338" s="60"/>
      <c r="J1338" s="61"/>
      <c r="K1338" s="61"/>
      <c r="L1338" s="60"/>
      <c r="M1338" s="74" t="str">
        <f t="shared" si="163"/>
        <v/>
      </c>
      <c r="N1338" s="74" t="str">
        <f t="shared" si="164"/>
        <v/>
      </c>
      <c r="O1338" s="73" t="str">
        <f t="shared" si="165"/>
        <v/>
      </c>
      <c r="P1338" s="65" t="str">
        <f t="shared" ca="1" si="166"/>
        <v/>
      </c>
      <c r="Q1338" s="2"/>
      <c r="R1338" s="2"/>
      <c r="S1338" s="1" t="str">
        <f t="shared" si="167"/>
        <v/>
      </c>
      <c r="T1338" s="1" t="str">
        <f>IF(OR($C1338="",$D1338&lt;&gt;"Gelir",$L1338=""),"",IFERROR(INDEX(MUSTERILER!$B$7:$B$156,MATCH($S1338,MUSTERILER!$T$7:$T$156,0)),""))</f>
        <v/>
      </c>
      <c r="U1338" s="1" t="str">
        <f>IF($T1338="","",$T1338&amp;"|"&amp;COUNTIFS($T$7:$T1338,$T1338))</f>
        <v/>
      </c>
      <c r="V1338" s="1">
        <f t="shared" si="168"/>
        <v>0</v>
      </c>
      <c r="W1338" s="1" t="str">
        <f t="shared" si="169"/>
        <v/>
      </c>
      <c r="X1338" s="1"/>
      <c r="Y1338" s="1"/>
      <c r="Z1338" s="1"/>
      <c r="AA1338" s="1"/>
      <c r="AB1338" s="1"/>
      <c r="AC1338" s="1"/>
      <c r="AD1338" s="1">
        <f>IF($C1338="",0,SUMPRODUCT((AY_SONU!$O$7:$O$42="Evet")*(AY_SONU!$B$7:$B$42=DATE(YEAR($C1338),MONTH($C1338),1))))</f>
        <v>0</v>
      </c>
      <c r="AE1338" s="1" t="str">
        <f>IF($E1338="","",$E1338&amp;"|"&amp;COUNTIFS($E$7:$E1338,$E1338))</f>
        <v/>
      </c>
    </row>
    <row r="1339" spans="1:31" ht="18" customHeight="1" x14ac:dyDescent="0.3">
      <c r="A1339" s="2"/>
      <c r="B1339" s="65" t="str">
        <f t="shared" si="162"/>
        <v/>
      </c>
      <c r="C1339" s="66"/>
      <c r="D1339" s="60"/>
      <c r="E1339" s="61"/>
      <c r="F1339" s="61"/>
      <c r="G1339" s="67"/>
      <c r="H1339" s="60"/>
      <c r="I1339" s="60"/>
      <c r="J1339" s="61"/>
      <c r="K1339" s="61"/>
      <c r="L1339" s="60"/>
      <c r="M1339" s="74" t="str">
        <f t="shared" si="163"/>
        <v/>
      </c>
      <c r="N1339" s="74" t="str">
        <f t="shared" si="164"/>
        <v/>
      </c>
      <c r="O1339" s="73" t="str">
        <f t="shared" si="165"/>
        <v/>
      </c>
      <c r="P1339" s="65" t="str">
        <f t="shared" ca="1" si="166"/>
        <v/>
      </c>
      <c r="Q1339" s="2"/>
      <c r="R1339" s="2"/>
      <c r="S1339" s="1" t="str">
        <f t="shared" si="167"/>
        <v/>
      </c>
      <c r="T1339" s="1" t="str">
        <f>IF(OR($C1339="",$D1339&lt;&gt;"Gelir",$L1339=""),"",IFERROR(INDEX(MUSTERILER!$B$7:$B$156,MATCH($S1339,MUSTERILER!$T$7:$T$156,0)),""))</f>
        <v/>
      </c>
      <c r="U1339" s="1" t="str">
        <f>IF($T1339="","",$T1339&amp;"|"&amp;COUNTIFS($T$7:$T1339,$T1339))</f>
        <v/>
      </c>
      <c r="V1339" s="1">
        <f t="shared" si="168"/>
        <v>0</v>
      </c>
      <c r="W1339" s="1" t="str">
        <f t="shared" si="169"/>
        <v/>
      </c>
      <c r="X1339" s="1"/>
      <c r="Y1339" s="1"/>
      <c r="Z1339" s="1"/>
      <c r="AA1339" s="1"/>
      <c r="AB1339" s="1"/>
      <c r="AC1339" s="1"/>
      <c r="AD1339" s="1">
        <f>IF($C1339="",0,SUMPRODUCT((AY_SONU!$O$7:$O$42="Evet")*(AY_SONU!$B$7:$B$42=DATE(YEAR($C1339),MONTH($C1339),1))))</f>
        <v>0</v>
      </c>
      <c r="AE1339" s="1" t="str">
        <f>IF($E1339="","",$E1339&amp;"|"&amp;COUNTIFS($E$7:$E1339,$E1339))</f>
        <v/>
      </c>
    </row>
    <row r="1340" spans="1:31" ht="18" customHeight="1" x14ac:dyDescent="0.3">
      <c r="A1340" s="2"/>
      <c r="B1340" s="65" t="str">
        <f t="shared" si="162"/>
        <v/>
      </c>
      <c r="C1340" s="66"/>
      <c r="D1340" s="60"/>
      <c r="E1340" s="61"/>
      <c r="F1340" s="61"/>
      <c r="G1340" s="67"/>
      <c r="H1340" s="60"/>
      <c r="I1340" s="60"/>
      <c r="J1340" s="61"/>
      <c r="K1340" s="61"/>
      <c r="L1340" s="60"/>
      <c r="M1340" s="74" t="str">
        <f t="shared" si="163"/>
        <v/>
      </c>
      <c r="N1340" s="74" t="str">
        <f t="shared" si="164"/>
        <v/>
      </c>
      <c r="O1340" s="73" t="str">
        <f t="shared" si="165"/>
        <v/>
      </c>
      <c r="P1340" s="65" t="str">
        <f t="shared" ca="1" si="166"/>
        <v/>
      </c>
      <c r="Q1340" s="2"/>
      <c r="R1340" s="2"/>
      <c r="S1340" s="1" t="str">
        <f t="shared" si="167"/>
        <v/>
      </c>
      <c r="T1340" s="1" t="str">
        <f>IF(OR($C1340="",$D1340&lt;&gt;"Gelir",$L1340=""),"",IFERROR(INDEX(MUSTERILER!$B$7:$B$156,MATCH($S1340,MUSTERILER!$T$7:$T$156,0)),""))</f>
        <v/>
      </c>
      <c r="U1340" s="1" t="str">
        <f>IF($T1340="","",$T1340&amp;"|"&amp;COUNTIFS($T$7:$T1340,$T1340))</f>
        <v/>
      </c>
      <c r="V1340" s="1">
        <f t="shared" si="168"/>
        <v>0</v>
      </c>
      <c r="W1340" s="1" t="str">
        <f t="shared" si="169"/>
        <v/>
      </c>
      <c r="X1340" s="1"/>
      <c r="Y1340" s="1"/>
      <c r="Z1340" s="1"/>
      <c r="AA1340" s="1"/>
      <c r="AB1340" s="1"/>
      <c r="AC1340" s="1"/>
      <c r="AD1340" s="1">
        <f>IF($C1340="",0,SUMPRODUCT((AY_SONU!$O$7:$O$42="Evet")*(AY_SONU!$B$7:$B$42=DATE(YEAR($C1340),MONTH($C1340),1))))</f>
        <v>0</v>
      </c>
      <c r="AE1340" s="1" t="str">
        <f>IF($E1340="","",$E1340&amp;"|"&amp;COUNTIFS($E$7:$E1340,$E1340))</f>
        <v/>
      </c>
    </row>
    <row r="1341" spans="1:31" ht="18" customHeight="1" x14ac:dyDescent="0.3">
      <c r="A1341" s="2"/>
      <c r="B1341" s="65" t="str">
        <f t="shared" si="162"/>
        <v/>
      </c>
      <c r="C1341" s="66"/>
      <c r="D1341" s="60"/>
      <c r="E1341" s="61"/>
      <c r="F1341" s="61"/>
      <c r="G1341" s="67"/>
      <c r="H1341" s="60"/>
      <c r="I1341" s="60"/>
      <c r="J1341" s="61"/>
      <c r="K1341" s="61"/>
      <c r="L1341" s="60"/>
      <c r="M1341" s="74" t="str">
        <f t="shared" si="163"/>
        <v/>
      </c>
      <c r="N1341" s="74" t="str">
        <f t="shared" si="164"/>
        <v/>
      </c>
      <c r="O1341" s="73" t="str">
        <f t="shared" si="165"/>
        <v/>
      </c>
      <c r="P1341" s="65" t="str">
        <f t="shared" ca="1" si="166"/>
        <v/>
      </c>
      <c r="Q1341" s="2"/>
      <c r="R1341" s="2"/>
      <c r="S1341" s="1" t="str">
        <f t="shared" si="167"/>
        <v/>
      </c>
      <c r="T1341" s="1" t="str">
        <f>IF(OR($C1341="",$D1341&lt;&gt;"Gelir",$L1341=""),"",IFERROR(INDEX(MUSTERILER!$B$7:$B$156,MATCH($S1341,MUSTERILER!$T$7:$T$156,0)),""))</f>
        <v/>
      </c>
      <c r="U1341" s="1" t="str">
        <f>IF($T1341="","",$T1341&amp;"|"&amp;COUNTIFS($T$7:$T1341,$T1341))</f>
        <v/>
      </c>
      <c r="V1341" s="1">
        <f t="shared" si="168"/>
        <v>0</v>
      </c>
      <c r="W1341" s="1" t="str">
        <f t="shared" si="169"/>
        <v/>
      </c>
      <c r="X1341" s="1"/>
      <c r="Y1341" s="1"/>
      <c r="Z1341" s="1"/>
      <c r="AA1341" s="1"/>
      <c r="AB1341" s="1"/>
      <c r="AC1341" s="1"/>
      <c r="AD1341" s="1">
        <f>IF($C1341="",0,SUMPRODUCT((AY_SONU!$O$7:$O$42="Evet")*(AY_SONU!$B$7:$B$42=DATE(YEAR($C1341),MONTH($C1341),1))))</f>
        <v>0</v>
      </c>
      <c r="AE1341" s="1" t="str">
        <f>IF($E1341="","",$E1341&amp;"|"&amp;COUNTIFS($E$7:$E1341,$E1341))</f>
        <v/>
      </c>
    </row>
    <row r="1342" spans="1:31" ht="18" customHeight="1" x14ac:dyDescent="0.3">
      <c r="A1342" s="2"/>
      <c r="B1342" s="65" t="str">
        <f t="shared" si="162"/>
        <v/>
      </c>
      <c r="C1342" s="66"/>
      <c r="D1342" s="60"/>
      <c r="E1342" s="61"/>
      <c r="F1342" s="61"/>
      <c r="G1342" s="67"/>
      <c r="H1342" s="60"/>
      <c r="I1342" s="60"/>
      <c r="J1342" s="61"/>
      <c r="K1342" s="61"/>
      <c r="L1342" s="60"/>
      <c r="M1342" s="74" t="str">
        <f t="shared" si="163"/>
        <v/>
      </c>
      <c r="N1342" s="74" t="str">
        <f t="shared" si="164"/>
        <v/>
      </c>
      <c r="O1342" s="73" t="str">
        <f t="shared" si="165"/>
        <v/>
      </c>
      <c r="P1342" s="65" t="str">
        <f t="shared" ca="1" si="166"/>
        <v/>
      </c>
      <c r="Q1342" s="2"/>
      <c r="R1342" s="2"/>
      <c r="S1342" s="1" t="str">
        <f t="shared" si="167"/>
        <v/>
      </c>
      <c r="T1342" s="1" t="str">
        <f>IF(OR($C1342="",$D1342&lt;&gt;"Gelir",$L1342=""),"",IFERROR(INDEX(MUSTERILER!$B$7:$B$156,MATCH($S1342,MUSTERILER!$T$7:$T$156,0)),""))</f>
        <v/>
      </c>
      <c r="U1342" s="1" t="str">
        <f>IF($T1342="","",$T1342&amp;"|"&amp;COUNTIFS($T$7:$T1342,$T1342))</f>
        <v/>
      </c>
      <c r="V1342" s="1">
        <f t="shared" si="168"/>
        <v>0</v>
      </c>
      <c r="W1342" s="1" t="str">
        <f t="shared" si="169"/>
        <v/>
      </c>
      <c r="X1342" s="1"/>
      <c r="Y1342" s="1"/>
      <c r="Z1342" s="1"/>
      <c r="AA1342" s="1"/>
      <c r="AB1342" s="1"/>
      <c r="AC1342" s="1"/>
      <c r="AD1342" s="1">
        <f>IF($C1342="",0,SUMPRODUCT((AY_SONU!$O$7:$O$42="Evet")*(AY_SONU!$B$7:$B$42=DATE(YEAR($C1342),MONTH($C1342),1))))</f>
        <v>0</v>
      </c>
      <c r="AE1342" s="1" t="str">
        <f>IF($E1342="","",$E1342&amp;"|"&amp;COUNTIFS($E$7:$E1342,$E1342))</f>
        <v/>
      </c>
    </row>
    <row r="1343" spans="1:31" ht="18" customHeight="1" x14ac:dyDescent="0.3">
      <c r="A1343" s="2"/>
      <c r="B1343" s="65" t="str">
        <f t="shared" si="162"/>
        <v/>
      </c>
      <c r="C1343" s="66"/>
      <c r="D1343" s="60"/>
      <c r="E1343" s="61"/>
      <c r="F1343" s="61"/>
      <c r="G1343" s="67"/>
      <c r="H1343" s="60"/>
      <c r="I1343" s="60"/>
      <c r="J1343" s="61"/>
      <c r="K1343" s="61"/>
      <c r="L1343" s="60"/>
      <c r="M1343" s="74" t="str">
        <f t="shared" si="163"/>
        <v/>
      </c>
      <c r="N1343" s="74" t="str">
        <f t="shared" si="164"/>
        <v/>
      </c>
      <c r="O1343" s="73" t="str">
        <f t="shared" si="165"/>
        <v/>
      </c>
      <c r="P1343" s="65" t="str">
        <f t="shared" ca="1" si="166"/>
        <v/>
      </c>
      <c r="Q1343" s="2"/>
      <c r="R1343" s="2"/>
      <c r="S1343" s="1" t="str">
        <f t="shared" si="167"/>
        <v/>
      </c>
      <c r="T1343" s="1" t="str">
        <f>IF(OR($C1343="",$D1343&lt;&gt;"Gelir",$L1343=""),"",IFERROR(INDEX(MUSTERILER!$B$7:$B$156,MATCH($S1343,MUSTERILER!$T$7:$T$156,0)),""))</f>
        <v/>
      </c>
      <c r="U1343" s="1" t="str">
        <f>IF($T1343="","",$T1343&amp;"|"&amp;COUNTIFS($T$7:$T1343,$T1343))</f>
        <v/>
      </c>
      <c r="V1343" s="1">
        <f t="shared" si="168"/>
        <v>0</v>
      </c>
      <c r="W1343" s="1" t="str">
        <f t="shared" si="169"/>
        <v/>
      </c>
      <c r="X1343" s="1"/>
      <c r="Y1343" s="1"/>
      <c r="Z1343" s="1"/>
      <c r="AA1343" s="1"/>
      <c r="AB1343" s="1"/>
      <c r="AC1343" s="1"/>
      <c r="AD1343" s="1">
        <f>IF($C1343="",0,SUMPRODUCT((AY_SONU!$O$7:$O$42="Evet")*(AY_SONU!$B$7:$B$42=DATE(YEAR($C1343),MONTH($C1343),1))))</f>
        <v>0</v>
      </c>
      <c r="AE1343" s="1" t="str">
        <f>IF($E1343="","",$E1343&amp;"|"&amp;COUNTIFS($E$7:$E1343,$E1343))</f>
        <v/>
      </c>
    </row>
    <row r="1344" spans="1:31" ht="18" customHeight="1" x14ac:dyDescent="0.3">
      <c r="A1344" s="2"/>
      <c r="B1344" s="65" t="str">
        <f t="shared" si="162"/>
        <v/>
      </c>
      <c r="C1344" s="66"/>
      <c r="D1344" s="60"/>
      <c r="E1344" s="61"/>
      <c r="F1344" s="61"/>
      <c r="G1344" s="67"/>
      <c r="H1344" s="60"/>
      <c r="I1344" s="60"/>
      <c r="J1344" s="61"/>
      <c r="K1344" s="61"/>
      <c r="L1344" s="60"/>
      <c r="M1344" s="74" t="str">
        <f t="shared" si="163"/>
        <v/>
      </c>
      <c r="N1344" s="74" t="str">
        <f t="shared" si="164"/>
        <v/>
      </c>
      <c r="O1344" s="73" t="str">
        <f t="shared" si="165"/>
        <v/>
      </c>
      <c r="P1344" s="65" t="str">
        <f t="shared" ca="1" si="166"/>
        <v/>
      </c>
      <c r="Q1344" s="2"/>
      <c r="R1344" s="2"/>
      <c r="S1344" s="1" t="str">
        <f t="shared" si="167"/>
        <v/>
      </c>
      <c r="T1344" s="1" t="str">
        <f>IF(OR($C1344="",$D1344&lt;&gt;"Gelir",$L1344=""),"",IFERROR(INDEX(MUSTERILER!$B$7:$B$156,MATCH($S1344,MUSTERILER!$T$7:$T$156,0)),""))</f>
        <v/>
      </c>
      <c r="U1344" s="1" t="str">
        <f>IF($T1344="","",$T1344&amp;"|"&amp;COUNTIFS($T$7:$T1344,$T1344))</f>
        <v/>
      </c>
      <c r="V1344" s="1">
        <f t="shared" si="168"/>
        <v>0</v>
      </c>
      <c r="W1344" s="1" t="str">
        <f t="shared" si="169"/>
        <v/>
      </c>
      <c r="X1344" s="1"/>
      <c r="Y1344" s="1"/>
      <c r="Z1344" s="1"/>
      <c r="AA1344" s="1"/>
      <c r="AB1344" s="1"/>
      <c r="AC1344" s="1"/>
      <c r="AD1344" s="1">
        <f>IF($C1344="",0,SUMPRODUCT((AY_SONU!$O$7:$O$42="Evet")*(AY_SONU!$B$7:$B$42=DATE(YEAR($C1344),MONTH($C1344),1))))</f>
        <v>0</v>
      </c>
      <c r="AE1344" s="1" t="str">
        <f>IF($E1344="","",$E1344&amp;"|"&amp;COUNTIFS($E$7:$E1344,$E1344))</f>
        <v/>
      </c>
    </row>
    <row r="1345" spans="1:31" ht="18" customHeight="1" x14ac:dyDescent="0.3">
      <c r="A1345" s="2"/>
      <c r="B1345" s="65" t="str">
        <f t="shared" si="162"/>
        <v/>
      </c>
      <c r="C1345" s="66"/>
      <c r="D1345" s="60"/>
      <c r="E1345" s="61"/>
      <c r="F1345" s="61"/>
      <c r="G1345" s="67"/>
      <c r="H1345" s="60"/>
      <c r="I1345" s="60"/>
      <c r="J1345" s="61"/>
      <c r="K1345" s="61"/>
      <c r="L1345" s="60"/>
      <c r="M1345" s="74" t="str">
        <f t="shared" si="163"/>
        <v/>
      </c>
      <c r="N1345" s="74" t="str">
        <f t="shared" si="164"/>
        <v/>
      </c>
      <c r="O1345" s="73" t="str">
        <f t="shared" si="165"/>
        <v/>
      </c>
      <c r="P1345" s="65" t="str">
        <f t="shared" ca="1" si="166"/>
        <v/>
      </c>
      <c r="Q1345" s="2"/>
      <c r="R1345" s="2"/>
      <c r="S1345" s="1" t="str">
        <f t="shared" si="167"/>
        <v/>
      </c>
      <c r="T1345" s="1" t="str">
        <f>IF(OR($C1345="",$D1345&lt;&gt;"Gelir",$L1345=""),"",IFERROR(INDEX(MUSTERILER!$B$7:$B$156,MATCH($S1345,MUSTERILER!$T$7:$T$156,0)),""))</f>
        <v/>
      </c>
      <c r="U1345" s="1" t="str">
        <f>IF($T1345="","",$T1345&amp;"|"&amp;COUNTIFS($T$7:$T1345,$T1345))</f>
        <v/>
      </c>
      <c r="V1345" s="1">
        <f t="shared" si="168"/>
        <v>0</v>
      </c>
      <c r="W1345" s="1" t="str">
        <f t="shared" si="169"/>
        <v/>
      </c>
      <c r="X1345" s="1"/>
      <c r="Y1345" s="1"/>
      <c r="Z1345" s="1"/>
      <c r="AA1345" s="1"/>
      <c r="AB1345" s="1"/>
      <c r="AC1345" s="1"/>
      <c r="AD1345" s="1">
        <f>IF($C1345="",0,SUMPRODUCT((AY_SONU!$O$7:$O$42="Evet")*(AY_SONU!$B$7:$B$42=DATE(YEAR($C1345),MONTH($C1345),1))))</f>
        <v>0</v>
      </c>
      <c r="AE1345" s="1" t="str">
        <f>IF($E1345="","",$E1345&amp;"|"&amp;COUNTIFS($E$7:$E1345,$E1345))</f>
        <v/>
      </c>
    </row>
    <row r="1346" spans="1:31" ht="18" customHeight="1" x14ac:dyDescent="0.3">
      <c r="A1346" s="2"/>
      <c r="B1346" s="65" t="str">
        <f t="shared" si="162"/>
        <v/>
      </c>
      <c r="C1346" s="66"/>
      <c r="D1346" s="60"/>
      <c r="E1346" s="61"/>
      <c r="F1346" s="61"/>
      <c r="G1346" s="67"/>
      <c r="H1346" s="60"/>
      <c r="I1346" s="60"/>
      <c r="J1346" s="61"/>
      <c r="K1346" s="61"/>
      <c r="L1346" s="60"/>
      <c r="M1346" s="74" t="str">
        <f t="shared" si="163"/>
        <v/>
      </c>
      <c r="N1346" s="74" t="str">
        <f t="shared" si="164"/>
        <v/>
      </c>
      <c r="O1346" s="73" t="str">
        <f t="shared" si="165"/>
        <v/>
      </c>
      <c r="P1346" s="65" t="str">
        <f t="shared" ca="1" si="166"/>
        <v/>
      </c>
      <c r="Q1346" s="2"/>
      <c r="R1346" s="2"/>
      <c r="S1346" s="1" t="str">
        <f t="shared" si="167"/>
        <v/>
      </c>
      <c r="T1346" s="1" t="str">
        <f>IF(OR($C1346="",$D1346&lt;&gt;"Gelir",$L1346=""),"",IFERROR(INDEX(MUSTERILER!$B$7:$B$156,MATCH($S1346,MUSTERILER!$T$7:$T$156,0)),""))</f>
        <v/>
      </c>
      <c r="U1346" s="1" t="str">
        <f>IF($T1346="","",$T1346&amp;"|"&amp;COUNTIFS($T$7:$T1346,$T1346))</f>
        <v/>
      </c>
      <c r="V1346" s="1">
        <f t="shared" si="168"/>
        <v>0</v>
      </c>
      <c r="W1346" s="1" t="str">
        <f t="shared" si="169"/>
        <v/>
      </c>
      <c r="X1346" s="1"/>
      <c r="Y1346" s="1"/>
      <c r="Z1346" s="1"/>
      <c r="AA1346" s="1"/>
      <c r="AB1346" s="1"/>
      <c r="AC1346" s="1"/>
      <c r="AD1346" s="1">
        <f>IF($C1346="",0,SUMPRODUCT((AY_SONU!$O$7:$O$42="Evet")*(AY_SONU!$B$7:$B$42=DATE(YEAR($C1346),MONTH($C1346),1))))</f>
        <v>0</v>
      </c>
      <c r="AE1346" s="1" t="str">
        <f>IF($E1346="","",$E1346&amp;"|"&amp;COUNTIFS($E$7:$E1346,$E1346))</f>
        <v/>
      </c>
    </row>
    <row r="1347" spans="1:31" ht="18" customHeight="1" x14ac:dyDescent="0.3">
      <c r="A1347" s="2"/>
      <c r="B1347" s="65" t="str">
        <f t="shared" si="162"/>
        <v/>
      </c>
      <c r="C1347" s="66"/>
      <c r="D1347" s="60"/>
      <c r="E1347" s="61"/>
      <c r="F1347" s="61"/>
      <c r="G1347" s="67"/>
      <c r="H1347" s="60"/>
      <c r="I1347" s="60"/>
      <c r="J1347" s="61"/>
      <c r="K1347" s="61"/>
      <c r="L1347" s="60"/>
      <c r="M1347" s="74" t="str">
        <f t="shared" si="163"/>
        <v/>
      </c>
      <c r="N1347" s="74" t="str">
        <f t="shared" si="164"/>
        <v/>
      </c>
      <c r="O1347" s="73" t="str">
        <f t="shared" si="165"/>
        <v/>
      </c>
      <c r="P1347" s="65" t="str">
        <f t="shared" ca="1" si="166"/>
        <v/>
      </c>
      <c r="Q1347" s="2"/>
      <c r="R1347" s="2"/>
      <c r="S1347" s="1" t="str">
        <f t="shared" si="167"/>
        <v/>
      </c>
      <c r="T1347" s="1" t="str">
        <f>IF(OR($C1347="",$D1347&lt;&gt;"Gelir",$L1347=""),"",IFERROR(INDEX(MUSTERILER!$B$7:$B$156,MATCH($S1347,MUSTERILER!$T$7:$T$156,0)),""))</f>
        <v/>
      </c>
      <c r="U1347" s="1" t="str">
        <f>IF($T1347="","",$T1347&amp;"|"&amp;COUNTIFS($T$7:$T1347,$T1347))</f>
        <v/>
      </c>
      <c r="V1347" s="1">
        <f t="shared" si="168"/>
        <v>0</v>
      </c>
      <c r="W1347" s="1" t="str">
        <f t="shared" si="169"/>
        <v/>
      </c>
      <c r="X1347" s="1"/>
      <c r="Y1347" s="1"/>
      <c r="Z1347" s="1"/>
      <c r="AA1347" s="1"/>
      <c r="AB1347" s="1"/>
      <c r="AC1347" s="1"/>
      <c r="AD1347" s="1">
        <f>IF($C1347="",0,SUMPRODUCT((AY_SONU!$O$7:$O$42="Evet")*(AY_SONU!$B$7:$B$42=DATE(YEAR($C1347),MONTH($C1347),1))))</f>
        <v>0</v>
      </c>
      <c r="AE1347" s="1" t="str">
        <f>IF($E1347="","",$E1347&amp;"|"&amp;COUNTIFS($E$7:$E1347,$E1347))</f>
        <v/>
      </c>
    </row>
    <row r="1348" spans="1:31" ht="18" customHeight="1" x14ac:dyDescent="0.3">
      <c r="A1348" s="2"/>
      <c r="B1348" s="65" t="str">
        <f t="shared" si="162"/>
        <v/>
      </c>
      <c r="C1348" s="66"/>
      <c r="D1348" s="60"/>
      <c r="E1348" s="61"/>
      <c r="F1348" s="61"/>
      <c r="G1348" s="67"/>
      <c r="H1348" s="60"/>
      <c r="I1348" s="60"/>
      <c r="J1348" s="61"/>
      <c r="K1348" s="61"/>
      <c r="L1348" s="60"/>
      <c r="M1348" s="74" t="str">
        <f t="shared" si="163"/>
        <v/>
      </c>
      <c r="N1348" s="74" t="str">
        <f t="shared" si="164"/>
        <v/>
      </c>
      <c r="O1348" s="73" t="str">
        <f t="shared" si="165"/>
        <v/>
      </c>
      <c r="P1348" s="65" t="str">
        <f t="shared" ca="1" si="166"/>
        <v/>
      </c>
      <c r="Q1348" s="2"/>
      <c r="R1348" s="2"/>
      <c r="S1348" s="1" t="str">
        <f t="shared" si="167"/>
        <v/>
      </c>
      <c r="T1348" s="1" t="str">
        <f>IF(OR($C1348="",$D1348&lt;&gt;"Gelir",$L1348=""),"",IFERROR(INDEX(MUSTERILER!$B$7:$B$156,MATCH($S1348,MUSTERILER!$T$7:$T$156,0)),""))</f>
        <v/>
      </c>
      <c r="U1348" s="1" t="str">
        <f>IF($T1348="","",$T1348&amp;"|"&amp;COUNTIFS($T$7:$T1348,$T1348))</f>
        <v/>
      </c>
      <c r="V1348" s="1">
        <f t="shared" si="168"/>
        <v>0</v>
      </c>
      <c r="W1348" s="1" t="str">
        <f t="shared" si="169"/>
        <v/>
      </c>
      <c r="X1348" s="1"/>
      <c r="Y1348" s="1"/>
      <c r="Z1348" s="1"/>
      <c r="AA1348" s="1"/>
      <c r="AB1348" s="1"/>
      <c r="AC1348" s="1"/>
      <c r="AD1348" s="1">
        <f>IF($C1348="",0,SUMPRODUCT((AY_SONU!$O$7:$O$42="Evet")*(AY_SONU!$B$7:$B$42=DATE(YEAR($C1348),MONTH($C1348),1))))</f>
        <v>0</v>
      </c>
      <c r="AE1348" s="1" t="str">
        <f>IF($E1348="","",$E1348&amp;"|"&amp;COUNTIFS($E$7:$E1348,$E1348))</f>
        <v/>
      </c>
    </row>
    <row r="1349" spans="1:31" ht="18" customHeight="1" x14ac:dyDescent="0.3">
      <c r="A1349" s="2"/>
      <c r="B1349" s="65" t="str">
        <f t="shared" si="162"/>
        <v/>
      </c>
      <c r="C1349" s="66"/>
      <c r="D1349" s="60"/>
      <c r="E1349" s="61"/>
      <c r="F1349" s="61"/>
      <c r="G1349" s="67"/>
      <c r="H1349" s="60"/>
      <c r="I1349" s="60"/>
      <c r="J1349" s="61"/>
      <c r="K1349" s="61"/>
      <c r="L1349" s="60"/>
      <c r="M1349" s="74" t="str">
        <f t="shared" si="163"/>
        <v/>
      </c>
      <c r="N1349" s="74" t="str">
        <f t="shared" si="164"/>
        <v/>
      </c>
      <c r="O1349" s="73" t="str">
        <f t="shared" si="165"/>
        <v/>
      </c>
      <c r="P1349" s="65" t="str">
        <f t="shared" ca="1" si="166"/>
        <v/>
      </c>
      <c r="Q1349" s="2"/>
      <c r="R1349" s="2"/>
      <c r="S1349" s="1" t="str">
        <f t="shared" si="167"/>
        <v/>
      </c>
      <c r="T1349" s="1" t="str">
        <f>IF(OR($C1349="",$D1349&lt;&gt;"Gelir",$L1349=""),"",IFERROR(INDEX(MUSTERILER!$B$7:$B$156,MATCH($S1349,MUSTERILER!$T$7:$T$156,0)),""))</f>
        <v/>
      </c>
      <c r="U1349" s="1" t="str">
        <f>IF($T1349="","",$T1349&amp;"|"&amp;COUNTIFS($T$7:$T1349,$T1349))</f>
        <v/>
      </c>
      <c r="V1349" s="1">
        <f t="shared" si="168"/>
        <v>0</v>
      </c>
      <c r="W1349" s="1" t="str">
        <f t="shared" si="169"/>
        <v/>
      </c>
      <c r="X1349" s="1"/>
      <c r="Y1349" s="1"/>
      <c r="Z1349" s="1"/>
      <c r="AA1349" s="1"/>
      <c r="AB1349" s="1"/>
      <c r="AC1349" s="1"/>
      <c r="AD1349" s="1">
        <f>IF($C1349="",0,SUMPRODUCT((AY_SONU!$O$7:$O$42="Evet")*(AY_SONU!$B$7:$B$42=DATE(YEAR($C1349),MONTH($C1349),1))))</f>
        <v>0</v>
      </c>
      <c r="AE1349" s="1" t="str">
        <f>IF($E1349="","",$E1349&amp;"|"&amp;COUNTIFS($E$7:$E1349,$E1349))</f>
        <v/>
      </c>
    </row>
    <row r="1350" spans="1:31" ht="18" customHeight="1" x14ac:dyDescent="0.3">
      <c r="A1350" s="2"/>
      <c r="B1350" s="65" t="str">
        <f t="shared" si="162"/>
        <v/>
      </c>
      <c r="C1350" s="66"/>
      <c r="D1350" s="60"/>
      <c r="E1350" s="61"/>
      <c r="F1350" s="61"/>
      <c r="G1350" s="67"/>
      <c r="H1350" s="60"/>
      <c r="I1350" s="60"/>
      <c r="J1350" s="61"/>
      <c r="K1350" s="61"/>
      <c r="L1350" s="60"/>
      <c r="M1350" s="74" t="str">
        <f t="shared" si="163"/>
        <v/>
      </c>
      <c r="N1350" s="74" t="str">
        <f t="shared" si="164"/>
        <v/>
      </c>
      <c r="O1350" s="73" t="str">
        <f t="shared" si="165"/>
        <v/>
      </c>
      <c r="P1350" s="65" t="str">
        <f t="shared" ca="1" si="166"/>
        <v/>
      </c>
      <c r="Q1350" s="2"/>
      <c r="R1350" s="2"/>
      <c r="S1350" s="1" t="str">
        <f t="shared" si="167"/>
        <v/>
      </c>
      <c r="T1350" s="1" t="str">
        <f>IF(OR($C1350="",$D1350&lt;&gt;"Gelir",$L1350=""),"",IFERROR(INDEX(MUSTERILER!$B$7:$B$156,MATCH($S1350,MUSTERILER!$T$7:$T$156,0)),""))</f>
        <v/>
      </c>
      <c r="U1350" s="1" t="str">
        <f>IF($T1350="","",$T1350&amp;"|"&amp;COUNTIFS($T$7:$T1350,$T1350))</f>
        <v/>
      </c>
      <c r="V1350" s="1">
        <f t="shared" si="168"/>
        <v>0</v>
      </c>
      <c r="W1350" s="1" t="str">
        <f t="shared" si="169"/>
        <v/>
      </c>
      <c r="X1350" s="1"/>
      <c r="Y1350" s="1"/>
      <c r="Z1350" s="1"/>
      <c r="AA1350" s="1"/>
      <c r="AB1350" s="1"/>
      <c r="AC1350" s="1"/>
      <c r="AD1350" s="1">
        <f>IF($C1350="",0,SUMPRODUCT((AY_SONU!$O$7:$O$42="Evet")*(AY_SONU!$B$7:$B$42=DATE(YEAR($C1350),MONTH($C1350),1))))</f>
        <v>0</v>
      </c>
      <c r="AE1350" s="1" t="str">
        <f>IF($E1350="","",$E1350&amp;"|"&amp;COUNTIFS($E$7:$E1350,$E1350))</f>
        <v/>
      </c>
    </row>
    <row r="1351" spans="1:31" ht="18" customHeight="1" x14ac:dyDescent="0.3">
      <c r="A1351" s="2"/>
      <c r="B1351" s="65" t="str">
        <f t="shared" ref="B1351:B1414" si="170">IF($C1351="","","GG"&amp;TEXT(ROW()-6,"00000"))</f>
        <v/>
      </c>
      <c r="C1351" s="66"/>
      <c r="D1351" s="60"/>
      <c r="E1351" s="61"/>
      <c r="F1351" s="61"/>
      <c r="G1351" s="67"/>
      <c r="H1351" s="60"/>
      <c r="I1351" s="60"/>
      <c r="J1351" s="61"/>
      <c r="K1351" s="61"/>
      <c r="L1351" s="60"/>
      <c r="M1351" s="74" t="str">
        <f t="shared" ref="M1351:M1414" si="171">IF($C1351="","",IF($D1351="Gider",$E1351,IF($L1351&lt;&gt;"",$L1351,$H1351)))</f>
        <v/>
      </c>
      <c r="N1351" s="74" t="str">
        <f t="shared" ref="N1351:N1414" si="172">IF($C1351="","",IF($D1351="Gider",$H1351,$E1351))</f>
        <v/>
      </c>
      <c r="O1351" s="73" t="str">
        <f t="shared" ref="O1351:O1414" si="173">IF($C1351="","",DATE(YEAR($C1351),MONTH($C1351),1))</f>
        <v/>
      </c>
      <c r="P1351" s="65" t="str">
        <f t="shared" ref="P1351:P1414" ca="1" si="174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TARİH",IF(COUNTIF($W$7:$W$3006,$W1351)&gt;1,"MÜKERRER?",IF($AD1351&gt;0,"KAPALI DÖNEM",IF($I1351="Hayır","ÖDENECEK","UYGUN")))),"EKSİK"))))</f>
        <v/>
      </c>
      <c r="Q1351" s="2"/>
      <c r="R1351" s="2"/>
      <c r="S1351" s="1" t="str">
        <f t="shared" ref="S1351:S1414" si="175"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1" t="str">
        <f>IF(OR($C1351="",$D1351&lt;&gt;"Gelir",$L1351=""),"",IFERROR(INDEX(MUSTERILER!$B$7:$B$156,MATCH($S1351,MUSTERILER!$T$7:$T$156,0)),""))</f>
        <v/>
      </c>
      <c r="U1351" s="1" t="str">
        <f>IF($T1351="","",$T1351&amp;"|"&amp;COUNTIFS($T$7:$T1351,$T1351))</f>
        <v/>
      </c>
      <c r="V1351" s="1">
        <f t="shared" ref="V1351:V1414" si="176">IF($T1351="",0,1)</f>
        <v>0</v>
      </c>
      <c r="W1351" s="1" t="str">
        <f t="shared" ref="W1351:W1414" si="177">IF($C1351="","",$D1351&amp;"|"&amp;$E1351&amp;"|"&amp;TEXT($C1351,"0")&amp;"|"&amp;TEXT($G1351,"0")&amp;"|"&amp;$J1351)</f>
        <v/>
      </c>
      <c r="X1351" s="1"/>
      <c r="Y1351" s="1"/>
      <c r="Z1351" s="1"/>
      <c r="AA1351" s="1"/>
      <c r="AB1351" s="1"/>
      <c r="AC1351" s="1"/>
      <c r="AD1351" s="1">
        <f>IF($C1351="",0,SUMPRODUCT((AY_SONU!$O$7:$O$42="Evet")*(AY_SONU!$B$7:$B$42=DATE(YEAR($C1351),MONTH($C1351),1))))</f>
        <v>0</v>
      </c>
      <c r="AE1351" s="1" t="str">
        <f>IF($E1351="","",$E1351&amp;"|"&amp;COUNTIFS($E$7:$E1351,$E1351))</f>
        <v/>
      </c>
    </row>
    <row r="1352" spans="1:31" ht="18" customHeight="1" x14ac:dyDescent="0.3">
      <c r="A1352" s="2"/>
      <c r="B1352" s="65" t="str">
        <f t="shared" si="170"/>
        <v/>
      </c>
      <c r="C1352" s="66"/>
      <c r="D1352" s="60"/>
      <c r="E1352" s="61"/>
      <c r="F1352" s="61"/>
      <c r="G1352" s="67"/>
      <c r="H1352" s="60"/>
      <c r="I1352" s="60"/>
      <c r="J1352" s="61"/>
      <c r="K1352" s="61"/>
      <c r="L1352" s="60"/>
      <c r="M1352" s="74" t="str">
        <f t="shared" si="171"/>
        <v/>
      </c>
      <c r="N1352" s="74" t="str">
        <f t="shared" si="172"/>
        <v/>
      </c>
      <c r="O1352" s="73" t="str">
        <f t="shared" si="173"/>
        <v/>
      </c>
      <c r="P1352" s="65" t="str">
        <f t="shared" ca="1" si="174"/>
        <v/>
      </c>
      <c r="Q1352" s="2"/>
      <c r="R1352" s="2"/>
      <c r="S1352" s="1" t="str">
        <f t="shared" si="175"/>
        <v/>
      </c>
      <c r="T1352" s="1" t="str">
        <f>IF(OR($C1352="",$D1352&lt;&gt;"Gelir",$L1352=""),"",IFERROR(INDEX(MUSTERILER!$B$7:$B$156,MATCH($S1352,MUSTERILER!$T$7:$T$156,0)),""))</f>
        <v/>
      </c>
      <c r="U1352" s="1" t="str">
        <f>IF($T1352="","",$T1352&amp;"|"&amp;COUNTIFS($T$7:$T1352,$T1352))</f>
        <v/>
      </c>
      <c r="V1352" s="1">
        <f t="shared" si="176"/>
        <v>0</v>
      </c>
      <c r="W1352" s="1" t="str">
        <f t="shared" si="177"/>
        <v/>
      </c>
      <c r="X1352" s="1"/>
      <c r="Y1352" s="1"/>
      <c r="Z1352" s="1"/>
      <c r="AA1352" s="1"/>
      <c r="AB1352" s="1"/>
      <c r="AC1352" s="1"/>
      <c r="AD1352" s="1">
        <f>IF($C1352="",0,SUMPRODUCT((AY_SONU!$O$7:$O$42="Evet")*(AY_SONU!$B$7:$B$42=DATE(YEAR($C1352),MONTH($C1352),1))))</f>
        <v>0</v>
      </c>
      <c r="AE1352" s="1" t="str">
        <f>IF($E1352="","",$E1352&amp;"|"&amp;COUNTIFS($E$7:$E1352,$E1352))</f>
        <v/>
      </c>
    </row>
    <row r="1353" spans="1:31" ht="18" customHeight="1" x14ac:dyDescent="0.3">
      <c r="A1353" s="2"/>
      <c r="B1353" s="65" t="str">
        <f t="shared" si="170"/>
        <v/>
      </c>
      <c r="C1353" s="66"/>
      <c r="D1353" s="60"/>
      <c r="E1353" s="61"/>
      <c r="F1353" s="61"/>
      <c r="G1353" s="67"/>
      <c r="H1353" s="60"/>
      <c r="I1353" s="60"/>
      <c r="J1353" s="61"/>
      <c r="K1353" s="61"/>
      <c r="L1353" s="60"/>
      <c r="M1353" s="74" t="str">
        <f t="shared" si="171"/>
        <v/>
      </c>
      <c r="N1353" s="74" t="str">
        <f t="shared" si="172"/>
        <v/>
      </c>
      <c r="O1353" s="73" t="str">
        <f t="shared" si="173"/>
        <v/>
      </c>
      <c r="P1353" s="65" t="str">
        <f t="shared" ca="1" si="174"/>
        <v/>
      </c>
      <c r="Q1353" s="2"/>
      <c r="R1353" s="2"/>
      <c r="S1353" s="1" t="str">
        <f t="shared" si="175"/>
        <v/>
      </c>
      <c r="T1353" s="1" t="str">
        <f>IF(OR($C1353="",$D1353&lt;&gt;"Gelir",$L1353=""),"",IFERROR(INDEX(MUSTERILER!$B$7:$B$156,MATCH($S1353,MUSTERILER!$T$7:$T$156,0)),""))</f>
        <v/>
      </c>
      <c r="U1353" s="1" t="str">
        <f>IF($T1353="","",$T1353&amp;"|"&amp;COUNTIFS($T$7:$T1353,$T1353))</f>
        <v/>
      </c>
      <c r="V1353" s="1">
        <f t="shared" si="176"/>
        <v>0</v>
      </c>
      <c r="W1353" s="1" t="str">
        <f t="shared" si="177"/>
        <v/>
      </c>
      <c r="X1353" s="1"/>
      <c r="Y1353" s="1"/>
      <c r="Z1353" s="1"/>
      <c r="AA1353" s="1"/>
      <c r="AB1353" s="1"/>
      <c r="AC1353" s="1"/>
      <c r="AD1353" s="1">
        <f>IF($C1353="",0,SUMPRODUCT((AY_SONU!$O$7:$O$42="Evet")*(AY_SONU!$B$7:$B$42=DATE(YEAR($C1353),MONTH($C1353),1))))</f>
        <v>0</v>
      </c>
      <c r="AE1353" s="1" t="str">
        <f>IF($E1353="","",$E1353&amp;"|"&amp;COUNTIFS($E$7:$E1353,$E1353))</f>
        <v/>
      </c>
    </row>
    <row r="1354" spans="1:31" ht="18" customHeight="1" x14ac:dyDescent="0.3">
      <c r="A1354" s="2"/>
      <c r="B1354" s="65" t="str">
        <f t="shared" si="170"/>
        <v/>
      </c>
      <c r="C1354" s="66"/>
      <c r="D1354" s="60"/>
      <c r="E1354" s="61"/>
      <c r="F1354" s="61"/>
      <c r="G1354" s="67"/>
      <c r="H1354" s="60"/>
      <c r="I1354" s="60"/>
      <c r="J1354" s="61"/>
      <c r="K1354" s="61"/>
      <c r="L1354" s="60"/>
      <c r="M1354" s="74" t="str">
        <f t="shared" si="171"/>
        <v/>
      </c>
      <c r="N1354" s="74" t="str">
        <f t="shared" si="172"/>
        <v/>
      </c>
      <c r="O1354" s="73" t="str">
        <f t="shared" si="173"/>
        <v/>
      </c>
      <c r="P1354" s="65" t="str">
        <f t="shared" ca="1" si="174"/>
        <v/>
      </c>
      <c r="Q1354" s="2"/>
      <c r="R1354" s="2"/>
      <c r="S1354" s="1" t="str">
        <f t="shared" si="175"/>
        <v/>
      </c>
      <c r="T1354" s="1" t="str">
        <f>IF(OR($C1354="",$D1354&lt;&gt;"Gelir",$L1354=""),"",IFERROR(INDEX(MUSTERILER!$B$7:$B$156,MATCH($S1354,MUSTERILER!$T$7:$T$156,0)),""))</f>
        <v/>
      </c>
      <c r="U1354" s="1" t="str">
        <f>IF($T1354="","",$T1354&amp;"|"&amp;COUNTIFS($T$7:$T1354,$T1354))</f>
        <v/>
      </c>
      <c r="V1354" s="1">
        <f t="shared" si="176"/>
        <v>0</v>
      </c>
      <c r="W1354" s="1" t="str">
        <f t="shared" si="177"/>
        <v/>
      </c>
      <c r="X1354" s="1"/>
      <c r="Y1354" s="1"/>
      <c r="Z1354" s="1"/>
      <c r="AA1354" s="1"/>
      <c r="AB1354" s="1"/>
      <c r="AC1354" s="1"/>
      <c r="AD1354" s="1">
        <f>IF($C1354="",0,SUMPRODUCT((AY_SONU!$O$7:$O$42="Evet")*(AY_SONU!$B$7:$B$42=DATE(YEAR($C1354),MONTH($C1354),1))))</f>
        <v>0</v>
      </c>
      <c r="AE1354" s="1" t="str">
        <f>IF($E1354="","",$E1354&amp;"|"&amp;COUNTIFS($E$7:$E1354,$E1354))</f>
        <v/>
      </c>
    </row>
    <row r="1355" spans="1:31" ht="18" customHeight="1" x14ac:dyDescent="0.3">
      <c r="A1355" s="2"/>
      <c r="B1355" s="65" t="str">
        <f t="shared" si="170"/>
        <v/>
      </c>
      <c r="C1355" s="66"/>
      <c r="D1355" s="60"/>
      <c r="E1355" s="61"/>
      <c r="F1355" s="61"/>
      <c r="G1355" s="67"/>
      <c r="H1355" s="60"/>
      <c r="I1355" s="60"/>
      <c r="J1355" s="61"/>
      <c r="K1355" s="61"/>
      <c r="L1355" s="60"/>
      <c r="M1355" s="74" t="str">
        <f t="shared" si="171"/>
        <v/>
      </c>
      <c r="N1355" s="74" t="str">
        <f t="shared" si="172"/>
        <v/>
      </c>
      <c r="O1355" s="73" t="str">
        <f t="shared" si="173"/>
        <v/>
      </c>
      <c r="P1355" s="65" t="str">
        <f t="shared" ca="1" si="174"/>
        <v/>
      </c>
      <c r="Q1355" s="2"/>
      <c r="R1355" s="2"/>
      <c r="S1355" s="1" t="str">
        <f t="shared" si="175"/>
        <v/>
      </c>
      <c r="T1355" s="1" t="str">
        <f>IF(OR($C1355="",$D1355&lt;&gt;"Gelir",$L1355=""),"",IFERROR(INDEX(MUSTERILER!$B$7:$B$156,MATCH($S1355,MUSTERILER!$T$7:$T$156,0)),""))</f>
        <v/>
      </c>
      <c r="U1355" s="1" t="str">
        <f>IF($T1355="","",$T1355&amp;"|"&amp;COUNTIFS($T$7:$T1355,$T1355))</f>
        <v/>
      </c>
      <c r="V1355" s="1">
        <f t="shared" si="176"/>
        <v>0</v>
      </c>
      <c r="W1355" s="1" t="str">
        <f t="shared" si="177"/>
        <v/>
      </c>
      <c r="X1355" s="1"/>
      <c r="Y1355" s="1"/>
      <c r="Z1355" s="1"/>
      <c r="AA1355" s="1"/>
      <c r="AB1355" s="1"/>
      <c r="AC1355" s="1"/>
      <c r="AD1355" s="1">
        <f>IF($C1355="",0,SUMPRODUCT((AY_SONU!$O$7:$O$42="Evet")*(AY_SONU!$B$7:$B$42=DATE(YEAR($C1355),MONTH($C1355),1))))</f>
        <v>0</v>
      </c>
      <c r="AE1355" s="1" t="str">
        <f>IF($E1355="","",$E1355&amp;"|"&amp;COUNTIFS($E$7:$E1355,$E1355))</f>
        <v/>
      </c>
    </row>
    <row r="1356" spans="1:31" ht="18" customHeight="1" x14ac:dyDescent="0.3">
      <c r="A1356" s="2"/>
      <c r="B1356" s="65" t="str">
        <f t="shared" si="170"/>
        <v/>
      </c>
      <c r="C1356" s="66"/>
      <c r="D1356" s="60"/>
      <c r="E1356" s="61"/>
      <c r="F1356" s="61"/>
      <c r="G1356" s="67"/>
      <c r="H1356" s="60"/>
      <c r="I1356" s="60"/>
      <c r="J1356" s="61"/>
      <c r="K1356" s="61"/>
      <c r="L1356" s="60"/>
      <c r="M1356" s="74" t="str">
        <f t="shared" si="171"/>
        <v/>
      </c>
      <c r="N1356" s="74" t="str">
        <f t="shared" si="172"/>
        <v/>
      </c>
      <c r="O1356" s="73" t="str">
        <f t="shared" si="173"/>
        <v/>
      </c>
      <c r="P1356" s="65" t="str">
        <f t="shared" ca="1" si="174"/>
        <v/>
      </c>
      <c r="Q1356" s="2"/>
      <c r="R1356" s="2"/>
      <c r="S1356" s="1" t="str">
        <f t="shared" si="175"/>
        <v/>
      </c>
      <c r="T1356" s="1" t="str">
        <f>IF(OR($C1356="",$D1356&lt;&gt;"Gelir",$L1356=""),"",IFERROR(INDEX(MUSTERILER!$B$7:$B$156,MATCH($S1356,MUSTERILER!$T$7:$T$156,0)),""))</f>
        <v/>
      </c>
      <c r="U1356" s="1" t="str">
        <f>IF($T1356="","",$T1356&amp;"|"&amp;COUNTIFS($T$7:$T1356,$T1356))</f>
        <v/>
      </c>
      <c r="V1356" s="1">
        <f t="shared" si="176"/>
        <v>0</v>
      </c>
      <c r="W1356" s="1" t="str">
        <f t="shared" si="177"/>
        <v/>
      </c>
      <c r="X1356" s="1"/>
      <c r="Y1356" s="1"/>
      <c r="Z1356" s="1"/>
      <c r="AA1356" s="1"/>
      <c r="AB1356" s="1"/>
      <c r="AC1356" s="1"/>
      <c r="AD1356" s="1">
        <f>IF($C1356="",0,SUMPRODUCT((AY_SONU!$O$7:$O$42="Evet")*(AY_SONU!$B$7:$B$42=DATE(YEAR($C1356),MONTH($C1356),1))))</f>
        <v>0</v>
      </c>
      <c r="AE1356" s="1" t="str">
        <f>IF($E1356="","",$E1356&amp;"|"&amp;COUNTIFS($E$7:$E1356,$E1356))</f>
        <v/>
      </c>
    </row>
    <row r="1357" spans="1:31" ht="18" customHeight="1" x14ac:dyDescent="0.3">
      <c r="A1357" s="2"/>
      <c r="B1357" s="65" t="str">
        <f t="shared" si="170"/>
        <v/>
      </c>
      <c r="C1357" s="66"/>
      <c r="D1357" s="60"/>
      <c r="E1357" s="61"/>
      <c r="F1357" s="61"/>
      <c r="G1357" s="67"/>
      <c r="H1357" s="60"/>
      <c r="I1357" s="60"/>
      <c r="J1357" s="61"/>
      <c r="K1357" s="61"/>
      <c r="L1357" s="60"/>
      <c r="M1357" s="74" t="str">
        <f t="shared" si="171"/>
        <v/>
      </c>
      <c r="N1357" s="74" t="str">
        <f t="shared" si="172"/>
        <v/>
      </c>
      <c r="O1357" s="73" t="str">
        <f t="shared" si="173"/>
        <v/>
      </c>
      <c r="P1357" s="65" t="str">
        <f t="shared" ca="1" si="174"/>
        <v/>
      </c>
      <c r="Q1357" s="2"/>
      <c r="R1357" s="2"/>
      <c r="S1357" s="1" t="str">
        <f t="shared" si="175"/>
        <v/>
      </c>
      <c r="T1357" s="1" t="str">
        <f>IF(OR($C1357="",$D1357&lt;&gt;"Gelir",$L1357=""),"",IFERROR(INDEX(MUSTERILER!$B$7:$B$156,MATCH($S1357,MUSTERILER!$T$7:$T$156,0)),""))</f>
        <v/>
      </c>
      <c r="U1357" s="1" t="str">
        <f>IF($T1357="","",$T1357&amp;"|"&amp;COUNTIFS($T$7:$T1357,$T1357))</f>
        <v/>
      </c>
      <c r="V1357" s="1">
        <f t="shared" si="176"/>
        <v>0</v>
      </c>
      <c r="W1357" s="1" t="str">
        <f t="shared" si="177"/>
        <v/>
      </c>
      <c r="X1357" s="1"/>
      <c r="Y1357" s="1"/>
      <c r="Z1357" s="1"/>
      <c r="AA1357" s="1"/>
      <c r="AB1357" s="1"/>
      <c r="AC1357" s="1"/>
      <c r="AD1357" s="1">
        <f>IF($C1357="",0,SUMPRODUCT((AY_SONU!$O$7:$O$42="Evet")*(AY_SONU!$B$7:$B$42=DATE(YEAR($C1357),MONTH($C1357),1))))</f>
        <v>0</v>
      </c>
      <c r="AE1357" s="1" t="str">
        <f>IF($E1357="","",$E1357&amp;"|"&amp;COUNTIFS($E$7:$E1357,$E1357))</f>
        <v/>
      </c>
    </row>
    <row r="1358" spans="1:31" ht="18" customHeight="1" x14ac:dyDescent="0.3">
      <c r="A1358" s="2"/>
      <c r="B1358" s="65" t="str">
        <f t="shared" si="170"/>
        <v/>
      </c>
      <c r="C1358" s="66"/>
      <c r="D1358" s="60"/>
      <c r="E1358" s="61"/>
      <c r="F1358" s="61"/>
      <c r="G1358" s="67"/>
      <c r="H1358" s="60"/>
      <c r="I1358" s="60"/>
      <c r="J1358" s="61"/>
      <c r="K1358" s="61"/>
      <c r="L1358" s="60"/>
      <c r="M1358" s="74" t="str">
        <f t="shared" si="171"/>
        <v/>
      </c>
      <c r="N1358" s="74" t="str">
        <f t="shared" si="172"/>
        <v/>
      </c>
      <c r="O1358" s="73" t="str">
        <f t="shared" si="173"/>
        <v/>
      </c>
      <c r="P1358" s="65" t="str">
        <f t="shared" ca="1" si="174"/>
        <v/>
      </c>
      <c r="Q1358" s="2"/>
      <c r="R1358" s="2"/>
      <c r="S1358" s="1" t="str">
        <f t="shared" si="175"/>
        <v/>
      </c>
      <c r="T1358" s="1" t="str">
        <f>IF(OR($C1358="",$D1358&lt;&gt;"Gelir",$L1358=""),"",IFERROR(INDEX(MUSTERILER!$B$7:$B$156,MATCH($S1358,MUSTERILER!$T$7:$T$156,0)),""))</f>
        <v/>
      </c>
      <c r="U1358" s="1" t="str">
        <f>IF($T1358="","",$T1358&amp;"|"&amp;COUNTIFS($T$7:$T1358,$T1358))</f>
        <v/>
      </c>
      <c r="V1358" s="1">
        <f t="shared" si="176"/>
        <v>0</v>
      </c>
      <c r="W1358" s="1" t="str">
        <f t="shared" si="177"/>
        <v/>
      </c>
      <c r="X1358" s="1"/>
      <c r="Y1358" s="1"/>
      <c r="Z1358" s="1"/>
      <c r="AA1358" s="1"/>
      <c r="AB1358" s="1"/>
      <c r="AC1358" s="1"/>
      <c r="AD1358" s="1">
        <f>IF($C1358="",0,SUMPRODUCT((AY_SONU!$O$7:$O$42="Evet")*(AY_SONU!$B$7:$B$42=DATE(YEAR($C1358),MONTH($C1358),1))))</f>
        <v>0</v>
      </c>
      <c r="AE1358" s="1" t="str">
        <f>IF($E1358="","",$E1358&amp;"|"&amp;COUNTIFS($E$7:$E1358,$E1358))</f>
        <v/>
      </c>
    </row>
    <row r="1359" spans="1:31" ht="18" customHeight="1" x14ac:dyDescent="0.3">
      <c r="A1359" s="2"/>
      <c r="B1359" s="65" t="str">
        <f t="shared" si="170"/>
        <v/>
      </c>
      <c r="C1359" s="66"/>
      <c r="D1359" s="60"/>
      <c r="E1359" s="61"/>
      <c r="F1359" s="61"/>
      <c r="G1359" s="67"/>
      <c r="H1359" s="60"/>
      <c r="I1359" s="60"/>
      <c r="J1359" s="61"/>
      <c r="K1359" s="61"/>
      <c r="L1359" s="60"/>
      <c r="M1359" s="74" t="str">
        <f t="shared" si="171"/>
        <v/>
      </c>
      <c r="N1359" s="74" t="str">
        <f t="shared" si="172"/>
        <v/>
      </c>
      <c r="O1359" s="73" t="str">
        <f t="shared" si="173"/>
        <v/>
      </c>
      <c r="P1359" s="65" t="str">
        <f t="shared" ca="1" si="174"/>
        <v/>
      </c>
      <c r="Q1359" s="2"/>
      <c r="R1359" s="2"/>
      <c r="S1359" s="1" t="str">
        <f t="shared" si="175"/>
        <v/>
      </c>
      <c r="T1359" s="1" t="str">
        <f>IF(OR($C1359="",$D1359&lt;&gt;"Gelir",$L1359=""),"",IFERROR(INDEX(MUSTERILER!$B$7:$B$156,MATCH($S1359,MUSTERILER!$T$7:$T$156,0)),""))</f>
        <v/>
      </c>
      <c r="U1359" s="1" t="str">
        <f>IF($T1359="","",$T1359&amp;"|"&amp;COUNTIFS($T$7:$T1359,$T1359))</f>
        <v/>
      </c>
      <c r="V1359" s="1">
        <f t="shared" si="176"/>
        <v>0</v>
      </c>
      <c r="W1359" s="1" t="str">
        <f t="shared" si="177"/>
        <v/>
      </c>
      <c r="X1359" s="1"/>
      <c r="Y1359" s="1"/>
      <c r="Z1359" s="1"/>
      <c r="AA1359" s="1"/>
      <c r="AB1359" s="1"/>
      <c r="AC1359" s="1"/>
      <c r="AD1359" s="1">
        <f>IF($C1359="",0,SUMPRODUCT((AY_SONU!$O$7:$O$42="Evet")*(AY_SONU!$B$7:$B$42=DATE(YEAR($C1359),MONTH($C1359),1))))</f>
        <v>0</v>
      </c>
      <c r="AE1359" s="1" t="str">
        <f>IF($E1359="","",$E1359&amp;"|"&amp;COUNTIFS($E$7:$E1359,$E1359))</f>
        <v/>
      </c>
    </row>
    <row r="1360" spans="1:31" ht="18" customHeight="1" x14ac:dyDescent="0.3">
      <c r="A1360" s="2"/>
      <c r="B1360" s="65" t="str">
        <f t="shared" si="170"/>
        <v/>
      </c>
      <c r="C1360" s="66"/>
      <c r="D1360" s="60"/>
      <c r="E1360" s="61"/>
      <c r="F1360" s="61"/>
      <c r="G1360" s="67"/>
      <c r="H1360" s="60"/>
      <c r="I1360" s="60"/>
      <c r="J1360" s="61"/>
      <c r="K1360" s="61"/>
      <c r="L1360" s="60"/>
      <c r="M1360" s="74" t="str">
        <f t="shared" si="171"/>
        <v/>
      </c>
      <c r="N1360" s="74" t="str">
        <f t="shared" si="172"/>
        <v/>
      </c>
      <c r="O1360" s="73" t="str">
        <f t="shared" si="173"/>
        <v/>
      </c>
      <c r="P1360" s="65" t="str">
        <f t="shared" ca="1" si="174"/>
        <v/>
      </c>
      <c r="Q1360" s="2"/>
      <c r="R1360" s="2"/>
      <c r="S1360" s="1" t="str">
        <f t="shared" si="175"/>
        <v/>
      </c>
      <c r="T1360" s="1" t="str">
        <f>IF(OR($C1360="",$D1360&lt;&gt;"Gelir",$L1360=""),"",IFERROR(INDEX(MUSTERILER!$B$7:$B$156,MATCH($S1360,MUSTERILER!$T$7:$T$156,0)),""))</f>
        <v/>
      </c>
      <c r="U1360" s="1" t="str">
        <f>IF($T1360="","",$T1360&amp;"|"&amp;COUNTIFS($T$7:$T1360,$T1360))</f>
        <v/>
      </c>
      <c r="V1360" s="1">
        <f t="shared" si="176"/>
        <v>0</v>
      </c>
      <c r="W1360" s="1" t="str">
        <f t="shared" si="177"/>
        <v/>
      </c>
      <c r="X1360" s="1"/>
      <c r="Y1360" s="1"/>
      <c r="Z1360" s="1"/>
      <c r="AA1360" s="1"/>
      <c r="AB1360" s="1"/>
      <c r="AC1360" s="1"/>
      <c r="AD1360" s="1">
        <f>IF($C1360="",0,SUMPRODUCT((AY_SONU!$O$7:$O$42="Evet")*(AY_SONU!$B$7:$B$42=DATE(YEAR($C1360),MONTH($C1360),1))))</f>
        <v>0</v>
      </c>
      <c r="AE1360" s="1" t="str">
        <f>IF($E1360="","",$E1360&amp;"|"&amp;COUNTIFS($E$7:$E1360,$E1360))</f>
        <v/>
      </c>
    </row>
    <row r="1361" spans="1:31" ht="18" customHeight="1" x14ac:dyDescent="0.3">
      <c r="A1361" s="2"/>
      <c r="B1361" s="65" t="str">
        <f t="shared" si="170"/>
        <v/>
      </c>
      <c r="C1361" s="66"/>
      <c r="D1361" s="60"/>
      <c r="E1361" s="61"/>
      <c r="F1361" s="61"/>
      <c r="G1361" s="67"/>
      <c r="H1361" s="60"/>
      <c r="I1361" s="60"/>
      <c r="J1361" s="61"/>
      <c r="K1361" s="61"/>
      <c r="L1361" s="60"/>
      <c r="M1361" s="74" t="str">
        <f t="shared" si="171"/>
        <v/>
      </c>
      <c r="N1361" s="74" t="str">
        <f t="shared" si="172"/>
        <v/>
      </c>
      <c r="O1361" s="73" t="str">
        <f t="shared" si="173"/>
        <v/>
      </c>
      <c r="P1361" s="65" t="str">
        <f t="shared" ca="1" si="174"/>
        <v/>
      </c>
      <c r="Q1361" s="2"/>
      <c r="R1361" s="2"/>
      <c r="S1361" s="1" t="str">
        <f t="shared" si="175"/>
        <v/>
      </c>
      <c r="T1361" s="1" t="str">
        <f>IF(OR($C1361="",$D1361&lt;&gt;"Gelir",$L1361=""),"",IFERROR(INDEX(MUSTERILER!$B$7:$B$156,MATCH($S1361,MUSTERILER!$T$7:$T$156,0)),""))</f>
        <v/>
      </c>
      <c r="U1361" s="1" t="str">
        <f>IF($T1361="","",$T1361&amp;"|"&amp;COUNTIFS($T$7:$T1361,$T1361))</f>
        <v/>
      </c>
      <c r="V1361" s="1">
        <f t="shared" si="176"/>
        <v>0</v>
      </c>
      <c r="W1361" s="1" t="str">
        <f t="shared" si="177"/>
        <v/>
      </c>
      <c r="X1361" s="1"/>
      <c r="Y1361" s="1"/>
      <c r="Z1361" s="1"/>
      <c r="AA1361" s="1"/>
      <c r="AB1361" s="1"/>
      <c r="AC1361" s="1"/>
      <c r="AD1361" s="1">
        <f>IF($C1361="",0,SUMPRODUCT((AY_SONU!$O$7:$O$42="Evet")*(AY_SONU!$B$7:$B$42=DATE(YEAR($C1361),MONTH($C1361),1))))</f>
        <v>0</v>
      </c>
      <c r="AE1361" s="1" t="str">
        <f>IF($E1361="","",$E1361&amp;"|"&amp;COUNTIFS($E$7:$E1361,$E1361))</f>
        <v/>
      </c>
    </row>
    <row r="1362" spans="1:31" ht="18" customHeight="1" x14ac:dyDescent="0.3">
      <c r="A1362" s="2"/>
      <c r="B1362" s="65" t="str">
        <f t="shared" si="170"/>
        <v/>
      </c>
      <c r="C1362" s="66"/>
      <c r="D1362" s="60"/>
      <c r="E1362" s="61"/>
      <c r="F1362" s="61"/>
      <c r="G1362" s="67"/>
      <c r="H1362" s="60"/>
      <c r="I1362" s="60"/>
      <c r="J1362" s="61"/>
      <c r="K1362" s="61"/>
      <c r="L1362" s="60"/>
      <c r="M1362" s="74" t="str">
        <f t="shared" si="171"/>
        <v/>
      </c>
      <c r="N1362" s="74" t="str">
        <f t="shared" si="172"/>
        <v/>
      </c>
      <c r="O1362" s="73" t="str">
        <f t="shared" si="173"/>
        <v/>
      </c>
      <c r="P1362" s="65" t="str">
        <f t="shared" ca="1" si="174"/>
        <v/>
      </c>
      <c r="Q1362" s="2"/>
      <c r="R1362" s="2"/>
      <c r="S1362" s="1" t="str">
        <f t="shared" si="175"/>
        <v/>
      </c>
      <c r="T1362" s="1" t="str">
        <f>IF(OR($C1362="",$D1362&lt;&gt;"Gelir",$L1362=""),"",IFERROR(INDEX(MUSTERILER!$B$7:$B$156,MATCH($S1362,MUSTERILER!$T$7:$T$156,0)),""))</f>
        <v/>
      </c>
      <c r="U1362" s="1" t="str">
        <f>IF($T1362="","",$T1362&amp;"|"&amp;COUNTIFS($T$7:$T1362,$T1362))</f>
        <v/>
      </c>
      <c r="V1362" s="1">
        <f t="shared" si="176"/>
        <v>0</v>
      </c>
      <c r="W1362" s="1" t="str">
        <f t="shared" si="177"/>
        <v/>
      </c>
      <c r="X1362" s="1"/>
      <c r="Y1362" s="1"/>
      <c r="Z1362" s="1"/>
      <c r="AA1362" s="1"/>
      <c r="AB1362" s="1"/>
      <c r="AC1362" s="1"/>
      <c r="AD1362" s="1">
        <f>IF($C1362="",0,SUMPRODUCT((AY_SONU!$O$7:$O$42="Evet")*(AY_SONU!$B$7:$B$42=DATE(YEAR($C1362),MONTH($C1362),1))))</f>
        <v>0</v>
      </c>
      <c r="AE1362" s="1" t="str">
        <f>IF($E1362="","",$E1362&amp;"|"&amp;COUNTIFS($E$7:$E1362,$E1362))</f>
        <v/>
      </c>
    </row>
    <row r="1363" spans="1:31" ht="18" customHeight="1" x14ac:dyDescent="0.3">
      <c r="A1363" s="2"/>
      <c r="B1363" s="65" t="str">
        <f t="shared" si="170"/>
        <v/>
      </c>
      <c r="C1363" s="66"/>
      <c r="D1363" s="60"/>
      <c r="E1363" s="61"/>
      <c r="F1363" s="61"/>
      <c r="G1363" s="67"/>
      <c r="H1363" s="60"/>
      <c r="I1363" s="60"/>
      <c r="J1363" s="61"/>
      <c r="K1363" s="61"/>
      <c r="L1363" s="60"/>
      <c r="M1363" s="74" t="str">
        <f t="shared" si="171"/>
        <v/>
      </c>
      <c r="N1363" s="74" t="str">
        <f t="shared" si="172"/>
        <v/>
      </c>
      <c r="O1363" s="73" t="str">
        <f t="shared" si="173"/>
        <v/>
      </c>
      <c r="P1363" s="65" t="str">
        <f t="shared" ca="1" si="174"/>
        <v/>
      </c>
      <c r="Q1363" s="2"/>
      <c r="R1363" s="2"/>
      <c r="S1363" s="1" t="str">
        <f t="shared" si="175"/>
        <v/>
      </c>
      <c r="T1363" s="1" t="str">
        <f>IF(OR($C1363="",$D1363&lt;&gt;"Gelir",$L1363=""),"",IFERROR(INDEX(MUSTERILER!$B$7:$B$156,MATCH($S1363,MUSTERILER!$T$7:$T$156,0)),""))</f>
        <v/>
      </c>
      <c r="U1363" s="1" t="str">
        <f>IF($T1363="","",$T1363&amp;"|"&amp;COUNTIFS($T$7:$T1363,$T1363))</f>
        <v/>
      </c>
      <c r="V1363" s="1">
        <f t="shared" si="176"/>
        <v>0</v>
      </c>
      <c r="W1363" s="1" t="str">
        <f t="shared" si="177"/>
        <v/>
      </c>
      <c r="X1363" s="1"/>
      <c r="Y1363" s="1"/>
      <c r="Z1363" s="1"/>
      <c r="AA1363" s="1"/>
      <c r="AB1363" s="1"/>
      <c r="AC1363" s="1"/>
      <c r="AD1363" s="1">
        <f>IF($C1363="",0,SUMPRODUCT((AY_SONU!$O$7:$O$42="Evet")*(AY_SONU!$B$7:$B$42=DATE(YEAR($C1363),MONTH($C1363),1))))</f>
        <v>0</v>
      </c>
      <c r="AE1363" s="1" t="str">
        <f>IF($E1363="","",$E1363&amp;"|"&amp;COUNTIFS($E$7:$E1363,$E1363))</f>
        <v/>
      </c>
    </row>
    <row r="1364" spans="1:31" ht="18" customHeight="1" x14ac:dyDescent="0.3">
      <c r="A1364" s="2"/>
      <c r="B1364" s="65" t="str">
        <f t="shared" si="170"/>
        <v/>
      </c>
      <c r="C1364" s="66"/>
      <c r="D1364" s="60"/>
      <c r="E1364" s="61"/>
      <c r="F1364" s="61"/>
      <c r="G1364" s="67"/>
      <c r="H1364" s="60"/>
      <c r="I1364" s="60"/>
      <c r="J1364" s="61"/>
      <c r="K1364" s="61"/>
      <c r="L1364" s="60"/>
      <c r="M1364" s="74" t="str">
        <f t="shared" si="171"/>
        <v/>
      </c>
      <c r="N1364" s="74" t="str">
        <f t="shared" si="172"/>
        <v/>
      </c>
      <c r="O1364" s="73" t="str">
        <f t="shared" si="173"/>
        <v/>
      </c>
      <c r="P1364" s="65" t="str">
        <f t="shared" ca="1" si="174"/>
        <v/>
      </c>
      <c r="Q1364" s="2"/>
      <c r="R1364" s="2"/>
      <c r="S1364" s="1" t="str">
        <f t="shared" si="175"/>
        <v/>
      </c>
      <c r="T1364" s="1" t="str">
        <f>IF(OR($C1364="",$D1364&lt;&gt;"Gelir",$L1364=""),"",IFERROR(INDEX(MUSTERILER!$B$7:$B$156,MATCH($S1364,MUSTERILER!$T$7:$T$156,0)),""))</f>
        <v/>
      </c>
      <c r="U1364" s="1" t="str">
        <f>IF($T1364="","",$T1364&amp;"|"&amp;COUNTIFS($T$7:$T1364,$T1364))</f>
        <v/>
      </c>
      <c r="V1364" s="1">
        <f t="shared" si="176"/>
        <v>0</v>
      </c>
      <c r="W1364" s="1" t="str">
        <f t="shared" si="177"/>
        <v/>
      </c>
      <c r="X1364" s="1"/>
      <c r="Y1364" s="1"/>
      <c r="Z1364" s="1"/>
      <c r="AA1364" s="1"/>
      <c r="AB1364" s="1"/>
      <c r="AC1364" s="1"/>
      <c r="AD1364" s="1">
        <f>IF($C1364="",0,SUMPRODUCT((AY_SONU!$O$7:$O$42="Evet")*(AY_SONU!$B$7:$B$42=DATE(YEAR($C1364),MONTH($C1364),1))))</f>
        <v>0</v>
      </c>
      <c r="AE1364" s="1" t="str">
        <f>IF($E1364="","",$E1364&amp;"|"&amp;COUNTIFS($E$7:$E1364,$E1364))</f>
        <v/>
      </c>
    </row>
    <row r="1365" spans="1:31" ht="18" customHeight="1" x14ac:dyDescent="0.3">
      <c r="A1365" s="2"/>
      <c r="B1365" s="65" t="str">
        <f t="shared" si="170"/>
        <v/>
      </c>
      <c r="C1365" s="66"/>
      <c r="D1365" s="60"/>
      <c r="E1365" s="61"/>
      <c r="F1365" s="61"/>
      <c r="G1365" s="67"/>
      <c r="H1365" s="60"/>
      <c r="I1365" s="60"/>
      <c r="J1365" s="61"/>
      <c r="K1365" s="61"/>
      <c r="L1365" s="60"/>
      <c r="M1365" s="74" t="str">
        <f t="shared" si="171"/>
        <v/>
      </c>
      <c r="N1365" s="74" t="str">
        <f t="shared" si="172"/>
        <v/>
      </c>
      <c r="O1365" s="73" t="str">
        <f t="shared" si="173"/>
        <v/>
      </c>
      <c r="P1365" s="65" t="str">
        <f t="shared" ca="1" si="174"/>
        <v/>
      </c>
      <c r="Q1365" s="2"/>
      <c r="R1365" s="2"/>
      <c r="S1365" s="1" t="str">
        <f t="shared" si="175"/>
        <v/>
      </c>
      <c r="T1365" s="1" t="str">
        <f>IF(OR($C1365="",$D1365&lt;&gt;"Gelir",$L1365=""),"",IFERROR(INDEX(MUSTERILER!$B$7:$B$156,MATCH($S1365,MUSTERILER!$T$7:$T$156,0)),""))</f>
        <v/>
      </c>
      <c r="U1365" s="1" t="str">
        <f>IF($T1365="","",$T1365&amp;"|"&amp;COUNTIFS($T$7:$T1365,$T1365))</f>
        <v/>
      </c>
      <c r="V1365" s="1">
        <f t="shared" si="176"/>
        <v>0</v>
      </c>
      <c r="W1365" s="1" t="str">
        <f t="shared" si="177"/>
        <v/>
      </c>
      <c r="X1365" s="1"/>
      <c r="Y1365" s="1"/>
      <c r="Z1365" s="1"/>
      <c r="AA1365" s="1"/>
      <c r="AB1365" s="1"/>
      <c r="AC1365" s="1"/>
      <c r="AD1365" s="1">
        <f>IF($C1365="",0,SUMPRODUCT((AY_SONU!$O$7:$O$42="Evet")*(AY_SONU!$B$7:$B$42=DATE(YEAR($C1365),MONTH($C1365),1))))</f>
        <v>0</v>
      </c>
      <c r="AE1365" s="1" t="str">
        <f>IF($E1365="","",$E1365&amp;"|"&amp;COUNTIFS($E$7:$E1365,$E1365))</f>
        <v/>
      </c>
    </row>
    <row r="1366" spans="1:31" ht="18" customHeight="1" x14ac:dyDescent="0.3">
      <c r="A1366" s="2"/>
      <c r="B1366" s="65" t="str">
        <f t="shared" si="170"/>
        <v/>
      </c>
      <c r="C1366" s="66"/>
      <c r="D1366" s="60"/>
      <c r="E1366" s="61"/>
      <c r="F1366" s="61"/>
      <c r="G1366" s="67"/>
      <c r="H1366" s="60"/>
      <c r="I1366" s="60"/>
      <c r="J1366" s="61"/>
      <c r="K1366" s="61"/>
      <c r="L1366" s="60"/>
      <c r="M1366" s="74" t="str">
        <f t="shared" si="171"/>
        <v/>
      </c>
      <c r="N1366" s="74" t="str">
        <f t="shared" si="172"/>
        <v/>
      </c>
      <c r="O1366" s="73" t="str">
        <f t="shared" si="173"/>
        <v/>
      </c>
      <c r="P1366" s="65" t="str">
        <f t="shared" ca="1" si="174"/>
        <v/>
      </c>
      <c r="Q1366" s="2"/>
      <c r="R1366" s="2"/>
      <c r="S1366" s="1" t="str">
        <f t="shared" si="175"/>
        <v/>
      </c>
      <c r="T1366" s="1" t="str">
        <f>IF(OR($C1366="",$D1366&lt;&gt;"Gelir",$L1366=""),"",IFERROR(INDEX(MUSTERILER!$B$7:$B$156,MATCH($S1366,MUSTERILER!$T$7:$T$156,0)),""))</f>
        <v/>
      </c>
      <c r="U1366" s="1" t="str">
        <f>IF($T1366="","",$T1366&amp;"|"&amp;COUNTIFS($T$7:$T1366,$T1366))</f>
        <v/>
      </c>
      <c r="V1366" s="1">
        <f t="shared" si="176"/>
        <v>0</v>
      </c>
      <c r="W1366" s="1" t="str">
        <f t="shared" si="177"/>
        <v/>
      </c>
      <c r="X1366" s="1"/>
      <c r="Y1366" s="1"/>
      <c r="Z1366" s="1"/>
      <c r="AA1366" s="1"/>
      <c r="AB1366" s="1"/>
      <c r="AC1366" s="1"/>
      <c r="AD1366" s="1">
        <f>IF($C1366="",0,SUMPRODUCT((AY_SONU!$O$7:$O$42="Evet")*(AY_SONU!$B$7:$B$42=DATE(YEAR($C1366),MONTH($C1366),1))))</f>
        <v>0</v>
      </c>
      <c r="AE1366" s="1" t="str">
        <f>IF($E1366="","",$E1366&amp;"|"&amp;COUNTIFS($E$7:$E1366,$E1366))</f>
        <v/>
      </c>
    </row>
    <row r="1367" spans="1:31" ht="18" customHeight="1" x14ac:dyDescent="0.3">
      <c r="A1367" s="2"/>
      <c r="B1367" s="65" t="str">
        <f t="shared" si="170"/>
        <v/>
      </c>
      <c r="C1367" s="66"/>
      <c r="D1367" s="60"/>
      <c r="E1367" s="61"/>
      <c r="F1367" s="61"/>
      <c r="G1367" s="67"/>
      <c r="H1367" s="60"/>
      <c r="I1367" s="60"/>
      <c r="J1367" s="61"/>
      <c r="K1367" s="61"/>
      <c r="L1367" s="60"/>
      <c r="M1367" s="74" t="str">
        <f t="shared" si="171"/>
        <v/>
      </c>
      <c r="N1367" s="74" t="str">
        <f t="shared" si="172"/>
        <v/>
      </c>
      <c r="O1367" s="73" t="str">
        <f t="shared" si="173"/>
        <v/>
      </c>
      <c r="P1367" s="65" t="str">
        <f t="shared" ca="1" si="174"/>
        <v/>
      </c>
      <c r="Q1367" s="2"/>
      <c r="R1367" s="2"/>
      <c r="S1367" s="1" t="str">
        <f t="shared" si="175"/>
        <v/>
      </c>
      <c r="T1367" s="1" t="str">
        <f>IF(OR($C1367="",$D1367&lt;&gt;"Gelir",$L1367=""),"",IFERROR(INDEX(MUSTERILER!$B$7:$B$156,MATCH($S1367,MUSTERILER!$T$7:$T$156,0)),""))</f>
        <v/>
      </c>
      <c r="U1367" s="1" t="str">
        <f>IF($T1367="","",$T1367&amp;"|"&amp;COUNTIFS($T$7:$T1367,$T1367))</f>
        <v/>
      </c>
      <c r="V1367" s="1">
        <f t="shared" si="176"/>
        <v>0</v>
      </c>
      <c r="W1367" s="1" t="str">
        <f t="shared" si="177"/>
        <v/>
      </c>
      <c r="X1367" s="1"/>
      <c r="Y1367" s="1"/>
      <c r="Z1367" s="1"/>
      <c r="AA1367" s="1"/>
      <c r="AB1367" s="1"/>
      <c r="AC1367" s="1"/>
      <c r="AD1367" s="1">
        <f>IF($C1367="",0,SUMPRODUCT((AY_SONU!$O$7:$O$42="Evet")*(AY_SONU!$B$7:$B$42=DATE(YEAR($C1367),MONTH($C1367),1))))</f>
        <v>0</v>
      </c>
      <c r="AE1367" s="1" t="str">
        <f>IF($E1367="","",$E1367&amp;"|"&amp;COUNTIFS($E$7:$E1367,$E1367))</f>
        <v/>
      </c>
    </row>
    <row r="1368" spans="1:31" ht="18" customHeight="1" x14ac:dyDescent="0.3">
      <c r="A1368" s="2"/>
      <c r="B1368" s="65" t="str">
        <f t="shared" si="170"/>
        <v/>
      </c>
      <c r="C1368" s="66"/>
      <c r="D1368" s="60"/>
      <c r="E1368" s="61"/>
      <c r="F1368" s="61"/>
      <c r="G1368" s="67"/>
      <c r="H1368" s="60"/>
      <c r="I1368" s="60"/>
      <c r="J1368" s="61"/>
      <c r="K1368" s="61"/>
      <c r="L1368" s="60"/>
      <c r="M1368" s="74" t="str">
        <f t="shared" si="171"/>
        <v/>
      </c>
      <c r="N1368" s="74" t="str">
        <f t="shared" si="172"/>
        <v/>
      </c>
      <c r="O1368" s="73" t="str">
        <f t="shared" si="173"/>
        <v/>
      </c>
      <c r="P1368" s="65" t="str">
        <f t="shared" ca="1" si="174"/>
        <v/>
      </c>
      <c r="Q1368" s="2"/>
      <c r="R1368" s="2"/>
      <c r="S1368" s="1" t="str">
        <f t="shared" si="175"/>
        <v/>
      </c>
      <c r="T1368" s="1" t="str">
        <f>IF(OR($C1368="",$D1368&lt;&gt;"Gelir",$L1368=""),"",IFERROR(INDEX(MUSTERILER!$B$7:$B$156,MATCH($S1368,MUSTERILER!$T$7:$T$156,0)),""))</f>
        <v/>
      </c>
      <c r="U1368" s="1" t="str">
        <f>IF($T1368="","",$T1368&amp;"|"&amp;COUNTIFS($T$7:$T1368,$T1368))</f>
        <v/>
      </c>
      <c r="V1368" s="1">
        <f t="shared" si="176"/>
        <v>0</v>
      </c>
      <c r="W1368" s="1" t="str">
        <f t="shared" si="177"/>
        <v/>
      </c>
      <c r="X1368" s="1"/>
      <c r="Y1368" s="1"/>
      <c r="Z1368" s="1"/>
      <c r="AA1368" s="1"/>
      <c r="AB1368" s="1"/>
      <c r="AC1368" s="1"/>
      <c r="AD1368" s="1">
        <f>IF($C1368="",0,SUMPRODUCT((AY_SONU!$O$7:$O$42="Evet")*(AY_SONU!$B$7:$B$42=DATE(YEAR($C1368),MONTH($C1368),1))))</f>
        <v>0</v>
      </c>
      <c r="AE1368" s="1" t="str">
        <f>IF($E1368="","",$E1368&amp;"|"&amp;COUNTIFS($E$7:$E1368,$E1368))</f>
        <v/>
      </c>
    </row>
    <row r="1369" spans="1:31" ht="18" customHeight="1" x14ac:dyDescent="0.3">
      <c r="A1369" s="2"/>
      <c r="B1369" s="65" t="str">
        <f t="shared" si="170"/>
        <v/>
      </c>
      <c r="C1369" s="66"/>
      <c r="D1369" s="60"/>
      <c r="E1369" s="61"/>
      <c r="F1369" s="61"/>
      <c r="G1369" s="67"/>
      <c r="H1369" s="60"/>
      <c r="I1369" s="60"/>
      <c r="J1369" s="61"/>
      <c r="K1369" s="61"/>
      <c r="L1369" s="60"/>
      <c r="M1369" s="74" t="str">
        <f t="shared" si="171"/>
        <v/>
      </c>
      <c r="N1369" s="74" t="str">
        <f t="shared" si="172"/>
        <v/>
      </c>
      <c r="O1369" s="73" t="str">
        <f t="shared" si="173"/>
        <v/>
      </c>
      <c r="P1369" s="65" t="str">
        <f t="shared" ca="1" si="174"/>
        <v/>
      </c>
      <c r="Q1369" s="2"/>
      <c r="R1369" s="2"/>
      <c r="S1369" s="1" t="str">
        <f t="shared" si="175"/>
        <v/>
      </c>
      <c r="T1369" s="1" t="str">
        <f>IF(OR($C1369="",$D1369&lt;&gt;"Gelir",$L1369=""),"",IFERROR(INDEX(MUSTERILER!$B$7:$B$156,MATCH($S1369,MUSTERILER!$T$7:$T$156,0)),""))</f>
        <v/>
      </c>
      <c r="U1369" s="1" t="str">
        <f>IF($T1369="","",$T1369&amp;"|"&amp;COUNTIFS($T$7:$T1369,$T1369))</f>
        <v/>
      </c>
      <c r="V1369" s="1">
        <f t="shared" si="176"/>
        <v>0</v>
      </c>
      <c r="W1369" s="1" t="str">
        <f t="shared" si="177"/>
        <v/>
      </c>
      <c r="X1369" s="1"/>
      <c r="Y1369" s="1"/>
      <c r="Z1369" s="1"/>
      <c r="AA1369" s="1"/>
      <c r="AB1369" s="1"/>
      <c r="AC1369" s="1"/>
      <c r="AD1369" s="1">
        <f>IF($C1369="",0,SUMPRODUCT((AY_SONU!$O$7:$O$42="Evet")*(AY_SONU!$B$7:$B$42=DATE(YEAR($C1369),MONTH($C1369),1))))</f>
        <v>0</v>
      </c>
      <c r="AE1369" s="1" t="str">
        <f>IF($E1369="","",$E1369&amp;"|"&amp;COUNTIFS($E$7:$E1369,$E1369))</f>
        <v/>
      </c>
    </row>
    <row r="1370" spans="1:31" ht="18" customHeight="1" x14ac:dyDescent="0.3">
      <c r="A1370" s="2"/>
      <c r="B1370" s="65" t="str">
        <f t="shared" si="170"/>
        <v/>
      </c>
      <c r="C1370" s="66"/>
      <c r="D1370" s="60"/>
      <c r="E1370" s="61"/>
      <c r="F1370" s="61"/>
      <c r="G1370" s="67"/>
      <c r="H1370" s="60"/>
      <c r="I1370" s="60"/>
      <c r="J1370" s="61"/>
      <c r="K1370" s="61"/>
      <c r="L1370" s="60"/>
      <c r="M1370" s="74" t="str">
        <f t="shared" si="171"/>
        <v/>
      </c>
      <c r="N1370" s="74" t="str">
        <f t="shared" si="172"/>
        <v/>
      </c>
      <c r="O1370" s="73" t="str">
        <f t="shared" si="173"/>
        <v/>
      </c>
      <c r="P1370" s="65" t="str">
        <f t="shared" ca="1" si="174"/>
        <v/>
      </c>
      <c r="Q1370" s="2"/>
      <c r="R1370" s="2"/>
      <c r="S1370" s="1" t="str">
        <f t="shared" si="175"/>
        <v/>
      </c>
      <c r="T1370" s="1" t="str">
        <f>IF(OR($C1370="",$D1370&lt;&gt;"Gelir",$L1370=""),"",IFERROR(INDEX(MUSTERILER!$B$7:$B$156,MATCH($S1370,MUSTERILER!$T$7:$T$156,0)),""))</f>
        <v/>
      </c>
      <c r="U1370" s="1" t="str">
        <f>IF($T1370="","",$T1370&amp;"|"&amp;COUNTIFS($T$7:$T1370,$T1370))</f>
        <v/>
      </c>
      <c r="V1370" s="1">
        <f t="shared" si="176"/>
        <v>0</v>
      </c>
      <c r="W1370" s="1" t="str">
        <f t="shared" si="177"/>
        <v/>
      </c>
      <c r="X1370" s="1"/>
      <c r="Y1370" s="1"/>
      <c r="Z1370" s="1"/>
      <c r="AA1370" s="1"/>
      <c r="AB1370" s="1"/>
      <c r="AC1370" s="1"/>
      <c r="AD1370" s="1">
        <f>IF($C1370="",0,SUMPRODUCT((AY_SONU!$O$7:$O$42="Evet")*(AY_SONU!$B$7:$B$42=DATE(YEAR($C1370),MONTH($C1370),1))))</f>
        <v>0</v>
      </c>
      <c r="AE1370" s="1" t="str">
        <f>IF($E1370="","",$E1370&amp;"|"&amp;COUNTIFS($E$7:$E1370,$E1370))</f>
        <v/>
      </c>
    </row>
    <row r="1371" spans="1:31" ht="18" customHeight="1" x14ac:dyDescent="0.3">
      <c r="A1371" s="2"/>
      <c r="B1371" s="65" t="str">
        <f t="shared" si="170"/>
        <v/>
      </c>
      <c r="C1371" s="66"/>
      <c r="D1371" s="60"/>
      <c r="E1371" s="61"/>
      <c r="F1371" s="61"/>
      <c r="G1371" s="67"/>
      <c r="H1371" s="60"/>
      <c r="I1371" s="60"/>
      <c r="J1371" s="61"/>
      <c r="K1371" s="61"/>
      <c r="L1371" s="60"/>
      <c r="M1371" s="74" t="str">
        <f t="shared" si="171"/>
        <v/>
      </c>
      <c r="N1371" s="74" t="str">
        <f t="shared" si="172"/>
        <v/>
      </c>
      <c r="O1371" s="73" t="str">
        <f t="shared" si="173"/>
        <v/>
      </c>
      <c r="P1371" s="65" t="str">
        <f t="shared" ca="1" si="174"/>
        <v/>
      </c>
      <c r="Q1371" s="2"/>
      <c r="R1371" s="2"/>
      <c r="S1371" s="1" t="str">
        <f t="shared" si="175"/>
        <v/>
      </c>
      <c r="T1371" s="1" t="str">
        <f>IF(OR($C1371="",$D1371&lt;&gt;"Gelir",$L1371=""),"",IFERROR(INDEX(MUSTERILER!$B$7:$B$156,MATCH($S1371,MUSTERILER!$T$7:$T$156,0)),""))</f>
        <v/>
      </c>
      <c r="U1371" s="1" t="str">
        <f>IF($T1371="","",$T1371&amp;"|"&amp;COUNTIFS($T$7:$T1371,$T1371))</f>
        <v/>
      </c>
      <c r="V1371" s="1">
        <f t="shared" si="176"/>
        <v>0</v>
      </c>
      <c r="W1371" s="1" t="str">
        <f t="shared" si="177"/>
        <v/>
      </c>
      <c r="X1371" s="1"/>
      <c r="Y1371" s="1"/>
      <c r="Z1371" s="1"/>
      <c r="AA1371" s="1"/>
      <c r="AB1371" s="1"/>
      <c r="AC1371" s="1"/>
      <c r="AD1371" s="1">
        <f>IF($C1371="",0,SUMPRODUCT((AY_SONU!$O$7:$O$42="Evet")*(AY_SONU!$B$7:$B$42=DATE(YEAR($C1371),MONTH($C1371),1))))</f>
        <v>0</v>
      </c>
      <c r="AE1371" s="1" t="str">
        <f>IF($E1371="","",$E1371&amp;"|"&amp;COUNTIFS($E$7:$E1371,$E1371))</f>
        <v/>
      </c>
    </row>
    <row r="1372" spans="1:31" ht="18" customHeight="1" x14ac:dyDescent="0.3">
      <c r="A1372" s="2"/>
      <c r="B1372" s="65" t="str">
        <f t="shared" si="170"/>
        <v/>
      </c>
      <c r="C1372" s="66"/>
      <c r="D1372" s="60"/>
      <c r="E1372" s="61"/>
      <c r="F1372" s="61"/>
      <c r="G1372" s="67"/>
      <c r="H1372" s="60"/>
      <c r="I1372" s="60"/>
      <c r="J1372" s="61"/>
      <c r="K1372" s="61"/>
      <c r="L1372" s="60"/>
      <c r="M1372" s="74" t="str">
        <f t="shared" si="171"/>
        <v/>
      </c>
      <c r="N1372" s="74" t="str">
        <f t="shared" si="172"/>
        <v/>
      </c>
      <c r="O1372" s="73" t="str">
        <f t="shared" si="173"/>
        <v/>
      </c>
      <c r="P1372" s="65" t="str">
        <f t="shared" ca="1" si="174"/>
        <v/>
      </c>
      <c r="Q1372" s="2"/>
      <c r="R1372" s="2"/>
      <c r="S1372" s="1" t="str">
        <f t="shared" si="175"/>
        <v/>
      </c>
      <c r="T1372" s="1" t="str">
        <f>IF(OR($C1372="",$D1372&lt;&gt;"Gelir",$L1372=""),"",IFERROR(INDEX(MUSTERILER!$B$7:$B$156,MATCH($S1372,MUSTERILER!$T$7:$T$156,0)),""))</f>
        <v/>
      </c>
      <c r="U1372" s="1" t="str">
        <f>IF($T1372="","",$T1372&amp;"|"&amp;COUNTIFS($T$7:$T1372,$T1372))</f>
        <v/>
      </c>
      <c r="V1372" s="1">
        <f t="shared" si="176"/>
        <v>0</v>
      </c>
      <c r="W1372" s="1" t="str">
        <f t="shared" si="177"/>
        <v/>
      </c>
      <c r="X1372" s="1"/>
      <c r="Y1372" s="1"/>
      <c r="Z1372" s="1"/>
      <c r="AA1372" s="1"/>
      <c r="AB1372" s="1"/>
      <c r="AC1372" s="1"/>
      <c r="AD1372" s="1">
        <f>IF($C1372="",0,SUMPRODUCT((AY_SONU!$O$7:$O$42="Evet")*(AY_SONU!$B$7:$B$42=DATE(YEAR($C1372),MONTH($C1372),1))))</f>
        <v>0</v>
      </c>
      <c r="AE1372" s="1" t="str">
        <f>IF($E1372="","",$E1372&amp;"|"&amp;COUNTIFS($E$7:$E1372,$E1372))</f>
        <v/>
      </c>
    </row>
    <row r="1373" spans="1:31" ht="18" customHeight="1" x14ac:dyDescent="0.3">
      <c r="A1373" s="2"/>
      <c r="B1373" s="65" t="str">
        <f t="shared" si="170"/>
        <v/>
      </c>
      <c r="C1373" s="66"/>
      <c r="D1373" s="60"/>
      <c r="E1373" s="61"/>
      <c r="F1373" s="61"/>
      <c r="G1373" s="67"/>
      <c r="H1373" s="60"/>
      <c r="I1373" s="60"/>
      <c r="J1373" s="61"/>
      <c r="K1373" s="61"/>
      <c r="L1373" s="60"/>
      <c r="M1373" s="74" t="str">
        <f t="shared" si="171"/>
        <v/>
      </c>
      <c r="N1373" s="74" t="str">
        <f t="shared" si="172"/>
        <v/>
      </c>
      <c r="O1373" s="73" t="str">
        <f t="shared" si="173"/>
        <v/>
      </c>
      <c r="P1373" s="65" t="str">
        <f t="shared" ca="1" si="174"/>
        <v/>
      </c>
      <c r="Q1373" s="2"/>
      <c r="R1373" s="2"/>
      <c r="S1373" s="1" t="str">
        <f t="shared" si="175"/>
        <v/>
      </c>
      <c r="T1373" s="1" t="str">
        <f>IF(OR($C1373="",$D1373&lt;&gt;"Gelir",$L1373=""),"",IFERROR(INDEX(MUSTERILER!$B$7:$B$156,MATCH($S1373,MUSTERILER!$T$7:$T$156,0)),""))</f>
        <v/>
      </c>
      <c r="U1373" s="1" t="str">
        <f>IF($T1373="","",$T1373&amp;"|"&amp;COUNTIFS($T$7:$T1373,$T1373))</f>
        <v/>
      </c>
      <c r="V1373" s="1">
        <f t="shared" si="176"/>
        <v>0</v>
      </c>
      <c r="W1373" s="1" t="str">
        <f t="shared" si="177"/>
        <v/>
      </c>
      <c r="X1373" s="1"/>
      <c r="Y1373" s="1"/>
      <c r="Z1373" s="1"/>
      <c r="AA1373" s="1"/>
      <c r="AB1373" s="1"/>
      <c r="AC1373" s="1"/>
      <c r="AD1373" s="1">
        <f>IF($C1373="",0,SUMPRODUCT((AY_SONU!$O$7:$O$42="Evet")*(AY_SONU!$B$7:$B$42=DATE(YEAR($C1373),MONTH($C1373),1))))</f>
        <v>0</v>
      </c>
      <c r="AE1373" s="1" t="str">
        <f>IF($E1373="","",$E1373&amp;"|"&amp;COUNTIFS($E$7:$E1373,$E1373))</f>
        <v/>
      </c>
    </row>
    <row r="1374" spans="1:31" ht="18" customHeight="1" x14ac:dyDescent="0.3">
      <c r="A1374" s="2"/>
      <c r="B1374" s="65" t="str">
        <f t="shared" si="170"/>
        <v/>
      </c>
      <c r="C1374" s="66"/>
      <c r="D1374" s="60"/>
      <c r="E1374" s="61"/>
      <c r="F1374" s="61"/>
      <c r="G1374" s="67"/>
      <c r="H1374" s="60"/>
      <c r="I1374" s="60"/>
      <c r="J1374" s="61"/>
      <c r="K1374" s="61"/>
      <c r="L1374" s="60"/>
      <c r="M1374" s="74" t="str">
        <f t="shared" si="171"/>
        <v/>
      </c>
      <c r="N1374" s="74" t="str">
        <f t="shared" si="172"/>
        <v/>
      </c>
      <c r="O1374" s="73" t="str">
        <f t="shared" si="173"/>
        <v/>
      </c>
      <c r="P1374" s="65" t="str">
        <f t="shared" ca="1" si="174"/>
        <v/>
      </c>
      <c r="Q1374" s="2"/>
      <c r="R1374" s="2"/>
      <c r="S1374" s="1" t="str">
        <f t="shared" si="175"/>
        <v/>
      </c>
      <c r="T1374" s="1" t="str">
        <f>IF(OR($C1374="",$D1374&lt;&gt;"Gelir",$L1374=""),"",IFERROR(INDEX(MUSTERILER!$B$7:$B$156,MATCH($S1374,MUSTERILER!$T$7:$T$156,0)),""))</f>
        <v/>
      </c>
      <c r="U1374" s="1" t="str">
        <f>IF($T1374="","",$T1374&amp;"|"&amp;COUNTIFS($T$7:$T1374,$T1374))</f>
        <v/>
      </c>
      <c r="V1374" s="1">
        <f t="shared" si="176"/>
        <v>0</v>
      </c>
      <c r="W1374" s="1" t="str">
        <f t="shared" si="177"/>
        <v/>
      </c>
      <c r="X1374" s="1"/>
      <c r="Y1374" s="1"/>
      <c r="Z1374" s="1"/>
      <c r="AA1374" s="1"/>
      <c r="AB1374" s="1"/>
      <c r="AC1374" s="1"/>
      <c r="AD1374" s="1">
        <f>IF($C1374="",0,SUMPRODUCT((AY_SONU!$O$7:$O$42="Evet")*(AY_SONU!$B$7:$B$42=DATE(YEAR($C1374),MONTH($C1374),1))))</f>
        <v>0</v>
      </c>
      <c r="AE1374" s="1" t="str">
        <f>IF($E1374="","",$E1374&amp;"|"&amp;COUNTIFS($E$7:$E1374,$E1374))</f>
        <v/>
      </c>
    </row>
    <row r="1375" spans="1:31" ht="18" customHeight="1" x14ac:dyDescent="0.3">
      <c r="A1375" s="2"/>
      <c r="B1375" s="65" t="str">
        <f t="shared" si="170"/>
        <v/>
      </c>
      <c r="C1375" s="66"/>
      <c r="D1375" s="60"/>
      <c r="E1375" s="61"/>
      <c r="F1375" s="61"/>
      <c r="G1375" s="67"/>
      <c r="H1375" s="60"/>
      <c r="I1375" s="60"/>
      <c r="J1375" s="61"/>
      <c r="K1375" s="61"/>
      <c r="L1375" s="60"/>
      <c r="M1375" s="74" t="str">
        <f t="shared" si="171"/>
        <v/>
      </c>
      <c r="N1375" s="74" t="str">
        <f t="shared" si="172"/>
        <v/>
      </c>
      <c r="O1375" s="73" t="str">
        <f t="shared" si="173"/>
        <v/>
      </c>
      <c r="P1375" s="65" t="str">
        <f t="shared" ca="1" si="174"/>
        <v/>
      </c>
      <c r="Q1375" s="2"/>
      <c r="R1375" s="2"/>
      <c r="S1375" s="1" t="str">
        <f t="shared" si="175"/>
        <v/>
      </c>
      <c r="T1375" s="1" t="str">
        <f>IF(OR($C1375="",$D1375&lt;&gt;"Gelir",$L1375=""),"",IFERROR(INDEX(MUSTERILER!$B$7:$B$156,MATCH($S1375,MUSTERILER!$T$7:$T$156,0)),""))</f>
        <v/>
      </c>
      <c r="U1375" s="1" t="str">
        <f>IF($T1375="","",$T1375&amp;"|"&amp;COUNTIFS($T$7:$T1375,$T1375))</f>
        <v/>
      </c>
      <c r="V1375" s="1">
        <f t="shared" si="176"/>
        <v>0</v>
      </c>
      <c r="W1375" s="1" t="str">
        <f t="shared" si="177"/>
        <v/>
      </c>
      <c r="X1375" s="1"/>
      <c r="Y1375" s="1"/>
      <c r="Z1375" s="1"/>
      <c r="AA1375" s="1"/>
      <c r="AB1375" s="1"/>
      <c r="AC1375" s="1"/>
      <c r="AD1375" s="1">
        <f>IF($C1375="",0,SUMPRODUCT((AY_SONU!$O$7:$O$42="Evet")*(AY_SONU!$B$7:$B$42=DATE(YEAR($C1375),MONTH($C1375),1))))</f>
        <v>0</v>
      </c>
      <c r="AE1375" s="1" t="str">
        <f>IF($E1375="","",$E1375&amp;"|"&amp;COUNTIFS($E$7:$E1375,$E1375))</f>
        <v/>
      </c>
    </row>
    <row r="1376" spans="1:31" ht="18" customHeight="1" x14ac:dyDescent="0.3">
      <c r="A1376" s="2"/>
      <c r="B1376" s="65" t="str">
        <f t="shared" si="170"/>
        <v/>
      </c>
      <c r="C1376" s="66"/>
      <c r="D1376" s="60"/>
      <c r="E1376" s="61"/>
      <c r="F1376" s="61"/>
      <c r="G1376" s="67"/>
      <c r="H1376" s="60"/>
      <c r="I1376" s="60"/>
      <c r="J1376" s="61"/>
      <c r="K1376" s="61"/>
      <c r="L1376" s="60"/>
      <c r="M1376" s="74" t="str">
        <f t="shared" si="171"/>
        <v/>
      </c>
      <c r="N1376" s="74" t="str">
        <f t="shared" si="172"/>
        <v/>
      </c>
      <c r="O1376" s="73" t="str">
        <f t="shared" si="173"/>
        <v/>
      </c>
      <c r="P1376" s="65" t="str">
        <f t="shared" ca="1" si="174"/>
        <v/>
      </c>
      <c r="Q1376" s="2"/>
      <c r="R1376" s="2"/>
      <c r="S1376" s="1" t="str">
        <f t="shared" si="175"/>
        <v/>
      </c>
      <c r="T1376" s="1" t="str">
        <f>IF(OR($C1376="",$D1376&lt;&gt;"Gelir",$L1376=""),"",IFERROR(INDEX(MUSTERILER!$B$7:$B$156,MATCH($S1376,MUSTERILER!$T$7:$T$156,0)),""))</f>
        <v/>
      </c>
      <c r="U1376" s="1" t="str">
        <f>IF($T1376="","",$T1376&amp;"|"&amp;COUNTIFS($T$7:$T1376,$T1376))</f>
        <v/>
      </c>
      <c r="V1376" s="1">
        <f t="shared" si="176"/>
        <v>0</v>
      </c>
      <c r="W1376" s="1" t="str">
        <f t="shared" si="177"/>
        <v/>
      </c>
      <c r="X1376" s="1"/>
      <c r="Y1376" s="1"/>
      <c r="Z1376" s="1"/>
      <c r="AA1376" s="1"/>
      <c r="AB1376" s="1"/>
      <c r="AC1376" s="1"/>
      <c r="AD1376" s="1">
        <f>IF($C1376="",0,SUMPRODUCT((AY_SONU!$O$7:$O$42="Evet")*(AY_SONU!$B$7:$B$42=DATE(YEAR($C1376),MONTH($C1376),1))))</f>
        <v>0</v>
      </c>
      <c r="AE1376" s="1" t="str">
        <f>IF($E1376="","",$E1376&amp;"|"&amp;COUNTIFS($E$7:$E1376,$E1376))</f>
        <v/>
      </c>
    </row>
    <row r="1377" spans="1:31" ht="18" customHeight="1" x14ac:dyDescent="0.3">
      <c r="A1377" s="2"/>
      <c r="B1377" s="65" t="str">
        <f t="shared" si="170"/>
        <v/>
      </c>
      <c r="C1377" s="66"/>
      <c r="D1377" s="60"/>
      <c r="E1377" s="61"/>
      <c r="F1377" s="61"/>
      <c r="G1377" s="67"/>
      <c r="H1377" s="60"/>
      <c r="I1377" s="60"/>
      <c r="J1377" s="61"/>
      <c r="K1377" s="61"/>
      <c r="L1377" s="60"/>
      <c r="M1377" s="74" t="str">
        <f t="shared" si="171"/>
        <v/>
      </c>
      <c r="N1377" s="74" t="str">
        <f t="shared" si="172"/>
        <v/>
      </c>
      <c r="O1377" s="73" t="str">
        <f t="shared" si="173"/>
        <v/>
      </c>
      <c r="P1377" s="65" t="str">
        <f t="shared" ca="1" si="174"/>
        <v/>
      </c>
      <c r="Q1377" s="2"/>
      <c r="R1377" s="2"/>
      <c r="S1377" s="1" t="str">
        <f t="shared" si="175"/>
        <v/>
      </c>
      <c r="T1377" s="1" t="str">
        <f>IF(OR($C1377="",$D1377&lt;&gt;"Gelir",$L1377=""),"",IFERROR(INDEX(MUSTERILER!$B$7:$B$156,MATCH($S1377,MUSTERILER!$T$7:$T$156,0)),""))</f>
        <v/>
      </c>
      <c r="U1377" s="1" t="str">
        <f>IF($T1377="","",$T1377&amp;"|"&amp;COUNTIFS($T$7:$T1377,$T1377))</f>
        <v/>
      </c>
      <c r="V1377" s="1">
        <f t="shared" si="176"/>
        <v>0</v>
      </c>
      <c r="W1377" s="1" t="str">
        <f t="shared" si="177"/>
        <v/>
      </c>
      <c r="X1377" s="1"/>
      <c r="Y1377" s="1"/>
      <c r="Z1377" s="1"/>
      <c r="AA1377" s="1"/>
      <c r="AB1377" s="1"/>
      <c r="AC1377" s="1"/>
      <c r="AD1377" s="1">
        <f>IF($C1377="",0,SUMPRODUCT((AY_SONU!$O$7:$O$42="Evet")*(AY_SONU!$B$7:$B$42=DATE(YEAR($C1377),MONTH($C1377),1))))</f>
        <v>0</v>
      </c>
      <c r="AE1377" s="1" t="str">
        <f>IF($E1377="","",$E1377&amp;"|"&amp;COUNTIFS($E$7:$E1377,$E1377))</f>
        <v/>
      </c>
    </row>
    <row r="1378" spans="1:31" ht="18" customHeight="1" x14ac:dyDescent="0.3">
      <c r="A1378" s="2"/>
      <c r="B1378" s="65" t="str">
        <f t="shared" si="170"/>
        <v/>
      </c>
      <c r="C1378" s="66"/>
      <c r="D1378" s="60"/>
      <c r="E1378" s="61"/>
      <c r="F1378" s="61"/>
      <c r="G1378" s="67"/>
      <c r="H1378" s="60"/>
      <c r="I1378" s="60"/>
      <c r="J1378" s="61"/>
      <c r="K1378" s="61"/>
      <c r="L1378" s="60"/>
      <c r="M1378" s="74" t="str">
        <f t="shared" si="171"/>
        <v/>
      </c>
      <c r="N1378" s="74" t="str">
        <f t="shared" si="172"/>
        <v/>
      </c>
      <c r="O1378" s="73" t="str">
        <f t="shared" si="173"/>
        <v/>
      </c>
      <c r="P1378" s="65" t="str">
        <f t="shared" ca="1" si="174"/>
        <v/>
      </c>
      <c r="Q1378" s="2"/>
      <c r="R1378" s="2"/>
      <c r="S1378" s="1" t="str">
        <f t="shared" si="175"/>
        <v/>
      </c>
      <c r="T1378" s="1" t="str">
        <f>IF(OR($C1378="",$D1378&lt;&gt;"Gelir",$L1378=""),"",IFERROR(INDEX(MUSTERILER!$B$7:$B$156,MATCH($S1378,MUSTERILER!$T$7:$T$156,0)),""))</f>
        <v/>
      </c>
      <c r="U1378" s="1" t="str">
        <f>IF($T1378="","",$T1378&amp;"|"&amp;COUNTIFS($T$7:$T1378,$T1378))</f>
        <v/>
      </c>
      <c r="V1378" s="1">
        <f t="shared" si="176"/>
        <v>0</v>
      </c>
      <c r="W1378" s="1" t="str">
        <f t="shared" si="177"/>
        <v/>
      </c>
      <c r="X1378" s="1"/>
      <c r="Y1378" s="1"/>
      <c r="Z1378" s="1"/>
      <c r="AA1378" s="1"/>
      <c r="AB1378" s="1"/>
      <c r="AC1378" s="1"/>
      <c r="AD1378" s="1">
        <f>IF($C1378="",0,SUMPRODUCT((AY_SONU!$O$7:$O$42="Evet")*(AY_SONU!$B$7:$B$42=DATE(YEAR($C1378),MONTH($C1378),1))))</f>
        <v>0</v>
      </c>
      <c r="AE1378" s="1" t="str">
        <f>IF($E1378="","",$E1378&amp;"|"&amp;COUNTIFS($E$7:$E1378,$E1378))</f>
        <v/>
      </c>
    </row>
    <row r="1379" spans="1:31" ht="18" customHeight="1" x14ac:dyDescent="0.3">
      <c r="A1379" s="2"/>
      <c r="B1379" s="65" t="str">
        <f t="shared" si="170"/>
        <v/>
      </c>
      <c r="C1379" s="66"/>
      <c r="D1379" s="60"/>
      <c r="E1379" s="61"/>
      <c r="F1379" s="61"/>
      <c r="G1379" s="67"/>
      <c r="H1379" s="60"/>
      <c r="I1379" s="60"/>
      <c r="J1379" s="61"/>
      <c r="K1379" s="61"/>
      <c r="L1379" s="60"/>
      <c r="M1379" s="74" t="str">
        <f t="shared" si="171"/>
        <v/>
      </c>
      <c r="N1379" s="74" t="str">
        <f t="shared" si="172"/>
        <v/>
      </c>
      <c r="O1379" s="73" t="str">
        <f t="shared" si="173"/>
        <v/>
      </c>
      <c r="P1379" s="65" t="str">
        <f t="shared" ca="1" si="174"/>
        <v/>
      </c>
      <c r="Q1379" s="2"/>
      <c r="R1379" s="2"/>
      <c r="S1379" s="1" t="str">
        <f t="shared" si="175"/>
        <v/>
      </c>
      <c r="T1379" s="1" t="str">
        <f>IF(OR($C1379="",$D1379&lt;&gt;"Gelir",$L1379=""),"",IFERROR(INDEX(MUSTERILER!$B$7:$B$156,MATCH($S1379,MUSTERILER!$T$7:$T$156,0)),""))</f>
        <v/>
      </c>
      <c r="U1379" s="1" t="str">
        <f>IF($T1379="","",$T1379&amp;"|"&amp;COUNTIFS($T$7:$T1379,$T1379))</f>
        <v/>
      </c>
      <c r="V1379" s="1">
        <f t="shared" si="176"/>
        <v>0</v>
      </c>
      <c r="W1379" s="1" t="str">
        <f t="shared" si="177"/>
        <v/>
      </c>
      <c r="X1379" s="1"/>
      <c r="Y1379" s="1"/>
      <c r="Z1379" s="1"/>
      <c r="AA1379" s="1"/>
      <c r="AB1379" s="1"/>
      <c r="AC1379" s="1"/>
      <c r="AD1379" s="1">
        <f>IF($C1379="",0,SUMPRODUCT((AY_SONU!$O$7:$O$42="Evet")*(AY_SONU!$B$7:$B$42=DATE(YEAR($C1379),MONTH($C1379),1))))</f>
        <v>0</v>
      </c>
      <c r="AE1379" s="1" t="str">
        <f>IF($E1379="","",$E1379&amp;"|"&amp;COUNTIFS($E$7:$E1379,$E1379))</f>
        <v/>
      </c>
    </row>
    <row r="1380" spans="1:31" ht="18" customHeight="1" x14ac:dyDescent="0.3">
      <c r="A1380" s="2"/>
      <c r="B1380" s="65" t="str">
        <f t="shared" si="170"/>
        <v/>
      </c>
      <c r="C1380" s="66"/>
      <c r="D1380" s="60"/>
      <c r="E1380" s="61"/>
      <c r="F1380" s="61"/>
      <c r="G1380" s="67"/>
      <c r="H1380" s="60"/>
      <c r="I1380" s="60"/>
      <c r="J1380" s="61"/>
      <c r="K1380" s="61"/>
      <c r="L1380" s="60"/>
      <c r="M1380" s="74" t="str">
        <f t="shared" si="171"/>
        <v/>
      </c>
      <c r="N1380" s="74" t="str">
        <f t="shared" si="172"/>
        <v/>
      </c>
      <c r="O1380" s="73" t="str">
        <f t="shared" si="173"/>
        <v/>
      </c>
      <c r="P1380" s="65" t="str">
        <f t="shared" ca="1" si="174"/>
        <v/>
      </c>
      <c r="Q1380" s="2"/>
      <c r="R1380" s="2"/>
      <c r="S1380" s="1" t="str">
        <f t="shared" si="175"/>
        <v/>
      </c>
      <c r="T1380" s="1" t="str">
        <f>IF(OR($C1380="",$D1380&lt;&gt;"Gelir",$L1380=""),"",IFERROR(INDEX(MUSTERILER!$B$7:$B$156,MATCH($S1380,MUSTERILER!$T$7:$T$156,0)),""))</f>
        <v/>
      </c>
      <c r="U1380" s="1" t="str">
        <f>IF($T1380="","",$T1380&amp;"|"&amp;COUNTIFS($T$7:$T1380,$T1380))</f>
        <v/>
      </c>
      <c r="V1380" s="1">
        <f t="shared" si="176"/>
        <v>0</v>
      </c>
      <c r="W1380" s="1" t="str">
        <f t="shared" si="177"/>
        <v/>
      </c>
      <c r="X1380" s="1"/>
      <c r="Y1380" s="1"/>
      <c r="Z1380" s="1"/>
      <c r="AA1380" s="1"/>
      <c r="AB1380" s="1"/>
      <c r="AC1380" s="1"/>
      <c r="AD1380" s="1">
        <f>IF($C1380="",0,SUMPRODUCT((AY_SONU!$O$7:$O$42="Evet")*(AY_SONU!$B$7:$B$42=DATE(YEAR($C1380),MONTH($C1380),1))))</f>
        <v>0</v>
      </c>
      <c r="AE1380" s="1" t="str">
        <f>IF($E1380="","",$E1380&amp;"|"&amp;COUNTIFS($E$7:$E1380,$E1380))</f>
        <v/>
      </c>
    </row>
    <row r="1381" spans="1:31" ht="18" customHeight="1" x14ac:dyDescent="0.3">
      <c r="A1381" s="2"/>
      <c r="B1381" s="65" t="str">
        <f t="shared" si="170"/>
        <v/>
      </c>
      <c r="C1381" s="66"/>
      <c r="D1381" s="60"/>
      <c r="E1381" s="61"/>
      <c r="F1381" s="61"/>
      <c r="G1381" s="67"/>
      <c r="H1381" s="60"/>
      <c r="I1381" s="60"/>
      <c r="J1381" s="61"/>
      <c r="K1381" s="61"/>
      <c r="L1381" s="60"/>
      <c r="M1381" s="74" t="str">
        <f t="shared" si="171"/>
        <v/>
      </c>
      <c r="N1381" s="74" t="str">
        <f t="shared" si="172"/>
        <v/>
      </c>
      <c r="O1381" s="73" t="str">
        <f t="shared" si="173"/>
        <v/>
      </c>
      <c r="P1381" s="65" t="str">
        <f t="shared" ca="1" si="174"/>
        <v/>
      </c>
      <c r="Q1381" s="2"/>
      <c r="R1381" s="2"/>
      <c r="S1381" s="1" t="str">
        <f t="shared" si="175"/>
        <v/>
      </c>
      <c r="T1381" s="1" t="str">
        <f>IF(OR($C1381="",$D1381&lt;&gt;"Gelir",$L1381=""),"",IFERROR(INDEX(MUSTERILER!$B$7:$B$156,MATCH($S1381,MUSTERILER!$T$7:$T$156,0)),""))</f>
        <v/>
      </c>
      <c r="U1381" s="1" t="str">
        <f>IF($T1381="","",$T1381&amp;"|"&amp;COUNTIFS($T$7:$T1381,$T1381))</f>
        <v/>
      </c>
      <c r="V1381" s="1">
        <f t="shared" si="176"/>
        <v>0</v>
      </c>
      <c r="W1381" s="1" t="str">
        <f t="shared" si="177"/>
        <v/>
      </c>
      <c r="X1381" s="1"/>
      <c r="Y1381" s="1"/>
      <c r="Z1381" s="1"/>
      <c r="AA1381" s="1"/>
      <c r="AB1381" s="1"/>
      <c r="AC1381" s="1"/>
      <c r="AD1381" s="1">
        <f>IF($C1381="",0,SUMPRODUCT((AY_SONU!$O$7:$O$42="Evet")*(AY_SONU!$B$7:$B$42=DATE(YEAR($C1381),MONTH($C1381),1))))</f>
        <v>0</v>
      </c>
      <c r="AE1381" s="1" t="str">
        <f>IF($E1381="","",$E1381&amp;"|"&amp;COUNTIFS($E$7:$E1381,$E1381))</f>
        <v/>
      </c>
    </row>
    <row r="1382" spans="1:31" ht="18" customHeight="1" x14ac:dyDescent="0.3">
      <c r="A1382" s="2"/>
      <c r="B1382" s="65" t="str">
        <f t="shared" si="170"/>
        <v/>
      </c>
      <c r="C1382" s="66"/>
      <c r="D1382" s="60"/>
      <c r="E1382" s="61"/>
      <c r="F1382" s="61"/>
      <c r="G1382" s="67"/>
      <c r="H1382" s="60"/>
      <c r="I1382" s="60"/>
      <c r="J1382" s="61"/>
      <c r="K1382" s="61"/>
      <c r="L1382" s="60"/>
      <c r="M1382" s="74" t="str">
        <f t="shared" si="171"/>
        <v/>
      </c>
      <c r="N1382" s="74" t="str">
        <f t="shared" si="172"/>
        <v/>
      </c>
      <c r="O1382" s="73" t="str">
        <f t="shared" si="173"/>
        <v/>
      </c>
      <c r="P1382" s="65" t="str">
        <f t="shared" ca="1" si="174"/>
        <v/>
      </c>
      <c r="Q1382" s="2"/>
      <c r="R1382" s="2"/>
      <c r="S1382" s="1" t="str">
        <f t="shared" si="175"/>
        <v/>
      </c>
      <c r="T1382" s="1" t="str">
        <f>IF(OR($C1382="",$D1382&lt;&gt;"Gelir",$L1382=""),"",IFERROR(INDEX(MUSTERILER!$B$7:$B$156,MATCH($S1382,MUSTERILER!$T$7:$T$156,0)),""))</f>
        <v/>
      </c>
      <c r="U1382" s="1" t="str">
        <f>IF($T1382="","",$T1382&amp;"|"&amp;COUNTIFS($T$7:$T1382,$T1382))</f>
        <v/>
      </c>
      <c r="V1382" s="1">
        <f t="shared" si="176"/>
        <v>0</v>
      </c>
      <c r="W1382" s="1" t="str">
        <f t="shared" si="177"/>
        <v/>
      </c>
      <c r="X1382" s="1"/>
      <c r="Y1382" s="1"/>
      <c r="Z1382" s="1"/>
      <c r="AA1382" s="1"/>
      <c r="AB1382" s="1"/>
      <c r="AC1382" s="1"/>
      <c r="AD1382" s="1">
        <f>IF($C1382="",0,SUMPRODUCT((AY_SONU!$O$7:$O$42="Evet")*(AY_SONU!$B$7:$B$42=DATE(YEAR($C1382),MONTH($C1382),1))))</f>
        <v>0</v>
      </c>
      <c r="AE1382" s="1" t="str">
        <f>IF($E1382="","",$E1382&amp;"|"&amp;COUNTIFS($E$7:$E1382,$E1382))</f>
        <v/>
      </c>
    </row>
    <row r="1383" spans="1:31" ht="18" customHeight="1" x14ac:dyDescent="0.3">
      <c r="A1383" s="2"/>
      <c r="B1383" s="65" t="str">
        <f t="shared" si="170"/>
        <v/>
      </c>
      <c r="C1383" s="66"/>
      <c r="D1383" s="60"/>
      <c r="E1383" s="61"/>
      <c r="F1383" s="61"/>
      <c r="G1383" s="67"/>
      <c r="H1383" s="60"/>
      <c r="I1383" s="60"/>
      <c r="J1383" s="61"/>
      <c r="K1383" s="61"/>
      <c r="L1383" s="60"/>
      <c r="M1383" s="74" t="str">
        <f t="shared" si="171"/>
        <v/>
      </c>
      <c r="N1383" s="74" t="str">
        <f t="shared" si="172"/>
        <v/>
      </c>
      <c r="O1383" s="73" t="str">
        <f t="shared" si="173"/>
        <v/>
      </c>
      <c r="P1383" s="65" t="str">
        <f t="shared" ca="1" si="174"/>
        <v/>
      </c>
      <c r="Q1383" s="2"/>
      <c r="R1383" s="2"/>
      <c r="S1383" s="1" t="str">
        <f t="shared" si="175"/>
        <v/>
      </c>
      <c r="T1383" s="1" t="str">
        <f>IF(OR($C1383="",$D1383&lt;&gt;"Gelir",$L1383=""),"",IFERROR(INDEX(MUSTERILER!$B$7:$B$156,MATCH($S1383,MUSTERILER!$T$7:$T$156,0)),""))</f>
        <v/>
      </c>
      <c r="U1383" s="1" t="str">
        <f>IF($T1383="","",$T1383&amp;"|"&amp;COUNTIFS($T$7:$T1383,$T1383))</f>
        <v/>
      </c>
      <c r="V1383" s="1">
        <f t="shared" si="176"/>
        <v>0</v>
      </c>
      <c r="W1383" s="1" t="str">
        <f t="shared" si="177"/>
        <v/>
      </c>
      <c r="X1383" s="1"/>
      <c r="Y1383" s="1"/>
      <c r="Z1383" s="1"/>
      <c r="AA1383" s="1"/>
      <c r="AB1383" s="1"/>
      <c r="AC1383" s="1"/>
      <c r="AD1383" s="1">
        <f>IF($C1383="",0,SUMPRODUCT((AY_SONU!$O$7:$O$42="Evet")*(AY_SONU!$B$7:$B$42=DATE(YEAR($C1383),MONTH($C1383),1))))</f>
        <v>0</v>
      </c>
      <c r="AE1383" s="1" t="str">
        <f>IF($E1383="","",$E1383&amp;"|"&amp;COUNTIFS($E$7:$E1383,$E1383))</f>
        <v/>
      </c>
    </row>
    <row r="1384" spans="1:31" ht="18" customHeight="1" x14ac:dyDescent="0.3">
      <c r="A1384" s="2"/>
      <c r="B1384" s="65" t="str">
        <f t="shared" si="170"/>
        <v/>
      </c>
      <c r="C1384" s="66"/>
      <c r="D1384" s="60"/>
      <c r="E1384" s="61"/>
      <c r="F1384" s="61"/>
      <c r="G1384" s="67"/>
      <c r="H1384" s="60"/>
      <c r="I1384" s="60"/>
      <c r="J1384" s="61"/>
      <c r="K1384" s="61"/>
      <c r="L1384" s="60"/>
      <c r="M1384" s="74" t="str">
        <f t="shared" si="171"/>
        <v/>
      </c>
      <c r="N1384" s="74" t="str">
        <f t="shared" si="172"/>
        <v/>
      </c>
      <c r="O1384" s="73" t="str">
        <f t="shared" si="173"/>
        <v/>
      </c>
      <c r="P1384" s="65" t="str">
        <f t="shared" ca="1" si="174"/>
        <v/>
      </c>
      <c r="Q1384" s="2"/>
      <c r="R1384" s="2"/>
      <c r="S1384" s="1" t="str">
        <f t="shared" si="175"/>
        <v/>
      </c>
      <c r="T1384" s="1" t="str">
        <f>IF(OR($C1384="",$D1384&lt;&gt;"Gelir",$L1384=""),"",IFERROR(INDEX(MUSTERILER!$B$7:$B$156,MATCH($S1384,MUSTERILER!$T$7:$T$156,0)),""))</f>
        <v/>
      </c>
      <c r="U1384" s="1" t="str">
        <f>IF($T1384="","",$T1384&amp;"|"&amp;COUNTIFS($T$7:$T1384,$T1384))</f>
        <v/>
      </c>
      <c r="V1384" s="1">
        <f t="shared" si="176"/>
        <v>0</v>
      </c>
      <c r="W1384" s="1" t="str">
        <f t="shared" si="177"/>
        <v/>
      </c>
      <c r="X1384" s="1"/>
      <c r="Y1384" s="1"/>
      <c r="Z1384" s="1"/>
      <c r="AA1384" s="1"/>
      <c r="AB1384" s="1"/>
      <c r="AC1384" s="1"/>
      <c r="AD1384" s="1">
        <f>IF($C1384="",0,SUMPRODUCT((AY_SONU!$O$7:$O$42="Evet")*(AY_SONU!$B$7:$B$42=DATE(YEAR($C1384),MONTH($C1384),1))))</f>
        <v>0</v>
      </c>
      <c r="AE1384" s="1" t="str">
        <f>IF($E1384="","",$E1384&amp;"|"&amp;COUNTIFS($E$7:$E1384,$E1384))</f>
        <v/>
      </c>
    </row>
    <row r="1385" spans="1:31" ht="18" customHeight="1" x14ac:dyDescent="0.3">
      <c r="A1385" s="2"/>
      <c r="B1385" s="65" t="str">
        <f t="shared" si="170"/>
        <v/>
      </c>
      <c r="C1385" s="66"/>
      <c r="D1385" s="60"/>
      <c r="E1385" s="61"/>
      <c r="F1385" s="61"/>
      <c r="G1385" s="67"/>
      <c r="H1385" s="60"/>
      <c r="I1385" s="60"/>
      <c r="J1385" s="61"/>
      <c r="K1385" s="61"/>
      <c r="L1385" s="60"/>
      <c r="M1385" s="74" t="str">
        <f t="shared" si="171"/>
        <v/>
      </c>
      <c r="N1385" s="74" t="str">
        <f t="shared" si="172"/>
        <v/>
      </c>
      <c r="O1385" s="73" t="str">
        <f t="shared" si="173"/>
        <v/>
      </c>
      <c r="P1385" s="65" t="str">
        <f t="shared" ca="1" si="174"/>
        <v/>
      </c>
      <c r="Q1385" s="2"/>
      <c r="R1385" s="2"/>
      <c r="S1385" s="1" t="str">
        <f t="shared" si="175"/>
        <v/>
      </c>
      <c r="T1385" s="1" t="str">
        <f>IF(OR($C1385="",$D1385&lt;&gt;"Gelir",$L1385=""),"",IFERROR(INDEX(MUSTERILER!$B$7:$B$156,MATCH($S1385,MUSTERILER!$T$7:$T$156,0)),""))</f>
        <v/>
      </c>
      <c r="U1385" s="1" t="str">
        <f>IF($T1385="","",$T1385&amp;"|"&amp;COUNTIFS($T$7:$T1385,$T1385))</f>
        <v/>
      </c>
      <c r="V1385" s="1">
        <f t="shared" si="176"/>
        <v>0</v>
      </c>
      <c r="W1385" s="1" t="str">
        <f t="shared" si="177"/>
        <v/>
      </c>
      <c r="X1385" s="1"/>
      <c r="Y1385" s="1"/>
      <c r="Z1385" s="1"/>
      <c r="AA1385" s="1"/>
      <c r="AB1385" s="1"/>
      <c r="AC1385" s="1"/>
      <c r="AD1385" s="1">
        <f>IF($C1385="",0,SUMPRODUCT((AY_SONU!$O$7:$O$42="Evet")*(AY_SONU!$B$7:$B$42=DATE(YEAR($C1385),MONTH($C1385),1))))</f>
        <v>0</v>
      </c>
      <c r="AE1385" s="1" t="str">
        <f>IF($E1385="","",$E1385&amp;"|"&amp;COUNTIFS($E$7:$E1385,$E1385))</f>
        <v/>
      </c>
    </row>
    <row r="1386" spans="1:31" ht="18" customHeight="1" x14ac:dyDescent="0.3">
      <c r="A1386" s="2"/>
      <c r="B1386" s="65" t="str">
        <f t="shared" si="170"/>
        <v/>
      </c>
      <c r="C1386" s="66"/>
      <c r="D1386" s="60"/>
      <c r="E1386" s="61"/>
      <c r="F1386" s="61"/>
      <c r="G1386" s="67"/>
      <c r="H1386" s="60"/>
      <c r="I1386" s="60"/>
      <c r="J1386" s="61"/>
      <c r="K1386" s="61"/>
      <c r="L1386" s="60"/>
      <c r="M1386" s="74" t="str">
        <f t="shared" si="171"/>
        <v/>
      </c>
      <c r="N1386" s="74" t="str">
        <f t="shared" si="172"/>
        <v/>
      </c>
      <c r="O1386" s="73" t="str">
        <f t="shared" si="173"/>
        <v/>
      </c>
      <c r="P1386" s="65" t="str">
        <f t="shared" ca="1" si="174"/>
        <v/>
      </c>
      <c r="Q1386" s="2"/>
      <c r="R1386" s="2"/>
      <c r="S1386" s="1" t="str">
        <f t="shared" si="175"/>
        <v/>
      </c>
      <c r="T1386" s="1" t="str">
        <f>IF(OR($C1386="",$D1386&lt;&gt;"Gelir",$L1386=""),"",IFERROR(INDEX(MUSTERILER!$B$7:$B$156,MATCH($S1386,MUSTERILER!$T$7:$T$156,0)),""))</f>
        <v/>
      </c>
      <c r="U1386" s="1" t="str">
        <f>IF($T1386="","",$T1386&amp;"|"&amp;COUNTIFS($T$7:$T1386,$T1386))</f>
        <v/>
      </c>
      <c r="V1386" s="1">
        <f t="shared" si="176"/>
        <v>0</v>
      </c>
      <c r="W1386" s="1" t="str">
        <f t="shared" si="177"/>
        <v/>
      </c>
      <c r="X1386" s="1"/>
      <c r="Y1386" s="1"/>
      <c r="Z1386" s="1"/>
      <c r="AA1386" s="1"/>
      <c r="AB1386" s="1"/>
      <c r="AC1386" s="1"/>
      <c r="AD1386" s="1">
        <f>IF($C1386="",0,SUMPRODUCT((AY_SONU!$O$7:$O$42="Evet")*(AY_SONU!$B$7:$B$42=DATE(YEAR($C1386),MONTH($C1386),1))))</f>
        <v>0</v>
      </c>
      <c r="AE1386" s="1" t="str">
        <f>IF($E1386="","",$E1386&amp;"|"&amp;COUNTIFS($E$7:$E1386,$E1386))</f>
        <v/>
      </c>
    </row>
    <row r="1387" spans="1:31" ht="18" customHeight="1" x14ac:dyDescent="0.3">
      <c r="A1387" s="2"/>
      <c r="B1387" s="65" t="str">
        <f t="shared" si="170"/>
        <v/>
      </c>
      <c r="C1387" s="66"/>
      <c r="D1387" s="60"/>
      <c r="E1387" s="61"/>
      <c r="F1387" s="61"/>
      <c r="G1387" s="67"/>
      <c r="H1387" s="60"/>
      <c r="I1387" s="60"/>
      <c r="J1387" s="61"/>
      <c r="K1387" s="61"/>
      <c r="L1387" s="60"/>
      <c r="M1387" s="74" t="str">
        <f t="shared" si="171"/>
        <v/>
      </c>
      <c r="N1387" s="74" t="str">
        <f t="shared" si="172"/>
        <v/>
      </c>
      <c r="O1387" s="73" t="str">
        <f t="shared" si="173"/>
        <v/>
      </c>
      <c r="P1387" s="65" t="str">
        <f t="shared" ca="1" si="174"/>
        <v/>
      </c>
      <c r="Q1387" s="2"/>
      <c r="R1387" s="2"/>
      <c r="S1387" s="1" t="str">
        <f t="shared" si="175"/>
        <v/>
      </c>
      <c r="T1387" s="1" t="str">
        <f>IF(OR($C1387="",$D1387&lt;&gt;"Gelir",$L1387=""),"",IFERROR(INDEX(MUSTERILER!$B$7:$B$156,MATCH($S1387,MUSTERILER!$T$7:$T$156,0)),""))</f>
        <v/>
      </c>
      <c r="U1387" s="1" t="str">
        <f>IF($T1387="","",$T1387&amp;"|"&amp;COUNTIFS($T$7:$T1387,$T1387))</f>
        <v/>
      </c>
      <c r="V1387" s="1">
        <f t="shared" si="176"/>
        <v>0</v>
      </c>
      <c r="W1387" s="1" t="str">
        <f t="shared" si="177"/>
        <v/>
      </c>
      <c r="X1387" s="1"/>
      <c r="Y1387" s="1"/>
      <c r="Z1387" s="1"/>
      <c r="AA1387" s="1"/>
      <c r="AB1387" s="1"/>
      <c r="AC1387" s="1"/>
      <c r="AD1387" s="1">
        <f>IF($C1387="",0,SUMPRODUCT((AY_SONU!$O$7:$O$42="Evet")*(AY_SONU!$B$7:$B$42=DATE(YEAR($C1387),MONTH($C1387),1))))</f>
        <v>0</v>
      </c>
      <c r="AE1387" s="1" t="str">
        <f>IF($E1387="","",$E1387&amp;"|"&amp;COUNTIFS($E$7:$E1387,$E1387))</f>
        <v/>
      </c>
    </row>
    <row r="1388" spans="1:31" ht="18" customHeight="1" x14ac:dyDescent="0.3">
      <c r="A1388" s="2"/>
      <c r="B1388" s="65" t="str">
        <f t="shared" si="170"/>
        <v/>
      </c>
      <c r="C1388" s="66"/>
      <c r="D1388" s="60"/>
      <c r="E1388" s="61"/>
      <c r="F1388" s="61"/>
      <c r="G1388" s="67"/>
      <c r="H1388" s="60"/>
      <c r="I1388" s="60"/>
      <c r="J1388" s="61"/>
      <c r="K1388" s="61"/>
      <c r="L1388" s="60"/>
      <c r="M1388" s="74" t="str">
        <f t="shared" si="171"/>
        <v/>
      </c>
      <c r="N1388" s="74" t="str">
        <f t="shared" si="172"/>
        <v/>
      </c>
      <c r="O1388" s="73" t="str">
        <f t="shared" si="173"/>
        <v/>
      </c>
      <c r="P1388" s="65" t="str">
        <f t="shared" ca="1" si="174"/>
        <v/>
      </c>
      <c r="Q1388" s="2"/>
      <c r="R1388" s="2"/>
      <c r="S1388" s="1" t="str">
        <f t="shared" si="175"/>
        <v/>
      </c>
      <c r="T1388" s="1" t="str">
        <f>IF(OR($C1388="",$D1388&lt;&gt;"Gelir",$L1388=""),"",IFERROR(INDEX(MUSTERILER!$B$7:$B$156,MATCH($S1388,MUSTERILER!$T$7:$T$156,0)),""))</f>
        <v/>
      </c>
      <c r="U1388" s="1" t="str">
        <f>IF($T1388="","",$T1388&amp;"|"&amp;COUNTIFS($T$7:$T1388,$T1388))</f>
        <v/>
      </c>
      <c r="V1388" s="1">
        <f t="shared" si="176"/>
        <v>0</v>
      </c>
      <c r="W1388" s="1" t="str">
        <f t="shared" si="177"/>
        <v/>
      </c>
      <c r="X1388" s="1"/>
      <c r="Y1388" s="1"/>
      <c r="Z1388" s="1"/>
      <c r="AA1388" s="1"/>
      <c r="AB1388" s="1"/>
      <c r="AC1388" s="1"/>
      <c r="AD1388" s="1">
        <f>IF($C1388="",0,SUMPRODUCT((AY_SONU!$O$7:$O$42="Evet")*(AY_SONU!$B$7:$B$42=DATE(YEAR($C1388),MONTH($C1388),1))))</f>
        <v>0</v>
      </c>
      <c r="AE1388" s="1" t="str">
        <f>IF($E1388="","",$E1388&amp;"|"&amp;COUNTIFS($E$7:$E1388,$E1388))</f>
        <v/>
      </c>
    </row>
    <row r="1389" spans="1:31" ht="18" customHeight="1" x14ac:dyDescent="0.3">
      <c r="A1389" s="2"/>
      <c r="B1389" s="65" t="str">
        <f t="shared" si="170"/>
        <v/>
      </c>
      <c r="C1389" s="66"/>
      <c r="D1389" s="60"/>
      <c r="E1389" s="61"/>
      <c r="F1389" s="61"/>
      <c r="G1389" s="67"/>
      <c r="H1389" s="60"/>
      <c r="I1389" s="60"/>
      <c r="J1389" s="61"/>
      <c r="K1389" s="61"/>
      <c r="L1389" s="60"/>
      <c r="M1389" s="74" t="str">
        <f t="shared" si="171"/>
        <v/>
      </c>
      <c r="N1389" s="74" t="str">
        <f t="shared" si="172"/>
        <v/>
      </c>
      <c r="O1389" s="73" t="str">
        <f t="shared" si="173"/>
        <v/>
      </c>
      <c r="P1389" s="65" t="str">
        <f t="shared" ca="1" si="174"/>
        <v/>
      </c>
      <c r="Q1389" s="2"/>
      <c r="R1389" s="2"/>
      <c r="S1389" s="1" t="str">
        <f t="shared" si="175"/>
        <v/>
      </c>
      <c r="T1389" s="1" t="str">
        <f>IF(OR($C1389="",$D1389&lt;&gt;"Gelir",$L1389=""),"",IFERROR(INDEX(MUSTERILER!$B$7:$B$156,MATCH($S1389,MUSTERILER!$T$7:$T$156,0)),""))</f>
        <v/>
      </c>
      <c r="U1389" s="1" t="str">
        <f>IF($T1389="","",$T1389&amp;"|"&amp;COUNTIFS($T$7:$T1389,$T1389))</f>
        <v/>
      </c>
      <c r="V1389" s="1">
        <f t="shared" si="176"/>
        <v>0</v>
      </c>
      <c r="W1389" s="1" t="str">
        <f t="shared" si="177"/>
        <v/>
      </c>
      <c r="X1389" s="1"/>
      <c r="Y1389" s="1"/>
      <c r="Z1389" s="1"/>
      <c r="AA1389" s="1"/>
      <c r="AB1389" s="1"/>
      <c r="AC1389" s="1"/>
      <c r="AD1389" s="1">
        <f>IF($C1389="",0,SUMPRODUCT((AY_SONU!$O$7:$O$42="Evet")*(AY_SONU!$B$7:$B$42=DATE(YEAR($C1389),MONTH($C1389),1))))</f>
        <v>0</v>
      </c>
      <c r="AE1389" s="1" t="str">
        <f>IF($E1389="","",$E1389&amp;"|"&amp;COUNTIFS($E$7:$E1389,$E1389))</f>
        <v/>
      </c>
    </row>
    <row r="1390" spans="1:31" ht="18" customHeight="1" x14ac:dyDescent="0.3">
      <c r="A1390" s="2"/>
      <c r="B1390" s="65" t="str">
        <f t="shared" si="170"/>
        <v/>
      </c>
      <c r="C1390" s="66"/>
      <c r="D1390" s="60"/>
      <c r="E1390" s="61"/>
      <c r="F1390" s="61"/>
      <c r="G1390" s="67"/>
      <c r="H1390" s="60"/>
      <c r="I1390" s="60"/>
      <c r="J1390" s="61"/>
      <c r="K1390" s="61"/>
      <c r="L1390" s="60"/>
      <c r="M1390" s="74" t="str">
        <f t="shared" si="171"/>
        <v/>
      </c>
      <c r="N1390" s="74" t="str">
        <f t="shared" si="172"/>
        <v/>
      </c>
      <c r="O1390" s="73" t="str">
        <f t="shared" si="173"/>
        <v/>
      </c>
      <c r="P1390" s="65" t="str">
        <f t="shared" ca="1" si="174"/>
        <v/>
      </c>
      <c r="Q1390" s="2"/>
      <c r="R1390" s="2"/>
      <c r="S1390" s="1" t="str">
        <f t="shared" si="175"/>
        <v/>
      </c>
      <c r="T1390" s="1" t="str">
        <f>IF(OR($C1390="",$D1390&lt;&gt;"Gelir",$L1390=""),"",IFERROR(INDEX(MUSTERILER!$B$7:$B$156,MATCH($S1390,MUSTERILER!$T$7:$T$156,0)),""))</f>
        <v/>
      </c>
      <c r="U1390" s="1" t="str">
        <f>IF($T1390="","",$T1390&amp;"|"&amp;COUNTIFS($T$7:$T1390,$T1390))</f>
        <v/>
      </c>
      <c r="V1390" s="1">
        <f t="shared" si="176"/>
        <v>0</v>
      </c>
      <c r="W1390" s="1" t="str">
        <f t="shared" si="177"/>
        <v/>
      </c>
      <c r="X1390" s="1"/>
      <c r="Y1390" s="1"/>
      <c r="Z1390" s="1"/>
      <c r="AA1390" s="1"/>
      <c r="AB1390" s="1"/>
      <c r="AC1390" s="1"/>
      <c r="AD1390" s="1">
        <f>IF($C1390="",0,SUMPRODUCT((AY_SONU!$O$7:$O$42="Evet")*(AY_SONU!$B$7:$B$42=DATE(YEAR($C1390),MONTH($C1390),1))))</f>
        <v>0</v>
      </c>
      <c r="AE1390" s="1" t="str">
        <f>IF($E1390="","",$E1390&amp;"|"&amp;COUNTIFS($E$7:$E1390,$E1390))</f>
        <v/>
      </c>
    </row>
    <row r="1391" spans="1:31" ht="18" customHeight="1" x14ac:dyDescent="0.3">
      <c r="A1391" s="2"/>
      <c r="B1391" s="65" t="str">
        <f t="shared" si="170"/>
        <v/>
      </c>
      <c r="C1391" s="66"/>
      <c r="D1391" s="60"/>
      <c r="E1391" s="61"/>
      <c r="F1391" s="61"/>
      <c r="G1391" s="67"/>
      <c r="H1391" s="60"/>
      <c r="I1391" s="60"/>
      <c r="J1391" s="61"/>
      <c r="K1391" s="61"/>
      <c r="L1391" s="60"/>
      <c r="M1391" s="74" t="str">
        <f t="shared" si="171"/>
        <v/>
      </c>
      <c r="N1391" s="74" t="str">
        <f t="shared" si="172"/>
        <v/>
      </c>
      <c r="O1391" s="73" t="str">
        <f t="shared" si="173"/>
        <v/>
      </c>
      <c r="P1391" s="65" t="str">
        <f t="shared" ca="1" si="174"/>
        <v/>
      </c>
      <c r="Q1391" s="2"/>
      <c r="R1391" s="2"/>
      <c r="S1391" s="1" t="str">
        <f t="shared" si="175"/>
        <v/>
      </c>
      <c r="T1391" s="1" t="str">
        <f>IF(OR($C1391="",$D1391&lt;&gt;"Gelir",$L1391=""),"",IFERROR(INDEX(MUSTERILER!$B$7:$B$156,MATCH($S1391,MUSTERILER!$T$7:$T$156,0)),""))</f>
        <v/>
      </c>
      <c r="U1391" s="1" t="str">
        <f>IF($T1391="","",$T1391&amp;"|"&amp;COUNTIFS($T$7:$T1391,$T1391))</f>
        <v/>
      </c>
      <c r="V1391" s="1">
        <f t="shared" si="176"/>
        <v>0</v>
      </c>
      <c r="W1391" s="1" t="str">
        <f t="shared" si="177"/>
        <v/>
      </c>
      <c r="X1391" s="1"/>
      <c r="Y1391" s="1"/>
      <c r="Z1391" s="1"/>
      <c r="AA1391" s="1"/>
      <c r="AB1391" s="1"/>
      <c r="AC1391" s="1"/>
      <c r="AD1391" s="1">
        <f>IF($C1391="",0,SUMPRODUCT((AY_SONU!$O$7:$O$42="Evet")*(AY_SONU!$B$7:$B$42=DATE(YEAR($C1391),MONTH($C1391),1))))</f>
        <v>0</v>
      </c>
      <c r="AE1391" s="1" t="str">
        <f>IF($E1391="","",$E1391&amp;"|"&amp;COUNTIFS($E$7:$E1391,$E1391))</f>
        <v/>
      </c>
    </row>
    <row r="1392" spans="1:31" ht="18" customHeight="1" x14ac:dyDescent="0.3">
      <c r="A1392" s="2"/>
      <c r="B1392" s="65" t="str">
        <f t="shared" si="170"/>
        <v/>
      </c>
      <c r="C1392" s="66"/>
      <c r="D1392" s="60"/>
      <c r="E1392" s="61"/>
      <c r="F1392" s="61"/>
      <c r="G1392" s="67"/>
      <c r="H1392" s="60"/>
      <c r="I1392" s="60"/>
      <c r="J1392" s="61"/>
      <c r="K1392" s="61"/>
      <c r="L1392" s="60"/>
      <c r="M1392" s="74" t="str">
        <f t="shared" si="171"/>
        <v/>
      </c>
      <c r="N1392" s="74" t="str">
        <f t="shared" si="172"/>
        <v/>
      </c>
      <c r="O1392" s="73" t="str">
        <f t="shared" si="173"/>
        <v/>
      </c>
      <c r="P1392" s="65" t="str">
        <f t="shared" ca="1" si="174"/>
        <v/>
      </c>
      <c r="Q1392" s="2"/>
      <c r="R1392" s="2"/>
      <c r="S1392" s="1" t="str">
        <f t="shared" si="175"/>
        <v/>
      </c>
      <c r="T1392" s="1" t="str">
        <f>IF(OR($C1392="",$D1392&lt;&gt;"Gelir",$L1392=""),"",IFERROR(INDEX(MUSTERILER!$B$7:$B$156,MATCH($S1392,MUSTERILER!$T$7:$T$156,0)),""))</f>
        <v/>
      </c>
      <c r="U1392" s="1" t="str">
        <f>IF($T1392="","",$T1392&amp;"|"&amp;COUNTIFS($T$7:$T1392,$T1392))</f>
        <v/>
      </c>
      <c r="V1392" s="1">
        <f t="shared" si="176"/>
        <v>0</v>
      </c>
      <c r="W1392" s="1" t="str">
        <f t="shared" si="177"/>
        <v/>
      </c>
      <c r="X1392" s="1"/>
      <c r="Y1392" s="1"/>
      <c r="Z1392" s="1"/>
      <c r="AA1392" s="1"/>
      <c r="AB1392" s="1"/>
      <c r="AC1392" s="1"/>
      <c r="AD1392" s="1">
        <f>IF($C1392="",0,SUMPRODUCT((AY_SONU!$O$7:$O$42="Evet")*(AY_SONU!$B$7:$B$42=DATE(YEAR($C1392),MONTH($C1392),1))))</f>
        <v>0</v>
      </c>
      <c r="AE1392" s="1" t="str">
        <f>IF($E1392="","",$E1392&amp;"|"&amp;COUNTIFS($E$7:$E1392,$E1392))</f>
        <v/>
      </c>
    </row>
    <row r="1393" spans="1:31" ht="18" customHeight="1" x14ac:dyDescent="0.3">
      <c r="A1393" s="2"/>
      <c r="B1393" s="65" t="str">
        <f t="shared" si="170"/>
        <v/>
      </c>
      <c r="C1393" s="66"/>
      <c r="D1393" s="60"/>
      <c r="E1393" s="61"/>
      <c r="F1393" s="61"/>
      <c r="G1393" s="67"/>
      <c r="H1393" s="60"/>
      <c r="I1393" s="60"/>
      <c r="J1393" s="61"/>
      <c r="K1393" s="61"/>
      <c r="L1393" s="60"/>
      <c r="M1393" s="74" t="str">
        <f t="shared" si="171"/>
        <v/>
      </c>
      <c r="N1393" s="74" t="str">
        <f t="shared" si="172"/>
        <v/>
      </c>
      <c r="O1393" s="73" t="str">
        <f t="shared" si="173"/>
        <v/>
      </c>
      <c r="P1393" s="65" t="str">
        <f t="shared" ca="1" si="174"/>
        <v/>
      </c>
      <c r="Q1393" s="2"/>
      <c r="R1393" s="2"/>
      <c r="S1393" s="1" t="str">
        <f t="shared" si="175"/>
        <v/>
      </c>
      <c r="T1393" s="1" t="str">
        <f>IF(OR($C1393="",$D1393&lt;&gt;"Gelir",$L1393=""),"",IFERROR(INDEX(MUSTERILER!$B$7:$B$156,MATCH($S1393,MUSTERILER!$T$7:$T$156,0)),""))</f>
        <v/>
      </c>
      <c r="U1393" s="1" t="str">
        <f>IF($T1393="","",$T1393&amp;"|"&amp;COUNTIFS($T$7:$T1393,$T1393))</f>
        <v/>
      </c>
      <c r="V1393" s="1">
        <f t="shared" si="176"/>
        <v>0</v>
      </c>
      <c r="W1393" s="1" t="str">
        <f t="shared" si="177"/>
        <v/>
      </c>
      <c r="X1393" s="1"/>
      <c r="Y1393" s="1"/>
      <c r="Z1393" s="1"/>
      <c r="AA1393" s="1"/>
      <c r="AB1393" s="1"/>
      <c r="AC1393" s="1"/>
      <c r="AD1393" s="1">
        <f>IF($C1393="",0,SUMPRODUCT((AY_SONU!$O$7:$O$42="Evet")*(AY_SONU!$B$7:$B$42=DATE(YEAR($C1393),MONTH($C1393),1))))</f>
        <v>0</v>
      </c>
      <c r="AE1393" s="1" t="str">
        <f>IF($E1393="","",$E1393&amp;"|"&amp;COUNTIFS($E$7:$E1393,$E1393))</f>
        <v/>
      </c>
    </row>
    <row r="1394" spans="1:31" ht="18" customHeight="1" x14ac:dyDescent="0.3">
      <c r="A1394" s="2"/>
      <c r="B1394" s="65" t="str">
        <f t="shared" si="170"/>
        <v/>
      </c>
      <c r="C1394" s="66"/>
      <c r="D1394" s="60"/>
      <c r="E1394" s="61"/>
      <c r="F1394" s="61"/>
      <c r="G1394" s="67"/>
      <c r="H1394" s="60"/>
      <c r="I1394" s="60"/>
      <c r="J1394" s="61"/>
      <c r="K1394" s="61"/>
      <c r="L1394" s="60"/>
      <c r="M1394" s="74" t="str">
        <f t="shared" si="171"/>
        <v/>
      </c>
      <c r="N1394" s="74" t="str">
        <f t="shared" si="172"/>
        <v/>
      </c>
      <c r="O1394" s="73" t="str">
        <f t="shared" si="173"/>
        <v/>
      </c>
      <c r="P1394" s="65" t="str">
        <f t="shared" ca="1" si="174"/>
        <v/>
      </c>
      <c r="Q1394" s="2"/>
      <c r="R1394" s="2"/>
      <c r="S1394" s="1" t="str">
        <f t="shared" si="175"/>
        <v/>
      </c>
      <c r="T1394" s="1" t="str">
        <f>IF(OR($C1394="",$D1394&lt;&gt;"Gelir",$L1394=""),"",IFERROR(INDEX(MUSTERILER!$B$7:$B$156,MATCH($S1394,MUSTERILER!$T$7:$T$156,0)),""))</f>
        <v/>
      </c>
      <c r="U1394" s="1" t="str">
        <f>IF($T1394="","",$T1394&amp;"|"&amp;COUNTIFS($T$7:$T1394,$T1394))</f>
        <v/>
      </c>
      <c r="V1394" s="1">
        <f t="shared" si="176"/>
        <v>0</v>
      </c>
      <c r="W1394" s="1" t="str">
        <f t="shared" si="177"/>
        <v/>
      </c>
      <c r="X1394" s="1"/>
      <c r="Y1394" s="1"/>
      <c r="Z1394" s="1"/>
      <c r="AA1394" s="1"/>
      <c r="AB1394" s="1"/>
      <c r="AC1394" s="1"/>
      <c r="AD1394" s="1">
        <f>IF($C1394="",0,SUMPRODUCT((AY_SONU!$O$7:$O$42="Evet")*(AY_SONU!$B$7:$B$42=DATE(YEAR($C1394),MONTH($C1394),1))))</f>
        <v>0</v>
      </c>
      <c r="AE1394" s="1" t="str">
        <f>IF($E1394="","",$E1394&amp;"|"&amp;COUNTIFS($E$7:$E1394,$E1394))</f>
        <v/>
      </c>
    </row>
    <row r="1395" spans="1:31" ht="18" customHeight="1" x14ac:dyDescent="0.3">
      <c r="A1395" s="2"/>
      <c r="B1395" s="65" t="str">
        <f t="shared" si="170"/>
        <v/>
      </c>
      <c r="C1395" s="66"/>
      <c r="D1395" s="60"/>
      <c r="E1395" s="61"/>
      <c r="F1395" s="61"/>
      <c r="G1395" s="67"/>
      <c r="H1395" s="60"/>
      <c r="I1395" s="60"/>
      <c r="J1395" s="61"/>
      <c r="K1395" s="61"/>
      <c r="L1395" s="60"/>
      <c r="M1395" s="74" t="str">
        <f t="shared" si="171"/>
        <v/>
      </c>
      <c r="N1395" s="74" t="str">
        <f t="shared" si="172"/>
        <v/>
      </c>
      <c r="O1395" s="73" t="str">
        <f t="shared" si="173"/>
        <v/>
      </c>
      <c r="P1395" s="65" t="str">
        <f t="shared" ca="1" si="174"/>
        <v/>
      </c>
      <c r="Q1395" s="2"/>
      <c r="R1395" s="2"/>
      <c r="S1395" s="1" t="str">
        <f t="shared" si="175"/>
        <v/>
      </c>
      <c r="T1395" s="1" t="str">
        <f>IF(OR($C1395="",$D1395&lt;&gt;"Gelir",$L1395=""),"",IFERROR(INDEX(MUSTERILER!$B$7:$B$156,MATCH($S1395,MUSTERILER!$T$7:$T$156,0)),""))</f>
        <v/>
      </c>
      <c r="U1395" s="1" t="str">
        <f>IF($T1395="","",$T1395&amp;"|"&amp;COUNTIFS($T$7:$T1395,$T1395))</f>
        <v/>
      </c>
      <c r="V1395" s="1">
        <f t="shared" si="176"/>
        <v>0</v>
      </c>
      <c r="W1395" s="1" t="str">
        <f t="shared" si="177"/>
        <v/>
      </c>
      <c r="X1395" s="1"/>
      <c r="Y1395" s="1"/>
      <c r="Z1395" s="1"/>
      <c r="AA1395" s="1"/>
      <c r="AB1395" s="1"/>
      <c r="AC1395" s="1"/>
      <c r="AD1395" s="1">
        <f>IF($C1395="",0,SUMPRODUCT((AY_SONU!$O$7:$O$42="Evet")*(AY_SONU!$B$7:$B$42=DATE(YEAR($C1395),MONTH($C1395),1))))</f>
        <v>0</v>
      </c>
      <c r="AE1395" s="1" t="str">
        <f>IF($E1395="","",$E1395&amp;"|"&amp;COUNTIFS($E$7:$E1395,$E1395))</f>
        <v/>
      </c>
    </row>
    <row r="1396" spans="1:31" ht="18" customHeight="1" x14ac:dyDescent="0.3">
      <c r="A1396" s="2"/>
      <c r="B1396" s="65" t="str">
        <f t="shared" si="170"/>
        <v/>
      </c>
      <c r="C1396" s="66"/>
      <c r="D1396" s="60"/>
      <c r="E1396" s="61"/>
      <c r="F1396" s="61"/>
      <c r="G1396" s="67"/>
      <c r="H1396" s="60"/>
      <c r="I1396" s="60"/>
      <c r="J1396" s="61"/>
      <c r="K1396" s="61"/>
      <c r="L1396" s="60"/>
      <c r="M1396" s="74" t="str">
        <f t="shared" si="171"/>
        <v/>
      </c>
      <c r="N1396" s="74" t="str">
        <f t="shared" si="172"/>
        <v/>
      </c>
      <c r="O1396" s="73" t="str">
        <f t="shared" si="173"/>
        <v/>
      </c>
      <c r="P1396" s="65" t="str">
        <f t="shared" ca="1" si="174"/>
        <v/>
      </c>
      <c r="Q1396" s="2"/>
      <c r="R1396" s="2"/>
      <c r="S1396" s="1" t="str">
        <f t="shared" si="175"/>
        <v/>
      </c>
      <c r="T1396" s="1" t="str">
        <f>IF(OR($C1396="",$D1396&lt;&gt;"Gelir",$L1396=""),"",IFERROR(INDEX(MUSTERILER!$B$7:$B$156,MATCH($S1396,MUSTERILER!$T$7:$T$156,0)),""))</f>
        <v/>
      </c>
      <c r="U1396" s="1" t="str">
        <f>IF($T1396="","",$T1396&amp;"|"&amp;COUNTIFS($T$7:$T1396,$T1396))</f>
        <v/>
      </c>
      <c r="V1396" s="1">
        <f t="shared" si="176"/>
        <v>0</v>
      </c>
      <c r="W1396" s="1" t="str">
        <f t="shared" si="177"/>
        <v/>
      </c>
      <c r="X1396" s="1"/>
      <c r="Y1396" s="1"/>
      <c r="Z1396" s="1"/>
      <c r="AA1396" s="1"/>
      <c r="AB1396" s="1"/>
      <c r="AC1396" s="1"/>
      <c r="AD1396" s="1">
        <f>IF($C1396="",0,SUMPRODUCT((AY_SONU!$O$7:$O$42="Evet")*(AY_SONU!$B$7:$B$42=DATE(YEAR($C1396),MONTH($C1396),1))))</f>
        <v>0</v>
      </c>
      <c r="AE1396" s="1" t="str">
        <f>IF($E1396="","",$E1396&amp;"|"&amp;COUNTIFS($E$7:$E1396,$E1396))</f>
        <v/>
      </c>
    </row>
    <row r="1397" spans="1:31" ht="18" customHeight="1" x14ac:dyDescent="0.3">
      <c r="A1397" s="2"/>
      <c r="B1397" s="65" t="str">
        <f t="shared" si="170"/>
        <v/>
      </c>
      <c r="C1397" s="66"/>
      <c r="D1397" s="60"/>
      <c r="E1397" s="61"/>
      <c r="F1397" s="61"/>
      <c r="G1397" s="67"/>
      <c r="H1397" s="60"/>
      <c r="I1397" s="60"/>
      <c r="J1397" s="61"/>
      <c r="K1397" s="61"/>
      <c r="L1397" s="60"/>
      <c r="M1397" s="74" t="str">
        <f t="shared" si="171"/>
        <v/>
      </c>
      <c r="N1397" s="74" t="str">
        <f t="shared" si="172"/>
        <v/>
      </c>
      <c r="O1397" s="73" t="str">
        <f t="shared" si="173"/>
        <v/>
      </c>
      <c r="P1397" s="65" t="str">
        <f t="shared" ca="1" si="174"/>
        <v/>
      </c>
      <c r="Q1397" s="2"/>
      <c r="R1397" s="2"/>
      <c r="S1397" s="1" t="str">
        <f t="shared" si="175"/>
        <v/>
      </c>
      <c r="T1397" s="1" t="str">
        <f>IF(OR($C1397="",$D1397&lt;&gt;"Gelir",$L1397=""),"",IFERROR(INDEX(MUSTERILER!$B$7:$B$156,MATCH($S1397,MUSTERILER!$T$7:$T$156,0)),""))</f>
        <v/>
      </c>
      <c r="U1397" s="1" t="str">
        <f>IF($T1397="","",$T1397&amp;"|"&amp;COUNTIFS($T$7:$T1397,$T1397))</f>
        <v/>
      </c>
      <c r="V1397" s="1">
        <f t="shared" si="176"/>
        <v>0</v>
      </c>
      <c r="W1397" s="1" t="str">
        <f t="shared" si="177"/>
        <v/>
      </c>
      <c r="X1397" s="1"/>
      <c r="Y1397" s="1"/>
      <c r="Z1397" s="1"/>
      <c r="AA1397" s="1"/>
      <c r="AB1397" s="1"/>
      <c r="AC1397" s="1"/>
      <c r="AD1397" s="1">
        <f>IF($C1397="",0,SUMPRODUCT((AY_SONU!$O$7:$O$42="Evet")*(AY_SONU!$B$7:$B$42=DATE(YEAR($C1397),MONTH($C1397),1))))</f>
        <v>0</v>
      </c>
      <c r="AE1397" s="1" t="str">
        <f>IF($E1397="","",$E1397&amp;"|"&amp;COUNTIFS($E$7:$E1397,$E1397))</f>
        <v/>
      </c>
    </row>
    <row r="1398" spans="1:31" ht="18" customHeight="1" x14ac:dyDescent="0.3">
      <c r="A1398" s="2"/>
      <c r="B1398" s="65" t="str">
        <f t="shared" si="170"/>
        <v/>
      </c>
      <c r="C1398" s="66"/>
      <c r="D1398" s="60"/>
      <c r="E1398" s="61"/>
      <c r="F1398" s="61"/>
      <c r="G1398" s="67"/>
      <c r="H1398" s="60"/>
      <c r="I1398" s="60"/>
      <c r="J1398" s="61"/>
      <c r="K1398" s="61"/>
      <c r="L1398" s="60"/>
      <c r="M1398" s="74" t="str">
        <f t="shared" si="171"/>
        <v/>
      </c>
      <c r="N1398" s="74" t="str">
        <f t="shared" si="172"/>
        <v/>
      </c>
      <c r="O1398" s="73" t="str">
        <f t="shared" si="173"/>
        <v/>
      </c>
      <c r="P1398" s="65" t="str">
        <f t="shared" ca="1" si="174"/>
        <v/>
      </c>
      <c r="Q1398" s="2"/>
      <c r="R1398" s="2"/>
      <c r="S1398" s="1" t="str">
        <f t="shared" si="175"/>
        <v/>
      </c>
      <c r="T1398" s="1" t="str">
        <f>IF(OR($C1398="",$D1398&lt;&gt;"Gelir",$L1398=""),"",IFERROR(INDEX(MUSTERILER!$B$7:$B$156,MATCH($S1398,MUSTERILER!$T$7:$T$156,0)),""))</f>
        <v/>
      </c>
      <c r="U1398" s="1" t="str">
        <f>IF($T1398="","",$T1398&amp;"|"&amp;COUNTIFS($T$7:$T1398,$T1398))</f>
        <v/>
      </c>
      <c r="V1398" s="1">
        <f t="shared" si="176"/>
        <v>0</v>
      </c>
      <c r="W1398" s="1" t="str">
        <f t="shared" si="177"/>
        <v/>
      </c>
      <c r="X1398" s="1"/>
      <c r="Y1398" s="1"/>
      <c r="Z1398" s="1"/>
      <c r="AA1398" s="1"/>
      <c r="AB1398" s="1"/>
      <c r="AC1398" s="1"/>
      <c r="AD1398" s="1">
        <f>IF($C1398="",0,SUMPRODUCT((AY_SONU!$O$7:$O$42="Evet")*(AY_SONU!$B$7:$B$42=DATE(YEAR($C1398),MONTH($C1398),1))))</f>
        <v>0</v>
      </c>
      <c r="AE1398" s="1" t="str">
        <f>IF($E1398="","",$E1398&amp;"|"&amp;COUNTIFS($E$7:$E1398,$E1398))</f>
        <v/>
      </c>
    </row>
    <row r="1399" spans="1:31" ht="18" customHeight="1" x14ac:dyDescent="0.3">
      <c r="A1399" s="2"/>
      <c r="B1399" s="65" t="str">
        <f t="shared" si="170"/>
        <v/>
      </c>
      <c r="C1399" s="66"/>
      <c r="D1399" s="60"/>
      <c r="E1399" s="61"/>
      <c r="F1399" s="61"/>
      <c r="G1399" s="67"/>
      <c r="H1399" s="60"/>
      <c r="I1399" s="60"/>
      <c r="J1399" s="61"/>
      <c r="K1399" s="61"/>
      <c r="L1399" s="60"/>
      <c r="M1399" s="74" t="str">
        <f t="shared" si="171"/>
        <v/>
      </c>
      <c r="N1399" s="74" t="str">
        <f t="shared" si="172"/>
        <v/>
      </c>
      <c r="O1399" s="73" t="str">
        <f t="shared" si="173"/>
        <v/>
      </c>
      <c r="P1399" s="65" t="str">
        <f t="shared" ca="1" si="174"/>
        <v/>
      </c>
      <c r="Q1399" s="2"/>
      <c r="R1399" s="2"/>
      <c r="S1399" s="1" t="str">
        <f t="shared" si="175"/>
        <v/>
      </c>
      <c r="T1399" s="1" t="str">
        <f>IF(OR($C1399="",$D1399&lt;&gt;"Gelir",$L1399=""),"",IFERROR(INDEX(MUSTERILER!$B$7:$B$156,MATCH($S1399,MUSTERILER!$T$7:$T$156,0)),""))</f>
        <v/>
      </c>
      <c r="U1399" s="1" t="str">
        <f>IF($T1399="","",$T1399&amp;"|"&amp;COUNTIFS($T$7:$T1399,$T1399))</f>
        <v/>
      </c>
      <c r="V1399" s="1">
        <f t="shared" si="176"/>
        <v>0</v>
      </c>
      <c r="W1399" s="1" t="str">
        <f t="shared" si="177"/>
        <v/>
      </c>
      <c r="X1399" s="1"/>
      <c r="Y1399" s="1"/>
      <c r="Z1399" s="1"/>
      <c r="AA1399" s="1"/>
      <c r="AB1399" s="1"/>
      <c r="AC1399" s="1"/>
      <c r="AD1399" s="1">
        <f>IF($C1399="",0,SUMPRODUCT((AY_SONU!$O$7:$O$42="Evet")*(AY_SONU!$B$7:$B$42=DATE(YEAR($C1399),MONTH($C1399),1))))</f>
        <v>0</v>
      </c>
      <c r="AE1399" s="1" t="str">
        <f>IF($E1399="","",$E1399&amp;"|"&amp;COUNTIFS($E$7:$E1399,$E1399))</f>
        <v/>
      </c>
    </row>
    <row r="1400" spans="1:31" ht="18" customHeight="1" x14ac:dyDescent="0.3">
      <c r="A1400" s="2"/>
      <c r="B1400" s="65" t="str">
        <f t="shared" si="170"/>
        <v/>
      </c>
      <c r="C1400" s="66"/>
      <c r="D1400" s="60"/>
      <c r="E1400" s="61"/>
      <c r="F1400" s="61"/>
      <c r="G1400" s="67"/>
      <c r="H1400" s="60"/>
      <c r="I1400" s="60"/>
      <c r="J1400" s="61"/>
      <c r="K1400" s="61"/>
      <c r="L1400" s="60"/>
      <c r="M1400" s="74" t="str">
        <f t="shared" si="171"/>
        <v/>
      </c>
      <c r="N1400" s="74" t="str">
        <f t="shared" si="172"/>
        <v/>
      </c>
      <c r="O1400" s="73" t="str">
        <f t="shared" si="173"/>
        <v/>
      </c>
      <c r="P1400" s="65" t="str">
        <f t="shared" ca="1" si="174"/>
        <v/>
      </c>
      <c r="Q1400" s="2"/>
      <c r="R1400" s="2"/>
      <c r="S1400" s="1" t="str">
        <f t="shared" si="175"/>
        <v/>
      </c>
      <c r="T1400" s="1" t="str">
        <f>IF(OR($C1400="",$D1400&lt;&gt;"Gelir",$L1400=""),"",IFERROR(INDEX(MUSTERILER!$B$7:$B$156,MATCH($S1400,MUSTERILER!$T$7:$T$156,0)),""))</f>
        <v/>
      </c>
      <c r="U1400" s="1" t="str">
        <f>IF($T1400="","",$T1400&amp;"|"&amp;COUNTIFS($T$7:$T1400,$T1400))</f>
        <v/>
      </c>
      <c r="V1400" s="1">
        <f t="shared" si="176"/>
        <v>0</v>
      </c>
      <c r="W1400" s="1" t="str">
        <f t="shared" si="177"/>
        <v/>
      </c>
      <c r="X1400" s="1"/>
      <c r="Y1400" s="1"/>
      <c r="Z1400" s="1"/>
      <c r="AA1400" s="1"/>
      <c r="AB1400" s="1"/>
      <c r="AC1400" s="1"/>
      <c r="AD1400" s="1">
        <f>IF($C1400="",0,SUMPRODUCT((AY_SONU!$O$7:$O$42="Evet")*(AY_SONU!$B$7:$B$42=DATE(YEAR($C1400),MONTH($C1400),1))))</f>
        <v>0</v>
      </c>
      <c r="AE1400" s="1" t="str">
        <f>IF($E1400="","",$E1400&amp;"|"&amp;COUNTIFS($E$7:$E1400,$E1400))</f>
        <v/>
      </c>
    </row>
    <row r="1401" spans="1:31" ht="18" customHeight="1" x14ac:dyDescent="0.3">
      <c r="A1401" s="2"/>
      <c r="B1401" s="65" t="str">
        <f t="shared" si="170"/>
        <v/>
      </c>
      <c r="C1401" s="66"/>
      <c r="D1401" s="60"/>
      <c r="E1401" s="61"/>
      <c r="F1401" s="61"/>
      <c r="G1401" s="67"/>
      <c r="H1401" s="60"/>
      <c r="I1401" s="60"/>
      <c r="J1401" s="61"/>
      <c r="K1401" s="61"/>
      <c r="L1401" s="60"/>
      <c r="M1401" s="74" t="str">
        <f t="shared" si="171"/>
        <v/>
      </c>
      <c r="N1401" s="74" t="str">
        <f t="shared" si="172"/>
        <v/>
      </c>
      <c r="O1401" s="73" t="str">
        <f t="shared" si="173"/>
        <v/>
      </c>
      <c r="P1401" s="65" t="str">
        <f t="shared" ca="1" si="174"/>
        <v/>
      </c>
      <c r="Q1401" s="2"/>
      <c r="R1401" s="2"/>
      <c r="S1401" s="1" t="str">
        <f t="shared" si="175"/>
        <v/>
      </c>
      <c r="T1401" s="1" t="str">
        <f>IF(OR($C1401="",$D1401&lt;&gt;"Gelir",$L1401=""),"",IFERROR(INDEX(MUSTERILER!$B$7:$B$156,MATCH($S1401,MUSTERILER!$T$7:$T$156,0)),""))</f>
        <v/>
      </c>
      <c r="U1401" s="1" t="str">
        <f>IF($T1401="","",$T1401&amp;"|"&amp;COUNTIFS($T$7:$T1401,$T1401))</f>
        <v/>
      </c>
      <c r="V1401" s="1">
        <f t="shared" si="176"/>
        <v>0</v>
      </c>
      <c r="W1401" s="1" t="str">
        <f t="shared" si="177"/>
        <v/>
      </c>
      <c r="X1401" s="1"/>
      <c r="Y1401" s="1"/>
      <c r="Z1401" s="1"/>
      <c r="AA1401" s="1"/>
      <c r="AB1401" s="1"/>
      <c r="AC1401" s="1"/>
      <c r="AD1401" s="1">
        <f>IF($C1401="",0,SUMPRODUCT((AY_SONU!$O$7:$O$42="Evet")*(AY_SONU!$B$7:$B$42=DATE(YEAR($C1401),MONTH($C1401),1))))</f>
        <v>0</v>
      </c>
      <c r="AE1401" s="1" t="str">
        <f>IF($E1401="","",$E1401&amp;"|"&amp;COUNTIFS($E$7:$E1401,$E1401))</f>
        <v/>
      </c>
    </row>
    <row r="1402" spans="1:31" ht="18" customHeight="1" x14ac:dyDescent="0.3">
      <c r="A1402" s="2"/>
      <c r="B1402" s="65" t="str">
        <f t="shared" si="170"/>
        <v/>
      </c>
      <c r="C1402" s="66"/>
      <c r="D1402" s="60"/>
      <c r="E1402" s="61"/>
      <c r="F1402" s="61"/>
      <c r="G1402" s="67"/>
      <c r="H1402" s="60"/>
      <c r="I1402" s="60"/>
      <c r="J1402" s="61"/>
      <c r="K1402" s="61"/>
      <c r="L1402" s="60"/>
      <c r="M1402" s="74" t="str">
        <f t="shared" si="171"/>
        <v/>
      </c>
      <c r="N1402" s="74" t="str">
        <f t="shared" si="172"/>
        <v/>
      </c>
      <c r="O1402" s="73" t="str">
        <f t="shared" si="173"/>
        <v/>
      </c>
      <c r="P1402" s="65" t="str">
        <f t="shared" ca="1" si="174"/>
        <v/>
      </c>
      <c r="Q1402" s="2"/>
      <c r="R1402" s="2"/>
      <c r="S1402" s="1" t="str">
        <f t="shared" si="175"/>
        <v/>
      </c>
      <c r="T1402" s="1" t="str">
        <f>IF(OR($C1402="",$D1402&lt;&gt;"Gelir",$L1402=""),"",IFERROR(INDEX(MUSTERILER!$B$7:$B$156,MATCH($S1402,MUSTERILER!$T$7:$T$156,0)),""))</f>
        <v/>
      </c>
      <c r="U1402" s="1" t="str">
        <f>IF($T1402="","",$T1402&amp;"|"&amp;COUNTIFS($T$7:$T1402,$T1402))</f>
        <v/>
      </c>
      <c r="V1402" s="1">
        <f t="shared" si="176"/>
        <v>0</v>
      </c>
      <c r="W1402" s="1" t="str">
        <f t="shared" si="177"/>
        <v/>
      </c>
      <c r="X1402" s="1"/>
      <c r="Y1402" s="1"/>
      <c r="Z1402" s="1"/>
      <c r="AA1402" s="1"/>
      <c r="AB1402" s="1"/>
      <c r="AC1402" s="1"/>
      <c r="AD1402" s="1">
        <f>IF($C1402="",0,SUMPRODUCT((AY_SONU!$O$7:$O$42="Evet")*(AY_SONU!$B$7:$B$42=DATE(YEAR($C1402),MONTH($C1402),1))))</f>
        <v>0</v>
      </c>
      <c r="AE1402" s="1" t="str">
        <f>IF($E1402="","",$E1402&amp;"|"&amp;COUNTIFS($E$7:$E1402,$E1402))</f>
        <v/>
      </c>
    </row>
    <row r="1403" spans="1:31" ht="18" customHeight="1" x14ac:dyDescent="0.3">
      <c r="A1403" s="2"/>
      <c r="B1403" s="65" t="str">
        <f t="shared" si="170"/>
        <v/>
      </c>
      <c r="C1403" s="66"/>
      <c r="D1403" s="60"/>
      <c r="E1403" s="61"/>
      <c r="F1403" s="61"/>
      <c r="G1403" s="67"/>
      <c r="H1403" s="60"/>
      <c r="I1403" s="60"/>
      <c r="J1403" s="61"/>
      <c r="K1403" s="61"/>
      <c r="L1403" s="60"/>
      <c r="M1403" s="74" t="str">
        <f t="shared" si="171"/>
        <v/>
      </c>
      <c r="N1403" s="74" t="str">
        <f t="shared" si="172"/>
        <v/>
      </c>
      <c r="O1403" s="73" t="str">
        <f t="shared" si="173"/>
        <v/>
      </c>
      <c r="P1403" s="65" t="str">
        <f t="shared" ca="1" si="174"/>
        <v/>
      </c>
      <c r="Q1403" s="2"/>
      <c r="R1403" s="2"/>
      <c r="S1403" s="1" t="str">
        <f t="shared" si="175"/>
        <v/>
      </c>
      <c r="T1403" s="1" t="str">
        <f>IF(OR($C1403="",$D1403&lt;&gt;"Gelir",$L1403=""),"",IFERROR(INDEX(MUSTERILER!$B$7:$B$156,MATCH($S1403,MUSTERILER!$T$7:$T$156,0)),""))</f>
        <v/>
      </c>
      <c r="U1403" s="1" t="str">
        <f>IF($T1403="","",$T1403&amp;"|"&amp;COUNTIFS($T$7:$T1403,$T1403))</f>
        <v/>
      </c>
      <c r="V1403" s="1">
        <f t="shared" si="176"/>
        <v>0</v>
      </c>
      <c r="W1403" s="1" t="str">
        <f t="shared" si="177"/>
        <v/>
      </c>
      <c r="X1403" s="1"/>
      <c r="Y1403" s="1"/>
      <c r="Z1403" s="1"/>
      <c r="AA1403" s="1"/>
      <c r="AB1403" s="1"/>
      <c r="AC1403" s="1"/>
      <c r="AD1403" s="1">
        <f>IF($C1403="",0,SUMPRODUCT((AY_SONU!$O$7:$O$42="Evet")*(AY_SONU!$B$7:$B$42=DATE(YEAR($C1403),MONTH($C1403),1))))</f>
        <v>0</v>
      </c>
      <c r="AE1403" s="1" t="str">
        <f>IF($E1403="","",$E1403&amp;"|"&amp;COUNTIFS($E$7:$E1403,$E1403))</f>
        <v/>
      </c>
    </row>
    <row r="1404" spans="1:31" ht="18" customHeight="1" x14ac:dyDescent="0.3">
      <c r="A1404" s="2"/>
      <c r="B1404" s="65" t="str">
        <f t="shared" si="170"/>
        <v/>
      </c>
      <c r="C1404" s="66"/>
      <c r="D1404" s="60"/>
      <c r="E1404" s="61"/>
      <c r="F1404" s="61"/>
      <c r="G1404" s="67"/>
      <c r="H1404" s="60"/>
      <c r="I1404" s="60"/>
      <c r="J1404" s="61"/>
      <c r="K1404" s="61"/>
      <c r="L1404" s="60"/>
      <c r="M1404" s="74" t="str">
        <f t="shared" si="171"/>
        <v/>
      </c>
      <c r="N1404" s="74" t="str">
        <f t="shared" si="172"/>
        <v/>
      </c>
      <c r="O1404" s="73" t="str">
        <f t="shared" si="173"/>
        <v/>
      </c>
      <c r="P1404" s="65" t="str">
        <f t="shared" ca="1" si="174"/>
        <v/>
      </c>
      <c r="Q1404" s="2"/>
      <c r="R1404" s="2"/>
      <c r="S1404" s="1" t="str">
        <f t="shared" si="175"/>
        <v/>
      </c>
      <c r="T1404" s="1" t="str">
        <f>IF(OR($C1404="",$D1404&lt;&gt;"Gelir",$L1404=""),"",IFERROR(INDEX(MUSTERILER!$B$7:$B$156,MATCH($S1404,MUSTERILER!$T$7:$T$156,0)),""))</f>
        <v/>
      </c>
      <c r="U1404" s="1" t="str">
        <f>IF($T1404="","",$T1404&amp;"|"&amp;COUNTIFS($T$7:$T1404,$T1404))</f>
        <v/>
      </c>
      <c r="V1404" s="1">
        <f t="shared" si="176"/>
        <v>0</v>
      </c>
      <c r="W1404" s="1" t="str">
        <f t="shared" si="177"/>
        <v/>
      </c>
      <c r="X1404" s="1"/>
      <c r="Y1404" s="1"/>
      <c r="Z1404" s="1"/>
      <c r="AA1404" s="1"/>
      <c r="AB1404" s="1"/>
      <c r="AC1404" s="1"/>
      <c r="AD1404" s="1">
        <f>IF($C1404="",0,SUMPRODUCT((AY_SONU!$O$7:$O$42="Evet")*(AY_SONU!$B$7:$B$42=DATE(YEAR($C1404),MONTH($C1404),1))))</f>
        <v>0</v>
      </c>
      <c r="AE1404" s="1" t="str">
        <f>IF($E1404="","",$E1404&amp;"|"&amp;COUNTIFS($E$7:$E1404,$E1404))</f>
        <v/>
      </c>
    </row>
    <row r="1405" spans="1:31" ht="18" customHeight="1" x14ac:dyDescent="0.3">
      <c r="A1405" s="2"/>
      <c r="B1405" s="65" t="str">
        <f t="shared" si="170"/>
        <v/>
      </c>
      <c r="C1405" s="66"/>
      <c r="D1405" s="60"/>
      <c r="E1405" s="61"/>
      <c r="F1405" s="61"/>
      <c r="G1405" s="67"/>
      <c r="H1405" s="60"/>
      <c r="I1405" s="60"/>
      <c r="J1405" s="61"/>
      <c r="K1405" s="61"/>
      <c r="L1405" s="60"/>
      <c r="M1405" s="74" t="str">
        <f t="shared" si="171"/>
        <v/>
      </c>
      <c r="N1405" s="74" t="str">
        <f t="shared" si="172"/>
        <v/>
      </c>
      <c r="O1405" s="73" t="str">
        <f t="shared" si="173"/>
        <v/>
      </c>
      <c r="P1405" s="65" t="str">
        <f t="shared" ca="1" si="174"/>
        <v/>
      </c>
      <c r="Q1405" s="2"/>
      <c r="R1405" s="2"/>
      <c r="S1405" s="1" t="str">
        <f t="shared" si="175"/>
        <v/>
      </c>
      <c r="T1405" s="1" t="str">
        <f>IF(OR($C1405="",$D1405&lt;&gt;"Gelir",$L1405=""),"",IFERROR(INDEX(MUSTERILER!$B$7:$B$156,MATCH($S1405,MUSTERILER!$T$7:$T$156,0)),""))</f>
        <v/>
      </c>
      <c r="U1405" s="1" t="str">
        <f>IF($T1405="","",$T1405&amp;"|"&amp;COUNTIFS($T$7:$T1405,$T1405))</f>
        <v/>
      </c>
      <c r="V1405" s="1">
        <f t="shared" si="176"/>
        <v>0</v>
      </c>
      <c r="W1405" s="1" t="str">
        <f t="shared" si="177"/>
        <v/>
      </c>
      <c r="X1405" s="1"/>
      <c r="Y1405" s="1"/>
      <c r="Z1405" s="1"/>
      <c r="AA1405" s="1"/>
      <c r="AB1405" s="1"/>
      <c r="AC1405" s="1"/>
      <c r="AD1405" s="1">
        <f>IF($C1405="",0,SUMPRODUCT((AY_SONU!$O$7:$O$42="Evet")*(AY_SONU!$B$7:$B$42=DATE(YEAR($C1405),MONTH($C1405),1))))</f>
        <v>0</v>
      </c>
      <c r="AE1405" s="1" t="str">
        <f>IF($E1405="","",$E1405&amp;"|"&amp;COUNTIFS($E$7:$E1405,$E1405))</f>
        <v/>
      </c>
    </row>
    <row r="1406" spans="1:31" ht="18" customHeight="1" x14ac:dyDescent="0.3">
      <c r="A1406" s="2"/>
      <c r="B1406" s="65" t="str">
        <f t="shared" si="170"/>
        <v/>
      </c>
      <c r="C1406" s="66"/>
      <c r="D1406" s="60"/>
      <c r="E1406" s="61"/>
      <c r="F1406" s="61"/>
      <c r="G1406" s="67"/>
      <c r="H1406" s="60"/>
      <c r="I1406" s="60"/>
      <c r="J1406" s="61"/>
      <c r="K1406" s="61"/>
      <c r="L1406" s="60"/>
      <c r="M1406" s="74" t="str">
        <f t="shared" si="171"/>
        <v/>
      </c>
      <c r="N1406" s="74" t="str">
        <f t="shared" si="172"/>
        <v/>
      </c>
      <c r="O1406" s="73" t="str">
        <f t="shared" si="173"/>
        <v/>
      </c>
      <c r="P1406" s="65" t="str">
        <f t="shared" ca="1" si="174"/>
        <v/>
      </c>
      <c r="Q1406" s="2"/>
      <c r="R1406" s="2"/>
      <c r="S1406" s="1" t="str">
        <f t="shared" si="175"/>
        <v/>
      </c>
      <c r="T1406" s="1" t="str">
        <f>IF(OR($C1406="",$D1406&lt;&gt;"Gelir",$L1406=""),"",IFERROR(INDEX(MUSTERILER!$B$7:$B$156,MATCH($S1406,MUSTERILER!$T$7:$T$156,0)),""))</f>
        <v/>
      </c>
      <c r="U1406" s="1" t="str">
        <f>IF($T1406="","",$T1406&amp;"|"&amp;COUNTIFS($T$7:$T1406,$T1406))</f>
        <v/>
      </c>
      <c r="V1406" s="1">
        <f t="shared" si="176"/>
        <v>0</v>
      </c>
      <c r="W1406" s="1" t="str">
        <f t="shared" si="177"/>
        <v/>
      </c>
      <c r="X1406" s="1"/>
      <c r="Y1406" s="1"/>
      <c r="Z1406" s="1"/>
      <c r="AA1406" s="1"/>
      <c r="AB1406" s="1"/>
      <c r="AC1406" s="1"/>
      <c r="AD1406" s="1">
        <f>IF($C1406="",0,SUMPRODUCT((AY_SONU!$O$7:$O$42="Evet")*(AY_SONU!$B$7:$B$42=DATE(YEAR($C1406),MONTH($C1406),1))))</f>
        <v>0</v>
      </c>
      <c r="AE1406" s="1" t="str">
        <f>IF($E1406="","",$E1406&amp;"|"&amp;COUNTIFS($E$7:$E1406,$E1406))</f>
        <v/>
      </c>
    </row>
    <row r="1407" spans="1:31" ht="18" customHeight="1" x14ac:dyDescent="0.3">
      <c r="A1407" s="2"/>
      <c r="B1407" s="65" t="str">
        <f t="shared" si="170"/>
        <v/>
      </c>
      <c r="C1407" s="66"/>
      <c r="D1407" s="60"/>
      <c r="E1407" s="61"/>
      <c r="F1407" s="61"/>
      <c r="G1407" s="67"/>
      <c r="H1407" s="60"/>
      <c r="I1407" s="60"/>
      <c r="J1407" s="61"/>
      <c r="K1407" s="61"/>
      <c r="L1407" s="60"/>
      <c r="M1407" s="74" t="str">
        <f t="shared" si="171"/>
        <v/>
      </c>
      <c r="N1407" s="74" t="str">
        <f t="shared" si="172"/>
        <v/>
      </c>
      <c r="O1407" s="73" t="str">
        <f t="shared" si="173"/>
        <v/>
      </c>
      <c r="P1407" s="65" t="str">
        <f t="shared" ca="1" si="174"/>
        <v/>
      </c>
      <c r="Q1407" s="2"/>
      <c r="R1407" s="2"/>
      <c r="S1407" s="1" t="str">
        <f t="shared" si="175"/>
        <v/>
      </c>
      <c r="T1407" s="1" t="str">
        <f>IF(OR($C1407="",$D1407&lt;&gt;"Gelir",$L1407=""),"",IFERROR(INDEX(MUSTERILER!$B$7:$B$156,MATCH($S1407,MUSTERILER!$T$7:$T$156,0)),""))</f>
        <v/>
      </c>
      <c r="U1407" s="1" t="str">
        <f>IF($T1407="","",$T1407&amp;"|"&amp;COUNTIFS($T$7:$T1407,$T1407))</f>
        <v/>
      </c>
      <c r="V1407" s="1">
        <f t="shared" si="176"/>
        <v>0</v>
      </c>
      <c r="W1407" s="1" t="str">
        <f t="shared" si="177"/>
        <v/>
      </c>
      <c r="X1407" s="1"/>
      <c r="Y1407" s="1"/>
      <c r="Z1407" s="1"/>
      <c r="AA1407" s="1"/>
      <c r="AB1407" s="1"/>
      <c r="AC1407" s="1"/>
      <c r="AD1407" s="1">
        <f>IF($C1407="",0,SUMPRODUCT((AY_SONU!$O$7:$O$42="Evet")*(AY_SONU!$B$7:$B$42=DATE(YEAR($C1407),MONTH($C1407),1))))</f>
        <v>0</v>
      </c>
      <c r="AE1407" s="1" t="str">
        <f>IF($E1407="","",$E1407&amp;"|"&amp;COUNTIFS($E$7:$E1407,$E1407))</f>
        <v/>
      </c>
    </row>
    <row r="1408" spans="1:31" ht="18" customHeight="1" x14ac:dyDescent="0.3">
      <c r="A1408" s="2"/>
      <c r="B1408" s="65" t="str">
        <f t="shared" si="170"/>
        <v/>
      </c>
      <c r="C1408" s="66"/>
      <c r="D1408" s="60"/>
      <c r="E1408" s="61"/>
      <c r="F1408" s="61"/>
      <c r="G1408" s="67"/>
      <c r="H1408" s="60"/>
      <c r="I1408" s="60"/>
      <c r="J1408" s="61"/>
      <c r="K1408" s="61"/>
      <c r="L1408" s="60"/>
      <c r="M1408" s="74" t="str">
        <f t="shared" si="171"/>
        <v/>
      </c>
      <c r="N1408" s="74" t="str">
        <f t="shared" si="172"/>
        <v/>
      </c>
      <c r="O1408" s="73" t="str">
        <f t="shared" si="173"/>
        <v/>
      </c>
      <c r="P1408" s="65" t="str">
        <f t="shared" ca="1" si="174"/>
        <v/>
      </c>
      <c r="Q1408" s="2"/>
      <c r="R1408" s="2"/>
      <c r="S1408" s="1" t="str">
        <f t="shared" si="175"/>
        <v/>
      </c>
      <c r="T1408" s="1" t="str">
        <f>IF(OR($C1408="",$D1408&lt;&gt;"Gelir",$L1408=""),"",IFERROR(INDEX(MUSTERILER!$B$7:$B$156,MATCH($S1408,MUSTERILER!$T$7:$T$156,0)),""))</f>
        <v/>
      </c>
      <c r="U1408" s="1" t="str">
        <f>IF($T1408="","",$T1408&amp;"|"&amp;COUNTIFS($T$7:$T1408,$T1408))</f>
        <v/>
      </c>
      <c r="V1408" s="1">
        <f t="shared" si="176"/>
        <v>0</v>
      </c>
      <c r="W1408" s="1" t="str">
        <f t="shared" si="177"/>
        <v/>
      </c>
      <c r="X1408" s="1"/>
      <c r="Y1408" s="1"/>
      <c r="Z1408" s="1"/>
      <c r="AA1408" s="1"/>
      <c r="AB1408" s="1"/>
      <c r="AC1408" s="1"/>
      <c r="AD1408" s="1">
        <f>IF($C1408="",0,SUMPRODUCT((AY_SONU!$O$7:$O$42="Evet")*(AY_SONU!$B$7:$B$42=DATE(YEAR($C1408),MONTH($C1408),1))))</f>
        <v>0</v>
      </c>
      <c r="AE1408" s="1" t="str">
        <f>IF($E1408="","",$E1408&amp;"|"&amp;COUNTIFS($E$7:$E1408,$E1408))</f>
        <v/>
      </c>
    </row>
    <row r="1409" spans="1:31" ht="18" customHeight="1" x14ac:dyDescent="0.3">
      <c r="A1409" s="2"/>
      <c r="B1409" s="65" t="str">
        <f t="shared" si="170"/>
        <v/>
      </c>
      <c r="C1409" s="66"/>
      <c r="D1409" s="60"/>
      <c r="E1409" s="61"/>
      <c r="F1409" s="61"/>
      <c r="G1409" s="67"/>
      <c r="H1409" s="60"/>
      <c r="I1409" s="60"/>
      <c r="J1409" s="61"/>
      <c r="K1409" s="61"/>
      <c r="L1409" s="60"/>
      <c r="M1409" s="74" t="str">
        <f t="shared" si="171"/>
        <v/>
      </c>
      <c r="N1409" s="74" t="str">
        <f t="shared" si="172"/>
        <v/>
      </c>
      <c r="O1409" s="73" t="str">
        <f t="shared" si="173"/>
        <v/>
      </c>
      <c r="P1409" s="65" t="str">
        <f t="shared" ca="1" si="174"/>
        <v/>
      </c>
      <c r="Q1409" s="2"/>
      <c r="R1409" s="2"/>
      <c r="S1409" s="1" t="str">
        <f t="shared" si="175"/>
        <v/>
      </c>
      <c r="T1409" s="1" t="str">
        <f>IF(OR($C1409="",$D1409&lt;&gt;"Gelir",$L1409=""),"",IFERROR(INDEX(MUSTERILER!$B$7:$B$156,MATCH($S1409,MUSTERILER!$T$7:$T$156,0)),""))</f>
        <v/>
      </c>
      <c r="U1409" s="1" t="str">
        <f>IF($T1409="","",$T1409&amp;"|"&amp;COUNTIFS($T$7:$T1409,$T1409))</f>
        <v/>
      </c>
      <c r="V1409" s="1">
        <f t="shared" si="176"/>
        <v>0</v>
      </c>
      <c r="W1409" s="1" t="str">
        <f t="shared" si="177"/>
        <v/>
      </c>
      <c r="X1409" s="1"/>
      <c r="Y1409" s="1"/>
      <c r="Z1409" s="1"/>
      <c r="AA1409" s="1"/>
      <c r="AB1409" s="1"/>
      <c r="AC1409" s="1"/>
      <c r="AD1409" s="1">
        <f>IF($C1409="",0,SUMPRODUCT((AY_SONU!$O$7:$O$42="Evet")*(AY_SONU!$B$7:$B$42=DATE(YEAR($C1409),MONTH($C1409),1))))</f>
        <v>0</v>
      </c>
      <c r="AE1409" s="1" t="str">
        <f>IF($E1409="","",$E1409&amp;"|"&amp;COUNTIFS($E$7:$E1409,$E1409))</f>
        <v/>
      </c>
    </row>
    <row r="1410" spans="1:31" ht="18" customHeight="1" x14ac:dyDescent="0.3">
      <c r="A1410" s="2"/>
      <c r="B1410" s="65" t="str">
        <f t="shared" si="170"/>
        <v/>
      </c>
      <c r="C1410" s="66"/>
      <c r="D1410" s="60"/>
      <c r="E1410" s="61"/>
      <c r="F1410" s="61"/>
      <c r="G1410" s="67"/>
      <c r="H1410" s="60"/>
      <c r="I1410" s="60"/>
      <c r="J1410" s="61"/>
      <c r="K1410" s="61"/>
      <c r="L1410" s="60"/>
      <c r="M1410" s="74" t="str">
        <f t="shared" si="171"/>
        <v/>
      </c>
      <c r="N1410" s="74" t="str">
        <f t="shared" si="172"/>
        <v/>
      </c>
      <c r="O1410" s="73" t="str">
        <f t="shared" si="173"/>
        <v/>
      </c>
      <c r="P1410" s="65" t="str">
        <f t="shared" ca="1" si="174"/>
        <v/>
      </c>
      <c r="Q1410" s="2"/>
      <c r="R1410" s="2"/>
      <c r="S1410" s="1" t="str">
        <f t="shared" si="175"/>
        <v/>
      </c>
      <c r="T1410" s="1" t="str">
        <f>IF(OR($C1410="",$D1410&lt;&gt;"Gelir",$L1410=""),"",IFERROR(INDEX(MUSTERILER!$B$7:$B$156,MATCH($S1410,MUSTERILER!$T$7:$T$156,0)),""))</f>
        <v/>
      </c>
      <c r="U1410" s="1" t="str">
        <f>IF($T1410="","",$T1410&amp;"|"&amp;COUNTIFS($T$7:$T1410,$T1410))</f>
        <v/>
      </c>
      <c r="V1410" s="1">
        <f t="shared" si="176"/>
        <v>0</v>
      </c>
      <c r="W1410" s="1" t="str">
        <f t="shared" si="177"/>
        <v/>
      </c>
      <c r="X1410" s="1"/>
      <c r="Y1410" s="1"/>
      <c r="Z1410" s="1"/>
      <c r="AA1410" s="1"/>
      <c r="AB1410" s="1"/>
      <c r="AC1410" s="1"/>
      <c r="AD1410" s="1">
        <f>IF($C1410="",0,SUMPRODUCT((AY_SONU!$O$7:$O$42="Evet")*(AY_SONU!$B$7:$B$42=DATE(YEAR($C1410),MONTH($C1410),1))))</f>
        <v>0</v>
      </c>
      <c r="AE1410" s="1" t="str">
        <f>IF($E1410="","",$E1410&amp;"|"&amp;COUNTIFS($E$7:$E1410,$E1410))</f>
        <v/>
      </c>
    </row>
    <row r="1411" spans="1:31" ht="18" customHeight="1" x14ac:dyDescent="0.3">
      <c r="A1411" s="2"/>
      <c r="B1411" s="65" t="str">
        <f t="shared" si="170"/>
        <v/>
      </c>
      <c r="C1411" s="66"/>
      <c r="D1411" s="60"/>
      <c r="E1411" s="61"/>
      <c r="F1411" s="61"/>
      <c r="G1411" s="67"/>
      <c r="H1411" s="60"/>
      <c r="I1411" s="60"/>
      <c r="J1411" s="61"/>
      <c r="K1411" s="61"/>
      <c r="L1411" s="60"/>
      <c r="M1411" s="74" t="str">
        <f t="shared" si="171"/>
        <v/>
      </c>
      <c r="N1411" s="74" t="str">
        <f t="shared" si="172"/>
        <v/>
      </c>
      <c r="O1411" s="73" t="str">
        <f t="shared" si="173"/>
        <v/>
      </c>
      <c r="P1411" s="65" t="str">
        <f t="shared" ca="1" si="174"/>
        <v/>
      </c>
      <c r="Q1411" s="2"/>
      <c r="R1411" s="2"/>
      <c r="S1411" s="1" t="str">
        <f t="shared" si="175"/>
        <v/>
      </c>
      <c r="T1411" s="1" t="str">
        <f>IF(OR($C1411="",$D1411&lt;&gt;"Gelir",$L1411=""),"",IFERROR(INDEX(MUSTERILER!$B$7:$B$156,MATCH($S1411,MUSTERILER!$T$7:$T$156,0)),""))</f>
        <v/>
      </c>
      <c r="U1411" s="1" t="str">
        <f>IF($T1411="","",$T1411&amp;"|"&amp;COUNTIFS($T$7:$T1411,$T1411))</f>
        <v/>
      </c>
      <c r="V1411" s="1">
        <f t="shared" si="176"/>
        <v>0</v>
      </c>
      <c r="W1411" s="1" t="str">
        <f t="shared" si="177"/>
        <v/>
      </c>
      <c r="X1411" s="1"/>
      <c r="Y1411" s="1"/>
      <c r="Z1411" s="1"/>
      <c r="AA1411" s="1"/>
      <c r="AB1411" s="1"/>
      <c r="AC1411" s="1"/>
      <c r="AD1411" s="1">
        <f>IF($C1411="",0,SUMPRODUCT((AY_SONU!$O$7:$O$42="Evet")*(AY_SONU!$B$7:$B$42=DATE(YEAR($C1411),MONTH($C1411),1))))</f>
        <v>0</v>
      </c>
      <c r="AE1411" s="1" t="str">
        <f>IF($E1411="","",$E1411&amp;"|"&amp;COUNTIFS($E$7:$E1411,$E1411))</f>
        <v/>
      </c>
    </row>
    <row r="1412" spans="1:31" ht="18" customHeight="1" x14ac:dyDescent="0.3">
      <c r="A1412" s="2"/>
      <c r="B1412" s="65" t="str">
        <f t="shared" si="170"/>
        <v/>
      </c>
      <c r="C1412" s="66"/>
      <c r="D1412" s="60"/>
      <c r="E1412" s="61"/>
      <c r="F1412" s="61"/>
      <c r="G1412" s="67"/>
      <c r="H1412" s="60"/>
      <c r="I1412" s="60"/>
      <c r="J1412" s="61"/>
      <c r="K1412" s="61"/>
      <c r="L1412" s="60"/>
      <c r="M1412" s="74" t="str">
        <f t="shared" si="171"/>
        <v/>
      </c>
      <c r="N1412" s="74" t="str">
        <f t="shared" si="172"/>
        <v/>
      </c>
      <c r="O1412" s="73" t="str">
        <f t="shared" si="173"/>
        <v/>
      </c>
      <c r="P1412" s="65" t="str">
        <f t="shared" ca="1" si="174"/>
        <v/>
      </c>
      <c r="Q1412" s="2"/>
      <c r="R1412" s="2"/>
      <c r="S1412" s="1" t="str">
        <f t="shared" si="175"/>
        <v/>
      </c>
      <c r="T1412" s="1" t="str">
        <f>IF(OR($C1412="",$D1412&lt;&gt;"Gelir",$L1412=""),"",IFERROR(INDEX(MUSTERILER!$B$7:$B$156,MATCH($S1412,MUSTERILER!$T$7:$T$156,0)),""))</f>
        <v/>
      </c>
      <c r="U1412" s="1" t="str">
        <f>IF($T1412="","",$T1412&amp;"|"&amp;COUNTIFS($T$7:$T1412,$T1412))</f>
        <v/>
      </c>
      <c r="V1412" s="1">
        <f t="shared" si="176"/>
        <v>0</v>
      </c>
      <c r="W1412" s="1" t="str">
        <f t="shared" si="177"/>
        <v/>
      </c>
      <c r="X1412" s="1"/>
      <c r="Y1412" s="1"/>
      <c r="Z1412" s="1"/>
      <c r="AA1412" s="1"/>
      <c r="AB1412" s="1"/>
      <c r="AC1412" s="1"/>
      <c r="AD1412" s="1">
        <f>IF($C1412="",0,SUMPRODUCT((AY_SONU!$O$7:$O$42="Evet")*(AY_SONU!$B$7:$B$42=DATE(YEAR($C1412),MONTH($C1412),1))))</f>
        <v>0</v>
      </c>
      <c r="AE1412" s="1" t="str">
        <f>IF($E1412="","",$E1412&amp;"|"&amp;COUNTIFS($E$7:$E1412,$E1412))</f>
        <v/>
      </c>
    </row>
    <row r="1413" spans="1:31" ht="18" customHeight="1" x14ac:dyDescent="0.3">
      <c r="A1413" s="2"/>
      <c r="B1413" s="65" t="str">
        <f t="shared" si="170"/>
        <v/>
      </c>
      <c r="C1413" s="66"/>
      <c r="D1413" s="60"/>
      <c r="E1413" s="61"/>
      <c r="F1413" s="61"/>
      <c r="G1413" s="67"/>
      <c r="H1413" s="60"/>
      <c r="I1413" s="60"/>
      <c r="J1413" s="61"/>
      <c r="K1413" s="61"/>
      <c r="L1413" s="60"/>
      <c r="M1413" s="74" t="str">
        <f t="shared" si="171"/>
        <v/>
      </c>
      <c r="N1413" s="74" t="str">
        <f t="shared" si="172"/>
        <v/>
      </c>
      <c r="O1413" s="73" t="str">
        <f t="shared" si="173"/>
        <v/>
      </c>
      <c r="P1413" s="65" t="str">
        <f t="shared" ca="1" si="174"/>
        <v/>
      </c>
      <c r="Q1413" s="2"/>
      <c r="R1413" s="2"/>
      <c r="S1413" s="1" t="str">
        <f t="shared" si="175"/>
        <v/>
      </c>
      <c r="T1413" s="1" t="str">
        <f>IF(OR($C1413="",$D1413&lt;&gt;"Gelir",$L1413=""),"",IFERROR(INDEX(MUSTERILER!$B$7:$B$156,MATCH($S1413,MUSTERILER!$T$7:$T$156,0)),""))</f>
        <v/>
      </c>
      <c r="U1413" s="1" t="str">
        <f>IF($T1413="","",$T1413&amp;"|"&amp;COUNTIFS($T$7:$T1413,$T1413))</f>
        <v/>
      </c>
      <c r="V1413" s="1">
        <f t="shared" si="176"/>
        <v>0</v>
      </c>
      <c r="W1413" s="1" t="str">
        <f t="shared" si="177"/>
        <v/>
      </c>
      <c r="X1413" s="1"/>
      <c r="Y1413" s="1"/>
      <c r="Z1413" s="1"/>
      <c r="AA1413" s="1"/>
      <c r="AB1413" s="1"/>
      <c r="AC1413" s="1"/>
      <c r="AD1413" s="1">
        <f>IF($C1413="",0,SUMPRODUCT((AY_SONU!$O$7:$O$42="Evet")*(AY_SONU!$B$7:$B$42=DATE(YEAR($C1413),MONTH($C1413),1))))</f>
        <v>0</v>
      </c>
      <c r="AE1413" s="1" t="str">
        <f>IF($E1413="","",$E1413&amp;"|"&amp;COUNTIFS($E$7:$E1413,$E1413))</f>
        <v/>
      </c>
    </row>
    <row r="1414" spans="1:31" ht="18" customHeight="1" x14ac:dyDescent="0.3">
      <c r="A1414" s="2"/>
      <c r="B1414" s="65" t="str">
        <f t="shared" si="170"/>
        <v/>
      </c>
      <c r="C1414" s="66"/>
      <c r="D1414" s="60"/>
      <c r="E1414" s="61"/>
      <c r="F1414" s="61"/>
      <c r="G1414" s="67"/>
      <c r="H1414" s="60"/>
      <c r="I1414" s="60"/>
      <c r="J1414" s="61"/>
      <c r="K1414" s="61"/>
      <c r="L1414" s="60"/>
      <c r="M1414" s="74" t="str">
        <f t="shared" si="171"/>
        <v/>
      </c>
      <c r="N1414" s="74" t="str">
        <f t="shared" si="172"/>
        <v/>
      </c>
      <c r="O1414" s="73" t="str">
        <f t="shared" si="173"/>
        <v/>
      </c>
      <c r="P1414" s="65" t="str">
        <f t="shared" ca="1" si="174"/>
        <v/>
      </c>
      <c r="Q1414" s="2"/>
      <c r="R1414" s="2"/>
      <c r="S1414" s="1" t="str">
        <f t="shared" si="175"/>
        <v/>
      </c>
      <c r="T1414" s="1" t="str">
        <f>IF(OR($C1414="",$D1414&lt;&gt;"Gelir",$L1414=""),"",IFERROR(INDEX(MUSTERILER!$B$7:$B$156,MATCH($S1414,MUSTERILER!$T$7:$T$156,0)),""))</f>
        <v/>
      </c>
      <c r="U1414" s="1" t="str">
        <f>IF($T1414="","",$T1414&amp;"|"&amp;COUNTIFS($T$7:$T1414,$T1414))</f>
        <v/>
      </c>
      <c r="V1414" s="1">
        <f t="shared" si="176"/>
        <v>0</v>
      </c>
      <c r="W1414" s="1" t="str">
        <f t="shared" si="177"/>
        <v/>
      </c>
      <c r="X1414" s="1"/>
      <c r="Y1414" s="1"/>
      <c r="Z1414" s="1"/>
      <c r="AA1414" s="1"/>
      <c r="AB1414" s="1"/>
      <c r="AC1414" s="1"/>
      <c r="AD1414" s="1">
        <f>IF($C1414="",0,SUMPRODUCT((AY_SONU!$O$7:$O$42="Evet")*(AY_SONU!$B$7:$B$42=DATE(YEAR($C1414),MONTH($C1414),1))))</f>
        <v>0</v>
      </c>
      <c r="AE1414" s="1" t="str">
        <f>IF($E1414="","",$E1414&amp;"|"&amp;COUNTIFS($E$7:$E1414,$E1414))</f>
        <v/>
      </c>
    </row>
    <row r="1415" spans="1:31" ht="18" customHeight="1" x14ac:dyDescent="0.3">
      <c r="A1415" s="2"/>
      <c r="B1415" s="65" t="str">
        <f t="shared" ref="B1415:B1478" si="178">IF($C1415="","","GG"&amp;TEXT(ROW()-6,"00000"))</f>
        <v/>
      </c>
      <c r="C1415" s="66"/>
      <c r="D1415" s="60"/>
      <c r="E1415" s="61"/>
      <c r="F1415" s="61"/>
      <c r="G1415" s="67"/>
      <c r="H1415" s="60"/>
      <c r="I1415" s="60"/>
      <c r="J1415" s="61"/>
      <c r="K1415" s="61"/>
      <c r="L1415" s="60"/>
      <c r="M1415" s="74" t="str">
        <f t="shared" ref="M1415:M1478" si="179">IF($C1415="","",IF($D1415="Gider",$E1415,IF($L1415&lt;&gt;"",$L1415,$H1415)))</f>
        <v/>
      </c>
      <c r="N1415" s="74" t="str">
        <f t="shared" ref="N1415:N1478" si="180">IF($C1415="","",IF($D1415="Gider",$H1415,$E1415))</f>
        <v/>
      </c>
      <c r="O1415" s="73" t="str">
        <f t="shared" ref="O1415:O1478" si="181">IF($C1415="","",DATE(YEAR($C1415),MONTH($C1415),1))</f>
        <v/>
      </c>
      <c r="P1415" s="65" t="str">
        <f t="shared" ref="P1415:P1478" ca="1" si="182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TARİH",IF(COUNTIF($W$7:$W$3006,$W1415)&gt;1,"MÜKERRER?",IF($AD1415&gt;0,"KAPALI DÖNEM",IF($I1415="Hayır","ÖDENECEK","UYGUN")))),"EKSİK"))))</f>
        <v/>
      </c>
      <c r="Q1415" s="2"/>
      <c r="R1415" s="2"/>
      <c r="S1415" s="1" t="str">
        <f t="shared" ref="S1415:S1478" si="183"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1" t="str">
        <f>IF(OR($C1415="",$D1415&lt;&gt;"Gelir",$L1415=""),"",IFERROR(INDEX(MUSTERILER!$B$7:$B$156,MATCH($S1415,MUSTERILER!$T$7:$T$156,0)),""))</f>
        <v/>
      </c>
      <c r="U1415" s="1" t="str">
        <f>IF($T1415="","",$T1415&amp;"|"&amp;COUNTIFS($T$7:$T1415,$T1415))</f>
        <v/>
      </c>
      <c r="V1415" s="1">
        <f t="shared" ref="V1415:V1478" si="184">IF($T1415="",0,1)</f>
        <v>0</v>
      </c>
      <c r="W1415" s="1" t="str">
        <f t="shared" ref="W1415:W1478" si="185">IF($C1415="","",$D1415&amp;"|"&amp;$E1415&amp;"|"&amp;TEXT($C1415,"0")&amp;"|"&amp;TEXT($G1415,"0")&amp;"|"&amp;$J1415)</f>
        <v/>
      </c>
      <c r="X1415" s="1"/>
      <c r="Y1415" s="1"/>
      <c r="Z1415" s="1"/>
      <c r="AA1415" s="1"/>
      <c r="AB1415" s="1"/>
      <c r="AC1415" s="1"/>
      <c r="AD1415" s="1">
        <f>IF($C1415="",0,SUMPRODUCT((AY_SONU!$O$7:$O$42="Evet")*(AY_SONU!$B$7:$B$42=DATE(YEAR($C1415),MONTH($C1415),1))))</f>
        <v>0</v>
      </c>
      <c r="AE1415" s="1" t="str">
        <f>IF($E1415="","",$E1415&amp;"|"&amp;COUNTIFS($E$7:$E1415,$E1415))</f>
        <v/>
      </c>
    </row>
    <row r="1416" spans="1:31" ht="18" customHeight="1" x14ac:dyDescent="0.3">
      <c r="A1416" s="2"/>
      <c r="B1416" s="65" t="str">
        <f t="shared" si="178"/>
        <v/>
      </c>
      <c r="C1416" s="66"/>
      <c r="D1416" s="60"/>
      <c r="E1416" s="61"/>
      <c r="F1416" s="61"/>
      <c r="G1416" s="67"/>
      <c r="H1416" s="60"/>
      <c r="I1416" s="60"/>
      <c r="J1416" s="61"/>
      <c r="K1416" s="61"/>
      <c r="L1416" s="60"/>
      <c r="M1416" s="74" t="str">
        <f t="shared" si="179"/>
        <v/>
      </c>
      <c r="N1416" s="74" t="str">
        <f t="shared" si="180"/>
        <v/>
      </c>
      <c r="O1416" s="73" t="str">
        <f t="shared" si="181"/>
        <v/>
      </c>
      <c r="P1416" s="65" t="str">
        <f t="shared" ca="1" si="182"/>
        <v/>
      </c>
      <c r="Q1416" s="2"/>
      <c r="R1416" s="2"/>
      <c r="S1416" s="1" t="str">
        <f t="shared" si="183"/>
        <v/>
      </c>
      <c r="T1416" s="1" t="str">
        <f>IF(OR($C1416="",$D1416&lt;&gt;"Gelir",$L1416=""),"",IFERROR(INDEX(MUSTERILER!$B$7:$B$156,MATCH($S1416,MUSTERILER!$T$7:$T$156,0)),""))</f>
        <v/>
      </c>
      <c r="U1416" s="1" t="str">
        <f>IF($T1416="","",$T1416&amp;"|"&amp;COUNTIFS($T$7:$T1416,$T1416))</f>
        <v/>
      </c>
      <c r="V1416" s="1">
        <f t="shared" si="184"/>
        <v>0</v>
      </c>
      <c r="W1416" s="1" t="str">
        <f t="shared" si="185"/>
        <v/>
      </c>
      <c r="X1416" s="1"/>
      <c r="Y1416" s="1"/>
      <c r="Z1416" s="1"/>
      <c r="AA1416" s="1"/>
      <c r="AB1416" s="1"/>
      <c r="AC1416" s="1"/>
      <c r="AD1416" s="1">
        <f>IF($C1416="",0,SUMPRODUCT((AY_SONU!$O$7:$O$42="Evet")*(AY_SONU!$B$7:$B$42=DATE(YEAR($C1416),MONTH($C1416),1))))</f>
        <v>0</v>
      </c>
      <c r="AE1416" s="1" t="str">
        <f>IF($E1416="","",$E1416&amp;"|"&amp;COUNTIFS($E$7:$E1416,$E1416))</f>
        <v/>
      </c>
    </row>
    <row r="1417" spans="1:31" ht="18" customHeight="1" x14ac:dyDescent="0.3">
      <c r="A1417" s="2"/>
      <c r="B1417" s="65" t="str">
        <f t="shared" si="178"/>
        <v/>
      </c>
      <c r="C1417" s="66"/>
      <c r="D1417" s="60"/>
      <c r="E1417" s="61"/>
      <c r="F1417" s="61"/>
      <c r="G1417" s="67"/>
      <c r="H1417" s="60"/>
      <c r="I1417" s="60"/>
      <c r="J1417" s="61"/>
      <c r="K1417" s="61"/>
      <c r="L1417" s="60"/>
      <c r="M1417" s="74" t="str">
        <f t="shared" si="179"/>
        <v/>
      </c>
      <c r="N1417" s="74" t="str">
        <f t="shared" si="180"/>
        <v/>
      </c>
      <c r="O1417" s="73" t="str">
        <f t="shared" si="181"/>
        <v/>
      </c>
      <c r="P1417" s="65" t="str">
        <f t="shared" ca="1" si="182"/>
        <v/>
      </c>
      <c r="Q1417" s="2"/>
      <c r="R1417" s="2"/>
      <c r="S1417" s="1" t="str">
        <f t="shared" si="183"/>
        <v/>
      </c>
      <c r="T1417" s="1" t="str">
        <f>IF(OR($C1417="",$D1417&lt;&gt;"Gelir",$L1417=""),"",IFERROR(INDEX(MUSTERILER!$B$7:$B$156,MATCH($S1417,MUSTERILER!$T$7:$T$156,0)),""))</f>
        <v/>
      </c>
      <c r="U1417" s="1" t="str">
        <f>IF($T1417="","",$T1417&amp;"|"&amp;COUNTIFS($T$7:$T1417,$T1417))</f>
        <v/>
      </c>
      <c r="V1417" s="1">
        <f t="shared" si="184"/>
        <v>0</v>
      </c>
      <c r="W1417" s="1" t="str">
        <f t="shared" si="185"/>
        <v/>
      </c>
      <c r="X1417" s="1"/>
      <c r="Y1417" s="1"/>
      <c r="Z1417" s="1"/>
      <c r="AA1417" s="1"/>
      <c r="AB1417" s="1"/>
      <c r="AC1417" s="1"/>
      <c r="AD1417" s="1">
        <f>IF($C1417="",0,SUMPRODUCT((AY_SONU!$O$7:$O$42="Evet")*(AY_SONU!$B$7:$B$42=DATE(YEAR($C1417),MONTH($C1417),1))))</f>
        <v>0</v>
      </c>
      <c r="AE1417" s="1" t="str">
        <f>IF($E1417="","",$E1417&amp;"|"&amp;COUNTIFS($E$7:$E1417,$E1417))</f>
        <v/>
      </c>
    </row>
    <row r="1418" spans="1:31" ht="18" customHeight="1" x14ac:dyDescent="0.3">
      <c r="A1418" s="2"/>
      <c r="B1418" s="65" t="str">
        <f t="shared" si="178"/>
        <v/>
      </c>
      <c r="C1418" s="66"/>
      <c r="D1418" s="60"/>
      <c r="E1418" s="61"/>
      <c r="F1418" s="61"/>
      <c r="G1418" s="67"/>
      <c r="H1418" s="60"/>
      <c r="I1418" s="60"/>
      <c r="J1418" s="61"/>
      <c r="K1418" s="61"/>
      <c r="L1418" s="60"/>
      <c r="M1418" s="74" t="str">
        <f t="shared" si="179"/>
        <v/>
      </c>
      <c r="N1418" s="74" t="str">
        <f t="shared" si="180"/>
        <v/>
      </c>
      <c r="O1418" s="73" t="str">
        <f t="shared" si="181"/>
        <v/>
      </c>
      <c r="P1418" s="65" t="str">
        <f t="shared" ca="1" si="182"/>
        <v/>
      </c>
      <c r="Q1418" s="2"/>
      <c r="R1418" s="2"/>
      <c r="S1418" s="1" t="str">
        <f t="shared" si="183"/>
        <v/>
      </c>
      <c r="T1418" s="1" t="str">
        <f>IF(OR($C1418="",$D1418&lt;&gt;"Gelir",$L1418=""),"",IFERROR(INDEX(MUSTERILER!$B$7:$B$156,MATCH($S1418,MUSTERILER!$T$7:$T$156,0)),""))</f>
        <v/>
      </c>
      <c r="U1418" s="1" t="str">
        <f>IF($T1418="","",$T1418&amp;"|"&amp;COUNTIFS($T$7:$T1418,$T1418))</f>
        <v/>
      </c>
      <c r="V1418" s="1">
        <f t="shared" si="184"/>
        <v>0</v>
      </c>
      <c r="W1418" s="1" t="str">
        <f t="shared" si="185"/>
        <v/>
      </c>
      <c r="X1418" s="1"/>
      <c r="Y1418" s="1"/>
      <c r="Z1418" s="1"/>
      <c r="AA1418" s="1"/>
      <c r="AB1418" s="1"/>
      <c r="AC1418" s="1"/>
      <c r="AD1418" s="1">
        <f>IF($C1418="",0,SUMPRODUCT((AY_SONU!$O$7:$O$42="Evet")*(AY_SONU!$B$7:$B$42=DATE(YEAR($C1418),MONTH($C1418),1))))</f>
        <v>0</v>
      </c>
      <c r="AE1418" s="1" t="str">
        <f>IF($E1418="","",$E1418&amp;"|"&amp;COUNTIFS($E$7:$E1418,$E1418))</f>
        <v/>
      </c>
    </row>
    <row r="1419" spans="1:31" ht="18" customHeight="1" x14ac:dyDescent="0.3">
      <c r="A1419" s="2"/>
      <c r="B1419" s="65" t="str">
        <f t="shared" si="178"/>
        <v/>
      </c>
      <c r="C1419" s="66"/>
      <c r="D1419" s="60"/>
      <c r="E1419" s="61"/>
      <c r="F1419" s="61"/>
      <c r="G1419" s="67"/>
      <c r="H1419" s="60"/>
      <c r="I1419" s="60"/>
      <c r="J1419" s="61"/>
      <c r="K1419" s="61"/>
      <c r="L1419" s="60"/>
      <c r="M1419" s="74" t="str">
        <f t="shared" si="179"/>
        <v/>
      </c>
      <c r="N1419" s="74" t="str">
        <f t="shared" si="180"/>
        <v/>
      </c>
      <c r="O1419" s="73" t="str">
        <f t="shared" si="181"/>
        <v/>
      </c>
      <c r="P1419" s="65" t="str">
        <f t="shared" ca="1" si="182"/>
        <v/>
      </c>
      <c r="Q1419" s="2"/>
      <c r="R1419" s="2"/>
      <c r="S1419" s="1" t="str">
        <f t="shared" si="183"/>
        <v/>
      </c>
      <c r="T1419" s="1" t="str">
        <f>IF(OR($C1419="",$D1419&lt;&gt;"Gelir",$L1419=""),"",IFERROR(INDEX(MUSTERILER!$B$7:$B$156,MATCH($S1419,MUSTERILER!$T$7:$T$156,0)),""))</f>
        <v/>
      </c>
      <c r="U1419" s="1" t="str">
        <f>IF($T1419="","",$T1419&amp;"|"&amp;COUNTIFS($T$7:$T1419,$T1419))</f>
        <v/>
      </c>
      <c r="V1419" s="1">
        <f t="shared" si="184"/>
        <v>0</v>
      </c>
      <c r="W1419" s="1" t="str">
        <f t="shared" si="185"/>
        <v/>
      </c>
      <c r="X1419" s="1"/>
      <c r="Y1419" s="1"/>
      <c r="Z1419" s="1"/>
      <c r="AA1419" s="1"/>
      <c r="AB1419" s="1"/>
      <c r="AC1419" s="1"/>
      <c r="AD1419" s="1">
        <f>IF($C1419="",0,SUMPRODUCT((AY_SONU!$O$7:$O$42="Evet")*(AY_SONU!$B$7:$B$42=DATE(YEAR($C1419),MONTH($C1419),1))))</f>
        <v>0</v>
      </c>
      <c r="AE1419" s="1" t="str">
        <f>IF($E1419="","",$E1419&amp;"|"&amp;COUNTIFS($E$7:$E1419,$E1419))</f>
        <v/>
      </c>
    </row>
    <row r="1420" spans="1:31" ht="18" customHeight="1" x14ac:dyDescent="0.3">
      <c r="A1420" s="2"/>
      <c r="B1420" s="65" t="str">
        <f t="shared" si="178"/>
        <v/>
      </c>
      <c r="C1420" s="66"/>
      <c r="D1420" s="60"/>
      <c r="E1420" s="61"/>
      <c r="F1420" s="61"/>
      <c r="G1420" s="67"/>
      <c r="H1420" s="60"/>
      <c r="I1420" s="60"/>
      <c r="J1420" s="61"/>
      <c r="K1420" s="61"/>
      <c r="L1420" s="60"/>
      <c r="M1420" s="74" t="str">
        <f t="shared" si="179"/>
        <v/>
      </c>
      <c r="N1420" s="74" t="str">
        <f t="shared" si="180"/>
        <v/>
      </c>
      <c r="O1420" s="73" t="str">
        <f t="shared" si="181"/>
        <v/>
      </c>
      <c r="P1420" s="65" t="str">
        <f t="shared" ca="1" si="182"/>
        <v/>
      </c>
      <c r="Q1420" s="2"/>
      <c r="R1420" s="2"/>
      <c r="S1420" s="1" t="str">
        <f t="shared" si="183"/>
        <v/>
      </c>
      <c r="T1420" s="1" t="str">
        <f>IF(OR($C1420="",$D1420&lt;&gt;"Gelir",$L1420=""),"",IFERROR(INDEX(MUSTERILER!$B$7:$B$156,MATCH($S1420,MUSTERILER!$T$7:$T$156,0)),""))</f>
        <v/>
      </c>
      <c r="U1420" s="1" t="str">
        <f>IF($T1420="","",$T1420&amp;"|"&amp;COUNTIFS($T$7:$T1420,$T1420))</f>
        <v/>
      </c>
      <c r="V1420" s="1">
        <f t="shared" si="184"/>
        <v>0</v>
      </c>
      <c r="W1420" s="1" t="str">
        <f t="shared" si="185"/>
        <v/>
      </c>
      <c r="X1420" s="1"/>
      <c r="Y1420" s="1"/>
      <c r="Z1420" s="1"/>
      <c r="AA1420" s="1"/>
      <c r="AB1420" s="1"/>
      <c r="AC1420" s="1"/>
      <c r="AD1420" s="1">
        <f>IF($C1420="",0,SUMPRODUCT((AY_SONU!$O$7:$O$42="Evet")*(AY_SONU!$B$7:$B$42=DATE(YEAR($C1420),MONTH($C1420),1))))</f>
        <v>0</v>
      </c>
      <c r="AE1420" s="1" t="str">
        <f>IF($E1420="","",$E1420&amp;"|"&amp;COUNTIFS($E$7:$E1420,$E1420))</f>
        <v/>
      </c>
    </row>
    <row r="1421" spans="1:31" ht="18" customHeight="1" x14ac:dyDescent="0.3">
      <c r="A1421" s="2"/>
      <c r="B1421" s="65" t="str">
        <f t="shared" si="178"/>
        <v/>
      </c>
      <c r="C1421" s="66"/>
      <c r="D1421" s="60"/>
      <c r="E1421" s="61"/>
      <c r="F1421" s="61"/>
      <c r="G1421" s="67"/>
      <c r="H1421" s="60"/>
      <c r="I1421" s="60"/>
      <c r="J1421" s="61"/>
      <c r="K1421" s="61"/>
      <c r="L1421" s="60"/>
      <c r="M1421" s="74" t="str">
        <f t="shared" si="179"/>
        <v/>
      </c>
      <c r="N1421" s="74" t="str">
        <f t="shared" si="180"/>
        <v/>
      </c>
      <c r="O1421" s="73" t="str">
        <f t="shared" si="181"/>
        <v/>
      </c>
      <c r="P1421" s="65" t="str">
        <f t="shared" ca="1" si="182"/>
        <v/>
      </c>
      <c r="Q1421" s="2"/>
      <c r="R1421" s="2"/>
      <c r="S1421" s="1" t="str">
        <f t="shared" si="183"/>
        <v/>
      </c>
      <c r="T1421" s="1" t="str">
        <f>IF(OR($C1421="",$D1421&lt;&gt;"Gelir",$L1421=""),"",IFERROR(INDEX(MUSTERILER!$B$7:$B$156,MATCH($S1421,MUSTERILER!$T$7:$T$156,0)),""))</f>
        <v/>
      </c>
      <c r="U1421" s="1" t="str">
        <f>IF($T1421="","",$T1421&amp;"|"&amp;COUNTIFS($T$7:$T1421,$T1421))</f>
        <v/>
      </c>
      <c r="V1421" s="1">
        <f t="shared" si="184"/>
        <v>0</v>
      </c>
      <c r="W1421" s="1" t="str">
        <f t="shared" si="185"/>
        <v/>
      </c>
      <c r="X1421" s="1"/>
      <c r="Y1421" s="1"/>
      <c r="Z1421" s="1"/>
      <c r="AA1421" s="1"/>
      <c r="AB1421" s="1"/>
      <c r="AC1421" s="1"/>
      <c r="AD1421" s="1">
        <f>IF($C1421="",0,SUMPRODUCT((AY_SONU!$O$7:$O$42="Evet")*(AY_SONU!$B$7:$B$42=DATE(YEAR($C1421),MONTH($C1421),1))))</f>
        <v>0</v>
      </c>
      <c r="AE1421" s="1" t="str">
        <f>IF($E1421="","",$E1421&amp;"|"&amp;COUNTIFS($E$7:$E1421,$E1421))</f>
        <v/>
      </c>
    </row>
    <row r="1422" spans="1:31" ht="18" customHeight="1" x14ac:dyDescent="0.3">
      <c r="A1422" s="2"/>
      <c r="B1422" s="65" t="str">
        <f t="shared" si="178"/>
        <v/>
      </c>
      <c r="C1422" s="66"/>
      <c r="D1422" s="60"/>
      <c r="E1422" s="61"/>
      <c r="F1422" s="61"/>
      <c r="G1422" s="67"/>
      <c r="H1422" s="60"/>
      <c r="I1422" s="60"/>
      <c r="J1422" s="61"/>
      <c r="K1422" s="61"/>
      <c r="L1422" s="60"/>
      <c r="M1422" s="74" t="str">
        <f t="shared" si="179"/>
        <v/>
      </c>
      <c r="N1422" s="74" t="str">
        <f t="shared" si="180"/>
        <v/>
      </c>
      <c r="O1422" s="73" t="str">
        <f t="shared" si="181"/>
        <v/>
      </c>
      <c r="P1422" s="65" t="str">
        <f t="shared" ca="1" si="182"/>
        <v/>
      </c>
      <c r="Q1422" s="2"/>
      <c r="R1422" s="2"/>
      <c r="S1422" s="1" t="str">
        <f t="shared" si="183"/>
        <v/>
      </c>
      <c r="T1422" s="1" t="str">
        <f>IF(OR($C1422="",$D1422&lt;&gt;"Gelir",$L1422=""),"",IFERROR(INDEX(MUSTERILER!$B$7:$B$156,MATCH($S1422,MUSTERILER!$T$7:$T$156,0)),""))</f>
        <v/>
      </c>
      <c r="U1422" s="1" t="str">
        <f>IF($T1422="","",$T1422&amp;"|"&amp;COUNTIFS($T$7:$T1422,$T1422))</f>
        <v/>
      </c>
      <c r="V1422" s="1">
        <f t="shared" si="184"/>
        <v>0</v>
      </c>
      <c r="W1422" s="1" t="str">
        <f t="shared" si="185"/>
        <v/>
      </c>
      <c r="X1422" s="1"/>
      <c r="Y1422" s="1"/>
      <c r="Z1422" s="1"/>
      <c r="AA1422" s="1"/>
      <c r="AB1422" s="1"/>
      <c r="AC1422" s="1"/>
      <c r="AD1422" s="1">
        <f>IF($C1422="",0,SUMPRODUCT((AY_SONU!$O$7:$O$42="Evet")*(AY_SONU!$B$7:$B$42=DATE(YEAR($C1422),MONTH($C1422),1))))</f>
        <v>0</v>
      </c>
      <c r="AE1422" s="1" t="str">
        <f>IF($E1422="","",$E1422&amp;"|"&amp;COUNTIFS($E$7:$E1422,$E1422))</f>
        <v/>
      </c>
    </row>
    <row r="1423" spans="1:31" ht="18" customHeight="1" x14ac:dyDescent="0.3">
      <c r="A1423" s="2"/>
      <c r="B1423" s="65" t="str">
        <f t="shared" si="178"/>
        <v/>
      </c>
      <c r="C1423" s="66"/>
      <c r="D1423" s="60"/>
      <c r="E1423" s="61"/>
      <c r="F1423" s="61"/>
      <c r="G1423" s="67"/>
      <c r="H1423" s="60"/>
      <c r="I1423" s="60"/>
      <c r="J1423" s="61"/>
      <c r="K1423" s="61"/>
      <c r="L1423" s="60"/>
      <c r="M1423" s="74" t="str">
        <f t="shared" si="179"/>
        <v/>
      </c>
      <c r="N1423" s="74" t="str">
        <f t="shared" si="180"/>
        <v/>
      </c>
      <c r="O1423" s="73" t="str">
        <f t="shared" si="181"/>
        <v/>
      </c>
      <c r="P1423" s="65" t="str">
        <f t="shared" ca="1" si="182"/>
        <v/>
      </c>
      <c r="Q1423" s="2"/>
      <c r="R1423" s="2"/>
      <c r="S1423" s="1" t="str">
        <f t="shared" si="183"/>
        <v/>
      </c>
      <c r="T1423" s="1" t="str">
        <f>IF(OR($C1423="",$D1423&lt;&gt;"Gelir",$L1423=""),"",IFERROR(INDEX(MUSTERILER!$B$7:$B$156,MATCH($S1423,MUSTERILER!$T$7:$T$156,0)),""))</f>
        <v/>
      </c>
      <c r="U1423" s="1" t="str">
        <f>IF($T1423="","",$T1423&amp;"|"&amp;COUNTIFS($T$7:$T1423,$T1423))</f>
        <v/>
      </c>
      <c r="V1423" s="1">
        <f t="shared" si="184"/>
        <v>0</v>
      </c>
      <c r="W1423" s="1" t="str">
        <f t="shared" si="185"/>
        <v/>
      </c>
      <c r="X1423" s="1"/>
      <c r="Y1423" s="1"/>
      <c r="Z1423" s="1"/>
      <c r="AA1423" s="1"/>
      <c r="AB1423" s="1"/>
      <c r="AC1423" s="1"/>
      <c r="AD1423" s="1">
        <f>IF($C1423="",0,SUMPRODUCT((AY_SONU!$O$7:$O$42="Evet")*(AY_SONU!$B$7:$B$42=DATE(YEAR($C1423),MONTH($C1423),1))))</f>
        <v>0</v>
      </c>
      <c r="AE1423" s="1" t="str">
        <f>IF($E1423="","",$E1423&amp;"|"&amp;COUNTIFS($E$7:$E1423,$E1423))</f>
        <v/>
      </c>
    </row>
    <row r="1424" spans="1:31" ht="18" customHeight="1" x14ac:dyDescent="0.3">
      <c r="A1424" s="2"/>
      <c r="B1424" s="65" t="str">
        <f t="shared" si="178"/>
        <v/>
      </c>
      <c r="C1424" s="66"/>
      <c r="D1424" s="60"/>
      <c r="E1424" s="61"/>
      <c r="F1424" s="61"/>
      <c r="G1424" s="67"/>
      <c r="H1424" s="60"/>
      <c r="I1424" s="60"/>
      <c r="J1424" s="61"/>
      <c r="K1424" s="61"/>
      <c r="L1424" s="60"/>
      <c r="M1424" s="74" t="str">
        <f t="shared" si="179"/>
        <v/>
      </c>
      <c r="N1424" s="74" t="str">
        <f t="shared" si="180"/>
        <v/>
      </c>
      <c r="O1424" s="73" t="str">
        <f t="shared" si="181"/>
        <v/>
      </c>
      <c r="P1424" s="65" t="str">
        <f t="shared" ca="1" si="182"/>
        <v/>
      </c>
      <c r="Q1424" s="2"/>
      <c r="R1424" s="2"/>
      <c r="S1424" s="1" t="str">
        <f t="shared" si="183"/>
        <v/>
      </c>
      <c r="T1424" s="1" t="str">
        <f>IF(OR($C1424="",$D1424&lt;&gt;"Gelir",$L1424=""),"",IFERROR(INDEX(MUSTERILER!$B$7:$B$156,MATCH($S1424,MUSTERILER!$T$7:$T$156,0)),""))</f>
        <v/>
      </c>
      <c r="U1424" s="1" t="str">
        <f>IF($T1424="","",$T1424&amp;"|"&amp;COUNTIFS($T$7:$T1424,$T1424))</f>
        <v/>
      </c>
      <c r="V1424" s="1">
        <f t="shared" si="184"/>
        <v>0</v>
      </c>
      <c r="W1424" s="1" t="str">
        <f t="shared" si="185"/>
        <v/>
      </c>
      <c r="X1424" s="1"/>
      <c r="Y1424" s="1"/>
      <c r="Z1424" s="1"/>
      <c r="AA1424" s="1"/>
      <c r="AB1424" s="1"/>
      <c r="AC1424" s="1"/>
      <c r="AD1424" s="1">
        <f>IF($C1424="",0,SUMPRODUCT((AY_SONU!$O$7:$O$42="Evet")*(AY_SONU!$B$7:$B$42=DATE(YEAR($C1424),MONTH($C1424),1))))</f>
        <v>0</v>
      </c>
      <c r="AE1424" s="1" t="str">
        <f>IF($E1424="","",$E1424&amp;"|"&amp;COUNTIFS($E$7:$E1424,$E1424))</f>
        <v/>
      </c>
    </row>
    <row r="1425" spans="1:31" ht="18" customHeight="1" x14ac:dyDescent="0.3">
      <c r="A1425" s="2"/>
      <c r="B1425" s="65" t="str">
        <f t="shared" si="178"/>
        <v/>
      </c>
      <c r="C1425" s="66"/>
      <c r="D1425" s="60"/>
      <c r="E1425" s="61"/>
      <c r="F1425" s="61"/>
      <c r="G1425" s="67"/>
      <c r="H1425" s="60"/>
      <c r="I1425" s="60"/>
      <c r="J1425" s="61"/>
      <c r="K1425" s="61"/>
      <c r="L1425" s="60"/>
      <c r="M1425" s="74" t="str">
        <f t="shared" si="179"/>
        <v/>
      </c>
      <c r="N1425" s="74" t="str">
        <f t="shared" si="180"/>
        <v/>
      </c>
      <c r="O1425" s="73" t="str">
        <f t="shared" si="181"/>
        <v/>
      </c>
      <c r="P1425" s="65" t="str">
        <f t="shared" ca="1" si="182"/>
        <v/>
      </c>
      <c r="Q1425" s="2"/>
      <c r="R1425" s="2"/>
      <c r="S1425" s="1" t="str">
        <f t="shared" si="183"/>
        <v/>
      </c>
      <c r="T1425" s="1" t="str">
        <f>IF(OR($C1425="",$D1425&lt;&gt;"Gelir",$L1425=""),"",IFERROR(INDEX(MUSTERILER!$B$7:$B$156,MATCH($S1425,MUSTERILER!$T$7:$T$156,0)),""))</f>
        <v/>
      </c>
      <c r="U1425" s="1" t="str">
        <f>IF($T1425="","",$T1425&amp;"|"&amp;COUNTIFS($T$7:$T1425,$T1425))</f>
        <v/>
      </c>
      <c r="V1425" s="1">
        <f t="shared" si="184"/>
        <v>0</v>
      </c>
      <c r="W1425" s="1" t="str">
        <f t="shared" si="185"/>
        <v/>
      </c>
      <c r="X1425" s="1"/>
      <c r="Y1425" s="1"/>
      <c r="Z1425" s="1"/>
      <c r="AA1425" s="1"/>
      <c r="AB1425" s="1"/>
      <c r="AC1425" s="1"/>
      <c r="AD1425" s="1">
        <f>IF($C1425="",0,SUMPRODUCT((AY_SONU!$O$7:$O$42="Evet")*(AY_SONU!$B$7:$B$42=DATE(YEAR($C1425),MONTH($C1425),1))))</f>
        <v>0</v>
      </c>
      <c r="AE1425" s="1" t="str">
        <f>IF($E1425="","",$E1425&amp;"|"&amp;COUNTIFS($E$7:$E1425,$E1425))</f>
        <v/>
      </c>
    </row>
    <row r="1426" spans="1:31" ht="18" customHeight="1" x14ac:dyDescent="0.3">
      <c r="A1426" s="2"/>
      <c r="B1426" s="65" t="str">
        <f t="shared" si="178"/>
        <v/>
      </c>
      <c r="C1426" s="66"/>
      <c r="D1426" s="60"/>
      <c r="E1426" s="61"/>
      <c r="F1426" s="61"/>
      <c r="G1426" s="67"/>
      <c r="H1426" s="60"/>
      <c r="I1426" s="60"/>
      <c r="J1426" s="61"/>
      <c r="K1426" s="61"/>
      <c r="L1426" s="60"/>
      <c r="M1426" s="74" t="str">
        <f t="shared" si="179"/>
        <v/>
      </c>
      <c r="N1426" s="74" t="str">
        <f t="shared" si="180"/>
        <v/>
      </c>
      <c r="O1426" s="73" t="str">
        <f t="shared" si="181"/>
        <v/>
      </c>
      <c r="P1426" s="65" t="str">
        <f t="shared" ca="1" si="182"/>
        <v/>
      </c>
      <c r="Q1426" s="2"/>
      <c r="R1426" s="2"/>
      <c r="S1426" s="1" t="str">
        <f t="shared" si="183"/>
        <v/>
      </c>
      <c r="T1426" s="1" t="str">
        <f>IF(OR($C1426="",$D1426&lt;&gt;"Gelir",$L1426=""),"",IFERROR(INDEX(MUSTERILER!$B$7:$B$156,MATCH($S1426,MUSTERILER!$T$7:$T$156,0)),""))</f>
        <v/>
      </c>
      <c r="U1426" s="1" t="str">
        <f>IF($T1426="","",$T1426&amp;"|"&amp;COUNTIFS($T$7:$T1426,$T1426))</f>
        <v/>
      </c>
      <c r="V1426" s="1">
        <f t="shared" si="184"/>
        <v>0</v>
      </c>
      <c r="W1426" s="1" t="str">
        <f t="shared" si="185"/>
        <v/>
      </c>
      <c r="X1426" s="1"/>
      <c r="Y1426" s="1"/>
      <c r="Z1426" s="1"/>
      <c r="AA1426" s="1"/>
      <c r="AB1426" s="1"/>
      <c r="AC1426" s="1"/>
      <c r="AD1426" s="1">
        <f>IF($C1426="",0,SUMPRODUCT((AY_SONU!$O$7:$O$42="Evet")*(AY_SONU!$B$7:$B$42=DATE(YEAR($C1426),MONTH($C1426),1))))</f>
        <v>0</v>
      </c>
      <c r="AE1426" s="1" t="str">
        <f>IF($E1426="","",$E1426&amp;"|"&amp;COUNTIFS($E$7:$E1426,$E1426))</f>
        <v/>
      </c>
    </row>
    <row r="1427" spans="1:31" ht="18" customHeight="1" x14ac:dyDescent="0.3">
      <c r="A1427" s="2"/>
      <c r="B1427" s="65" t="str">
        <f t="shared" si="178"/>
        <v/>
      </c>
      <c r="C1427" s="66"/>
      <c r="D1427" s="60"/>
      <c r="E1427" s="61"/>
      <c r="F1427" s="61"/>
      <c r="G1427" s="67"/>
      <c r="H1427" s="60"/>
      <c r="I1427" s="60"/>
      <c r="J1427" s="61"/>
      <c r="K1427" s="61"/>
      <c r="L1427" s="60"/>
      <c r="M1427" s="74" t="str">
        <f t="shared" si="179"/>
        <v/>
      </c>
      <c r="N1427" s="74" t="str">
        <f t="shared" si="180"/>
        <v/>
      </c>
      <c r="O1427" s="73" t="str">
        <f t="shared" si="181"/>
        <v/>
      </c>
      <c r="P1427" s="65" t="str">
        <f t="shared" ca="1" si="182"/>
        <v/>
      </c>
      <c r="Q1427" s="2"/>
      <c r="R1427" s="2"/>
      <c r="S1427" s="1" t="str">
        <f t="shared" si="183"/>
        <v/>
      </c>
      <c r="T1427" s="1" t="str">
        <f>IF(OR($C1427="",$D1427&lt;&gt;"Gelir",$L1427=""),"",IFERROR(INDEX(MUSTERILER!$B$7:$B$156,MATCH($S1427,MUSTERILER!$T$7:$T$156,0)),""))</f>
        <v/>
      </c>
      <c r="U1427" s="1" t="str">
        <f>IF($T1427="","",$T1427&amp;"|"&amp;COUNTIFS($T$7:$T1427,$T1427))</f>
        <v/>
      </c>
      <c r="V1427" s="1">
        <f t="shared" si="184"/>
        <v>0</v>
      </c>
      <c r="W1427" s="1" t="str">
        <f t="shared" si="185"/>
        <v/>
      </c>
      <c r="X1427" s="1"/>
      <c r="Y1427" s="1"/>
      <c r="Z1427" s="1"/>
      <c r="AA1427" s="1"/>
      <c r="AB1427" s="1"/>
      <c r="AC1427" s="1"/>
      <c r="AD1427" s="1">
        <f>IF($C1427="",0,SUMPRODUCT((AY_SONU!$O$7:$O$42="Evet")*(AY_SONU!$B$7:$B$42=DATE(YEAR($C1427),MONTH($C1427),1))))</f>
        <v>0</v>
      </c>
      <c r="AE1427" s="1" t="str">
        <f>IF($E1427="","",$E1427&amp;"|"&amp;COUNTIFS($E$7:$E1427,$E1427))</f>
        <v/>
      </c>
    </row>
    <row r="1428" spans="1:31" ht="18" customHeight="1" x14ac:dyDescent="0.3">
      <c r="A1428" s="2"/>
      <c r="B1428" s="65" t="str">
        <f t="shared" si="178"/>
        <v/>
      </c>
      <c r="C1428" s="66"/>
      <c r="D1428" s="60"/>
      <c r="E1428" s="61"/>
      <c r="F1428" s="61"/>
      <c r="G1428" s="67"/>
      <c r="H1428" s="60"/>
      <c r="I1428" s="60"/>
      <c r="J1428" s="61"/>
      <c r="K1428" s="61"/>
      <c r="L1428" s="60"/>
      <c r="M1428" s="74" t="str">
        <f t="shared" si="179"/>
        <v/>
      </c>
      <c r="N1428" s="74" t="str">
        <f t="shared" si="180"/>
        <v/>
      </c>
      <c r="O1428" s="73" t="str">
        <f t="shared" si="181"/>
        <v/>
      </c>
      <c r="P1428" s="65" t="str">
        <f t="shared" ca="1" si="182"/>
        <v/>
      </c>
      <c r="Q1428" s="2"/>
      <c r="R1428" s="2"/>
      <c r="S1428" s="1" t="str">
        <f t="shared" si="183"/>
        <v/>
      </c>
      <c r="T1428" s="1" t="str">
        <f>IF(OR($C1428="",$D1428&lt;&gt;"Gelir",$L1428=""),"",IFERROR(INDEX(MUSTERILER!$B$7:$B$156,MATCH($S1428,MUSTERILER!$T$7:$T$156,0)),""))</f>
        <v/>
      </c>
      <c r="U1428" s="1" t="str">
        <f>IF($T1428="","",$T1428&amp;"|"&amp;COUNTIFS($T$7:$T1428,$T1428))</f>
        <v/>
      </c>
      <c r="V1428" s="1">
        <f t="shared" si="184"/>
        <v>0</v>
      </c>
      <c r="W1428" s="1" t="str">
        <f t="shared" si="185"/>
        <v/>
      </c>
      <c r="X1428" s="1"/>
      <c r="Y1428" s="1"/>
      <c r="Z1428" s="1"/>
      <c r="AA1428" s="1"/>
      <c r="AB1428" s="1"/>
      <c r="AC1428" s="1"/>
      <c r="AD1428" s="1">
        <f>IF($C1428="",0,SUMPRODUCT((AY_SONU!$O$7:$O$42="Evet")*(AY_SONU!$B$7:$B$42=DATE(YEAR($C1428),MONTH($C1428),1))))</f>
        <v>0</v>
      </c>
      <c r="AE1428" s="1" t="str">
        <f>IF($E1428="","",$E1428&amp;"|"&amp;COUNTIFS($E$7:$E1428,$E1428))</f>
        <v/>
      </c>
    </row>
    <row r="1429" spans="1:31" ht="18" customHeight="1" x14ac:dyDescent="0.3">
      <c r="A1429" s="2"/>
      <c r="B1429" s="65" t="str">
        <f t="shared" si="178"/>
        <v/>
      </c>
      <c r="C1429" s="66"/>
      <c r="D1429" s="60"/>
      <c r="E1429" s="61"/>
      <c r="F1429" s="61"/>
      <c r="G1429" s="67"/>
      <c r="H1429" s="60"/>
      <c r="I1429" s="60"/>
      <c r="J1429" s="61"/>
      <c r="K1429" s="61"/>
      <c r="L1429" s="60"/>
      <c r="M1429" s="74" t="str">
        <f t="shared" si="179"/>
        <v/>
      </c>
      <c r="N1429" s="74" t="str">
        <f t="shared" si="180"/>
        <v/>
      </c>
      <c r="O1429" s="73" t="str">
        <f t="shared" si="181"/>
        <v/>
      </c>
      <c r="P1429" s="65" t="str">
        <f t="shared" ca="1" si="182"/>
        <v/>
      </c>
      <c r="Q1429" s="2"/>
      <c r="R1429" s="2"/>
      <c r="S1429" s="1" t="str">
        <f t="shared" si="183"/>
        <v/>
      </c>
      <c r="T1429" s="1" t="str">
        <f>IF(OR($C1429="",$D1429&lt;&gt;"Gelir",$L1429=""),"",IFERROR(INDEX(MUSTERILER!$B$7:$B$156,MATCH($S1429,MUSTERILER!$T$7:$T$156,0)),""))</f>
        <v/>
      </c>
      <c r="U1429" s="1" t="str">
        <f>IF($T1429="","",$T1429&amp;"|"&amp;COUNTIFS($T$7:$T1429,$T1429))</f>
        <v/>
      </c>
      <c r="V1429" s="1">
        <f t="shared" si="184"/>
        <v>0</v>
      </c>
      <c r="W1429" s="1" t="str">
        <f t="shared" si="185"/>
        <v/>
      </c>
      <c r="X1429" s="1"/>
      <c r="Y1429" s="1"/>
      <c r="Z1429" s="1"/>
      <c r="AA1429" s="1"/>
      <c r="AB1429" s="1"/>
      <c r="AC1429" s="1"/>
      <c r="AD1429" s="1">
        <f>IF($C1429="",0,SUMPRODUCT((AY_SONU!$O$7:$O$42="Evet")*(AY_SONU!$B$7:$B$42=DATE(YEAR($C1429),MONTH($C1429),1))))</f>
        <v>0</v>
      </c>
      <c r="AE1429" s="1" t="str">
        <f>IF($E1429="","",$E1429&amp;"|"&amp;COUNTIFS($E$7:$E1429,$E1429))</f>
        <v/>
      </c>
    </row>
    <row r="1430" spans="1:31" ht="18" customHeight="1" x14ac:dyDescent="0.3">
      <c r="A1430" s="2"/>
      <c r="B1430" s="65" t="str">
        <f t="shared" si="178"/>
        <v/>
      </c>
      <c r="C1430" s="66"/>
      <c r="D1430" s="60"/>
      <c r="E1430" s="61"/>
      <c r="F1430" s="61"/>
      <c r="G1430" s="67"/>
      <c r="H1430" s="60"/>
      <c r="I1430" s="60"/>
      <c r="J1430" s="61"/>
      <c r="K1430" s="61"/>
      <c r="L1430" s="60"/>
      <c r="M1430" s="74" t="str">
        <f t="shared" si="179"/>
        <v/>
      </c>
      <c r="N1430" s="74" t="str">
        <f t="shared" si="180"/>
        <v/>
      </c>
      <c r="O1430" s="73" t="str">
        <f t="shared" si="181"/>
        <v/>
      </c>
      <c r="P1430" s="65" t="str">
        <f t="shared" ca="1" si="182"/>
        <v/>
      </c>
      <c r="Q1430" s="2"/>
      <c r="R1430" s="2"/>
      <c r="S1430" s="1" t="str">
        <f t="shared" si="183"/>
        <v/>
      </c>
      <c r="T1430" s="1" t="str">
        <f>IF(OR($C1430="",$D1430&lt;&gt;"Gelir",$L1430=""),"",IFERROR(INDEX(MUSTERILER!$B$7:$B$156,MATCH($S1430,MUSTERILER!$T$7:$T$156,0)),""))</f>
        <v/>
      </c>
      <c r="U1430" s="1" t="str">
        <f>IF($T1430="","",$T1430&amp;"|"&amp;COUNTIFS($T$7:$T1430,$T1430))</f>
        <v/>
      </c>
      <c r="V1430" s="1">
        <f t="shared" si="184"/>
        <v>0</v>
      </c>
      <c r="W1430" s="1" t="str">
        <f t="shared" si="185"/>
        <v/>
      </c>
      <c r="X1430" s="1"/>
      <c r="Y1430" s="1"/>
      <c r="Z1430" s="1"/>
      <c r="AA1430" s="1"/>
      <c r="AB1430" s="1"/>
      <c r="AC1430" s="1"/>
      <c r="AD1430" s="1">
        <f>IF($C1430="",0,SUMPRODUCT((AY_SONU!$O$7:$O$42="Evet")*(AY_SONU!$B$7:$B$42=DATE(YEAR($C1430),MONTH($C1430),1))))</f>
        <v>0</v>
      </c>
      <c r="AE1430" s="1" t="str">
        <f>IF($E1430="","",$E1430&amp;"|"&amp;COUNTIFS($E$7:$E1430,$E1430))</f>
        <v/>
      </c>
    </row>
    <row r="1431" spans="1:31" ht="18" customHeight="1" x14ac:dyDescent="0.3">
      <c r="A1431" s="2"/>
      <c r="B1431" s="65" t="str">
        <f t="shared" si="178"/>
        <v/>
      </c>
      <c r="C1431" s="66"/>
      <c r="D1431" s="60"/>
      <c r="E1431" s="61"/>
      <c r="F1431" s="61"/>
      <c r="G1431" s="67"/>
      <c r="H1431" s="60"/>
      <c r="I1431" s="60"/>
      <c r="J1431" s="61"/>
      <c r="K1431" s="61"/>
      <c r="L1431" s="60"/>
      <c r="M1431" s="74" t="str">
        <f t="shared" si="179"/>
        <v/>
      </c>
      <c r="N1431" s="74" t="str">
        <f t="shared" si="180"/>
        <v/>
      </c>
      <c r="O1431" s="73" t="str">
        <f t="shared" si="181"/>
        <v/>
      </c>
      <c r="P1431" s="65" t="str">
        <f t="shared" ca="1" si="182"/>
        <v/>
      </c>
      <c r="Q1431" s="2"/>
      <c r="R1431" s="2"/>
      <c r="S1431" s="1" t="str">
        <f t="shared" si="183"/>
        <v/>
      </c>
      <c r="T1431" s="1" t="str">
        <f>IF(OR($C1431="",$D1431&lt;&gt;"Gelir",$L1431=""),"",IFERROR(INDEX(MUSTERILER!$B$7:$B$156,MATCH($S1431,MUSTERILER!$T$7:$T$156,0)),""))</f>
        <v/>
      </c>
      <c r="U1431" s="1" t="str">
        <f>IF($T1431="","",$T1431&amp;"|"&amp;COUNTIFS($T$7:$T1431,$T1431))</f>
        <v/>
      </c>
      <c r="V1431" s="1">
        <f t="shared" si="184"/>
        <v>0</v>
      </c>
      <c r="W1431" s="1" t="str">
        <f t="shared" si="185"/>
        <v/>
      </c>
      <c r="X1431" s="1"/>
      <c r="Y1431" s="1"/>
      <c r="Z1431" s="1"/>
      <c r="AA1431" s="1"/>
      <c r="AB1431" s="1"/>
      <c r="AC1431" s="1"/>
      <c r="AD1431" s="1">
        <f>IF($C1431="",0,SUMPRODUCT((AY_SONU!$O$7:$O$42="Evet")*(AY_SONU!$B$7:$B$42=DATE(YEAR($C1431),MONTH($C1431),1))))</f>
        <v>0</v>
      </c>
      <c r="AE1431" s="1" t="str">
        <f>IF($E1431="","",$E1431&amp;"|"&amp;COUNTIFS($E$7:$E1431,$E1431))</f>
        <v/>
      </c>
    </row>
    <row r="1432" spans="1:31" ht="18" customHeight="1" x14ac:dyDescent="0.3">
      <c r="A1432" s="2"/>
      <c r="B1432" s="65" t="str">
        <f t="shared" si="178"/>
        <v/>
      </c>
      <c r="C1432" s="66"/>
      <c r="D1432" s="60"/>
      <c r="E1432" s="61"/>
      <c r="F1432" s="61"/>
      <c r="G1432" s="67"/>
      <c r="H1432" s="60"/>
      <c r="I1432" s="60"/>
      <c r="J1432" s="61"/>
      <c r="K1432" s="61"/>
      <c r="L1432" s="60"/>
      <c r="M1432" s="74" t="str">
        <f t="shared" si="179"/>
        <v/>
      </c>
      <c r="N1432" s="74" t="str">
        <f t="shared" si="180"/>
        <v/>
      </c>
      <c r="O1432" s="73" t="str">
        <f t="shared" si="181"/>
        <v/>
      </c>
      <c r="P1432" s="65" t="str">
        <f t="shared" ca="1" si="182"/>
        <v/>
      </c>
      <c r="Q1432" s="2"/>
      <c r="R1432" s="2"/>
      <c r="S1432" s="1" t="str">
        <f t="shared" si="183"/>
        <v/>
      </c>
      <c r="T1432" s="1" t="str">
        <f>IF(OR($C1432="",$D1432&lt;&gt;"Gelir",$L1432=""),"",IFERROR(INDEX(MUSTERILER!$B$7:$B$156,MATCH($S1432,MUSTERILER!$T$7:$T$156,0)),""))</f>
        <v/>
      </c>
      <c r="U1432" s="1" t="str">
        <f>IF($T1432="","",$T1432&amp;"|"&amp;COUNTIFS($T$7:$T1432,$T1432))</f>
        <v/>
      </c>
      <c r="V1432" s="1">
        <f t="shared" si="184"/>
        <v>0</v>
      </c>
      <c r="W1432" s="1" t="str">
        <f t="shared" si="185"/>
        <v/>
      </c>
      <c r="X1432" s="1"/>
      <c r="Y1432" s="1"/>
      <c r="Z1432" s="1"/>
      <c r="AA1432" s="1"/>
      <c r="AB1432" s="1"/>
      <c r="AC1432" s="1"/>
      <c r="AD1432" s="1">
        <f>IF($C1432="",0,SUMPRODUCT((AY_SONU!$O$7:$O$42="Evet")*(AY_SONU!$B$7:$B$42=DATE(YEAR($C1432),MONTH($C1432),1))))</f>
        <v>0</v>
      </c>
      <c r="AE1432" s="1" t="str">
        <f>IF($E1432="","",$E1432&amp;"|"&amp;COUNTIFS($E$7:$E1432,$E1432))</f>
        <v/>
      </c>
    </row>
    <row r="1433" spans="1:31" ht="18" customHeight="1" x14ac:dyDescent="0.3">
      <c r="A1433" s="2"/>
      <c r="B1433" s="65" t="str">
        <f t="shared" si="178"/>
        <v/>
      </c>
      <c r="C1433" s="66"/>
      <c r="D1433" s="60"/>
      <c r="E1433" s="61"/>
      <c r="F1433" s="61"/>
      <c r="G1433" s="67"/>
      <c r="H1433" s="60"/>
      <c r="I1433" s="60"/>
      <c r="J1433" s="61"/>
      <c r="K1433" s="61"/>
      <c r="L1433" s="60"/>
      <c r="M1433" s="74" t="str">
        <f t="shared" si="179"/>
        <v/>
      </c>
      <c r="N1433" s="74" t="str">
        <f t="shared" si="180"/>
        <v/>
      </c>
      <c r="O1433" s="73" t="str">
        <f t="shared" si="181"/>
        <v/>
      </c>
      <c r="P1433" s="65" t="str">
        <f t="shared" ca="1" si="182"/>
        <v/>
      </c>
      <c r="Q1433" s="2"/>
      <c r="R1433" s="2"/>
      <c r="S1433" s="1" t="str">
        <f t="shared" si="183"/>
        <v/>
      </c>
      <c r="T1433" s="1" t="str">
        <f>IF(OR($C1433="",$D1433&lt;&gt;"Gelir",$L1433=""),"",IFERROR(INDEX(MUSTERILER!$B$7:$B$156,MATCH($S1433,MUSTERILER!$T$7:$T$156,0)),""))</f>
        <v/>
      </c>
      <c r="U1433" s="1" t="str">
        <f>IF($T1433="","",$T1433&amp;"|"&amp;COUNTIFS($T$7:$T1433,$T1433))</f>
        <v/>
      </c>
      <c r="V1433" s="1">
        <f t="shared" si="184"/>
        <v>0</v>
      </c>
      <c r="W1433" s="1" t="str">
        <f t="shared" si="185"/>
        <v/>
      </c>
      <c r="X1433" s="1"/>
      <c r="Y1433" s="1"/>
      <c r="Z1433" s="1"/>
      <c r="AA1433" s="1"/>
      <c r="AB1433" s="1"/>
      <c r="AC1433" s="1"/>
      <c r="AD1433" s="1">
        <f>IF($C1433="",0,SUMPRODUCT((AY_SONU!$O$7:$O$42="Evet")*(AY_SONU!$B$7:$B$42=DATE(YEAR($C1433),MONTH($C1433),1))))</f>
        <v>0</v>
      </c>
      <c r="AE1433" s="1" t="str">
        <f>IF($E1433="","",$E1433&amp;"|"&amp;COUNTIFS($E$7:$E1433,$E1433))</f>
        <v/>
      </c>
    </row>
    <row r="1434" spans="1:31" ht="18" customHeight="1" x14ac:dyDescent="0.3">
      <c r="A1434" s="2"/>
      <c r="B1434" s="65" t="str">
        <f t="shared" si="178"/>
        <v/>
      </c>
      <c r="C1434" s="66"/>
      <c r="D1434" s="60"/>
      <c r="E1434" s="61"/>
      <c r="F1434" s="61"/>
      <c r="G1434" s="67"/>
      <c r="H1434" s="60"/>
      <c r="I1434" s="60"/>
      <c r="J1434" s="61"/>
      <c r="K1434" s="61"/>
      <c r="L1434" s="60"/>
      <c r="M1434" s="74" t="str">
        <f t="shared" si="179"/>
        <v/>
      </c>
      <c r="N1434" s="74" t="str">
        <f t="shared" si="180"/>
        <v/>
      </c>
      <c r="O1434" s="73" t="str">
        <f t="shared" si="181"/>
        <v/>
      </c>
      <c r="P1434" s="65" t="str">
        <f t="shared" ca="1" si="182"/>
        <v/>
      </c>
      <c r="Q1434" s="2"/>
      <c r="R1434" s="2"/>
      <c r="S1434" s="1" t="str">
        <f t="shared" si="183"/>
        <v/>
      </c>
      <c r="T1434" s="1" t="str">
        <f>IF(OR($C1434="",$D1434&lt;&gt;"Gelir",$L1434=""),"",IFERROR(INDEX(MUSTERILER!$B$7:$B$156,MATCH($S1434,MUSTERILER!$T$7:$T$156,0)),""))</f>
        <v/>
      </c>
      <c r="U1434" s="1" t="str">
        <f>IF($T1434="","",$T1434&amp;"|"&amp;COUNTIFS($T$7:$T1434,$T1434))</f>
        <v/>
      </c>
      <c r="V1434" s="1">
        <f t="shared" si="184"/>
        <v>0</v>
      </c>
      <c r="W1434" s="1" t="str">
        <f t="shared" si="185"/>
        <v/>
      </c>
      <c r="X1434" s="1"/>
      <c r="Y1434" s="1"/>
      <c r="Z1434" s="1"/>
      <c r="AA1434" s="1"/>
      <c r="AB1434" s="1"/>
      <c r="AC1434" s="1"/>
      <c r="AD1434" s="1">
        <f>IF($C1434="",0,SUMPRODUCT((AY_SONU!$O$7:$O$42="Evet")*(AY_SONU!$B$7:$B$42=DATE(YEAR($C1434),MONTH($C1434),1))))</f>
        <v>0</v>
      </c>
      <c r="AE1434" s="1" t="str">
        <f>IF($E1434="","",$E1434&amp;"|"&amp;COUNTIFS($E$7:$E1434,$E1434))</f>
        <v/>
      </c>
    </row>
    <row r="1435" spans="1:31" ht="18" customHeight="1" x14ac:dyDescent="0.3">
      <c r="A1435" s="2"/>
      <c r="B1435" s="65" t="str">
        <f t="shared" si="178"/>
        <v/>
      </c>
      <c r="C1435" s="66"/>
      <c r="D1435" s="60"/>
      <c r="E1435" s="61"/>
      <c r="F1435" s="61"/>
      <c r="G1435" s="67"/>
      <c r="H1435" s="60"/>
      <c r="I1435" s="60"/>
      <c r="J1435" s="61"/>
      <c r="K1435" s="61"/>
      <c r="L1435" s="60"/>
      <c r="M1435" s="74" t="str">
        <f t="shared" si="179"/>
        <v/>
      </c>
      <c r="N1435" s="74" t="str">
        <f t="shared" si="180"/>
        <v/>
      </c>
      <c r="O1435" s="73" t="str">
        <f t="shared" si="181"/>
        <v/>
      </c>
      <c r="P1435" s="65" t="str">
        <f t="shared" ca="1" si="182"/>
        <v/>
      </c>
      <c r="Q1435" s="2"/>
      <c r="R1435" s="2"/>
      <c r="S1435" s="1" t="str">
        <f t="shared" si="183"/>
        <v/>
      </c>
      <c r="T1435" s="1" t="str">
        <f>IF(OR($C1435="",$D1435&lt;&gt;"Gelir",$L1435=""),"",IFERROR(INDEX(MUSTERILER!$B$7:$B$156,MATCH($S1435,MUSTERILER!$T$7:$T$156,0)),""))</f>
        <v/>
      </c>
      <c r="U1435" s="1" t="str">
        <f>IF($T1435="","",$T1435&amp;"|"&amp;COUNTIFS($T$7:$T1435,$T1435))</f>
        <v/>
      </c>
      <c r="V1435" s="1">
        <f t="shared" si="184"/>
        <v>0</v>
      </c>
      <c r="W1435" s="1" t="str">
        <f t="shared" si="185"/>
        <v/>
      </c>
      <c r="X1435" s="1"/>
      <c r="Y1435" s="1"/>
      <c r="Z1435" s="1"/>
      <c r="AA1435" s="1"/>
      <c r="AB1435" s="1"/>
      <c r="AC1435" s="1"/>
      <c r="AD1435" s="1">
        <f>IF($C1435="",0,SUMPRODUCT((AY_SONU!$O$7:$O$42="Evet")*(AY_SONU!$B$7:$B$42=DATE(YEAR($C1435),MONTH($C1435),1))))</f>
        <v>0</v>
      </c>
      <c r="AE1435" s="1" t="str">
        <f>IF($E1435="","",$E1435&amp;"|"&amp;COUNTIFS($E$7:$E1435,$E1435))</f>
        <v/>
      </c>
    </row>
    <row r="1436" spans="1:31" ht="18" customHeight="1" x14ac:dyDescent="0.3">
      <c r="A1436" s="2"/>
      <c r="B1436" s="65" t="str">
        <f t="shared" si="178"/>
        <v/>
      </c>
      <c r="C1436" s="66"/>
      <c r="D1436" s="60"/>
      <c r="E1436" s="61"/>
      <c r="F1436" s="61"/>
      <c r="G1436" s="67"/>
      <c r="H1436" s="60"/>
      <c r="I1436" s="60"/>
      <c r="J1436" s="61"/>
      <c r="K1436" s="61"/>
      <c r="L1436" s="60"/>
      <c r="M1436" s="74" t="str">
        <f t="shared" si="179"/>
        <v/>
      </c>
      <c r="N1436" s="74" t="str">
        <f t="shared" si="180"/>
        <v/>
      </c>
      <c r="O1436" s="73" t="str">
        <f t="shared" si="181"/>
        <v/>
      </c>
      <c r="P1436" s="65" t="str">
        <f t="shared" ca="1" si="182"/>
        <v/>
      </c>
      <c r="Q1436" s="2"/>
      <c r="R1436" s="2"/>
      <c r="S1436" s="1" t="str">
        <f t="shared" si="183"/>
        <v/>
      </c>
      <c r="T1436" s="1" t="str">
        <f>IF(OR($C1436="",$D1436&lt;&gt;"Gelir",$L1436=""),"",IFERROR(INDEX(MUSTERILER!$B$7:$B$156,MATCH($S1436,MUSTERILER!$T$7:$T$156,0)),""))</f>
        <v/>
      </c>
      <c r="U1436" s="1" t="str">
        <f>IF($T1436="","",$T1436&amp;"|"&amp;COUNTIFS($T$7:$T1436,$T1436))</f>
        <v/>
      </c>
      <c r="V1436" s="1">
        <f t="shared" si="184"/>
        <v>0</v>
      </c>
      <c r="W1436" s="1" t="str">
        <f t="shared" si="185"/>
        <v/>
      </c>
      <c r="X1436" s="1"/>
      <c r="Y1436" s="1"/>
      <c r="Z1436" s="1"/>
      <c r="AA1436" s="1"/>
      <c r="AB1436" s="1"/>
      <c r="AC1436" s="1"/>
      <c r="AD1436" s="1">
        <f>IF($C1436="",0,SUMPRODUCT((AY_SONU!$O$7:$O$42="Evet")*(AY_SONU!$B$7:$B$42=DATE(YEAR($C1436),MONTH($C1436),1))))</f>
        <v>0</v>
      </c>
      <c r="AE1436" s="1" t="str">
        <f>IF($E1436="","",$E1436&amp;"|"&amp;COUNTIFS($E$7:$E1436,$E1436))</f>
        <v/>
      </c>
    </row>
    <row r="1437" spans="1:31" ht="18" customHeight="1" x14ac:dyDescent="0.3">
      <c r="A1437" s="2"/>
      <c r="B1437" s="65" t="str">
        <f t="shared" si="178"/>
        <v/>
      </c>
      <c r="C1437" s="66"/>
      <c r="D1437" s="60"/>
      <c r="E1437" s="61"/>
      <c r="F1437" s="61"/>
      <c r="G1437" s="67"/>
      <c r="H1437" s="60"/>
      <c r="I1437" s="60"/>
      <c r="J1437" s="61"/>
      <c r="K1437" s="61"/>
      <c r="L1437" s="60"/>
      <c r="M1437" s="74" t="str">
        <f t="shared" si="179"/>
        <v/>
      </c>
      <c r="N1437" s="74" t="str">
        <f t="shared" si="180"/>
        <v/>
      </c>
      <c r="O1437" s="73" t="str">
        <f t="shared" si="181"/>
        <v/>
      </c>
      <c r="P1437" s="65" t="str">
        <f t="shared" ca="1" si="182"/>
        <v/>
      </c>
      <c r="Q1437" s="2"/>
      <c r="R1437" s="2"/>
      <c r="S1437" s="1" t="str">
        <f t="shared" si="183"/>
        <v/>
      </c>
      <c r="T1437" s="1" t="str">
        <f>IF(OR($C1437="",$D1437&lt;&gt;"Gelir",$L1437=""),"",IFERROR(INDEX(MUSTERILER!$B$7:$B$156,MATCH($S1437,MUSTERILER!$T$7:$T$156,0)),""))</f>
        <v/>
      </c>
      <c r="U1437" s="1" t="str">
        <f>IF($T1437="","",$T1437&amp;"|"&amp;COUNTIFS($T$7:$T1437,$T1437))</f>
        <v/>
      </c>
      <c r="V1437" s="1">
        <f t="shared" si="184"/>
        <v>0</v>
      </c>
      <c r="W1437" s="1" t="str">
        <f t="shared" si="185"/>
        <v/>
      </c>
      <c r="X1437" s="1"/>
      <c r="Y1437" s="1"/>
      <c r="Z1437" s="1"/>
      <c r="AA1437" s="1"/>
      <c r="AB1437" s="1"/>
      <c r="AC1437" s="1"/>
      <c r="AD1437" s="1">
        <f>IF($C1437="",0,SUMPRODUCT((AY_SONU!$O$7:$O$42="Evet")*(AY_SONU!$B$7:$B$42=DATE(YEAR($C1437),MONTH($C1437),1))))</f>
        <v>0</v>
      </c>
      <c r="AE1437" s="1" t="str">
        <f>IF($E1437="","",$E1437&amp;"|"&amp;COUNTIFS($E$7:$E1437,$E1437))</f>
        <v/>
      </c>
    </row>
    <row r="1438" spans="1:31" ht="18" customHeight="1" x14ac:dyDescent="0.3">
      <c r="A1438" s="2"/>
      <c r="B1438" s="65" t="str">
        <f t="shared" si="178"/>
        <v/>
      </c>
      <c r="C1438" s="66"/>
      <c r="D1438" s="60"/>
      <c r="E1438" s="61"/>
      <c r="F1438" s="61"/>
      <c r="G1438" s="67"/>
      <c r="H1438" s="60"/>
      <c r="I1438" s="60"/>
      <c r="J1438" s="61"/>
      <c r="K1438" s="61"/>
      <c r="L1438" s="60"/>
      <c r="M1438" s="74" t="str">
        <f t="shared" si="179"/>
        <v/>
      </c>
      <c r="N1438" s="74" t="str">
        <f t="shared" si="180"/>
        <v/>
      </c>
      <c r="O1438" s="73" t="str">
        <f t="shared" si="181"/>
        <v/>
      </c>
      <c r="P1438" s="65" t="str">
        <f t="shared" ca="1" si="182"/>
        <v/>
      </c>
      <c r="Q1438" s="2"/>
      <c r="R1438" s="2"/>
      <c r="S1438" s="1" t="str">
        <f t="shared" si="183"/>
        <v/>
      </c>
      <c r="T1438" s="1" t="str">
        <f>IF(OR($C1438="",$D1438&lt;&gt;"Gelir",$L1438=""),"",IFERROR(INDEX(MUSTERILER!$B$7:$B$156,MATCH($S1438,MUSTERILER!$T$7:$T$156,0)),""))</f>
        <v/>
      </c>
      <c r="U1438" s="1" t="str">
        <f>IF($T1438="","",$T1438&amp;"|"&amp;COUNTIFS($T$7:$T1438,$T1438))</f>
        <v/>
      </c>
      <c r="V1438" s="1">
        <f t="shared" si="184"/>
        <v>0</v>
      </c>
      <c r="W1438" s="1" t="str">
        <f t="shared" si="185"/>
        <v/>
      </c>
      <c r="X1438" s="1"/>
      <c r="Y1438" s="1"/>
      <c r="Z1438" s="1"/>
      <c r="AA1438" s="1"/>
      <c r="AB1438" s="1"/>
      <c r="AC1438" s="1"/>
      <c r="AD1438" s="1">
        <f>IF($C1438="",0,SUMPRODUCT((AY_SONU!$O$7:$O$42="Evet")*(AY_SONU!$B$7:$B$42=DATE(YEAR($C1438),MONTH($C1438),1))))</f>
        <v>0</v>
      </c>
      <c r="AE1438" s="1" t="str">
        <f>IF($E1438="","",$E1438&amp;"|"&amp;COUNTIFS($E$7:$E1438,$E1438))</f>
        <v/>
      </c>
    </row>
    <row r="1439" spans="1:31" ht="18" customHeight="1" x14ac:dyDescent="0.3">
      <c r="A1439" s="2"/>
      <c r="B1439" s="65" t="str">
        <f t="shared" si="178"/>
        <v/>
      </c>
      <c r="C1439" s="66"/>
      <c r="D1439" s="60"/>
      <c r="E1439" s="61"/>
      <c r="F1439" s="61"/>
      <c r="G1439" s="67"/>
      <c r="H1439" s="60"/>
      <c r="I1439" s="60"/>
      <c r="J1439" s="61"/>
      <c r="K1439" s="61"/>
      <c r="L1439" s="60"/>
      <c r="M1439" s="74" t="str">
        <f t="shared" si="179"/>
        <v/>
      </c>
      <c r="N1439" s="74" t="str">
        <f t="shared" si="180"/>
        <v/>
      </c>
      <c r="O1439" s="73" t="str">
        <f t="shared" si="181"/>
        <v/>
      </c>
      <c r="P1439" s="65" t="str">
        <f t="shared" ca="1" si="182"/>
        <v/>
      </c>
      <c r="Q1439" s="2"/>
      <c r="R1439" s="2"/>
      <c r="S1439" s="1" t="str">
        <f t="shared" si="183"/>
        <v/>
      </c>
      <c r="T1439" s="1" t="str">
        <f>IF(OR($C1439="",$D1439&lt;&gt;"Gelir",$L1439=""),"",IFERROR(INDEX(MUSTERILER!$B$7:$B$156,MATCH($S1439,MUSTERILER!$T$7:$T$156,0)),""))</f>
        <v/>
      </c>
      <c r="U1439" s="1" t="str">
        <f>IF($T1439="","",$T1439&amp;"|"&amp;COUNTIFS($T$7:$T1439,$T1439))</f>
        <v/>
      </c>
      <c r="V1439" s="1">
        <f t="shared" si="184"/>
        <v>0</v>
      </c>
      <c r="W1439" s="1" t="str">
        <f t="shared" si="185"/>
        <v/>
      </c>
      <c r="X1439" s="1"/>
      <c r="Y1439" s="1"/>
      <c r="Z1439" s="1"/>
      <c r="AA1439" s="1"/>
      <c r="AB1439" s="1"/>
      <c r="AC1439" s="1"/>
      <c r="AD1439" s="1">
        <f>IF($C1439="",0,SUMPRODUCT((AY_SONU!$O$7:$O$42="Evet")*(AY_SONU!$B$7:$B$42=DATE(YEAR($C1439),MONTH($C1439),1))))</f>
        <v>0</v>
      </c>
      <c r="AE1439" s="1" t="str">
        <f>IF($E1439="","",$E1439&amp;"|"&amp;COUNTIFS($E$7:$E1439,$E1439))</f>
        <v/>
      </c>
    </row>
    <row r="1440" spans="1:31" ht="18" customHeight="1" x14ac:dyDescent="0.3">
      <c r="A1440" s="2"/>
      <c r="B1440" s="65" t="str">
        <f t="shared" si="178"/>
        <v/>
      </c>
      <c r="C1440" s="66"/>
      <c r="D1440" s="60"/>
      <c r="E1440" s="61"/>
      <c r="F1440" s="61"/>
      <c r="G1440" s="67"/>
      <c r="H1440" s="60"/>
      <c r="I1440" s="60"/>
      <c r="J1440" s="61"/>
      <c r="K1440" s="61"/>
      <c r="L1440" s="60"/>
      <c r="M1440" s="74" t="str">
        <f t="shared" si="179"/>
        <v/>
      </c>
      <c r="N1440" s="74" t="str">
        <f t="shared" si="180"/>
        <v/>
      </c>
      <c r="O1440" s="73" t="str">
        <f t="shared" si="181"/>
        <v/>
      </c>
      <c r="P1440" s="65" t="str">
        <f t="shared" ca="1" si="182"/>
        <v/>
      </c>
      <c r="Q1440" s="2"/>
      <c r="R1440" s="2"/>
      <c r="S1440" s="1" t="str">
        <f t="shared" si="183"/>
        <v/>
      </c>
      <c r="T1440" s="1" t="str">
        <f>IF(OR($C1440="",$D1440&lt;&gt;"Gelir",$L1440=""),"",IFERROR(INDEX(MUSTERILER!$B$7:$B$156,MATCH($S1440,MUSTERILER!$T$7:$T$156,0)),""))</f>
        <v/>
      </c>
      <c r="U1440" s="1" t="str">
        <f>IF($T1440="","",$T1440&amp;"|"&amp;COUNTIFS($T$7:$T1440,$T1440))</f>
        <v/>
      </c>
      <c r="V1440" s="1">
        <f t="shared" si="184"/>
        <v>0</v>
      </c>
      <c r="W1440" s="1" t="str">
        <f t="shared" si="185"/>
        <v/>
      </c>
      <c r="X1440" s="1"/>
      <c r="Y1440" s="1"/>
      <c r="Z1440" s="1"/>
      <c r="AA1440" s="1"/>
      <c r="AB1440" s="1"/>
      <c r="AC1440" s="1"/>
      <c r="AD1440" s="1">
        <f>IF($C1440="",0,SUMPRODUCT((AY_SONU!$O$7:$O$42="Evet")*(AY_SONU!$B$7:$B$42=DATE(YEAR($C1440),MONTH($C1440),1))))</f>
        <v>0</v>
      </c>
      <c r="AE1440" s="1" t="str">
        <f>IF($E1440="","",$E1440&amp;"|"&amp;COUNTIFS($E$7:$E1440,$E1440))</f>
        <v/>
      </c>
    </row>
    <row r="1441" spans="1:31" ht="18" customHeight="1" x14ac:dyDescent="0.3">
      <c r="A1441" s="2"/>
      <c r="B1441" s="65" t="str">
        <f t="shared" si="178"/>
        <v/>
      </c>
      <c r="C1441" s="66"/>
      <c r="D1441" s="60"/>
      <c r="E1441" s="61"/>
      <c r="F1441" s="61"/>
      <c r="G1441" s="67"/>
      <c r="H1441" s="60"/>
      <c r="I1441" s="60"/>
      <c r="J1441" s="61"/>
      <c r="K1441" s="61"/>
      <c r="L1441" s="60"/>
      <c r="M1441" s="74" t="str">
        <f t="shared" si="179"/>
        <v/>
      </c>
      <c r="N1441" s="74" t="str">
        <f t="shared" si="180"/>
        <v/>
      </c>
      <c r="O1441" s="73" t="str">
        <f t="shared" si="181"/>
        <v/>
      </c>
      <c r="P1441" s="65" t="str">
        <f t="shared" ca="1" si="182"/>
        <v/>
      </c>
      <c r="Q1441" s="2"/>
      <c r="R1441" s="2"/>
      <c r="S1441" s="1" t="str">
        <f t="shared" si="183"/>
        <v/>
      </c>
      <c r="T1441" s="1" t="str">
        <f>IF(OR($C1441="",$D1441&lt;&gt;"Gelir",$L1441=""),"",IFERROR(INDEX(MUSTERILER!$B$7:$B$156,MATCH($S1441,MUSTERILER!$T$7:$T$156,0)),""))</f>
        <v/>
      </c>
      <c r="U1441" s="1" t="str">
        <f>IF($T1441="","",$T1441&amp;"|"&amp;COUNTIFS($T$7:$T1441,$T1441))</f>
        <v/>
      </c>
      <c r="V1441" s="1">
        <f t="shared" si="184"/>
        <v>0</v>
      </c>
      <c r="W1441" s="1" t="str">
        <f t="shared" si="185"/>
        <v/>
      </c>
      <c r="X1441" s="1"/>
      <c r="Y1441" s="1"/>
      <c r="Z1441" s="1"/>
      <c r="AA1441" s="1"/>
      <c r="AB1441" s="1"/>
      <c r="AC1441" s="1"/>
      <c r="AD1441" s="1">
        <f>IF($C1441="",0,SUMPRODUCT((AY_SONU!$O$7:$O$42="Evet")*(AY_SONU!$B$7:$B$42=DATE(YEAR($C1441),MONTH($C1441),1))))</f>
        <v>0</v>
      </c>
      <c r="AE1441" s="1" t="str">
        <f>IF($E1441="","",$E1441&amp;"|"&amp;COUNTIFS($E$7:$E1441,$E1441))</f>
        <v/>
      </c>
    </row>
    <row r="1442" spans="1:31" ht="18" customHeight="1" x14ac:dyDescent="0.3">
      <c r="A1442" s="2"/>
      <c r="B1442" s="65" t="str">
        <f t="shared" si="178"/>
        <v/>
      </c>
      <c r="C1442" s="66"/>
      <c r="D1442" s="60"/>
      <c r="E1442" s="61"/>
      <c r="F1442" s="61"/>
      <c r="G1442" s="67"/>
      <c r="H1442" s="60"/>
      <c r="I1442" s="60"/>
      <c r="J1442" s="61"/>
      <c r="K1442" s="61"/>
      <c r="L1442" s="60"/>
      <c r="M1442" s="74" t="str">
        <f t="shared" si="179"/>
        <v/>
      </c>
      <c r="N1442" s="74" t="str">
        <f t="shared" si="180"/>
        <v/>
      </c>
      <c r="O1442" s="73" t="str">
        <f t="shared" si="181"/>
        <v/>
      </c>
      <c r="P1442" s="65" t="str">
        <f t="shared" ca="1" si="182"/>
        <v/>
      </c>
      <c r="Q1442" s="2"/>
      <c r="R1442" s="2"/>
      <c r="S1442" s="1" t="str">
        <f t="shared" si="183"/>
        <v/>
      </c>
      <c r="T1442" s="1" t="str">
        <f>IF(OR($C1442="",$D1442&lt;&gt;"Gelir",$L1442=""),"",IFERROR(INDEX(MUSTERILER!$B$7:$B$156,MATCH($S1442,MUSTERILER!$T$7:$T$156,0)),""))</f>
        <v/>
      </c>
      <c r="U1442" s="1" t="str">
        <f>IF($T1442="","",$T1442&amp;"|"&amp;COUNTIFS($T$7:$T1442,$T1442))</f>
        <v/>
      </c>
      <c r="V1442" s="1">
        <f t="shared" si="184"/>
        <v>0</v>
      </c>
      <c r="W1442" s="1" t="str">
        <f t="shared" si="185"/>
        <v/>
      </c>
      <c r="X1442" s="1"/>
      <c r="Y1442" s="1"/>
      <c r="Z1442" s="1"/>
      <c r="AA1442" s="1"/>
      <c r="AB1442" s="1"/>
      <c r="AC1442" s="1"/>
      <c r="AD1442" s="1">
        <f>IF($C1442="",0,SUMPRODUCT((AY_SONU!$O$7:$O$42="Evet")*(AY_SONU!$B$7:$B$42=DATE(YEAR($C1442),MONTH($C1442),1))))</f>
        <v>0</v>
      </c>
      <c r="AE1442" s="1" t="str">
        <f>IF($E1442="","",$E1442&amp;"|"&amp;COUNTIFS($E$7:$E1442,$E1442))</f>
        <v/>
      </c>
    </row>
    <row r="1443" spans="1:31" ht="18" customHeight="1" x14ac:dyDescent="0.3">
      <c r="A1443" s="2"/>
      <c r="B1443" s="65" t="str">
        <f t="shared" si="178"/>
        <v/>
      </c>
      <c r="C1443" s="66"/>
      <c r="D1443" s="60"/>
      <c r="E1443" s="61"/>
      <c r="F1443" s="61"/>
      <c r="G1443" s="67"/>
      <c r="H1443" s="60"/>
      <c r="I1443" s="60"/>
      <c r="J1443" s="61"/>
      <c r="K1443" s="61"/>
      <c r="L1443" s="60"/>
      <c r="M1443" s="74" t="str">
        <f t="shared" si="179"/>
        <v/>
      </c>
      <c r="N1443" s="74" t="str">
        <f t="shared" si="180"/>
        <v/>
      </c>
      <c r="O1443" s="73" t="str">
        <f t="shared" si="181"/>
        <v/>
      </c>
      <c r="P1443" s="65" t="str">
        <f t="shared" ca="1" si="182"/>
        <v/>
      </c>
      <c r="Q1443" s="2"/>
      <c r="R1443" s="2"/>
      <c r="S1443" s="1" t="str">
        <f t="shared" si="183"/>
        <v/>
      </c>
      <c r="T1443" s="1" t="str">
        <f>IF(OR($C1443="",$D1443&lt;&gt;"Gelir",$L1443=""),"",IFERROR(INDEX(MUSTERILER!$B$7:$B$156,MATCH($S1443,MUSTERILER!$T$7:$T$156,0)),""))</f>
        <v/>
      </c>
      <c r="U1443" s="1" t="str">
        <f>IF($T1443="","",$T1443&amp;"|"&amp;COUNTIFS($T$7:$T1443,$T1443))</f>
        <v/>
      </c>
      <c r="V1443" s="1">
        <f t="shared" si="184"/>
        <v>0</v>
      </c>
      <c r="W1443" s="1" t="str">
        <f t="shared" si="185"/>
        <v/>
      </c>
      <c r="X1443" s="1"/>
      <c r="Y1443" s="1"/>
      <c r="Z1443" s="1"/>
      <c r="AA1443" s="1"/>
      <c r="AB1443" s="1"/>
      <c r="AC1443" s="1"/>
      <c r="AD1443" s="1">
        <f>IF($C1443="",0,SUMPRODUCT((AY_SONU!$O$7:$O$42="Evet")*(AY_SONU!$B$7:$B$42=DATE(YEAR($C1443),MONTH($C1443),1))))</f>
        <v>0</v>
      </c>
      <c r="AE1443" s="1" t="str">
        <f>IF($E1443="","",$E1443&amp;"|"&amp;COUNTIFS($E$7:$E1443,$E1443))</f>
        <v/>
      </c>
    </row>
    <row r="1444" spans="1:31" ht="18" customHeight="1" x14ac:dyDescent="0.3">
      <c r="A1444" s="2"/>
      <c r="B1444" s="65" t="str">
        <f t="shared" si="178"/>
        <v/>
      </c>
      <c r="C1444" s="66"/>
      <c r="D1444" s="60"/>
      <c r="E1444" s="61"/>
      <c r="F1444" s="61"/>
      <c r="G1444" s="67"/>
      <c r="H1444" s="60"/>
      <c r="I1444" s="60"/>
      <c r="J1444" s="61"/>
      <c r="K1444" s="61"/>
      <c r="L1444" s="60"/>
      <c r="M1444" s="74" t="str">
        <f t="shared" si="179"/>
        <v/>
      </c>
      <c r="N1444" s="74" t="str">
        <f t="shared" si="180"/>
        <v/>
      </c>
      <c r="O1444" s="73" t="str">
        <f t="shared" si="181"/>
        <v/>
      </c>
      <c r="P1444" s="65" t="str">
        <f t="shared" ca="1" si="182"/>
        <v/>
      </c>
      <c r="Q1444" s="2"/>
      <c r="R1444" s="2"/>
      <c r="S1444" s="1" t="str">
        <f t="shared" si="183"/>
        <v/>
      </c>
      <c r="T1444" s="1" t="str">
        <f>IF(OR($C1444="",$D1444&lt;&gt;"Gelir",$L1444=""),"",IFERROR(INDEX(MUSTERILER!$B$7:$B$156,MATCH($S1444,MUSTERILER!$T$7:$T$156,0)),""))</f>
        <v/>
      </c>
      <c r="U1444" s="1" t="str">
        <f>IF($T1444="","",$T1444&amp;"|"&amp;COUNTIFS($T$7:$T1444,$T1444))</f>
        <v/>
      </c>
      <c r="V1444" s="1">
        <f t="shared" si="184"/>
        <v>0</v>
      </c>
      <c r="W1444" s="1" t="str">
        <f t="shared" si="185"/>
        <v/>
      </c>
      <c r="X1444" s="1"/>
      <c r="Y1444" s="1"/>
      <c r="Z1444" s="1"/>
      <c r="AA1444" s="1"/>
      <c r="AB1444" s="1"/>
      <c r="AC1444" s="1"/>
      <c r="AD1444" s="1">
        <f>IF($C1444="",0,SUMPRODUCT((AY_SONU!$O$7:$O$42="Evet")*(AY_SONU!$B$7:$B$42=DATE(YEAR($C1444),MONTH($C1444),1))))</f>
        <v>0</v>
      </c>
      <c r="AE1444" s="1" t="str">
        <f>IF($E1444="","",$E1444&amp;"|"&amp;COUNTIFS($E$7:$E1444,$E1444))</f>
        <v/>
      </c>
    </row>
    <row r="1445" spans="1:31" ht="18" customHeight="1" x14ac:dyDescent="0.3">
      <c r="A1445" s="2"/>
      <c r="B1445" s="65" t="str">
        <f t="shared" si="178"/>
        <v/>
      </c>
      <c r="C1445" s="66"/>
      <c r="D1445" s="60"/>
      <c r="E1445" s="61"/>
      <c r="F1445" s="61"/>
      <c r="G1445" s="67"/>
      <c r="H1445" s="60"/>
      <c r="I1445" s="60"/>
      <c r="J1445" s="61"/>
      <c r="K1445" s="61"/>
      <c r="L1445" s="60"/>
      <c r="M1445" s="74" t="str">
        <f t="shared" si="179"/>
        <v/>
      </c>
      <c r="N1445" s="74" t="str">
        <f t="shared" si="180"/>
        <v/>
      </c>
      <c r="O1445" s="73" t="str">
        <f t="shared" si="181"/>
        <v/>
      </c>
      <c r="P1445" s="65" t="str">
        <f t="shared" ca="1" si="182"/>
        <v/>
      </c>
      <c r="Q1445" s="2"/>
      <c r="R1445" s="2"/>
      <c r="S1445" s="1" t="str">
        <f t="shared" si="183"/>
        <v/>
      </c>
      <c r="T1445" s="1" t="str">
        <f>IF(OR($C1445="",$D1445&lt;&gt;"Gelir",$L1445=""),"",IFERROR(INDEX(MUSTERILER!$B$7:$B$156,MATCH($S1445,MUSTERILER!$T$7:$T$156,0)),""))</f>
        <v/>
      </c>
      <c r="U1445" s="1" t="str">
        <f>IF($T1445="","",$T1445&amp;"|"&amp;COUNTIFS($T$7:$T1445,$T1445))</f>
        <v/>
      </c>
      <c r="V1445" s="1">
        <f t="shared" si="184"/>
        <v>0</v>
      </c>
      <c r="W1445" s="1" t="str">
        <f t="shared" si="185"/>
        <v/>
      </c>
      <c r="X1445" s="1"/>
      <c r="Y1445" s="1"/>
      <c r="Z1445" s="1"/>
      <c r="AA1445" s="1"/>
      <c r="AB1445" s="1"/>
      <c r="AC1445" s="1"/>
      <c r="AD1445" s="1">
        <f>IF($C1445="",0,SUMPRODUCT((AY_SONU!$O$7:$O$42="Evet")*(AY_SONU!$B$7:$B$42=DATE(YEAR($C1445),MONTH($C1445),1))))</f>
        <v>0</v>
      </c>
      <c r="AE1445" s="1" t="str">
        <f>IF($E1445="","",$E1445&amp;"|"&amp;COUNTIFS($E$7:$E1445,$E1445))</f>
        <v/>
      </c>
    </row>
    <row r="1446" spans="1:31" ht="18" customHeight="1" x14ac:dyDescent="0.3">
      <c r="A1446" s="2"/>
      <c r="B1446" s="65" t="str">
        <f t="shared" si="178"/>
        <v/>
      </c>
      <c r="C1446" s="66"/>
      <c r="D1446" s="60"/>
      <c r="E1446" s="61"/>
      <c r="F1446" s="61"/>
      <c r="G1446" s="67"/>
      <c r="H1446" s="60"/>
      <c r="I1446" s="60"/>
      <c r="J1446" s="61"/>
      <c r="K1446" s="61"/>
      <c r="L1446" s="60"/>
      <c r="M1446" s="74" t="str">
        <f t="shared" si="179"/>
        <v/>
      </c>
      <c r="N1446" s="74" t="str">
        <f t="shared" si="180"/>
        <v/>
      </c>
      <c r="O1446" s="73" t="str">
        <f t="shared" si="181"/>
        <v/>
      </c>
      <c r="P1446" s="65" t="str">
        <f t="shared" ca="1" si="182"/>
        <v/>
      </c>
      <c r="Q1446" s="2"/>
      <c r="R1446" s="2"/>
      <c r="S1446" s="1" t="str">
        <f t="shared" si="183"/>
        <v/>
      </c>
      <c r="T1446" s="1" t="str">
        <f>IF(OR($C1446="",$D1446&lt;&gt;"Gelir",$L1446=""),"",IFERROR(INDEX(MUSTERILER!$B$7:$B$156,MATCH($S1446,MUSTERILER!$T$7:$T$156,0)),""))</f>
        <v/>
      </c>
      <c r="U1446" s="1" t="str">
        <f>IF($T1446="","",$T1446&amp;"|"&amp;COUNTIFS($T$7:$T1446,$T1446))</f>
        <v/>
      </c>
      <c r="V1446" s="1">
        <f t="shared" si="184"/>
        <v>0</v>
      </c>
      <c r="W1446" s="1" t="str">
        <f t="shared" si="185"/>
        <v/>
      </c>
      <c r="X1446" s="1"/>
      <c r="Y1446" s="1"/>
      <c r="Z1446" s="1"/>
      <c r="AA1446" s="1"/>
      <c r="AB1446" s="1"/>
      <c r="AC1446" s="1"/>
      <c r="AD1446" s="1">
        <f>IF($C1446="",0,SUMPRODUCT((AY_SONU!$O$7:$O$42="Evet")*(AY_SONU!$B$7:$B$42=DATE(YEAR($C1446),MONTH($C1446),1))))</f>
        <v>0</v>
      </c>
      <c r="AE1446" s="1" t="str">
        <f>IF($E1446="","",$E1446&amp;"|"&amp;COUNTIFS($E$7:$E1446,$E1446))</f>
        <v/>
      </c>
    </row>
    <row r="1447" spans="1:31" ht="18" customHeight="1" x14ac:dyDescent="0.3">
      <c r="A1447" s="2"/>
      <c r="B1447" s="65" t="str">
        <f t="shared" si="178"/>
        <v/>
      </c>
      <c r="C1447" s="66"/>
      <c r="D1447" s="60"/>
      <c r="E1447" s="61"/>
      <c r="F1447" s="61"/>
      <c r="G1447" s="67"/>
      <c r="H1447" s="60"/>
      <c r="I1447" s="60"/>
      <c r="J1447" s="61"/>
      <c r="K1447" s="61"/>
      <c r="L1447" s="60"/>
      <c r="M1447" s="74" t="str">
        <f t="shared" si="179"/>
        <v/>
      </c>
      <c r="N1447" s="74" t="str">
        <f t="shared" si="180"/>
        <v/>
      </c>
      <c r="O1447" s="73" t="str">
        <f t="shared" si="181"/>
        <v/>
      </c>
      <c r="P1447" s="65" t="str">
        <f t="shared" ca="1" si="182"/>
        <v/>
      </c>
      <c r="Q1447" s="2"/>
      <c r="R1447" s="2"/>
      <c r="S1447" s="1" t="str">
        <f t="shared" si="183"/>
        <v/>
      </c>
      <c r="T1447" s="1" t="str">
        <f>IF(OR($C1447="",$D1447&lt;&gt;"Gelir",$L1447=""),"",IFERROR(INDEX(MUSTERILER!$B$7:$B$156,MATCH($S1447,MUSTERILER!$T$7:$T$156,0)),""))</f>
        <v/>
      </c>
      <c r="U1447" s="1" t="str">
        <f>IF($T1447="","",$T1447&amp;"|"&amp;COUNTIFS($T$7:$T1447,$T1447))</f>
        <v/>
      </c>
      <c r="V1447" s="1">
        <f t="shared" si="184"/>
        <v>0</v>
      </c>
      <c r="W1447" s="1" t="str">
        <f t="shared" si="185"/>
        <v/>
      </c>
      <c r="X1447" s="1"/>
      <c r="Y1447" s="1"/>
      <c r="Z1447" s="1"/>
      <c r="AA1447" s="1"/>
      <c r="AB1447" s="1"/>
      <c r="AC1447" s="1"/>
      <c r="AD1447" s="1">
        <f>IF($C1447="",0,SUMPRODUCT((AY_SONU!$O$7:$O$42="Evet")*(AY_SONU!$B$7:$B$42=DATE(YEAR($C1447),MONTH($C1447),1))))</f>
        <v>0</v>
      </c>
      <c r="AE1447" s="1" t="str">
        <f>IF($E1447="","",$E1447&amp;"|"&amp;COUNTIFS($E$7:$E1447,$E1447))</f>
        <v/>
      </c>
    </row>
    <row r="1448" spans="1:31" ht="18" customHeight="1" x14ac:dyDescent="0.3">
      <c r="A1448" s="2"/>
      <c r="B1448" s="65" t="str">
        <f t="shared" si="178"/>
        <v/>
      </c>
      <c r="C1448" s="66"/>
      <c r="D1448" s="60"/>
      <c r="E1448" s="61"/>
      <c r="F1448" s="61"/>
      <c r="G1448" s="67"/>
      <c r="H1448" s="60"/>
      <c r="I1448" s="60"/>
      <c r="J1448" s="61"/>
      <c r="K1448" s="61"/>
      <c r="L1448" s="60"/>
      <c r="M1448" s="74" t="str">
        <f t="shared" si="179"/>
        <v/>
      </c>
      <c r="N1448" s="74" t="str">
        <f t="shared" si="180"/>
        <v/>
      </c>
      <c r="O1448" s="73" t="str">
        <f t="shared" si="181"/>
        <v/>
      </c>
      <c r="P1448" s="65" t="str">
        <f t="shared" ca="1" si="182"/>
        <v/>
      </c>
      <c r="Q1448" s="2"/>
      <c r="R1448" s="2"/>
      <c r="S1448" s="1" t="str">
        <f t="shared" si="183"/>
        <v/>
      </c>
      <c r="T1448" s="1" t="str">
        <f>IF(OR($C1448="",$D1448&lt;&gt;"Gelir",$L1448=""),"",IFERROR(INDEX(MUSTERILER!$B$7:$B$156,MATCH($S1448,MUSTERILER!$T$7:$T$156,0)),""))</f>
        <v/>
      </c>
      <c r="U1448" s="1" t="str">
        <f>IF($T1448="","",$T1448&amp;"|"&amp;COUNTIFS($T$7:$T1448,$T1448))</f>
        <v/>
      </c>
      <c r="V1448" s="1">
        <f t="shared" si="184"/>
        <v>0</v>
      </c>
      <c r="W1448" s="1" t="str">
        <f t="shared" si="185"/>
        <v/>
      </c>
      <c r="X1448" s="1"/>
      <c r="Y1448" s="1"/>
      <c r="Z1448" s="1"/>
      <c r="AA1448" s="1"/>
      <c r="AB1448" s="1"/>
      <c r="AC1448" s="1"/>
      <c r="AD1448" s="1">
        <f>IF($C1448="",0,SUMPRODUCT((AY_SONU!$O$7:$O$42="Evet")*(AY_SONU!$B$7:$B$42=DATE(YEAR($C1448),MONTH($C1448),1))))</f>
        <v>0</v>
      </c>
      <c r="AE1448" s="1" t="str">
        <f>IF($E1448="","",$E1448&amp;"|"&amp;COUNTIFS($E$7:$E1448,$E1448))</f>
        <v/>
      </c>
    </row>
    <row r="1449" spans="1:31" ht="18" customHeight="1" x14ac:dyDescent="0.3">
      <c r="A1449" s="2"/>
      <c r="B1449" s="65" t="str">
        <f t="shared" si="178"/>
        <v/>
      </c>
      <c r="C1449" s="66"/>
      <c r="D1449" s="60"/>
      <c r="E1449" s="61"/>
      <c r="F1449" s="61"/>
      <c r="G1449" s="67"/>
      <c r="H1449" s="60"/>
      <c r="I1449" s="60"/>
      <c r="J1449" s="61"/>
      <c r="K1449" s="61"/>
      <c r="L1449" s="60"/>
      <c r="M1449" s="74" t="str">
        <f t="shared" si="179"/>
        <v/>
      </c>
      <c r="N1449" s="74" t="str">
        <f t="shared" si="180"/>
        <v/>
      </c>
      <c r="O1449" s="73" t="str">
        <f t="shared" si="181"/>
        <v/>
      </c>
      <c r="P1449" s="65" t="str">
        <f t="shared" ca="1" si="182"/>
        <v/>
      </c>
      <c r="Q1449" s="2"/>
      <c r="R1449" s="2"/>
      <c r="S1449" s="1" t="str">
        <f t="shared" si="183"/>
        <v/>
      </c>
      <c r="T1449" s="1" t="str">
        <f>IF(OR($C1449="",$D1449&lt;&gt;"Gelir",$L1449=""),"",IFERROR(INDEX(MUSTERILER!$B$7:$B$156,MATCH($S1449,MUSTERILER!$T$7:$T$156,0)),""))</f>
        <v/>
      </c>
      <c r="U1449" s="1" t="str">
        <f>IF($T1449="","",$T1449&amp;"|"&amp;COUNTIFS($T$7:$T1449,$T1449))</f>
        <v/>
      </c>
      <c r="V1449" s="1">
        <f t="shared" si="184"/>
        <v>0</v>
      </c>
      <c r="W1449" s="1" t="str">
        <f t="shared" si="185"/>
        <v/>
      </c>
      <c r="X1449" s="1"/>
      <c r="Y1449" s="1"/>
      <c r="Z1449" s="1"/>
      <c r="AA1449" s="1"/>
      <c r="AB1449" s="1"/>
      <c r="AC1449" s="1"/>
      <c r="AD1449" s="1">
        <f>IF($C1449="",0,SUMPRODUCT((AY_SONU!$O$7:$O$42="Evet")*(AY_SONU!$B$7:$B$42=DATE(YEAR($C1449),MONTH($C1449),1))))</f>
        <v>0</v>
      </c>
      <c r="AE1449" s="1" t="str">
        <f>IF($E1449="","",$E1449&amp;"|"&amp;COUNTIFS($E$7:$E1449,$E1449))</f>
        <v/>
      </c>
    </row>
    <row r="1450" spans="1:31" ht="18" customHeight="1" x14ac:dyDescent="0.3">
      <c r="A1450" s="2"/>
      <c r="B1450" s="65" t="str">
        <f t="shared" si="178"/>
        <v/>
      </c>
      <c r="C1450" s="66"/>
      <c r="D1450" s="60"/>
      <c r="E1450" s="61"/>
      <c r="F1450" s="61"/>
      <c r="G1450" s="67"/>
      <c r="H1450" s="60"/>
      <c r="I1450" s="60"/>
      <c r="J1450" s="61"/>
      <c r="K1450" s="61"/>
      <c r="L1450" s="60"/>
      <c r="M1450" s="74" t="str">
        <f t="shared" si="179"/>
        <v/>
      </c>
      <c r="N1450" s="74" t="str">
        <f t="shared" si="180"/>
        <v/>
      </c>
      <c r="O1450" s="73" t="str">
        <f t="shared" si="181"/>
        <v/>
      </c>
      <c r="P1450" s="65" t="str">
        <f t="shared" ca="1" si="182"/>
        <v/>
      </c>
      <c r="Q1450" s="2"/>
      <c r="R1450" s="2"/>
      <c r="S1450" s="1" t="str">
        <f t="shared" si="183"/>
        <v/>
      </c>
      <c r="T1450" s="1" t="str">
        <f>IF(OR($C1450="",$D1450&lt;&gt;"Gelir",$L1450=""),"",IFERROR(INDEX(MUSTERILER!$B$7:$B$156,MATCH($S1450,MUSTERILER!$T$7:$T$156,0)),""))</f>
        <v/>
      </c>
      <c r="U1450" s="1" t="str">
        <f>IF($T1450="","",$T1450&amp;"|"&amp;COUNTIFS($T$7:$T1450,$T1450))</f>
        <v/>
      </c>
      <c r="V1450" s="1">
        <f t="shared" si="184"/>
        <v>0</v>
      </c>
      <c r="W1450" s="1" t="str">
        <f t="shared" si="185"/>
        <v/>
      </c>
      <c r="X1450" s="1"/>
      <c r="Y1450" s="1"/>
      <c r="Z1450" s="1"/>
      <c r="AA1450" s="1"/>
      <c r="AB1450" s="1"/>
      <c r="AC1450" s="1"/>
      <c r="AD1450" s="1">
        <f>IF($C1450="",0,SUMPRODUCT((AY_SONU!$O$7:$O$42="Evet")*(AY_SONU!$B$7:$B$42=DATE(YEAR($C1450),MONTH($C1450),1))))</f>
        <v>0</v>
      </c>
      <c r="AE1450" s="1" t="str">
        <f>IF($E1450="","",$E1450&amp;"|"&amp;COUNTIFS($E$7:$E1450,$E1450))</f>
        <v/>
      </c>
    </row>
    <row r="1451" spans="1:31" ht="18" customHeight="1" x14ac:dyDescent="0.3">
      <c r="A1451" s="2"/>
      <c r="B1451" s="65" t="str">
        <f t="shared" si="178"/>
        <v/>
      </c>
      <c r="C1451" s="66"/>
      <c r="D1451" s="60"/>
      <c r="E1451" s="61"/>
      <c r="F1451" s="61"/>
      <c r="G1451" s="67"/>
      <c r="H1451" s="60"/>
      <c r="I1451" s="60"/>
      <c r="J1451" s="61"/>
      <c r="K1451" s="61"/>
      <c r="L1451" s="60"/>
      <c r="M1451" s="74" t="str">
        <f t="shared" si="179"/>
        <v/>
      </c>
      <c r="N1451" s="74" t="str">
        <f t="shared" si="180"/>
        <v/>
      </c>
      <c r="O1451" s="73" t="str">
        <f t="shared" si="181"/>
        <v/>
      </c>
      <c r="P1451" s="65" t="str">
        <f t="shared" ca="1" si="182"/>
        <v/>
      </c>
      <c r="Q1451" s="2"/>
      <c r="R1451" s="2"/>
      <c r="S1451" s="1" t="str">
        <f t="shared" si="183"/>
        <v/>
      </c>
      <c r="T1451" s="1" t="str">
        <f>IF(OR($C1451="",$D1451&lt;&gt;"Gelir",$L1451=""),"",IFERROR(INDEX(MUSTERILER!$B$7:$B$156,MATCH($S1451,MUSTERILER!$T$7:$T$156,0)),""))</f>
        <v/>
      </c>
      <c r="U1451" s="1" t="str">
        <f>IF($T1451="","",$T1451&amp;"|"&amp;COUNTIFS($T$7:$T1451,$T1451))</f>
        <v/>
      </c>
      <c r="V1451" s="1">
        <f t="shared" si="184"/>
        <v>0</v>
      </c>
      <c r="W1451" s="1" t="str">
        <f t="shared" si="185"/>
        <v/>
      </c>
      <c r="X1451" s="1"/>
      <c r="Y1451" s="1"/>
      <c r="Z1451" s="1"/>
      <c r="AA1451" s="1"/>
      <c r="AB1451" s="1"/>
      <c r="AC1451" s="1"/>
      <c r="AD1451" s="1">
        <f>IF($C1451="",0,SUMPRODUCT((AY_SONU!$O$7:$O$42="Evet")*(AY_SONU!$B$7:$B$42=DATE(YEAR($C1451),MONTH($C1451),1))))</f>
        <v>0</v>
      </c>
      <c r="AE1451" s="1" t="str">
        <f>IF($E1451="","",$E1451&amp;"|"&amp;COUNTIFS($E$7:$E1451,$E1451))</f>
        <v/>
      </c>
    </row>
    <row r="1452" spans="1:31" ht="18" customHeight="1" x14ac:dyDescent="0.3">
      <c r="A1452" s="2"/>
      <c r="B1452" s="65" t="str">
        <f t="shared" si="178"/>
        <v/>
      </c>
      <c r="C1452" s="66"/>
      <c r="D1452" s="60"/>
      <c r="E1452" s="61"/>
      <c r="F1452" s="61"/>
      <c r="G1452" s="67"/>
      <c r="H1452" s="60"/>
      <c r="I1452" s="60"/>
      <c r="J1452" s="61"/>
      <c r="K1452" s="61"/>
      <c r="L1452" s="60"/>
      <c r="M1452" s="74" t="str">
        <f t="shared" si="179"/>
        <v/>
      </c>
      <c r="N1452" s="74" t="str">
        <f t="shared" si="180"/>
        <v/>
      </c>
      <c r="O1452" s="73" t="str">
        <f t="shared" si="181"/>
        <v/>
      </c>
      <c r="P1452" s="65" t="str">
        <f t="shared" ca="1" si="182"/>
        <v/>
      </c>
      <c r="Q1452" s="2"/>
      <c r="R1452" s="2"/>
      <c r="S1452" s="1" t="str">
        <f t="shared" si="183"/>
        <v/>
      </c>
      <c r="T1452" s="1" t="str">
        <f>IF(OR($C1452="",$D1452&lt;&gt;"Gelir",$L1452=""),"",IFERROR(INDEX(MUSTERILER!$B$7:$B$156,MATCH($S1452,MUSTERILER!$T$7:$T$156,0)),""))</f>
        <v/>
      </c>
      <c r="U1452" s="1" t="str">
        <f>IF($T1452="","",$T1452&amp;"|"&amp;COUNTIFS($T$7:$T1452,$T1452))</f>
        <v/>
      </c>
      <c r="V1452" s="1">
        <f t="shared" si="184"/>
        <v>0</v>
      </c>
      <c r="W1452" s="1" t="str">
        <f t="shared" si="185"/>
        <v/>
      </c>
      <c r="X1452" s="1"/>
      <c r="Y1452" s="1"/>
      <c r="Z1452" s="1"/>
      <c r="AA1452" s="1"/>
      <c r="AB1452" s="1"/>
      <c r="AC1452" s="1"/>
      <c r="AD1452" s="1">
        <f>IF($C1452="",0,SUMPRODUCT((AY_SONU!$O$7:$O$42="Evet")*(AY_SONU!$B$7:$B$42=DATE(YEAR($C1452),MONTH($C1452),1))))</f>
        <v>0</v>
      </c>
      <c r="AE1452" s="1" t="str">
        <f>IF($E1452="","",$E1452&amp;"|"&amp;COUNTIFS($E$7:$E1452,$E1452))</f>
        <v/>
      </c>
    </row>
    <row r="1453" spans="1:31" ht="18" customHeight="1" x14ac:dyDescent="0.3">
      <c r="A1453" s="2"/>
      <c r="B1453" s="65" t="str">
        <f t="shared" si="178"/>
        <v/>
      </c>
      <c r="C1453" s="66"/>
      <c r="D1453" s="60"/>
      <c r="E1453" s="61"/>
      <c r="F1453" s="61"/>
      <c r="G1453" s="67"/>
      <c r="H1453" s="60"/>
      <c r="I1453" s="60"/>
      <c r="J1453" s="61"/>
      <c r="K1453" s="61"/>
      <c r="L1453" s="60"/>
      <c r="M1453" s="74" t="str">
        <f t="shared" si="179"/>
        <v/>
      </c>
      <c r="N1453" s="74" t="str">
        <f t="shared" si="180"/>
        <v/>
      </c>
      <c r="O1453" s="73" t="str">
        <f t="shared" si="181"/>
        <v/>
      </c>
      <c r="P1453" s="65" t="str">
        <f t="shared" ca="1" si="182"/>
        <v/>
      </c>
      <c r="Q1453" s="2"/>
      <c r="R1453" s="2"/>
      <c r="S1453" s="1" t="str">
        <f t="shared" si="183"/>
        <v/>
      </c>
      <c r="T1453" s="1" t="str">
        <f>IF(OR($C1453="",$D1453&lt;&gt;"Gelir",$L1453=""),"",IFERROR(INDEX(MUSTERILER!$B$7:$B$156,MATCH($S1453,MUSTERILER!$T$7:$T$156,0)),""))</f>
        <v/>
      </c>
      <c r="U1453" s="1" t="str">
        <f>IF($T1453="","",$T1453&amp;"|"&amp;COUNTIFS($T$7:$T1453,$T1453))</f>
        <v/>
      </c>
      <c r="V1453" s="1">
        <f t="shared" si="184"/>
        <v>0</v>
      </c>
      <c r="W1453" s="1" t="str">
        <f t="shared" si="185"/>
        <v/>
      </c>
      <c r="X1453" s="1"/>
      <c r="Y1453" s="1"/>
      <c r="Z1453" s="1"/>
      <c r="AA1453" s="1"/>
      <c r="AB1453" s="1"/>
      <c r="AC1453" s="1"/>
      <c r="AD1453" s="1">
        <f>IF($C1453="",0,SUMPRODUCT((AY_SONU!$O$7:$O$42="Evet")*(AY_SONU!$B$7:$B$42=DATE(YEAR($C1453),MONTH($C1453),1))))</f>
        <v>0</v>
      </c>
      <c r="AE1453" s="1" t="str">
        <f>IF($E1453="","",$E1453&amp;"|"&amp;COUNTIFS($E$7:$E1453,$E1453))</f>
        <v/>
      </c>
    </row>
    <row r="1454" spans="1:31" ht="18" customHeight="1" x14ac:dyDescent="0.3">
      <c r="A1454" s="2"/>
      <c r="B1454" s="65" t="str">
        <f t="shared" si="178"/>
        <v/>
      </c>
      <c r="C1454" s="66"/>
      <c r="D1454" s="60"/>
      <c r="E1454" s="61"/>
      <c r="F1454" s="61"/>
      <c r="G1454" s="67"/>
      <c r="H1454" s="60"/>
      <c r="I1454" s="60"/>
      <c r="J1454" s="61"/>
      <c r="K1454" s="61"/>
      <c r="L1454" s="60"/>
      <c r="M1454" s="74" t="str">
        <f t="shared" si="179"/>
        <v/>
      </c>
      <c r="N1454" s="74" t="str">
        <f t="shared" si="180"/>
        <v/>
      </c>
      <c r="O1454" s="73" t="str">
        <f t="shared" si="181"/>
        <v/>
      </c>
      <c r="P1454" s="65" t="str">
        <f t="shared" ca="1" si="182"/>
        <v/>
      </c>
      <c r="Q1454" s="2"/>
      <c r="R1454" s="2"/>
      <c r="S1454" s="1" t="str">
        <f t="shared" si="183"/>
        <v/>
      </c>
      <c r="T1454" s="1" t="str">
        <f>IF(OR($C1454="",$D1454&lt;&gt;"Gelir",$L1454=""),"",IFERROR(INDEX(MUSTERILER!$B$7:$B$156,MATCH($S1454,MUSTERILER!$T$7:$T$156,0)),""))</f>
        <v/>
      </c>
      <c r="U1454" s="1" t="str">
        <f>IF($T1454="","",$T1454&amp;"|"&amp;COUNTIFS($T$7:$T1454,$T1454))</f>
        <v/>
      </c>
      <c r="V1454" s="1">
        <f t="shared" si="184"/>
        <v>0</v>
      </c>
      <c r="W1454" s="1" t="str">
        <f t="shared" si="185"/>
        <v/>
      </c>
      <c r="X1454" s="1"/>
      <c r="Y1454" s="1"/>
      <c r="Z1454" s="1"/>
      <c r="AA1454" s="1"/>
      <c r="AB1454" s="1"/>
      <c r="AC1454" s="1"/>
      <c r="AD1454" s="1">
        <f>IF($C1454="",0,SUMPRODUCT((AY_SONU!$O$7:$O$42="Evet")*(AY_SONU!$B$7:$B$42=DATE(YEAR($C1454),MONTH($C1454),1))))</f>
        <v>0</v>
      </c>
      <c r="AE1454" s="1" t="str">
        <f>IF($E1454="","",$E1454&amp;"|"&amp;COUNTIFS($E$7:$E1454,$E1454))</f>
        <v/>
      </c>
    </row>
    <row r="1455" spans="1:31" ht="18" customHeight="1" x14ac:dyDescent="0.3">
      <c r="A1455" s="2"/>
      <c r="B1455" s="65" t="str">
        <f t="shared" si="178"/>
        <v/>
      </c>
      <c r="C1455" s="66"/>
      <c r="D1455" s="60"/>
      <c r="E1455" s="61"/>
      <c r="F1455" s="61"/>
      <c r="G1455" s="67"/>
      <c r="H1455" s="60"/>
      <c r="I1455" s="60"/>
      <c r="J1455" s="61"/>
      <c r="K1455" s="61"/>
      <c r="L1455" s="60"/>
      <c r="M1455" s="74" t="str">
        <f t="shared" si="179"/>
        <v/>
      </c>
      <c r="N1455" s="74" t="str">
        <f t="shared" si="180"/>
        <v/>
      </c>
      <c r="O1455" s="73" t="str">
        <f t="shared" si="181"/>
        <v/>
      </c>
      <c r="P1455" s="65" t="str">
        <f t="shared" ca="1" si="182"/>
        <v/>
      </c>
      <c r="Q1455" s="2"/>
      <c r="R1455" s="2"/>
      <c r="S1455" s="1" t="str">
        <f t="shared" si="183"/>
        <v/>
      </c>
      <c r="T1455" s="1" t="str">
        <f>IF(OR($C1455="",$D1455&lt;&gt;"Gelir",$L1455=""),"",IFERROR(INDEX(MUSTERILER!$B$7:$B$156,MATCH($S1455,MUSTERILER!$T$7:$T$156,0)),""))</f>
        <v/>
      </c>
      <c r="U1455" s="1" t="str">
        <f>IF($T1455="","",$T1455&amp;"|"&amp;COUNTIFS($T$7:$T1455,$T1455))</f>
        <v/>
      </c>
      <c r="V1455" s="1">
        <f t="shared" si="184"/>
        <v>0</v>
      </c>
      <c r="W1455" s="1" t="str">
        <f t="shared" si="185"/>
        <v/>
      </c>
      <c r="X1455" s="1"/>
      <c r="Y1455" s="1"/>
      <c r="Z1455" s="1"/>
      <c r="AA1455" s="1"/>
      <c r="AB1455" s="1"/>
      <c r="AC1455" s="1"/>
      <c r="AD1455" s="1">
        <f>IF($C1455="",0,SUMPRODUCT((AY_SONU!$O$7:$O$42="Evet")*(AY_SONU!$B$7:$B$42=DATE(YEAR($C1455),MONTH($C1455),1))))</f>
        <v>0</v>
      </c>
      <c r="AE1455" s="1" t="str">
        <f>IF($E1455="","",$E1455&amp;"|"&amp;COUNTIFS($E$7:$E1455,$E1455))</f>
        <v/>
      </c>
    </row>
    <row r="1456" spans="1:31" ht="18" customHeight="1" x14ac:dyDescent="0.3">
      <c r="A1456" s="2"/>
      <c r="B1456" s="65" t="str">
        <f t="shared" si="178"/>
        <v/>
      </c>
      <c r="C1456" s="66"/>
      <c r="D1456" s="60"/>
      <c r="E1456" s="61"/>
      <c r="F1456" s="61"/>
      <c r="G1456" s="67"/>
      <c r="H1456" s="60"/>
      <c r="I1456" s="60"/>
      <c r="J1456" s="61"/>
      <c r="K1456" s="61"/>
      <c r="L1456" s="60"/>
      <c r="M1456" s="74" t="str">
        <f t="shared" si="179"/>
        <v/>
      </c>
      <c r="N1456" s="74" t="str">
        <f t="shared" si="180"/>
        <v/>
      </c>
      <c r="O1456" s="73" t="str">
        <f t="shared" si="181"/>
        <v/>
      </c>
      <c r="P1456" s="65" t="str">
        <f t="shared" ca="1" si="182"/>
        <v/>
      </c>
      <c r="Q1456" s="2"/>
      <c r="R1456" s="2"/>
      <c r="S1456" s="1" t="str">
        <f t="shared" si="183"/>
        <v/>
      </c>
      <c r="T1456" s="1" t="str">
        <f>IF(OR($C1456="",$D1456&lt;&gt;"Gelir",$L1456=""),"",IFERROR(INDEX(MUSTERILER!$B$7:$B$156,MATCH($S1456,MUSTERILER!$T$7:$T$156,0)),""))</f>
        <v/>
      </c>
      <c r="U1456" s="1" t="str">
        <f>IF($T1456="","",$T1456&amp;"|"&amp;COUNTIFS($T$7:$T1456,$T1456))</f>
        <v/>
      </c>
      <c r="V1456" s="1">
        <f t="shared" si="184"/>
        <v>0</v>
      </c>
      <c r="W1456" s="1" t="str">
        <f t="shared" si="185"/>
        <v/>
      </c>
      <c r="X1456" s="1"/>
      <c r="Y1456" s="1"/>
      <c r="Z1456" s="1"/>
      <c r="AA1456" s="1"/>
      <c r="AB1456" s="1"/>
      <c r="AC1456" s="1"/>
      <c r="AD1456" s="1">
        <f>IF($C1456="",0,SUMPRODUCT((AY_SONU!$O$7:$O$42="Evet")*(AY_SONU!$B$7:$B$42=DATE(YEAR($C1456),MONTH($C1456),1))))</f>
        <v>0</v>
      </c>
      <c r="AE1456" s="1" t="str">
        <f>IF($E1456="","",$E1456&amp;"|"&amp;COUNTIFS($E$7:$E1456,$E1456))</f>
        <v/>
      </c>
    </row>
    <row r="1457" spans="1:31" ht="18" customHeight="1" x14ac:dyDescent="0.3">
      <c r="A1457" s="2"/>
      <c r="B1457" s="65" t="str">
        <f t="shared" si="178"/>
        <v/>
      </c>
      <c r="C1457" s="66"/>
      <c r="D1457" s="60"/>
      <c r="E1457" s="61"/>
      <c r="F1457" s="61"/>
      <c r="G1457" s="67"/>
      <c r="H1457" s="60"/>
      <c r="I1457" s="60"/>
      <c r="J1457" s="61"/>
      <c r="K1457" s="61"/>
      <c r="L1457" s="60"/>
      <c r="M1457" s="74" t="str">
        <f t="shared" si="179"/>
        <v/>
      </c>
      <c r="N1457" s="74" t="str">
        <f t="shared" si="180"/>
        <v/>
      </c>
      <c r="O1457" s="73" t="str">
        <f t="shared" si="181"/>
        <v/>
      </c>
      <c r="P1457" s="65" t="str">
        <f t="shared" ca="1" si="182"/>
        <v/>
      </c>
      <c r="Q1457" s="2"/>
      <c r="R1457" s="2"/>
      <c r="S1457" s="1" t="str">
        <f t="shared" si="183"/>
        <v/>
      </c>
      <c r="T1457" s="1" t="str">
        <f>IF(OR($C1457="",$D1457&lt;&gt;"Gelir",$L1457=""),"",IFERROR(INDEX(MUSTERILER!$B$7:$B$156,MATCH($S1457,MUSTERILER!$T$7:$T$156,0)),""))</f>
        <v/>
      </c>
      <c r="U1457" s="1" t="str">
        <f>IF($T1457="","",$T1457&amp;"|"&amp;COUNTIFS($T$7:$T1457,$T1457))</f>
        <v/>
      </c>
      <c r="V1457" s="1">
        <f t="shared" si="184"/>
        <v>0</v>
      </c>
      <c r="W1457" s="1" t="str">
        <f t="shared" si="185"/>
        <v/>
      </c>
      <c r="X1457" s="1"/>
      <c r="Y1457" s="1"/>
      <c r="Z1457" s="1"/>
      <c r="AA1457" s="1"/>
      <c r="AB1457" s="1"/>
      <c r="AC1457" s="1"/>
      <c r="AD1457" s="1">
        <f>IF($C1457="",0,SUMPRODUCT((AY_SONU!$O$7:$O$42="Evet")*(AY_SONU!$B$7:$B$42=DATE(YEAR($C1457),MONTH($C1457),1))))</f>
        <v>0</v>
      </c>
      <c r="AE1457" s="1" t="str">
        <f>IF($E1457="","",$E1457&amp;"|"&amp;COUNTIFS($E$7:$E1457,$E1457))</f>
        <v/>
      </c>
    </row>
    <row r="1458" spans="1:31" ht="18" customHeight="1" x14ac:dyDescent="0.3">
      <c r="A1458" s="2"/>
      <c r="B1458" s="65" t="str">
        <f t="shared" si="178"/>
        <v/>
      </c>
      <c r="C1458" s="66"/>
      <c r="D1458" s="60"/>
      <c r="E1458" s="61"/>
      <c r="F1458" s="61"/>
      <c r="G1458" s="67"/>
      <c r="H1458" s="60"/>
      <c r="I1458" s="60"/>
      <c r="J1458" s="61"/>
      <c r="K1458" s="61"/>
      <c r="L1458" s="60"/>
      <c r="M1458" s="74" t="str">
        <f t="shared" si="179"/>
        <v/>
      </c>
      <c r="N1458" s="74" t="str">
        <f t="shared" si="180"/>
        <v/>
      </c>
      <c r="O1458" s="73" t="str">
        <f t="shared" si="181"/>
        <v/>
      </c>
      <c r="P1458" s="65" t="str">
        <f t="shared" ca="1" si="182"/>
        <v/>
      </c>
      <c r="Q1458" s="2"/>
      <c r="R1458" s="2"/>
      <c r="S1458" s="1" t="str">
        <f t="shared" si="183"/>
        <v/>
      </c>
      <c r="T1458" s="1" t="str">
        <f>IF(OR($C1458="",$D1458&lt;&gt;"Gelir",$L1458=""),"",IFERROR(INDEX(MUSTERILER!$B$7:$B$156,MATCH($S1458,MUSTERILER!$T$7:$T$156,0)),""))</f>
        <v/>
      </c>
      <c r="U1458" s="1" t="str">
        <f>IF($T1458="","",$T1458&amp;"|"&amp;COUNTIFS($T$7:$T1458,$T1458))</f>
        <v/>
      </c>
      <c r="V1458" s="1">
        <f t="shared" si="184"/>
        <v>0</v>
      </c>
      <c r="W1458" s="1" t="str">
        <f t="shared" si="185"/>
        <v/>
      </c>
      <c r="X1458" s="1"/>
      <c r="Y1458" s="1"/>
      <c r="Z1458" s="1"/>
      <c r="AA1458" s="1"/>
      <c r="AB1458" s="1"/>
      <c r="AC1458" s="1"/>
      <c r="AD1458" s="1">
        <f>IF($C1458="",0,SUMPRODUCT((AY_SONU!$O$7:$O$42="Evet")*(AY_SONU!$B$7:$B$42=DATE(YEAR($C1458),MONTH($C1458),1))))</f>
        <v>0</v>
      </c>
      <c r="AE1458" s="1" t="str">
        <f>IF($E1458="","",$E1458&amp;"|"&amp;COUNTIFS($E$7:$E1458,$E1458))</f>
        <v/>
      </c>
    </row>
    <row r="1459" spans="1:31" ht="18" customHeight="1" x14ac:dyDescent="0.3">
      <c r="A1459" s="2"/>
      <c r="B1459" s="65" t="str">
        <f t="shared" si="178"/>
        <v/>
      </c>
      <c r="C1459" s="66"/>
      <c r="D1459" s="60"/>
      <c r="E1459" s="61"/>
      <c r="F1459" s="61"/>
      <c r="G1459" s="67"/>
      <c r="H1459" s="60"/>
      <c r="I1459" s="60"/>
      <c r="J1459" s="61"/>
      <c r="K1459" s="61"/>
      <c r="L1459" s="60"/>
      <c r="M1459" s="74" t="str">
        <f t="shared" si="179"/>
        <v/>
      </c>
      <c r="N1459" s="74" t="str">
        <f t="shared" si="180"/>
        <v/>
      </c>
      <c r="O1459" s="73" t="str">
        <f t="shared" si="181"/>
        <v/>
      </c>
      <c r="P1459" s="65" t="str">
        <f t="shared" ca="1" si="182"/>
        <v/>
      </c>
      <c r="Q1459" s="2"/>
      <c r="R1459" s="2"/>
      <c r="S1459" s="1" t="str">
        <f t="shared" si="183"/>
        <v/>
      </c>
      <c r="T1459" s="1" t="str">
        <f>IF(OR($C1459="",$D1459&lt;&gt;"Gelir",$L1459=""),"",IFERROR(INDEX(MUSTERILER!$B$7:$B$156,MATCH($S1459,MUSTERILER!$T$7:$T$156,0)),""))</f>
        <v/>
      </c>
      <c r="U1459" s="1" t="str">
        <f>IF($T1459="","",$T1459&amp;"|"&amp;COUNTIFS($T$7:$T1459,$T1459))</f>
        <v/>
      </c>
      <c r="V1459" s="1">
        <f t="shared" si="184"/>
        <v>0</v>
      </c>
      <c r="W1459" s="1" t="str">
        <f t="shared" si="185"/>
        <v/>
      </c>
      <c r="X1459" s="1"/>
      <c r="Y1459" s="1"/>
      <c r="Z1459" s="1"/>
      <c r="AA1459" s="1"/>
      <c r="AB1459" s="1"/>
      <c r="AC1459" s="1"/>
      <c r="AD1459" s="1">
        <f>IF($C1459="",0,SUMPRODUCT((AY_SONU!$O$7:$O$42="Evet")*(AY_SONU!$B$7:$B$42=DATE(YEAR($C1459),MONTH($C1459),1))))</f>
        <v>0</v>
      </c>
      <c r="AE1459" s="1" t="str">
        <f>IF($E1459="","",$E1459&amp;"|"&amp;COUNTIFS($E$7:$E1459,$E1459))</f>
        <v/>
      </c>
    </row>
    <row r="1460" spans="1:31" ht="18" customHeight="1" x14ac:dyDescent="0.3">
      <c r="A1460" s="2"/>
      <c r="B1460" s="65" t="str">
        <f t="shared" si="178"/>
        <v/>
      </c>
      <c r="C1460" s="66"/>
      <c r="D1460" s="60"/>
      <c r="E1460" s="61"/>
      <c r="F1460" s="61"/>
      <c r="G1460" s="67"/>
      <c r="H1460" s="60"/>
      <c r="I1460" s="60"/>
      <c r="J1460" s="61"/>
      <c r="K1460" s="61"/>
      <c r="L1460" s="60"/>
      <c r="M1460" s="74" t="str">
        <f t="shared" si="179"/>
        <v/>
      </c>
      <c r="N1460" s="74" t="str">
        <f t="shared" si="180"/>
        <v/>
      </c>
      <c r="O1460" s="73" t="str">
        <f t="shared" si="181"/>
        <v/>
      </c>
      <c r="P1460" s="65" t="str">
        <f t="shared" ca="1" si="182"/>
        <v/>
      </c>
      <c r="Q1460" s="2"/>
      <c r="R1460" s="2"/>
      <c r="S1460" s="1" t="str">
        <f t="shared" si="183"/>
        <v/>
      </c>
      <c r="T1460" s="1" t="str">
        <f>IF(OR($C1460="",$D1460&lt;&gt;"Gelir",$L1460=""),"",IFERROR(INDEX(MUSTERILER!$B$7:$B$156,MATCH($S1460,MUSTERILER!$T$7:$T$156,0)),""))</f>
        <v/>
      </c>
      <c r="U1460" s="1" t="str">
        <f>IF($T1460="","",$T1460&amp;"|"&amp;COUNTIFS($T$7:$T1460,$T1460))</f>
        <v/>
      </c>
      <c r="V1460" s="1">
        <f t="shared" si="184"/>
        <v>0</v>
      </c>
      <c r="W1460" s="1" t="str">
        <f t="shared" si="185"/>
        <v/>
      </c>
      <c r="X1460" s="1"/>
      <c r="Y1460" s="1"/>
      <c r="Z1460" s="1"/>
      <c r="AA1460" s="1"/>
      <c r="AB1460" s="1"/>
      <c r="AC1460" s="1"/>
      <c r="AD1460" s="1">
        <f>IF($C1460="",0,SUMPRODUCT((AY_SONU!$O$7:$O$42="Evet")*(AY_SONU!$B$7:$B$42=DATE(YEAR($C1460),MONTH($C1460),1))))</f>
        <v>0</v>
      </c>
      <c r="AE1460" s="1" t="str">
        <f>IF($E1460="","",$E1460&amp;"|"&amp;COUNTIFS($E$7:$E1460,$E1460))</f>
        <v/>
      </c>
    </row>
    <row r="1461" spans="1:31" ht="18" customHeight="1" x14ac:dyDescent="0.3">
      <c r="A1461" s="2"/>
      <c r="B1461" s="65" t="str">
        <f t="shared" si="178"/>
        <v/>
      </c>
      <c r="C1461" s="66"/>
      <c r="D1461" s="60"/>
      <c r="E1461" s="61"/>
      <c r="F1461" s="61"/>
      <c r="G1461" s="67"/>
      <c r="H1461" s="60"/>
      <c r="I1461" s="60"/>
      <c r="J1461" s="61"/>
      <c r="K1461" s="61"/>
      <c r="L1461" s="60"/>
      <c r="M1461" s="74" t="str">
        <f t="shared" si="179"/>
        <v/>
      </c>
      <c r="N1461" s="74" t="str">
        <f t="shared" si="180"/>
        <v/>
      </c>
      <c r="O1461" s="73" t="str">
        <f t="shared" si="181"/>
        <v/>
      </c>
      <c r="P1461" s="65" t="str">
        <f t="shared" ca="1" si="182"/>
        <v/>
      </c>
      <c r="Q1461" s="2"/>
      <c r="R1461" s="2"/>
      <c r="S1461" s="1" t="str">
        <f t="shared" si="183"/>
        <v/>
      </c>
      <c r="T1461" s="1" t="str">
        <f>IF(OR($C1461="",$D1461&lt;&gt;"Gelir",$L1461=""),"",IFERROR(INDEX(MUSTERILER!$B$7:$B$156,MATCH($S1461,MUSTERILER!$T$7:$T$156,0)),""))</f>
        <v/>
      </c>
      <c r="U1461" s="1" t="str">
        <f>IF($T1461="","",$T1461&amp;"|"&amp;COUNTIFS($T$7:$T1461,$T1461))</f>
        <v/>
      </c>
      <c r="V1461" s="1">
        <f t="shared" si="184"/>
        <v>0</v>
      </c>
      <c r="W1461" s="1" t="str">
        <f t="shared" si="185"/>
        <v/>
      </c>
      <c r="X1461" s="1"/>
      <c r="Y1461" s="1"/>
      <c r="Z1461" s="1"/>
      <c r="AA1461" s="1"/>
      <c r="AB1461" s="1"/>
      <c r="AC1461" s="1"/>
      <c r="AD1461" s="1">
        <f>IF($C1461="",0,SUMPRODUCT((AY_SONU!$O$7:$O$42="Evet")*(AY_SONU!$B$7:$B$42=DATE(YEAR($C1461),MONTH($C1461),1))))</f>
        <v>0</v>
      </c>
      <c r="AE1461" s="1" t="str">
        <f>IF($E1461="","",$E1461&amp;"|"&amp;COUNTIFS($E$7:$E1461,$E1461))</f>
        <v/>
      </c>
    </row>
    <row r="1462" spans="1:31" ht="18" customHeight="1" x14ac:dyDescent="0.3">
      <c r="A1462" s="2"/>
      <c r="B1462" s="65" t="str">
        <f t="shared" si="178"/>
        <v/>
      </c>
      <c r="C1462" s="66"/>
      <c r="D1462" s="60"/>
      <c r="E1462" s="61"/>
      <c r="F1462" s="61"/>
      <c r="G1462" s="67"/>
      <c r="H1462" s="60"/>
      <c r="I1462" s="60"/>
      <c r="J1462" s="61"/>
      <c r="K1462" s="61"/>
      <c r="L1462" s="60"/>
      <c r="M1462" s="74" t="str">
        <f t="shared" si="179"/>
        <v/>
      </c>
      <c r="N1462" s="74" t="str">
        <f t="shared" si="180"/>
        <v/>
      </c>
      <c r="O1462" s="73" t="str">
        <f t="shared" si="181"/>
        <v/>
      </c>
      <c r="P1462" s="65" t="str">
        <f t="shared" ca="1" si="182"/>
        <v/>
      </c>
      <c r="Q1462" s="2"/>
      <c r="R1462" s="2"/>
      <c r="S1462" s="1" t="str">
        <f t="shared" si="183"/>
        <v/>
      </c>
      <c r="T1462" s="1" t="str">
        <f>IF(OR($C1462="",$D1462&lt;&gt;"Gelir",$L1462=""),"",IFERROR(INDEX(MUSTERILER!$B$7:$B$156,MATCH($S1462,MUSTERILER!$T$7:$T$156,0)),""))</f>
        <v/>
      </c>
      <c r="U1462" s="1" t="str">
        <f>IF($T1462="","",$T1462&amp;"|"&amp;COUNTIFS($T$7:$T1462,$T1462))</f>
        <v/>
      </c>
      <c r="V1462" s="1">
        <f t="shared" si="184"/>
        <v>0</v>
      </c>
      <c r="W1462" s="1" t="str">
        <f t="shared" si="185"/>
        <v/>
      </c>
      <c r="X1462" s="1"/>
      <c r="Y1462" s="1"/>
      <c r="Z1462" s="1"/>
      <c r="AA1462" s="1"/>
      <c r="AB1462" s="1"/>
      <c r="AC1462" s="1"/>
      <c r="AD1462" s="1">
        <f>IF($C1462="",0,SUMPRODUCT((AY_SONU!$O$7:$O$42="Evet")*(AY_SONU!$B$7:$B$42=DATE(YEAR($C1462),MONTH($C1462),1))))</f>
        <v>0</v>
      </c>
      <c r="AE1462" s="1" t="str">
        <f>IF($E1462="","",$E1462&amp;"|"&amp;COUNTIFS($E$7:$E1462,$E1462))</f>
        <v/>
      </c>
    </row>
    <row r="1463" spans="1:31" ht="18" customHeight="1" x14ac:dyDescent="0.3">
      <c r="A1463" s="2"/>
      <c r="B1463" s="65" t="str">
        <f t="shared" si="178"/>
        <v/>
      </c>
      <c r="C1463" s="66"/>
      <c r="D1463" s="60"/>
      <c r="E1463" s="61"/>
      <c r="F1463" s="61"/>
      <c r="G1463" s="67"/>
      <c r="H1463" s="60"/>
      <c r="I1463" s="60"/>
      <c r="J1463" s="61"/>
      <c r="K1463" s="61"/>
      <c r="L1463" s="60"/>
      <c r="M1463" s="74" t="str">
        <f t="shared" si="179"/>
        <v/>
      </c>
      <c r="N1463" s="74" t="str">
        <f t="shared" si="180"/>
        <v/>
      </c>
      <c r="O1463" s="73" t="str">
        <f t="shared" si="181"/>
        <v/>
      </c>
      <c r="P1463" s="65" t="str">
        <f t="shared" ca="1" si="182"/>
        <v/>
      </c>
      <c r="Q1463" s="2"/>
      <c r="R1463" s="2"/>
      <c r="S1463" s="1" t="str">
        <f t="shared" si="183"/>
        <v/>
      </c>
      <c r="T1463" s="1" t="str">
        <f>IF(OR($C1463="",$D1463&lt;&gt;"Gelir",$L1463=""),"",IFERROR(INDEX(MUSTERILER!$B$7:$B$156,MATCH($S1463,MUSTERILER!$T$7:$T$156,0)),""))</f>
        <v/>
      </c>
      <c r="U1463" s="1" t="str">
        <f>IF($T1463="","",$T1463&amp;"|"&amp;COUNTIFS($T$7:$T1463,$T1463))</f>
        <v/>
      </c>
      <c r="V1463" s="1">
        <f t="shared" si="184"/>
        <v>0</v>
      </c>
      <c r="W1463" s="1" t="str">
        <f t="shared" si="185"/>
        <v/>
      </c>
      <c r="X1463" s="1"/>
      <c r="Y1463" s="1"/>
      <c r="Z1463" s="1"/>
      <c r="AA1463" s="1"/>
      <c r="AB1463" s="1"/>
      <c r="AC1463" s="1"/>
      <c r="AD1463" s="1">
        <f>IF($C1463="",0,SUMPRODUCT((AY_SONU!$O$7:$O$42="Evet")*(AY_SONU!$B$7:$B$42=DATE(YEAR($C1463),MONTH($C1463),1))))</f>
        <v>0</v>
      </c>
      <c r="AE1463" s="1" t="str">
        <f>IF($E1463="","",$E1463&amp;"|"&amp;COUNTIFS($E$7:$E1463,$E1463))</f>
        <v/>
      </c>
    </row>
    <row r="1464" spans="1:31" ht="18" customHeight="1" x14ac:dyDescent="0.3">
      <c r="A1464" s="2"/>
      <c r="B1464" s="65" t="str">
        <f t="shared" si="178"/>
        <v/>
      </c>
      <c r="C1464" s="66"/>
      <c r="D1464" s="60"/>
      <c r="E1464" s="61"/>
      <c r="F1464" s="61"/>
      <c r="G1464" s="67"/>
      <c r="H1464" s="60"/>
      <c r="I1464" s="60"/>
      <c r="J1464" s="61"/>
      <c r="K1464" s="61"/>
      <c r="L1464" s="60"/>
      <c r="M1464" s="74" t="str">
        <f t="shared" si="179"/>
        <v/>
      </c>
      <c r="N1464" s="74" t="str">
        <f t="shared" si="180"/>
        <v/>
      </c>
      <c r="O1464" s="73" t="str">
        <f t="shared" si="181"/>
        <v/>
      </c>
      <c r="P1464" s="65" t="str">
        <f t="shared" ca="1" si="182"/>
        <v/>
      </c>
      <c r="Q1464" s="2"/>
      <c r="R1464" s="2"/>
      <c r="S1464" s="1" t="str">
        <f t="shared" si="183"/>
        <v/>
      </c>
      <c r="T1464" s="1" t="str">
        <f>IF(OR($C1464="",$D1464&lt;&gt;"Gelir",$L1464=""),"",IFERROR(INDEX(MUSTERILER!$B$7:$B$156,MATCH($S1464,MUSTERILER!$T$7:$T$156,0)),""))</f>
        <v/>
      </c>
      <c r="U1464" s="1" t="str">
        <f>IF($T1464="","",$T1464&amp;"|"&amp;COUNTIFS($T$7:$T1464,$T1464))</f>
        <v/>
      </c>
      <c r="V1464" s="1">
        <f t="shared" si="184"/>
        <v>0</v>
      </c>
      <c r="W1464" s="1" t="str">
        <f t="shared" si="185"/>
        <v/>
      </c>
      <c r="X1464" s="1"/>
      <c r="Y1464" s="1"/>
      <c r="Z1464" s="1"/>
      <c r="AA1464" s="1"/>
      <c r="AB1464" s="1"/>
      <c r="AC1464" s="1"/>
      <c r="AD1464" s="1">
        <f>IF($C1464="",0,SUMPRODUCT((AY_SONU!$O$7:$O$42="Evet")*(AY_SONU!$B$7:$B$42=DATE(YEAR($C1464),MONTH($C1464),1))))</f>
        <v>0</v>
      </c>
      <c r="AE1464" s="1" t="str">
        <f>IF($E1464="","",$E1464&amp;"|"&amp;COUNTIFS($E$7:$E1464,$E1464))</f>
        <v/>
      </c>
    </row>
    <row r="1465" spans="1:31" ht="18" customHeight="1" x14ac:dyDescent="0.3">
      <c r="A1465" s="2"/>
      <c r="B1465" s="65" t="str">
        <f t="shared" si="178"/>
        <v/>
      </c>
      <c r="C1465" s="66"/>
      <c r="D1465" s="60"/>
      <c r="E1465" s="61"/>
      <c r="F1465" s="61"/>
      <c r="G1465" s="67"/>
      <c r="H1465" s="60"/>
      <c r="I1465" s="60"/>
      <c r="J1465" s="61"/>
      <c r="K1465" s="61"/>
      <c r="L1465" s="60"/>
      <c r="M1465" s="74" t="str">
        <f t="shared" si="179"/>
        <v/>
      </c>
      <c r="N1465" s="74" t="str">
        <f t="shared" si="180"/>
        <v/>
      </c>
      <c r="O1465" s="73" t="str">
        <f t="shared" si="181"/>
        <v/>
      </c>
      <c r="P1465" s="65" t="str">
        <f t="shared" ca="1" si="182"/>
        <v/>
      </c>
      <c r="Q1465" s="2"/>
      <c r="R1465" s="2"/>
      <c r="S1465" s="1" t="str">
        <f t="shared" si="183"/>
        <v/>
      </c>
      <c r="T1465" s="1" t="str">
        <f>IF(OR($C1465="",$D1465&lt;&gt;"Gelir",$L1465=""),"",IFERROR(INDEX(MUSTERILER!$B$7:$B$156,MATCH($S1465,MUSTERILER!$T$7:$T$156,0)),""))</f>
        <v/>
      </c>
      <c r="U1465" s="1" t="str">
        <f>IF($T1465="","",$T1465&amp;"|"&amp;COUNTIFS($T$7:$T1465,$T1465))</f>
        <v/>
      </c>
      <c r="V1465" s="1">
        <f t="shared" si="184"/>
        <v>0</v>
      </c>
      <c r="W1465" s="1" t="str">
        <f t="shared" si="185"/>
        <v/>
      </c>
      <c r="X1465" s="1"/>
      <c r="Y1465" s="1"/>
      <c r="Z1465" s="1"/>
      <c r="AA1465" s="1"/>
      <c r="AB1465" s="1"/>
      <c r="AC1465" s="1"/>
      <c r="AD1465" s="1">
        <f>IF($C1465="",0,SUMPRODUCT((AY_SONU!$O$7:$O$42="Evet")*(AY_SONU!$B$7:$B$42=DATE(YEAR($C1465),MONTH($C1465),1))))</f>
        <v>0</v>
      </c>
      <c r="AE1465" s="1" t="str">
        <f>IF($E1465="","",$E1465&amp;"|"&amp;COUNTIFS($E$7:$E1465,$E1465))</f>
        <v/>
      </c>
    </row>
    <row r="1466" spans="1:31" ht="18" customHeight="1" x14ac:dyDescent="0.3">
      <c r="A1466" s="2"/>
      <c r="B1466" s="65" t="str">
        <f t="shared" si="178"/>
        <v/>
      </c>
      <c r="C1466" s="66"/>
      <c r="D1466" s="60"/>
      <c r="E1466" s="61"/>
      <c r="F1466" s="61"/>
      <c r="G1466" s="67"/>
      <c r="H1466" s="60"/>
      <c r="I1466" s="60"/>
      <c r="J1466" s="61"/>
      <c r="K1466" s="61"/>
      <c r="L1466" s="60"/>
      <c r="M1466" s="74" t="str">
        <f t="shared" si="179"/>
        <v/>
      </c>
      <c r="N1466" s="74" t="str">
        <f t="shared" si="180"/>
        <v/>
      </c>
      <c r="O1466" s="73" t="str">
        <f t="shared" si="181"/>
        <v/>
      </c>
      <c r="P1466" s="65" t="str">
        <f t="shared" ca="1" si="182"/>
        <v/>
      </c>
      <c r="Q1466" s="2"/>
      <c r="R1466" s="2"/>
      <c r="S1466" s="1" t="str">
        <f t="shared" si="183"/>
        <v/>
      </c>
      <c r="T1466" s="1" t="str">
        <f>IF(OR($C1466="",$D1466&lt;&gt;"Gelir",$L1466=""),"",IFERROR(INDEX(MUSTERILER!$B$7:$B$156,MATCH($S1466,MUSTERILER!$T$7:$T$156,0)),""))</f>
        <v/>
      </c>
      <c r="U1466" s="1" t="str">
        <f>IF($T1466="","",$T1466&amp;"|"&amp;COUNTIFS($T$7:$T1466,$T1466))</f>
        <v/>
      </c>
      <c r="V1466" s="1">
        <f t="shared" si="184"/>
        <v>0</v>
      </c>
      <c r="W1466" s="1" t="str">
        <f t="shared" si="185"/>
        <v/>
      </c>
      <c r="X1466" s="1"/>
      <c r="Y1466" s="1"/>
      <c r="Z1466" s="1"/>
      <c r="AA1466" s="1"/>
      <c r="AB1466" s="1"/>
      <c r="AC1466" s="1"/>
      <c r="AD1466" s="1">
        <f>IF($C1466="",0,SUMPRODUCT((AY_SONU!$O$7:$O$42="Evet")*(AY_SONU!$B$7:$B$42=DATE(YEAR($C1466),MONTH($C1466),1))))</f>
        <v>0</v>
      </c>
      <c r="AE1466" s="1" t="str">
        <f>IF($E1466="","",$E1466&amp;"|"&amp;COUNTIFS($E$7:$E1466,$E1466))</f>
        <v/>
      </c>
    </row>
    <row r="1467" spans="1:31" ht="18" customHeight="1" x14ac:dyDescent="0.3">
      <c r="A1467" s="2"/>
      <c r="B1467" s="65" t="str">
        <f t="shared" si="178"/>
        <v/>
      </c>
      <c r="C1467" s="66"/>
      <c r="D1467" s="60"/>
      <c r="E1467" s="61"/>
      <c r="F1467" s="61"/>
      <c r="G1467" s="67"/>
      <c r="H1467" s="60"/>
      <c r="I1467" s="60"/>
      <c r="J1467" s="61"/>
      <c r="K1467" s="61"/>
      <c r="L1467" s="60"/>
      <c r="M1467" s="74" t="str">
        <f t="shared" si="179"/>
        <v/>
      </c>
      <c r="N1467" s="74" t="str">
        <f t="shared" si="180"/>
        <v/>
      </c>
      <c r="O1467" s="73" t="str">
        <f t="shared" si="181"/>
        <v/>
      </c>
      <c r="P1467" s="65" t="str">
        <f t="shared" ca="1" si="182"/>
        <v/>
      </c>
      <c r="Q1467" s="2"/>
      <c r="R1467" s="2"/>
      <c r="S1467" s="1" t="str">
        <f t="shared" si="183"/>
        <v/>
      </c>
      <c r="T1467" s="1" t="str">
        <f>IF(OR($C1467="",$D1467&lt;&gt;"Gelir",$L1467=""),"",IFERROR(INDEX(MUSTERILER!$B$7:$B$156,MATCH($S1467,MUSTERILER!$T$7:$T$156,0)),""))</f>
        <v/>
      </c>
      <c r="U1467" s="1" t="str">
        <f>IF($T1467="","",$T1467&amp;"|"&amp;COUNTIFS($T$7:$T1467,$T1467))</f>
        <v/>
      </c>
      <c r="V1467" s="1">
        <f t="shared" si="184"/>
        <v>0</v>
      </c>
      <c r="W1467" s="1" t="str">
        <f t="shared" si="185"/>
        <v/>
      </c>
      <c r="X1467" s="1"/>
      <c r="Y1467" s="1"/>
      <c r="Z1467" s="1"/>
      <c r="AA1467" s="1"/>
      <c r="AB1467" s="1"/>
      <c r="AC1467" s="1"/>
      <c r="AD1467" s="1">
        <f>IF($C1467="",0,SUMPRODUCT((AY_SONU!$O$7:$O$42="Evet")*(AY_SONU!$B$7:$B$42=DATE(YEAR($C1467),MONTH($C1467),1))))</f>
        <v>0</v>
      </c>
      <c r="AE1467" s="1" t="str">
        <f>IF($E1467="","",$E1467&amp;"|"&amp;COUNTIFS($E$7:$E1467,$E1467))</f>
        <v/>
      </c>
    </row>
    <row r="1468" spans="1:31" ht="18" customHeight="1" x14ac:dyDescent="0.3">
      <c r="A1468" s="2"/>
      <c r="B1468" s="65" t="str">
        <f t="shared" si="178"/>
        <v/>
      </c>
      <c r="C1468" s="66"/>
      <c r="D1468" s="60"/>
      <c r="E1468" s="61"/>
      <c r="F1468" s="61"/>
      <c r="G1468" s="67"/>
      <c r="H1468" s="60"/>
      <c r="I1468" s="60"/>
      <c r="J1468" s="61"/>
      <c r="K1468" s="61"/>
      <c r="L1468" s="60"/>
      <c r="M1468" s="74" t="str">
        <f t="shared" si="179"/>
        <v/>
      </c>
      <c r="N1468" s="74" t="str">
        <f t="shared" si="180"/>
        <v/>
      </c>
      <c r="O1468" s="73" t="str">
        <f t="shared" si="181"/>
        <v/>
      </c>
      <c r="P1468" s="65" t="str">
        <f t="shared" ca="1" si="182"/>
        <v/>
      </c>
      <c r="Q1468" s="2"/>
      <c r="R1468" s="2"/>
      <c r="S1468" s="1" t="str">
        <f t="shared" si="183"/>
        <v/>
      </c>
      <c r="T1468" s="1" t="str">
        <f>IF(OR($C1468="",$D1468&lt;&gt;"Gelir",$L1468=""),"",IFERROR(INDEX(MUSTERILER!$B$7:$B$156,MATCH($S1468,MUSTERILER!$T$7:$T$156,0)),""))</f>
        <v/>
      </c>
      <c r="U1468" s="1" t="str">
        <f>IF($T1468="","",$T1468&amp;"|"&amp;COUNTIFS($T$7:$T1468,$T1468))</f>
        <v/>
      </c>
      <c r="V1468" s="1">
        <f t="shared" si="184"/>
        <v>0</v>
      </c>
      <c r="W1468" s="1" t="str">
        <f t="shared" si="185"/>
        <v/>
      </c>
      <c r="X1468" s="1"/>
      <c r="Y1468" s="1"/>
      <c r="Z1468" s="1"/>
      <c r="AA1468" s="1"/>
      <c r="AB1468" s="1"/>
      <c r="AC1468" s="1"/>
      <c r="AD1468" s="1">
        <f>IF($C1468="",0,SUMPRODUCT((AY_SONU!$O$7:$O$42="Evet")*(AY_SONU!$B$7:$B$42=DATE(YEAR($C1468),MONTH($C1468),1))))</f>
        <v>0</v>
      </c>
      <c r="AE1468" s="1" t="str">
        <f>IF($E1468="","",$E1468&amp;"|"&amp;COUNTIFS($E$7:$E1468,$E1468))</f>
        <v/>
      </c>
    </row>
    <row r="1469" spans="1:31" ht="18" customHeight="1" x14ac:dyDescent="0.3">
      <c r="A1469" s="2"/>
      <c r="B1469" s="65" t="str">
        <f t="shared" si="178"/>
        <v/>
      </c>
      <c r="C1469" s="66"/>
      <c r="D1469" s="60"/>
      <c r="E1469" s="61"/>
      <c r="F1469" s="61"/>
      <c r="G1469" s="67"/>
      <c r="H1469" s="60"/>
      <c r="I1469" s="60"/>
      <c r="J1469" s="61"/>
      <c r="K1469" s="61"/>
      <c r="L1469" s="60"/>
      <c r="M1469" s="74" t="str">
        <f t="shared" si="179"/>
        <v/>
      </c>
      <c r="N1469" s="74" t="str">
        <f t="shared" si="180"/>
        <v/>
      </c>
      <c r="O1469" s="73" t="str">
        <f t="shared" si="181"/>
        <v/>
      </c>
      <c r="P1469" s="65" t="str">
        <f t="shared" ca="1" si="182"/>
        <v/>
      </c>
      <c r="Q1469" s="2"/>
      <c r="R1469" s="2"/>
      <c r="S1469" s="1" t="str">
        <f t="shared" si="183"/>
        <v/>
      </c>
      <c r="T1469" s="1" t="str">
        <f>IF(OR($C1469="",$D1469&lt;&gt;"Gelir",$L1469=""),"",IFERROR(INDEX(MUSTERILER!$B$7:$B$156,MATCH($S1469,MUSTERILER!$T$7:$T$156,0)),""))</f>
        <v/>
      </c>
      <c r="U1469" s="1" t="str">
        <f>IF($T1469="","",$T1469&amp;"|"&amp;COUNTIFS($T$7:$T1469,$T1469))</f>
        <v/>
      </c>
      <c r="V1469" s="1">
        <f t="shared" si="184"/>
        <v>0</v>
      </c>
      <c r="W1469" s="1" t="str">
        <f t="shared" si="185"/>
        <v/>
      </c>
      <c r="X1469" s="1"/>
      <c r="Y1469" s="1"/>
      <c r="Z1469" s="1"/>
      <c r="AA1469" s="1"/>
      <c r="AB1469" s="1"/>
      <c r="AC1469" s="1"/>
      <c r="AD1469" s="1">
        <f>IF($C1469="",0,SUMPRODUCT((AY_SONU!$O$7:$O$42="Evet")*(AY_SONU!$B$7:$B$42=DATE(YEAR($C1469),MONTH($C1469),1))))</f>
        <v>0</v>
      </c>
      <c r="AE1469" s="1" t="str">
        <f>IF($E1469="","",$E1469&amp;"|"&amp;COUNTIFS($E$7:$E1469,$E1469))</f>
        <v/>
      </c>
    </row>
    <row r="1470" spans="1:31" ht="18" customHeight="1" x14ac:dyDescent="0.3">
      <c r="A1470" s="2"/>
      <c r="B1470" s="65" t="str">
        <f t="shared" si="178"/>
        <v/>
      </c>
      <c r="C1470" s="66"/>
      <c r="D1470" s="60"/>
      <c r="E1470" s="61"/>
      <c r="F1470" s="61"/>
      <c r="G1470" s="67"/>
      <c r="H1470" s="60"/>
      <c r="I1470" s="60"/>
      <c r="J1470" s="61"/>
      <c r="K1470" s="61"/>
      <c r="L1470" s="60"/>
      <c r="M1470" s="74" t="str">
        <f t="shared" si="179"/>
        <v/>
      </c>
      <c r="N1470" s="74" t="str">
        <f t="shared" si="180"/>
        <v/>
      </c>
      <c r="O1470" s="73" t="str">
        <f t="shared" si="181"/>
        <v/>
      </c>
      <c r="P1470" s="65" t="str">
        <f t="shared" ca="1" si="182"/>
        <v/>
      </c>
      <c r="Q1470" s="2"/>
      <c r="R1470" s="2"/>
      <c r="S1470" s="1" t="str">
        <f t="shared" si="183"/>
        <v/>
      </c>
      <c r="T1470" s="1" t="str">
        <f>IF(OR($C1470="",$D1470&lt;&gt;"Gelir",$L1470=""),"",IFERROR(INDEX(MUSTERILER!$B$7:$B$156,MATCH($S1470,MUSTERILER!$T$7:$T$156,0)),""))</f>
        <v/>
      </c>
      <c r="U1470" s="1" t="str">
        <f>IF($T1470="","",$T1470&amp;"|"&amp;COUNTIFS($T$7:$T1470,$T1470))</f>
        <v/>
      </c>
      <c r="V1470" s="1">
        <f t="shared" si="184"/>
        <v>0</v>
      </c>
      <c r="W1470" s="1" t="str">
        <f t="shared" si="185"/>
        <v/>
      </c>
      <c r="X1470" s="1"/>
      <c r="Y1470" s="1"/>
      <c r="Z1470" s="1"/>
      <c r="AA1470" s="1"/>
      <c r="AB1470" s="1"/>
      <c r="AC1470" s="1"/>
      <c r="AD1470" s="1">
        <f>IF($C1470="",0,SUMPRODUCT((AY_SONU!$O$7:$O$42="Evet")*(AY_SONU!$B$7:$B$42=DATE(YEAR($C1470),MONTH($C1470),1))))</f>
        <v>0</v>
      </c>
      <c r="AE1470" s="1" t="str">
        <f>IF($E1470="","",$E1470&amp;"|"&amp;COUNTIFS($E$7:$E1470,$E1470))</f>
        <v/>
      </c>
    </row>
    <row r="1471" spans="1:31" ht="18" customHeight="1" x14ac:dyDescent="0.3">
      <c r="A1471" s="2"/>
      <c r="B1471" s="65" t="str">
        <f t="shared" si="178"/>
        <v/>
      </c>
      <c r="C1471" s="66"/>
      <c r="D1471" s="60"/>
      <c r="E1471" s="61"/>
      <c r="F1471" s="61"/>
      <c r="G1471" s="67"/>
      <c r="H1471" s="60"/>
      <c r="I1471" s="60"/>
      <c r="J1471" s="61"/>
      <c r="K1471" s="61"/>
      <c r="L1471" s="60"/>
      <c r="M1471" s="74" t="str">
        <f t="shared" si="179"/>
        <v/>
      </c>
      <c r="N1471" s="74" t="str">
        <f t="shared" si="180"/>
        <v/>
      </c>
      <c r="O1471" s="73" t="str">
        <f t="shared" si="181"/>
        <v/>
      </c>
      <c r="P1471" s="65" t="str">
        <f t="shared" ca="1" si="182"/>
        <v/>
      </c>
      <c r="Q1471" s="2"/>
      <c r="R1471" s="2"/>
      <c r="S1471" s="1" t="str">
        <f t="shared" si="183"/>
        <v/>
      </c>
      <c r="T1471" s="1" t="str">
        <f>IF(OR($C1471="",$D1471&lt;&gt;"Gelir",$L1471=""),"",IFERROR(INDEX(MUSTERILER!$B$7:$B$156,MATCH($S1471,MUSTERILER!$T$7:$T$156,0)),""))</f>
        <v/>
      </c>
      <c r="U1471" s="1" t="str">
        <f>IF($T1471="","",$T1471&amp;"|"&amp;COUNTIFS($T$7:$T1471,$T1471))</f>
        <v/>
      </c>
      <c r="V1471" s="1">
        <f t="shared" si="184"/>
        <v>0</v>
      </c>
      <c r="W1471" s="1" t="str">
        <f t="shared" si="185"/>
        <v/>
      </c>
      <c r="X1471" s="1"/>
      <c r="Y1471" s="1"/>
      <c r="Z1471" s="1"/>
      <c r="AA1471" s="1"/>
      <c r="AB1471" s="1"/>
      <c r="AC1471" s="1"/>
      <c r="AD1471" s="1">
        <f>IF($C1471="",0,SUMPRODUCT((AY_SONU!$O$7:$O$42="Evet")*(AY_SONU!$B$7:$B$42=DATE(YEAR($C1471),MONTH($C1471),1))))</f>
        <v>0</v>
      </c>
      <c r="AE1471" s="1" t="str">
        <f>IF($E1471="","",$E1471&amp;"|"&amp;COUNTIFS($E$7:$E1471,$E1471))</f>
        <v/>
      </c>
    </row>
    <row r="1472" spans="1:31" ht="18" customHeight="1" x14ac:dyDescent="0.3">
      <c r="A1472" s="2"/>
      <c r="B1472" s="65" t="str">
        <f t="shared" si="178"/>
        <v/>
      </c>
      <c r="C1472" s="66"/>
      <c r="D1472" s="60"/>
      <c r="E1472" s="61"/>
      <c r="F1472" s="61"/>
      <c r="G1472" s="67"/>
      <c r="H1472" s="60"/>
      <c r="I1472" s="60"/>
      <c r="J1472" s="61"/>
      <c r="K1472" s="61"/>
      <c r="L1472" s="60"/>
      <c r="M1472" s="74" t="str">
        <f t="shared" si="179"/>
        <v/>
      </c>
      <c r="N1472" s="74" t="str">
        <f t="shared" si="180"/>
        <v/>
      </c>
      <c r="O1472" s="73" t="str">
        <f t="shared" si="181"/>
        <v/>
      </c>
      <c r="P1472" s="65" t="str">
        <f t="shared" ca="1" si="182"/>
        <v/>
      </c>
      <c r="Q1472" s="2"/>
      <c r="R1472" s="2"/>
      <c r="S1472" s="1" t="str">
        <f t="shared" si="183"/>
        <v/>
      </c>
      <c r="T1472" s="1" t="str">
        <f>IF(OR($C1472="",$D1472&lt;&gt;"Gelir",$L1472=""),"",IFERROR(INDEX(MUSTERILER!$B$7:$B$156,MATCH($S1472,MUSTERILER!$T$7:$T$156,0)),""))</f>
        <v/>
      </c>
      <c r="U1472" s="1" t="str">
        <f>IF($T1472="","",$T1472&amp;"|"&amp;COUNTIFS($T$7:$T1472,$T1472))</f>
        <v/>
      </c>
      <c r="V1472" s="1">
        <f t="shared" si="184"/>
        <v>0</v>
      </c>
      <c r="W1472" s="1" t="str">
        <f t="shared" si="185"/>
        <v/>
      </c>
      <c r="X1472" s="1"/>
      <c r="Y1472" s="1"/>
      <c r="Z1472" s="1"/>
      <c r="AA1472" s="1"/>
      <c r="AB1472" s="1"/>
      <c r="AC1472" s="1"/>
      <c r="AD1472" s="1">
        <f>IF($C1472="",0,SUMPRODUCT((AY_SONU!$O$7:$O$42="Evet")*(AY_SONU!$B$7:$B$42=DATE(YEAR($C1472),MONTH($C1472),1))))</f>
        <v>0</v>
      </c>
      <c r="AE1472" s="1" t="str">
        <f>IF($E1472="","",$E1472&amp;"|"&amp;COUNTIFS($E$7:$E1472,$E1472))</f>
        <v/>
      </c>
    </row>
    <row r="1473" spans="1:31" ht="18" customHeight="1" x14ac:dyDescent="0.3">
      <c r="A1473" s="2"/>
      <c r="B1473" s="65" t="str">
        <f t="shared" si="178"/>
        <v/>
      </c>
      <c r="C1473" s="66"/>
      <c r="D1473" s="60"/>
      <c r="E1473" s="61"/>
      <c r="F1473" s="61"/>
      <c r="G1473" s="67"/>
      <c r="H1473" s="60"/>
      <c r="I1473" s="60"/>
      <c r="J1473" s="61"/>
      <c r="K1473" s="61"/>
      <c r="L1473" s="60"/>
      <c r="M1473" s="74" t="str">
        <f t="shared" si="179"/>
        <v/>
      </c>
      <c r="N1473" s="74" t="str">
        <f t="shared" si="180"/>
        <v/>
      </c>
      <c r="O1473" s="73" t="str">
        <f t="shared" si="181"/>
        <v/>
      </c>
      <c r="P1473" s="65" t="str">
        <f t="shared" ca="1" si="182"/>
        <v/>
      </c>
      <c r="Q1473" s="2"/>
      <c r="R1473" s="2"/>
      <c r="S1473" s="1" t="str">
        <f t="shared" si="183"/>
        <v/>
      </c>
      <c r="T1473" s="1" t="str">
        <f>IF(OR($C1473="",$D1473&lt;&gt;"Gelir",$L1473=""),"",IFERROR(INDEX(MUSTERILER!$B$7:$B$156,MATCH($S1473,MUSTERILER!$T$7:$T$156,0)),""))</f>
        <v/>
      </c>
      <c r="U1473" s="1" t="str">
        <f>IF($T1473="","",$T1473&amp;"|"&amp;COUNTIFS($T$7:$T1473,$T1473))</f>
        <v/>
      </c>
      <c r="V1473" s="1">
        <f t="shared" si="184"/>
        <v>0</v>
      </c>
      <c r="W1473" s="1" t="str">
        <f t="shared" si="185"/>
        <v/>
      </c>
      <c r="X1473" s="1"/>
      <c r="Y1473" s="1"/>
      <c r="Z1473" s="1"/>
      <c r="AA1473" s="1"/>
      <c r="AB1473" s="1"/>
      <c r="AC1473" s="1"/>
      <c r="AD1473" s="1">
        <f>IF($C1473="",0,SUMPRODUCT((AY_SONU!$O$7:$O$42="Evet")*(AY_SONU!$B$7:$B$42=DATE(YEAR($C1473),MONTH($C1473),1))))</f>
        <v>0</v>
      </c>
      <c r="AE1473" s="1" t="str">
        <f>IF($E1473="","",$E1473&amp;"|"&amp;COUNTIFS($E$7:$E1473,$E1473))</f>
        <v/>
      </c>
    </row>
    <row r="1474" spans="1:31" ht="18" customHeight="1" x14ac:dyDescent="0.3">
      <c r="A1474" s="2"/>
      <c r="B1474" s="65" t="str">
        <f t="shared" si="178"/>
        <v/>
      </c>
      <c r="C1474" s="66"/>
      <c r="D1474" s="60"/>
      <c r="E1474" s="61"/>
      <c r="F1474" s="61"/>
      <c r="G1474" s="67"/>
      <c r="H1474" s="60"/>
      <c r="I1474" s="60"/>
      <c r="J1474" s="61"/>
      <c r="K1474" s="61"/>
      <c r="L1474" s="60"/>
      <c r="M1474" s="74" t="str">
        <f t="shared" si="179"/>
        <v/>
      </c>
      <c r="N1474" s="74" t="str">
        <f t="shared" si="180"/>
        <v/>
      </c>
      <c r="O1474" s="73" t="str">
        <f t="shared" si="181"/>
        <v/>
      </c>
      <c r="P1474" s="65" t="str">
        <f t="shared" ca="1" si="182"/>
        <v/>
      </c>
      <c r="Q1474" s="2"/>
      <c r="R1474" s="2"/>
      <c r="S1474" s="1" t="str">
        <f t="shared" si="183"/>
        <v/>
      </c>
      <c r="T1474" s="1" t="str">
        <f>IF(OR($C1474="",$D1474&lt;&gt;"Gelir",$L1474=""),"",IFERROR(INDEX(MUSTERILER!$B$7:$B$156,MATCH($S1474,MUSTERILER!$T$7:$T$156,0)),""))</f>
        <v/>
      </c>
      <c r="U1474" s="1" t="str">
        <f>IF($T1474="","",$T1474&amp;"|"&amp;COUNTIFS($T$7:$T1474,$T1474))</f>
        <v/>
      </c>
      <c r="V1474" s="1">
        <f t="shared" si="184"/>
        <v>0</v>
      </c>
      <c r="W1474" s="1" t="str">
        <f t="shared" si="185"/>
        <v/>
      </c>
      <c r="X1474" s="1"/>
      <c r="Y1474" s="1"/>
      <c r="Z1474" s="1"/>
      <c r="AA1474" s="1"/>
      <c r="AB1474" s="1"/>
      <c r="AC1474" s="1"/>
      <c r="AD1474" s="1">
        <f>IF($C1474="",0,SUMPRODUCT((AY_SONU!$O$7:$O$42="Evet")*(AY_SONU!$B$7:$B$42=DATE(YEAR($C1474),MONTH($C1474),1))))</f>
        <v>0</v>
      </c>
      <c r="AE1474" s="1" t="str">
        <f>IF($E1474="","",$E1474&amp;"|"&amp;COUNTIFS($E$7:$E1474,$E1474))</f>
        <v/>
      </c>
    </row>
    <row r="1475" spans="1:31" ht="18" customHeight="1" x14ac:dyDescent="0.3">
      <c r="A1475" s="2"/>
      <c r="B1475" s="65" t="str">
        <f t="shared" si="178"/>
        <v/>
      </c>
      <c r="C1475" s="66"/>
      <c r="D1475" s="60"/>
      <c r="E1475" s="61"/>
      <c r="F1475" s="61"/>
      <c r="G1475" s="67"/>
      <c r="H1475" s="60"/>
      <c r="I1475" s="60"/>
      <c r="J1475" s="61"/>
      <c r="K1475" s="61"/>
      <c r="L1475" s="60"/>
      <c r="M1475" s="74" t="str">
        <f t="shared" si="179"/>
        <v/>
      </c>
      <c r="N1475" s="74" t="str">
        <f t="shared" si="180"/>
        <v/>
      </c>
      <c r="O1475" s="73" t="str">
        <f t="shared" si="181"/>
        <v/>
      </c>
      <c r="P1475" s="65" t="str">
        <f t="shared" ca="1" si="182"/>
        <v/>
      </c>
      <c r="Q1475" s="2"/>
      <c r="R1475" s="2"/>
      <c r="S1475" s="1" t="str">
        <f t="shared" si="183"/>
        <v/>
      </c>
      <c r="T1475" s="1" t="str">
        <f>IF(OR($C1475="",$D1475&lt;&gt;"Gelir",$L1475=""),"",IFERROR(INDEX(MUSTERILER!$B$7:$B$156,MATCH($S1475,MUSTERILER!$T$7:$T$156,0)),""))</f>
        <v/>
      </c>
      <c r="U1475" s="1" t="str">
        <f>IF($T1475="","",$T1475&amp;"|"&amp;COUNTIFS($T$7:$T1475,$T1475))</f>
        <v/>
      </c>
      <c r="V1475" s="1">
        <f t="shared" si="184"/>
        <v>0</v>
      </c>
      <c r="W1475" s="1" t="str">
        <f t="shared" si="185"/>
        <v/>
      </c>
      <c r="X1475" s="1"/>
      <c r="Y1475" s="1"/>
      <c r="Z1475" s="1"/>
      <c r="AA1475" s="1"/>
      <c r="AB1475" s="1"/>
      <c r="AC1475" s="1"/>
      <c r="AD1475" s="1">
        <f>IF($C1475="",0,SUMPRODUCT((AY_SONU!$O$7:$O$42="Evet")*(AY_SONU!$B$7:$B$42=DATE(YEAR($C1475),MONTH($C1475),1))))</f>
        <v>0</v>
      </c>
      <c r="AE1475" s="1" t="str">
        <f>IF($E1475="","",$E1475&amp;"|"&amp;COUNTIFS($E$7:$E1475,$E1475))</f>
        <v/>
      </c>
    </row>
    <row r="1476" spans="1:31" ht="18" customHeight="1" x14ac:dyDescent="0.3">
      <c r="A1476" s="2"/>
      <c r="B1476" s="65" t="str">
        <f t="shared" si="178"/>
        <v/>
      </c>
      <c r="C1476" s="66"/>
      <c r="D1476" s="60"/>
      <c r="E1476" s="61"/>
      <c r="F1476" s="61"/>
      <c r="G1476" s="67"/>
      <c r="H1476" s="60"/>
      <c r="I1476" s="60"/>
      <c r="J1476" s="61"/>
      <c r="K1476" s="61"/>
      <c r="L1476" s="60"/>
      <c r="M1476" s="74" t="str">
        <f t="shared" si="179"/>
        <v/>
      </c>
      <c r="N1476" s="74" t="str">
        <f t="shared" si="180"/>
        <v/>
      </c>
      <c r="O1476" s="73" t="str">
        <f t="shared" si="181"/>
        <v/>
      </c>
      <c r="P1476" s="65" t="str">
        <f t="shared" ca="1" si="182"/>
        <v/>
      </c>
      <c r="Q1476" s="2"/>
      <c r="R1476" s="2"/>
      <c r="S1476" s="1" t="str">
        <f t="shared" si="183"/>
        <v/>
      </c>
      <c r="T1476" s="1" t="str">
        <f>IF(OR($C1476="",$D1476&lt;&gt;"Gelir",$L1476=""),"",IFERROR(INDEX(MUSTERILER!$B$7:$B$156,MATCH($S1476,MUSTERILER!$T$7:$T$156,0)),""))</f>
        <v/>
      </c>
      <c r="U1476" s="1" t="str">
        <f>IF($T1476="","",$T1476&amp;"|"&amp;COUNTIFS($T$7:$T1476,$T1476))</f>
        <v/>
      </c>
      <c r="V1476" s="1">
        <f t="shared" si="184"/>
        <v>0</v>
      </c>
      <c r="W1476" s="1" t="str">
        <f t="shared" si="185"/>
        <v/>
      </c>
      <c r="X1476" s="1"/>
      <c r="Y1476" s="1"/>
      <c r="Z1476" s="1"/>
      <c r="AA1476" s="1"/>
      <c r="AB1476" s="1"/>
      <c r="AC1476" s="1"/>
      <c r="AD1476" s="1">
        <f>IF($C1476="",0,SUMPRODUCT((AY_SONU!$O$7:$O$42="Evet")*(AY_SONU!$B$7:$B$42=DATE(YEAR($C1476),MONTH($C1476),1))))</f>
        <v>0</v>
      </c>
      <c r="AE1476" s="1" t="str">
        <f>IF($E1476="","",$E1476&amp;"|"&amp;COUNTIFS($E$7:$E1476,$E1476))</f>
        <v/>
      </c>
    </row>
    <row r="1477" spans="1:31" ht="18" customHeight="1" x14ac:dyDescent="0.3">
      <c r="A1477" s="2"/>
      <c r="B1477" s="65" t="str">
        <f t="shared" si="178"/>
        <v/>
      </c>
      <c r="C1477" s="66"/>
      <c r="D1477" s="60"/>
      <c r="E1477" s="61"/>
      <c r="F1477" s="61"/>
      <c r="G1477" s="67"/>
      <c r="H1477" s="60"/>
      <c r="I1477" s="60"/>
      <c r="J1477" s="61"/>
      <c r="K1477" s="61"/>
      <c r="L1477" s="60"/>
      <c r="M1477" s="74" t="str">
        <f t="shared" si="179"/>
        <v/>
      </c>
      <c r="N1477" s="74" t="str">
        <f t="shared" si="180"/>
        <v/>
      </c>
      <c r="O1477" s="73" t="str">
        <f t="shared" si="181"/>
        <v/>
      </c>
      <c r="P1477" s="65" t="str">
        <f t="shared" ca="1" si="182"/>
        <v/>
      </c>
      <c r="Q1477" s="2"/>
      <c r="R1477" s="2"/>
      <c r="S1477" s="1" t="str">
        <f t="shared" si="183"/>
        <v/>
      </c>
      <c r="T1477" s="1" t="str">
        <f>IF(OR($C1477="",$D1477&lt;&gt;"Gelir",$L1477=""),"",IFERROR(INDEX(MUSTERILER!$B$7:$B$156,MATCH($S1477,MUSTERILER!$T$7:$T$156,0)),""))</f>
        <v/>
      </c>
      <c r="U1477" s="1" t="str">
        <f>IF($T1477="","",$T1477&amp;"|"&amp;COUNTIFS($T$7:$T1477,$T1477))</f>
        <v/>
      </c>
      <c r="V1477" s="1">
        <f t="shared" si="184"/>
        <v>0</v>
      </c>
      <c r="W1477" s="1" t="str">
        <f t="shared" si="185"/>
        <v/>
      </c>
      <c r="X1477" s="1"/>
      <c r="Y1477" s="1"/>
      <c r="Z1477" s="1"/>
      <c r="AA1477" s="1"/>
      <c r="AB1477" s="1"/>
      <c r="AC1477" s="1"/>
      <c r="AD1477" s="1">
        <f>IF($C1477="",0,SUMPRODUCT((AY_SONU!$O$7:$O$42="Evet")*(AY_SONU!$B$7:$B$42=DATE(YEAR($C1477),MONTH($C1477),1))))</f>
        <v>0</v>
      </c>
      <c r="AE1477" s="1" t="str">
        <f>IF($E1477="","",$E1477&amp;"|"&amp;COUNTIFS($E$7:$E1477,$E1477))</f>
        <v/>
      </c>
    </row>
    <row r="1478" spans="1:31" ht="18" customHeight="1" x14ac:dyDescent="0.3">
      <c r="A1478" s="2"/>
      <c r="B1478" s="65" t="str">
        <f t="shared" si="178"/>
        <v/>
      </c>
      <c r="C1478" s="66"/>
      <c r="D1478" s="60"/>
      <c r="E1478" s="61"/>
      <c r="F1478" s="61"/>
      <c r="G1478" s="67"/>
      <c r="H1478" s="60"/>
      <c r="I1478" s="60"/>
      <c r="J1478" s="61"/>
      <c r="K1478" s="61"/>
      <c r="L1478" s="60"/>
      <c r="M1478" s="74" t="str">
        <f t="shared" si="179"/>
        <v/>
      </c>
      <c r="N1478" s="74" t="str">
        <f t="shared" si="180"/>
        <v/>
      </c>
      <c r="O1478" s="73" t="str">
        <f t="shared" si="181"/>
        <v/>
      </c>
      <c r="P1478" s="65" t="str">
        <f t="shared" ca="1" si="182"/>
        <v/>
      </c>
      <c r="Q1478" s="2"/>
      <c r="R1478" s="2"/>
      <c r="S1478" s="1" t="str">
        <f t="shared" si="183"/>
        <v/>
      </c>
      <c r="T1478" s="1" t="str">
        <f>IF(OR($C1478="",$D1478&lt;&gt;"Gelir",$L1478=""),"",IFERROR(INDEX(MUSTERILER!$B$7:$B$156,MATCH($S1478,MUSTERILER!$T$7:$T$156,0)),""))</f>
        <v/>
      </c>
      <c r="U1478" s="1" t="str">
        <f>IF($T1478="","",$T1478&amp;"|"&amp;COUNTIFS($T$7:$T1478,$T1478))</f>
        <v/>
      </c>
      <c r="V1478" s="1">
        <f t="shared" si="184"/>
        <v>0</v>
      </c>
      <c r="W1478" s="1" t="str">
        <f t="shared" si="185"/>
        <v/>
      </c>
      <c r="X1478" s="1"/>
      <c r="Y1478" s="1"/>
      <c r="Z1478" s="1"/>
      <c r="AA1478" s="1"/>
      <c r="AB1478" s="1"/>
      <c r="AC1478" s="1"/>
      <c r="AD1478" s="1">
        <f>IF($C1478="",0,SUMPRODUCT((AY_SONU!$O$7:$O$42="Evet")*(AY_SONU!$B$7:$B$42=DATE(YEAR($C1478),MONTH($C1478),1))))</f>
        <v>0</v>
      </c>
      <c r="AE1478" s="1" t="str">
        <f>IF($E1478="","",$E1478&amp;"|"&amp;COUNTIFS($E$7:$E1478,$E1478))</f>
        <v/>
      </c>
    </row>
    <row r="1479" spans="1:31" ht="18" customHeight="1" x14ac:dyDescent="0.3">
      <c r="A1479" s="2"/>
      <c r="B1479" s="65" t="str">
        <f t="shared" ref="B1479:B1542" si="186">IF($C1479="","","GG"&amp;TEXT(ROW()-6,"00000"))</f>
        <v/>
      </c>
      <c r="C1479" s="66"/>
      <c r="D1479" s="60"/>
      <c r="E1479" s="61"/>
      <c r="F1479" s="61"/>
      <c r="G1479" s="67"/>
      <c r="H1479" s="60"/>
      <c r="I1479" s="60"/>
      <c r="J1479" s="61"/>
      <c r="K1479" s="61"/>
      <c r="L1479" s="60"/>
      <c r="M1479" s="74" t="str">
        <f t="shared" ref="M1479:M1542" si="187">IF($C1479="","",IF($D1479="Gider",$E1479,IF($L1479&lt;&gt;"",$L1479,$H1479)))</f>
        <v/>
      </c>
      <c r="N1479" s="74" t="str">
        <f t="shared" ref="N1479:N1542" si="188">IF($C1479="","",IF($D1479="Gider",$H1479,$E1479))</f>
        <v/>
      </c>
      <c r="O1479" s="73" t="str">
        <f t="shared" ref="O1479:O1542" si="189">IF($C1479="","",DATE(YEAR($C1479),MONTH($C1479),1))</f>
        <v/>
      </c>
      <c r="P1479" s="65" t="str">
        <f t="shared" ref="P1479:P1542" ca="1" si="190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TARİH",IF(COUNTIF($W$7:$W$3006,$W1479)&gt;1,"MÜKERRER?",IF($AD1479&gt;0,"KAPALI DÖNEM",IF($I1479="Hayır","ÖDENECEK","UYGUN")))),"EKSİK"))))</f>
        <v/>
      </c>
      <c r="Q1479" s="2"/>
      <c r="R1479" s="2"/>
      <c r="S1479" s="1" t="str">
        <f t="shared" ref="S1479:S1542" si="191"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1" t="str">
        <f>IF(OR($C1479="",$D1479&lt;&gt;"Gelir",$L1479=""),"",IFERROR(INDEX(MUSTERILER!$B$7:$B$156,MATCH($S1479,MUSTERILER!$T$7:$T$156,0)),""))</f>
        <v/>
      </c>
      <c r="U1479" s="1" t="str">
        <f>IF($T1479="","",$T1479&amp;"|"&amp;COUNTIFS($T$7:$T1479,$T1479))</f>
        <v/>
      </c>
      <c r="V1479" s="1">
        <f t="shared" ref="V1479:V1542" si="192">IF($T1479="",0,1)</f>
        <v>0</v>
      </c>
      <c r="W1479" s="1" t="str">
        <f t="shared" ref="W1479:W1542" si="193">IF($C1479="","",$D1479&amp;"|"&amp;$E1479&amp;"|"&amp;TEXT($C1479,"0")&amp;"|"&amp;TEXT($G1479,"0")&amp;"|"&amp;$J1479)</f>
        <v/>
      </c>
      <c r="X1479" s="1"/>
      <c r="Y1479" s="1"/>
      <c r="Z1479" s="1"/>
      <c r="AA1479" s="1"/>
      <c r="AB1479" s="1"/>
      <c r="AC1479" s="1"/>
      <c r="AD1479" s="1">
        <f>IF($C1479="",0,SUMPRODUCT((AY_SONU!$O$7:$O$42="Evet")*(AY_SONU!$B$7:$B$42=DATE(YEAR($C1479),MONTH($C1479),1))))</f>
        <v>0</v>
      </c>
      <c r="AE1479" s="1" t="str">
        <f>IF($E1479="","",$E1479&amp;"|"&amp;COUNTIFS($E$7:$E1479,$E1479))</f>
        <v/>
      </c>
    </row>
    <row r="1480" spans="1:31" ht="18" customHeight="1" x14ac:dyDescent="0.3">
      <c r="A1480" s="2"/>
      <c r="B1480" s="65" t="str">
        <f t="shared" si="186"/>
        <v/>
      </c>
      <c r="C1480" s="66"/>
      <c r="D1480" s="60"/>
      <c r="E1480" s="61"/>
      <c r="F1480" s="61"/>
      <c r="G1480" s="67"/>
      <c r="H1480" s="60"/>
      <c r="I1480" s="60"/>
      <c r="J1480" s="61"/>
      <c r="K1480" s="61"/>
      <c r="L1480" s="60"/>
      <c r="M1480" s="74" t="str">
        <f t="shared" si="187"/>
        <v/>
      </c>
      <c r="N1480" s="74" t="str">
        <f t="shared" si="188"/>
        <v/>
      </c>
      <c r="O1480" s="73" t="str">
        <f t="shared" si="189"/>
        <v/>
      </c>
      <c r="P1480" s="65" t="str">
        <f t="shared" ca="1" si="190"/>
        <v/>
      </c>
      <c r="Q1480" s="2"/>
      <c r="R1480" s="2"/>
      <c r="S1480" s="1" t="str">
        <f t="shared" si="191"/>
        <v/>
      </c>
      <c r="T1480" s="1" t="str">
        <f>IF(OR($C1480="",$D1480&lt;&gt;"Gelir",$L1480=""),"",IFERROR(INDEX(MUSTERILER!$B$7:$B$156,MATCH($S1480,MUSTERILER!$T$7:$T$156,0)),""))</f>
        <v/>
      </c>
      <c r="U1480" s="1" t="str">
        <f>IF($T1480="","",$T1480&amp;"|"&amp;COUNTIFS($T$7:$T1480,$T1480))</f>
        <v/>
      </c>
      <c r="V1480" s="1">
        <f t="shared" si="192"/>
        <v>0</v>
      </c>
      <c r="W1480" s="1" t="str">
        <f t="shared" si="193"/>
        <v/>
      </c>
      <c r="X1480" s="1"/>
      <c r="Y1480" s="1"/>
      <c r="Z1480" s="1"/>
      <c r="AA1480" s="1"/>
      <c r="AB1480" s="1"/>
      <c r="AC1480" s="1"/>
      <c r="AD1480" s="1">
        <f>IF($C1480="",0,SUMPRODUCT((AY_SONU!$O$7:$O$42="Evet")*(AY_SONU!$B$7:$B$42=DATE(YEAR($C1480),MONTH($C1480),1))))</f>
        <v>0</v>
      </c>
      <c r="AE1480" s="1" t="str">
        <f>IF($E1480="","",$E1480&amp;"|"&amp;COUNTIFS($E$7:$E1480,$E1480))</f>
        <v/>
      </c>
    </row>
    <row r="1481" spans="1:31" ht="18" customHeight="1" x14ac:dyDescent="0.3">
      <c r="A1481" s="2"/>
      <c r="B1481" s="65" t="str">
        <f t="shared" si="186"/>
        <v/>
      </c>
      <c r="C1481" s="66"/>
      <c r="D1481" s="60"/>
      <c r="E1481" s="61"/>
      <c r="F1481" s="61"/>
      <c r="G1481" s="67"/>
      <c r="H1481" s="60"/>
      <c r="I1481" s="60"/>
      <c r="J1481" s="61"/>
      <c r="K1481" s="61"/>
      <c r="L1481" s="60"/>
      <c r="M1481" s="74" t="str">
        <f t="shared" si="187"/>
        <v/>
      </c>
      <c r="N1481" s="74" t="str">
        <f t="shared" si="188"/>
        <v/>
      </c>
      <c r="O1481" s="73" t="str">
        <f t="shared" si="189"/>
        <v/>
      </c>
      <c r="P1481" s="65" t="str">
        <f t="shared" ca="1" si="190"/>
        <v/>
      </c>
      <c r="Q1481" s="2"/>
      <c r="R1481" s="2"/>
      <c r="S1481" s="1" t="str">
        <f t="shared" si="191"/>
        <v/>
      </c>
      <c r="T1481" s="1" t="str">
        <f>IF(OR($C1481="",$D1481&lt;&gt;"Gelir",$L1481=""),"",IFERROR(INDEX(MUSTERILER!$B$7:$B$156,MATCH($S1481,MUSTERILER!$T$7:$T$156,0)),""))</f>
        <v/>
      </c>
      <c r="U1481" s="1" t="str">
        <f>IF($T1481="","",$T1481&amp;"|"&amp;COUNTIFS($T$7:$T1481,$T1481))</f>
        <v/>
      </c>
      <c r="V1481" s="1">
        <f t="shared" si="192"/>
        <v>0</v>
      </c>
      <c r="W1481" s="1" t="str">
        <f t="shared" si="193"/>
        <v/>
      </c>
      <c r="X1481" s="1"/>
      <c r="Y1481" s="1"/>
      <c r="Z1481" s="1"/>
      <c r="AA1481" s="1"/>
      <c r="AB1481" s="1"/>
      <c r="AC1481" s="1"/>
      <c r="AD1481" s="1">
        <f>IF($C1481="",0,SUMPRODUCT((AY_SONU!$O$7:$O$42="Evet")*(AY_SONU!$B$7:$B$42=DATE(YEAR($C1481),MONTH($C1481),1))))</f>
        <v>0</v>
      </c>
      <c r="AE1481" s="1" t="str">
        <f>IF($E1481="","",$E1481&amp;"|"&amp;COUNTIFS($E$7:$E1481,$E1481))</f>
        <v/>
      </c>
    </row>
    <row r="1482" spans="1:31" ht="18" customHeight="1" x14ac:dyDescent="0.3">
      <c r="A1482" s="2"/>
      <c r="B1482" s="65" t="str">
        <f t="shared" si="186"/>
        <v/>
      </c>
      <c r="C1482" s="66"/>
      <c r="D1482" s="60"/>
      <c r="E1482" s="61"/>
      <c r="F1482" s="61"/>
      <c r="G1482" s="67"/>
      <c r="H1482" s="60"/>
      <c r="I1482" s="60"/>
      <c r="J1482" s="61"/>
      <c r="K1482" s="61"/>
      <c r="L1482" s="60"/>
      <c r="M1482" s="74" t="str">
        <f t="shared" si="187"/>
        <v/>
      </c>
      <c r="N1482" s="74" t="str">
        <f t="shared" si="188"/>
        <v/>
      </c>
      <c r="O1482" s="73" t="str">
        <f t="shared" si="189"/>
        <v/>
      </c>
      <c r="P1482" s="65" t="str">
        <f t="shared" ca="1" si="190"/>
        <v/>
      </c>
      <c r="Q1482" s="2"/>
      <c r="R1482" s="2"/>
      <c r="S1482" s="1" t="str">
        <f t="shared" si="191"/>
        <v/>
      </c>
      <c r="T1482" s="1" t="str">
        <f>IF(OR($C1482="",$D1482&lt;&gt;"Gelir",$L1482=""),"",IFERROR(INDEX(MUSTERILER!$B$7:$B$156,MATCH($S1482,MUSTERILER!$T$7:$T$156,0)),""))</f>
        <v/>
      </c>
      <c r="U1482" s="1" t="str">
        <f>IF($T1482="","",$T1482&amp;"|"&amp;COUNTIFS($T$7:$T1482,$T1482))</f>
        <v/>
      </c>
      <c r="V1482" s="1">
        <f t="shared" si="192"/>
        <v>0</v>
      </c>
      <c r="W1482" s="1" t="str">
        <f t="shared" si="193"/>
        <v/>
      </c>
      <c r="X1482" s="1"/>
      <c r="Y1482" s="1"/>
      <c r="Z1482" s="1"/>
      <c r="AA1482" s="1"/>
      <c r="AB1482" s="1"/>
      <c r="AC1482" s="1"/>
      <c r="AD1482" s="1">
        <f>IF($C1482="",0,SUMPRODUCT((AY_SONU!$O$7:$O$42="Evet")*(AY_SONU!$B$7:$B$42=DATE(YEAR($C1482),MONTH($C1482),1))))</f>
        <v>0</v>
      </c>
      <c r="AE1482" s="1" t="str">
        <f>IF($E1482="","",$E1482&amp;"|"&amp;COUNTIFS($E$7:$E1482,$E1482))</f>
        <v/>
      </c>
    </row>
    <row r="1483" spans="1:31" ht="18" customHeight="1" x14ac:dyDescent="0.3">
      <c r="A1483" s="2"/>
      <c r="B1483" s="65" t="str">
        <f t="shared" si="186"/>
        <v/>
      </c>
      <c r="C1483" s="66"/>
      <c r="D1483" s="60"/>
      <c r="E1483" s="61"/>
      <c r="F1483" s="61"/>
      <c r="G1483" s="67"/>
      <c r="H1483" s="60"/>
      <c r="I1483" s="60"/>
      <c r="J1483" s="61"/>
      <c r="K1483" s="61"/>
      <c r="L1483" s="60"/>
      <c r="M1483" s="74" t="str">
        <f t="shared" si="187"/>
        <v/>
      </c>
      <c r="N1483" s="74" t="str">
        <f t="shared" si="188"/>
        <v/>
      </c>
      <c r="O1483" s="73" t="str">
        <f t="shared" si="189"/>
        <v/>
      </c>
      <c r="P1483" s="65" t="str">
        <f t="shared" ca="1" si="190"/>
        <v/>
      </c>
      <c r="Q1483" s="2"/>
      <c r="R1483" s="2"/>
      <c r="S1483" s="1" t="str">
        <f t="shared" si="191"/>
        <v/>
      </c>
      <c r="T1483" s="1" t="str">
        <f>IF(OR($C1483="",$D1483&lt;&gt;"Gelir",$L1483=""),"",IFERROR(INDEX(MUSTERILER!$B$7:$B$156,MATCH($S1483,MUSTERILER!$T$7:$T$156,0)),""))</f>
        <v/>
      </c>
      <c r="U1483" s="1" t="str">
        <f>IF($T1483="","",$T1483&amp;"|"&amp;COUNTIFS($T$7:$T1483,$T1483))</f>
        <v/>
      </c>
      <c r="V1483" s="1">
        <f t="shared" si="192"/>
        <v>0</v>
      </c>
      <c r="W1483" s="1" t="str">
        <f t="shared" si="193"/>
        <v/>
      </c>
      <c r="X1483" s="1"/>
      <c r="Y1483" s="1"/>
      <c r="Z1483" s="1"/>
      <c r="AA1483" s="1"/>
      <c r="AB1483" s="1"/>
      <c r="AC1483" s="1"/>
      <c r="AD1483" s="1">
        <f>IF($C1483="",0,SUMPRODUCT((AY_SONU!$O$7:$O$42="Evet")*(AY_SONU!$B$7:$B$42=DATE(YEAR($C1483),MONTH($C1483),1))))</f>
        <v>0</v>
      </c>
      <c r="AE1483" s="1" t="str">
        <f>IF($E1483="","",$E1483&amp;"|"&amp;COUNTIFS($E$7:$E1483,$E1483))</f>
        <v/>
      </c>
    </row>
    <row r="1484" spans="1:31" ht="18" customHeight="1" x14ac:dyDescent="0.3">
      <c r="A1484" s="2"/>
      <c r="B1484" s="65" t="str">
        <f t="shared" si="186"/>
        <v/>
      </c>
      <c r="C1484" s="66"/>
      <c r="D1484" s="60"/>
      <c r="E1484" s="61"/>
      <c r="F1484" s="61"/>
      <c r="G1484" s="67"/>
      <c r="H1484" s="60"/>
      <c r="I1484" s="60"/>
      <c r="J1484" s="61"/>
      <c r="K1484" s="61"/>
      <c r="L1484" s="60"/>
      <c r="M1484" s="74" t="str">
        <f t="shared" si="187"/>
        <v/>
      </c>
      <c r="N1484" s="74" t="str">
        <f t="shared" si="188"/>
        <v/>
      </c>
      <c r="O1484" s="73" t="str">
        <f t="shared" si="189"/>
        <v/>
      </c>
      <c r="P1484" s="65" t="str">
        <f t="shared" ca="1" si="190"/>
        <v/>
      </c>
      <c r="Q1484" s="2"/>
      <c r="R1484" s="2"/>
      <c r="S1484" s="1" t="str">
        <f t="shared" si="191"/>
        <v/>
      </c>
      <c r="T1484" s="1" t="str">
        <f>IF(OR($C1484="",$D1484&lt;&gt;"Gelir",$L1484=""),"",IFERROR(INDEX(MUSTERILER!$B$7:$B$156,MATCH($S1484,MUSTERILER!$T$7:$T$156,0)),""))</f>
        <v/>
      </c>
      <c r="U1484" s="1" t="str">
        <f>IF($T1484="","",$T1484&amp;"|"&amp;COUNTIFS($T$7:$T1484,$T1484))</f>
        <v/>
      </c>
      <c r="V1484" s="1">
        <f t="shared" si="192"/>
        <v>0</v>
      </c>
      <c r="W1484" s="1" t="str">
        <f t="shared" si="193"/>
        <v/>
      </c>
      <c r="X1484" s="1"/>
      <c r="Y1484" s="1"/>
      <c r="Z1484" s="1"/>
      <c r="AA1484" s="1"/>
      <c r="AB1484" s="1"/>
      <c r="AC1484" s="1"/>
      <c r="AD1484" s="1">
        <f>IF($C1484="",0,SUMPRODUCT((AY_SONU!$O$7:$O$42="Evet")*(AY_SONU!$B$7:$B$42=DATE(YEAR($C1484),MONTH($C1484),1))))</f>
        <v>0</v>
      </c>
      <c r="AE1484" s="1" t="str">
        <f>IF($E1484="","",$E1484&amp;"|"&amp;COUNTIFS($E$7:$E1484,$E1484))</f>
        <v/>
      </c>
    </row>
    <row r="1485" spans="1:31" ht="18" customHeight="1" x14ac:dyDescent="0.3">
      <c r="A1485" s="2"/>
      <c r="B1485" s="65" t="str">
        <f t="shared" si="186"/>
        <v/>
      </c>
      <c r="C1485" s="66"/>
      <c r="D1485" s="60"/>
      <c r="E1485" s="61"/>
      <c r="F1485" s="61"/>
      <c r="G1485" s="67"/>
      <c r="H1485" s="60"/>
      <c r="I1485" s="60"/>
      <c r="J1485" s="61"/>
      <c r="K1485" s="61"/>
      <c r="L1485" s="60"/>
      <c r="M1485" s="74" t="str">
        <f t="shared" si="187"/>
        <v/>
      </c>
      <c r="N1485" s="74" t="str">
        <f t="shared" si="188"/>
        <v/>
      </c>
      <c r="O1485" s="73" t="str">
        <f t="shared" si="189"/>
        <v/>
      </c>
      <c r="P1485" s="65" t="str">
        <f t="shared" ca="1" si="190"/>
        <v/>
      </c>
      <c r="Q1485" s="2"/>
      <c r="R1485" s="2"/>
      <c r="S1485" s="1" t="str">
        <f t="shared" si="191"/>
        <v/>
      </c>
      <c r="T1485" s="1" t="str">
        <f>IF(OR($C1485="",$D1485&lt;&gt;"Gelir",$L1485=""),"",IFERROR(INDEX(MUSTERILER!$B$7:$B$156,MATCH($S1485,MUSTERILER!$T$7:$T$156,0)),""))</f>
        <v/>
      </c>
      <c r="U1485" s="1" t="str">
        <f>IF($T1485="","",$T1485&amp;"|"&amp;COUNTIFS($T$7:$T1485,$T1485))</f>
        <v/>
      </c>
      <c r="V1485" s="1">
        <f t="shared" si="192"/>
        <v>0</v>
      </c>
      <c r="W1485" s="1" t="str">
        <f t="shared" si="193"/>
        <v/>
      </c>
      <c r="X1485" s="1"/>
      <c r="Y1485" s="1"/>
      <c r="Z1485" s="1"/>
      <c r="AA1485" s="1"/>
      <c r="AB1485" s="1"/>
      <c r="AC1485" s="1"/>
      <c r="AD1485" s="1">
        <f>IF($C1485="",0,SUMPRODUCT((AY_SONU!$O$7:$O$42="Evet")*(AY_SONU!$B$7:$B$42=DATE(YEAR($C1485),MONTH($C1485),1))))</f>
        <v>0</v>
      </c>
      <c r="AE1485" s="1" t="str">
        <f>IF($E1485="","",$E1485&amp;"|"&amp;COUNTIFS($E$7:$E1485,$E1485))</f>
        <v/>
      </c>
    </row>
    <row r="1486" spans="1:31" ht="18" customHeight="1" x14ac:dyDescent="0.3">
      <c r="A1486" s="2"/>
      <c r="B1486" s="65" t="str">
        <f t="shared" si="186"/>
        <v/>
      </c>
      <c r="C1486" s="66"/>
      <c r="D1486" s="60"/>
      <c r="E1486" s="61"/>
      <c r="F1486" s="61"/>
      <c r="G1486" s="67"/>
      <c r="H1486" s="60"/>
      <c r="I1486" s="60"/>
      <c r="J1486" s="61"/>
      <c r="K1486" s="61"/>
      <c r="L1486" s="60"/>
      <c r="M1486" s="74" t="str">
        <f t="shared" si="187"/>
        <v/>
      </c>
      <c r="N1486" s="74" t="str">
        <f t="shared" si="188"/>
        <v/>
      </c>
      <c r="O1486" s="73" t="str">
        <f t="shared" si="189"/>
        <v/>
      </c>
      <c r="P1486" s="65" t="str">
        <f t="shared" ca="1" si="190"/>
        <v/>
      </c>
      <c r="Q1486" s="2"/>
      <c r="R1486" s="2"/>
      <c r="S1486" s="1" t="str">
        <f t="shared" si="191"/>
        <v/>
      </c>
      <c r="T1486" s="1" t="str">
        <f>IF(OR($C1486="",$D1486&lt;&gt;"Gelir",$L1486=""),"",IFERROR(INDEX(MUSTERILER!$B$7:$B$156,MATCH($S1486,MUSTERILER!$T$7:$T$156,0)),""))</f>
        <v/>
      </c>
      <c r="U1486" s="1" t="str">
        <f>IF($T1486="","",$T1486&amp;"|"&amp;COUNTIFS($T$7:$T1486,$T1486))</f>
        <v/>
      </c>
      <c r="V1486" s="1">
        <f t="shared" si="192"/>
        <v>0</v>
      </c>
      <c r="W1486" s="1" t="str">
        <f t="shared" si="193"/>
        <v/>
      </c>
      <c r="X1486" s="1"/>
      <c r="Y1486" s="1"/>
      <c r="Z1486" s="1"/>
      <c r="AA1486" s="1"/>
      <c r="AB1486" s="1"/>
      <c r="AC1486" s="1"/>
      <c r="AD1486" s="1">
        <f>IF($C1486="",0,SUMPRODUCT((AY_SONU!$O$7:$O$42="Evet")*(AY_SONU!$B$7:$B$42=DATE(YEAR($C1486),MONTH($C1486),1))))</f>
        <v>0</v>
      </c>
      <c r="AE1486" s="1" t="str">
        <f>IF($E1486="","",$E1486&amp;"|"&amp;COUNTIFS($E$7:$E1486,$E1486))</f>
        <v/>
      </c>
    </row>
    <row r="1487" spans="1:31" ht="18" customHeight="1" x14ac:dyDescent="0.3">
      <c r="A1487" s="2"/>
      <c r="B1487" s="65" t="str">
        <f t="shared" si="186"/>
        <v/>
      </c>
      <c r="C1487" s="66"/>
      <c r="D1487" s="60"/>
      <c r="E1487" s="61"/>
      <c r="F1487" s="61"/>
      <c r="G1487" s="67"/>
      <c r="H1487" s="60"/>
      <c r="I1487" s="60"/>
      <c r="J1487" s="61"/>
      <c r="K1487" s="61"/>
      <c r="L1487" s="60"/>
      <c r="M1487" s="74" t="str">
        <f t="shared" si="187"/>
        <v/>
      </c>
      <c r="N1487" s="74" t="str">
        <f t="shared" si="188"/>
        <v/>
      </c>
      <c r="O1487" s="73" t="str">
        <f t="shared" si="189"/>
        <v/>
      </c>
      <c r="P1487" s="65" t="str">
        <f t="shared" ca="1" si="190"/>
        <v/>
      </c>
      <c r="Q1487" s="2"/>
      <c r="R1487" s="2"/>
      <c r="S1487" s="1" t="str">
        <f t="shared" si="191"/>
        <v/>
      </c>
      <c r="T1487" s="1" t="str">
        <f>IF(OR($C1487="",$D1487&lt;&gt;"Gelir",$L1487=""),"",IFERROR(INDEX(MUSTERILER!$B$7:$B$156,MATCH($S1487,MUSTERILER!$T$7:$T$156,0)),""))</f>
        <v/>
      </c>
      <c r="U1487" s="1" t="str">
        <f>IF($T1487="","",$T1487&amp;"|"&amp;COUNTIFS($T$7:$T1487,$T1487))</f>
        <v/>
      </c>
      <c r="V1487" s="1">
        <f t="shared" si="192"/>
        <v>0</v>
      </c>
      <c r="W1487" s="1" t="str">
        <f t="shared" si="193"/>
        <v/>
      </c>
      <c r="X1487" s="1"/>
      <c r="Y1487" s="1"/>
      <c r="Z1487" s="1"/>
      <c r="AA1487" s="1"/>
      <c r="AB1487" s="1"/>
      <c r="AC1487" s="1"/>
      <c r="AD1487" s="1">
        <f>IF($C1487="",0,SUMPRODUCT((AY_SONU!$O$7:$O$42="Evet")*(AY_SONU!$B$7:$B$42=DATE(YEAR($C1487),MONTH($C1487),1))))</f>
        <v>0</v>
      </c>
      <c r="AE1487" s="1" t="str">
        <f>IF($E1487="","",$E1487&amp;"|"&amp;COUNTIFS($E$7:$E1487,$E1487))</f>
        <v/>
      </c>
    </row>
    <row r="1488" spans="1:31" ht="18" customHeight="1" x14ac:dyDescent="0.3">
      <c r="A1488" s="2"/>
      <c r="B1488" s="65" t="str">
        <f t="shared" si="186"/>
        <v/>
      </c>
      <c r="C1488" s="66"/>
      <c r="D1488" s="60"/>
      <c r="E1488" s="61"/>
      <c r="F1488" s="61"/>
      <c r="G1488" s="67"/>
      <c r="H1488" s="60"/>
      <c r="I1488" s="60"/>
      <c r="J1488" s="61"/>
      <c r="K1488" s="61"/>
      <c r="L1488" s="60"/>
      <c r="M1488" s="74" t="str">
        <f t="shared" si="187"/>
        <v/>
      </c>
      <c r="N1488" s="74" t="str">
        <f t="shared" si="188"/>
        <v/>
      </c>
      <c r="O1488" s="73" t="str">
        <f t="shared" si="189"/>
        <v/>
      </c>
      <c r="P1488" s="65" t="str">
        <f t="shared" ca="1" si="190"/>
        <v/>
      </c>
      <c r="Q1488" s="2"/>
      <c r="R1488" s="2"/>
      <c r="S1488" s="1" t="str">
        <f t="shared" si="191"/>
        <v/>
      </c>
      <c r="T1488" s="1" t="str">
        <f>IF(OR($C1488="",$D1488&lt;&gt;"Gelir",$L1488=""),"",IFERROR(INDEX(MUSTERILER!$B$7:$B$156,MATCH($S1488,MUSTERILER!$T$7:$T$156,0)),""))</f>
        <v/>
      </c>
      <c r="U1488" s="1" t="str">
        <f>IF($T1488="","",$T1488&amp;"|"&amp;COUNTIFS($T$7:$T1488,$T1488))</f>
        <v/>
      </c>
      <c r="V1488" s="1">
        <f t="shared" si="192"/>
        <v>0</v>
      </c>
      <c r="W1488" s="1" t="str">
        <f t="shared" si="193"/>
        <v/>
      </c>
      <c r="X1488" s="1"/>
      <c r="Y1488" s="1"/>
      <c r="Z1488" s="1"/>
      <c r="AA1488" s="1"/>
      <c r="AB1488" s="1"/>
      <c r="AC1488" s="1"/>
      <c r="AD1488" s="1">
        <f>IF($C1488="",0,SUMPRODUCT((AY_SONU!$O$7:$O$42="Evet")*(AY_SONU!$B$7:$B$42=DATE(YEAR($C1488),MONTH($C1488),1))))</f>
        <v>0</v>
      </c>
      <c r="AE1488" s="1" t="str">
        <f>IF($E1488="","",$E1488&amp;"|"&amp;COUNTIFS($E$7:$E1488,$E1488))</f>
        <v/>
      </c>
    </row>
    <row r="1489" spans="1:31" ht="18" customHeight="1" x14ac:dyDescent="0.3">
      <c r="A1489" s="2"/>
      <c r="B1489" s="65" t="str">
        <f t="shared" si="186"/>
        <v/>
      </c>
      <c r="C1489" s="66"/>
      <c r="D1489" s="60"/>
      <c r="E1489" s="61"/>
      <c r="F1489" s="61"/>
      <c r="G1489" s="67"/>
      <c r="H1489" s="60"/>
      <c r="I1489" s="60"/>
      <c r="J1489" s="61"/>
      <c r="K1489" s="61"/>
      <c r="L1489" s="60"/>
      <c r="M1489" s="74" t="str">
        <f t="shared" si="187"/>
        <v/>
      </c>
      <c r="N1489" s="74" t="str">
        <f t="shared" si="188"/>
        <v/>
      </c>
      <c r="O1489" s="73" t="str">
        <f t="shared" si="189"/>
        <v/>
      </c>
      <c r="P1489" s="65" t="str">
        <f t="shared" ca="1" si="190"/>
        <v/>
      </c>
      <c r="Q1489" s="2"/>
      <c r="R1489" s="2"/>
      <c r="S1489" s="1" t="str">
        <f t="shared" si="191"/>
        <v/>
      </c>
      <c r="T1489" s="1" t="str">
        <f>IF(OR($C1489="",$D1489&lt;&gt;"Gelir",$L1489=""),"",IFERROR(INDEX(MUSTERILER!$B$7:$B$156,MATCH($S1489,MUSTERILER!$T$7:$T$156,0)),""))</f>
        <v/>
      </c>
      <c r="U1489" s="1" t="str">
        <f>IF($T1489="","",$T1489&amp;"|"&amp;COUNTIFS($T$7:$T1489,$T1489))</f>
        <v/>
      </c>
      <c r="V1489" s="1">
        <f t="shared" si="192"/>
        <v>0</v>
      </c>
      <c r="W1489" s="1" t="str">
        <f t="shared" si="193"/>
        <v/>
      </c>
      <c r="X1489" s="1"/>
      <c r="Y1489" s="1"/>
      <c r="Z1489" s="1"/>
      <c r="AA1489" s="1"/>
      <c r="AB1489" s="1"/>
      <c r="AC1489" s="1"/>
      <c r="AD1489" s="1">
        <f>IF($C1489="",0,SUMPRODUCT((AY_SONU!$O$7:$O$42="Evet")*(AY_SONU!$B$7:$B$42=DATE(YEAR($C1489),MONTH($C1489),1))))</f>
        <v>0</v>
      </c>
      <c r="AE1489" s="1" t="str">
        <f>IF($E1489="","",$E1489&amp;"|"&amp;COUNTIFS($E$7:$E1489,$E1489))</f>
        <v/>
      </c>
    </row>
    <row r="1490" spans="1:31" ht="18" customHeight="1" x14ac:dyDescent="0.3">
      <c r="A1490" s="2"/>
      <c r="B1490" s="65" t="str">
        <f t="shared" si="186"/>
        <v/>
      </c>
      <c r="C1490" s="66"/>
      <c r="D1490" s="60"/>
      <c r="E1490" s="61"/>
      <c r="F1490" s="61"/>
      <c r="G1490" s="67"/>
      <c r="H1490" s="60"/>
      <c r="I1490" s="60"/>
      <c r="J1490" s="61"/>
      <c r="K1490" s="61"/>
      <c r="L1490" s="60"/>
      <c r="M1490" s="74" t="str">
        <f t="shared" si="187"/>
        <v/>
      </c>
      <c r="N1490" s="74" t="str">
        <f t="shared" si="188"/>
        <v/>
      </c>
      <c r="O1490" s="73" t="str">
        <f t="shared" si="189"/>
        <v/>
      </c>
      <c r="P1490" s="65" t="str">
        <f t="shared" ca="1" si="190"/>
        <v/>
      </c>
      <c r="Q1490" s="2"/>
      <c r="R1490" s="2"/>
      <c r="S1490" s="1" t="str">
        <f t="shared" si="191"/>
        <v/>
      </c>
      <c r="T1490" s="1" t="str">
        <f>IF(OR($C1490="",$D1490&lt;&gt;"Gelir",$L1490=""),"",IFERROR(INDEX(MUSTERILER!$B$7:$B$156,MATCH($S1490,MUSTERILER!$T$7:$T$156,0)),""))</f>
        <v/>
      </c>
      <c r="U1490" s="1" t="str">
        <f>IF($T1490="","",$T1490&amp;"|"&amp;COUNTIFS($T$7:$T1490,$T1490))</f>
        <v/>
      </c>
      <c r="V1490" s="1">
        <f t="shared" si="192"/>
        <v>0</v>
      </c>
      <c r="W1490" s="1" t="str">
        <f t="shared" si="193"/>
        <v/>
      </c>
      <c r="X1490" s="1"/>
      <c r="Y1490" s="1"/>
      <c r="Z1490" s="1"/>
      <c r="AA1490" s="1"/>
      <c r="AB1490" s="1"/>
      <c r="AC1490" s="1"/>
      <c r="AD1490" s="1">
        <f>IF($C1490="",0,SUMPRODUCT((AY_SONU!$O$7:$O$42="Evet")*(AY_SONU!$B$7:$B$42=DATE(YEAR($C1490),MONTH($C1490),1))))</f>
        <v>0</v>
      </c>
      <c r="AE1490" s="1" t="str">
        <f>IF($E1490="","",$E1490&amp;"|"&amp;COUNTIFS($E$7:$E1490,$E1490))</f>
        <v/>
      </c>
    </row>
    <row r="1491" spans="1:31" ht="18" customHeight="1" x14ac:dyDescent="0.3">
      <c r="A1491" s="2"/>
      <c r="B1491" s="65" t="str">
        <f t="shared" si="186"/>
        <v/>
      </c>
      <c r="C1491" s="66"/>
      <c r="D1491" s="60"/>
      <c r="E1491" s="61"/>
      <c r="F1491" s="61"/>
      <c r="G1491" s="67"/>
      <c r="H1491" s="60"/>
      <c r="I1491" s="60"/>
      <c r="J1491" s="61"/>
      <c r="K1491" s="61"/>
      <c r="L1491" s="60"/>
      <c r="M1491" s="74" t="str">
        <f t="shared" si="187"/>
        <v/>
      </c>
      <c r="N1491" s="74" t="str">
        <f t="shared" si="188"/>
        <v/>
      </c>
      <c r="O1491" s="73" t="str">
        <f t="shared" si="189"/>
        <v/>
      </c>
      <c r="P1491" s="65" t="str">
        <f t="shared" ca="1" si="190"/>
        <v/>
      </c>
      <c r="Q1491" s="2"/>
      <c r="R1491" s="2"/>
      <c r="S1491" s="1" t="str">
        <f t="shared" si="191"/>
        <v/>
      </c>
      <c r="T1491" s="1" t="str">
        <f>IF(OR($C1491="",$D1491&lt;&gt;"Gelir",$L1491=""),"",IFERROR(INDEX(MUSTERILER!$B$7:$B$156,MATCH($S1491,MUSTERILER!$T$7:$T$156,0)),""))</f>
        <v/>
      </c>
      <c r="U1491" s="1" t="str">
        <f>IF($T1491="","",$T1491&amp;"|"&amp;COUNTIFS($T$7:$T1491,$T1491))</f>
        <v/>
      </c>
      <c r="V1491" s="1">
        <f t="shared" si="192"/>
        <v>0</v>
      </c>
      <c r="W1491" s="1" t="str">
        <f t="shared" si="193"/>
        <v/>
      </c>
      <c r="X1491" s="1"/>
      <c r="Y1491" s="1"/>
      <c r="Z1491" s="1"/>
      <c r="AA1491" s="1"/>
      <c r="AB1491" s="1"/>
      <c r="AC1491" s="1"/>
      <c r="AD1491" s="1">
        <f>IF($C1491="",0,SUMPRODUCT((AY_SONU!$O$7:$O$42="Evet")*(AY_SONU!$B$7:$B$42=DATE(YEAR($C1491),MONTH($C1491),1))))</f>
        <v>0</v>
      </c>
      <c r="AE1491" s="1" t="str">
        <f>IF($E1491="","",$E1491&amp;"|"&amp;COUNTIFS($E$7:$E1491,$E1491))</f>
        <v/>
      </c>
    </row>
    <row r="1492" spans="1:31" ht="18" customHeight="1" x14ac:dyDescent="0.3">
      <c r="A1492" s="2"/>
      <c r="B1492" s="65" t="str">
        <f t="shared" si="186"/>
        <v/>
      </c>
      <c r="C1492" s="66"/>
      <c r="D1492" s="60"/>
      <c r="E1492" s="61"/>
      <c r="F1492" s="61"/>
      <c r="G1492" s="67"/>
      <c r="H1492" s="60"/>
      <c r="I1492" s="60"/>
      <c r="J1492" s="61"/>
      <c r="K1492" s="61"/>
      <c r="L1492" s="60"/>
      <c r="M1492" s="74" t="str">
        <f t="shared" si="187"/>
        <v/>
      </c>
      <c r="N1492" s="74" t="str">
        <f t="shared" si="188"/>
        <v/>
      </c>
      <c r="O1492" s="73" t="str">
        <f t="shared" si="189"/>
        <v/>
      </c>
      <c r="P1492" s="65" t="str">
        <f t="shared" ca="1" si="190"/>
        <v/>
      </c>
      <c r="Q1492" s="2"/>
      <c r="R1492" s="2"/>
      <c r="S1492" s="1" t="str">
        <f t="shared" si="191"/>
        <v/>
      </c>
      <c r="T1492" s="1" t="str">
        <f>IF(OR($C1492="",$D1492&lt;&gt;"Gelir",$L1492=""),"",IFERROR(INDEX(MUSTERILER!$B$7:$B$156,MATCH($S1492,MUSTERILER!$T$7:$T$156,0)),""))</f>
        <v/>
      </c>
      <c r="U1492" s="1" t="str">
        <f>IF($T1492="","",$T1492&amp;"|"&amp;COUNTIFS($T$7:$T1492,$T1492))</f>
        <v/>
      </c>
      <c r="V1492" s="1">
        <f t="shared" si="192"/>
        <v>0</v>
      </c>
      <c r="W1492" s="1" t="str">
        <f t="shared" si="193"/>
        <v/>
      </c>
      <c r="X1492" s="1"/>
      <c r="Y1492" s="1"/>
      <c r="Z1492" s="1"/>
      <c r="AA1492" s="1"/>
      <c r="AB1492" s="1"/>
      <c r="AC1492" s="1"/>
      <c r="AD1492" s="1">
        <f>IF($C1492="",0,SUMPRODUCT((AY_SONU!$O$7:$O$42="Evet")*(AY_SONU!$B$7:$B$42=DATE(YEAR($C1492),MONTH($C1492),1))))</f>
        <v>0</v>
      </c>
      <c r="AE1492" s="1" t="str">
        <f>IF($E1492="","",$E1492&amp;"|"&amp;COUNTIFS($E$7:$E1492,$E1492))</f>
        <v/>
      </c>
    </row>
    <row r="1493" spans="1:31" ht="18" customHeight="1" x14ac:dyDescent="0.3">
      <c r="A1493" s="2"/>
      <c r="B1493" s="65" t="str">
        <f t="shared" si="186"/>
        <v/>
      </c>
      <c r="C1493" s="66"/>
      <c r="D1493" s="60"/>
      <c r="E1493" s="61"/>
      <c r="F1493" s="61"/>
      <c r="G1493" s="67"/>
      <c r="H1493" s="60"/>
      <c r="I1493" s="60"/>
      <c r="J1493" s="61"/>
      <c r="K1493" s="61"/>
      <c r="L1493" s="60"/>
      <c r="M1493" s="74" t="str">
        <f t="shared" si="187"/>
        <v/>
      </c>
      <c r="N1493" s="74" t="str">
        <f t="shared" si="188"/>
        <v/>
      </c>
      <c r="O1493" s="73" t="str">
        <f t="shared" si="189"/>
        <v/>
      </c>
      <c r="P1493" s="65" t="str">
        <f t="shared" ca="1" si="190"/>
        <v/>
      </c>
      <c r="Q1493" s="2"/>
      <c r="R1493" s="2"/>
      <c r="S1493" s="1" t="str">
        <f t="shared" si="191"/>
        <v/>
      </c>
      <c r="T1493" s="1" t="str">
        <f>IF(OR($C1493="",$D1493&lt;&gt;"Gelir",$L1493=""),"",IFERROR(INDEX(MUSTERILER!$B$7:$B$156,MATCH($S1493,MUSTERILER!$T$7:$T$156,0)),""))</f>
        <v/>
      </c>
      <c r="U1493" s="1" t="str">
        <f>IF($T1493="","",$T1493&amp;"|"&amp;COUNTIFS($T$7:$T1493,$T1493))</f>
        <v/>
      </c>
      <c r="V1493" s="1">
        <f t="shared" si="192"/>
        <v>0</v>
      </c>
      <c r="W1493" s="1" t="str">
        <f t="shared" si="193"/>
        <v/>
      </c>
      <c r="X1493" s="1"/>
      <c r="Y1493" s="1"/>
      <c r="Z1493" s="1"/>
      <c r="AA1493" s="1"/>
      <c r="AB1493" s="1"/>
      <c r="AC1493" s="1"/>
      <c r="AD1493" s="1">
        <f>IF($C1493="",0,SUMPRODUCT((AY_SONU!$O$7:$O$42="Evet")*(AY_SONU!$B$7:$B$42=DATE(YEAR($C1493),MONTH($C1493),1))))</f>
        <v>0</v>
      </c>
      <c r="AE1493" s="1" t="str">
        <f>IF($E1493="","",$E1493&amp;"|"&amp;COUNTIFS($E$7:$E1493,$E1493))</f>
        <v/>
      </c>
    </row>
    <row r="1494" spans="1:31" ht="18" customHeight="1" x14ac:dyDescent="0.3">
      <c r="A1494" s="2"/>
      <c r="B1494" s="65" t="str">
        <f t="shared" si="186"/>
        <v/>
      </c>
      <c r="C1494" s="66"/>
      <c r="D1494" s="60"/>
      <c r="E1494" s="61"/>
      <c r="F1494" s="61"/>
      <c r="G1494" s="67"/>
      <c r="H1494" s="60"/>
      <c r="I1494" s="60"/>
      <c r="J1494" s="61"/>
      <c r="K1494" s="61"/>
      <c r="L1494" s="60"/>
      <c r="M1494" s="74" t="str">
        <f t="shared" si="187"/>
        <v/>
      </c>
      <c r="N1494" s="74" t="str">
        <f t="shared" si="188"/>
        <v/>
      </c>
      <c r="O1494" s="73" t="str">
        <f t="shared" si="189"/>
        <v/>
      </c>
      <c r="P1494" s="65" t="str">
        <f t="shared" ca="1" si="190"/>
        <v/>
      </c>
      <c r="Q1494" s="2"/>
      <c r="R1494" s="2"/>
      <c r="S1494" s="1" t="str">
        <f t="shared" si="191"/>
        <v/>
      </c>
      <c r="T1494" s="1" t="str">
        <f>IF(OR($C1494="",$D1494&lt;&gt;"Gelir",$L1494=""),"",IFERROR(INDEX(MUSTERILER!$B$7:$B$156,MATCH($S1494,MUSTERILER!$T$7:$T$156,0)),""))</f>
        <v/>
      </c>
      <c r="U1494" s="1" t="str">
        <f>IF($T1494="","",$T1494&amp;"|"&amp;COUNTIFS($T$7:$T1494,$T1494))</f>
        <v/>
      </c>
      <c r="V1494" s="1">
        <f t="shared" si="192"/>
        <v>0</v>
      </c>
      <c r="W1494" s="1" t="str">
        <f t="shared" si="193"/>
        <v/>
      </c>
      <c r="X1494" s="1"/>
      <c r="Y1494" s="1"/>
      <c r="Z1494" s="1"/>
      <c r="AA1494" s="1"/>
      <c r="AB1494" s="1"/>
      <c r="AC1494" s="1"/>
      <c r="AD1494" s="1">
        <f>IF($C1494="",0,SUMPRODUCT((AY_SONU!$O$7:$O$42="Evet")*(AY_SONU!$B$7:$B$42=DATE(YEAR($C1494),MONTH($C1494),1))))</f>
        <v>0</v>
      </c>
      <c r="AE1494" s="1" t="str">
        <f>IF($E1494="","",$E1494&amp;"|"&amp;COUNTIFS($E$7:$E1494,$E1494))</f>
        <v/>
      </c>
    </row>
    <row r="1495" spans="1:31" ht="18" customHeight="1" x14ac:dyDescent="0.3">
      <c r="A1495" s="2"/>
      <c r="B1495" s="65" t="str">
        <f t="shared" si="186"/>
        <v/>
      </c>
      <c r="C1495" s="66"/>
      <c r="D1495" s="60"/>
      <c r="E1495" s="61"/>
      <c r="F1495" s="61"/>
      <c r="G1495" s="67"/>
      <c r="H1495" s="60"/>
      <c r="I1495" s="60"/>
      <c r="J1495" s="61"/>
      <c r="K1495" s="61"/>
      <c r="L1495" s="60"/>
      <c r="M1495" s="74" t="str">
        <f t="shared" si="187"/>
        <v/>
      </c>
      <c r="N1495" s="74" t="str">
        <f t="shared" si="188"/>
        <v/>
      </c>
      <c r="O1495" s="73" t="str">
        <f t="shared" si="189"/>
        <v/>
      </c>
      <c r="P1495" s="65" t="str">
        <f t="shared" ca="1" si="190"/>
        <v/>
      </c>
      <c r="Q1495" s="2"/>
      <c r="R1495" s="2"/>
      <c r="S1495" s="1" t="str">
        <f t="shared" si="191"/>
        <v/>
      </c>
      <c r="T1495" s="1" t="str">
        <f>IF(OR($C1495="",$D1495&lt;&gt;"Gelir",$L1495=""),"",IFERROR(INDEX(MUSTERILER!$B$7:$B$156,MATCH($S1495,MUSTERILER!$T$7:$T$156,0)),""))</f>
        <v/>
      </c>
      <c r="U1495" s="1" t="str">
        <f>IF($T1495="","",$T1495&amp;"|"&amp;COUNTIFS($T$7:$T1495,$T1495))</f>
        <v/>
      </c>
      <c r="V1495" s="1">
        <f t="shared" si="192"/>
        <v>0</v>
      </c>
      <c r="W1495" s="1" t="str">
        <f t="shared" si="193"/>
        <v/>
      </c>
      <c r="X1495" s="1"/>
      <c r="Y1495" s="1"/>
      <c r="Z1495" s="1"/>
      <c r="AA1495" s="1"/>
      <c r="AB1495" s="1"/>
      <c r="AC1495" s="1"/>
      <c r="AD1495" s="1">
        <f>IF($C1495="",0,SUMPRODUCT((AY_SONU!$O$7:$O$42="Evet")*(AY_SONU!$B$7:$B$42=DATE(YEAR($C1495),MONTH($C1495),1))))</f>
        <v>0</v>
      </c>
      <c r="AE1495" s="1" t="str">
        <f>IF($E1495="","",$E1495&amp;"|"&amp;COUNTIFS($E$7:$E1495,$E1495))</f>
        <v/>
      </c>
    </row>
    <row r="1496" spans="1:31" ht="18" customHeight="1" x14ac:dyDescent="0.3">
      <c r="A1496" s="2"/>
      <c r="B1496" s="65" t="str">
        <f t="shared" si="186"/>
        <v/>
      </c>
      <c r="C1496" s="66"/>
      <c r="D1496" s="60"/>
      <c r="E1496" s="61"/>
      <c r="F1496" s="61"/>
      <c r="G1496" s="67"/>
      <c r="H1496" s="60"/>
      <c r="I1496" s="60"/>
      <c r="J1496" s="61"/>
      <c r="K1496" s="61"/>
      <c r="L1496" s="60"/>
      <c r="M1496" s="74" t="str">
        <f t="shared" si="187"/>
        <v/>
      </c>
      <c r="N1496" s="74" t="str">
        <f t="shared" si="188"/>
        <v/>
      </c>
      <c r="O1496" s="73" t="str">
        <f t="shared" si="189"/>
        <v/>
      </c>
      <c r="P1496" s="65" t="str">
        <f t="shared" ca="1" si="190"/>
        <v/>
      </c>
      <c r="Q1496" s="2"/>
      <c r="R1496" s="2"/>
      <c r="S1496" s="1" t="str">
        <f t="shared" si="191"/>
        <v/>
      </c>
      <c r="T1496" s="1" t="str">
        <f>IF(OR($C1496="",$D1496&lt;&gt;"Gelir",$L1496=""),"",IFERROR(INDEX(MUSTERILER!$B$7:$B$156,MATCH($S1496,MUSTERILER!$T$7:$T$156,0)),""))</f>
        <v/>
      </c>
      <c r="U1496" s="1" t="str">
        <f>IF($T1496="","",$T1496&amp;"|"&amp;COUNTIFS($T$7:$T1496,$T1496))</f>
        <v/>
      </c>
      <c r="V1496" s="1">
        <f t="shared" si="192"/>
        <v>0</v>
      </c>
      <c r="W1496" s="1" t="str">
        <f t="shared" si="193"/>
        <v/>
      </c>
      <c r="X1496" s="1"/>
      <c r="Y1496" s="1"/>
      <c r="Z1496" s="1"/>
      <c r="AA1496" s="1"/>
      <c r="AB1496" s="1"/>
      <c r="AC1496" s="1"/>
      <c r="AD1496" s="1">
        <f>IF($C1496="",0,SUMPRODUCT((AY_SONU!$O$7:$O$42="Evet")*(AY_SONU!$B$7:$B$42=DATE(YEAR($C1496),MONTH($C1496),1))))</f>
        <v>0</v>
      </c>
      <c r="AE1496" s="1" t="str">
        <f>IF($E1496="","",$E1496&amp;"|"&amp;COUNTIFS($E$7:$E1496,$E1496))</f>
        <v/>
      </c>
    </row>
    <row r="1497" spans="1:31" ht="18" customHeight="1" x14ac:dyDescent="0.3">
      <c r="A1497" s="2"/>
      <c r="B1497" s="65" t="str">
        <f t="shared" si="186"/>
        <v/>
      </c>
      <c r="C1497" s="66"/>
      <c r="D1497" s="60"/>
      <c r="E1497" s="61"/>
      <c r="F1497" s="61"/>
      <c r="G1497" s="67"/>
      <c r="H1497" s="60"/>
      <c r="I1497" s="60"/>
      <c r="J1497" s="61"/>
      <c r="K1497" s="61"/>
      <c r="L1497" s="60"/>
      <c r="M1497" s="74" t="str">
        <f t="shared" si="187"/>
        <v/>
      </c>
      <c r="N1497" s="74" t="str">
        <f t="shared" si="188"/>
        <v/>
      </c>
      <c r="O1497" s="73" t="str">
        <f t="shared" si="189"/>
        <v/>
      </c>
      <c r="P1497" s="65" t="str">
        <f t="shared" ca="1" si="190"/>
        <v/>
      </c>
      <c r="Q1497" s="2"/>
      <c r="R1497" s="2"/>
      <c r="S1497" s="1" t="str">
        <f t="shared" si="191"/>
        <v/>
      </c>
      <c r="T1497" s="1" t="str">
        <f>IF(OR($C1497="",$D1497&lt;&gt;"Gelir",$L1497=""),"",IFERROR(INDEX(MUSTERILER!$B$7:$B$156,MATCH($S1497,MUSTERILER!$T$7:$T$156,0)),""))</f>
        <v/>
      </c>
      <c r="U1497" s="1" t="str">
        <f>IF($T1497="","",$T1497&amp;"|"&amp;COUNTIFS($T$7:$T1497,$T1497))</f>
        <v/>
      </c>
      <c r="V1497" s="1">
        <f t="shared" si="192"/>
        <v>0</v>
      </c>
      <c r="W1497" s="1" t="str">
        <f t="shared" si="193"/>
        <v/>
      </c>
      <c r="X1497" s="1"/>
      <c r="Y1497" s="1"/>
      <c r="Z1497" s="1"/>
      <c r="AA1497" s="1"/>
      <c r="AB1497" s="1"/>
      <c r="AC1497" s="1"/>
      <c r="AD1497" s="1">
        <f>IF($C1497="",0,SUMPRODUCT((AY_SONU!$O$7:$O$42="Evet")*(AY_SONU!$B$7:$B$42=DATE(YEAR($C1497),MONTH($C1497),1))))</f>
        <v>0</v>
      </c>
      <c r="AE1497" s="1" t="str">
        <f>IF($E1497="","",$E1497&amp;"|"&amp;COUNTIFS($E$7:$E1497,$E1497))</f>
        <v/>
      </c>
    </row>
    <row r="1498" spans="1:31" ht="18" customHeight="1" x14ac:dyDescent="0.3">
      <c r="A1498" s="2"/>
      <c r="B1498" s="65" t="str">
        <f t="shared" si="186"/>
        <v/>
      </c>
      <c r="C1498" s="66"/>
      <c r="D1498" s="60"/>
      <c r="E1498" s="61"/>
      <c r="F1498" s="61"/>
      <c r="G1498" s="67"/>
      <c r="H1498" s="60"/>
      <c r="I1498" s="60"/>
      <c r="J1498" s="61"/>
      <c r="K1498" s="61"/>
      <c r="L1498" s="60"/>
      <c r="M1498" s="74" t="str">
        <f t="shared" si="187"/>
        <v/>
      </c>
      <c r="N1498" s="74" t="str">
        <f t="shared" si="188"/>
        <v/>
      </c>
      <c r="O1498" s="73" t="str">
        <f t="shared" si="189"/>
        <v/>
      </c>
      <c r="P1498" s="65" t="str">
        <f t="shared" ca="1" si="190"/>
        <v/>
      </c>
      <c r="Q1498" s="2"/>
      <c r="R1498" s="2"/>
      <c r="S1498" s="1" t="str">
        <f t="shared" si="191"/>
        <v/>
      </c>
      <c r="T1498" s="1" t="str">
        <f>IF(OR($C1498="",$D1498&lt;&gt;"Gelir",$L1498=""),"",IFERROR(INDEX(MUSTERILER!$B$7:$B$156,MATCH($S1498,MUSTERILER!$T$7:$T$156,0)),""))</f>
        <v/>
      </c>
      <c r="U1498" s="1" t="str">
        <f>IF($T1498="","",$T1498&amp;"|"&amp;COUNTIFS($T$7:$T1498,$T1498))</f>
        <v/>
      </c>
      <c r="V1498" s="1">
        <f t="shared" si="192"/>
        <v>0</v>
      </c>
      <c r="W1498" s="1" t="str">
        <f t="shared" si="193"/>
        <v/>
      </c>
      <c r="X1498" s="1"/>
      <c r="Y1498" s="1"/>
      <c r="Z1498" s="1"/>
      <c r="AA1498" s="1"/>
      <c r="AB1498" s="1"/>
      <c r="AC1498" s="1"/>
      <c r="AD1498" s="1">
        <f>IF($C1498="",0,SUMPRODUCT((AY_SONU!$O$7:$O$42="Evet")*(AY_SONU!$B$7:$B$42=DATE(YEAR($C1498),MONTH($C1498),1))))</f>
        <v>0</v>
      </c>
      <c r="AE1498" s="1" t="str">
        <f>IF($E1498="","",$E1498&amp;"|"&amp;COUNTIFS($E$7:$E1498,$E1498))</f>
        <v/>
      </c>
    </row>
    <row r="1499" spans="1:31" ht="18" customHeight="1" x14ac:dyDescent="0.3">
      <c r="A1499" s="2"/>
      <c r="B1499" s="65" t="str">
        <f t="shared" si="186"/>
        <v/>
      </c>
      <c r="C1499" s="66"/>
      <c r="D1499" s="60"/>
      <c r="E1499" s="61"/>
      <c r="F1499" s="61"/>
      <c r="G1499" s="67"/>
      <c r="H1499" s="60"/>
      <c r="I1499" s="60"/>
      <c r="J1499" s="61"/>
      <c r="K1499" s="61"/>
      <c r="L1499" s="60"/>
      <c r="M1499" s="74" t="str">
        <f t="shared" si="187"/>
        <v/>
      </c>
      <c r="N1499" s="74" t="str">
        <f t="shared" si="188"/>
        <v/>
      </c>
      <c r="O1499" s="73" t="str">
        <f t="shared" si="189"/>
        <v/>
      </c>
      <c r="P1499" s="65" t="str">
        <f t="shared" ca="1" si="190"/>
        <v/>
      </c>
      <c r="Q1499" s="2"/>
      <c r="R1499" s="2"/>
      <c r="S1499" s="1" t="str">
        <f t="shared" si="191"/>
        <v/>
      </c>
      <c r="T1499" s="1" t="str">
        <f>IF(OR($C1499="",$D1499&lt;&gt;"Gelir",$L1499=""),"",IFERROR(INDEX(MUSTERILER!$B$7:$B$156,MATCH($S1499,MUSTERILER!$T$7:$T$156,0)),""))</f>
        <v/>
      </c>
      <c r="U1499" s="1" t="str">
        <f>IF($T1499="","",$T1499&amp;"|"&amp;COUNTIFS($T$7:$T1499,$T1499))</f>
        <v/>
      </c>
      <c r="V1499" s="1">
        <f t="shared" si="192"/>
        <v>0</v>
      </c>
      <c r="W1499" s="1" t="str">
        <f t="shared" si="193"/>
        <v/>
      </c>
      <c r="X1499" s="1"/>
      <c r="Y1499" s="1"/>
      <c r="Z1499" s="1"/>
      <c r="AA1499" s="1"/>
      <c r="AB1499" s="1"/>
      <c r="AC1499" s="1"/>
      <c r="AD1499" s="1">
        <f>IF($C1499="",0,SUMPRODUCT((AY_SONU!$O$7:$O$42="Evet")*(AY_SONU!$B$7:$B$42=DATE(YEAR($C1499),MONTH($C1499),1))))</f>
        <v>0</v>
      </c>
      <c r="AE1499" s="1" t="str">
        <f>IF($E1499="","",$E1499&amp;"|"&amp;COUNTIFS($E$7:$E1499,$E1499))</f>
        <v/>
      </c>
    </row>
    <row r="1500" spans="1:31" ht="18" customHeight="1" x14ac:dyDescent="0.3">
      <c r="A1500" s="2"/>
      <c r="B1500" s="65" t="str">
        <f t="shared" si="186"/>
        <v/>
      </c>
      <c r="C1500" s="66"/>
      <c r="D1500" s="60"/>
      <c r="E1500" s="61"/>
      <c r="F1500" s="61"/>
      <c r="G1500" s="67"/>
      <c r="H1500" s="60"/>
      <c r="I1500" s="60"/>
      <c r="J1500" s="61"/>
      <c r="K1500" s="61"/>
      <c r="L1500" s="60"/>
      <c r="M1500" s="74" t="str">
        <f t="shared" si="187"/>
        <v/>
      </c>
      <c r="N1500" s="74" t="str">
        <f t="shared" si="188"/>
        <v/>
      </c>
      <c r="O1500" s="73" t="str">
        <f t="shared" si="189"/>
        <v/>
      </c>
      <c r="P1500" s="65" t="str">
        <f t="shared" ca="1" si="190"/>
        <v/>
      </c>
      <c r="Q1500" s="2"/>
      <c r="R1500" s="2"/>
      <c r="S1500" s="1" t="str">
        <f t="shared" si="191"/>
        <v/>
      </c>
      <c r="T1500" s="1" t="str">
        <f>IF(OR($C1500="",$D1500&lt;&gt;"Gelir",$L1500=""),"",IFERROR(INDEX(MUSTERILER!$B$7:$B$156,MATCH($S1500,MUSTERILER!$T$7:$T$156,0)),""))</f>
        <v/>
      </c>
      <c r="U1500" s="1" t="str">
        <f>IF($T1500="","",$T1500&amp;"|"&amp;COUNTIFS($T$7:$T1500,$T1500))</f>
        <v/>
      </c>
      <c r="V1500" s="1">
        <f t="shared" si="192"/>
        <v>0</v>
      </c>
      <c r="W1500" s="1" t="str">
        <f t="shared" si="193"/>
        <v/>
      </c>
      <c r="X1500" s="1"/>
      <c r="Y1500" s="1"/>
      <c r="Z1500" s="1"/>
      <c r="AA1500" s="1"/>
      <c r="AB1500" s="1"/>
      <c r="AC1500" s="1"/>
      <c r="AD1500" s="1">
        <f>IF($C1500="",0,SUMPRODUCT((AY_SONU!$O$7:$O$42="Evet")*(AY_SONU!$B$7:$B$42=DATE(YEAR($C1500),MONTH($C1500),1))))</f>
        <v>0</v>
      </c>
      <c r="AE1500" s="1" t="str">
        <f>IF($E1500="","",$E1500&amp;"|"&amp;COUNTIFS($E$7:$E1500,$E1500))</f>
        <v/>
      </c>
    </row>
    <row r="1501" spans="1:31" ht="18" customHeight="1" x14ac:dyDescent="0.3">
      <c r="A1501" s="2"/>
      <c r="B1501" s="65" t="str">
        <f t="shared" si="186"/>
        <v/>
      </c>
      <c r="C1501" s="66"/>
      <c r="D1501" s="60"/>
      <c r="E1501" s="61"/>
      <c r="F1501" s="61"/>
      <c r="G1501" s="67"/>
      <c r="H1501" s="60"/>
      <c r="I1501" s="60"/>
      <c r="J1501" s="61"/>
      <c r="K1501" s="61"/>
      <c r="L1501" s="60"/>
      <c r="M1501" s="74" t="str">
        <f t="shared" si="187"/>
        <v/>
      </c>
      <c r="N1501" s="74" t="str">
        <f t="shared" si="188"/>
        <v/>
      </c>
      <c r="O1501" s="73" t="str">
        <f t="shared" si="189"/>
        <v/>
      </c>
      <c r="P1501" s="65" t="str">
        <f t="shared" ca="1" si="190"/>
        <v/>
      </c>
      <c r="Q1501" s="2"/>
      <c r="R1501" s="2"/>
      <c r="S1501" s="1" t="str">
        <f t="shared" si="191"/>
        <v/>
      </c>
      <c r="T1501" s="1" t="str">
        <f>IF(OR($C1501="",$D1501&lt;&gt;"Gelir",$L1501=""),"",IFERROR(INDEX(MUSTERILER!$B$7:$B$156,MATCH($S1501,MUSTERILER!$T$7:$T$156,0)),""))</f>
        <v/>
      </c>
      <c r="U1501" s="1" t="str">
        <f>IF($T1501="","",$T1501&amp;"|"&amp;COUNTIFS($T$7:$T1501,$T1501))</f>
        <v/>
      </c>
      <c r="V1501" s="1">
        <f t="shared" si="192"/>
        <v>0</v>
      </c>
      <c r="W1501" s="1" t="str">
        <f t="shared" si="193"/>
        <v/>
      </c>
      <c r="X1501" s="1"/>
      <c r="Y1501" s="1"/>
      <c r="Z1501" s="1"/>
      <c r="AA1501" s="1"/>
      <c r="AB1501" s="1"/>
      <c r="AC1501" s="1"/>
      <c r="AD1501" s="1">
        <f>IF($C1501="",0,SUMPRODUCT((AY_SONU!$O$7:$O$42="Evet")*(AY_SONU!$B$7:$B$42=DATE(YEAR($C1501),MONTH($C1501),1))))</f>
        <v>0</v>
      </c>
      <c r="AE1501" s="1" t="str">
        <f>IF($E1501="","",$E1501&amp;"|"&amp;COUNTIFS($E$7:$E1501,$E1501))</f>
        <v/>
      </c>
    </row>
    <row r="1502" spans="1:31" ht="18" customHeight="1" x14ac:dyDescent="0.3">
      <c r="A1502" s="2"/>
      <c r="B1502" s="65" t="str">
        <f t="shared" si="186"/>
        <v/>
      </c>
      <c r="C1502" s="66"/>
      <c r="D1502" s="60"/>
      <c r="E1502" s="61"/>
      <c r="F1502" s="61"/>
      <c r="G1502" s="67"/>
      <c r="H1502" s="60"/>
      <c r="I1502" s="60"/>
      <c r="J1502" s="61"/>
      <c r="K1502" s="61"/>
      <c r="L1502" s="60"/>
      <c r="M1502" s="74" t="str">
        <f t="shared" si="187"/>
        <v/>
      </c>
      <c r="N1502" s="74" t="str">
        <f t="shared" si="188"/>
        <v/>
      </c>
      <c r="O1502" s="73" t="str">
        <f t="shared" si="189"/>
        <v/>
      </c>
      <c r="P1502" s="65" t="str">
        <f t="shared" ca="1" si="190"/>
        <v/>
      </c>
      <c r="Q1502" s="2"/>
      <c r="R1502" s="2"/>
      <c r="S1502" s="1" t="str">
        <f t="shared" si="191"/>
        <v/>
      </c>
      <c r="T1502" s="1" t="str">
        <f>IF(OR($C1502="",$D1502&lt;&gt;"Gelir",$L1502=""),"",IFERROR(INDEX(MUSTERILER!$B$7:$B$156,MATCH($S1502,MUSTERILER!$T$7:$T$156,0)),""))</f>
        <v/>
      </c>
      <c r="U1502" s="1" t="str">
        <f>IF($T1502="","",$T1502&amp;"|"&amp;COUNTIFS($T$7:$T1502,$T1502))</f>
        <v/>
      </c>
      <c r="V1502" s="1">
        <f t="shared" si="192"/>
        <v>0</v>
      </c>
      <c r="W1502" s="1" t="str">
        <f t="shared" si="193"/>
        <v/>
      </c>
      <c r="X1502" s="1"/>
      <c r="Y1502" s="1"/>
      <c r="Z1502" s="1"/>
      <c r="AA1502" s="1"/>
      <c r="AB1502" s="1"/>
      <c r="AC1502" s="1"/>
      <c r="AD1502" s="1">
        <f>IF($C1502="",0,SUMPRODUCT((AY_SONU!$O$7:$O$42="Evet")*(AY_SONU!$B$7:$B$42=DATE(YEAR($C1502),MONTH($C1502),1))))</f>
        <v>0</v>
      </c>
      <c r="AE1502" s="1" t="str">
        <f>IF($E1502="","",$E1502&amp;"|"&amp;COUNTIFS($E$7:$E1502,$E1502))</f>
        <v/>
      </c>
    </row>
    <row r="1503" spans="1:31" ht="18" customHeight="1" x14ac:dyDescent="0.3">
      <c r="A1503" s="2"/>
      <c r="B1503" s="65" t="str">
        <f t="shared" si="186"/>
        <v/>
      </c>
      <c r="C1503" s="66"/>
      <c r="D1503" s="60"/>
      <c r="E1503" s="61"/>
      <c r="F1503" s="61"/>
      <c r="G1503" s="67"/>
      <c r="H1503" s="60"/>
      <c r="I1503" s="60"/>
      <c r="J1503" s="61"/>
      <c r="K1503" s="61"/>
      <c r="L1503" s="60"/>
      <c r="M1503" s="74" t="str">
        <f t="shared" si="187"/>
        <v/>
      </c>
      <c r="N1503" s="74" t="str">
        <f t="shared" si="188"/>
        <v/>
      </c>
      <c r="O1503" s="73" t="str">
        <f t="shared" si="189"/>
        <v/>
      </c>
      <c r="P1503" s="65" t="str">
        <f t="shared" ca="1" si="190"/>
        <v/>
      </c>
      <c r="Q1503" s="2"/>
      <c r="R1503" s="2"/>
      <c r="S1503" s="1" t="str">
        <f t="shared" si="191"/>
        <v/>
      </c>
      <c r="T1503" s="1" t="str">
        <f>IF(OR($C1503="",$D1503&lt;&gt;"Gelir",$L1503=""),"",IFERROR(INDEX(MUSTERILER!$B$7:$B$156,MATCH($S1503,MUSTERILER!$T$7:$T$156,0)),""))</f>
        <v/>
      </c>
      <c r="U1503" s="1" t="str">
        <f>IF($T1503="","",$T1503&amp;"|"&amp;COUNTIFS($T$7:$T1503,$T1503))</f>
        <v/>
      </c>
      <c r="V1503" s="1">
        <f t="shared" si="192"/>
        <v>0</v>
      </c>
      <c r="W1503" s="1" t="str">
        <f t="shared" si="193"/>
        <v/>
      </c>
      <c r="X1503" s="1"/>
      <c r="Y1503" s="1"/>
      <c r="Z1503" s="1"/>
      <c r="AA1503" s="1"/>
      <c r="AB1503" s="1"/>
      <c r="AC1503" s="1"/>
      <c r="AD1503" s="1">
        <f>IF($C1503="",0,SUMPRODUCT((AY_SONU!$O$7:$O$42="Evet")*(AY_SONU!$B$7:$B$42=DATE(YEAR($C1503),MONTH($C1503),1))))</f>
        <v>0</v>
      </c>
      <c r="AE1503" s="1" t="str">
        <f>IF($E1503="","",$E1503&amp;"|"&amp;COUNTIFS($E$7:$E1503,$E1503))</f>
        <v/>
      </c>
    </row>
    <row r="1504" spans="1:31" ht="18" customHeight="1" x14ac:dyDescent="0.3">
      <c r="A1504" s="2"/>
      <c r="B1504" s="65" t="str">
        <f t="shared" si="186"/>
        <v/>
      </c>
      <c r="C1504" s="66"/>
      <c r="D1504" s="60"/>
      <c r="E1504" s="61"/>
      <c r="F1504" s="61"/>
      <c r="G1504" s="67"/>
      <c r="H1504" s="60"/>
      <c r="I1504" s="60"/>
      <c r="J1504" s="61"/>
      <c r="K1504" s="61"/>
      <c r="L1504" s="60"/>
      <c r="M1504" s="74" t="str">
        <f t="shared" si="187"/>
        <v/>
      </c>
      <c r="N1504" s="74" t="str">
        <f t="shared" si="188"/>
        <v/>
      </c>
      <c r="O1504" s="73" t="str">
        <f t="shared" si="189"/>
        <v/>
      </c>
      <c r="P1504" s="65" t="str">
        <f t="shared" ca="1" si="190"/>
        <v/>
      </c>
      <c r="Q1504" s="2"/>
      <c r="R1504" s="2"/>
      <c r="S1504" s="1" t="str">
        <f t="shared" si="191"/>
        <v/>
      </c>
      <c r="T1504" s="1" t="str">
        <f>IF(OR($C1504="",$D1504&lt;&gt;"Gelir",$L1504=""),"",IFERROR(INDEX(MUSTERILER!$B$7:$B$156,MATCH($S1504,MUSTERILER!$T$7:$T$156,0)),""))</f>
        <v/>
      </c>
      <c r="U1504" s="1" t="str">
        <f>IF($T1504="","",$T1504&amp;"|"&amp;COUNTIFS($T$7:$T1504,$T1504))</f>
        <v/>
      </c>
      <c r="V1504" s="1">
        <f t="shared" si="192"/>
        <v>0</v>
      </c>
      <c r="W1504" s="1" t="str">
        <f t="shared" si="193"/>
        <v/>
      </c>
      <c r="X1504" s="1"/>
      <c r="Y1504" s="1"/>
      <c r="Z1504" s="1"/>
      <c r="AA1504" s="1"/>
      <c r="AB1504" s="1"/>
      <c r="AC1504" s="1"/>
      <c r="AD1504" s="1">
        <f>IF($C1504="",0,SUMPRODUCT((AY_SONU!$O$7:$O$42="Evet")*(AY_SONU!$B$7:$B$42=DATE(YEAR($C1504),MONTH($C1504),1))))</f>
        <v>0</v>
      </c>
      <c r="AE1504" s="1" t="str">
        <f>IF($E1504="","",$E1504&amp;"|"&amp;COUNTIFS($E$7:$E1504,$E1504))</f>
        <v/>
      </c>
    </row>
    <row r="1505" spans="1:31" ht="18" customHeight="1" x14ac:dyDescent="0.3">
      <c r="A1505" s="2"/>
      <c r="B1505" s="65" t="str">
        <f t="shared" si="186"/>
        <v/>
      </c>
      <c r="C1505" s="66"/>
      <c r="D1505" s="60"/>
      <c r="E1505" s="61"/>
      <c r="F1505" s="61"/>
      <c r="G1505" s="67"/>
      <c r="H1505" s="60"/>
      <c r="I1505" s="60"/>
      <c r="J1505" s="61"/>
      <c r="K1505" s="61"/>
      <c r="L1505" s="60"/>
      <c r="M1505" s="74" t="str">
        <f t="shared" si="187"/>
        <v/>
      </c>
      <c r="N1505" s="74" t="str">
        <f t="shared" si="188"/>
        <v/>
      </c>
      <c r="O1505" s="73" t="str">
        <f t="shared" si="189"/>
        <v/>
      </c>
      <c r="P1505" s="65" t="str">
        <f t="shared" ca="1" si="190"/>
        <v/>
      </c>
      <c r="Q1505" s="2"/>
      <c r="R1505" s="2"/>
      <c r="S1505" s="1" t="str">
        <f t="shared" si="191"/>
        <v/>
      </c>
      <c r="T1505" s="1" t="str">
        <f>IF(OR($C1505="",$D1505&lt;&gt;"Gelir",$L1505=""),"",IFERROR(INDEX(MUSTERILER!$B$7:$B$156,MATCH($S1505,MUSTERILER!$T$7:$T$156,0)),""))</f>
        <v/>
      </c>
      <c r="U1505" s="1" t="str">
        <f>IF($T1505="","",$T1505&amp;"|"&amp;COUNTIFS($T$7:$T1505,$T1505))</f>
        <v/>
      </c>
      <c r="V1505" s="1">
        <f t="shared" si="192"/>
        <v>0</v>
      </c>
      <c r="W1505" s="1" t="str">
        <f t="shared" si="193"/>
        <v/>
      </c>
      <c r="X1505" s="1"/>
      <c r="Y1505" s="1"/>
      <c r="Z1505" s="1"/>
      <c r="AA1505" s="1"/>
      <c r="AB1505" s="1"/>
      <c r="AC1505" s="1"/>
      <c r="AD1505" s="1">
        <f>IF($C1505="",0,SUMPRODUCT((AY_SONU!$O$7:$O$42="Evet")*(AY_SONU!$B$7:$B$42=DATE(YEAR($C1505),MONTH($C1505),1))))</f>
        <v>0</v>
      </c>
      <c r="AE1505" s="1" t="str">
        <f>IF($E1505="","",$E1505&amp;"|"&amp;COUNTIFS($E$7:$E1505,$E1505))</f>
        <v/>
      </c>
    </row>
    <row r="1506" spans="1:31" ht="18" customHeight="1" x14ac:dyDescent="0.3">
      <c r="A1506" s="2"/>
      <c r="B1506" s="65" t="str">
        <f t="shared" si="186"/>
        <v/>
      </c>
      <c r="C1506" s="66"/>
      <c r="D1506" s="60"/>
      <c r="E1506" s="61"/>
      <c r="F1506" s="61"/>
      <c r="G1506" s="67"/>
      <c r="H1506" s="60"/>
      <c r="I1506" s="60"/>
      <c r="J1506" s="61"/>
      <c r="K1506" s="61"/>
      <c r="L1506" s="60"/>
      <c r="M1506" s="74" t="str">
        <f t="shared" si="187"/>
        <v/>
      </c>
      <c r="N1506" s="74" t="str">
        <f t="shared" si="188"/>
        <v/>
      </c>
      <c r="O1506" s="73" t="str">
        <f t="shared" si="189"/>
        <v/>
      </c>
      <c r="P1506" s="65" t="str">
        <f t="shared" ca="1" si="190"/>
        <v/>
      </c>
      <c r="Q1506" s="2"/>
      <c r="R1506" s="2"/>
      <c r="S1506" s="1" t="str">
        <f t="shared" si="191"/>
        <v/>
      </c>
      <c r="T1506" s="1" t="str">
        <f>IF(OR($C1506="",$D1506&lt;&gt;"Gelir",$L1506=""),"",IFERROR(INDEX(MUSTERILER!$B$7:$B$156,MATCH($S1506,MUSTERILER!$T$7:$T$156,0)),""))</f>
        <v/>
      </c>
      <c r="U1506" s="1" t="str">
        <f>IF($T1506="","",$T1506&amp;"|"&amp;COUNTIFS($T$7:$T1506,$T1506))</f>
        <v/>
      </c>
      <c r="V1506" s="1">
        <f t="shared" si="192"/>
        <v>0</v>
      </c>
      <c r="W1506" s="1" t="str">
        <f t="shared" si="193"/>
        <v/>
      </c>
      <c r="X1506" s="1"/>
      <c r="Y1506" s="1"/>
      <c r="Z1506" s="1"/>
      <c r="AA1506" s="1"/>
      <c r="AB1506" s="1"/>
      <c r="AC1506" s="1"/>
      <c r="AD1506" s="1">
        <f>IF($C1506="",0,SUMPRODUCT((AY_SONU!$O$7:$O$42="Evet")*(AY_SONU!$B$7:$B$42=DATE(YEAR($C1506),MONTH($C1506),1))))</f>
        <v>0</v>
      </c>
      <c r="AE1506" s="1" t="str">
        <f>IF($E1506="","",$E1506&amp;"|"&amp;COUNTIFS($E$7:$E1506,$E1506))</f>
        <v/>
      </c>
    </row>
    <row r="1507" spans="1:31" ht="18" customHeight="1" x14ac:dyDescent="0.3">
      <c r="A1507" s="2"/>
      <c r="B1507" s="65" t="str">
        <f t="shared" si="186"/>
        <v/>
      </c>
      <c r="C1507" s="66"/>
      <c r="D1507" s="60"/>
      <c r="E1507" s="61"/>
      <c r="F1507" s="61"/>
      <c r="G1507" s="67"/>
      <c r="H1507" s="60"/>
      <c r="I1507" s="60"/>
      <c r="J1507" s="61"/>
      <c r="K1507" s="61"/>
      <c r="L1507" s="60"/>
      <c r="M1507" s="74" t="str">
        <f t="shared" si="187"/>
        <v/>
      </c>
      <c r="N1507" s="74" t="str">
        <f t="shared" si="188"/>
        <v/>
      </c>
      <c r="O1507" s="73" t="str">
        <f t="shared" si="189"/>
        <v/>
      </c>
      <c r="P1507" s="65" t="str">
        <f t="shared" ca="1" si="190"/>
        <v/>
      </c>
      <c r="Q1507" s="2"/>
      <c r="R1507" s="2"/>
      <c r="S1507" s="1" t="str">
        <f t="shared" si="191"/>
        <v/>
      </c>
      <c r="T1507" s="1" t="str">
        <f>IF(OR($C1507="",$D1507&lt;&gt;"Gelir",$L1507=""),"",IFERROR(INDEX(MUSTERILER!$B$7:$B$156,MATCH($S1507,MUSTERILER!$T$7:$T$156,0)),""))</f>
        <v/>
      </c>
      <c r="U1507" s="1" t="str">
        <f>IF($T1507="","",$T1507&amp;"|"&amp;COUNTIFS($T$7:$T1507,$T1507))</f>
        <v/>
      </c>
      <c r="V1507" s="1">
        <f t="shared" si="192"/>
        <v>0</v>
      </c>
      <c r="W1507" s="1" t="str">
        <f t="shared" si="193"/>
        <v/>
      </c>
      <c r="X1507" s="1"/>
      <c r="Y1507" s="1"/>
      <c r="Z1507" s="1"/>
      <c r="AA1507" s="1"/>
      <c r="AB1507" s="1"/>
      <c r="AC1507" s="1"/>
      <c r="AD1507" s="1">
        <f>IF($C1507="",0,SUMPRODUCT((AY_SONU!$O$7:$O$42="Evet")*(AY_SONU!$B$7:$B$42=DATE(YEAR($C1507),MONTH($C1507),1))))</f>
        <v>0</v>
      </c>
      <c r="AE1507" s="1" t="str">
        <f>IF($E1507="","",$E1507&amp;"|"&amp;COUNTIFS($E$7:$E1507,$E1507))</f>
        <v/>
      </c>
    </row>
    <row r="1508" spans="1:31" ht="18" customHeight="1" x14ac:dyDescent="0.3">
      <c r="A1508" s="2"/>
      <c r="B1508" s="65" t="str">
        <f t="shared" si="186"/>
        <v/>
      </c>
      <c r="C1508" s="66"/>
      <c r="D1508" s="60"/>
      <c r="E1508" s="61"/>
      <c r="F1508" s="61"/>
      <c r="G1508" s="67"/>
      <c r="H1508" s="60"/>
      <c r="I1508" s="60"/>
      <c r="J1508" s="61"/>
      <c r="K1508" s="61"/>
      <c r="L1508" s="60"/>
      <c r="M1508" s="74" t="str">
        <f t="shared" si="187"/>
        <v/>
      </c>
      <c r="N1508" s="74" t="str">
        <f t="shared" si="188"/>
        <v/>
      </c>
      <c r="O1508" s="73" t="str">
        <f t="shared" si="189"/>
        <v/>
      </c>
      <c r="P1508" s="65" t="str">
        <f t="shared" ca="1" si="190"/>
        <v/>
      </c>
      <c r="Q1508" s="2"/>
      <c r="R1508" s="2"/>
      <c r="S1508" s="1" t="str">
        <f t="shared" si="191"/>
        <v/>
      </c>
      <c r="T1508" s="1" t="str">
        <f>IF(OR($C1508="",$D1508&lt;&gt;"Gelir",$L1508=""),"",IFERROR(INDEX(MUSTERILER!$B$7:$B$156,MATCH($S1508,MUSTERILER!$T$7:$T$156,0)),""))</f>
        <v/>
      </c>
      <c r="U1508" s="1" t="str">
        <f>IF($T1508="","",$T1508&amp;"|"&amp;COUNTIFS($T$7:$T1508,$T1508))</f>
        <v/>
      </c>
      <c r="V1508" s="1">
        <f t="shared" si="192"/>
        <v>0</v>
      </c>
      <c r="W1508" s="1" t="str">
        <f t="shared" si="193"/>
        <v/>
      </c>
      <c r="X1508" s="1"/>
      <c r="Y1508" s="1"/>
      <c r="Z1508" s="1"/>
      <c r="AA1508" s="1"/>
      <c r="AB1508" s="1"/>
      <c r="AC1508" s="1"/>
      <c r="AD1508" s="1">
        <f>IF($C1508="",0,SUMPRODUCT((AY_SONU!$O$7:$O$42="Evet")*(AY_SONU!$B$7:$B$42=DATE(YEAR($C1508),MONTH($C1508),1))))</f>
        <v>0</v>
      </c>
      <c r="AE1508" s="1" t="str">
        <f>IF($E1508="","",$E1508&amp;"|"&amp;COUNTIFS($E$7:$E1508,$E1508))</f>
        <v/>
      </c>
    </row>
    <row r="1509" spans="1:31" ht="18" customHeight="1" x14ac:dyDescent="0.3">
      <c r="A1509" s="2"/>
      <c r="B1509" s="65" t="str">
        <f t="shared" si="186"/>
        <v/>
      </c>
      <c r="C1509" s="66"/>
      <c r="D1509" s="60"/>
      <c r="E1509" s="61"/>
      <c r="F1509" s="61"/>
      <c r="G1509" s="67"/>
      <c r="H1509" s="60"/>
      <c r="I1509" s="60"/>
      <c r="J1509" s="61"/>
      <c r="K1509" s="61"/>
      <c r="L1509" s="60"/>
      <c r="M1509" s="74" t="str">
        <f t="shared" si="187"/>
        <v/>
      </c>
      <c r="N1509" s="74" t="str">
        <f t="shared" si="188"/>
        <v/>
      </c>
      <c r="O1509" s="73" t="str">
        <f t="shared" si="189"/>
        <v/>
      </c>
      <c r="P1509" s="65" t="str">
        <f t="shared" ca="1" si="190"/>
        <v/>
      </c>
      <c r="Q1509" s="2"/>
      <c r="R1509" s="2"/>
      <c r="S1509" s="1" t="str">
        <f t="shared" si="191"/>
        <v/>
      </c>
      <c r="T1509" s="1" t="str">
        <f>IF(OR($C1509="",$D1509&lt;&gt;"Gelir",$L1509=""),"",IFERROR(INDEX(MUSTERILER!$B$7:$B$156,MATCH($S1509,MUSTERILER!$T$7:$T$156,0)),""))</f>
        <v/>
      </c>
      <c r="U1509" s="1" t="str">
        <f>IF($T1509="","",$T1509&amp;"|"&amp;COUNTIFS($T$7:$T1509,$T1509))</f>
        <v/>
      </c>
      <c r="V1509" s="1">
        <f t="shared" si="192"/>
        <v>0</v>
      </c>
      <c r="W1509" s="1" t="str">
        <f t="shared" si="193"/>
        <v/>
      </c>
      <c r="X1509" s="1"/>
      <c r="Y1509" s="1"/>
      <c r="Z1509" s="1"/>
      <c r="AA1509" s="1"/>
      <c r="AB1509" s="1"/>
      <c r="AC1509" s="1"/>
      <c r="AD1509" s="1">
        <f>IF($C1509="",0,SUMPRODUCT((AY_SONU!$O$7:$O$42="Evet")*(AY_SONU!$B$7:$B$42=DATE(YEAR($C1509),MONTH($C1509),1))))</f>
        <v>0</v>
      </c>
      <c r="AE1509" s="1" t="str">
        <f>IF($E1509="","",$E1509&amp;"|"&amp;COUNTIFS($E$7:$E1509,$E1509))</f>
        <v/>
      </c>
    </row>
    <row r="1510" spans="1:31" ht="18" customHeight="1" x14ac:dyDescent="0.3">
      <c r="A1510" s="2"/>
      <c r="B1510" s="65" t="str">
        <f t="shared" si="186"/>
        <v/>
      </c>
      <c r="C1510" s="66"/>
      <c r="D1510" s="60"/>
      <c r="E1510" s="61"/>
      <c r="F1510" s="61"/>
      <c r="G1510" s="67"/>
      <c r="H1510" s="60"/>
      <c r="I1510" s="60"/>
      <c r="J1510" s="61"/>
      <c r="K1510" s="61"/>
      <c r="L1510" s="60"/>
      <c r="M1510" s="74" t="str">
        <f t="shared" si="187"/>
        <v/>
      </c>
      <c r="N1510" s="74" t="str">
        <f t="shared" si="188"/>
        <v/>
      </c>
      <c r="O1510" s="73" t="str">
        <f t="shared" si="189"/>
        <v/>
      </c>
      <c r="P1510" s="65" t="str">
        <f t="shared" ca="1" si="190"/>
        <v/>
      </c>
      <c r="Q1510" s="2"/>
      <c r="R1510" s="2"/>
      <c r="S1510" s="1" t="str">
        <f t="shared" si="191"/>
        <v/>
      </c>
      <c r="T1510" s="1" t="str">
        <f>IF(OR($C1510="",$D1510&lt;&gt;"Gelir",$L1510=""),"",IFERROR(INDEX(MUSTERILER!$B$7:$B$156,MATCH($S1510,MUSTERILER!$T$7:$T$156,0)),""))</f>
        <v/>
      </c>
      <c r="U1510" s="1" t="str">
        <f>IF($T1510="","",$T1510&amp;"|"&amp;COUNTIFS($T$7:$T1510,$T1510))</f>
        <v/>
      </c>
      <c r="V1510" s="1">
        <f t="shared" si="192"/>
        <v>0</v>
      </c>
      <c r="W1510" s="1" t="str">
        <f t="shared" si="193"/>
        <v/>
      </c>
      <c r="X1510" s="1"/>
      <c r="Y1510" s="1"/>
      <c r="Z1510" s="1"/>
      <c r="AA1510" s="1"/>
      <c r="AB1510" s="1"/>
      <c r="AC1510" s="1"/>
      <c r="AD1510" s="1">
        <f>IF($C1510="",0,SUMPRODUCT((AY_SONU!$O$7:$O$42="Evet")*(AY_SONU!$B$7:$B$42=DATE(YEAR($C1510),MONTH($C1510),1))))</f>
        <v>0</v>
      </c>
      <c r="AE1510" s="1" t="str">
        <f>IF($E1510="","",$E1510&amp;"|"&amp;COUNTIFS($E$7:$E1510,$E1510))</f>
        <v/>
      </c>
    </row>
    <row r="1511" spans="1:31" ht="18" customHeight="1" x14ac:dyDescent="0.3">
      <c r="A1511" s="2"/>
      <c r="B1511" s="65" t="str">
        <f t="shared" si="186"/>
        <v/>
      </c>
      <c r="C1511" s="66"/>
      <c r="D1511" s="60"/>
      <c r="E1511" s="61"/>
      <c r="F1511" s="61"/>
      <c r="G1511" s="67"/>
      <c r="H1511" s="60"/>
      <c r="I1511" s="60"/>
      <c r="J1511" s="61"/>
      <c r="K1511" s="61"/>
      <c r="L1511" s="60"/>
      <c r="M1511" s="74" t="str">
        <f t="shared" si="187"/>
        <v/>
      </c>
      <c r="N1511" s="74" t="str">
        <f t="shared" si="188"/>
        <v/>
      </c>
      <c r="O1511" s="73" t="str">
        <f t="shared" si="189"/>
        <v/>
      </c>
      <c r="P1511" s="65" t="str">
        <f t="shared" ca="1" si="190"/>
        <v/>
      </c>
      <c r="Q1511" s="2"/>
      <c r="R1511" s="2"/>
      <c r="S1511" s="1" t="str">
        <f t="shared" si="191"/>
        <v/>
      </c>
      <c r="T1511" s="1" t="str">
        <f>IF(OR($C1511="",$D1511&lt;&gt;"Gelir",$L1511=""),"",IFERROR(INDEX(MUSTERILER!$B$7:$B$156,MATCH($S1511,MUSTERILER!$T$7:$T$156,0)),""))</f>
        <v/>
      </c>
      <c r="U1511" s="1" t="str">
        <f>IF($T1511="","",$T1511&amp;"|"&amp;COUNTIFS($T$7:$T1511,$T1511))</f>
        <v/>
      </c>
      <c r="V1511" s="1">
        <f t="shared" si="192"/>
        <v>0</v>
      </c>
      <c r="W1511" s="1" t="str">
        <f t="shared" si="193"/>
        <v/>
      </c>
      <c r="X1511" s="1"/>
      <c r="Y1511" s="1"/>
      <c r="Z1511" s="1"/>
      <c r="AA1511" s="1"/>
      <c r="AB1511" s="1"/>
      <c r="AC1511" s="1"/>
      <c r="AD1511" s="1">
        <f>IF($C1511="",0,SUMPRODUCT((AY_SONU!$O$7:$O$42="Evet")*(AY_SONU!$B$7:$B$42=DATE(YEAR($C1511),MONTH($C1511),1))))</f>
        <v>0</v>
      </c>
      <c r="AE1511" s="1" t="str">
        <f>IF($E1511="","",$E1511&amp;"|"&amp;COUNTIFS($E$7:$E1511,$E1511))</f>
        <v/>
      </c>
    </row>
    <row r="1512" spans="1:31" ht="18" customHeight="1" x14ac:dyDescent="0.3">
      <c r="A1512" s="2"/>
      <c r="B1512" s="65" t="str">
        <f t="shared" si="186"/>
        <v/>
      </c>
      <c r="C1512" s="66"/>
      <c r="D1512" s="60"/>
      <c r="E1512" s="61"/>
      <c r="F1512" s="61"/>
      <c r="G1512" s="67"/>
      <c r="H1512" s="60"/>
      <c r="I1512" s="60"/>
      <c r="J1512" s="61"/>
      <c r="K1512" s="61"/>
      <c r="L1512" s="60"/>
      <c r="M1512" s="74" t="str">
        <f t="shared" si="187"/>
        <v/>
      </c>
      <c r="N1512" s="74" t="str">
        <f t="shared" si="188"/>
        <v/>
      </c>
      <c r="O1512" s="73" t="str">
        <f t="shared" si="189"/>
        <v/>
      </c>
      <c r="P1512" s="65" t="str">
        <f t="shared" ca="1" si="190"/>
        <v/>
      </c>
      <c r="Q1512" s="2"/>
      <c r="R1512" s="2"/>
      <c r="S1512" s="1" t="str">
        <f t="shared" si="191"/>
        <v/>
      </c>
      <c r="T1512" s="1" t="str">
        <f>IF(OR($C1512="",$D1512&lt;&gt;"Gelir",$L1512=""),"",IFERROR(INDEX(MUSTERILER!$B$7:$B$156,MATCH($S1512,MUSTERILER!$T$7:$T$156,0)),""))</f>
        <v/>
      </c>
      <c r="U1512" s="1" t="str">
        <f>IF($T1512="","",$T1512&amp;"|"&amp;COUNTIFS($T$7:$T1512,$T1512))</f>
        <v/>
      </c>
      <c r="V1512" s="1">
        <f t="shared" si="192"/>
        <v>0</v>
      </c>
      <c r="W1512" s="1" t="str">
        <f t="shared" si="193"/>
        <v/>
      </c>
      <c r="X1512" s="1"/>
      <c r="Y1512" s="1"/>
      <c r="Z1512" s="1"/>
      <c r="AA1512" s="1"/>
      <c r="AB1512" s="1"/>
      <c r="AC1512" s="1"/>
      <c r="AD1512" s="1">
        <f>IF($C1512="",0,SUMPRODUCT((AY_SONU!$O$7:$O$42="Evet")*(AY_SONU!$B$7:$B$42=DATE(YEAR($C1512),MONTH($C1512),1))))</f>
        <v>0</v>
      </c>
      <c r="AE1512" s="1" t="str">
        <f>IF($E1512="","",$E1512&amp;"|"&amp;COUNTIFS($E$7:$E1512,$E1512))</f>
        <v/>
      </c>
    </row>
    <row r="1513" spans="1:31" ht="18" customHeight="1" x14ac:dyDescent="0.3">
      <c r="A1513" s="2"/>
      <c r="B1513" s="65" t="str">
        <f t="shared" si="186"/>
        <v/>
      </c>
      <c r="C1513" s="66"/>
      <c r="D1513" s="60"/>
      <c r="E1513" s="61"/>
      <c r="F1513" s="61"/>
      <c r="G1513" s="67"/>
      <c r="H1513" s="60"/>
      <c r="I1513" s="60"/>
      <c r="J1513" s="61"/>
      <c r="K1513" s="61"/>
      <c r="L1513" s="60"/>
      <c r="M1513" s="74" t="str">
        <f t="shared" si="187"/>
        <v/>
      </c>
      <c r="N1513" s="74" t="str">
        <f t="shared" si="188"/>
        <v/>
      </c>
      <c r="O1513" s="73" t="str">
        <f t="shared" si="189"/>
        <v/>
      </c>
      <c r="P1513" s="65" t="str">
        <f t="shared" ca="1" si="190"/>
        <v/>
      </c>
      <c r="Q1513" s="2"/>
      <c r="R1513" s="2"/>
      <c r="S1513" s="1" t="str">
        <f t="shared" si="191"/>
        <v/>
      </c>
      <c r="T1513" s="1" t="str">
        <f>IF(OR($C1513="",$D1513&lt;&gt;"Gelir",$L1513=""),"",IFERROR(INDEX(MUSTERILER!$B$7:$B$156,MATCH($S1513,MUSTERILER!$T$7:$T$156,0)),""))</f>
        <v/>
      </c>
      <c r="U1513" s="1" t="str">
        <f>IF($T1513="","",$T1513&amp;"|"&amp;COUNTIFS($T$7:$T1513,$T1513))</f>
        <v/>
      </c>
      <c r="V1513" s="1">
        <f t="shared" si="192"/>
        <v>0</v>
      </c>
      <c r="W1513" s="1" t="str">
        <f t="shared" si="193"/>
        <v/>
      </c>
      <c r="X1513" s="1"/>
      <c r="Y1513" s="1"/>
      <c r="Z1513" s="1"/>
      <c r="AA1513" s="1"/>
      <c r="AB1513" s="1"/>
      <c r="AC1513" s="1"/>
      <c r="AD1513" s="1">
        <f>IF($C1513="",0,SUMPRODUCT((AY_SONU!$O$7:$O$42="Evet")*(AY_SONU!$B$7:$B$42=DATE(YEAR($C1513),MONTH($C1513),1))))</f>
        <v>0</v>
      </c>
      <c r="AE1513" s="1" t="str">
        <f>IF($E1513="","",$E1513&amp;"|"&amp;COUNTIFS($E$7:$E1513,$E1513))</f>
        <v/>
      </c>
    </row>
    <row r="1514" spans="1:31" ht="18" customHeight="1" x14ac:dyDescent="0.3">
      <c r="A1514" s="2"/>
      <c r="B1514" s="65" t="str">
        <f t="shared" si="186"/>
        <v/>
      </c>
      <c r="C1514" s="66"/>
      <c r="D1514" s="60"/>
      <c r="E1514" s="61"/>
      <c r="F1514" s="61"/>
      <c r="G1514" s="67"/>
      <c r="H1514" s="60"/>
      <c r="I1514" s="60"/>
      <c r="J1514" s="61"/>
      <c r="K1514" s="61"/>
      <c r="L1514" s="60"/>
      <c r="M1514" s="74" t="str">
        <f t="shared" si="187"/>
        <v/>
      </c>
      <c r="N1514" s="74" t="str">
        <f t="shared" si="188"/>
        <v/>
      </c>
      <c r="O1514" s="73" t="str">
        <f t="shared" si="189"/>
        <v/>
      </c>
      <c r="P1514" s="65" t="str">
        <f t="shared" ca="1" si="190"/>
        <v/>
      </c>
      <c r="Q1514" s="2"/>
      <c r="R1514" s="2"/>
      <c r="S1514" s="1" t="str">
        <f t="shared" si="191"/>
        <v/>
      </c>
      <c r="T1514" s="1" t="str">
        <f>IF(OR($C1514="",$D1514&lt;&gt;"Gelir",$L1514=""),"",IFERROR(INDEX(MUSTERILER!$B$7:$B$156,MATCH($S1514,MUSTERILER!$T$7:$T$156,0)),""))</f>
        <v/>
      </c>
      <c r="U1514" s="1" t="str">
        <f>IF($T1514="","",$T1514&amp;"|"&amp;COUNTIFS($T$7:$T1514,$T1514))</f>
        <v/>
      </c>
      <c r="V1514" s="1">
        <f t="shared" si="192"/>
        <v>0</v>
      </c>
      <c r="W1514" s="1" t="str">
        <f t="shared" si="193"/>
        <v/>
      </c>
      <c r="X1514" s="1"/>
      <c r="Y1514" s="1"/>
      <c r="Z1514" s="1"/>
      <c r="AA1514" s="1"/>
      <c r="AB1514" s="1"/>
      <c r="AC1514" s="1"/>
      <c r="AD1514" s="1">
        <f>IF($C1514="",0,SUMPRODUCT((AY_SONU!$O$7:$O$42="Evet")*(AY_SONU!$B$7:$B$42=DATE(YEAR($C1514),MONTH($C1514),1))))</f>
        <v>0</v>
      </c>
      <c r="AE1514" s="1" t="str">
        <f>IF($E1514="","",$E1514&amp;"|"&amp;COUNTIFS($E$7:$E1514,$E1514))</f>
        <v/>
      </c>
    </row>
    <row r="1515" spans="1:31" ht="18" customHeight="1" x14ac:dyDescent="0.3">
      <c r="A1515" s="2"/>
      <c r="B1515" s="65" t="str">
        <f t="shared" si="186"/>
        <v/>
      </c>
      <c r="C1515" s="66"/>
      <c r="D1515" s="60"/>
      <c r="E1515" s="61"/>
      <c r="F1515" s="61"/>
      <c r="G1515" s="67"/>
      <c r="H1515" s="60"/>
      <c r="I1515" s="60"/>
      <c r="J1515" s="61"/>
      <c r="K1515" s="61"/>
      <c r="L1515" s="60"/>
      <c r="M1515" s="74" t="str">
        <f t="shared" si="187"/>
        <v/>
      </c>
      <c r="N1515" s="74" t="str">
        <f t="shared" si="188"/>
        <v/>
      </c>
      <c r="O1515" s="73" t="str">
        <f t="shared" si="189"/>
        <v/>
      </c>
      <c r="P1515" s="65" t="str">
        <f t="shared" ca="1" si="190"/>
        <v/>
      </c>
      <c r="Q1515" s="2"/>
      <c r="R1515" s="2"/>
      <c r="S1515" s="1" t="str">
        <f t="shared" si="191"/>
        <v/>
      </c>
      <c r="T1515" s="1" t="str">
        <f>IF(OR($C1515="",$D1515&lt;&gt;"Gelir",$L1515=""),"",IFERROR(INDEX(MUSTERILER!$B$7:$B$156,MATCH($S1515,MUSTERILER!$T$7:$T$156,0)),""))</f>
        <v/>
      </c>
      <c r="U1515" s="1" t="str">
        <f>IF($T1515="","",$T1515&amp;"|"&amp;COUNTIFS($T$7:$T1515,$T1515))</f>
        <v/>
      </c>
      <c r="V1515" s="1">
        <f t="shared" si="192"/>
        <v>0</v>
      </c>
      <c r="W1515" s="1" t="str">
        <f t="shared" si="193"/>
        <v/>
      </c>
      <c r="X1515" s="1"/>
      <c r="Y1515" s="1"/>
      <c r="Z1515" s="1"/>
      <c r="AA1515" s="1"/>
      <c r="AB1515" s="1"/>
      <c r="AC1515" s="1"/>
      <c r="AD1515" s="1">
        <f>IF($C1515="",0,SUMPRODUCT((AY_SONU!$O$7:$O$42="Evet")*(AY_SONU!$B$7:$B$42=DATE(YEAR($C1515),MONTH($C1515),1))))</f>
        <v>0</v>
      </c>
      <c r="AE1515" s="1" t="str">
        <f>IF($E1515="","",$E1515&amp;"|"&amp;COUNTIFS($E$7:$E1515,$E1515))</f>
        <v/>
      </c>
    </row>
    <row r="1516" spans="1:31" ht="18" customHeight="1" x14ac:dyDescent="0.3">
      <c r="A1516" s="2"/>
      <c r="B1516" s="65" t="str">
        <f t="shared" si="186"/>
        <v/>
      </c>
      <c r="C1516" s="66"/>
      <c r="D1516" s="60"/>
      <c r="E1516" s="61"/>
      <c r="F1516" s="61"/>
      <c r="G1516" s="67"/>
      <c r="H1516" s="60"/>
      <c r="I1516" s="60"/>
      <c r="J1516" s="61"/>
      <c r="K1516" s="61"/>
      <c r="L1516" s="60"/>
      <c r="M1516" s="74" t="str">
        <f t="shared" si="187"/>
        <v/>
      </c>
      <c r="N1516" s="74" t="str">
        <f t="shared" si="188"/>
        <v/>
      </c>
      <c r="O1516" s="73" t="str">
        <f t="shared" si="189"/>
        <v/>
      </c>
      <c r="P1516" s="65" t="str">
        <f t="shared" ca="1" si="190"/>
        <v/>
      </c>
      <c r="Q1516" s="2"/>
      <c r="R1516" s="2"/>
      <c r="S1516" s="1" t="str">
        <f t="shared" si="191"/>
        <v/>
      </c>
      <c r="T1516" s="1" t="str">
        <f>IF(OR($C1516="",$D1516&lt;&gt;"Gelir",$L1516=""),"",IFERROR(INDEX(MUSTERILER!$B$7:$B$156,MATCH($S1516,MUSTERILER!$T$7:$T$156,0)),""))</f>
        <v/>
      </c>
      <c r="U1516" s="1" t="str">
        <f>IF($T1516="","",$T1516&amp;"|"&amp;COUNTIFS($T$7:$T1516,$T1516))</f>
        <v/>
      </c>
      <c r="V1516" s="1">
        <f t="shared" si="192"/>
        <v>0</v>
      </c>
      <c r="W1516" s="1" t="str">
        <f t="shared" si="193"/>
        <v/>
      </c>
      <c r="X1516" s="1"/>
      <c r="Y1516" s="1"/>
      <c r="Z1516" s="1"/>
      <c r="AA1516" s="1"/>
      <c r="AB1516" s="1"/>
      <c r="AC1516" s="1"/>
      <c r="AD1516" s="1">
        <f>IF($C1516="",0,SUMPRODUCT((AY_SONU!$O$7:$O$42="Evet")*(AY_SONU!$B$7:$B$42=DATE(YEAR($C1516),MONTH($C1516),1))))</f>
        <v>0</v>
      </c>
      <c r="AE1516" s="1" t="str">
        <f>IF($E1516="","",$E1516&amp;"|"&amp;COUNTIFS($E$7:$E1516,$E1516))</f>
        <v/>
      </c>
    </row>
    <row r="1517" spans="1:31" ht="18" customHeight="1" x14ac:dyDescent="0.3">
      <c r="A1517" s="2"/>
      <c r="B1517" s="65" t="str">
        <f t="shared" si="186"/>
        <v/>
      </c>
      <c r="C1517" s="66"/>
      <c r="D1517" s="60"/>
      <c r="E1517" s="61"/>
      <c r="F1517" s="61"/>
      <c r="G1517" s="67"/>
      <c r="H1517" s="60"/>
      <c r="I1517" s="60"/>
      <c r="J1517" s="61"/>
      <c r="K1517" s="61"/>
      <c r="L1517" s="60"/>
      <c r="M1517" s="74" t="str">
        <f t="shared" si="187"/>
        <v/>
      </c>
      <c r="N1517" s="74" t="str">
        <f t="shared" si="188"/>
        <v/>
      </c>
      <c r="O1517" s="73" t="str">
        <f t="shared" si="189"/>
        <v/>
      </c>
      <c r="P1517" s="65" t="str">
        <f t="shared" ca="1" si="190"/>
        <v/>
      </c>
      <c r="Q1517" s="2"/>
      <c r="R1517" s="2"/>
      <c r="S1517" s="1" t="str">
        <f t="shared" si="191"/>
        <v/>
      </c>
      <c r="T1517" s="1" t="str">
        <f>IF(OR($C1517="",$D1517&lt;&gt;"Gelir",$L1517=""),"",IFERROR(INDEX(MUSTERILER!$B$7:$B$156,MATCH($S1517,MUSTERILER!$T$7:$T$156,0)),""))</f>
        <v/>
      </c>
      <c r="U1517" s="1" t="str">
        <f>IF($T1517="","",$T1517&amp;"|"&amp;COUNTIFS($T$7:$T1517,$T1517))</f>
        <v/>
      </c>
      <c r="V1517" s="1">
        <f t="shared" si="192"/>
        <v>0</v>
      </c>
      <c r="W1517" s="1" t="str">
        <f t="shared" si="193"/>
        <v/>
      </c>
      <c r="X1517" s="1"/>
      <c r="Y1517" s="1"/>
      <c r="Z1517" s="1"/>
      <c r="AA1517" s="1"/>
      <c r="AB1517" s="1"/>
      <c r="AC1517" s="1"/>
      <c r="AD1517" s="1">
        <f>IF($C1517="",0,SUMPRODUCT((AY_SONU!$O$7:$O$42="Evet")*(AY_SONU!$B$7:$B$42=DATE(YEAR($C1517),MONTH($C1517),1))))</f>
        <v>0</v>
      </c>
      <c r="AE1517" s="1" t="str">
        <f>IF($E1517="","",$E1517&amp;"|"&amp;COUNTIFS($E$7:$E1517,$E1517))</f>
        <v/>
      </c>
    </row>
    <row r="1518" spans="1:31" ht="18" customHeight="1" x14ac:dyDescent="0.3">
      <c r="A1518" s="2"/>
      <c r="B1518" s="65" t="str">
        <f t="shared" si="186"/>
        <v/>
      </c>
      <c r="C1518" s="66"/>
      <c r="D1518" s="60"/>
      <c r="E1518" s="61"/>
      <c r="F1518" s="61"/>
      <c r="G1518" s="67"/>
      <c r="H1518" s="60"/>
      <c r="I1518" s="60"/>
      <c r="J1518" s="61"/>
      <c r="K1518" s="61"/>
      <c r="L1518" s="60"/>
      <c r="M1518" s="74" t="str">
        <f t="shared" si="187"/>
        <v/>
      </c>
      <c r="N1518" s="74" t="str">
        <f t="shared" si="188"/>
        <v/>
      </c>
      <c r="O1518" s="73" t="str">
        <f t="shared" si="189"/>
        <v/>
      </c>
      <c r="P1518" s="65" t="str">
        <f t="shared" ca="1" si="190"/>
        <v/>
      </c>
      <c r="Q1518" s="2"/>
      <c r="R1518" s="2"/>
      <c r="S1518" s="1" t="str">
        <f t="shared" si="191"/>
        <v/>
      </c>
      <c r="T1518" s="1" t="str">
        <f>IF(OR($C1518="",$D1518&lt;&gt;"Gelir",$L1518=""),"",IFERROR(INDEX(MUSTERILER!$B$7:$B$156,MATCH($S1518,MUSTERILER!$T$7:$T$156,0)),""))</f>
        <v/>
      </c>
      <c r="U1518" s="1" t="str">
        <f>IF($T1518="","",$T1518&amp;"|"&amp;COUNTIFS($T$7:$T1518,$T1518))</f>
        <v/>
      </c>
      <c r="V1518" s="1">
        <f t="shared" si="192"/>
        <v>0</v>
      </c>
      <c r="W1518" s="1" t="str">
        <f t="shared" si="193"/>
        <v/>
      </c>
      <c r="X1518" s="1"/>
      <c r="Y1518" s="1"/>
      <c r="Z1518" s="1"/>
      <c r="AA1518" s="1"/>
      <c r="AB1518" s="1"/>
      <c r="AC1518" s="1"/>
      <c r="AD1518" s="1">
        <f>IF($C1518="",0,SUMPRODUCT((AY_SONU!$O$7:$O$42="Evet")*(AY_SONU!$B$7:$B$42=DATE(YEAR($C1518),MONTH($C1518),1))))</f>
        <v>0</v>
      </c>
      <c r="AE1518" s="1" t="str">
        <f>IF($E1518="","",$E1518&amp;"|"&amp;COUNTIFS($E$7:$E1518,$E1518))</f>
        <v/>
      </c>
    </row>
    <row r="1519" spans="1:31" ht="18" customHeight="1" x14ac:dyDescent="0.3">
      <c r="A1519" s="2"/>
      <c r="B1519" s="65" t="str">
        <f t="shared" si="186"/>
        <v/>
      </c>
      <c r="C1519" s="66"/>
      <c r="D1519" s="60"/>
      <c r="E1519" s="61"/>
      <c r="F1519" s="61"/>
      <c r="G1519" s="67"/>
      <c r="H1519" s="60"/>
      <c r="I1519" s="60"/>
      <c r="J1519" s="61"/>
      <c r="K1519" s="61"/>
      <c r="L1519" s="60"/>
      <c r="M1519" s="74" t="str">
        <f t="shared" si="187"/>
        <v/>
      </c>
      <c r="N1519" s="74" t="str">
        <f t="shared" si="188"/>
        <v/>
      </c>
      <c r="O1519" s="73" t="str">
        <f t="shared" si="189"/>
        <v/>
      </c>
      <c r="P1519" s="65" t="str">
        <f t="shared" ca="1" si="190"/>
        <v/>
      </c>
      <c r="Q1519" s="2"/>
      <c r="R1519" s="2"/>
      <c r="S1519" s="1" t="str">
        <f t="shared" si="191"/>
        <v/>
      </c>
      <c r="T1519" s="1" t="str">
        <f>IF(OR($C1519="",$D1519&lt;&gt;"Gelir",$L1519=""),"",IFERROR(INDEX(MUSTERILER!$B$7:$B$156,MATCH($S1519,MUSTERILER!$T$7:$T$156,0)),""))</f>
        <v/>
      </c>
      <c r="U1519" s="1" t="str">
        <f>IF($T1519="","",$T1519&amp;"|"&amp;COUNTIFS($T$7:$T1519,$T1519))</f>
        <v/>
      </c>
      <c r="V1519" s="1">
        <f t="shared" si="192"/>
        <v>0</v>
      </c>
      <c r="W1519" s="1" t="str">
        <f t="shared" si="193"/>
        <v/>
      </c>
      <c r="X1519" s="1"/>
      <c r="Y1519" s="1"/>
      <c r="Z1519" s="1"/>
      <c r="AA1519" s="1"/>
      <c r="AB1519" s="1"/>
      <c r="AC1519" s="1"/>
      <c r="AD1519" s="1">
        <f>IF($C1519="",0,SUMPRODUCT((AY_SONU!$O$7:$O$42="Evet")*(AY_SONU!$B$7:$B$42=DATE(YEAR($C1519),MONTH($C1519),1))))</f>
        <v>0</v>
      </c>
      <c r="AE1519" s="1" t="str">
        <f>IF($E1519="","",$E1519&amp;"|"&amp;COUNTIFS($E$7:$E1519,$E1519))</f>
        <v/>
      </c>
    </row>
    <row r="1520" spans="1:31" ht="18" customHeight="1" x14ac:dyDescent="0.3">
      <c r="A1520" s="2"/>
      <c r="B1520" s="65" t="str">
        <f t="shared" si="186"/>
        <v/>
      </c>
      <c r="C1520" s="66"/>
      <c r="D1520" s="60"/>
      <c r="E1520" s="61"/>
      <c r="F1520" s="61"/>
      <c r="G1520" s="67"/>
      <c r="H1520" s="60"/>
      <c r="I1520" s="60"/>
      <c r="J1520" s="61"/>
      <c r="K1520" s="61"/>
      <c r="L1520" s="60"/>
      <c r="M1520" s="74" t="str">
        <f t="shared" si="187"/>
        <v/>
      </c>
      <c r="N1520" s="74" t="str">
        <f t="shared" si="188"/>
        <v/>
      </c>
      <c r="O1520" s="73" t="str">
        <f t="shared" si="189"/>
        <v/>
      </c>
      <c r="P1520" s="65" t="str">
        <f t="shared" ca="1" si="190"/>
        <v/>
      </c>
      <c r="Q1520" s="2"/>
      <c r="R1520" s="2"/>
      <c r="S1520" s="1" t="str">
        <f t="shared" si="191"/>
        <v/>
      </c>
      <c r="T1520" s="1" t="str">
        <f>IF(OR($C1520="",$D1520&lt;&gt;"Gelir",$L1520=""),"",IFERROR(INDEX(MUSTERILER!$B$7:$B$156,MATCH($S1520,MUSTERILER!$T$7:$T$156,0)),""))</f>
        <v/>
      </c>
      <c r="U1520" s="1" t="str">
        <f>IF($T1520="","",$T1520&amp;"|"&amp;COUNTIFS($T$7:$T1520,$T1520))</f>
        <v/>
      </c>
      <c r="V1520" s="1">
        <f t="shared" si="192"/>
        <v>0</v>
      </c>
      <c r="W1520" s="1" t="str">
        <f t="shared" si="193"/>
        <v/>
      </c>
      <c r="X1520" s="1"/>
      <c r="Y1520" s="1"/>
      <c r="Z1520" s="1"/>
      <c r="AA1520" s="1"/>
      <c r="AB1520" s="1"/>
      <c r="AC1520" s="1"/>
      <c r="AD1520" s="1">
        <f>IF($C1520="",0,SUMPRODUCT((AY_SONU!$O$7:$O$42="Evet")*(AY_SONU!$B$7:$B$42=DATE(YEAR($C1520),MONTH($C1520),1))))</f>
        <v>0</v>
      </c>
      <c r="AE1520" s="1" t="str">
        <f>IF($E1520="","",$E1520&amp;"|"&amp;COUNTIFS($E$7:$E1520,$E1520))</f>
        <v/>
      </c>
    </row>
    <row r="1521" spans="1:31" ht="18" customHeight="1" x14ac:dyDescent="0.3">
      <c r="A1521" s="2"/>
      <c r="B1521" s="65" t="str">
        <f t="shared" si="186"/>
        <v/>
      </c>
      <c r="C1521" s="66"/>
      <c r="D1521" s="60"/>
      <c r="E1521" s="61"/>
      <c r="F1521" s="61"/>
      <c r="G1521" s="67"/>
      <c r="H1521" s="60"/>
      <c r="I1521" s="60"/>
      <c r="J1521" s="61"/>
      <c r="K1521" s="61"/>
      <c r="L1521" s="60"/>
      <c r="M1521" s="74" t="str">
        <f t="shared" si="187"/>
        <v/>
      </c>
      <c r="N1521" s="74" t="str">
        <f t="shared" si="188"/>
        <v/>
      </c>
      <c r="O1521" s="73" t="str">
        <f t="shared" si="189"/>
        <v/>
      </c>
      <c r="P1521" s="65" t="str">
        <f t="shared" ca="1" si="190"/>
        <v/>
      </c>
      <c r="Q1521" s="2"/>
      <c r="R1521" s="2"/>
      <c r="S1521" s="1" t="str">
        <f t="shared" si="191"/>
        <v/>
      </c>
      <c r="T1521" s="1" t="str">
        <f>IF(OR($C1521="",$D1521&lt;&gt;"Gelir",$L1521=""),"",IFERROR(INDEX(MUSTERILER!$B$7:$B$156,MATCH($S1521,MUSTERILER!$T$7:$T$156,0)),""))</f>
        <v/>
      </c>
      <c r="U1521" s="1" t="str">
        <f>IF($T1521="","",$T1521&amp;"|"&amp;COUNTIFS($T$7:$T1521,$T1521))</f>
        <v/>
      </c>
      <c r="V1521" s="1">
        <f t="shared" si="192"/>
        <v>0</v>
      </c>
      <c r="W1521" s="1" t="str">
        <f t="shared" si="193"/>
        <v/>
      </c>
      <c r="X1521" s="1"/>
      <c r="Y1521" s="1"/>
      <c r="Z1521" s="1"/>
      <c r="AA1521" s="1"/>
      <c r="AB1521" s="1"/>
      <c r="AC1521" s="1"/>
      <c r="AD1521" s="1">
        <f>IF($C1521="",0,SUMPRODUCT((AY_SONU!$O$7:$O$42="Evet")*(AY_SONU!$B$7:$B$42=DATE(YEAR($C1521),MONTH($C1521),1))))</f>
        <v>0</v>
      </c>
      <c r="AE1521" s="1" t="str">
        <f>IF($E1521="","",$E1521&amp;"|"&amp;COUNTIFS($E$7:$E1521,$E1521))</f>
        <v/>
      </c>
    </row>
    <row r="1522" spans="1:31" ht="18" customHeight="1" x14ac:dyDescent="0.3">
      <c r="A1522" s="2"/>
      <c r="B1522" s="65" t="str">
        <f t="shared" si="186"/>
        <v/>
      </c>
      <c r="C1522" s="66"/>
      <c r="D1522" s="60"/>
      <c r="E1522" s="61"/>
      <c r="F1522" s="61"/>
      <c r="G1522" s="67"/>
      <c r="H1522" s="60"/>
      <c r="I1522" s="60"/>
      <c r="J1522" s="61"/>
      <c r="K1522" s="61"/>
      <c r="L1522" s="60"/>
      <c r="M1522" s="74" t="str">
        <f t="shared" si="187"/>
        <v/>
      </c>
      <c r="N1522" s="74" t="str">
        <f t="shared" si="188"/>
        <v/>
      </c>
      <c r="O1522" s="73" t="str">
        <f t="shared" si="189"/>
        <v/>
      </c>
      <c r="P1522" s="65" t="str">
        <f t="shared" ca="1" si="190"/>
        <v/>
      </c>
      <c r="Q1522" s="2"/>
      <c r="R1522" s="2"/>
      <c r="S1522" s="1" t="str">
        <f t="shared" si="191"/>
        <v/>
      </c>
      <c r="T1522" s="1" t="str">
        <f>IF(OR($C1522="",$D1522&lt;&gt;"Gelir",$L1522=""),"",IFERROR(INDEX(MUSTERILER!$B$7:$B$156,MATCH($S1522,MUSTERILER!$T$7:$T$156,0)),""))</f>
        <v/>
      </c>
      <c r="U1522" s="1" t="str">
        <f>IF($T1522="","",$T1522&amp;"|"&amp;COUNTIFS($T$7:$T1522,$T1522))</f>
        <v/>
      </c>
      <c r="V1522" s="1">
        <f t="shared" si="192"/>
        <v>0</v>
      </c>
      <c r="W1522" s="1" t="str">
        <f t="shared" si="193"/>
        <v/>
      </c>
      <c r="X1522" s="1"/>
      <c r="Y1522" s="1"/>
      <c r="Z1522" s="1"/>
      <c r="AA1522" s="1"/>
      <c r="AB1522" s="1"/>
      <c r="AC1522" s="1"/>
      <c r="AD1522" s="1">
        <f>IF($C1522="",0,SUMPRODUCT((AY_SONU!$O$7:$O$42="Evet")*(AY_SONU!$B$7:$B$42=DATE(YEAR($C1522),MONTH($C1522),1))))</f>
        <v>0</v>
      </c>
      <c r="AE1522" s="1" t="str">
        <f>IF($E1522="","",$E1522&amp;"|"&amp;COUNTIFS($E$7:$E1522,$E1522))</f>
        <v/>
      </c>
    </row>
    <row r="1523" spans="1:31" ht="18" customHeight="1" x14ac:dyDescent="0.3">
      <c r="A1523" s="2"/>
      <c r="B1523" s="65" t="str">
        <f t="shared" si="186"/>
        <v/>
      </c>
      <c r="C1523" s="66"/>
      <c r="D1523" s="60"/>
      <c r="E1523" s="61"/>
      <c r="F1523" s="61"/>
      <c r="G1523" s="67"/>
      <c r="H1523" s="60"/>
      <c r="I1523" s="60"/>
      <c r="J1523" s="61"/>
      <c r="K1523" s="61"/>
      <c r="L1523" s="60"/>
      <c r="M1523" s="74" t="str">
        <f t="shared" si="187"/>
        <v/>
      </c>
      <c r="N1523" s="74" t="str">
        <f t="shared" si="188"/>
        <v/>
      </c>
      <c r="O1523" s="73" t="str">
        <f t="shared" si="189"/>
        <v/>
      </c>
      <c r="P1523" s="65" t="str">
        <f t="shared" ca="1" si="190"/>
        <v/>
      </c>
      <c r="Q1523" s="2"/>
      <c r="R1523" s="2"/>
      <c r="S1523" s="1" t="str">
        <f t="shared" si="191"/>
        <v/>
      </c>
      <c r="T1523" s="1" t="str">
        <f>IF(OR($C1523="",$D1523&lt;&gt;"Gelir",$L1523=""),"",IFERROR(INDEX(MUSTERILER!$B$7:$B$156,MATCH($S1523,MUSTERILER!$T$7:$T$156,0)),""))</f>
        <v/>
      </c>
      <c r="U1523" s="1" t="str">
        <f>IF($T1523="","",$T1523&amp;"|"&amp;COUNTIFS($T$7:$T1523,$T1523))</f>
        <v/>
      </c>
      <c r="V1523" s="1">
        <f t="shared" si="192"/>
        <v>0</v>
      </c>
      <c r="W1523" s="1" t="str">
        <f t="shared" si="193"/>
        <v/>
      </c>
      <c r="X1523" s="1"/>
      <c r="Y1523" s="1"/>
      <c r="Z1523" s="1"/>
      <c r="AA1523" s="1"/>
      <c r="AB1523" s="1"/>
      <c r="AC1523" s="1"/>
      <c r="AD1523" s="1">
        <f>IF($C1523="",0,SUMPRODUCT((AY_SONU!$O$7:$O$42="Evet")*(AY_SONU!$B$7:$B$42=DATE(YEAR($C1523),MONTH($C1523),1))))</f>
        <v>0</v>
      </c>
      <c r="AE1523" s="1" t="str">
        <f>IF($E1523="","",$E1523&amp;"|"&amp;COUNTIFS($E$7:$E1523,$E1523))</f>
        <v/>
      </c>
    </row>
    <row r="1524" spans="1:31" ht="18" customHeight="1" x14ac:dyDescent="0.3">
      <c r="A1524" s="2"/>
      <c r="B1524" s="65" t="str">
        <f t="shared" si="186"/>
        <v/>
      </c>
      <c r="C1524" s="66"/>
      <c r="D1524" s="60"/>
      <c r="E1524" s="61"/>
      <c r="F1524" s="61"/>
      <c r="G1524" s="67"/>
      <c r="H1524" s="60"/>
      <c r="I1524" s="60"/>
      <c r="J1524" s="61"/>
      <c r="K1524" s="61"/>
      <c r="L1524" s="60"/>
      <c r="M1524" s="74" t="str">
        <f t="shared" si="187"/>
        <v/>
      </c>
      <c r="N1524" s="74" t="str">
        <f t="shared" si="188"/>
        <v/>
      </c>
      <c r="O1524" s="73" t="str">
        <f t="shared" si="189"/>
        <v/>
      </c>
      <c r="P1524" s="65" t="str">
        <f t="shared" ca="1" si="190"/>
        <v/>
      </c>
      <c r="Q1524" s="2"/>
      <c r="R1524" s="2"/>
      <c r="S1524" s="1" t="str">
        <f t="shared" si="191"/>
        <v/>
      </c>
      <c r="T1524" s="1" t="str">
        <f>IF(OR($C1524="",$D1524&lt;&gt;"Gelir",$L1524=""),"",IFERROR(INDEX(MUSTERILER!$B$7:$B$156,MATCH($S1524,MUSTERILER!$T$7:$T$156,0)),""))</f>
        <v/>
      </c>
      <c r="U1524" s="1" t="str">
        <f>IF($T1524="","",$T1524&amp;"|"&amp;COUNTIFS($T$7:$T1524,$T1524))</f>
        <v/>
      </c>
      <c r="V1524" s="1">
        <f t="shared" si="192"/>
        <v>0</v>
      </c>
      <c r="W1524" s="1" t="str">
        <f t="shared" si="193"/>
        <v/>
      </c>
      <c r="X1524" s="1"/>
      <c r="Y1524" s="1"/>
      <c r="Z1524" s="1"/>
      <c r="AA1524" s="1"/>
      <c r="AB1524" s="1"/>
      <c r="AC1524" s="1"/>
      <c r="AD1524" s="1">
        <f>IF($C1524="",0,SUMPRODUCT((AY_SONU!$O$7:$O$42="Evet")*(AY_SONU!$B$7:$B$42=DATE(YEAR($C1524),MONTH($C1524),1))))</f>
        <v>0</v>
      </c>
      <c r="AE1524" s="1" t="str">
        <f>IF($E1524="","",$E1524&amp;"|"&amp;COUNTIFS($E$7:$E1524,$E1524))</f>
        <v/>
      </c>
    </row>
    <row r="1525" spans="1:31" ht="18" customHeight="1" x14ac:dyDescent="0.3">
      <c r="A1525" s="2"/>
      <c r="B1525" s="65" t="str">
        <f t="shared" si="186"/>
        <v/>
      </c>
      <c r="C1525" s="66"/>
      <c r="D1525" s="60"/>
      <c r="E1525" s="61"/>
      <c r="F1525" s="61"/>
      <c r="G1525" s="67"/>
      <c r="H1525" s="60"/>
      <c r="I1525" s="60"/>
      <c r="J1525" s="61"/>
      <c r="K1525" s="61"/>
      <c r="L1525" s="60"/>
      <c r="M1525" s="74" t="str">
        <f t="shared" si="187"/>
        <v/>
      </c>
      <c r="N1525" s="74" t="str">
        <f t="shared" si="188"/>
        <v/>
      </c>
      <c r="O1525" s="73" t="str">
        <f t="shared" si="189"/>
        <v/>
      </c>
      <c r="P1525" s="65" t="str">
        <f t="shared" ca="1" si="190"/>
        <v/>
      </c>
      <c r="Q1525" s="2"/>
      <c r="R1525" s="2"/>
      <c r="S1525" s="1" t="str">
        <f t="shared" si="191"/>
        <v/>
      </c>
      <c r="T1525" s="1" t="str">
        <f>IF(OR($C1525="",$D1525&lt;&gt;"Gelir",$L1525=""),"",IFERROR(INDEX(MUSTERILER!$B$7:$B$156,MATCH($S1525,MUSTERILER!$T$7:$T$156,0)),""))</f>
        <v/>
      </c>
      <c r="U1525" s="1" t="str">
        <f>IF($T1525="","",$T1525&amp;"|"&amp;COUNTIFS($T$7:$T1525,$T1525))</f>
        <v/>
      </c>
      <c r="V1525" s="1">
        <f t="shared" si="192"/>
        <v>0</v>
      </c>
      <c r="W1525" s="1" t="str">
        <f t="shared" si="193"/>
        <v/>
      </c>
      <c r="X1525" s="1"/>
      <c r="Y1525" s="1"/>
      <c r="Z1525" s="1"/>
      <c r="AA1525" s="1"/>
      <c r="AB1525" s="1"/>
      <c r="AC1525" s="1"/>
      <c r="AD1525" s="1">
        <f>IF($C1525="",0,SUMPRODUCT((AY_SONU!$O$7:$O$42="Evet")*(AY_SONU!$B$7:$B$42=DATE(YEAR($C1525),MONTH($C1525),1))))</f>
        <v>0</v>
      </c>
      <c r="AE1525" s="1" t="str">
        <f>IF($E1525="","",$E1525&amp;"|"&amp;COUNTIFS($E$7:$E1525,$E1525))</f>
        <v/>
      </c>
    </row>
    <row r="1526" spans="1:31" ht="18" customHeight="1" x14ac:dyDescent="0.3">
      <c r="A1526" s="2"/>
      <c r="B1526" s="65" t="str">
        <f t="shared" si="186"/>
        <v/>
      </c>
      <c r="C1526" s="66"/>
      <c r="D1526" s="60"/>
      <c r="E1526" s="61"/>
      <c r="F1526" s="61"/>
      <c r="G1526" s="67"/>
      <c r="H1526" s="60"/>
      <c r="I1526" s="60"/>
      <c r="J1526" s="61"/>
      <c r="K1526" s="61"/>
      <c r="L1526" s="60"/>
      <c r="M1526" s="74" t="str">
        <f t="shared" si="187"/>
        <v/>
      </c>
      <c r="N1526" s="74" t="str">
        <f t="shared" si="188"/>
        <v/>
      </c>
      <c r="O1526" s="73" t="str">
        <f t="shared" si="189"/>
        <v/>
      </c>
      <c r="P1526" s="65" t="str">
        <f t="shared" ca="1" si="190"/>
        <v/>
      </c>
      <c r="Q1526" s="2"/>
      <c r="R1526" s="2"/>
      <c r="S1526" s="1" t="str">
        <f t="shared" si="191"/>
        <v/>
      </c>
      <c r="T1526" s="1" t="str">
        <f>IF(OR($C1526="",$D1526&lt;&gt;"Gelir",$L1526=""),"",IFERROR(INDEX(MUSTERILER!$B$7:$B$156,MATCH($S1526,MUSTERILER!$T$7:$T$156,0)),""))</f>
        <v/>
      </c>
      <c r="U1526" s="1" t="str">
        <f>IF($T1526="","",$T1526&amp;"|"&amp;COUNTIFS($T$7:$T1526,$T1526))</f>
        <v/>
      </c>
      <c r="V1526" s="1">
        <f t="shared" si="192"/>
        <v>0</v>
      </c>
      <c r="W1526" s="1" t="str">
        <f t="shared" si="193"/>
        <v/>
      </c>
      <c r="X1526" s="1"/>
      <c r="Y1526" s="1"/>
      <c r="Z1526" s="1"/>
      <c r="AA1526" s="1"/>
      <c r="AB1526" s="1"/>
      <c r="AC1526" s="1"/>
      <c r="AD1526" s="1">
        <f>IF($C1526="",0,SUMPRODUCT((AY_SONU!$O$7:$O$42="Evet")*(AY_SONU!$B$7:$B$42=DATE(YEAR($C1526),MONTH($C1526),1))))</f>
        <v>0</v>
      </c>
      <c r="AE1526" s="1" t="str">
        <f>IF($E1526="","",$E1526&amp;"|"&amp;COUNTIFS($E$7:$E1526,$E1526))</f>
        <v/>
      </c>
    </row>
    <row r="1527" spans="1:31" ht="18" customHeight="1" x14ac:dyDescent="0.3">
      <c r="A1527" s="2"/>
      <c r="B1527" s="65" t="str">
        <f t="shared" si="186"/>
        <v/>
      </c>
      <c r="C1527" s="66"/>
      <c r="D1527" s="60"/>
      <c r="E1527" s="61"/>
      <c r="F1527" s="61"/>
      <c r="G1527" s="67"/>
      <c r="H1527" s="60"/>
      <c r="I1527" s="60"/>
      <c r="J1527" s="61"/>
      <c r="K1527" s="61"/>
      <c r="L1527" s="60"/>
      <c r="M1527" s="74" t="str">
        <f t="shared" si="187"/>
        <v/>
      </c>
      <c r="N1527" s="74" t="str">
        <f t="shared" si="188"/>
        <v/>
      </c>
      <c r="O1527" s="73" t="str">
        <f t="shared" si="189"/>
        <v/>
      </c>
      <c r="P1527" s="65" t="str">
        <f t="shared" ca="1" si="190"/>
        <v/>
      </c>
      <c r="Q1527" s="2"/>
      <c r="R1527" s="2"/>
      <c r="S1527" s="1" t="str">
        <f t="shared" si="191"/>
        <v/>
      </c>
      <c r="T1527" s="1" t="str">
        <f>IF(OR($C1527="",$D1527&lt;&gt;"Gelir",$L1527=""),"",IFERROR(INDEX(MUSTERILER!$B$7:$B$156,MATCH($S1527,MUSTERILER!$T$7:$T$156,0)),""))</f>
        <v/>
      </c>
      <c r="U1527" s="1" t="str">
        <f>IF($T1527="","",$T1527&amp;"|"&amp;COUNTIFS($T$7:$T1527,$T1527))</f>
        <v/>
      </c>
      <c r="V1527" s="1">
        <f t="shared" si="192"/>
        <v>0</v>
      </c>
      <c r="W1527" s="1" t="str">
        <f t="shared" si="193"/>
        <v/>
      </c>
      <c r="X1527" s="1"/>
      <c r="Y1527" s="1"/>
      <c r="Z1527" s="1"/>
      <c r="AA1527" s="1"/>
      <c r="AB1527" s="1"/>
      <c r="AC1527" s="1"/>
      <c r="AD1527" s="1">
        <f>IF($C1527="",0,SUMPRODUCT((AY_SONU!$O$7:$O$42="Evet")*(AY_SONU!$B$7:$B$42=DATE(YEAR($C1527),MONTH($C1527),1))))</f>
        <v>0</v>
      </c>
      <c r="AE1527" s="1" t="str">
        <f>IF($E1527="","",$E1527&amp;"|"&amp;COUNTIFS($E$7:$E1527,$E1527))</f>
        <v/>
      </c>
    </row>
    <row r="1528" spans="1:31" ht="18" customHeight="1" x14ac:dyDescent="0.3">
      <c r="A1528" s="2"/>
      <c r="B1528" s="65" t="str">
        <f t="shared" si="186"/>
        <v/>
      </c>
      <c r="C1528" s="66"/>
      <c r="D1528" s="60"/>
      <c r="E1528" s="61"/>
      <c r="F1528" s="61"/>
      <c r="G1528" s="67"/>
      <c r="H1528" s="60"/>
      <c r="I1528" s="60"/>
      <c r="J1528" s="61"/>
      <c r="K1528" s="61"/>
      <c r="L1528" s="60"/>
      <c r="M1528" s="74" t="str">
        <f t="shared" si="187"/>
        <v/>
      </c>
      <c r="N1528" s="74" t="str">
        <f t="shared" si="188"/>
        <v/>
      </c>
      <c r="O1528" s="73" t="str">
        <f t="shared" si="189"/>
        <v/>
      </c>
      <c r="P1528" s="65" t="str">
        <f t="shared" ca="1" si="190"/>
        <v/>
      </c>
      <c r="Q1528" s="2"/>
      <c r="R1528" s="2"/>
      <c r="S1528" s="1" t="str">
        <f t="shared" si="191"/>
        <v/>
      </c>
      <c r="T1528" s="1" t="str">
        <f>IF(OR($C1528="",$D1528&lt;&gt;"Gelir",$L1528=""),"",IFERROR(INDEX(MUSTERILER!$B$7:$B$156,MATCH($S1528,MUSTERILER!$T$7:$T$156,0)),""))</f>
        <v/>
      </c>
      <c r="U1528" s="1" t="str">
        <f>IF($T1528="","",$T1528&amp;"|"&amp;COUNTIFS($T$7:$T1528,$T1528))</f>
        <v/>
      </c>
      <c r="V1528" s="1">
        <f t="shared" si="192"/>
        <v>0</v>
      </c>
      <c r="W1528" s="1" t="str">
        <f t="shared" si="193"/>
        <v/>
      </c>
      <c r="X1528" s="1"/>
      <c r="Y1528" s="1"/>
      <c r="Z1528" s="1"/>
      <c r="AA1528" s="1"/>
      <c r="AB1528" s="1"/>
      <c r="AC1528" s="1"/>
      <c r="AD1528" s="1">
        <f>IF($C1528="",0,SUMPRODUCT((AY_SONU!$O$7:$O$42="Evet")*(AY_SONU!$B$7:$B$42=DATE(YEAR($C1528),MONTH($C1528),1))))</f>
        <v>0</v>
      </c>
      <c r="AE1528" s="1" t="str">
        <f>IF($E1528="","",$E1528&amp;"|"&amp;COUNTIFS($E$7:$E1528,$E1528))</f>
        <v/>
      </c>
    </row>
    <row r="1529" spans="1:31" ht="18" customHeight="1" x14ac:dyDescent="0.3">
      <c r="A1529" s="2"/>
      <c r="B1529" s="65" t="str">
        <f t="shared" si="186"/>
        <v/>
      </c>
      <c r="C1529" s="66"/>
      <c r="D1529" s="60"/>
      <c r="E1529" s="61"/>
      <c r="F1529" s="61"/>
      <c r="G1529" s="67"/>
      <c r="H1529" s="60"/>
      <c r="I1529" s="60"/>
      <c r="J1529" s="61"/>
      <c r="K1529" s="61"/>
      <c r="L1529" s="60"/>
      <c r="M1529" s="74" t="str">
        <f t="shared" si="187"/>
        <v/>
      </c>
      <c r="N1529" s="74" t="str">
        <f t="shared" si="188"/>
        <v/>
      </c>
      <c r="O1529" s="73" t="str">
        <f t="shared" si="189"/>
        <v/>
      </c>
      <c r="P1529" s="65" t="str">
        <f t="shared" ca="1" si="190"/>
        <v/>
      </c>
      <c r="Q1529" s="2"/>
      <c r="R1529" s="2"/>
      <c r="S1529" s="1" t="str">
        <f t="shared" si="191"/>
        <v/>
      </c>
      <c r="T1529" s="1" t="str">
        <f>IF(OR($C1529="",$D1529&lt;&gt;"Gelir",$L1529=""),"",IFERROR(INDEX(MUSTERILER!$B$7:$B$156,MATCH($S1529,MUSTERILER!$T$7:$T$156,0)),""))</f>
        <v/>
      </c>
      <c r="U1529" s="1" t="str">
        <f>IF($T1529="","",$T1529&amp;"|"&amp;COUNTIFS($T$7:$T1529,$T1529))</f>
        <v/>
      </c>
      <c r="V1529" s="1">
        <f t="shared" si="192"/>
        <v>0</v>
      </c>
      <c r="W1529" s="1" t="str">
        <f t="shared" si="193"/>
        <v/>
      </c>
      <c r="X1529" s="1"/>
      <c r="Y1529" s="1"/>
      <c r="Z1529" s="1"/>
      <c r="AA1529" s="1"/>
      <c r="AB1529" s="1"/>
      <c r="AC1529" s="1"/>
      <c r="AD1529" s="1">
        <f>IF($C1529="",0,SUMPRODUCT((AY_SONU!$O$7:$O$42="Evet")*(AY_SONU!$B$7:$B$42=DATE(YEAR($C1529),MONTH($C1529),1))))</f>
        <v>0</v>
      </c>
      <c r="AE1529" s="1" t="str">
        <f>IF($E1529="","",$E1529&amp;"|"&amp;COUNTIFS($E$7:$E1529,$E1529))</f>
        <v/>
      </c>
    </row>
    <row r="1530" spans="1:31" ht="18" customHeight="1" x14ac:dyDescent="0.3">
      <c r="A1530" s="2"/>
      <c r="B1530" s="65" t="str">
        <f t="shared" si="186"/>
        <v/>
      </c>
      <c r="C1530" s="66"/>
      <c r="D1530" s="60"/>
      <c r="E1530" s="61"/>
      <c r="F1530" s="61"/>
      <c r="G1530" s="67"/>
      <c r="H1530" s="60"/>
      <c r="I1530" s="60"/>
      <c r="J1530" s="61"/>
      <c r="K1530" s="61"/>
      <c r="L1530" s="60"/>
      <c r="M1530" s="74" t="str">
        <f t="shared" si="187"/>
        <v/>
      </c>
      <c r="N1530" s="74" t="str">
        <f t="shared" si="188"/>
        <v/>
      </c>
      <c r="O1530" s="73" t="str">
        <f t="shared" si="189"/>
        <v/>
      </c>
      <c r="P1530" s="65" t="str">
        <f t="shared" ca="1" si="190"/>
        <v/>
      </c>
      <c r="Q1530" s="2"/>
      <c r="R1530" s="2"/>
      <c r="S1530" s="1" t="str">
        <f t="shared" si="191"/>
        <v/>
      </c>
      <c r="T1530" s="1" t="str">
        <f>IF(OR($C1530="",$D1530&lt;&gt;"Gelir",$L1530=""),"",IFERROR(INDEX(MUSTERILER!$B$7:$B$156,MATCH($S1530,MUSTERILER!$T$7:$T$156,0)),""))</f>
        <v/>
      </c>
      <c r="U1530" s="1" t="str">
        <f>IF($T1530="","",$T1530&amp;"|"&amp;COUNTIFS($T$7:$T1530,$T1530))</f>
        <v/>
      </c>
      <c r="V1530" s="1">
        <f t="shared" si="192"/>
        <v>0</v>
      </c>
      <c r="W1530" s="1" t="str">
        <f t="shared" si="193"/>
        <v/>
      </c>
      <c r="X1530" s="1"/>
      <c r="Y1530" s="1"/>
      <c r="Z1530" s="1"/>
      <c r="AA1530" s="1"/>
      <c r="AB1530" s="1"/>
      <c r="AC1530" s="1"/>
      <c r="AD1530" s="1">
        <f>IF($C1530="",0,SUMPRODUCT((AY_SONU!$O$7:$O$42="Evet")*(AY_SONU!$B$7:$B$42=DATE(YEAR($C1530),MONTH($C1530),1))))</f>
        <v>0</v>
      </c>
      <c r="AE1530" s="1" t="str">
        <f>IF($E1530="","",$E1530&amp;"|"&amp;COUNTIFS($E$7:$E1530,$E1530))</f>
        <v/>
      </c>
    </row>
    <row r="1531" spans="1:31" ht="18" customHeight="1" x14ac:dyDescent="0.3">
      <c r="A1531" s="2"/>
      <c r="B1531" s="65" t="str">
        <f t="shared" si="186"/>
        <v/>
      </c>
      <c r="C1531" s="66"/>
      <c r="D1531" s="60"/>
      <c r="E1531" s="61"/>
      <c r="F1531" s="61"/>
      <c r="G1531" s="67"/>
      <c r="H1531" s="60"/>
      <c r="I1531" s="60"/>
      <c r="J1531" s="61"/>
      <c r="K1531" s="61"/>
      <c r="L1531" s="60"/>
      <c r="M1531" s="74" t="str">
        <f t="shared" si="187"/>
        <v/>
      </c>
      <c r="N1531" s="74" t="str">
        <f t="shared" si="188"/>
        <v/>
      </c>
      <c r="O1531" s="73" t="str">
        <f t="shared" si="189"/>
        <v/>
      </c>
      <c r="P1531" s="65" t="str">
        <f t="shared" ca="1" si="190"/>
        <v/>
      </c>
      <c r="Q1531" s="2"/>
      <c r="R1531" s="2"/>
      <c r="S1531" s="1" t="str">
        <f t="shared" si="191"/>
        <v/>
      </c>
      <c r="T1531" s="1" t="str">
        <f>IF(OR($C1531="",$D1531&lt;&gt;"Gelir",$L1531=""),"",IFERROR(INDEX(MUSTERILER!$B$7:$B$156,MATCH($S1531,MUSTERILER!$T$7:$T$156,0)),""))</f>
        <v/>
      </c>
      <c r="U1531" s="1" t="str">
        <f>IF($T1531="","",$T1531&amp;"|"&amp;COUNTIFS($T$7:$T1531,$T1531))</f>
        <v/>
      </c>
      <c r="V1531" s="1">
        <f t="shared" si="192"/>
        <v>0</v>
      </c>
      <c r="W1531" s="1" t="str">
        <f t="shared" si="193"/>
        <v/>
      </c>
      <c r="X1531" s="1"/>
      <c r="Y1531" s="1"/>
      <c r="Z1531" s="1"/>
      <c r="AA1531" s="1"/>
      <c r="AB1531" s="1"/>
      <c r="AC1531" s="1"/>
      <c r="AD1531" s="1">
        <f>IF($C1531="",0,SUMPRODUCT((AY_SONU!$O$7:$O$42="Evet")*(AY_SONU!$B$7:$B$42=DATE(YEAR($C1531),MONTH($C1531),1))))</f>
        <v>0</v>
      </c>
      <c r="AE1531" s="1" t="str">
        <f>IF($E1531="","",$E1531&amp;"|"&amp;COUNTIFS($E$7:$E1531,$E1531))</f>
        <v/>
      </c>
    </row>
    <row r="1532" spans="1:31" ht="18" customHeight="1" x14ac:dyDescent="0.3">
      <c r="A1532" s="2"/>
      <c r="B1532" s="65" t="str">
        <f t="shared" si="186"/>
        <v/>
      </c>
      <c r="C1532" s="66"/>
      <c r="D1532" s="60"/>
      <c r="E1532" s="61"/>
      <c r="F1532" s="61"/>
      <c r="G1532" s="67"/>
      <c r="H1532" s="60"/>
      <c r="I1532" s="60"/>
      <c r="J1532" s="61"/>
      <c r="K1532" s="61"/>
      <c r="L1532" s="60"/>
      <c r="M1532" s="74" t="str">
        <f t="shared" si="187"/>
        <v/>
      </c>
      <c r="N1532" s="74" t="str">
        <f t="shared" si="188"/>
        <v/>
      </c>
      <c r="O1532" s="73" t="str">
        <f t="shared" si="189"/>
        <v/>
      </c>
      <c r="P1532" s="65" t="str">
        <f t="shared" ca="1" si="190"/>
        <v/>
      </c>
      <c r="Q1532" s="2"/>
      <c r="R1532" s="2"/>
      <c r="S1532" s="1" t="str">
        <f t="shared" si="191"/>
        <v/>
      </c>
      <c r="T1532" s="1" t="str">
        <f>IF(OR($C1532="",$D1532&lt;&gt;"Gelir",$L1532=""),"",IFERROR(INDEX(MUSTERILER!$B$7:$B$156,MATCH($S1532,MUSTERILER!$T$7:$T$156,0)),""))</f>
        <v/>
      </c>
      <c r="U1532" s="1" t="str">
        <f>IF($T1532="","",$T1532&amp;"|"&amp;COUNTIFS($T$7:$T1532,$T1532))</f>
        <v/>
      </c>
      <c r="V1532" s="1">
        <f t="shared" si="192"/>
        <v>0</v>
      </c>
      <c r="W1532" s="1" t="str">
        <f t="shared" si="193"/>
        <v/>
      </c>
      <c r="X1532" s="1"/>
      <c r="Y1532" s="1"/>
      <c r="Z1532" s="1"/>
      <c r="AA1532" s="1"/>
      <c r="AB1532" s="1"/>
      <c r="AC1532" s="1"/>
      <c r="AD1532" s="1">
        <f>IF($C1532="",0,SUMPRODUCT((AY_SONU!$O$7:$O$42="Evet")*(AY_SONU!$B$7:$B$42=DATE(YEAR($C1532),MONTH($C1532),1))))</f>
        <v>0</v>
      </c>
      <c r="AE1532" s="1" t="str">
        <f>IF($E1532="","",$E1532&amp;"|"&amp;COUNTIFS($E$7:$E1532,$E1532))</f>
        <v/>
      </c>
    </row>
    <row r="1533" spans="1:31" ht="18" customHeight="1" x14ac:dyDescent="0.3">
      <c r="A1533" s="2"/>
      <c r="B1533" s="65" t="str">
        <f t="shared" si="186"/>
        <v/>
      </c>
      <c r="C1533" s="66"/>
      <c r="D1533" s="60"/>
      <c r="E1533" s="61"/>
      <c r="F1533" s="61"/>
      <c r="G1533" s="67"/>
      <c r="H1533" s="60"/>
      <c r="I1533" s="60"/>
      <c r="J1533" s="61"/>
      <c r="K1533" s="61"/>
      <c r="L1533" s="60"/>
      <c r="M1533" s="74" t="str">
        <f t="shared" si="187"/>
        <v/>
      </c>
      <c r="N1533" s="74" t="str">
        <f t="shared" si="188"/>
        <v/>
      </c>
      <c r="O1533" s="73" t="str">
        <f t="shared" si="189"/>
        <v/>
      </c>
      <c r="P1533" s="65" t="str">
        <f t="shared" ca="1" si="190"/>
        <v/>
      </c>
      <c r="Q1533" s="2"/>
      <c r="R1533" s="2"/>
      <c r="S1533" s="1" t="str">
        <f t="shared" si="191"/>
        <v/>
      </c>
      <c r="T1533" s="1" t="str">
        <f>IF(OR($C1533="",$D1533&lt;&gt;"Gelir",$L1533=""),"",IFERROR(INDEX(MUSTERILER!$B$7:$B$156,MATCH($S1533,MUSTERILER!$T$7:$T$156,0)),""))</f>
        <v/>
      </c>
      <c r="U1533" s="1" t="str">
        <f>IF($T1533="","",$T1533&amp;"|"&amp;COUNTIFS($T$7:$T1533,$T1533))</f>
        <v/>
      </c>
      <c r="V1533" s="1">
        <f t="shared" si="192"/>
        <v>0</v>
      </c>
      <c r="W1533" s="1" t="str">
        <f t="shared" si="193"/>
        <v/>
      </c>
      <c r="X1533" s="1"/>
      <c r="Y1533" s="1"/>
      <c r="Z1533" s="1"/>
      <c r="AA1533" s="1"/>
      <c r="AB1533" s="1"/>
      <c r="AC1533" s="1"/>
      <c r="AD1533" s="1">
        <f>IF($C1533="",0,SUMPRODUCT((AY_SONU!$O$7:$O$42="Evet")*(AY_SONU!$B$7:$B$42=DATE(YEAR($C1533),MONTH($C1533),1))))</f>
        <v>0</v>
      </c>
      <c r="AE1533" s="1" t="str">
        <f>IF($E1533="","",$E1533&amp;"|"&amp;COUNTIFS($E$7:$E1533,$E1533))</f>
        <v/>
      </c>
    </row>
    <row r="1534" spans="1:31" ht="18" customHeight="1" x14ac:dyDescent="0.3">
      <c r="A1534" s="2"/>
      <c r="B1534" s="65" t="str">
        <f t="shared" si="186"/>
        <v/>
      </c>
      <c r="C1534" s="66"/>
      <c r="D1534" s="60"/>
      <c r="E1534" s="61"/>
      <c r="F1534" s="61"/>
      <c r="G1534" s="67"/>
      <c r="H1534" s="60"/>
      <c r="I1534" s="60"/>
      <c r="J1534" s="61"/>
      <c r="K1534" s="61"/>
      <c r="L1534" s="60"/>
      <c r="M1534" s="74" t="str">
        <f t="shared" si="187"/>
        <v/>
      </c>
      <c r="N1534" s="74" t="str">
        <f t="shared" si="188"/>
        <v/>
      </c>
      <c r="O1534" s="73" t="str">
        <f t="shared" si="189"/>
        <v/>
      </c>
      <c r="P1534" s="65" t="str">
        <f t="shared" ca="1" si="190"/>
        <v/>
      </c>
      <c r="Q1534" s="2"/>
      <c r="R1534" s="2"/>
      <c r="S1534" s="1" t="str">
        <f t="shared" si="191"/>
        <v/>
      </c>
      <c r="T1534" s="1" t="str">
        <f>IF(OR($C1534="",$D1534&lt;&gt;"Gelir",$L1534=""),"",IFERROR(INDEX(MUSTERILER!$B$7:$B$156,MATCH($S1534,MUSTERILER!$T$7:$T$156,0)),""))</f>
        <v/>
      </c>
      <c r="U1534" s="1" t="str">
        <f>IF($T1534="","",$T1534&amp;"|"&amp;COUNTIFS($T$7:$T1534,$T1534))</f>
        <v/>
      </c>
      <c r="V1534" s="1">
        <f t="shared" si="192"/>
        <v>0</v>
      </c>
      <c r="W1534" s="1" t="str">
        <f t="shared" si="193"/>
        <v/>
      </c>
      <c r="X1534" s="1"/>
      <c r="Y1534" s="1"/>
      <c r="Z1534" s="1"/>
      <c r="AA1534" s="1"/>
      <c r="AB1534" s="1"/>
      <c r="AC1534" s="1"/>
      <c r="AD1534" s="1">
        <f>IF($C1534="",0,SUMPRODUCT((AY_SONU!$O$7:$O$42="Evet")*(AY_SONU!$B$7:$B$42=DATE(YEAR($C1534),MONTH($C1534),1))))</f>
        <v>0</v>
      </c>
      <c r="AE1534" s="1" t="str">
        <f>IF($E1534="","",$E1534&amp;"|"&amp;COUNTIFS($E$7:$E1534,$E1534))</f>
        <v/>
      </c>
    </row>
    <row r="1535" spans="1:31" ht="18" customHeight="1" x14ac:dyDescent="0.3">
      <c r="A1535" s="2"/>
      <c r="B1535" s="65" t="str">
        <f t="shared" si="186"/>
        <v/>
      </c>
      <c r="C1535" s="66"/>
      <c r="D1535" s="60"/>
      <c r="E1535" s="61"/>
      <c r="F1535" s="61"/>
      <c r="G1535" s="67"/>
      <c r="H1535" s="60"/>
      <c r="I1535" s="60"/>
      <c r="J1535" s="61"/>
      <c r="K1535" s="61"/>
      <c r="L1535" s="60"/>
      <c r="M1535" s="74" t="str">
        <f t="shared" si="187"/>
        <v/>
      </c>
      <c r="N1535" s="74" t="str">
        <f t="shared" si="188"/>
        <v/>
      </c>
      <c r="O1535" s="73" t="str">
        <f t="shared" si="189"/>
        <v/>
      </c>
      <c r="P1535" s="65" t="str">
        <f t="shared" ca="1" si="190"/>
        <v/>
      </c>
      <c r="Q1535" s="2"/>
      <c r="R1535" s="2"/>
      <c r="S1535" s="1" t="str">
        <f t="shared" si="191"/>
        <v/>
      </c>
      <c r="T1535" s="1" t="str">
        <f>IF(OR($C1535="",$D1535&lt;&gt;"Gelir",$L1535=""),"",IFERROR(INDEX(MUSTERILER!$B$7:$B$156,MATCH($S1535,MUSTERILER!$T$7:$T$156,0)),""))</f>
        <v/>
      </c>
      <c r="U1535" s="1" t="str">
        <f>IF($T1535="","",$T1535&amp;"|"&amp;COUNTIFS($T$7:$T1535,$T1535))</f>
        <v/>
      </c>
      <c r="V1535" s="1">
        <f t="shared" si="192"/>
        <v>0</v>
      </c>
      <c r="W1535" s="1" t="str">
        <f t="shared" si="193"/>
        <v/>
      </c>
      <c r="X1535" s="1"/>
      <c r="Y1535" s="1"/>
      <c r="Z1535" s="1"/>
      <c r="AA1535" s="1"/>
      <c r="AB1535" s="1"/>
      <c r="AC1535" s="1"/>
      <c r="AD1535" s="1">
        <f>IF($C1535="",0,SUMPRODUCT((AY_SONU!$O$7:$O$42="Evet")*(AY_SONU!$B$7:$B$42=DATE(YEAR($C1535),MONTH($C1535),1))))</f>
        <v>0</v>
      </c>
      <c r="AE1535" s="1" t="str">
        <f>IF($E1535="","",$E1535&amp;"|"&amp;COUNTIFS($E$7:$E1535,$E1535))</f>
        <v/>
      </c>
    </row>
    <row r="1536" spans="1:31" ht="18" customHeight="1" x14ac:dyDescent="0.3">
      <c r="A1536" s="2"/>
      <c r="B1536" s="65" t="str">
        <f t="shared" si="186"/>
        <v/>
      </c>
      <c r="C1536" s="66"/>
      <c r="D1536" s="60"/>
      <c r="E1536" s="61"/>
      <c r="F1536" s="61"/>
      <c r="G1536" s="67"/>
      <c r="H1536" s="60"/>
      <c r="I1536" s="60"/>
      <c r="J1536" s="61"/>
      <c r="K1536" s="61"/>
      <c r="L1536" s="60"/>
      <c r="M1536" s="74" t="str">
        <f t="shared" si="187"/>
        <v/>
      </c>
      <c r="N1536" s="74" t="str">
        <f t="shared" si="188"/>
        <v/>
      </c>
      <c r="O1536" s="73" t="str">
        <f t="shared" si="189"/>
        <v/>
      </c>
      <c r="P1536" s="65" t="str">
        <f t="shared" ca="1" si="190"/>
        <v/>
      </c>
      <c r="Q1536" s="2"/>
      <c r="R1536" s="2"/>
      <c r="S1536" s="1" t="str">
        <f t="shared" si="191"/>
        <v/>
      </c>
      <c r="T1536" s="1" t="str">
        <f>IF(OR($C1536="",$D1536&lt;&gt;"Gelir",$L1536=""),"",IFERROR(INDEX(MUSTERILER!$B$7:$B$156,MATCH($S1536,MUSTERILER!$T$7:$T$156,0)),""))</f>
        <v/>
      </c>
      <c r="U1536" s="1" t="str">
        <f>IF($T1536="","",$T1536&amp;"|"&amp;COUNTIFS($T$7:$T1536,$T1536))</f>
        <v/>
      </c>
      <c r="V1536" s="1">
        <f t="shared" si="192"/>
        <v>0</v>
      </c>
      <c r="W1536" s="1" t="str">
        <f t="shared" si="193"/>
        <v/>
      </c>
      <c r="X1536" s="1"/>
      <c r="Y1536" s="1"/>
      <c r="Z1536" s="1"/>
      <c r="AA1536" s="1"/>
      <c r="AB1536" s="1"/>
      <c r="AC1536" s="1"/>
      <c r="AD1536" s="1">
        <f>IF($C1536="",0,SUMPRODUCT((AY_SONU!$O$7:$O$42="Evet")*(AY_SONU!$B$7:$B$42=DATE(YEAR($C1536),MONTH($C1536),1))))</f>
        <v>0</v>
      </c>
      <c r="AE1536" s="1" t="str">
        <f>IF($E1536="","",$E1536&amp;"|"&amp;COUNTIFS($E$7:$E1536,$E1536))</f>
        <v/>
      </c>
    </row>
    <row r="1537" spans="1:31" ht="18" customHeight="1" x14ac:dyDescent="0.3">
      <c r="A1537" s="2"/>
      <c r="B1537" s="65" t="str">
        <f t="shared" si="186"/>
        <v/>
      </c>
      <c r="C1537" s="66"/>
      <c r="D1537" s="60"/>
      <c r="E1537" s="61"/>
      <c r="F1537" s="61"/>
      <c r="G1537" s="67"/>
      <c r="H1537" s="60"/>
      <c r="I1537" s="60"/>
      <c r="J1537" s="61"/>
      <c r="K1537" s="61"/>
      <c r="L1537" s="60"/>
      <c r="M1537" s="74" t="str">
        <f t="shared" si="187"/>
        <v/>
      </c>
      <c r="N1537" s="74" t="str">
        <f t="shared" si="188"/>
        <v/>
      </c>
      <c r="O1537" s="73" t="str">
        <f t="shared" si="189"/>
        <v/>
      </c>
      <c r="P1537" s="65" t="str">
        <f t="shared" ca="1" si="190"/>
        <v/>
      </c>
      <c r="Q1537" s="2"/>
      <c r="R1537" s="2"/>
      <c r="S1537" s="1" t="str">
        <f t="shared" si="191"/>
        <v/>
      </c>
      <c r="T1537" s="1" t="str">
        <f>IF(OR($C1537="",$D1537&lt;&gt;"Gelir",$L1537=""),"",IFERROR(INDEX(MUSTERILER!$B$7:$B$156,MATCH($S1537,MUSTERILER!$T$7:$T$156,0)),""))</f>
        <v/>
      </c>
      <c r="U1537" s="1" t="str">
        <f>IF($T1537="","",$T1537&amp;"|"&amp;COUNTIFS($T$7:$T1537,$T1537))</f>
        <v/>
      </c>
      <c r="V1537" s="1">
        <f t="shared" si="192"/>
        <v>0</v>
      </c>
      <c r="W1537" s="1" t="str">
        <f t="shared" si="193"/>
        <v/>
      </c>
      <c r="X1537" s="1"/>
      <c r="Y1537" s="1"/>
      <c r="Z1537" s="1"/>
      <c r="AA1537" s="1"/>
      <c r="AB1537" s="1"/>
      <c r="AC1537" s="1"/>
      <c r="AD1537" s="1">
        <f>IF($C1537="",0,SUMPRODUCT((AY_SONU!$O$7:$O$42="Evet")*(AY_SONU!$B$7:$B$42=DATE(YEAR($C1537),MONTH($C1537),1))))</f>
        <v>0</v>
      </c>
      <c r="AE1537" s="1" t="str">
        <f>IF($E1537="","",$E1537&amp;"|"&amp;COUNTIFS($E$7:$E1537,$E1537))</f>
        <v/>
      </c>
    </row>
    <row r="1538" spans="1:31" ht="18" customHeight="1" x14ac:dyDescent="0.3">
      <c r="A1538" s="2"/>
      <c r="B1538" s="65" t="str">
        <f t="shared" si="186"/>
        <v/>
      </c>
      <c r="C1538" s="66"/>
      <c r="D1538" s="60"/>
      <c r="E1538" s="61"/>
      <c r="F1538" s="61"/>
      <c r="G1538" s="67"/>
      <c r="H1538" s="60"/>
      <c r="I1538" s="60"/>
      <c r="J1538" s="61"/>
      <c r="K1538" s="61"/>
      <c r="L1538" s="60"/>
      <c r="M1538" s="74" t="str">
        <f t="shared" si="187"/>
        <v/>
      </c>
      <c r="N1538" s="74" t="str">
        <f t="shared" si="188"/>
        <v/>
      </c>
      <c r="O1538" s="73" t="str">
        <f t="shared" si="189"/>
        <v/>
      </c>
      <c r="P1538" s="65" t="str">
        <f t="shared" ca="1" si="190"/>
        <v/>
      </c>
      <c r="Q1538" s="2"/>
      <c r="R1538" s="2"/>
      <c r="S1538" s="1" t="str">
        <f t="shared" si="191"/>
        <v/>
      </c>
      <c r="T1538" s="1" t="str">
        <f>IF(OR($C1538="",$D1538&lt;&gt;"Gelir",$L1538=""),"",IFERROR(INDEX(MUSTERILER!$B$7:$B$156,MATCH($S1538,MUSTERILER!$T$7:$T$156,0)),""))</f>
        <v/>
      </c>
      <c r="U1538" s="1" t="str">
        <f>IF($T1538="","",$T1538&amp;"|"&amp;COUNTIFS($T$7:$T1538,$T1538))</f>
        <v/>
      </c>
      <c r="V1538" s="1">
        <f t="shared" si="192"/>
        <v>0</v>
      </c>
      <c r="W1538" s="1" t="str">
        <f t="shared" si="193"/>
        <v/>
      </c>
      <c r="X1538" s="1"/>
      <c r="Y1538" s="1"/>
      <c r="Z1538" s="1"/>
      <c r="AA1538" s="1"/>
      <c r="AB1538" s="1"/>
      <c r="AC1538" s="1"/>
      <c r="AD1538" s="1">
        <f>IF($C1538="",0,SUMPRODUCT((AY_SONU!$O$7:$O$42="Evet")*(AY_SONU!$B$7:$B$42=DATE(YEAR($C1538),MONTH($C1538),1))))</f>
        <v>0</v>
      </c>
      <c r="AE1538" s="1" t="str">
        <f>IF($E1538="","",$E1538&amp;"|"&amp;COUNTIFS($E$7:$E1538,$E1538))</f>
        <v/>
      </c>
    </row>
    <row r="1539" spans="1:31" ht="18" customHeight="1" x14ac:dyDescent="0.3">
      <c r="A1539" s="2"/>
      <c r="B1539" s="65" t="str">
        <f t="shared" si="186"/>
        <v/>
      </c>
      <c r="C1539" s="66"/>
      <c r="D1539" s="60"/>
      <c r="E1539" s="61"/>
      <c r="F1539" s="61"/>
      <c r="G1539" s="67"/>
      <c r="H1539" s="60"/>
      <c r="I1539" s="60"/>
      <c r="J1539" s="61"/>
      <c r="K1539" s="61"/>
      <c r="L1539" s="60"/>
      <c r="M1539" s="74" t="str">
        <f t="shared" si="187"/>
        <v/>
      </c>
      <c r="N1539" s="74" t="str">
        <f t="shared" si="188"/>
        <v/>
      </c>
      <c r="O1539" s="73" t="str">
        <f t="shared" si="189"/>
        <v/>
      </c>
      <c r="P1539" s="65" t="str">
        <f t="shared" ca="1" si="190"/>
        <v/>
      </c>
      <c r="Q1539" s="2"/>
      <c r="R1539" s="2"/>
      <c r="S1539" s="1" t="str">
        <f t="shared" si="191"/>
        <v/>
      </c>
      <c r="T1539" s="1" t="str">
        <f>IF(OR($C1539="",$D1539&lt;&gt;"Gelir",$L1539=""),"",IFERROR(INDEX(MUSTERILER!$B$7:$B$156,MATCH($S1539,MUSTERILER!$T$7:$T$156,0)),""))</f>
        <v/>
      </c>
      <c r="U1539" s="1" t="str">
        <f>IF($T1539="","",$T1539&amp;"|"&amp;COUNTIFS($T$7:$T1539,$T1539))</f>
        <v/>
      </c>
      <c r="V1539" s="1">
        <f t="shared" si="192"/>
        <v>0</v>
      </c>
      <c r="W1539" s="1" t="str">
        <f t="shared" si="193"/>
        <v/>
      </c>
      <c r="X1539" s="1"/>
      <c r="Y1539" s="1"/>
      <c r="Z1539" s="1"/>
      <c r="AA1539" s="1"/>
      <c r="AB1539" s="1"/>
      <c r="AC1539" s="1"/>
      <c r="AD1539" s="1">
        <f>IF($C1539="",0,SUMPRODUCT((AY_SONU!$O$7:$O$42="Evet")*(AY_SONU!$B$7:$B$42=DATE(YEAR($C1539),MONTH($C1539),1))))</f>
        <v>0</v>
      </c>
      <c r="AE1539" s="1" t="str">
        <f>IF($E1539="","",$E1539&amp;"|"&amp;COUNTIFS($E$7:$E1539,$E1539))</f>
        <v/>
      </c>
    </row>
    <row r="1540" spans="1:31" ht="18" customHeight="1" x14ac:dyDescent="0.3">
      <c r="A1540" s="2"/>
      <c r="B1540" s="65" t="str">
        <f t="shared" si="186"/>
        <v/>
      </c>
      <c r="C1540" s="66"/>
      <c r="D1540" s="60"/>
      <c r="E1540" s="61"/>
      <c r="F1540" s="61"/>
      <c r="G1540" s="67"/>
      <c r="H1540" s="60"/>
      <c r="I1540" s="60"/>
      <c r="J1540" s="61"/>
      <c r="K1540" s="61"/>
      <c r="L1540" s="60"/>
      <c r="M1540" s="74" t="str">
        <f t="shared" si="187"/>
        <v/>
      </c>
      <c r="N1540" s="74" t="str">
        <f t="shared" si="188"/>
        <v/>
      </c>
      <c r="O1540" s="73" t="str">
        <f t="shared" si="189"/>
        <v/>
      </c>
      <c r="P1540" s="65" t="str">
        <f t="shared" ca="1" si="190"/>
        <v/>
      </c>
      <c r="Q1540" s="2"/>
      <c r="R1540" s="2"/>
      <c r="S1540" s="1" t="str">
        <f t="shared" si="191"/>
        <v/>
      </c>
      <c r="T1540" s="1" t="str">
        <f>IF(OR($C1540="",$D1540&lt;&gt;"Gelir",$L1540=""),"",IFERROR(INDEX(MUSTERILER!$B$7:$B$156,MATCH($S1540,MUSTERILER!$T$7:$T$156,0)),""))</f>
        <v/>
      </c>
      <c r="U1540" s="1" t="str">
        <f>IF($T1540="","",$T1540&amp;"|"&amp;COUNTIFS($T$7:$T1540,$T1540))</f>
        <v/>
      </c>
      <c r="V1540" s="1">
        <f t="shared" si="192"/>
        <v>0</v>
      </c>
      <c r="W1540" s="1" t="str">
        <f t="shared" si="193"/>
        <v/>
      </c>
      <c r="X1540" s="1"/>
      <c r="Y1540" s="1"/>
      <c r="Z1540" s="1"/>
      <c r="AA1540" s="1"/>
      <c r="AB1540" s="1"/>
      <c r="AC1540" s="1"/>
      <c r="AD1540" s="1">
        <f>IF($C1540="",0,SUMPRODUCT((AY_SONU!$O$7:$O$42="Evet")*(AY_SONU!$B$7:$B$42=DATE(YEAR($C1540),MONTH($C1540),1))))</f>
        <v>0</v>
      </c>
      <c r="AE1540" s="1" t="str">
        <f>IF($E1540="","",$E1540&amp;"|"&amp;COUNTIFS($E$7:$E1540,$E1540))</f>
        <v/>
      </c>
    </row>
    <row r="1541" spans="1:31" ht="18" customHeight="1" x14ac:dyDescent="0.3">
      <c r="A1541" s="2"/>
      <c r="B1541" s="65" t="str">
        <f t="shared" si="186"/>
        <v/>
      </c>
      <c r="C1541" s="66"/>
      <c r="D1541" s="60"/>
      <c r="E1541" s="61"/>
      <c r="F1541" s="61"/>
      <c r="G1541" s="67"/>
      <c r="H1541" s="60"/>
      <c r="I1541" s="60"/>
      <c r="J1541" s="61"/>
      <c r="K1541" s="61"/>
      <c r="L1541" s="60"/>
      <c r="M1541" s="74" t="str">
        <f t="shared" si="187"/>
        <v/>
      </c>
      <c r="N1541" s="74" t="str">
        <f t="shared" si="188"/>
        <v/>
      </c>
      <c r="O1541" s="73" t="str">
        <f t="shared" si="189"/>
        <v/>
      </c>
      <c r="P1541" s="65" t="str">
        <f t="shared" ca="1" si="190"/>
        <v/>
      </c>
      <c r="Q1541" s="2"/>
      <c r="R1541" s="2"/>
      <c r="S1541" s="1" t="str">
        <f t="shared" si="191"/>
        <v/>
      </c>
      <c r="T1541" s="1" t="str">
        <f>IF(OR($C1541="",$D1541&lt;&gt;"Gelir",$L1541=""),"",IFERROR(INDEX(MUSTERILER!$B$7:$B$156,MATCH($S1541,MUSTERILER!$T$7:$T$156,0)),""))</f>
        <v/>
      </c>
      <c r="U1541" s="1" t="str">
        <f>IF($T1541="","",$T1541&amp;"|"&amp;COUNTIFS($T$7:$T1541,$T1541))</f>
        <v/>
      </c>
      <c r="V1541" s="1">
        <f t="shared" si="192"/>
        <v>0</v>
      </c>
      <c r="W1541" s="1" t="str">
        <f t="shared" si="193"/>
        <v/>
      </c>
      <c r="X1541" s="1"/>
      <c r="Y1541" s="1"/>
      <c r="Z1541" s="1"/>
      <c r="AA1541" s="1"/>
      <c r="AB1541" s="1"/>
      <c r="AC1541" s="1"/>
      <c r="AD1541" s="1">
        <f>IF($C1541="",0,SUMPRODUCT((AY_SONU!$O$7:$O$42="Evet")*(AY_SONU!$B$7:$B$42=DATE(YEAR($C1541),MONTH($C1541),1))))</f>
        <v>0</v>
      </c>
      <c r="AE1541" s="1" t="str">
        <f>IF($E1541="","",$E1541&amp;"|"&amp;COUNTIFS($E$7:$E1541,$E1541))</f>
        <v/>
      </c>
    </row>
    <row r="1542" spans="1:31" ht="18" customHeight="1" x14ac:dyDescent="0.3">
      <c r="A1542" s="2"/>
      <c r="B1542" s="65" t="str">
        <f t="shared" si="186"/>
        <v/>
      </c>
      <c r="C1542" s="66"/>
      <c r="D1542" s="60"/>
      <c r="E1542" s="61"/>
      <c r="F1542" s="61"/>
      <c r="G1542" s="67"/>
      <c r="H1542" s="60"/>
      <c r="I1542" s="60"/>
      <c r="J1542" s="61"/>
      <c r="K1542" s="61"/>
      <c r="L1542" s="60"/>
      <c r="M1542" s="74" t="str">
        <f t="shared" si="187"/>
        <v/>
      </c>
      <c r="N1542" s="74" t="str">
        <f t="shared" si="188"/>
        <v/>
      </c>
      <c r="O1542" s="73" t="str">
        <f t="shared" si="189"/>
        <v/>
      </c>
      <c r="P1542" s="65" t="str">
        <f t="shared" ca="1" si="190"/>
        <v/>
      </c>
      <c r="Q1542" s="2"/>
      <c r="R1542" s="2"/>
      <c r="S1542" s="1" t="str">
        <f t="shared" si="191"/>
        <v/>
      </c>
      <c r="T1542" s="1" t="str">
        <f>IF(OR($C1542="",$D1542&lt;&gt;"Gelir",$L1542=""),"",IFERROR(INDEX(MUSTERILER!$B$7:$B$156,MATCH($S1542,MUSTERILER!$T$7:$T$156,0)),""))</f>
        <v/>
      </c>
      <c r="U1542" s="1" t="str">
        <f>IF($T1542="","",$T1542&amp;"|"&amp;COUNTIFS($T$7:$T1542,$T1542))</f>
        <v/>
      </c>
      <c r="V1542" s="1">
        <f t="shared" si="192"/>
        <v>0</v>
      </c>
      <c r="W1542" s="1" t="str">
        <f t="shared" si="193"/>
        <v/>
      </c>
      <c r="X1542" s="1"/>
      <c r="Y1542" s="1"/>
      <c r="Z1542" s="1"/>
      <c r="AA1542" s="1"/>
      <c r="AB1542" s="1"/>
      <c r="AC1542" s="1"/>
      <c r="AD1542" s="1">
        <f>IF($C1542="",0,SUMPRODUCT((AY_SONU!$O$7:$O$42="Evet")*(AY_SONU!$B$7:$B$42=DATE(YEAR($C1542),MONTH($C1542),1))))</f>
        <v>0</v>
      </c>
      <c r="AE1542" s="1" t="str">
        <f>IF($E1542="","",$E1542&amp;"|"&amp;COUNTIFS($E$7:$E1542,$E1542))</f>
        <v/>
      </c>
    </row>
    <row r="1543" spans="1:31" ht="18" customHeight="1" x14ac:dyDescent="0.3">
      <c r="A1543" s="2"/>
      <c r="B1543" s="65" t="str">
        <f t="shared" ref="B1543:B1606" si="194">IF($C1543="","","GG"&amp;TEXT(ROW()-6,"00000"))</f>
        <v/>
      </c>
      <c r="C1543" s="66"/>
      <c r="D1543" s="60"/>
      <c r="E1543" s="61"/>
      <c r="F1543" s="61"/>
      <c r="G1543" s="67"/>
      <c r="H1543" s="60"/>
      <c r="I1543" s="60"/>
      <c r="J1543" s="61"/>
      <c r="K1543" s="61"/>
      <c r="L1543" s="60"/>
      <c r="M1543" s="74" t="str">
        <f t="shared" ref="M1543:M1606" si="195">IF($C1543="","",IF($D1543="Gider",$E1543,IF($L1543&lt;&gt;"",$L1543,$H1543)))</f>
        <v/>
      </c>
      <c r="N1543" s="74" t="str">
        <f t="shared" ref="N1543:N1606" si="196">IF($C1543="","",IF($D1543="Gider",$H1543,$E1543))</f>
        <v/>
      </c>
      <c r="O1543" s="73" t="str">
        <f t="shared" ref="O1543:O1606" si="197">IF($C1543="","",DATE(YEAR($C1543),MONTH($C1543),1))</f>
        <v/>
      </c>
      <c r="P1543" s="65" t="str">
        <f t="shared" ref="P1543:P1606" ca="1" si="198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TARİH",IF(COUNTIF($W$7:$W$3006,$W1543)&gt;1,"MÜKERRER?",IF($AD1543&gt;0,"KAPALI DÖNEM",IF($I1543="Hayır","ÖDENECEK","UYGUN")))),"EKSİK"))))</f>
        <v/>
      </c>
      <c r="Q1543" s="2"/>
      <c r="R1543" s="2"/>
      <c r="S1543" s="1" t="str">
        <f t="shared" ref="S1543:S1606" si="199"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1" t="str">
        <f>IF(OR($C1543="",$D1543&lt;&gt;"Gelir",$L1543=""),"",IFERROR(INDEX(MUSTERILER!$B$7:$B$156,MATCH($S1543,MUSTERILER!$T$7:$T$156,0)),""))</f>
        <v/>
      </c>
      <c r="U1543" s="1" t="str">
        <f>IF($T1543="","",$T1543&amp;"|"&amp;COUNTIFS($T$7:$T1543,$T1543))</f>
        <v/>
      </c>
      <c r="V1543" s="1">
        <f t="shared" ref="V1543:V1606" si="200">IF($T1543="",0,1)</f>
        <v>0</v>
      </c>
      <c r="W1543" s="1" t="str">
        <f t="shared" ref="W1543:W1606" si="201">IF($C1543="","",$D1543&amp;"|"&amp;$E1543&amp;"|"&amp;TEXT($C1543,"0")&amp;"|"&amp;TEXT($G1543,"0")&amp;"|"&amp;$J1543)</f>
        <v/>
      </c>
      <c r="X1543" s="1"/>
      <c r="Y1543" s="1"/>
      <c r="Z1543" s="1"/>
      <c r="AA1543" s="1"/>
      <c r="AB1543" s="1"/>
      <c r="AC1543" s="1"/>
      <c r="AD1543" s="1">
        <f>IF($C1543="",0,SUMPRODUCT((AY_SONU!$O$7:$O$42="Evet")*(AY_SONU!$B$7:$B$42=DATE(YEAR($C1543),MONTH($C1543),1))))</f>
        <v>0</v>
      </c>
      <c r="AE1543" s="1" t="str">
        <f>IF($E1543="","",$E1543&amp;"|"&amp;COUNTIFS($E$7:$E1543,$E1543))</f>
        <v/>
      </c>
    </row>
    <row r="1544" spans="1:31" ht="18" customHeight="1" x14ac:dyDescent="0.3">
      <c r="A1544" s="2"/>
      <c r="B1544" s="65" t="str">
        <f t="shared" si="194"/>
        <v/>
      </c>
      <c r="C1544" s="66"/>
      <c r="D1544" s="60"/>
      <c r="E1544" s="61"/>
      <c r="F1544" s="61"/>
      <c r="G1544" s="67"/>
      <c r="H1544" s="60"/>
      <c r="I1544" s="60"/>
      <c r="J1544" s="61"/>
      <c r="K1544" s="61"/>
      <c r="L1544" s="60"/>
      <c r="M1544" s="74" t="str">
        <f t="shared" si="195"/>
        <v/>
      </c>
      <c r="N1544" s="74" t="str">
        <f t="shared" si="196"/>
        <v/>
      </c>
      <c r="O1544" s="73" t="str">
        <f t="shared" si="197"/>
        <v/>
      </c>
      <c r="P1544" s="65" t="str">
        <f t="shared" ca="1" si="198"/>
        <v/>
      </c>
      <c r="Q1544" s="2"/>
      <c r="R1544" s="2"/>
      <c r="S1544" s="1" t="str">
        <f t="shared" si="199"/>
        <v/>
      </c>
      <c r="T1544" s="1" t="str">
        <f>IF(OR($C1544="",$D1544&lt;&gt;"Gelir",$L1544=""),"",IFERROR(INDEX(MUSTERILER!$B$7:$B$156,MATCH($S1544,MUSTERILER!$T$7:$T$156,0)),""))</f>
        <v/>
      </c>
      <c r="U1544" s="1" t="str">
        <f>IF($T1544="","",$T1544&amp;"|"&amp;COUNTIFS($T$7:$T1544,$T1544))</f>
        <v/>
      </c>
      <c r="V1544" s="1">
        <f t="shared" si="200"/>
        <v>0</v>
      </c>
      <c r="W1544" s="1" t="str">
        <f t="shared" si="201"/>
        <v/>
      </c>
      <c r="X1544" s="1"/>
      <c r="Y1544" s="1"/>
      <c r="Z1544" s="1"/>
      <c r="AA1544" s="1"/>
      <c r="AB1544" s="1"/>
      <c r="AC1544" s="1"/>
      <c r="AD1544" s="1">
        <f>IF($C1544="",0,SUMPRODUCT((AY_SONU!$O$7:$O$42="Evet")*(AY_SONU!$B$7:$B$42=DATE(YEAR($C1544),MONTH($C1544),1))))</f>
        <v>0</v>
      </c>
      <c r="AE1544" s="1" t="str">
        <f>IF($E1544="","",$E1544&amp;"|"&amp;COUNTIFS($E$7:$E1544,$E1544))</f>
        <v/>
      </c>
    </row>
    <row r="1545" spans="1:31" ht="18" customHeight="1" x14ac:dyDescent="0.3">
      <c r="A1545" s="2"/>
      <c r="B1545" s="65" t="str">
        <f t="shared" si="194"/>
        <v/>
      </c>
      <c r="C1545" s="66"/>
      <c r="D1545" s="60"/>
      <c r="E1545" s="61"/>
      <c r="F1545" s="61"/>
      <c r="G1545" s="67"/>
      <c r="H1545" s="60"/>
      <c r="I1545" s="60"/>
      <c r="J1545" s="61"/>
      <c r="K1545" s="61"/>
      <c r="L1545" s="60"/>
      <c r="M1545" s="74" t="str">
        <f t="shared" si="195"/>
        <v/>
      </c>
      <c r="N1545" s="74" t="str">
        <f t="shared" si="196"/>
        <v/>
      </c>
      <c r="O1545" s="73" t="str">
        <f t="shared" si="197"/>
        <v/>
      </c>
      <c r="P1545" s="65" t="str">
        <f t="shared" ca="1" si="198"/>
        <v/>
      </c>
      <c r="Q1545" s="2"/>
      <c r="R1545" s="2"/>
      <c r="S1545" s="1" t="str">
        <f t="shared" si="199"/>
        <v/>
      </c>
      <c r="T1545" s="1" t="str">
        <f>IF(OR($C1545="",$D1545&lt;&gt;"Gelir",$L1545=""),"",IFERROR(INDEX(MUSTERILER!$B$7:$B$156,MATCH($S1545,MUSTERILER!$T$7:$T$156,0)),""))</f>
        <v/>
      </c>
      <c r="U1545" s="1" t="str">
        <f>IF($T1545="","",$T1545&amp;"|"&amp;COUNTIFS($T$7:$T1545,$T1545))</f>
        <v/>
      </c>
      <c r="V1545" s="1">
        <f t="shared" si="200"/>
        <v>0</v>
      </c>
      <c r="W1545" s="1" t="str">
        <f t="shared" si="201"/>
        <v/>
      </c>
      <c r="X1545" s="1"/>
      <c r="Y1545" s="1"/>
      <c r="Z1545" s="1"/>
      <c r="AA1545" s="1"/>
      <c r="AB1545" s="1"/>
      <c r="AC1545" s="1"/>
      <c r="AD1545" s="1">
        <f>IF($C1545="",0,SUMPRODUCT((AY_SONU!$O$7:$O$42="Evet")*(AY_SONU!$B$7:$B$42=DATE(YEAR($C1545),MONTH($C1545),1))))</f>
        <v>0</v>
      </c>
      <c r="AE1545" s="1" t="str">
        <f>IF($E1545="","",$E1545&amp;"|"&amp;COUNTIFS($E$7:$E1545,$E1545))</f>
        <v/>
      </c>
    </row>
    <row r="1546" spans="1:31" ht="18" customHeight="1" x14ac:dyDescent="0.3">
      <c r="A1546" s="2"/>
      <c r="B1546" s="65" t="str">
        <f t="shared" si="194"/>
        <v/>
      </c>
      <c r="C1546" s="66"/>
      <c r="D1546" s="60"/>
      <c r="E1546" s="61"/>
      <c r="F1546" s="61"/>
      <c r="G1546" s="67"/>
      <c r="H1546" s="60"/>
      <c r="I1546" s="60"/>
      <c r="J1546" s="61"/>
      <c r="K1546" s="61"/>
      <c r="L1546" s="60"/>
      <c r="M1546" s="74" t="str">
        <f t="shared" si="195"/>
        <v/>
      </c>
      <c r="N1546" s="74" t="str">
        <f t="shared" si="196"/>
        <v/>
      </c>
      <c r="O1546" s="73" t="str">
        <f t="shared" si="197"/>
        <v/>
      </c>
      <c r="P1546" s="65" t="str">
        <f t="shared" ca="1" si="198"/>
        <v/>
      </c>
      <c r="Q1546" s="2"/>
      <c r="R1546" s="2"/>
      <c r="S1546" s="1" t="str">
        <f t="shared" si="199"/>
        <v/>
      </c>
      <c r="T1546" s="1" t="str">
        <f>IF(OR($C1546="",$D1546&lt;&gt;"Gelir",$L1546=""),"",IFERROR(INDEX(MUSTERILER!$B$7:$B$156,MATCH($S1546,MUSTERILER!$T$7:$T$156,0)),""))</f>
        <v/>
      </c>
      <c r="U1546" s="1" t="str">
        <f>IF($T1546="","",$T1546&amp;"|"&amp;COUNTIFS($T$7:$T1546,$T1546))</f>
        <v/>
      </c>
      <c r="V1546" s="1">
        <f t="shared" si="200"/>
        <v>0</v>
      </c>
      <c r="W1546" s="1" t="str">
        <f t="shared" si="201"/>
        <v/>
      </c>
      <c r="X1546" s="1"/>
      <c r="Y1546" s="1"/>
      <c r="Z1546" s="1"/>
      <c r="AA1546" s="1"/>
      <c r="AB1546" s="1"/>
      <c r="AC1546" s="1"/>
      <c r="AD1546" s="1">
        <f>IF($C1546="",0,SUMPRODUCT((AY_SONU!$O$7:$O$42="Evet")*(AY_SONU!$B$7:$B$42=DATE(YEAR($C1546),MONTH($C1546),1))))</f>
        <v>0</v>
      </c>
      <c r="AE1546" s="1" t="str">
        <f>IF($E1546="","",$E1546&amp;"|"&amp;COUNTIFS($E$7:$E1546,$E1546))</f>
        <v/>
      </c>
    </row>
    <row r="1547" spans="1:31" ht="18" customHeight="1" x14ac:dyDescent="0.3">
      <c r="A1547" s="2"/>
      <c r="B1547" s="65" t="str">
        <f t="shared" si="194"/>
        <v/>
      </c>
      <c r="C1547" s="66"/>
      <c r="D1547" s="60"/>
      <c r="E1547" s="61"/>
      <c r="F1547" s="61"/>
      <c r="G1547" s="67"/>
      <c r="H1547" s="60"/>
      <c r="I1547" s="60"/>
      <c r="J1547" s="61"/>
      <c r="K1547" s="61"/>
      <c r="L1547" s="60"/>
      <c r="M1547" s="74" t="str">
        <f t="shared" si="195"/>
        <v/>
      </c>
      <c r="N1547" s="74" t="str">
        <f t="shared" si="196"/>
        <v/>
      </c>
      <c r="O1547" s="73" t="str">
        <f t="shared" si="197"/>
        <v/>
      </c>
      <c r="P1547" s="65" t="str">
        <f t="shared" ca="1" si="198"/>
        <v/>
      </c>
      <c r="Q1547" s="2"/>
      <c r="R1547" s="2"/>
      <c r="S1547" s="1" t="str">
        <f t="shared" si="199"/>
        <v/>
      </c>
      <c r="T1547" s="1" t="str">
        <f>IF(OR($C1547="",$D1547&lt;&gt;"Gelir",$L1547=""),"",IFERROR(INDEX(MUSTERILER!$B$7:$B$156,MATCH($S1547,MUSTERILER!$T$7:$T$156,0)),""))</f>
        <v/>
      </c>
      <c r="U1547" s="1" t="str">
        <f>IF($T1547="","",$T1547&amp;"|"&amp;COUNTIFS($T$7:$T1547,$T1547))</f>
        <v/>
      </c>
      <c r="V1547" s="1">
        <f t="shared" si="200"/>
        <v>0</v>
      </c>
      <c r="W1547" s="1" t="str">
        <f t="shared" si="201"/>
        <v/>
      </c>
      <c r="X1547" s="1"/>
      <c r="Y1547" s="1"/>
      <c r="Z1547" s="1"/>
      <c r="AA1547" s="1"/>
      <c r="AB1547" s="1"/>
      <c r="AC1547" s="1"/>
      <c r="AD1547" s="1">
        <f>IF($C1547="",0,SUMPRODUCT((AY_SONU!$O$7:$O$42="Evet")*(AY_SONU!$B$7:$B$42=DATE(YEAR($C1547),MONTH($C1547),1))))</f>
        <v>0</v>
      </c>
      <c r="AE1547" s="1" t="str">
        <f>IF($E1547="","",$E1547&amp;"|"&amp;COUNTIFS($E$7:$E1547,$E1547))</f>
        <v/>
      </c>
    </row>
    <row r="1548" spans="1:31" ht="18" customHeight="1" x14ac:dyDescent="0.3">
      <c r="A1548" s="2"/>
      <c r="B1548" s="65" t="str">
        <f t="shared" si="194"/>
        <v/>
      </c>
      <c r="C1548" s="66"/>
      <c r="D1548" s="60"/>
      <c r="E1548" s="61"/>
      <c r="F1548" s="61"/>
      <c r="G1548" s="67"/>
      <c r="H1548" s="60"/>
      <c r="I1548" s="60"/>
      <c r="J1548" s="61"/>
      <c r="K1548" s="61"/>
      <c r="L1548" s="60"/>
      <c r="M1548" s="74" t="str">
        <f t="shared" si="195"/>
        <v/>
      </c>
      <c r="N1548" s="74" t="str">
        <f t="shared" si="196"/>
        <v/>
      </c>
      <c r="O1548" s="73" t="str">
        <f t="shared" si="197"/>
        <v/>
      </c>
      <c r="P1548" s="65" t="str">
        <f t="shared" ca="1" si="198"/>
        <v/>
      </c>
      <c r="Q1548" s="2"/>
      <c r="R1548" s="2"/>
      <c r="S1548" s="1" t="str">
        <f t="shared" si="199"/>
        <v/>
      </c>
      <c r="T1548" s="1" t="str">
        <f>IF(OR($C1548="",$D1548&lt;&gt;"Gelir",$L1548=""),"",IFERROR(INDEX(MUSTERILER!$B$7:$B$156,MATCH($S1548,MUSTERILER!$T$7:$T$156,0)),""))</f>
        <v/>
      </c>
      <c r="U1548" s="1" t="str">
        <f>IF($T1548="","",$T1548&amp;"|"&amp;COUNTIFS($T$7:$T1548,$T1548))</f>
        <v/>
      </c>
      <c r="V1548" s="1">
        <f t="shared" si="200"/>
        <v>0</v>
      </c>
      <c r="W1548" s="1" t="str">
        <f t="shared" si="201"/>
        <v/>
      </c>
      <c r="X1548" s="1"/>
      <c r="Y1548" s="1"/>
      <c r="Z1548" s="1"/>
      <c r="AA1548" s="1"/>
      <c r="AB1548" s="1"/>
      <c r="AC1548" s="1"/>
      <c r="AD1548" s="1">
        <f>IF($C1548="",0,SUMPRODUCT((AY_SONU!$O$7:$O$42="Evet")*(AY_SONU!$B$7:$B$42=DATE(YEAR($C1548),MONTH($C1548),1))))</f>
        <v>0</v>
      </c>
      <c r="AE1548" s="1" t="str">
        <f>IF($E1548="","",$E1548&amp;"|"&amp;COUNTIFS($E$7:$E1548,$E1548))</f>
        <v/>
      </c>
    </row>
    <row r="1549" spans="1:31" ht="18" customHeight="1" x14ac:dyDescent="0.3">
      <c r="A1549" s="2"/>
      <c r="B1549" s="65" t="str">
        <f t="shared" si="194"/>
        <v/>
      </c>
      <c r="C1549" s="66"/>
      <c r="D1549" s="60"/>
      <c r="E1549" s="61"/>
      <c r="F1549" s="61"/>
      <c r="G1549" s="67"/>
      <c r="H1549" s="60"/>
      <c r="I1549" s="60"/>
      <c r="J1549" s="61"/>
      <c r="K1549" s="61"/>
      <c r="L1549" s="60"/>
      <c r="M1549" s="74" t="str">
        <f t="shared" si="195"/>
        <v/>
      </c>
      <c r="N1549" s="74" t="str">
        <f t="shared" si="196"/>
        <v/>
      </c>
      <c r="O1549" s="73" t="str">
        <f t="shared" si="197"/>
        <v/>
      </c>
      <c r="P1549" s="65" t="str">
        <f t="shared" ca="1" si="198"/>
        <v/>
      </c>
      <c r="Q1549" s="2"/>
      <c r="R1549" s="2"/>
      <c r="S1549" s="1" t="str">
        <f t="shared" si="199"/>
        <v/>
      </c>
      <c r="T1549" s="1" t="str">
        <f>IF(OR($C1549="",$D1549&lt;&gt;"Gelir",$L1549=""),"",IFERROR(INDEX(MUSTERILER!$B$7:$B$156,MATCH($S1549,MUSTERILER!$T$7:$T$156,0)),""))</f>
        <v/>
      </c>
      <c r="U1549" s="1" t="str">
        <f>IF($T1549="","",$T1549&amp;"|"&amp;COUNTIFS($T$7:$T1549,$T1549))</f>
        <v/>
      </c>
      <c r="V1549" s="1">
        <f t="shared" si="200"/>
        <v>0</v>
      </c>
      <c r="W1549" s="1" t="str">
        <f t="shared" si="201"/>
        <v/>
      </c>
      <c r="X1549" s="1"/>
      <c r="Y1549" s="1"/>
      <c r="Z1549" s="1"/>
      <c r="AA1549" s="1"/>
      <c r="AB1549" s="1"/>
      <c r="AC1549" s="1"/>
      <c r="AD1549" s="1">
        <f>IF($C1549="",0,SUMPRODUCT((AY_SONU!$O$7:$O$42="Evet")*(AY_SONU!$B$7:$B$42=DATE(YEAR($C1549),MONTH($C1549),1))))</f>
        <v>0</v>
      </c>
      <c r="AE1549" s="1" t="str">
        <f>IF($E1549="","",$E1549&amp;"|"&amp;COUNTIFS($E$7:$E1549,$E1549))</f>
        <v/>
      </c>
    </row>
    <row r="1550" spans="1:31" ht="18" customHeight="1" x14ac:dyDescent="0.3">
      <c r="A1550" s="2"/>
      <c r="B1550" s="65" t="str">
        <f t="shared" si="194"/>
        <v/>
      </c>
      <c r="C1550" s="66"/>
      <c r="D1550" s="60"/>
      <c r="E1550" s="61"/>
      <c r="F1550" s="61"/>
      <c r="G1550" s="67"/>
      <c r="H1550" s="60"/>
      <c r="I1550" s="60"/>
      <c r="J1550" s="61"/>
      <c r="K1550" s="61"/>
      <c r="L1550" s="60"/>
      <c r="M1550" s="74" t="str">
        <f t="shared" si="195"/>
        <v/>
      </c>
      <c r="N1550" s="74" t="str">
        <f t="shared" si="196"/>
        <v/>
      </c>
      <c r="O1550" s="73" t="str">
        <f t="shared" si="197"/>
        <v/>
      </c>
      <c r="P1550" s="65" t="str">
        <f t="shared" ca="1" si="198"/>
        <v/>
      </c>
      <c r="Q1550" s="2"/>
      <c r="R1550" s="2"/>
      <c r="S1550" s="1" t="str">
        <f t="shared" si="199"/>
        <v/>
      </c>
      <c r="T1550" s="1" t="str">
        <f>IF(OR($C1550="",$D1550&lt;&gt;"Gelir",$L1550=""),"",IFERROR(INDEX(MUSTERILER!$B$7:$B$156,MATCH($S1550,MUSTERILER!$T$7:$T$156,0)),""))</f>
        <v/>
      </c>
      <c r="U1550" s="1" t="str">
        <f>IF($T1550="","",$T1550&amp;"|"&amp;COUNTIFS($T$7:$T1550,$T1550))</f>
        <v/>
      </c>
      <c r="V1550" s="1">
        <f t="shared" si="200"/>
        <v>0</v>
      </c>
      <c r="W1550" s="1" t="str">
        <f t="shared" si="201"/>
        <v/>
      </c>
      <c r="X1550" s="1"/>
      <c r="Y1550" s="1"/>
      <c r="Z1550" s="1"/>
      <c r="AA1550" s="1"/>
      <c r="AB1550" s="1"/>
      <c r="AC1550" s="1"/>
      <c r="AD1550" s="1">
        <f>IF($C1550="",0,SUMPRODUCT((AY_SONU!$O$7:$O$42="Evet")*(AY_SONU!$B$7:$B$42=DATE(YEAR($C1550),MONTH($C1550),1))))</f>
        <v>0</v>
      </c>
      <c r="AE1550" s="1" t="str">
        <f>IF($E1550="","",$E1550&amp;"|"&amp;COUNTIFS($E$7:$E1550,$E1550))</f>
        <v/>
      </c>
    </row>
    <row r="1551" spans="1:31" ht="18" customHeight="1" x14ac:dyDescent="0.3">
      <c r="A1551" s="2"/>
      <c r="B1551" s="65" t="str">
        <f t="shared" si="194"/>
        <v/>
      </c>
      <c r="C1551" s="66"/>
      <c r="D1551" s="60"/>
      <c r="E1551" s="61"/>
      <c r="F1551" s="61"/>
      <c r="G1551" s="67"/>
      <c r="H1551" s="60"/>
      <c r="I1551" s="60"/>
      <c r="J1551" s="61"/>
      <c r="K1551" s="61"/>
      <c r="L1551" s="60"/>
      <c r="M1551" s="74" t="str">
        <f t="shared" si="195"/>
        <v/>
      </c>
      <c r="N1551" s="74" t="str">
        <f t="shared" si="196"/>
        <v/>
      </c>
      <c r="O1551" s="73" t="str">
        <f t="shared" si="197"/>
        <v/>
      </c>
      <c r="P1551" s="65" t="str">
        <f t="shared" ca="1" si="198"/>
        <v/>
      </c>
      <c r="Q1551" s="2"/>
      <c r="R1551" s="2"/>
      <c r="S1551" s="1" t="str">
        <f t="shared" si="199"/>
        <v/>
      </c>
      <c r="T1551" s="1" t="str">
        <f>IF(OR($C1551="",$D1551&lt;&gt;"Gelir",$L1551=""),"",IFERROR(INDEX(MUSTERILER!$B$7:$B$156,MATCH($S1551,MUSTERILER!$T$7:$T$156,0)),""))</f>
        <v/>
      </c>
      <c r="U1551" s="1" t="str">
        <f>IF($T1551="","",$T1551&amp;"|"&amp;COUNTIFS($T$7:$T1551,$T1551))</f>
        <v/>
      </c>
      <c r="V1551" s="1">
        <f t="shared" si="200"/>
        <v>0</v>
      </c>
      <c r="W1551" s="1" t="str">
        <f t="shared" si="201"/>
        <v/>
      </c>
      <c r="X1551" s="1"/>
      <c r="Y1551" s="1"/>
      <c r="Z1551" s="1"/>
      <c r="AA1551" s="1"/>
      <c r="AB1551" s="1"/>
      <c r="AC1551" s="1"/>
      <c r="AD1551" s="1">
        <f>IF($C1551="",0,SUMPRODUCT((AY_SONU!$O$7:$O$42="Evet")*(AY_SONU!$B$7:$B$42=DATE(YEAR($C1551),MONTH($C1551),1))))</f>
        <v>0</v>
      </c>
      <c r="AE1551" s="1" t="str">
        <f>IF($E1551="","",$E1551&amp;"|"&amp;COUNTIFS($E$7:$E1551,$E1551))</f>
        <v/>
      </c>
    </row>
    <row r="1552" spans="1:31" ht="18" customHeight="1" x14ac:dyDescent="0.3">
      <c r="A1552" s="2"/>
      <c r="B1552" s="65" t="str">
        <f t="shared" si="194"/>
        <v/>
      </c>
      <c r="C1552" s="66"/>
      <c r="D1552" s="60"/>
      <c r="E1552" s="61"/>
      <c r="F1552" s="61"/>
      <c r="G1552" s="67"/>
      <c r="H1552" s="60"/>
      <c r="I1552" s="60"/>
      <c r="J1552" s="61"/>
      <c r="K1552" s="61"/>
      <c r="L1552" s="60"/>
      <c r="M1552" s="74" t="str">
        <f t="shared" si="195"/>
        <v/>
      </c>
      <c r="N1552" s="74" t="str">
        <f t="shared" si="196"/>
        <v/>
      </c>
      <c r="O1552" s="73" t="str">
        <f t="shared" si="197"/>
        <v/>
      </c>
      <c r="P1552" s="65" t="str">
        <f t="shared" ca="1" si="198"/>
        <v/>
      </c>
      <c r="Q1552" s="2"/>
      <c r="R1552" s="2"/>
      <c r="S1552" s="1" t="str">
        <f t="shared" si="199"/>
        <v/>
      </c>
      <c r="T1552" s="1" t="str">
        <f>IF(OR($C1552="",$D1552&lt;&gt;"Gelir",$L1552=""),"",IFERROR(INDEX(MUSTERILER!$B$7:$B$156,MATCH($S1552,MUSTERILER!$T$7:$T$156,0)),""))</f>
        <v/>
      </c>
      <c r="U1552" s="1" t="str">
        <f>IF($T1552="","",$T1552&amp;"|"&amp;COUNTIFS($T$7:$T1552,$T1552))</f>
        <v/>
      </c>
      <c r="V1552" s="1">
        <f t="shared" si="200"/>
        <v>0</v>
      </c>
      <c r="W1552" s="1" t="str">
        <f t="shared" si="201"/>
        <v/>
      </c>
      <c r="X1552" s="1"/>
      <c r="Y1552" s="1"/>
      <c r="Z1552" s="1"/>
      <c r="AA1552" s="1"/>
      <c r="AB1552" s="1"/>
      <c r="AC1552" s="1"/>
      <c r="AD1552" s="1">
        <f>IF($C1552="",0,SUMPRODUCT((AY_SONU!$O$7:$O$42="Evet")*(AY_SONU!$B$7:$B$42=DATE(YEAR($C1552),MONTH($C1552),1))))</f>
        <v>0</v>
      </c>
      <c r="AE1552" s="1" t="str">
        <f>IF($E1552="","",$E1552&amp;"|"&amp;COUNTIFS($E$7:$E1552,$E1552))</f>
        <v/>
      </c>
    </row>
    <row r="1553" spans="1:31" ht="18" customHeight="1" x14ac:dyDescent="0.3">
      <c r="A1553" s="2"/>
      <c r="B1553" s="65" t="str">
        <f t="shared" si="194"/>
        <v/>
      </c>
      <c r="C1553" s="66"/>
      <c r="D1553" s="60"/>
      <c r="E1553" s="61"/>
      <c r="F1553" s="61"/>
      <c r="G1553" s="67"/>
      <c r="H1553" s="60"/>
      <c r="I1553" s="60"/>
      <c r="J1553" s="61"/>
      <c r="K1553" s="61"/>
      <c r="L1553" s="60"/>
      <c r="M1553" s="74" t="str">
        <f t="shared" si="195"/>
        <v/>
      </c>
      <c r="N1553" s="74" t="str">
        <f t="shared" si="196"/>
        <v/>
      </c>
      <c r="O1553" s="73" t="str">
        <f t="shared" si="197"/>
        <v/>
      </c>
      <c r="P1553" s="65" t="str">
        <f t="shared" ca="1" si="198"/>
        <v/>
      </c>
      <c r="Q1553" s="2"/>
      <c r="R1553" s="2"/>
      <c r="S1553" s="1" t="str">
        <f t="shared" si="199"/>
        <v/>
      </c>
      <c r="T1553" s="1" t="str">
        <f>IF(OR($C1553="",$D1553&lt;&gt;"Gelir",$L1553=""),"",IFERROR(INDEX(MUSTERILER!$B$7:$B$156,MATCH($S1553,MUSTERILER!$T$7:$T$156,0)),""))</f>
        <v/>
      </c>
      <c r="U1553" s="1" t="str">
        <f>IF($T1553="","",$T1553&amp;"|"&amp;COUNTIFS($T$7:$T1553,$T1553))</f>
        <v/>
      </c>
      <c r="V1553" s="1">
        <f t="shared" si="200"/>
        <v>0</v>
      </c>
      <c r="W1553" s="1" t="str">
        <f t="shared" si="201"/>
        <v/>
      </c>
      <c r="X1553" s="1"/>
      <c r="Y1553" s="1"/>
      <c r="Z1553" s="1"/>
      <c r="AA1553" s="1"/>
      <c r="AB1553" s="1"/>
      <c r="AC1553" s="1"/>
      <c r="AD1553" s="1">
        <f>IF($C1553="",0,SUMPRODUCT((AY_SONU!$O$7:$O$42="Evet")*(AY_SONU!$B$7:$B$42=DATE(YEAR($C1553),MONTH($C1553),1))))</f>
        <v>0</v>
      </c>
      <c r="AE1553" s="1" t="str">
        <f>IF($E1553="","",$E1553&amp;"|"&amp;COUNTIFS($E$7:$E1553,$E1553))</f>
        <v/>
      </c>
    </row>
    <row r="1554" spans="1:31" ht="18" customHeight="1" x14ac:dyDescent="0.3">
      <c r="A1554" s="2"/>
      <c r="B1554" s="65" t="str">
        <f t="shared" si="194"/>
        <v/>
      </c>
      <c r="C1554" s="66"/>
      <c r="D1554" s="60"/>
      <c r="E1554" s="61"/>
      <c r="F1554" s="61"/>
      <c r="G1554" s="67"/>
      <c r="H1554" s="60"/>
      <c r="I1554" s="60"/>
      <c r="J1554" s="61"/>
      <c r="K1554" s="61"/>
      <c r="L1554" s="60"/>
      <c r="M1554" s="74" t="str">
        <f t="shared" si="195"/>
        <v/>
      </c>
      <c r="N1554" s="74" t="str">
        <f t="shared" si="196"/>
        <v/>
      </c>
      <c r="O1554" s="73" t="str">
        <f t="shared" si="197"/>
        <v/>
      </c>
      <c r="P1554" s="65" t="str">
        <f t="shared" ca="1" si="198"/>
        <v/>
      </c>
      <c r="Q1554" s="2"/>
      <c r="R1554" s="2"/>
      <c r="S1554" s="1" t="str">
        <f t="shared" si="199"/>
        <v/>
      </c>
      <c r="T1554" s="1" t="str">
        <f>IF(OR($C1554="",$D1554&lt;&gt;"Gelir",$L1554=""),"",IFERROR(INDEX(MUSTERILER!$B$7:$B$156,MATCH($S1554,MUSTERILER!$T$7:$T$156,0)),""))</f>
        <v/>
      </c>
      <c r="U1554" s="1" t="str">
        <f>IF($T1554="","",$T1554&amp;"|"&amp;COUNTIFS($T$7:$T1554,$T1554))</f>
        <v/>
      </c>
      <c r="V1554" s="1">
        <f t="shared" si="200"/>
        <v>0</v>
      </c>
      <c r="W1554" s="1" t="str">
        <f t="shared" si="201"/>
        <v/>
      </c>
      <c r="X1554" s="1"/>
      <c r="Y1554" s="1"/>
      <c r="Z1554" s="1"/>
      <c r="AA1554" s="1"/>
      <c r="AB1554" s="1"/>
      <c r="AC1554" s="1"/>
      <c r="AD1554" s="1">
        <f>IF($C1554="",0,SUMPRODUCT((AY_SONU!$O$7:$O$42="Evet")*(AY_SONU!$B$7:$B$42=DATE(YEAR($C1554),MONTH($C1554),1))))</f>
        <v>0</v>
      </c>
      <c r="AE1554" s="1" t="str">
        <f>IF($E1554="","",$E1554&amp;"|"&amp;COUNTIFS($E$7:$E1554,$E1554))</f>
        <v/>
      </c>
    </row>
    <row r="1555" spans="1:31" ht="18" customHeight="1" x14ac:dyDescent="0.3">
      <c r="A1555" s="2"/>
      <c r="B1555" s="65" t="str">
        <f t="shared" si="194"/>
        <v/>
      </c>
      <c r="C1555" s="66"/>
      <c r="D1555" s="60"/>
      <c r="E1555" s="61"/>
      <c r="F1555" s="61"/>
      <c r="G1555" s="67"/>
      <c r="H1555" s="60"/>
      <c r="I1555" s="60"/>
      <c r="J1555" s="61"/>
      <c r="K1555" s="61"/>
      <c r="L1555" s="60"/>
      <c r="M1555" s="74" t="str">
        <f t="shared" si="195"/>
        <v/>
      </c>
      <c r="N1555" s="74" t="str">
        <f t="shared" si="196"/>
        <v/>
      </c>
      <c r="O1555" s="73" t="str">
        <f t="shared" si="197"/>
        <v/>
      </c>
      <c r="P1555" s="65" t="str">
        <f t="shared" ca="1" si="198"/>
        <v/>
      </c>
      <c r="Q1555" s="2"/>
      <c r="R1555" s="2"/>
      <c r="S1555" s="1" t="str">
        <f t="shared" si="199"/>
        <v/>
      </c>
      <c r="T1555" s="1" t="str">
        <f>IF(OR($C1555="",$D1555&lt;&gt;"Gelir",$L1555=""),"",IFERROR(INDEX(MUSTERILER!$B$7:$B$156,MATCH($S1555,MUSTERILER!$T$7:$T$156,0)),""))</f>
        <v/>
      </c>
      <c r="U1555" s="1" t="str">
        <f>IF($T1555="","",$T1555&amp;"|"&amp;COUNTIFS($T$7:$T1555,$T1555))</f>
        <v/>
      </c>
      <c r="V1555" s="1">
        <f t="shared" si="200"/>
        <v>0</v>
      </c>
      <c r="W1555" s="1" t="str">
        <f t="shared" si="201"/>
        <v/>
      </c>
      <c r="X1555" s="1"/>
      <c r="Y1555" s="1"/>
      <c r="Z1555" s="1"/>
      <c r="AA1555" s="1"/>
      <c r="AB1555" s="1"/>
      <c r="AC1555" s="1"/>
      <c r="AD1555" s="1">
        <f>IF($C1555="",0,SUMPRODUCT((AY_SONU!$O$7:$O$42="Evet")*(AY_SONU!$B$7:$B$42=DATE(YEAR($C1555),MONTH($C1555),1))))</f>
        <v>0</v>
      </c>
      <c r="AE1555" s="1" t="str">
        <f>IF($E1555="","",$E1555&amp;"|"&amp;COUNTIFS($E$7:$E1555,$E1555))</f>
        <v/>
      </c>
    </row>
    <row r="1556" spans="1:31" ht="18" customHeight="1" x14ac:dyDescent="0.3">
      <c r="A1556" s="2"/>
      <c r="B1556" s="65" t="str">
        <f t="shared" si="194"/>
        <v/>
      </c>
      <c r="C1556" s="66"/>
      <c r="D1556" s="60"/>
      <c r="E1556" s="61"/>
      <c r="F1556" s="61"/>
      <c r="G1556" s="67"/>
      <c r="H1556" s="60"/>
      <c r="I1556" s="60"/>
      <c r="J1556" s="61"/>
      <c r="K1556" s="61"/>
      <c r="L1556" s="60"/>
      <c r="M1556" s="74" t="str">
        <f t="shared" si="195"/>
        <v/>
      </c>
      <c r="N1556" s="74" t="str">
        <f t="shared" si="196"/>
        <v/>
      </c>
      <c r="O1556" s="73" t="str">
        <f t="shared" si="197"/>
        <v/>
      </c>
      <c r="P1556" s="65" t="str">
        <f t="shared" ca="1" si="198"/>
        <v/>
      </c>
      <c r="Q1556" s="2"/>
      <c r="R1556" s="2"/>
      <c r="S1556" s="1" t="str">
        <f t="shared" si="199"/>
        <v/>
      </c>
      <c r="T1556" s="1" t="str">
        <f>IF(OR($C1556="",$D1556&lt;&gt;"Gelir",$L1556=""),"",IFERROR(INDEX(MUSTERILER!$B$7:$B$156,MATCH($S1556,MUSTERILER!$T$7:$T$156,0)),""))</f>
        <v/>
      </c>
      <c r="U1556" s="1" t="str">
        <f>IF($T1556="","",$T1556&amp;"|"&amp;COUNTIFS($T$7:$T1556,$T1556))</f>
        <v/>
      </c>
      <c r="V1556" s="1">
        <f t="shared" si="200"/>
        <v>0</v>
      </c>
      <c r="W1556" s="1" t="str">
        <f t="shared" si="201"/>
        <v/>
      </c>
      <c r="X1556" s="1"/>
      <c r="Y1556" s="1"/>
      <c r="Z1556" s="1"/>
      <c r="AA1556" s="1"/>
      <c r="AB1556" s="1"/>
      <c r="AC1556" s="1"/>
      <c r="AD1556" s="1">
        <f>IF($C1556="",0,SUMPRODUCT((AY_SONU!$O$7:$O$42="Evet")*(AY_SONU!$B$7:$B$42=DATE(YEAR($C1556),MONTH($C1556),1))))</f>
        <v>0</v>
      </c>
      <c r="AE1556" s="1" t="str">
        <f>IF($E1556="","",$E1556&amp;"|"&amp;COUNTIFS($E$7:$E1556,$E1556))</f>
        <v/>
      </c>
    </row>
    <row r="1557" spans="1:31" ht="18" customHeight="1" x14ac:dyDescent="0.3">
      <c r="A1557" s="2"/>
      <c r="B1557" s="65" t="str">
        <f t="shared" si="194"/>
        <v/>
      </c>
      <c r="C1557" s="66"/>
      <c r="D1557" s="60"/>
      <c r="E1557" s="61"/>
      <c r="F1557" s="61"/>
      <c r="G1557" s="67"/>
      <c r="H1557" s="60"/>
      <c r="I1557" s="60"/>
      <c r="J1557" s="61"/>
      <c r="K1557" s="61"/>
      <c r="L1557" s="60"/>
      <c r="M1557" s="74" t="str">
        <f t="shared" si="195"/>
        <v/>
      </c>
      <c r="N1557" s="74" t="str">
        <f t="shared" si="196"/>
        <v/>
      </c>
      <c r="O1557" s="73" t="str">
        <f t="shared" si="197"/>
        <v/>
      </c>
      <c r="P1557" s="65" t="str">
        <f t="shared" ca="1" si="198"/>
        <v/>
      </c>
      <c r="Q1557" s="2"/>
      <c r="R1557" s="2"/>
      <c r="S1557" s="1" t="str">
        <f t="shared" si="199"/>
        <v/>
      </c>
      <c r="T1557" s="1" t="str">
        <f>IF(OR($C1557="",$D1557&lt;&gt;"Gelir",$L1557=""),"",IFERROR(INDEX(MUSTERILER!$B$7:$B$156,MATCH($S1557,MUSTERILER!$T$7:$T$156,0)),""))</f>
        <v/>
      </c>
      <c r="U1557" s="1" t="str">
        <f>IF($T1557="","",$T1557&amp;"|"&amp;COUNTIFS($T$7:$T1557,$T1557))</f>
        <v/>
      </c>
      <c r="V1557" s="1">
        <f t="shared" si="200"/>
        <v>0</v>
      </c>
      <c r="W1557" s="1" t="str">
        <f t="shared" si="201"/>
        <v/>
      </c>
      <c r="X1557" s="1"/>
      <c r="Y1557" s="1"/>
      <c r="Z1557" s="1"/>
      <c r="AA1557" s="1"/>
      <c r="AB1557" s="1"/>
      <c r="AC1557" s="1"/>
      <c r="AD1557" s="1">
        <f>IF($C1557="",0,SUMPRODUCT((AY_SONU!$O$7:$O$42="Evet")*(AY_SONU!$B$7:$B$42=DATE(YEAR($C1557),MONTH($C1557),1))))</f>
        <v>0</v>
      </c>
      <c r="AE1557" s="1" t="str">
        <f>IF($E1557="","",$E1557&amp;"|"&amp;COUNTIFS($E$7:$E1557,$E1557))</f>
        <v/>
      </c>
    </row>
    <row r="1558" spans="1:31" ht="18" customHeight="1" x14ac:dyDescent="0.3">
      <c r="A1558" s="2"/>
      <c r="B1558" s="65" t="str">
        <f t="shared" si="194"/>
        <v/>
      </c>
      <c r="C1558" s="66"/>
      <c r="D1558" s="60"/>
      <c r="E1558" s="61"/>
      <c r="F1558" s="61"/>
      <c r="G1558" s="67"/>
      <c r="H1558" s="60"/>
      <c r="I1558" s="60"/>
      <c r="J1558" s="61"/>
      <c r="K1558" s="61"/>
      <c r="L1558" s="60"/>
      <c r="M1558" s="74" t="str">
        <f t="shared" si="195"/>
        <v/>
      </c>
      <c r="N1558" s="74" t="str">
        <f t="shared" si="196"/>
        <v/>
      </c>
      <c r="O1558" s="73" t="str">
        <f t="shared" si="197"/>
        <v/>
      </c>
      <c r="P1558" s="65" t="str">
        <f t="shared" ca="1" si="198"/>
        <v/>
      </c>
      <c r="Q1558" s="2"/>
      <c r="R1558" s="2"/>
      <c r="S1558" s="1" t="str">
        <f t="shared" si="199"/>
        <v/>
      </c>
      <c r="T1558" s="1" t="str">
        <f>IF(OR($C1558="",$D1558&lt;&gt;"Gelir",$L1558=""),"",IFERROR(INDEX(MUSTERILER!$B$7:$B$156,MATCH($S1558,MUSTERILER!$T$7:$T$156,0)),""))</f>
        <v/>
      </c>
      <c r="U1558" s="1" t="str">
        <f>IF($T1558="","",$T1558&amp;"|"&amp;COUNTIFS($T$7:$T1558,$T1558))</f>
        <v/>
      </c>
      <c r="V1558" s="1">
        <f t="shared" si="200"/>
        <v>0</v>
      </c>
      <c r="W1558" s="1" t="str">
        <f t="shared" si="201"/>
        <v/>
      </c>
      <c r="X1558" s="1"/>
      <c r="Y1558" s="1"/>
      <c r="Z1558" s="1"/>
      <c r="AA1558" s="1"/>
      <c r="AB1558" s="1"/>
      <c r="AC1558" s="1"/>
      <c r="AD1558" s="1">
        <f>IF($C1558="",0,SUMPRODUCT((AY_SONU!$O$7:$O$42="Evet")*(AY_SONU!$B$7:$B$42=DATE(YEAR($C1558),MONTH($C1558),1))))</f>
        <v>0</v>
      </c>
      <c r="AE1558" s="1" t="str">
        <f>IF($E1558="","",$E1558&amp;"|"&amp;COUNTIFS($E$7:$E1558,$E1558))</f>
        <v/>
      </c>
    </row>
    <row r="1559" spans="1:31" ht="18" customHeight="1" x14ac:dyDescent="0.3">
      <c r="A1559" s="2"/>
      <c r="B1559" s="65" t="str">
        <f t="shared" si="194"/>
        <v/>
      </c>
      <c r="C1559" s="66"/>
      <c r="D1559" s="60"/>
      <c r="E1559" s="61"/>
      <c r="F1559" s="61"/>
      <c r="G1559" s="67"/>
      <c r="H1559" s="60"/>
      <c r="I1559" s="60"/>
      <c r="J1559" s="61"/>
      <c r="K1559" s="61"/>
      <c r="L1559" s="60"/>
      <c r="M1559" s="74" t="str">
        <f t="shared" si="195"/>
        <v/>
      </c>
      <c r="N1559" s="74" t="str">
        <f t="shared" si="196"/>
        <v/>
      </c>
      <c r="O1559" s="73" t="str">
        <f t="shared" si="197"/>
        <v/>
      </c>
      <c r="P1559" s="65" t="str">
        <f t="shared" ca="1" si="198"/>
        <v/>
      </c>
      <c r="Q1559" s="2"/>
      <c r="R1559" s="2"/>
      <c r="S1559" s="1" t="str">
        <f t="shared" si="199"/>
        <v/>
      </c>
      <c r="T1559" s="1" t="str">
        <f>IF(OR($C1559="",$D1559&lt;&gt;"Gelir",$L1559=""),"",IFERROR(INDEX(MUSTERILER!$B$7:$B$156,MATCH($S1559,MUSTERILER!$T$7:$T$156,0)),""))</f>
        <v/>
      </c>
      <c r="U1559" s="1" t="str">
        <f>IF($T1559="","",$T1559&amp;"|"&amp;COUNTIFS($T$7:$T1559,$T1559))</f>
        <v/>
      </c>
      <c r="V1559" s="1">
        <f t="shared" si="200"/>
        <v>0</v>
      </c>
      <c r="W1559" s="1" t="str">
        <f t="shared" si="201"/>
        <v/>
      </c>
      <c r="X1559" s="1"/>
      <c r="Y1559" s="1"/>
      <c r="Z1559" s="1"/>
      <c r="AA1559" s="1"/>
      <c r="AB1559" s="1"/>
      <c r="AC1559" s="1"/>
      <c r="AD1559" s="1">
        <f>IF($C1559="",0,SUMPRODUCT((AY_SONU!$O$7:$O$42="Evet")*(AY_SONU!$B$7:$B$42=DATE(YEAR($C1559),MONTH($C1559),1))))</f>
        <v>0</v>
      </c>
      <c r="AE1559" s="1" t="str">
        <f>IF($E1559="","",$E1559&amp;"|"&amp;COUNTIFS($E$7:$E1559,$E1559))</f>
        <v/>
      </c>
    </row>
    <row r="1560" spans="1:31" ht="18" customHeight="1" x14ac:dyDescent="0.3">
      <c r="A1560" s="2"/>
      <c r="B1560" s="65" t="str">
        <f t="shared" si="194"/>
        <v/>
      </c>
      <c r="C1560" s="66"/>
      <c r="D1560" s="60"/>
      <c r="E1560" s="61"/>
      <c r="F1560" s="61"/>
      <c r="G1560" s="67"/>
      <c r="H1560" s="60"/>
      <c r="I1560" s="60"/>
      <c r="J1560" s="61"/>
      <c r="K1560" s="61"/>
      <c r="L1560" s="60"/>
      <c r="M1560" s="74" t="str">
        <f t="shared" si="195"/>
        <v/>
      </c>
      <c r="N1560" s="74" t="str">
        <f t="shared" si="196"/>
        <v/>
      </c>
      <c r="O1560" s="73" t="str">
        <f t="shared" si="197"/>
        <v/>
      </c>
      <c r="P1560" s="65" t="str">
        <f t="shared" ca="1" si="198"/>
        <v/>
      </c>
      <c r="Q1560" s="2"/>
      <c r="R1560" s="2"/>
      <c r="S1560" s="1" t="str">
        <f t="shared" si="199"/>
        <v/>
      </c>
      <c r="T1560" s="1" t="str">
        <f>IF(OR($C1560="",$D1560&lt;&gt;"Gelir",$L1560=""),"",IFERROR(INDEX(MUSTERILER!$B$7:$B$156,MATCH($S1560,MUSTERILER!$T$7:$T$156,0)),""))</f>
        <v/>
      </c>
      <c r="U1560" s="1" t="str">
        <f>IF($T1560="","",$T1560&amp;"|"&amp;COUNTIFS($T$7:$T1560,$T1560))</f>
        <v/>
      </c>
      <c r="V1560" s="1">
        <f t="shared" si="200"/>
        <v>0</v>
      </c>
      <c r="W1560" s="1" t="str">
        <f t="shared" si="201"/>
        <v/>
      </c>
      <c r="X1560" s="1"/>
      <c r="Y1560" s="1"/>
      <c r="Z1560" s="1"/>
      <c r="AA1560" s="1"/>
      <c r="AB1560" s="1"/>
      <c r="AC1560" s="1"/>
      <c r="AD1560" s="1">
        <f>IF($C1560="",0,SUMPRODUCT((AY_SONU!$O$7:$O$42="Evet")*(AY_SONU!$B$7:$B$42=DATE(YEAR($C1560),MONTH($C1560),1))))</f>
        <v>0</v>
      </c>
      <c r="AE1560" s="1" t="str">
        <f>IF($E1560="","",$E1560&amp;"|"&amp;COUNTIFS($E$7:$E1560,$E1560))</f>
        <v/>
      </c>
    </row>
    <row r="1561" spans="1:31" ht="18" customHeight="1" x14ac:dyDescent="0.3">
      <c r="A1561" s="2"/>
      <c r="B1561" s="65" t="str">
        <f t="shared" si="194"/>
        <v/>
      </c>
      <c r="C1561" s="66"/>
      <c r="D1561" s="60"/>
      <c r="E1561" s="61"/>
      <c r="F1561" s="61"/>
      <c r="G1561" s="67"/>
      <c r="H1561" s="60"/>
      <c r="I1561" s="60"/>
      <c r="J1561" s="61"/>
      <c r="K1561" s="61"/>
      <c r="L1561" s="60"/>
      <c r="M1561" s="74" t="str">
        <f t="shared" si="195"/>
        <v/>
      </c>
      <c r="N1561" s="74" t="str">
        <f t="shared" si="196"/>
        <v/>
      </c>
      <c r="O1561" s="73" t="str">
        <f t="shared" si="197"/>
        <v/>
      </c>
      <c r="P1561" s="65" t="str">
        <f t="shared" ca="1" si="198"/>
        <v/>
      </c>
      <c r="Q1561" s="2"/>
      <c r="R1561" s="2"/>
      <c r="S1561" s="1" t="str">
        <f t="shared" si="199"/>
        <v/>
      </c>
      <c r="T1561" s="1" t="str">
        <f>IF(OR($C1561="",$D1561&lt;&gt;"Gelir",$L1561=""),"",IFERROR(INDEX(MUSTERILER!$B$7:$B$156,MATCH($S1561,MUSTERILER!$T$7:$T$156,0)),""))</f>
        <v/>
      </c>
      <c r="U1561" s="1" t="str">
        <f>IF($T1561="","",$T1561&amp;"|"&amp;COUNTIFS($T$7:$T1561,$T1561))</f>
        <v/>
      </c>
      <c r="V1561" s="1">
        <f t="shared" si="200"/>
        <v>0</v>
      </c>
      <c r="W1561" s="1" t="str">
        <f t="shared" si="201"/>
        <v/>
      </c>
      <c r="X1561" s="1"/>
      <c r="Y1561" s="1"/>
      <c r="Z1561" s="1"/>
      <c r="AA1561" s="1"/>
      <c r="AB1561" s="1"/>
      <c r="AC1561" s="1"/>
      <c r="AD1561" s="1">
        <f>IF($C1561="",0,SUMPRODUCT((AY_SONU!$O$7:$O$42="Evet")*(AY_SONU!$B$7:$B$42=DATE(YEAR($C1561),MONTH($C1561),1))))</f>
        <v>0</v>
      </c>
      <c r="AE1561" s="1" t="str">
        <f>IF($E1561="","",$E1561&amp;"|"&amp;COUNTIFS($E$7:$E1561,$E1561))</f>
        <v/>
      </c>
    </row>
    <row r="1562" spans="1:31" ht="18" customHeight="1" x14ac:dyDescent="0.3">
      <c r="A1562" s="2"/>
      <c r="B1562" s="65" t="str">
        <f t="shared" si="194"/>
        <v/>
      </c>
      <c r="C1562" s="66"/>
      <c r="D1562" s="60"/>
      <c r="E1562" s="61"/>
      <c r="F1562" s="61"/>
      <c r="G1562" s="67"/>
      <c r="H1562" s="60"/>
      <c r="I1562" s="60"/>
      <c r="J1562" s="61"/>
      <c r="K1562" s="61"/>
      <c r="L1562" s="60"/>
      <c r="M1562" s="74" t="str">
        <f t="shared" si="195"/>
        <v/>
      </c>
      <c r="N1562" s="74" t="str">
        <f t="shared" si="196"/>
        <v/>
      </c>
      <c r="O1562" s="73" t="str">
        <f t="shared" si="197"/>
        <v/>
      </c>
      <c r="P1562" s="65" t="str">
        <f t="shared" ca="1" si="198"/>
        <v/>
      </c>
      <c r="Q1562" s="2"/>
      <c r="R1562" s="2"/>
      <c r="S1562" s="1" t="str">
        <f t="shared" si="199"/>
        <v/>
      </c>
      <c r="T1562" s="1" t="str">
        <f>IF(OR($C1562="",$D1562&lt;&gt;"Gelir",$L1562=""),"",IFERROR(INDEX(MUSTERILER!$B$7:$B$156,MATCH($S1562,MUSTERILER!$T$7:$T$156,0)),""))</f>
        <v/>
      </c>
      <c r="U1562" s="1" t="str">
        <f>IF($T1562="","",$T1562&amp;"|"&amp;COUNTIFS($T$7:$T1562,$T1562))</f>
        <v/>
      </c>
      <c r="V1562" s="1">
        <f t="shared" si="200"/>
        <v>0</v>
      </c>
      <c r="W1562" s="1" t="str">
        <f t="shared" si="201"/>
        <v/>
      </c>
      <c r="X1562" s="1"/>
      <c r="Y1562" s="1"/>
      <c r="Z1562" s="1"/>
      <c r="AA1562" s="1"/>
      <c r="AB1562" s="1"/>
      <c r="AC1562" s="1"/>
      <c r="AD1562" s="1">
        <f>IF($C1562="",0,SUMPRODUCT((AY_SONU!$O$7:$O$42="Evet")*(AY_SONU!$B$7:$B$42=DATE(YEAR($C1562),MONTH($C1562),1))))</f>
        <v>0</v>
      </c>
      <c r="AE1562" s="1" t="str">
        <f>IF($E1562="","",$E1562&amp;"|"&amp;COUNTIFS($E$7:$E1562,$E1562))</f>
        <v/>
      </c>
    </row>
    <row r="1563" spans="1:31" ht="18" customHeight="1" x14ac:dyDescent="0.3">
      <c r="A1563" s="2"/>
      <c r="B1563" s="65" t="str">
        <f t="shared" si="194"/>
        <v/>
      </c>
      <c r="C1563" s="66"/>
      <c r="D1563" s="60"/>
      <c r="E1563" s="61"/>
      <c r="F1563" s="61"/>
      <c r="G1563" s="67"/>
      <c r="H1563" s="60"/>
      <c r="I1563" s="60"/>
      <c r="J1563" s="61"/>
      <c r="K1563" s="61"/>
      <c r="L1563" s="60"/>
      <c r="M1563" s="74" t="str">
        <f t="shared" si="195"/>
        <v/>
      </c>
      <c r="N1563" s="74" t="str">
        <f t="shared" si="196"/>
        <v/>
      </c>
      <c r="O1563" s="73" t="str">
        <f t="shared" si="197"/>
        <v/>
      </c>
      <c r="P1563" s="65" t="str">
        <f t="shared" ca="1" si="198"/>
        <v/>
      </c>
      <c r="Q1563" s="2"/>
      <c r="R1563" s="2"/>
      <c r="S1563" s="1" t="str">
        <f t="shared" si="199"/>
        <v/>
      </c>
      <c r="T1563" s="1" t="str">
        <f>IF(OR($C1563="",$D1563&lt;&gt;"Gelir",$L1563=""),"",IFERROR(INDEX(MUSTERILER!$B$7:$B$156,MATCH($S1563,MUSTERILER!$T$7:$T$156,0)),""))</f>
        <v/>
      </c>
      <c r="U1563" s="1" t="str">
        <f>IF($T1563="","",$T1563&amp;"|"&amp;COUNTIFS($T$7:$T1563,$T1563))</f>
        <v/>
      </c>
      <c r="V1563" s="1">
        <f t="shared" si="200"/>
        <v>0</v>
      </c>
      <c r="W1563" s="1" t="str">
        <f t="shared" si="201"/>
        <v/>
      </c>
      <c r="X1563" s="1"/>
      <c r="Y1563" s="1"/>
      <c r="Z1563" s="1"/>
      <c r="AA1563" s="1"/>
      <c r="AB1563" s="1"/>
      <c r="AC1563" s="1"/>
      <c r="AD1563" s="1">
        <f>IF($C1563="",0,SUMPRODUCT((AY_SONU!$O$7:$O$42="Evet")*(AY_SONU!$B$7:$B$42=DATE(YEAR($C1563),MONTH($C1563),1))))</f>
        <v>0</v>
      </c>
      <c r="AE1563" s="1" t="str">
        <f>IF($E1563="","",$E1563&amp;"|"&amp;COUNTIFS($E$7:$E1563,$E1563))</f>
        <v/>
      </c>
    </row>
    <row r="1564" spans="1:31" ht="18" customHeight="1" x14ac:dyDescent="0.3">
      <c r="A1564" s="2"/>
      <c r="B1564" s="65" t="str">
        <f t="shared" si="194"/>
        <v/>
      </c>
      <c r="C1564" s="66"/>
      <c r="D1564" s="60"/>
      <c r="E1564" s="61"/>
      <c r="F1564" s="61"/>
      <c r="G1564" s="67"/>
      <c r="H1564" s="60"/>
      <c r="I1564" s="60"/>
      <c r="J1564" s="61"/>
      <c r="K1564" s="61"/>
      <c r="L1564" s="60"/>
      <c r="M1564" s="74" t="str">
        <f t="shared" si="195"/>
        <v/>
      </c>
      <c r="N1564" s="74" t="str">
        <f t="shared" si="196"/>
        <v/>
      </c>
      <c r="O1564" s="73" t="str">
        <f t="shared" si="197"/>
        <v/>
      </c>
      <c r="P1564" s="65" t="str">
        <f t="shared" ca="1" si="198"/>
        <v/>
      </c>
      <c r="Q1564" s="2"/>
      <c r="R1564" s="2"/>
      <c r="S1564" s="1" t="str">
        <f t="shared" si="199"/>
        <v/>
      </c>
      <c r="T1564" s="1" t="str">
        <f>IF(OR($C1564="",$D1564&lt;&gt;"Gelir",$L1564=""),"",IFERROR(INDEX(MUSTERILER!$B$7:$B$156,MATCH($S1564,MUSTERILER!$T$7:$T$156,0)),""))</f>
        <v/>
      </c>
      <c r="U1564" s="1" t="str">
        <f>IF($T1564="","",$T1564&amp;"|"&amp;COUNTIFS($T$7:$T1564,$T1564))</f>
        <v/>
      </c>
      <c r="V1564" s="1">
        <f t="shared" si="200"/>
        <v>0</v>
      </c>
      <c r="W1564" s="1" t="str">
        <f t="shared" si="201"/>
        <v/>
      </c>
      <c r="X1564" s="1"/>
      <c r="Y1564" s="1"/>
      <c r="Z1564" s="1"/>
      <c r="AA1564" s="1"/>
      <c r="AB1564" s="1"/>
      <c r="AC1564" s="1"/>
      <c r="AD1564" s="1">
        <f>IF($C1564="",0,SUMPRODUCT((AY_SONU!$O$7:$O$42="Evet")*(AY_SONU!$B$7:$B$42=DATE(YEAR($C1564),MONTH($C1564),1))))</f>
        <v>0</v>
      </c>
      <c r="AE1564" s="1" t="str">
        <f>IF($E1564="","",$E1564&amp;"|"&amp;COUNTIFS($E$7:$E1564,$E1564))</f>
        <v/>
      </c>
    </row>
    <row r="1565" spans="1:31" ht="18" customHeight="1" x14ac:dyDescent="0.3">
      <c r="A1565" s="2"/>
      <c r="B1565" s="65" t="str">
        <f t="shared" si="194"/>
        <v/>
      </c>
      <c r="C1565" s="66"/>
      <c r="D1565" s="60"/>
      <c r="E1565" s="61"/>
      <c r="F1565" s="61"/>
      <c r="G1565" s="67"/>
      <c r="H1565" s="60"/>
      <c r="I1565" s="60"/>
      <c r="J1565" s="61"/>
      <c r="K1565" s="61"/>
      <c r="L1565" s="60"/>
      <c r="M1565" s="74" t="str">
        <f t="shared" si="195"/>
        <v/>
      </c>
      <c r="N1565" s="74" t="str">
        <f t="shared" si="196"/>
        <v/>
      </c>
      <c r="O1565" s="73" t="str">
        <f t="shared" si="197"/>
        <v/>
      </c>
      <c r="P1565" s="65" t="str">
        <f t="shared" ca="1" si="198"/>
        <v/>
      </c>
      <c r="Q1565" s="2"/>
      <c r="R1565" s="2"/>
      <c r="S1565" s="1" t="str">
        <f t="shared" si="199"/>
        <v/>
      </c>
      <c r="T1565" s="1" t="str">
        <f>IF(OR($C1565="",$D1565&lt;&gt;"Gelir",$L1565=""),"",IFERROR(INDEX(MUSTERILER!$B$7:$B$156,MATCH($S1565,MUSTERILER!$T$7:$T$156,0)),""))</f>
        <v/>
      </c>
      <c r="U1565" s="1" t="str">
        <f>IF($T1565="","",$T1565&amp;"|"&amp;COUNTIFS($T$7:$T1565,$T1565))</f>
        <v/>
      </c>
      <c r="V1565" s="1">
        <f t="shared" si="200"/>
        <v>0</v>
      </c>
      <c r="W1565" s="1" t="str">
        <f t="shared" si="201"/>
        <v/>
      </c>
      <c r="X1565" s="1"/>
      <c r="Y1565" s="1"/>
      <c r="Z1565" s="1"/>
      <c r="AA1565" s="1"/>
      <c r="AB1565" s="1"/>
      <c r="AC1565" s="1"/>
      <c r="AD1565" s="1">
        <f>IF($C1565="",0,SUMPRODUCT((AY_SONU!$O$7:$O$42="Evet")*(AY_SONU!$B$7:$B$42=DATE(YEAR($C1565),MONTH($C1565),1))))</f>
        <v>0</v>
      </c>
      <c r="AE1565" s="1" t="str">
        <f>IF($E1565="","",$E1565&amp;"|"&amp;COUNTIFS($E$7:$E1565,$E1565))</f>
        <v/>
      </c>
    </row>
    <row r="1566" spans="1:31" ht="18" customHeight="1" x14ac:dyDescent="0.3">
      <c r="A1566" s="2"/>
      <c r="B1566" s="65" t="str">
        <f t="shared" si="194"/>
        <v/>
      </c>
      <c r="C1566" s="66"/>
      <c r="D1566" s="60"/>
      <c r="E1566" s="61"/>
      <c r="F1566" s="61"/>
      <c r="G1566" s="67"/>
      <c r="H1566" s="60"/>
      <c r="I1566" s="60"/>
      <c r="J1566" s="61"/>
      <c r="K1566" s="61"/>
      <c r="L1566" s="60"/>
      <c r="M1566" s="74" t="str">
        <f t="shared" si="195"/>
        <v/>
      </c>
      <c r="N1566" s="74" t="str">
        <f t="shared" si="196"/>
        <v/>
      </c>
      <c r="O1566" s="73" t="str">
        <f t="shared" si="197"/>
        <v/>
      </c>
      <c r="P1566" s="65" t="str">
        <f t="shared" ca="1" si="198"/>
        <v/>
      </c>
      <c r="Q1566" s="2"/>
      <c r="R1566" s="2"/>
      <c r="S1566" s="1" t="str">
        <f t="shared" si="199"/>
        <v/>
      </c>
      <c r="T1566" s="1" t="str">
        <f>IF(OR($C1566="",$D1566&lt;&gt;"Gelir",$L1566=""),"",IFERROR(INDEX(MUSTERILER!$B$7:$B$156,MATCH($S1566,MUSTERILER!$T$7:$T$156,0)),""))</f>
        <v/>
      </c>
      <c r="U1566" s="1" t="str">
        <f>IF($T1566="","",$T1566&amp;"|"&amp;COUNTIFS($T$7:$T1566,$T1566))</f>
        <v/>
      </c>
      <c r="V1566" s="1">
        <f t="shared" si="200"/>
        <v>0</v>
      </c>
      <c r="W1566" s="1" t="str">
        <f t="shared" si="201"/>
        <v/>
      </c>
      <c r="X1566" s="1"/>
      <c r="Y1566" s="1"/>
      <c r="Z1566" s="1"/>
      <c r="AA1566" s="1"/>
      <c r="AB1566" s="1"/>
      <c r="AC1566" s="1"/>
      <c r="AD1566" s="1">
        <f>IF($C1566="",0,SUMPRODUCT((AY_SONU!$O$7:$O$42="Evet")*(AY_SONU!$B$7:$B$42=DATE(YEAR($C1566),MONTH($C1566),1))))</f>
        <v>0</v>
      </c>
      <c r="AE1566" s="1" t="str">
        <f>IF($E1566="","",$E1566&amp;"|"&amp;COUNTIFS($E$7:$E1566,$E1566))</f>
        <v/>
      </c>
    </row>
    <row r="1567" spans="1:31" ht="18" customHeight="1" x14ac:dyDescent="0.3">
      <c r="A1567" s="2"/>
      <c r="B1567" s="65" t="str">
        <f t="shared" si="194"/>
        <v/>
      </c>
      <c r="C1567" s="66"/>
      <c r="D1567" s="60"/>
      <c r="E1567" s="61"/>
      <c r="F1567" s="61"/>
      <c r="G1567" s="67"/>
      <c r="H1567" s="60"/>
      <c r="I1567" s="60"/>
      <c r="J1567" s="61"/>
      <c r="K1567" s="61"/>
      <c r="L1567" s="60"/>
      <c r="M1567" s="74" t="str">
        <f t="shared" si="195"/>
        <v/>
      </c>
      <c r="N1567" s="74" t="str">
        <f t="shared" si="196"/>
        <v/>
      </c>
      <c r="O1567" s="73" t="str">
        <f t="shared" si="197"/>
        <v/>
      </c>
      <c r="P1567" s="65" t="str">
        <f t="shared" ca="1" si="198"/>
        <v/>
      </c>
      <c r="Q1567" s="2"/>
      <c r="R1567" s="2"/>
      <c r="S1567" s="1" t="str">
        <f t="shared" si="199"/>
        <v/>
      </c>
      <c r="T1567" s="1" t="str">
        <f>IF(OR($C1567="",$D1567&lt;&gt;"Gelir",$L1567=""),"",IFERROR(INDEX(MUSTERILER!$B$7:$B$156,MATCH($S1567,MUSTERILER!$T$7:$T$156,0)),""))</f>
        <v/>
      </c>
      <c r="U1567" s="1" t="str">
        <f>IF($T1567="","",$T1567&amp;"|"&amp;COUNTIFS($T$7:$T1567,$T1567))</f>
        <v/>
      </c>
      <c r="V1567" s="1">
        <f t="shared" si="200"/>
        <v>0</v>
      </c>
      <c r="W1567" s="1" t="str">
        <f t="shared" si="201"/>
        <v/>
      </c>
      <c r="X1567" s="1"/>
      <c r="Y1567" s="1"/>
      <c r="Z1567" s="1"/>
      <c r="AA1567" s="1"/>
      <c r="AB1567" s="1"/>
      <c r="AC1567" s="1"/>
      <c r="AD1567" s="1">
        <f>IF($C1567="",0,SUMPRODUCT((AY_SONU!$O$7:$O$42="Evet")*(AY_SONU!$B$7:$B$42=DATE(YEAR($C1567),MONTH($C1567),1))))</f>
        <v>0</v>
      </c>
      <c r="AE1567" s="1" t="str">
        <f>IF($E1567="","",$E1567&amp;"|"&amp;COUNTIFS($E$7:$E1567,$E1567))</f>
        <v/>
      </c>
    </row>
    <row r="1568" spans="1:31" ht="18" customHeight="1" x14ac:dyDescent="0.3">
      <c r="A1568" s="2"/>
      <c r="B1568" s="65" t="str">
        <f t="shared" si="194"/>
        <v/>
      </c>
      <c r="C1568" s="66"/>
      <c r="D1568" s="60"/>
      <c r="E1568" s="61"/>
      <c r="F1568" s="61"/>
      <c r="G1568" s="67"/>
      <c r="H1568" s="60"/>
      <c r="I1568" s="60"/>
      <c r="J1568" s="61"/>
      <c r="K1568" s="61"/>
      <c r="L1568" s="60"/>
      <c r="M1568" s="74" t="str">
        <f t="shared" si="195"/>
        <v/>
      </c>
      <c r="N1568" s="74" t="str">
        <f t="shared" si="196"/>
        <v/>
      </c>
      <c r="O1568" s="73" t="str">
        <f t="shared" si="197"/>
        <v/>
      </c>
      <c r="P1568" s="65" t="str">
        <f t="shared" ca="1" si="198"/>
        <v/>
      </c>
      <c r="Q1568" s="2"/>
      <c r="R1568" s="2"/>
      <c r="S1568" s="1" t="str">
        <f t="shared" si="199"/>
        <v/>
      </c>
      <c r="T1568" s="1" t="str">
        <f>IF(OR($C1568="",$D1568&lt;&gt;"Gelir",$L1568=""),"",IFERROR(INDEX(MUSTERILER!$B$7:$B$156,MATCH($S1568,MUSTERILER!$T$7:$T$156,0)),""))</f>
        <v/>
      </c>
      <c r="U1568" s="1" t="str">
        <f>IF($T1568="","",$T1568&amp;"|"&amp;COUNTIFS($T$7:$T1568,$T1568))</f>
        <v/>
      </c>
      <c r="V1568" s="1">
        <f t="shared" si="200"/>
        <v>0</v>
      </c>
      <c r="W1568" s="1" t="str">
        <f t="shared" si="201"/>
        <v/>
      </c>
      <c r="X1568" s="1"/>
      <c r="Y1568" s="1"/>
      <c r="Z1568" s="1"/>
      <c r="AA1568" s="1"/>
      <c r="AB1568" s="1"/>
      <c r="AC1568" s="1"/>
      <c r="AD1568" s="1">
        <f>IF($C1568="",0,SUMPRODUCT((AY_SONU!$O$7:$O$42="Evet")*(AY_SONU!$B$7:$B$42=DATE(YEAR($C1568),MONTH($C1568),1))))</f>
        <v>0</v>
      </c>
      <c r="AE1568" s="1" t="str">
        <f>IF($E1568="","",$E1568&amp;"|"&amp;COUNTIFS($E$7:$E1568,$E1568))</f>
        <v/>
      </c>
    </row>
    <row r="1569" spans="1:31" ht="18" customHeight="1" x14ac:dyDescent="0.3">
      <c r="A1569" s="2"/>
      <c r="B1569" s="65" t="str">
        <f t="shared" si="194"/>
        <v/>
      </c>
      <c r="C1569" s="66"/>
      <c r="D1569" s="60"/>
      <c r="E1569" s="61"/>
      <c r="F1569" s="61"/>
      <c r="G1569" s="67"/>
      <c r="H1569" s="60"/>
      <c r="I1569" s="60"/>
      <c r="J1569" s="61"/>
      <c r="K1569" s="61"/>
      <c r="L1569" s="60"/>
      <c r="M1569" s="74" t="str">
        <f t="shared" si="195"/>
        <v/>
      </c>
      <c r="N1569" s="74" t="str">
        <f t="shared" si="196"/>
        <v/>
      </c>
      <c r="O1569" s="73" t="str">
        <f t="shared" si="197"/>
        <v/>
      </c>
      <c r="P1569" s="65" t="str">
        <f t="shared" ca="1" si="198"/>
        <v/>
      </c>
      <c r="Q1569" s="2"/>
      <c r="R1569" s="2"/>
      <c r="S1569" s="1" t="str">
        <f t="shared" si="199"/>
        <v/>
      </c>
      <c r="T1569" s="1" t="str">
        <f>IF(OR($C1569="",$D1569&lt;&gt;"Gelir",$L1569=""),"",IFERROR(INDEX(MUSTERILER!$B$7:$B$156,MATCH($S1569,MUSTERILER!$T$7:$T$156,0)),""))</f>
        <v/>
      </c>
      <c r="U1569" s="1" t="str">
        <f>IF($T1569="","",$T1569&amp;"|"&amp;COUNTIFS($T$7:$T1569,$T1569))</f>
        <v/>
      </c>
      <c r="V1569" s="1">
        <f t="shared" si="200"/>
        <v>0</v>
      </c>
      <c r="W1569" s="1" t="str">
        <f t="shared" si="201"/>
        <v/>
      </c>
      <c r="X1569" s="1"/>
      <c r="Y1569" s="1"/>
      <c r="Z1569" s="1"/>
      <c r="AA1569" s="1"/>
      <c r="AB1569" s="1"/>
      <c r="AC1569" s="1"/>
      <c r="AD1569" s="1">
        <f>IF($C1569="",0,SUMPRODUCT((AY_SONU!$O$7:$O$42="Evet")*(AY_SONU!$B$7:$B$42=DATE(YEAR($C1569),MONTH($C1569),1))))</f>
        <v>0</v>
      </c>
      <c r="AE1569" s="1" t="str">
        <f>IF($E1569="","",$E1569&amp;"|"&amp;COUNTIFS($E$7:$E1569,$E1569))</f>
        <v/>
      </c>
    </row>
    <row r="1570" spans="1:31" ht="18" customHeight="1" x14ac:dyDescent="0.3">
      <c r="A1570" s="2"/>
      <c r="B1570" s="65" t="str">
        <f t="shared" si="194"/>
        <v/>
      </c>
      <c r="C1570" s="66"/>
      <c r="D1570" s="60"/>
      <c r="E1570" s="61"/>
      <c r="F1570" s="61"/>
      <c r="G1570" s="67"/>
      <c r="H1570" s="60"/>
      <c r="I1570" s="60"/>
      <c r="J1570" s="61"/>
      <c r="K1570" s="61"/>
      <c r="L1570" s="60"/>
      <c r="M1570" s="74" t="str">
        <f t="shared" si="195"/>
        <v/>
      </c>
      <c r="N1570" s="74" t="str">
        <f t="shared" si="196"/>
        <v/>
      </c>
      <c r="O1570" s="73" t="str">
        <f t="shared" si="197"/>
        <v/>
      </c>
      <c r="P1570" s="65" t="str">
        <f t="shared" ca="1" si="198"/>
        <v/>
      </c>
      <c r="Q1570" s="2"/>
      <c r="R1570" s="2"/>
      <c r="S1570" s="1" t="str">
        <f t="shared" si="199"/>
        <v/>
      </c>
      <c r="T1570" s="1" t="str">
        <f>IF(OR($C1570="",$D1570&lt;&gt;"Gelir",$L1570=""),"",IFERROR(INDEX(MUSTERILER!$B$7:$B$156,MATCH($S1570,MUSTERILER!$T$7:$T$156,0)),""))</f>
        <v/>
      </c>
      <c r="U1570" s="1" t="str">
        <f>IF($T1570="","",$T1570&amp;"|"&amp;COUNTIFS($T$7:$T1570,$T1570))</f>
        <v/>
      </c>
      <c r="V1570" s="1">
        <f t="shared" si="200"/>
        <v>0</v>
      </c>
      <c r="W1570" s="1" t="str">
        <f t="shared" si="201"/>
        <v/>
      </c>
      <c r="X1570" s="1"/>
      <c r="Y1570" s="1"/>
      <c r="Z1570" s="1"/>
      <c r="AA1570" s="1"/>
      <c r="AB1570" s="1"/>
      <c r="AC1570" s="1"/>
      <c r="AD1570" s="1">
        <f>IF($C1570="",0,SUMPRODUCT((AY_SONU!$O$7:$O$42="Evet")*(AY_SONU!$B$7:$B$42=DATE(YEAR($C1570),MONTH($C1570),1))))</f>
        <v>0</v>
      </c>
      <c r="AE1570" s="1" t="str">
        <f>IF($E1570="","",$E1570&amp;"|"&amp;COUNTIFS($E$7:$E1570,$E1570))</f>
        <v/>
      </c>
    </row>
    <row r="1571" spans="1:31" ht="18" customHeight="1" x14ac:dyDescent="0.3">
      <c r="A1571" s="2"/>
      <c r="B1571" s="65" t="str">
        <f t="shared" si="194"/>
        <v/>
      </c>
      <c r="C1571" s="66"/>
      <c r="D1571" s="60"/>
      <c r="E1571" s="61"/>
      <c r="F1571" s="61"/>
      <c r="G1571" s="67"/>
      <c r="H1571" s="60"/>
      <c r="I1571" s="60"/>
      <c r="J1571" s="61"/>
      <c r="K1571" s="61"/>
      <c r="L1571" s="60"/>
      <c r="M1571" s="74" t="str">
        <f t="shared" si="195"/>
        <v/>
      </c>
      <c r="N1571" s="74" t="str">
        <f t="shared" si="196"/>
        <v/>
      </c>
      <c r="O1571" s="73" t="str">
        <f t="shared" si="197"/>
        <v/>
      </c>
      <c r="P1571" s="65" t="str">
        <f t="shared" ca="1" si="198"/>
        <v/>
      </c>
      <c r="Q1571" s="2"/>
      <c r="R1571" s="2"/>
      <c r="S1571" s="1" t="str">
        <f t="shared" si="199"/>
        <v/>
      </c>
      <c r="T1571" s="1" t="str">
        <f>IF(OR($C1571="",$D1571&lt;&gt;"Gelir",$L1571=""),"",IFERROR(INDEX(MUSTERILER!$B$7:$B$156,MATCH($S1571,MUSTERILER!$T$7:$T$156,0)),""))</f>
        <v/>
      </c>
      <c r="U1571" s="1" t="str">
        <f>IF($T1571="","",$T1571&amp;"|"&amp;COUNTIFS($T$7:$T1571,$T1571))</f>
        <v/>
      </c>
      <c r="V1571" s="1">
        <f t="shared" si="200"/>
        <v>0</v>
      </c>
      <c r="W1571" s="1" t="str">
        <f t="shared" si="201"/>
        <v/>
      </c>
      <c r="X1571" s="1"/>
      <c r="Y1571" s="1"/>
      <c r="Z1571" s="1"/>
      <c r="AA1571" s="1"/>
      <c r="AB1571" s="1"/>
      <c r="AC1571" s="1"/>
      <c r="AD1571" s="1">
        <f>IF($C1571="",0,SUMPRODUCT((AY_SONU!$O$7:$O$42="Evet")*(AY_SONU!$B$7:$B$42=DATE(YEAR($C1571),MONTH($C1571),1))))</f>
        <v>0</v>
      </c>
      <c r="AE1571" s="1" t="str">
        <f>IF($E1571="","",$E1571&amp;"|"&amp;COUNTIFS($E$7:$E1571,$E1571))</f>
        <v/>
      </c>
    </row>
    <row r="1572" spans="1:31" ht="18" customHeight="1" x14ac:dyDescent="0.3">
      <c r="A1572" s="2"/>
      <c r="B1572" s="65" t="str">
        <f t="shared" si="194"/>
        <v/>
      </c>
      <c r="C1572" s="66"/>
      <c r="D1572" s="60"/>
      <c r="E1572" s="61"/>
      <c r="F1572" s="61"/>
      <c r="G1572" s="67"/>
      <c r="H1572" s="60"/>
      <c r="I1572" s="60"/>
      <c r="J1572" s="61"/>
      <c r="K1572" s="61"/>
      <c r="L1572" s="60"/>
      <c r="M1572" s="74" t="str">
        <f t="shared" si="195"/>
        <v/>
      </c>
      <c r="N1572" s="74" t="str">
        <f t="shared" si="196"/>
        <v/>
      </c>
      <c r="O1572" s="73" t="str">
        <f t="shared" si="197"/>
        <v/>
      </c>
      <c r="P1572" s="65" t="str">
        <f t="shared" ca="1" si="198"/>
        <v/>
      </c>
      <c r="Q1572" s="2"/>
      <c r="R1572" s="2"/>
      <c r="S1572" s="1" t="str">
        <f t="shared" si="199"/>
        <v/>
      </c>
      <c r="T1572" s="1" t="str">
        <f>IF(OR($C1572="",$D1572&lt;&gt;"Gelir",$L1572=""),"",IFERROR(INDEX(MUSTERILER!$B$7:$B$156,MATCH($S1572,MUSTERILER!$T$7:$T$156,0)),""))</f>
        <v/>
      </c>
      <c r="U1572" s="1" t="str">
        <f>IF($T1572="","",$T1572&amp;"|"&amp;COUNTIFS($T$7:$T1572,$T1572))</f>
        <v/>
      </c>
      <c r="V1572" s="1">
        <f t="shared" si="200"/>
        <v>0</v>
      </c>
      <c r="W1572" s="1" t="str">
        <f t="shared" si="201"/>
        <v/>
      </c>
      <c r="X1572" s="1"/>
      <c r="Y1572" s="1"/>
      <c r="Z1572" s="1"/>
      <c r="AA1572" s="1"/>
      <c r="AB1572" s="1"/>
      <c r="AC1572" s="1"/>
      <c r="AD1572" s="1">
        <f>IF($C1572="",0,SUMPRODUCT((AY_SONU!$O$7:$O$42="Evet")*(AY_SONU!$B$7:$B$42=DATE(YEAR($C1572),MONTH($C1572),1))))</f>
        <v>0</v>
      </c>
      <c r="AE1572" s="1" t="str">
        <f>IF($E1572="","",$E1572&amp;"|"&amp;COUNTIFS($E$7:$E1572,$E1572))</f>
        <v/>
      </c>
    </row>
    <row r="1573" spans="1:31" ht="18" customHeight="1" x14ac:dyDescent="0.3">
      <c r="A1573" s="2"/>
      <c r="B1573" s="65" t="str">
        <f t="shared" si="194"/>
        <v/>
      </c>
      <c r="C1573" s="66"/>
      <c r="D1573" s="60"/>
      <c r="E1573" s="61"/>
      <c r="F1573" s="61"/>
      <c r="G1573" s="67"/>
      <c r="H1573" s="60"/>
      <c r="I1573" s="60"/>
      <c r="J1573" s="61"/>
      <c r="K1573" s="61"/>
      <c r="L1573" s="60"/>
      <c r="M1573" s="74" t="str">
        <f t="shared" si="195"/>
        <v/>
      </c>
      <c r="N1573" s="74" t="str">
        <f t="shared" si="196"/>
        <v/>
      </c>
      <c r="O1573" s="73" t="str">
        <f t="shared" si="197"/>
        <v/>
      </c>
      <c r="P1573" s="65" t="str">
        <f t="shared" ca="1" si="198"/>
        <v/>
      </c>
      <c r="Q1573" s="2"/>
      <c r="R1573" s="2"/>
      <c r="S1573" s="1" t="str">
        <f t="shared" si="199"/>
        <v/>
      </c>
      <c r="T1573" s="1" t="str">
        <f>IF(OR($C1573="",$D1573&lt;&gt;"Gelir",$L1573=""),"",IFERROR(INDEX(MUSTERILER!$B$7:$B$156,MATCH($S1573,MUSTERILER!$T$7:$T$156,0)),""))</f>
        <v/>
      </c>
      <c r="U1573" s="1" t="str">
        <f>IF($T1573="","",$T1573&amp;"|"&amp;COUNTIFS($T$7:$T1573,$T1573))</f>
        <v/>
      </c>
      <c r="V1573" s="1">
        <f t="shared" si="200"/>
        <v>0</v>
      </c>
      <c r="W1573" s="1" t="str">
        <f t="shared" si="201"/>
        <v/>
      </c>
      <c r="X1573" s="1"/>
      <c r="Y1573" s="1"/>
      <c r="Z1573" s="1"/>
      <c r="AA1573" s="1"/>
      <c r="AB1573" s="1"/>
      <c r="AC1573" s="1"/>
      <c r="AD1573" s="1">
        <f>IF($C1573="",0,SUMPRODUCT((AY_SONU!$O$7:$O$42="Evet")*(AY_SONU!$B$7:$B$42=DATE(YEAR($C1573),MONTH($C1573),1))))</f>
        <v>0</v>
      </c>
      <c r="AE1573" s="1" t="str">
        <f>IF($E1573="","",$E1573&amp;"|"&amp;COUNTIFS($E$7:$E1573,$E1573))</f>
        <v/>
      </c>
    </row>
    <row r="1574" spans="1:31" ht="18" customHeight="1" x14ac:dyDescent="0.3">
      <c r="A1574" s="2"/>
      <c r="B1574" s="65" t="str">
        <f t="shared" si="194"/>
        <v/>
      </c>
      <c r="C1574" s="66"/>
      <c r="D1574" s="60"/>
      <c r="E1574" s="61"/>
      <c r="F1574" s="61"/>
      <c r="G1574" s="67"/>
      <c r="H1574" s="60"/>
      <c r="I1574" s="60"/>
      <c r="J1574" s="61"/>
      <c r="K1574" s="61"/>
      <c r="L1574" s="60"/>
      <c r="M1574" s="74" t="str">
        <f t="shared" si="195"/>
        <v/>
      </c>
      <c r="N1574" s="74" t="str">
        <f t="shared" si="196"/>
        <v/>
      </c>
      <c r="O1574" s="73" t="str">
        <f t="shared" si="197"/>
        <v/>
      </c>
      <c r="P1574" s="65" t="str">
        <f t="shared" ca="1" si="198"/>
        <v/>
      </c>
      <c r="Q1574" s="2"/>
      <c r="R1574" s="2"/>
      <c r="S1574" s="1" t="str">
        <f t="shared" si="199"/>
        <v/>
      </c>
      <c r="T1574" s="1" t="str">
        <f>IF(OR($C1574="",$D1574&lt;&gt;"Gelir",$L1574=""),"",IFERROR(INDEX(MUSTERILER!$B$7:$B$156,MATCH($S1574,MUSTERILER!$T$7:$T$156,0)),""))</f>
        <v/>
      </c>
      <c r="U1574" s="1" t="str">
        <f>IF($T1574="","",$T1574&amp;"|"&amp;COUNTIFS($T$7:$T1574,$T1574))</f>
        <v/>
      </c>
      <c r="V1574" s="1">
        <f t="shared" si="200"/>
        <v>0</v>
      </c>
      <c r="W1574" s="1" t="str">
        <f t="shared" si="201"/>
        <v/>
      </c>
      <c r="X1574" s="1"/>
      <c r="Y1574" s="1"/>
      <c r="Z1574" s="1"/>
      <c r="AA1574" s="1"/>
      <c r="AB1574" s="1"/>
      <c r="AC1574" s="1"/>
      <c r="AD1574" s="1">
        <f>IF($C1574="",0,SUMPRODUCT((AY_SONU!$O$7:$O$42="Evet")*(AY_SONU!$B$7:$B$42=DATE(YEAR($C1574),MONTH($C1574),1))))</f>
        <v>0</v>
      </c>
      <c r="AE1574" s="1" t="str">
        <f>IF($E1574="","",$E1574&amp;"|"&amp;COUNTIFS($E$7:$E1574,$E1574))</f>
        <v/>
      </c>
    </row>
    <row r="1575" spans="1:31" ht="18" customHeight="1" x14ac:dyDescent="0.3">
      <c r="A1575" s="2"/>
      <c r="B1575" s="65" t="str">
        <f t="shared" si="194"/>
        <v/>
      </c>
      <c r="C1575" s="66"/>
      <c r="D1575" s="60"/>
      <c r="E1575" s="61"/>
      <c r="F1575" s="61"/>
      <c r="G1575" s="67"/>
      <c r="H1575" s="60"/>
      <c r="I1575" s="60"/>
      <c r="J1575" s="61"/>
      <c r="K1575" s="61"/>
      <c r="L1575" s="60"/>
      <c r="M1575" s="74" t="str">
        <f t="shared" si="195"/>
        <v/>
      </c>
      <c r="N1575" s="74" t="str">
        <f t="shared" si="196"/>
        <v/>
      </c>
      <c r="O1575" s="73" t="str">
        <f t="shared" si="197"/>
        <v/>
      </c>
      <c r="P1575" s="65" t="str">
        <f t="shared" ca="1" si="198"/>
        <v/>
      </c>
      <c r="Q1575" s="2"/>
      <c r="R1575" s="2"/>
      <c r="S1575" s="1" t="str">
        <f t="shared" si="199"/>
        <v/>
      </c>
      <c r="T1575" s="1" t="str">
        <f>IF(OR($C1575="",$D1575&lt;&gt;"Gelir",$L1575=""),"",IFERROR(INDEX(MUSTERILER!$B$7:$B$156,MATCH($S1575,MUSTERILER!$T$7:$T$156,0)),""))</f>
        <v/>
      </c>
      <c r="U1575" s="1" t="str">
        <f>IF($T1575="","",$T1575&amp;"|"&amp;COUNTIFS($T$7:$T1575,$T1575))</f>
        <v/>
      </c>
      <c r="V1575" s="1">
        <f t="shared" si="200"/>
        <v>0</v>
      </c>
      <c r="W1575" s="1" t="str">
        <f t="shared" si="201"/>
        <v/>
      </c>
      <c r="X1575" s="1"/>
      <c r="Y1575" s="1"/>
      <c r="Z1575" s="1"/>
      <c r="AA1575" s="1"/>
      <c r="AB1575" s="1"/>
      <c r="AC1575" s="1"/>
      <c r="AD1575" s="1">
        <f>IF($C1575="",0,SUMPRODUCT((AY_SONU!$O$7:$O$42="Evet")*(AY_SONU!$B$7:$B$42=DATE(YEAR($C1575),MONTH($C1575),1))))</f>
        <v>0</v>
      </c>
      <c r="AE1575" s="1" t="str">
        <f>IF($E1575="","",$E1575&amp;"|"&amp;COUNTIFS($E$7:$E1575,$E1575))</f>
        <v/>
      </c>
    </row>
    <row r="1576" spans="1:31" ht="18" customHeight="1" x14ac:dyDescent="0.3">
      <c r="A1576" s="2"/>
      <c r="B1576" s="65" t="str">
        <f t="shared" si="194"/>
        <v/>
      </c>
      <c r="C1576" s="66"/>
      <c r="D1576" s="60"/>
      <c r="E1576" s="61"/>
      <c r="F1576" s="61"/>
      <c r="G1576" s="67"/>
      <c r="H1576" s="60"/>
      <c r="I1576" s="60"/>
      <c r="J1576" s="61"/>
      <c r="K1576" s="61"/>
      <c r="L1576" s="60"/>
      <c r="M1576" s="74" t="str">
        <f t="shared" si="195"/>
        <v/>
      </c>
      <c r="N1576" s="74" t="str">
        <f t="shared" si="196"/>
        <v/>
      </c>
      <c r="O1576" s="73" t="str">
        <f t="shared" si="197"/>
        <v/>
      </c>
      <c r="P1576" s="65" t="str">
        <f t="shared" ca="1" si="198"/>
        <v/>
      </c>
      <c r="Q1576" s="2"/>
      <c r="R1576" s="2"/>
      <c r="S1576" s="1" t="str">
        <f t="shared" si="199"/>
        <v/>
      </c>
      <c r="T1576" s="1" t="str">
        <f>IF(OR($C1576="",$D1576&lt;&gt;"Gelir",$L1576=""),"",IFERROR(INDEX(MUSTERILER!$B$7:$B$156,MATCH($S1576,MUSTERILER!$T$7:$T$156,0)),""))</f>
        <v/>
      </c>
      <c r="U1576" s="1" t="str">
        <f>IF($T1576="","",$T1576&amp;"|"&amp;COUNTIFS($T$7:$T1576,$T1576))</f>
        <v/>
      </c>
      <c r="V1576" s="1">
        <f t="shared" si="200"/>
        <v>0</v>
      </c>
      <c r="W1576" s="1" t="str">
        <f t="shared" si="201"/>
        <v/>
      </c>
      <c r="X1576" s="1"/>
      <c r="Y1576" s="1"/>
      <c r="Z1576" s="1"/>
      <c r="AA1576" s="1"/>
      <c r="AB1576" s="1"/>
      <c r="AC1576" s="1"/>
      <c r="AD1576" s="1">
        <f>IF($C1576="",0,SUMPRODUCT((AY_SONU!$O$7:$O$42="Evet")*(AY_SONU!$B$7:$B$42=DATE(YEAR($C1576),MONTH($C1576),1))))</f>
        <v>0</v>
      </c>
      <c r="AE1576" s="1" t="str">
        <f>IF($E1576="","",$E1576&amp;"|"&amp;COUNTIFS($E$7:$E1576,$E1576))</f>
        <v/>
      </c>
    </row>
    <row r="1577" spans="1:31" ht="18" customHeight="1" x14ac:dyDescent="0.3">
      <c r="A1577" s="2"/>
      <c r="B1577" s="65" t="str">
        <f t="shared" si="194"/>
        <v/>
      </c>
      <c r="C1577" s="66"/>
      <c r="D1577" s="60"/>
      <c r="E1577" s="61"/>
      <c r="F1577" s="61"/>
      <c r="G1577" s="67"/>
      <c r="H1577" s="60"/>
      <c r="I1577" s="60"/>
      <c r="J1577" s="61"/>
      <c r="K1577" s="61"/>
      <c r="L1577" s="60"/>
      <c r="M1577" s="74" t="str">
        <f t="shared" si="195"/>
        <v/>
      </c>
      <c r="N1577" s="74" t="str">
        <f t="shared" si="196"/>
        <v/>
      </c>
      <c r="O1577" s="73" t="str">
        <f t="shared" si="197"/>
        <v/>
      </c>
      <c r="P1577" s="65" t="str">
        <f t="shared" ca="1" si="198"/>
        <v/>
      </c>
      <c r="Q1577" s="2"/>
      <c r="R1577" s="2"/>
      <c r="S1577" s="1" t="str">
        <f t="shared" si="199"/>
        <v/>
      </c>
      <c r="T1577" s="1" t="str">
        <f>IF(OR($C1577="",$D1577&lt;&gt;"Gelir",$L1577=""),"",IFERROR(INDEX(MUSTERILER!$B$7:$B$156,MATCH($S1577,MUSTERILER!$T$7:$T$156,0)),""))</f>
        <v/>
      </c>
      <c r="U1577" s="1" t="str">
        <f>IF($T1577="","",$T1577&amp;"|"&amp;COUNTIFS($T$7:$T1577,$T1577))</f>
        <v/>
      </c>
      <c r="V1577" s="1">
        <f t="shared" si="200"/>
        <v>0</v>
      </c>
      <c r="W1577" s="1" t="str">
        <f t="shared" si="201"/>
        <v/>
      </c>
      <c r="X1577" s="1"/>
      <c r="Y1577" s="1"/>
      <c r="Z1577" s="1"/>
      <c r="AA1577" s="1"/>
      <c r="AB1577" s="1"/>
      <c r="AC1577" s="1"/>
      <c r="AD1577" s="1">
        <f>IF($C1577="",0,SUMPRODUCT((AY_SONU!$O$7:$O$42="Evet")*(AY_SONU!$B$7:$B$42=DATE(YEAR($C1577),MONTH($C1577),1))))</f>
        <v>0</v>
      </c>
      <c r="AE1577" s="1" t="str">
        <f>IF($E1577="","",$E1577&amp;"|"&amp;COUNTIFS($E$7:$E1577,$E1577))</f>
        <v/>
      </c>
    </row>
    <row r="1578" spans="1:31" ht="18" customHeight="1" x14ac:dyDescent="0.3">
      <c r="A1578" s="2"/>
      <c r="B1578" s="65" t="str">
        <f t="shared" si="194"/>
        <v/>
      </c>
      <c r="C1578" s="66"/>
      <c r="D1578" s="60"/>
      <c r="E1578" s="61"/>
      <c r="F1578" s="61"/>
      <c r="G1578" s="67"/>
      <c r="H1578" s="60"/>
      <c r="I1578" s="60"/>
      <c r="J1578" s="61"/>
      <c r="K1578" s="61"/>
      <c r="L1578" s="60"/>
      <c r="M1578" s="74" t="str">
        <f t="shared" si="195"/>
        <v/>
      </c>
      <c r="N1578" s="74" t="str">
        <f t="shared" si="196"/>
        <v/>
      </c>
      <c r="O1578" s="73" t="str">
        <f t="shared" si="197"/>
        <v/>
      </c>
      <c r="P1578" s="65" t="str">
        <f t="shared" ca="1" si="198"/>
        <v/>
      </c>
      <c r="Q1578" s="2"/>
      <c r="R1578" s="2"/>
      <c r="S1578" s="1" t="str">
        <f t="shared" si="199"/>
        <v/>
      </c>
      <c r="T1578" s="1" t="str">
        <f>IF(OR($C1578="",$D1578&lt;&gt;"Gelir",$L1578=""),"",IFERROR(INDEX(MUSTERILER!$B$7:$B$156,MATCH($S1578,MUSTERILER!$T$7:$T$156,0)),""))</f>
        <v/>
      </c>
      <c r="U1578" s="1" t="str">
        <f>IF($T1578="","",$T1578&amp;"|"&amp;COUNTIFS($T$7:$T1578,$T1578))</f>
        <v/>
      </c>
      <c r="V1578" s="1">
        <f t="shared" si="200"/>
        <v>0</v>
      </c>
      <c r="W1578" s="1" t="str">
        <f t="shared" si="201"/>
        <v/>
      </c>
      <c r="X1578" s="1"/>
      <c r="Y1578" s="1"/>
      <c r="Z1578" s="1"/>
      <c r="AA1578" s="1"/>
      <c r="AB1578" s="1"/>
      <c r="AC1578" s="1"/>
      <c r="AD1578" s="1">
        <f>IF($C1578="",0,SUMPRODUCT((AY_SONU!$O$7:$O$42="Evet")*(AY_SONU!$B$7:$B$42=DATE(YEAR($C1578),MONTH($C1578),1))))</f>
        <v>0</v>
      </c>
      <c r="AE1578" s="1" t="str">
        <f>IF($E1578="","",$E1578&amp;"|"&amp;COUNTIFS($E$7:$E1578,$E1578))</f>
        <v/>
      </c>
    </row>
    <row r="1579" spans="1:31" ht="18" customHeight="1" x14ac:dyDescent="0.3">
      <c r="A1579" s="2"/>
      <c r="B1579" s="65" t="str">
        <f t="shared" si="194"/>
        <v/>
      </c>
      <c r="C1579" s="66"/>
      <c r="D1579" s="60"/>
      <c r="E1579" s="61"/>
      <c r="F1579" s="61"/>
      <c r="G1579" s="67"/>
      <c r="H1579" s="60"/>
      <c r="I1579" s="60"/>
      <c r="J1579" s="61"/>
      <c r="K1579" s="61"/>
      <c r="L1579" s="60"/>
      <c r="M1579" s="74" t="str">
        <f t="shared" si="195"/>
        <v/>
      </c>
      <c r="N1579" s="74" t="str">
        <f t="shared" si="196"/>
        <v/>
      </c>
      <c r="O1579" s="73" t="str">
        <f t="shared" si="197"/>
        <v/>
      </c>
      <c r="P1579" s="65" t="str">
        <f t="shared" ca="1" si="198"/>
        <v/>
      </c>
      <c r="Q1579" s="2"/>
      <c r="R1579" s="2"/>
      <c r="S1579" s="1" t="str">
        <f t="shared" si="199"/>
        <v/>
      </c>
      <c r="T1579" s="1" t="str">
        <f>IF(OR($C1579="",$D1579&lt;&gt;"Gelir",$L1579=""),"",IFERROR(INDEX(MUSTERILER!$B$7:$B$156,MATCH($S1579,MUSTERILER!$T$7:$T$156,0)),""))</f>
        <v/>
      </c>
      <c r="U1579" s="1" t="str">
        <f>IF($T1579="","",$T1579&amp;"|"&amp;COUNTIFS($T$7:$T1579,$T1579))</f>
        <v/>
      </c>
      <c r="V1579" s="1">
        <f t="shared" si="200"/>
        <v>0</v>
      </c>
      <c r="W1579" s="1" t="str">
        <f t="shared" si="201"/>
        <v/>
      </c>
      <c r="X1579" s="1"/>
      <c r="Y1579" s="1"/>
      <c r="Z1579" s="1"/>
      <c r="AA1579" s="1"/>
      <c r="AB1579" s="1"/>
      <c r="AC1579" s="1"/>
      <c r="AD1579" s="1">
        <f>IF($C1579="",0,SUMPRODUCT((AY_SONU!$O$7:$O$42="Evet")*(AY_SONU!$B$7:$B$42=DATE(YEAR($C1579),MONTH($C1579),1))))</f>
        <v>0</v>
      </c>
      <c r="AE1579" s="1" t="str">
        <f>IF($E1579="","",$E1579&amp;"|"&amp;COUNTIFS($E$7:$E1579,$E1579))</f>
        <v/>
      </c>
    </row>
    <row r="1580" spans="1:31" ht="18" customHeight="1" x14ac:dyDescent="0.3">
      <c r="A1580" s="2"/>
      <c r="B1580" s="65" t="str">
        <f t="shared" si="194"/>
        <v/>
      </c>
      <c r="C1580" s="66"/>
      <c r="D1580" s="60"/>
      <c r="E1580" s="61"/>
      <c r="F1580" s="61"/>
      <c r="G1580" s="67"/>
      <c r="H1580" s="60"/>
      <c r="I1580" s="60"/>
      <c r="J1580" s="61"/>
      <c r="K1580" s="61"/>
      <c r="L1580" s="60"/>
      <c r="M1580" s="74" t="str">
        <f t="shared" si="195"/>
        <v/>
      </c>
      <c r="N1580" s="74" t="str">
        <f t="shared" si="196"/>
        <v/>
      </c>
      <c r="O1580" s="73" t="str">
        <f t="shared" si="197"/>
        <v/>
      </c>
      <c r="P1580" s="65" t="str">
        <f t="shared" ca="1" si="198"/>
        <v/>
      </c>
      <c r="Q1580" s="2"/>
      <c r="R1580" s="2"/>
      <c r="S1580" s="1" t="str">
        <f t="shared" si="199"/>
        <v/>
      </c>
      <c r="T1580" s="1" t="str">
        <f>IF(OR($C1580="",$D1580&lt;&gt;"Gelir",$L1580=""),"",IFERROR(INDEX(MUSTERILER!$B$7:$B$156,MATCH($S1580,MUSTERILER!$T$7:$T$156,0)),""))</f>
        <v/>
      </c>
      <c r="U1580" s="1" t="str">
        <f>IF($T1580="","",$T1580&amp;"|"&amp;COUNTIFS($T$7:$T1580,$T1580))</f>
        <v/>
      </c>
      <c r="V1580" s="1">
        <f t="shared" si="200"/>
        <v>0</v>
      </c>
      <c r="W1580" s="1" t="str">
        <f t="shared" si="201"/>
        <v/>
      </c>
      <c r="X1580" s="1"/>
      <c r="Y1580" s="1"/>
      <c r="Z1580" s="1"/>
      <c r="AA1580" s="1"/>
      <c r="AB1580" s="1"/>
      <c r="AC1580" s="1"/>
      <c r="AD1580" s="1">
        <f>IF($C1580="",0,SUMPRODUCT((AY_SONU!$O$7:$O$42="Evet")*(AY_SONU!$B$7:$B$42=DATE(YEAR($C1580),MONTH($C1580),1))))</f>
        <v>0</v>
      </c>
      <c r="AE1580" s="1" t="str">
        <f>IF($E1580="","",$E1580&amp;"|"&amp;COUNTIFS($E$7:$E1580,$E1580))</f>
        <v/>
      </c>
    </row>
    <row r="1581" spans="1:31" ht="18" customHeight="1" x14ac:dyDescent="0.3">
      <c r="A1581" s="2"/>
      <c r="B1581" s="65" t="str">
        <f t="shared" si="194"/>
        <v/>
      </c>
      <c r="C1581" s="66"/>
      <c r="D1581" s="60"/>
      <c r="E1581" s="61"/>
      <c r="F1581" s="61"/>
      <c r="G1581" s="67"/>
      <c r="H1581" s="60"/>
      <c r="I1581" s="60"/>
      <c r="J1581" s="61"/>
      <c r="K1581" s="61"/>
      <c r="L1581" s="60"/>
      <c r="M1581" s="74" t="str">
        <f t="shared" si="195"/>
        <v/>
      </c>
      <c r="N1581" s="74" t="str">
        <f t="shared" si="196"/>
        <v/>
      </c>
      <c r="O1581" s="73" t="str">
        <f t="shared" si="197"/>
        <v/>
      </c>
      <c r="P1581" s="65" t="str">
        <f t="shared" ca="1" si="198"/>
        <v/>
      </c>
      <c r="Q1581" s="2"/>
      <c r="R1581" s="2"/>
      <c r="S1581" s="1" t="str">
        <f t="shared" si="199"/>
        <v/>
      </c>
      <c r="T1581" s="1" t="str">
        <f>IF(OR($C1581="",$D1581&lt;&gt;"Gelir",$L1581=""),"",IFERROR(INDEX(MUSTERILER!$B$7:$B$156,MATCH($S1581,MUSTERILER!$T$7:$T$156,0)),""))</f>
        <v/>
      </c>
      <c r="U1581" s="1" t="str">
        <f>IF($T1581="","",$T1581&amp;"|"&amp;COUNTIFS($T$7:$T1581,$T1581))</f>
        <v/>
      </c>
      <c r="V1581" s="1">
        <f t="shared" si="200"/>
        <v>0</v>
      </c>
      <c r="W1581" s="1" t="str">
        <f t="shared" si="201"/>
        <v/>
      </c>
      <c r="X1581" s="1"/>
      <c r="Y1581" s="1"/>
      <c r="Z1581" s="1"/>
      <c r="AA1581" s="1"/>
      <c r="AB1581" s="1"/>
      <c r="AC1581" s="1"/>
      <c r="AD1581" s="1">
        <f>IF($C1581="",0,SUMPRODUCT((AY_SONU!$O$7:$O$42="Evet")*(AY_SONU!$B$7:$B$42=DATE(YEAR($C1581),MONTH($C1581),1))))</f>
        <v>0</v>
      </c>
      <c r="AE1581" s="1" t="str">
        <f>IF($E1581="","",$E1581&amp;"|"&amp;COUNTIFS($E$7:$E1581,$E1581))</f>
        <v/>
      </c>
    </row>
    <row r="1582" spans="1:31" ht="18" customHeight="1" x14ac:dyDescent="0.3">
      <c r="A1582" s="2"/>
      <c r="B1582" s="65" t="str">
        <f t="shared" si="194"/>
        <v/>
      </c>
      <c r="C1582" s="66"/>
      <c r="D1582" s="60"/>
      <c r="E1582" s="61"/>
      <c r="F1582" s="61"/>
      <c r="G1582" s="67"/>
      <c r="H1582" s="60"/>
      <c r="I1582" s="60"/>
      <c r="J1582" s="61"/>
      <c r="K1582" s="61"/>
      <c r="L1582" s="60"/>
      <c r="M1582" s="74" t="str">
        <f t="shared" si="195"/>
        <v/>
      </c>
      <c r="N1582" s="74" t="str">
        <f t="shared" si="196"/>
        <v/>
      </c>
      <c r="O1582" s="73" t="str">
        <f t="shared" si="197"/>
        <v/>
      </c>
      <c r="P1582" s="65" t="str">
        <f t="shared" ca="1" si="198"/>
        <v/>
      </c>
      <c r="Q1582" s="2"/>
      <c r="R1582" s="2"/>
      <c r="S1582" s="1" t="str">
        <f t="shared" si="199"/>
        <v/>
      </c>
      <c r="T1582" s="1" t="str">
        <f>IF(OR($C1582="",$D1582&lt;&gt;"Gelir",$L1582=""),"",IFERROR(INDEX(MUSTERILER!$B$7:$B$156,MATCH($S1582,MUSTERILER!$T$7:$T$156,0)),""))</f>
        <v/>
      </c>
      <c r="U1582" s="1" t="str">
        <f>IF($T1582="","",$T1582&amp;"|"&amp;COUNTIFS($T$7:$T1582,$T1582))</f>
        <v/>
      </c>
      <c r="V1582" s="1">
        <f t="shared" si="200"/>
        <v>0</v>
      </c>
      <c r="W1582" s="1" t="str">
        <f t="shared" si="201"/>
        <v/>
      </c>
      <c r="X1582" s="1"/>
      <c r="Y1582" s="1"/>
      <c r="Z1582" s="1"/>
      <c r="AA1582" s="1"/>
      <c r="AB1582" s="1"/>
      <c r="AC1582" s="1"/>
      <c r="AD1582" s="1">
        <f>IF($C1582="",0,SUMPRODUCT((AY_SONU!$O$7:$O$42="Evet")*(AY_SONU!$B$7:$B$42=DATE(YEAR($C1582),MONTH($C1582),1))))</f>
        <v>0</v>
      </c>
      <c r="AE1582" s="1" t="str">
        <f>IF($E1582="","",$E1582&amp;"|"&amp;COUNTIFS($E$7:$E1582,$E1582))</f>
        <v/>
      </c>
    </row>
    <row r="1583" spans="1:31" ht="18" customHeight="1" x14ac:dyDescent="0.3">
      <c r="A1583" s="2"/>
      <c r="B1583" s="65" t="str">
        <f t="shared" si="194"/>
        <v/>
      </c>
      <c r="C1583" s="66"/>
      <c r="D1583" s="60"/>
      <c r="E1583" s="61"/>
      <c r="F1583" s="61"/>
      <c r="G1583" s="67"/>
      <c r="H1583" s="60"/>
      <c r="I1583" s="60"/>
      <c r="J1583" s="61"/>
      <c r="K1583" s="61"/>
      <c r="L1583" s="60"/>
      <c r="M1583" s="74" t="str">
        <f t="shared" si="195"/>
        <v/>
      </c>
      <c r="N1583" s="74" t="str">
        <f t="shared" si="196"/>
        <v/>
      </c>
      <c r="O1583" s="73" t="str">
        <f t="shared" si="197"/>
        <v/>
      </c>
      <c r="P1583" s="65" t="str">
        <f t="shared" ca="1" si="198"/>
        <v/>
      </c>
      <c r="Q1583" s="2"/>
      <c r="R1583" s="2"/>
      <c r="S1583" s="1" t="str">
        <f t="shared" si="199"/>
        <v/>
      </c>
      <c r="T1583" s="1" t="str">
        <f>IF(OR($C1583="",$D1583&lt;&gt;"Gelir",$L1583=""),"",IFERROR(INDEX(MUSTERILER!$B$7:$B$156,MATCH($S1583,MUSTERILER!$T$7:$T$156,0)),""))</f>
        <v/>
      </c>
      <c r="U1583" s="1" t="str">
        <f>IF($T1583="","",$T1583&amp;"|"&amp;COUNTIFS($T$7:$T1583,$T1583))</f>
        <v/>
      </c>
      <c r="V1583" s="1">
        <f t="shared" si="200"/>
        <v>0</v>
      </c>
      <c r="W1583" s="1" t="str">
        <f t="shared" si="201"/>
        <v/>
      </c>
      <c r="X1583" s="1"/>
      <c r="Y1583" s="1"/>
      <c r="Z1583" s="1"/>
      <c r="AA1583" s="1"/>
      <c r="AB1583" s="1"/>
      <c r="AC1583" s="1"/>
      <c r="AD1583" s="1">
        <f>IF($C1583="",0,SUMPRODUCT((AY_SONU!$O$7:$O$42="Evet")*(AY_SONU!$B$7:$B$42=DATE(YEAR($C1583),MONTH($C1583),1))))</f>
        <v>0</v>
      </c>
      <c r="AE1583" s="1" t="str">
        <f>IF($E1583="","",$E1583&amp;"|"&amp;COUNTIFS($E$7:$E1583,$E1583))</f>
        <v/>
      </c>
    </row>
    <row r="1584" spans="1:31" ht="18" customHeight="1" x14ac:dyDescent="0.3">
      <c r="A1584" s="2"/>
      <c r="B1584" s="65" t="str">
        <f t="shared" si="194"/>
        <v/>
      </c>
      <c r="C1584" s="66"/>
      <c r="D1584" s="60"/>
      <c r="E1584" s="61"/>
      <c r="F1584" s="61"/>
      <c r="G1584" s="67"/>
      <c r="H1584" s="60"/>
      <c r="I1584" s="60"/>
      <c r="J1584" s="61"/>
      <c r="K1584" s="61"/>
      <c r="L1584" s="60"/>
      <c r="M1584" s="74" t="str">
        <f t="shared" si="195"/>
        <v/>
      </c>
      <c r="N1584" s="74" t="str">
        <f t="shared" si="196"/>
        <v/>
      </c>
      <c r="O1584" s="73" t="str">
        <f t="shared" si="197"/>
        <v/>
      </c>
      <c r="P1584" s="65" t="str">
        <f t="shared" ca="1" si="198"/>
        <v/>
      </c>
      <c r="Q1584" s="2"/>
      <c r="R1584" s="2"/>
      <c r="S1584" s="1" t="str">
        <f t="shared" si="199"/>
        <v/>
      </c>
      <c r="T1584" s="1" t="str">
        <f>IF(OR($C1584="",$D1584&lt;&gt;"Gelir",$L1584=""),"",IFERROR(INDEX(MUSTERILER!$B$7:$B$156,MATCH($S1584,MUSTERILER!$T$7:$T$156,0)),""))</f>
        <v/>
      </c>
      <c r="U1584" s="1" t="str">
        <f>IF($T1584="","",$T1584&amp;"|"&amp;COUNTIFS($T$7:$T1584,$T1584))</f>
        <v/>
      </c>
      <c r="V1584" s="1">
        <f t="shared" si="200"/>
        <v>0</v>
      </c>
      <c r="W1584" s="1" t="str">
        <f t="shared" si="201"/>
        <v/>
      </c>
      <c r="X1584" s="1"/>
      <c r="Y1584" s="1"/>
      <c r="Z1584" s="1"/>
      <c r="AA1584" s="1"/>
      <c r="AB1584" s="1"/>
      <c r="AC1584" s="1"/>
      <c r="AD1584" s="1">
        <f>IF($C1584="",0,SUMPRODUCT((AY_SONU!$O$7:$O$42="Evet")*(AY_SONU!$B$7:$B$42=DATE(YEAR($C1584),MONTH($C1584),1))))</f>
        <v>0</v>
      </c>
      <c r="AE1584" s="1" t="str">
        <f>IF($E1584="","",$E1584&amp;"|"&amp;COUNTIFS($E$7:$E1584,$E1584))</f>
        <v/>
      </c>
    </row>
    <row r="1585" spans="1:31" ht="18" customHeight="1" x14ac:dyDescent="0.3">
      <c r="A1585" s="2"/>
      <c r="B1585" s="65" t="str">
        <f t="shared" si="194"/>
        <v/>
      </c>
      <c r="C1585" s="66"/>
      <c r="D1585" s="60"/>
      <c r="E1585" s="61"/>
      <c r="F1585" s="61"/>
      <c r="G1585" s="67"/>
      <c r="H1585" s="60"/>
      <c r="I1585" s="60"/>
      <c r="J1585" s="61"/>
      <c r="K1585" s="61"/>
      <c r="L1585" s="60"/>
      <c r="M1585" s="74" t="str">
        <f t="shared" si="195"/>
        <v/>
      </c>
      <c r="N1585" s="74" t="str">
        <f t="shared" si="196"/>
        <v/>
      </c>
      <c r="O1585" s="73" t="str">
        <f t="shared" si="197"/>
        <v/>
      </c>
      <c r="P1585" s="65" t="str">
        <f t="shared" ca="1" si="198"/>
        <v/>
      </c>
      <c r="Q1585" s="2"/>
      <c r="R1585" s="2"/>
      <c r="S1585" s="1" t="str">
        <f t="shared" si="199"/>
        <v/>
      </c>
      <c r="T1585" s="1" t="str">
        <f>IF(OR($C1585="",$D1585&lt;&gt;"Gelir",$L1585=""),"",IFERROR(INDEX(MUSTERILER!$B$7:$B$156,MATCH($S1585,MUSTERILER!$T$7:$T$156,0)),""))</f>
        <v/>
      </c>
      <c r="U1585" s="1" t="str">
        <f>IF($T1585="","",$T1585&amp;"|"&amp;COUNTIFS($T$7:$T1585,$T1585))</f>
        <v/>
      </c>
      <c r="V1585" s="1">
        <f t="shared" si="200"/>
        <v>0</v>
      </c>
      <c r="W1585" s="1" t="str">
        <f t="shared" si="201"/>
        <v/>
      </c>
      <c r="X1585" s="1"/>
      <c r="Y1585" s="1"/>
      <c r="Z1585" s="1"/>
      <c r="AA1585" s="1"/>
      <c r="AB1585" s="1"/>
      <c r="AC1585" s="1"/>
      <c r="AD1585" s="1">
        <f>IF($C1585="",0,SUMPRODUCT((AY_SONU!$O$7:$O$42="Evet")*(AY_SONU!$B$7:$B$42=DATE(YEAR($C1585),MONTH($C1585),1))))</f>
        <v>0</v>
      </c>
      <c r="AE1585" s="1" t="str">
        <f>IF($E1585="","",$E1585&amp;"|"&amp;COUNTIFS($E$7:$E1585,$E1585))</f>
        <v/>
      </c>
    </row>
    <row r="1586" spans="1:31" ht="18" customHeight="1" x14ac:dyDescent="0.3">
      <c r="A1586" s="2"/>
      <c r="B1586" s="65" t="str">
        <f t="shared" si="194"/>
        <v/>
      </c>
      <c r="C1586" s="66"/>
      <c r="D1586" s="60"/>
      <c r="E1586" s="61"/>
      <c r="F1586" s="61"/>
      <c r="G1586" s="67"/>
      <c r="H1586" s="60"/>
      <c r="I1586" s="60"/>
      <c r="J1586" s="61"/>
      <c r="K1586" s="61"/>
      <c r="L1586" s="60"/>
      <c r="M1586" s="74" t="str">
        <f t="shared" si="195"/>
        <v/>
      </c>
      <c r="N1586" s="74" t="str">
        <f t="shared" si="196"/>
        <v/>
      </c>
      <c r="O1586" s="73" t="str">
        <f t="shared" si="197"/>
        <v/>
      </c>
      <c r="P1586" s="65" t="str">
        <f t="shared" ca="1" si="198"/>
        <v/>
      </c>
      <c r="Q1586" s="2"/>
      <c r="R1586" s="2"/>
      <c r="S1586" s="1" t="str">
        <f t="shared" si="199"/>
        <v/>
      </c>
      <c r="T1586" s="1" t="str">
        <f>IF(OR($C1586="",$D1586&lt;&gt;"Gelir",$L1586=""),"",IFERROR(INDEX(MUSTERILER!$B$7:$B$156,MATCH($S1586,MUSTERILER!$T$7:$T$156,0)),""))</f>
        <v/>
      </c>
      <c r="U1586" s="1" t="str">
        <f>IF($T1586="","",$T1586&amp;"|"&amp;COUNTIFS($T$7:$T1586,$T1586))</f>
        <v/>
      </c>
      <c r="V1586" s="1">
        <f t="shared" si="200"/>
        <v>0</v>
      </c>
      <c r="W1586" s="1" t="str">
        <f t="shared" si="201"/>
        <v/>
      </c>
      <c r="X1586" s="1"/>
      <c r="Y1586" s="1"/>
      <c r="Z1586" s="1"/>
      <c r="AA1586" s="1"/>
      <c r="AB1586" s="1"/>
      <c r="AC1586" s="1"/>
      <c r="AD1586" s="1">
        <f>IF($C1586="",0,SUMPRODUCT((AY_SONU!$O$7:$O$42="Evet")*(AY_SONU!$B$7:$B$42=DATE(YEAR($C1586),MONTH($C1586),1))))</f>
        <v>0</v>
      </c>
      <c r="AE1586" s="1" t="str">
        <f>IF($E1586="","",$E1586&amp;"|"&amp;COUNTIFS($E$7:$E1586,$E1586))</f>
        <v/>
      </c>
    </row>
    <row r="1587" spans="1:31" ht="18" customHeight="1" x14ac:dyDescent="0.3">
      <c r="A1587" s="2"/>
      <c r="B1587" s="65" t="str">
        <f t="shared" si="194"/>
        <v/>
      </c>
      <c r="C1587" s="66"/>
      <c r="D1587" s="60"/>
      <c r="E1587" s="61"/>
      <c r="F1587" s="61"/>
      <c r="G1587" s="67"/>
      <c r="H1587" s="60"/>
      <c r="I1587" s="60"/>
      <c r="J1587" s="61"/>
      <c r="K1587" s="61"/>
      <c r="L1587" s="60"/>
      <c r="M1587" s="74" t="str">
        <f t="shared" si="195"/>
        <v/>
      </c>
      <c r="N1587" s="74" t="str">
        <f t="shared" si="196"/>
        <v/>
      </c>
      <c r="O1587" s="73" t="str">
        <f t="shared" si="197"/>
        <v/>
      </c>
      <c r="P1587" s="65" t="str">
        <f t="shared" ca="1" si="198"/>
        <v/>
      </c>
      <c r="Q1587" s="2"/>
      <c r="R1587" s="2"/>
      <c r="S1587" s="1" t="str">
        <f t="shared" si="199"/>
        <v/>
      </c>
      <c r="T1587" s="1" t="str">
        <f>IF(OR($C1587="",$D1587&lt;&gt;"Gelir",$L1587=""),"",IFERROR(INDEX(MUSTERILER!$B$7:$B$156,MATCH($S1587,MUSTERILER!$T$7:$T$156,0)),""))</f>
        <v/>
      </c>
      <c r="U1587" s="1" t="str">
        <f>IF($T1587="","",$T1587&amp;"|"&amp;COUNTIFS($T$7:$T1587,$T1587))</f>
        <v/>
      </c>
      <c r="V1587" s="1">
        <f t="shared" si="200"/>
        <v>0</v>
      </c>
      <c r="W1587" s="1" t="str">
        <f t="shared" si="201"/>
        <v/>
      </c>
      <c r="X1587" s="1"/>
      <c r="Y1587" s="1"/>
      <c r="Z1587" s="1"/>
      <c r="AA1587" s="1"/>
      <c r="AB1587" s="1"/>
      <c r="AC1587" s="1"/>
      <c r="AD1587" s="1">
        <f>IF($C1587="",0,SUMPRODUCT((AY_SONU!$O$7:$O$42="Evet")*(AY_SONU!$B$7:$B$42=DATE(YEAR($C1587),MONTH($C1587),1))))</f>
        <v>0</v>
      </c>
      <c r="AE1587" s="1" t="str">
        <f>IF($E1587="","",$E1587&amp;"|"&amp;COUNTIFS($E$7:$E1587,$E1587))</f>
        <v/>
      </c>
    </row>
    <row r="1588" spans="1:31" ht="18" customHeight="1" x14ac:dyDescent="0.3">
      <c r="A1588" s="2"/>
      <c r="B1588" s="65" t="str">
        <f t="shared" si="194"/>
        <v/>
      </c>
      <c r="C1588" s="66"/>
      <c r="D1588" s="60"/>
      <c r="E1588" s="61"/>
      <c r="F1588" s="61"/>
      <c r="G1588" s="67"/>
      <c r="H1588" s="60"/>
      <c r="I1588" s="60"/>
      <c r="J1588" s="61"/>
      <c r="K1588" s="61"/>
      <c r="L1588" s="60"/>
      <c r="M1588" s="74" t="str">
        <f t="shared" si="195"/>
        <v/>
      </c>
      <c r="N1588" s="74" t="str">
        <f t="shared" si="196"/>
        <v/>
      </c>
      <c r="O1588" s="73" t="str">
        <f t="shared" si="197"/>
        <v/>
      </c>
      <c r="P1588" s="65" t="str">
        <f t="shared" ca="1" si="198"/>
        <v/>
      </c>
      <c r="Q1588" s="2"/>
      <c r="R1588" s="2"/>
      <c r="S1588" s="1" t="str">
        <f t="shared" si="199"/>
        <v/>
      </c>
      <c r="T1588" s="1" t="str">
        <f>IF(OR($C1588="",$D1588&lt;&gt;"Gelir",$L1588=""),"",IFERROR(INDEX(MUSTERILER!$B$7:$B$156,MATCH($S1588,MUSTERILER!$T$7:$T$156,0)),""))</f>
        <v/>
      </c>
      <c r="U1588" s="1" t="str">
        <f>IF($T1588="","",$T1588&amp;"|"&amp;COUNTIFS($T$7:$T1588,$T1588))</f>
        <v/>
      </c>
      <c r="V1588" s="1">
        <f t="shared" si="200"/>
        <v>0</v>
      </c>
      <c r="W1588" s="1" t="str">
        <f t="shared" si="201"/>
        <v/>
      </c>
      <c r="X1588" s="1"/>
      <c r="Y1588" s="1"/>
      <c r="Z1588" s="1"/>
      <c r="AA1588" s="1"/>
      <c r="AB1588" s="1"/>
      <c r="AC1588" s="1"/>
      <c r="AD1588" s="1">
        <f>IF($C1588="",0,SUMPRODUCT((AY_SONU!$O$7:$O$42="Evet")*(AY_SONU!$B$7:$B$42=DATE(YEAR($C1588),MONTH($C1588),1))))</f>
        <v>0</v>
      </c>
      <c r="AE1588" s="1" t="str">
        <f>IF($E1588="","",$E1588&amp;"|"&amp;COUNTIFS($E$7:$E1588,$E1588))</f>
        <v/>
      </c>
    </row>
    <row r="1589" spans="1:31" ht="18" customHeight="1" x14ac:dyDescent="0.3">
      <c r="A1589" s="2"/>
      <c r="B1589" s="65" t="str">
        <f t="shared" si="194"/>
        <v/>
      </c>
      <c r="C1589" s="66"/>
      <c r="D1589" s="60"/>
      <c r="E1589" s="61"/>
      <c r="F1589" s="61"/>
      <c r="G1589" s="67"/>
      <c r="H1589" s="60"/>
      <c r="I1589" s="60"/>
      <c r="J1589" s="61"/>
      <c r="K1589" s="61"/>
      <c r="L1589" s="60"/>
      <c r="M1589" s="74" t="str">
        <f t="shared" si="195"/>
        <v/>
      </c>
      <c r="N1589" s="74" t="str">
        <f t="shared" si="196"/>
        <v/>
      </c>
      <c r="O1589" s="73" t="str">
        <f t="shared" si="197"/>
        <v/>
      </c>
      <c r="P1589" s="65" t="str">
        <f t="shared" ca="1" si="198"/>
        <v/>
      </c>
      <c r="Q1589" s="2"/>
      <c r="R1589" s="2"/>
      <c r="S1589" s="1" t="str">
        <f t="shared" si="199"/>
        <v/>
      </c>
      <c r="T1589" s="1" t="str">
        <f>IF(OR($C1589="",$D1589&lt;&gt;"Gelir",$L1589=""),"",IFERROR(INDEX(MUSTERILER!$B$7:$B$156,MATCH($S1589,MUSTERILER!$T$7:$T$156,0)),""))</f>
        <v/>
      </c>
      <c r="U1589" s="1" t="str">
        <f>IF($T1589="","",$T1589&amp;"|"&amp;COUNTIFS($T$7:$T1589,$T1589))</f>
        <v/>
      </c>
      <c r="V1589" s="1">
        <f t="shared" si="200"/>
        <v>0</v>
      </c>
      <c r="W1589" s="1" t="str">
        <f t="shared" si="201"/>
        <v/>
      </c>
      <c r="X1589" s="1"/>
      <c r="Y1589" s="1"/>
      <c r="Z1589" s="1"/>
      <c r="AA1589" s="1"/>
      <c r="AB1589" s="1"/>
      <c r="AC1589" s="1"/>
      <c r="AD1589" s="1">
        <f>IF($C1589="",0,SUMPRODUCT((AY_SONU!$O$7:$O$42="Evet")*(AY_SONU!$B$7:$B$42=DATE(YEAR($C1589),MONTH($C1589),1))))</f>
        <v>0</v>
      </c>
      <c r="AE1589" s="1" t="str">
        <f>IF($E1589="","",$E1589&amp;"|"&amp;COUNTIFS($E$7:$E1589,$E1589))</f>
        <v/>
      </c>
    </row>
    <row r="1590" spans="1:31" ht="18" customHeight="1" x14ac:dyDescent="0.3">
      <c r="A1590" s="2"/>
      <c r="B1590" s="65" t="str">
        <f t="shared" si="194"/>
        <v/>
      </c>
      <c r="C1590" s="66"/>
      <c r="D1590" s="60"/>
      <c r="E1590" s="61"/>
      <c r="F1590" s="61"/>
      <c r="G1590" s="67"/>
      <c r="H1590" s="60"/>
      <c r="I1590" s="60"/>
      <c r="J1590" s="61"/>
      <c r="K1590" s="61"/>
      <c r="L1590" s="60"/>
      <c r="M1590" s="74" t="str">
        <f t="shared" si="195"/>
        <v/>
      </c>
      <c r="N1590" s="74" t="str">
        <f t="shared" si="196"/>
        <v/>
      </c>
      <c r="O1590" s="73" t="str">
        <f t="shared" si="197"/>
        <v/>
      </c>
      <c r="P1590" s="65" t="str">
        <f t="shared" ca="1" si="198"/>
        <v/>
      </c>
      <c r="Q1590" s="2"/>
      <c r="R1590" s="2"/>
      <c r="S1590" s="1" t="str">
        <f t="shared" si="199"/>
        <v/>
      </c>
      <c r="T1590" s="1" t="str">
        <f>IF(OR($C1590="",$D1590&lt;&gt;"Gelir",$L1590=""),"",IFERROR(INDEX(MUSTERILER!$B$7:$B$156,MATCH($S1590,MUSTERILER!$T$7:$T$156,0)),""))</f>
        <v/>
      </c>
      <c r="U1590" s="1" t="str">
        <f>IF($T1590="","",$T1590&amp;"|"&amp;COUNTIFS($T$7:$T1590,$T1590))</f>
        <v/>
      </c>
      <c r="V1590" s="1">
        <f t="shared" si="200"/>
        <v>0</v>
      </c>
      <c r="W1590" s="1" t="str">
        <f t="shared" si="201"/>
        <v/>
      </c>
      <c r="X1590" s="1"/>
      <c r="Y1590" s="1"/>
      <c r="Z1590" s="1"/>
      <c r="AA1590" s="1"/>
      <c r="AB1590" s="1"/>
      <c r="AC1590" s="1"/>
      <c r="AD1590" s="1">
        <f>IF($C1590="",0,SUMPRODUCT((AY_SONU!$O$7:$O$42="Evet")*(AY_SONU!$B$7:$B$42=DATE(YEAR($C1590),MONTH($C1590),1))))</f>
        <v>0</v>
      </c>
      <c r="AE1590" s="1" t="str">
        <f>IF($E1590="","",$E1590&amp;"|"&amp;COUNTIFS($E$7:$E1590,$E1590))</f>
        <v/>
      </c>
    </row>
    <row r="1591" spans="1:31" ht="18" customHeight="1" x14ac:dyDescent="0.3">
      <c r="A1591" s="2"/>
      <c r="B1591" s="65" t="str">
        <f t="shared" si="194"/>
        <v/>
      </c>
      <c r="C1591" s="66"/>
      <c r="D1591" s="60"/>
      <c r="E1591" s="61"/>
      <c r="F1591" s="61"/>
      <c r="G1591" s="67"/>
      <c r="H1591" s="60"/>
      <c r="I1591" s="60"/>
      <c r="J1591" s="61"/>
      <c r="K1591" s="61"/>
      <c r="L1591" s="60"/>
      <c r="M1591" s="74" t="str">
        <f t="shared" si="195"/>
        <v/>
      </c>
      <c r="N1591" s="74" t="str">
        <f t="shared" si="196"/>
        <v/>
      </c>
      <c r="O1591" s="73" t="str">
        <f t="shared" si="197"/>
        <v/>
      </c>
      <c r="P1591" s="65" t="str">
        <f t="shared" ca="1" si="198"/>
        <v/>
      </c>
      <c r="Q1591" s="2"/>
      <c r="R1591" s="2"/>
      <c r="S1591" s="1" t="str">
        <f t="shared" si="199"/>
        <v/>
      </c>
      <c r="T1591" s="1" t="str">
        <f>IF(OR($C1591="",$D1591&lt;&gt;"Gelir",$L1591=""),"",IFERROR(INDEX(MUSTERILER!$B$7:$B$156,MATCH($S1591,MUSTERILER!$T$7:$T$156,0)),""))</f>
        <v/>
      </c>
      <c r="U1591" s="1" t="str">
        <f>IF($T1591="","",$T1591&amp;"|"&amp;COUNTIFS($T$7:$T1591,$T1591))</f>
        <v/>
      </c>
      <c r="V1591" s="1">
        <f t="shared" si="200"/>
        <v>0</v>
      </c>
      <c r="W1591" s="1" t="str">
        <f t="shared" si="201"/>
        <v/>
      </c>
      <c r="X1591" s="1"/>
      <c r="Y1591" s="1"/>
      <c r="Z1591" s="1"/>
      <c r="AA1591" s="1"/>
      <c r="AB1591" s="1"/>
      <c r="AC1591" s="1"/>
      <c r="AD1591" s="1">
        <f>IF($C1591="",0,SUMPRODUCT((AY_SONU!$O$7:$O$42="Evet")*(AY_SONU!$B$7:$B$42=DATE(YEAR($C1591),MONTH($C1591),1))))</f>
        <v>0</v>
      </c>
      <c r="AE1591" s="1" t="str">
        <f>IF($E1591="","",$E1591&amp;"|"&amp;COUNTIFS($E$7:$E1591,$E1591))</f>
        <v/>
      </c>
    </row>
    <row r="1592" spans="1:31" ht="18" customHeight="1" x14ac:dyDescent="0.3">
      <c r="A1592" s="2"/>
      <c r="B1592" s="65" t="str">
        <f t="shared" si="194"/>
        <v/>
      </c>
      <c r="C1592" s="66"/>
      <c r="D1592" s="60"/>
      <c r="E1592" s="61"/>
      <c r="F1592" s="61"/>
      <c r="G1592" s="67"/>
      <c r="H1592" s="60"/>
      <c r="I1592" s="60"/>
      <c r="J1592" s="61"/>
      <c r="K1592" s="61"/>
      <c r="L1592" s="60"/>
      <c r="M1592" s="74" t="str">
        <f t="shared" si="195"/>
        <v/>
      </c>
      <c r="N1592" s="74" t="str">
        <f t="shared" si="196"/>
        <v/>
      </c>
      <c r="O1592" s="73" t="str">
        <f t="shared" si="197"/>
        <v/>
      </c>
      <c r="P1592" s="65" t="str">
        <f t="shared" ca="1" si="198"/>
        <v/>
      </c>
      <c r="Q1592" s="2"/>
      <c r="R1592" s="2"/>
      <c r="S1592" s="1" t="str">
        <f t="shared" si="199"/>
        <v/>
      </c>
      <c r="T1592" s="1" t="str">
        <f>IF(OR($C1592="",$D1592&lt;&gt;"Gelir",$L1592=""),"",IFERROR(INDEX(MUSTERILER!$B$7:$B$156,MATCH($S1592,MUSTERILER!$T$7:$T$156,0)),""))</f>
        <v/>
      </c>
      <c r="U1592" s="1" t="str">
        <f>IF($T1592="","",$T1592&amp;"|"&amp;COUNTIFS($T$7:$T1592,$T1592))</f>
        <v/>
      </c>
      <c r="V1592" s="1">
        <f t="shared" si="200"/>
        <v>0</v>
      </c>
      <c r="W1592" s="1" t="str">
        <f t="shared" si="201"/>
        <v/>
      </c>
      <c r="X1592" s="1"/>
      <c r="Y1592" s="1"/>
      <c r="Z1592" s="1"/>
      <c r="AA1592" s="1"/>
      <c r="AB1592" s="1"/>
      <c r="AC1592" s="1"/>
      <c r="AD1592" s="1">
        <f>IF($C1592="",0,SUMPRODUCT((AY_SONU!$O$7:$O$42="Evet")*(AY_SONU!$B$7:$B$42=DATE(YEAR($C1592),MONTH($C1592),1))))</f>
        <v>0</v>
      </c>
      <c r="AE1592" s="1" t="str">
        <f>IF($E1592="","",$E1592&amp;"|"&amp;COUNTIFS($E$7:$E1592,$E1592))</f>
        <v/>
      </c>
    </row>
    <row r="1593" spans="1:31" ht="18" customHeight="1" x14ac:dyDescent="0.3">
      <c r="A1593" s="2"/>
      <c r="B1593" s="65" t="str">
        <f t="shared" si="194"/>
        <v/>
      </c>
      <c r="C1593" s="66"/>
      <c r="D1593" s="60"/>
      <c r="E1593" s="61"/>
      <c r="F1593" s="61"/>
      <c r="G1593" s="67"/>
      <c r="H1593" s="60"/>
      <c r="I1593" s="60"/>
      <c r="J1593" s="61"/>
      <c r="K1593" s="61"/>
      <c r="L1593" s="60"/>
      <c r="M1593" s="74" t="str">
        <f t="shared" si="195"/>
        <v/>
      </c>
      <c r="N1593" s="74" t="str">
        <f t="shared" si="196"/>
        <v/>
      </c>
      <c r="O1593" s="73" t="str">
        <f t="shared" si="197"/>
        <v/>
      </c>
      <c r="P1593" s="65" t="str">
        <f t="shared" ca="1" si="198"/>
        <v/>
      </c>
      <c r="Q1593" s="2"/>
      <c r="R1593" s="2"/>
      <c r="S1593" s="1" t="str">
        <f t="shared" si="199"/>
        <v/>
      </c>
      <c r="T1593" s="1" t="str">
        <f>IF(OR($C1593="",$D1593&lt;&gt;"Gelir",$L1593=""),"",IFERROR(INDEX(MUSTERILER!$B$7:$B$156,MATCH($S1593,MUSTERILER!$T$7:$T$156,0)),""))</f>
        <v/>
      </c>
      <c r="U1593" s="1" t="str">
        <f>IF($T1593="","",$T1593&amp;"|"&amp;COUNTIFS($T$7:$T1593,$T1593))</f>
        <v/>
      </c>
      <c r="V1593" s="1">
        <f t="shared" si="200"/>
        <v>0</v>
      </c>
      <c r="W1593" s="1" t="str">
        <f t="shared" si="201"/>
        <v/>
      </c>
      <c r="X1593" s="1"/>
      <c r="Y1593" s="1"/>
      <c r="Z1593" s="1"/>
      <c r="AA1593" s="1"/>
      <c r="AB1593" s="1"/>
      <c r="AC1593" s="1"/>
      <c r="AD1593" s="1">
        <f>IF($C1593="",0,SUMPRODUCT((AY_SONU!$O$7:$O$42="Evet")*(AY_SONU!$B$7:$B$42=DATE(YEAR($C1593),MONTH($C1593),1))))</f>
        <v>0</v>
      </c>
      <c r="AE1593" s="1" t="str">
        <f>IF($E1593="","",$E1593&amp;"|"&amp;COUNTIFS($E$7:$E1593,$E1593))</f>
        <v/>
      </c>
    </row>
    <row r="1594" spans="1:31" ht="18" customHeight="1" x14ac:dyDescent="0.3">
      <c r="A1594" s="2"/>
      <c r="B1594" s="65" t="str">
        <f t="shared" si="194"/>
        <v/>
      </c>
      <c r="C1594" s="66"/>
      <c r="D1594" s="60"/>
      <c r="E1594" s="61"/>
      <c r="F1594" s="61"/>
      <c r="G1594" s="67"/>
      <c r="H1594" s="60"/>
      <c r="I1594" s="60"/>
      <c r="J1594" s="61"/>
      <c r="K1594" s="61"/>
      <c r="L1594" s="60"/>
      <c r="M1594" s="74" t="str">
        <f t="shared" si="195"/>
        <v/>
      </c>
      <c r="N1594" s="74" t="str">
        <f t="shared" si="196"/>
        <v/>
      </c>
      <c r="O1594" s="73" t="str">
        <f t="shared" si="197"/>
        <v/>
      </c>
      <c r="P1594" s="65" t="str">
        <f t="shared" ca="1" si="198"/>
        <v/>
      </c>
      <c r="Q1594" s="2"/>
      <c r="R1594" s="2"/>
      <c r="S1594" s="1" t="str">
        <f t="shared" si="199"/>
        <v/>
      </c>
      <c r="T1594" s="1" t="str">
        <f>IF(OR($C1594="",$D1594&lt;&gt;"Gelir",$L1594=""),"",IFERROR(INDEX(MUSTERILER!$B$7:$B$156,MATCH($S1594,MUSTERILER!$T$7:$T$156,0)),""))</f>
        <v/>
      </c>
      <c r="U1594" s="1" t="str">
        <f>IF($T1594="","",$T1594&amp;"|"&amp;COUNTIFS($T$7:$T1594,$T1594))</f>
        <v/>
      </c>
      <c r="V1594" s="1">
        <f t="shared" si="200"/>
        <v>0</v>
      </c>
      <c r="W1594" s="1" t="str">
        <f t="shared" si="201"/>
        <v/>
      </c>
      <c r="X1594" s="1"/>
      <c r="Y1594" s="1"/>
      <c r="Z1594" s="1"/>
      <c r="AA1594" s="1"/>
      <c r="AB1594" s="1"/>
      <c r="AC1594" s="1"/>
      <c r="AD1594" s="1">
        <f>IF($C1594="",0,SUMPRODUCT((AY_SONU!$O$7:$O$42="Evet")*(AY_SONU!$B$7:$B$42=DATE(YEAR($C1594),MONTH($C1594),1))))</f>
        <v>0</v>
      </c>
      <c r="AE1594" s="1" t="str">
        <f>IF($E1594="","",$E1594&amp;"|"&amp;COUNTIFS($E$7:$E1594,$E1594))</f>
        <v/>
      </c>
    </row>
    <row r="1595" spans="1:31" ht="18" customHeight="1" x14ac:dyDescent="0.3">
      <c r="A1595" s="2"/>
      <c r="B1595" s="65" t="str">
        <f t="shared" si="194"/>
        <v/>
      </c>
      <c r="C1595" s="66"/>
      <c r="D1595" s="60"/>
      <c r="E1595" s="61"/>
      <c r="F1595" s="61"/>
      <c r="G1595" s="67"/>
      <c r="H1595" s="60"/>
      <c r="I1595" s="60"/>
      <c r="J1595" s="61"/>
      <c r="K1595" s="61"/>
      <c r="L1595" s="60"/>
      <c r="M1595" s="74" t="str">
        <f t="shared" si="195"/>
        <v/>
      </c>
      <c r="N1595" s="74" t="str">
        <f t="shared" si="196"/>
        <v/>
      </c>
      <c r="O1595" s="73" t="str">
        <f t="shared" si="197"/>
        <v/>
      </c>
      <c r="P1595" s="65" t="str">
        <f t="shared" ca="1" si="198"/>
        <v/>
      </c>
      <c r="Q1595" s="2"/>
      <c r="R1595" s="2"/>
      <c r="S1595" s="1" t="str">
        <f t="shared" si="199"/>
        <v/>
      </c>
      <c r="T1595" s="1" t="str">
        <f>IF(OR($C1595="",$D1595&lt;&gt;"Gelir",$L1595=""),"",IFERROR(INDEX(MUSTERILER!$B$7:$B$156,MATCH($S1595,MUSTERILER!$T$7:$T$156,0)),""))</f>
        <v/>
      </c>
      <c r="U1595" s="1" t="str">
        <f>IF($T1595="","",$T1595&amp;"|"&amp;COUNTIFS($T$7:$T1595,$T1595))</f>
        <v/>
      </c>
      <c r="V1595" s="1">
        <f t="shared" si="200"/>
        <v>0</v>
      </c>
      <c r="W1595" s="1" t="str">
        <f t="shared" si="201"/>
        <v/>
      </c>
      <c r="X1595" s="1"/>
      <c r="Y1595" s="1"/>
      <c r="Z1595" s="1"/>
      <c r="AA1595" s="1"/>
      <c r="AB1595" s="1"/>
      <c r="AC1595" s="1"/>
      <c r="AD1595" s="1">
        <f>IF($C1595="",0,SUMPRODUCT((AY_SONU!$O$7:$O$42="Evet")*(AY_SONU!$B$7:$B$42=DATE(YEAR($C1595),MONTH($C1595),1))))</f>
        <v>0</v>
      </c>
      <c r="AE1595" s="1" t="str">
        <f>IF($E1595="","",$E1595&amp;"|"&amp;COUNTIFS($E$7:$E1595,$E1595))</f>
        <v/>
      </c>
    </row>
    <row r="1596" spans="1:31" ht="18" customHeight="1" x14ac:dyDescent="0.3">
      <c r="A1596" s="2"/>
      <c r="B1596" s="65" t="str">
        <f t="shared" si="194"/>
        <v/>
      </c>
      <c r="C1596" s="66"/>
      <c r="D1596" s="60"/>
      <c r="E1596" s="61"/>
      <c r="F1596" s="61"/>
      <c r="G1596" s="67"/>
      <c r="H1596" s="60"/>
      <c r="I1596" s="60"/>
      <c r="J1596" s="61"/>
      <c r="K1596" s="61"/>
      <c r="L1596" s="60"/>
      <c r="M1596" s="74" t="str">
        <f t="shared" si="195"/>
        <v/>
      </c>
      <c r="N1596" s="74" t="str">
        <f t="shared" si="196"/>
        <v/>
      </c>
      <c r="O1596" s="73" t="str">
        <f t="shared" si="197"/>
        <v/>
      </c>
      <c r="P1596" s="65" t="str">
        <f t="shared" ca="1" si="198"/>
        <v/>
      </c>
      <c r="Q1596" s="2"/>
      <c r="R1596" s="2"/>
      <c r="S1596" s="1" t="str">
        <f t="shared" si="199"/>
        <v/>
      </c>
      <c r="T1596" s="1" t="str">
        <f>IF(OR($C1596="",$D1596&lt;&gt;"Gelir",$L1596=""),"",IFERROR(INDEX(MUSTERILER!$B$7:$B$156,MATCH($S1596,MUSTERILER!$T$7:$T$156,0)),""))</f>
        <v/>
      </c>
      <c r="U1596" s="1" t="str">
        <f>IF($T1596="","",$T1596&amp;"|"&amp;COUNTIFS($T$7:$T1596,$T1596))</f>
        <v/>
      </c>
      <c r="V1596" s="1">
        <f t="shared" si="200"/>
        <v>0</v>
      </c>
      <c r="W1596" s="1" t="str">
        <f t="shared" si="201"/>
        <v/>
      </c>
      <c r="X1596" s="1"/>
      <c r="Y1596" s="1"/>
      <c r="Z1596" s="1"/>
      <c r="AA1596" s="1"/>
      <c r="AB1596" s="1"/>
      <c r="AC1596" s="1"/>
      <c r="AD1596" s="1">
        <f>IF($C1596="",0,SUMPRODUCT((AY_SONU!$O$7:$O$42="Evet")*(AY_SONU!$B$7:$B$42=DATE(YEAR($C1596),MONTH($C1596),1))))</f>
        <v>0</v>
      </c>
      <c r="AE1596" s="1" t="str">
        <f>IF($E1596="","",$E1596&amp;"|"&amp;COUNTIFS($E$7:$E1596,$E1596))</f>
        <v/>
      </c>
    </row>
    <row r="1597" spans="1:31" ht="18" customHeight="1" x14ac:dyDescent="0.3">
      <c r="A1597" s="2"/>
      <c r="B1597" s="65" t="str">
        <f t="shared" si="194"/>
        <v/>
      </c>
      <c r="C1597" s="66"/>
      <c r="D1597" s="60"/>
      <c r="E1597" s="61"/>
      <c r="F1597" s="61"/>
      <c r="G1597" s="67"/>
      <c r="H1597" s="60"/>
      <c r="I1597" s="60"/>
      <c r="J1597" s="61"/>
      <c r="K1597" s="61"/>
      <c r="L1597" s="60"/>
      <c r="M1597" s="74" t="str">
        <f t="shared" si="195"/>
        <v/>
      </c>
      <c r="N1597" s="74" t="str">
        <f t="shared" si="196"/>
        <v/>
      </c>
      <c r="O1597" s="73" t="str">
        <f t="shared" si="197"/>
        <v/>
      </c>
      <c r="P1597" s="65" t="str">
        <f t="shared" ca="1" si="198"/>
        <v/>
      </c>
      <c r="Q1597" s="2"/>
      <c r="R1597" s="2"/>
      <c r="S1597" s="1" t="str">
        <f t="shared" si="199"/>
        <v/>
      </c>
      <c r="T1597" s="1" t="str">
        <f>IF(OR($C1597="",$D1597&lt;&gt;"Gelir",$L1597=""),"",IFERROR(INDEX(MUSTERILER!$B$7:$B$156,MATCH($S1597,MUSTERILER!$T$7:$T$156,0)),""))</f>
        <v/>
      </c>
      <c r="U1597" s="1" t="str">
        <f>IF($T1597="","",$T1597&amp;"|"&amp;COUNTIFS($T$7:$T1597,$T1597))</f>
        <v/>
      </c>
      <c r="V1597" s="1">
        <f t="shared" si="200"/>
        <v>0</v>
      </c>
      <c r="W1597" s="1" t="str">
        <f t="shared" si="201"/>
        <v/>
      </c>
      <c r="X1597" s="1"/>
      <c r="Y1597" s="1"/>
      <c r="Z1597" s="1"/>
      <c r="AA1597" s="1"/>
      <c r="AB1597" s="1"/>
      <c r="AC1597" s="1"/>
      <c r="AD1597" s="1">
        <f>IF($C1597="",0,SUMPRODUCT((AY_SONU!$O$7:$O$42="Evet")*(AY_SONU!$B$7:$B$42=DATE(YEAR($C1597),MONTH($C1597),1))))</f>
        <v>0</v>
      </c>
      <c r="AE1597" s="1" t="str">
        <f>IF($E1597="","",$E1597&amp;"|"&amp;COUNTIFS($E$7:$E1597,$E1597))</f>
        <v/>
      </c>
    </row>
    <row r="1598" spans="1:31" ht="18" customHeight="1" x14ac:dyDescent="0.3">
      <c r="A1598" s="2"/>
      <c r="B1598" s="65" t="str">
        <f t="shared" si="194"/>
        <v/>
      </c>
      <c r="C1598" s="66"/>
      <c r="D1598" s="60"/>
      <c r="E1598" s="61"/>
      <c r="F1598" s="61"/>
      <c r="G1598" s="67"/>
      <c r="H1598" s="60"/>
      <c r="I1598" s="60"/>
      <c r="J1598" s="61"/>
      <c r="K1598" s="61"/>
      <c r="L1598" s="60"/>
      <c r="M1598" s="74" t="str">
        <f t="shared" si="195"/>
        <v/>
      </c>
      <c r="N1598" s="74" t="str">
        <f t="shared" si="196"/>
        <v/>
      </c>
      <c r="O1598" s="73" t="str">
        <f t="shared" si="197"/>
        <v/>
      </c>
      <c r="P1598" s="65" t="str">
        <f t="shared" ca="1" si="198"/>
        <v/>
      </c>
      <c r="Q1598" s="2"/>
      <c r="R1598" s="2"/>
      <c r="S1598" s="1" t="str">
        <f t="shared" si="199"/>
        <v/>
      </c>
      <c r="T1598" s="1" t="str">
        <f>IF(OR($C1598="",$D1598&lt;&gt;"Gelir",$L1598=""),"",IFERROR(INDEX(MUSTERILER!$B$7:$B$156,MATCH($S1598,MUSTERILER!$T$7:$T$156,0)),""))</f>
        <v/>
      </c>
      <c r="U1598" s="1" t="str">
        <f>IF($T1598="","",$T1598&amp;"|"&amp;COUNTIFS($T$7:$T1598,$T1598))</f>
        <v/>
      </c>
      <c r="V1598" s="1">
        <f t="shared" si="200"/>
        <v>0</v>
      </c>
      <c r="W1598" s="1" t="str">
        <f t="shared" si="201"/>
        <v/>
      </c>
      <c r="X1598" s="1"/>
      <c r="Y1598" s="1"/>
      <c r="Z1598" s="1"/>
      <c r="AA1598" s="1"/>
      <c r="AB1598" s="1"/>
      <c r="AC1598" s="1"/>
      <c r="AD1598" s="1">
        <f>IF($C1598="",0,SUMPRODUCT((AY_SONU!$O$7:$O$42="Evet")*(AY_SONU!$B$7:$B$42=DATE(YEAR($C1598),MONTH($C1598),1))))</f>
        <v>0</v>
      </c>
      <c r="AE1598" s="1" t="str">
        <f>IF($E1598="","",$E1598&amp;"|"&amp;COUNTIFS($E$7:$E1598,$E1598))</f>
        <v/>
      </c>
    </row>
    <row r="1599" spans="1:31" ht="18" customHeight="1" x14ac:dyDescent="0.3">
      <c r="A1599" s="2"/>
      <c r="B1599" s="65" t="str">
        <f t="shared" si="194"/>
        <v/>
      </c>
      <c r="C1599" s="66"/>
      <c r="D1599" s="60"/>
      <c r="E1599" s="61"/>
      <c r="F1599" s="61"/>
      <c r="G1599" s="67"/>
      <c r="H1599" s="60"/>
      <c r="I1599" s="60"/>
      <c r="J1599" s="61"/>
      <c r="K1599" s="61"/>
      <c r="L1599" s="60"/>
      <c r="M1599" s="74" t="str">
        <f t="shared" si="195"/>
        <v/>
      </c>
      <c r="N1599" s="74" t="str">
        <f t="shared" si="196"/>
        <v/>
      </c>
      <c r="O1599" s="73" t="str">
        <f t="shared" si="197"/>
        <v/>
      </c>
      <c r="P1599" s="65" t="str">
        <f t="shared" ca="1" si="198"/>
        <v/>
      </c>
      <c r="Q1599" s="2"/>
      <c r="R1599" s="2"/>
      <c r="S1599" s="1" t="str">
        <f t="shared" si="199"/>
        <v/>
      </c>
      <c r="T1599" s="1" t="str">
        <f>IF(OR($C1599="",$D1599&lt;&gt;"Gelir",$L1599=""),"",IFERROR(INDEX(MUSTERILER!$B$7:$B$156,MATCH($S1599,MUSTERILER!$T$7:$T$156,0)),""))</f>
        <v/>
      </c>
      <c r="U1599" s="1" t="str">
        <f>IF($T1599="","",$T1599&amp;"|"&amp;COUNTIFS($T$7:$T1599,$T1599))</f>
        <v/>
      </c>
      <c r="V1599" s="1">
        <f t="shared" si="200"/>
        <v>0</v>
      </c>
      <c r="W1599" s="1" t="str">
        <f t="shared" si="201"/>
        <v/>
      </c>
      <c r="X1599" s="1"/>
      <c r="Y1599" s="1"/>
      <c r="Z1599" s="1"/>
      <c r="AA1599" s="1"/>
      <c r="AB1599" s="1"/>
      <c r="AC1599" s="1"/>
      <c r="AD1599" s="1">
        <f>IF($C1599="",0,SUMPRODUCT((AY_SONU!$O$7:$O$42="Evet")*(AY_SONU!$B$7:$B$42=DATE(YEAR($C1599),MONTH($C1599),1))))</f>
        <v>0</v>
      </c>
      <c r="AE1599" s="1" t="str">
        <f>IF($E1599="","",$E1599&amp;"|"&amp;COUNTIFS($E$7:$E1599,$E1599))</f>
        <v/>
      </c>
    </row>
    <row r="1600" spans="1:31" ht="18" customHeight="1" x14ac:dyDescent="0.3">
      <c r="A1600" s="2"/>
      <c r="B1600" s="65" t="str">
        <f t="shared" si="194"/>
        <v/>
      </c>
      <c r="C1600" s="66"/>
      <c r="D1600" s="60"/>
      <c r="E1600" s="61"/>
      <c r="F1600" s="61"/>
      <c r="G1600" s="67"/>
      <c r="H1600" s="60"/>
      <c r="I1600" s="60"/>
      <c r="J1600" s="61"/>
      <c r="K1600" s="61"/>
      <c r="L1600" s="60"/>
      <c r="M1600" s="74" t="str">
        <f t="shared" si="195"/>
        <v/>
      </c>
      <c r="N1600" s="74" t="str">
        <f t="shared" si="196"/>
        <v/>
      </c>
      <c r="O1600" s="73" t="str">
        <f t="shared" si="197"/>
        <v/>
      </c>
      <c r="P1600" s="65" t="str">
        <f t="shared" ca="1" si="198"/>
        <v/>
      </c>
      <c r="Q1600" s="2"/>
      <c r="R1600" s="2"/>
      <c r="S1600" s="1" t="str">
        <f t="shared" si="199"/>
        <v/>
      </c>
      <c r="T1600" s="1" t="str">
        <f>IF(OR($C1600="",$D1600&lt;&gt;"Gelir",$L1600=""),"",IFERROR(INDEX(MUSTERILER!$B$7:$B$156,MATCH($S1600,MUSTERILER!$T$7:$T$156,0)),""))</f>
        <v/>
      </c>
      <c r="U1600" s="1" t="str">
        <f>IF($T1600="","",$T1600&amp;"|"&amp;COUNTIFS($T$7:$T1600,$T1600))</f>
        <v/>
      </c>
      <c r="V1600" s="1">
        <f t="shared" si="200"/>
        <v>0</v>
      </c>
      <c r="W1600" s="1" t="str">
        <f t="shared" si="201"/>
        <v/>
      </c>
      <c r="X1600" s="1"/>
      <c r="Y1600" s="1"/>
      <c r="Z1600" s="1"/>
      <c r="AA1600" s="1"/>
      <c r="AB1600" s="1"/>
      <c r="AC1600" s="1"/>
      <c r="AD1600" s="1">
        <f>IF($C1600="",0,SUMPRODUCT((AY_SONU!$O$7:$O$42="Evet")*(AY_SONU!$B$7:$B$42=DATE(YEAR($C1600),MONTH($C1600),1))))</f>
        <v>0</v>
      </c>
      <c r="AE1600" s="1" t="str">
        <f>IF($E1600="","",$E1600&amp;"|"&amp;COUNTIFS($E$7:$E1600,$E1600))</f>
        <v/>
      </c>
    </row>
    <row r="1601" spans="1:31" ht="18" customHeight="1" x14ac:dyDescent="0.3">
      <c r="A1601" s="2"/>
      <c r="B1601" s="65" t="str">
        <f t="shared" si="194"/>
        <v/>
      </c>
      <c r="C1601" s="66"/>
      <c r="D1601" s="60"/>
      <c r="E1601" s="61"/>
      <c r="F1601" s="61"/>
      <c r="G1601" s="67"/>
      <c r="H1601" s="60"/>
      <c r="I1601" s="60"/>
      <c r="J1601" s="61"/>
      <c r="K1601" s="61"/>
      <c r="L1601" s="60"/>
      <c r="M1601" s="74" t="str">
        <f t="shared" si="195"/>
        <v/>
      </c>
      <c r="N1601" s="74" t="str">
        <f t="shared" si="196"/>
        <v/>
      </c>
      <c r="O1601" s="73" t="str">
        <f t="shared" si="197"/>
        <v/>
      </c>
      <c r="P1601" s="65" t="str">
        <f t="shared" ca="1" si="198"/>
        <v/>
      </c>
      <c r="Q1601" s="2"/>
      <c r="R1601" s="2"/>
      <c r="S1601" s="1" t="str">
        <f t="shared" si="199"/>
        <v/>
      </c>
      <c r="T1601" s="1" t="str">
        <f>IF(OR($C1601="",$D1601&lt;&gt;"Gelir",$L1601=""),"",IFERROR(INDEX(MUSTERILER!$B$7:$B$156,MATCH($S1601,MUSTERILER!$T$7:$T$156,0)),""))</f>
        <v/>
      </c>
      <c r="U1601" s="1" t="str">
        <f>IF($T1601="","",$T1601&amp;"|"&amp;COUNTIFS($T$7:$T1601,$T1601))</f>
        <v/>
      </c>
      <c r="V1601" s="1">
        <f t="shared" si="200"/>
        <v>0</v>
      </c>
      <c r="W1601" s="1" t="str">
        <f t="shared" si="201"/>
        <v/>
      </c>
      <c r="X1601" s="1"/>
      <c r="Y1601" s="1"/>
      <c r="Z1601" s="1"/>
      <c r="AA1601" s="1"/>
      <c r="AB1601" s="1"/>
      <c r="AC1601" s="1"/>
      <c r="AD1601" s="1">
        <f>IF($C1601="",0,SUMPRODUCT((AY_SONU!$O$7:$O$42="Evet")*(AY_SONU!$B$7:$B$42=DATE(YEAR($C1601),MONTH($C1601),1))))</f>
        <v>0</v>
      </c>
      <c r="AE1601" s="1" t="str">
        <f>IF($E1601="","",$E1601&amp;"|"&amp;COUNTIFS($E$7:$E1601,$E1601))</f>
        <v/>
      </c>
    </row>
    <row r="1602" spans="1:31" ht="18" customHeight="1" x14ac:dyDescent="0.3">
      <c r="A1602" s="2"/>
      <c r="B1602" s="65" t="str">
        <f t="shared" si="194"/>
        <v/>
      </c>
      <c r="C1602" s="66"/>
      <c r="D1602" s="60"/>
      <c r="E1602" s="61"/>
      <c r="F1602" s="61"/>
      <c r="G1602" s="67"/>
      <c r="H1602" s="60"/>
      <c r="I1602" s="60"/>
      <c r="J1602" s="61"/>
      <c r="K1602" s="61"/>
      <c r="L1602" s="60"/>
      <c r="M1602" s="74" t="str">
        <f t="shared" si="195"/>
        <v/>
      </c>
      <c r="N1602" s="74" t="str">
        <f t="shared" si="196"/>
        <v/>
      </c>
      <c r="O1602" s="73" t="str">
        <f t="shared" si="197"/>
        <v/>
      </c>
      <c r="P1602" s="65" t="str">
        <f t="shared" ca="1" si="198"/>
        <v/>
      </c>
      <c r="Q1602" s="2"/>
      <c r="R1602" s="2"/>
      <c r="S1602" s="1" t="str">
        <f t="shared" si="199"/>
        <v/>
      </c>
      <c r="T1602" s="1" t="str">
        <f>IF(OR($C1602="",$D1602&lt;&gt;"Gelir",$L1602=""),"",IFERROR(INDEX(MUSTERILER!$B$7:$B$156,MATCH($S1602,MUSTERILER!$T$7:$T$156,0)),""))</f>
        <v/>
      </c>
      <c r="U1602" s="1" t="str">
        <f>IF($T1602="","",$T1602&amp;"|"&amp;COUNTIFS($T$7:$T1602,$T1602))</f>
        <v/>
      </c>
      <c r="V1602" s="1">
        <f t="shared" si="200"/>
        <v>0</v>
      </c>
      <c r="W1602" s="1" t="str">
        <f t="shared" si="201"/>
        <v/>
      </c>
      <c r="X1602" s="1"/>
      <c r="Y1602" s="1"/>
      <c r="Z1602" s="1"/>
      <c r="AA1602" s="1"/>
      <c r="AB1602" s="1"/>
      <c r="AC1602" s="1"/>
      <c r="AD1602" s="1">
        <f>IF($C1602="",0,SUMPRODUCT((AY_SONU!$O$7:$O$42="Evet")*(AY_SONU!$B$7:$B$42=DATE(YEAR($C1602),MONTH($C1602),1))))</f>
        <v>0</v>
      </c>
      <c r="AE1602" s="1" t="str">
        <f>IF($E1602="","",$E1602&amp;"|"&amp;COUNTIFS($E$7:$E1602,$E1602))</f>
        <v/>
      </c>
    </row>
    <row r="1603" spans="1:31" ht="18" customHeight="1" x14ac:dyDescent="0.3">
      <c r="A1603" s="2"/>
      <c r="B1603" s="65" t="str">
        <f t="shared" si="194"/>
        <v/>
      </c>
      <c r="C1603" s="66"/>
      <c r="D1603" s="60"/>
      <c r="E1603" s="61"/>
      <c r="F1603" s="61"/>
      <c r="G1603" s="67"/>
      <c r="H1603" s="60"/>
      <c r="I1603" s="60"/>
      <c r="J1603" s="61"/>
      <c r="K1603" s="61"/>
      <c r="L1603" s="60"/>
      <c r="M1603" s="74" t="str">
        <f t="shared" si="195"/>
        <v/>
      </c>
      <c r="N1603" s="74" t="str">
        <f t="shared" si="196"/>
        <v/>
      </c>
      <c r="O1603" s="73" t="str">
        <f t="shared" si="197"/>
        <v/>
      </c>
      <c r="P1603" s="65" t="str">
        <f t="shared" ca="1" si="198"/>
        <v/>
      </c>
      <c r="Q1603" s="2"/>
      <c r="R1603" s="2"/>
      <c r="S1603" s="1" t="str">
        <f t="shared" si="199"/>
        <v/>
      </c>
      <c r="T1603" s="1" t="str">
        <f>IF(OR($C1603="",$D1603&lt;&gt;"Gelir",$L1603=""),"",IFERROR(INDEX(MUSTERILER!$B$7:$B$156,MATCH($S1603,MUSTERILER!$T$7:$T$156,0)),""))</f>
        <v/>
      </c>
      <c r="U1603" s="1" t="str">
        <f>IF($T1603="","",$T1603&amp;"|"&amp;COUNTIFS($T$7:$T1603,$T1603))</f>
        <v/>
      </c>
      <c r="V1603" s="1">
        <f t="shared" si="200"/>
        <v>0</v>
      </c>
      <c r="W1603" s="1" t="str">
        <f t="shared" si="201"/>
        <v/>
      </c>
      <c r="X1603" s="1"/>
      <c r="Y1603" s="1"/>
      <c r="Z1603" s="1"/>
      <c r="AA1603" s="1"/>
      <c r="AB1603" s="1"/>
      <c r="AC1603" s="1"/>
      <c r="AD1603" s="1">
        <f>IF($C1603="",0,SUMPRODUCT((AY_SONU!$O$7:$O$42="Evet")*(AY_SONU!$B$7:$B$42=DATE(YEAR($C1603),MONTH($C1603),1))))</f>
        <v>0</v>
      </c>
      <c r="AE1603" s="1" t="str">
        <f>IF($E1603="","",$E1603&amp;"|"&amp;COUNTIFS($E$7:$E1603,$E1603))</f>
        <v/>
      </c>
    </row>
    <row r="1604" spans="1:31" ht="18" customHeight="1" x14ac:dyDescent="0.3">
      <c r="A1604" s="2"/>
      <c r="B1604" s="65" t="str">
        <f t="shared" si="194"/>
        <v/>
      </c>
      <c r="C1604" s="66"/>
      <c r="D1604" s="60"/>
      <c r="E1604" s="61"/>
      <c r="F1604" s="61"/>
      <c r="G1604" s="67"/>
      <c r="H1604" s="60"/>
      <c r="I1604" s="60"/>
      <c r="J1604" s="61"/>
      <c r="K1604" s="61"/>
      <c r="L1604" s="60"/>
      <c r="M1604" s="74" t="str">
        <f t="shared" si="195"/>
        <v/>
      </c>
      <c r="N1604" s="74" t="str">
        <f t="shared" si="196"/>
        <v/>
      </c>
      <c r="O1604" s="73" t="str">
        <f t="shared" si="197"/>
        <v/>
      </c>
      <c r="P1604" s="65" t="str">
        <f t="shared" ca="1" si="198"/>
        <v/>
      </c>
      <c r="Q1604" s="2"/>
      <c r="R1604" s="2"/>
      <c r="S1604" s="1" t="str">
        <f t="shared" si="199"/>
        <v/>
      </c>
      <c r="T1604" s="1" t="str">
        <f>IF(OR($C1604="",$D1604&lt;&gt;"Gelir",$L1604=""),"",IFERROR(INDEX(MUSTERILER!$B$7:$B$156,MATCH($S1604,MUSTERILER!$T$7:$T$156,0)),""))</f>
        <v/>
      </c>
      <c r="U1604" s="1" t="str">
        <f>IF($T1604="","",$T1604&amp;"|"&amp;COUNTIFS($T$7:$T1604,$T1604))</f>
        <v/>
      </c>
      <c r="V1604" s="1">
        <f t="shared" si="200"/>
        <v>0</v>
      </c>
      <c r="W1604" s="1" t="str">
        <f t="shared" si="201"/>
        <v/>
      </c>
      <c r="X1604" s="1"/>
      <c r="Y1604" s="1"/>
      <c r="Z1604" s="1"/>
      <c r="AA1604" s="1"/>
      <c r="AB1604" s="1"/>
      <c r="AC1604" s="1"/>
      <c r="AD1604" s="1">
        <f>IF($C1604="",0,SUMPRODUCT((AY_SONU!$O$7:$O$42="Evet")*(AY_SONU!$B$7:$B$42=DATE(YEAR($C1604),MONTH($C1604),1))))</f>
        <v>0</v>
      </c>
      <c r="AE1604" s="1" t="str">
        <f>IF($E1604="","",$E1604&amp;"|"&amp;COUNTIFS($E$7:$E1604,$E1604))</f>
        <v/>
      </c>
    </row>
    <row r="1605" spans="1:31" ht="18" customHeight="1" x14ac:dyDescent="0.3">
      <c r="A1605" s="2"/>
      <c r="B1605" s="65" t="str">
        <f t="shared" si="194"/>
        <v/>
      </c>
      <c r="C1605" s="66"/>
      <c r="D1605" s="60"/>
      <c r="E1605" s="61"/>
      <c r="F1605" s="61"/>
      <c r="G1605" s="67"/>
      <c r="H1605" s="60"/>
      <c r="I1605" s="60"/>
      <c r="J1605" s="61"/>
      <c r="K1605" s="61"/>
      <c r="L1605" s="60"/>
      <c r="M1605" s="74" t="str">
        <f t="shared" si="195"/>
        <v/>
      </c>
      <c r="N1605" s="74" t="str">
        <f t="shared" si="196"/>
        <v/>
      </c>
      <c r="O1605" s="73" t="str">
        <f t="shared" si="197"/>
        <v/>
      </c>
      <c r="P1605" s="65" t="str">
        <f t="shared" ca="1" si="198"/>
        <v/>
      </c>
      <c r="Q1605" s="2"/>
      <c r="R1605" s="2"/>
      <c r="S1605" s="1" t="str">
        <f t="shared" si="199"/>
        <v/>
      </c>
      <c r="T1605" s="1" t="str">
        <f>IF(OR($C1605="",$D1605&lt;&gt;"Gelir",$L1605=""),"",IFERROR(INDEX(MUSTERILER!$B$7:$B$156,MATCH($S1605,MUSTERILER!$T$7:$T$156,0)),""))</f>
        <v/>
      </c>
      <c r="U1605" s="1" t="str">
        <f>IF($T1605="","",$T1605&amp;"|"&amp;COUNTIFS($T$7:$T1605,$T1605))</f>
        <v/>
      </c>
      <c r="V1605" s="1">
        <f t="shared" si="200"/>
        <v>0</v>
      </c>
      <c r="W1605" s="1" t="str">
        <f t="shared" si="201"/>
        <v/>
      </c>
      <c r="X1605" s="1"/>
      <c r="Y1605" s="1"/>
      <c r="Z1605" s="1"/>
      <c r="AA1605" s="1"/>
      <c r="AB1605" s="1"/>
      <c r="AC1605" s="1"/>
      <c r="AD1605" s="1">
        <f>IF($C1605="",0,SUMPRODUCT((AY_SONU!$O$7:$O$42="Evet")*(AY_SONU!$B$7:$B$42=DATE(YEAR($C1605),MONTH($C1605),1))))</f>
        <v>0</v>
      </c>
      <c r="AE1605" s="1" t="str">
        <f>IF($E1605="","",$E1605&amp;"|"&amp;COUNTIFS($E$7:$E1605,$E1605))</f>
        <v/>
      </c>
    </row>
    <row r="1606" spans="1:31" ht="18" customHeight="1" x14ac:dyDescent="0.3">
      <c r="A1606" s="2"/>
      <c r="B1606" s="65" t="str">
        <f t="shared" si="194"/>
        <v/>
      </c>
      <c r="C1606" s="66"/>
      <c r="D1606" s="60"/>
      <c r="E1606" s="61"/>
      <c r="F1606" s="61"/>
      <c r="G1606" s="67"/>
      <c r="H1606" s="60"/>
      <c r="I1606" s="60"/>
      <c r="J1606" s="61"/>
      <c r="K1606" s="61"/>
      <c r="L1606" s="60"/>
      <c r="M1606" s="74" t="str">
        <f t="shared" si="195"/>
        <v/>
      </c>
      <c r="N1606" s="74" t="str">
        <f t="shared" si="196"/>
        <v/>
      </c>
      <c r="O1606" s="73" t="str">
        <f t="shared" si="197"/>
        <v/>
      </c>
      <c r="P1606" s="65" t="str">
        <f t="shared" ca="1" si="198"/>
        <v/>
      </c>
      <c r="Q1606" s="2"/>
      <c r="R1606" s="2"/>
      <c r="S1606" s="1" t="str">
        <f t="shared" si="199"/>
        <v/>
      </c>
      <c r="T1606" s="1" t="str">
        <f>IF(OR($C1606="",$D1606&lt;&gt;"Gelir",$L1606=""),"",IFERROR(INDEX(MUSTERILER!$B$7:$B$156,MATCH($S1606,MUSTERILER!$T$7:$T$156,0)),""))</f>
        <v/>
      </c>
      <c r="U1606" s="1" t="str">
        <f>IF($T1606="","",$T1606&amp;"|"&amp;COUNTIFS($T$7:$T1606,$T1606))</f>
        <v/>
      </c>
      <c r="V1606" s="1">
        <f t="shared" si="200"/>
        <v>0</v>
      </c>
      <c r="W1606" s="1" t="str">
        <f t="shared" si="201"/>
        <v/>
      </c>
      <c r="X1606" s="1"/>
      <c r="Y1606" s="1"/>
      <c r="Z1606" s="1"/>
      <c r="AA1606" s="1"/>
      <c r="AB1606" s="1"/>
      <c r="AC1606" s="1"/>
      <c r="AD1606" s="1">
        <f>IF($C1606="",0,SUMPRODUCT((AY_SONU!$O$7:$O$42="Evet")*(AY_SONU!$B$7:$B$42=DATE(YEAR($C1606),MONTH($C1606),1))))</f>
        <v>0</v>
      </c>
      <c r="AE1606" s="1" t="str">
        <f>IF($E1606="","",$E1606&amp;"|"&amp;COUNTIFS($E$7:$E1606,$E1606))</f>
        <v/>
      </c>
    </row>
    <row r="1607" spans="1:31" ht="18" customHeight="1" x14ac:dyDescent="0.3">
      <c r="A1607" s="2"/>
      <c r="B1607" s="65" t="str">
        <f t="shared" ref="B1607:B1670" si="202">IF($C1607="","","GG"&amp;TEXT(ROW()-6,"00000"))</f>
        <v/>
      </c>
      <c r="C1607" s="66"/>
      <c r="D1607" s="60"/>
      <c r="E1607" s="61"/>
      <c r="F1607" s="61"/>
      <c r="G1607" s="67"/>
      <c r="H1607" s="60"/>
      <c r="I1607" s="60"/>
      <c r="J1607" s="61"/>
      <c r="K1607" s="61"/>
      <c r="L1607" s="60"/>
      <c r="M1607" s="74" t="str">
        <f t="shared" ref="M1607:M1670" si="203">IF($C1607="","",IF($D1607="Gider",$E1607,IF($L1607&lt;&gt;"",$L1607,$H1607)))</f>
        <v/>
      </c>
      <c r="N1607" s="74" t="str">
        <f t="shared" ref="N1607:N1670" si="204">IF($C1607="","",IF($D1607="Gider",$H1607,$E1607))</f>
        <v/>
      </c>
      <c r="O1607" s="73" t="str">
        <f t="shared" ref="O1607:O1670" si="205">IF($C1607="","",DATE(YEAR($C1607),MONTH($C1607),1))</f>
        <v/>
      </c>
      <c r="P1607" s="65" t="str">
        <f t="shared" ref="P1607:P1670" ca="1" si="206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TARİH",IF(COUNTIF($W$7:$W$3006,$W1607)&gt;1,"MÜKERRER?",IF($AD1607&gt;0,"KAPALI DÖNEM",IF($I1607="Hayır","ÖDENECEK","UYGUN")))),"EKSİK"))))</f>
        <v/>
      </c>
      <c r="Q1607" s="2"/>
      <c r="R1607" s="2"/>
      <c r="S1607" s="1" t="str">
        <f t="shared" ref="S1607:S1670" si="207"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1" t="str">
        <f>IF(OR($C1607="",$D1607&lt;&gt;"Gelir",$L1607=""),"",IFERROR(INDEX(MUSTERILER!$B$7:$B$156,MATCH($S1607,MUSTERILER!$T$7:$T$156,0)),""))</f>
        <v/>
      </c>
      <c r="U1607" s="1" t="str">
        <f>IF($T1607="","",$T1607&amp;"|"&amp;COUNTIFS($T$7:$T1607,$T1607))</f>
        <v/>
      </c>
      <c r="V1607" s="1">
        <f t="shared" ref="V1607:V1670" si="208">IF($T1607="",0,1)</f>
        <v>0</v>
      </c>
      <c r="W1607" s="1" t="str">
        <f t="shared" ref="W1607:W1670" si="209">IF($C1607="","",$D1607&amp;"|"&amp;$E1607&amp;"|"&amp;TEXT($C1607,"0")&amp;"|"&amp;TEXT($G1607,"0")&amp;"|"&amp;$J1607)</f>
        <v/>
      </c>
      <c r="X1607" s="1"/>
      <c r="Y1607" s="1"/>
      <c r="Z1607" s="1"/>
      <c r="AA1607" s="1"/>
      <c r="AB1607" s="1"/>
      <c r="AC1607" s="1"/>
      <c r="AD1607" s="1">
        <f>IF($C1607="",0,SUMPRODUCT((AY_SONU!$O$7:$O$42="Evet")*(AY_SONU!$B$7:$B$42=DATE(YEAR($C1607),MONTH($C1607),1))))</f>
        <v>0</v>
      </c>
      <c r="AE1607" s="1" t="str">
        <f>IF($E1607="","",$E1607&amp;"|"&amp;COUNTIFS($E$7:$E1607,$E1607))</f>
        <v/>
      </c>
    </row>
    <row r="1608" spans="1:31" ht="18" customHeight="1" x14ac:dyDescent="0.3">
      <c r="A1608" s="2"/>
      <c r="B1608" s="65" t="str">
        <f t="shared" si="202"/>
        <v/>
      </c>
      <c r="C1608" s="66"/>
      <c r="D1608" s="60"/>
      <c r="E1608" s="61"/>
      <c r="F1608" s="61"/>
      <c r="G1608" s="67"/>
      <c r="H1608" s="60"/>
      <c r="I1608" s="60"/>
      <c r="J1608" s="61"/>
      <c r="K1608" s="61"/>
      <c r="L1608" s="60"/>
      <c r="M1608" s="74" t="str">
        <f t="shared" si="203"/>
        <v/>
      </c>
      <c r="N1608" s="74" t="str">
        <f t="shared" si="204"/>
        <v/>
      </c>
      <c r="O1608" s="73" t="str">
        <f t="shared" si="205"/>
        <v/>
      </c>
      <c r="P1608" s="65" t="str">
        <f t="shared" ca="1" si="206"/>
        <v/>
      </c>
      <c r="Q1608" s="2"/>
      <c r="R1608" s="2"/>
      <c r="S1608" s="1" t="str">
        <f t="shared" si="207"/>
        <v/>
      </c>
      <c r="T1608" s="1" t="str">
        <f>IF(OR($C1608="",$D1608&lt;&gt;"Gelir",$L1608=""),"",IFERROR(INDEX(MUSTERILER!$B$7:$B$156,MATCH($S1608,MUSTERILER!$T$7:$T$156,0)),""))</f>
        <v/>
      </c>
      <c r="U1608" s="1" t="str">
        <f>IF($T1608="","",$T1608&amp;"|"&amp;COUNTIFS($T$7:$T1608,$T1608))</f>
        <v/>
      </c>
      <c r="V1608" s="1">
        <f t="shared" si="208"/>
        <v>0</v>
      </c>
      <c r="W1608" s="1" t="str">
        <f t="shared" si="209"/>
        <v/>
      </c>
      <c r="X1608" s="1"/>
      <c r="Y1608" s="1"/>
      <c r="Z1608" s="1"/>
      <c r="AA1608" s="1"/>
      <c r="AB1608" s="1"/>
      <c r="AC1608" s="1"/>
      <c r="AD1608" s="1">
        <f>IF($C1608="",0,SUMPRODUCT((AY_SONU!$O$7:$O$42="Evet")*(AY_SONU!$B$7:$B$42=DATE(YEAR($C1608),MONTH($C1608),1))))</f>
        <v>0</v>
      </c>
      <c r="AE1608" s="1" t="str">
        <f>IF($E1608="","",$E1608&amp;"|"&amp;COUNTIFS($E$7:$E1608,$E1608))</f>
        <v/>
      </c>
    </row>
    <row r="1609" spans="1:31" ht="18" customHeight="1" x14ac:dyDescent="0.3">
      <c r="A1609" s="2"/>
      <c r="B1609" s="65" t="str">
        <f t="shared" si="202"/>
        <v/>
      </c>
      <c r="C1609" s="66"/>
      <c r="D1609" s="60"/>
      <c r="E1609" s="61"/>
      <c r="F1609" s="61"/>
      <c r="G1609" s="67"/>
      <c r="H1609" s="60"/>
      <c r="I1609" s="60"/>
      <c r="J1609" s="61"/>
      <c r="K1609" s="61"/>
      <c r="L1609" s="60"/>
      <c r="M1609" s="74" t="str">
        <f t="shared" si="203"/>
        <v/>
      </c>
      <c r="N1609" s="74" t="str">
        <f t="shared" si="204"/>
        <v/>
      </c>
      <c r="O1609" s="73" t="str">
        <f t="shared" si="205"/>
        <v/>
      </c>
      <c r="P1609" s="65" t="str">
        <f t="shared" ca="1" si="206"/>
        <v/>
      </c>
      <c r="Q1609" s="2"/>
      <c r="R1609" s="2"/>
      <c r="S1609" s="1" t="str">
        <f t="shared" si="207"/>
        <v/>
      </c>
      <c r="T1609" s="1" t="str">
        <f>IF(OR($C1609="",$D1609&lt;&gt;"Gelir",$L1609=""),"",IFERROR(INDEX(MUSTERILER!$B$7:$B$156,MATCH($S1609,MUSTERILER!$T$7:$T$156,0)),""))</f>
        <v/>
      </c>
      <c r="U1609" s="1" t="str">
        <f>IF($T1609="","",$T1609&amp;"|"&amp;COUNTIFS($T$7:$T1609,$T1609))</f>
        <v/>
      </c>
      <c r="V1609" s="1">
        <f t="shared" si="208"/>
        <v>0</v>
      </c>
      <c r="W1609" s="1" t="str">
        <f t="shared" si="209"/>
        <v/>
      </c>
      <c r="X1609" s="1"/>
      <c r="Y1609" s="1"/>
      <c r="Z1609" s="1"/>
      <c r="AA1609" s="1"/>
      <c r="AB1609" s="1"/>
      <c r="AC1609" s="1"/>
      <c r="AD1609" s="1">
        <f>IF($C1609="",0,SUMPRODUCT((AY_SONU!$O$7:$O$42="Evet")*(AY_SONU!$B$7:$B$42=DATE(YEAR($C1609),MONTH($C1609),1))))</f>
        <v>0</v>
      </c>
      <c r="AE1609" s="1" t="str">
        <f>IF($E1609="","",$E1609&amp;"|"&amp;COUNTIFS($E$7:$E1609,$E1609))</f>
        <v/>
      </c>
    </row>
    <row r="1610" spans="1:31" ht="18" customHeight="1" x14ac:dyDescent="0.3">
      <c r="A1610" s="2"/>
      <c r="B1610" s="65" t="str">
        <f t="shared" si="202"/>
        <v/>
      </c>
      <c r="C1610" s="66"/>
      <c r="D1610" s="60"/>
      <c r="E1610" s="61"/>
      <c r="F1610" s="61"/>
      <c r="G1610" s="67"/>
      <c r="H1610" s="60"/>
      <c r="I1610" s="60"/>
      <c r="J1610" s="61"/>
      <c r="K1610" s="61"/>
      <c r="L1610" s="60"/>
      <c r="M1610" s="74" t="str">
        <f t="shared" si="203"/>
        <v/>
      </c>
      <c r="N1610" s="74" t="str">
        <f t="shared" si="204"/>
        <v/>
      </c>
      <c r="O1610" s="73" t="str">
        <f t="shared" si="205"/>
        <v/>
      </c>
      <c r="P1610" s="65" t="str">
        <f t="shared" ca="1" si="206"/>
        <v/>
      </c>
      <c r="Q1610" s="2"/>
      <c r="R1610" s="2"/>
      <c r="S1610" s="1" t="str">
        <f t="shared" si="207"/>
        <v/>
      </c>
      <c r="T1610" s="1" t="str">
        <f>IF(OR($C1610="",$D1610&lt;&gt;"Gelir",$L1610=""),"",IFERROR(INDEX(MUSTERILER!$B$7:$B$156,MATCH($S1610,MUSTERILER!$T$7:$T$156,0)),""))</f>
        <v/>
      </c>
      <c r="U1610" s="1" t="str">
        <f>IF($T1610="","",$T1610&amp;"|"&amp;COUNTIFS($T$7:$T1610,$T1610))</f>
        <v/>
      </c>
      <c r="V1610" s="1">
        <f t="shared" si="208"/>
        <v>0</v>
      </c>
      <c r="W1610" s="1" t="str">
        <f t="shared" si="209"/>
        <v/>
      </c>
      <c r="X1610" s="1"/>
      <c r="Y1610" s="1"/>
      <c r="Z1610" s="1"/>
      <c r="AA1610" s="1"/>
      <c r="AB1610" s="1"/>
      <c r="AC1610" s="1"/>
      <c r="AD1610" s="1">
        <f>IF($C1610="",0,SUMPRODUCT((AY_SONU!$O$7:$O$42="Evet")*(AY_SONU!$B$7:$B$42=DATE(YEAR($C1610),MONTH($C1610),1))))</f>
        <v>0</v>
      </c>
      <c r="AE1610" s="1" t="str">
        <f>IF($E1610="","",$E1610&amp;"|"&amp;COUNTIFS($E$7:$E1610,$E1610))</f>
        <v/>
      </c>
    </row>
    <row r="1611" spans="1:31" ht="18" customHeight="1" x14ac:dyDescent="0.3">
      <c r="A1611" s="2"/>
      <c r="B1611" s="65" t="str">
        <f t="shared" si="202"/>
        <v/>
      </c>
      <c r="C1611" s="66"/>
      <c r="D1611" s="60"/>
      <c r="E1611" s="61"/>
      <c r="F1611" s="61"/>
      <c r="G1611" s="67"/>
      <c r="H1611" s="60"/>
      <c r="I1611" s="60"/>
      <c r="J1611" s="61"/>
      <c r="K1611" s="61"/>
      <c r="L1611" s="60"/>
      <c r="M1611" s="74" t="str">
        <f t="shared" si="203"/>
        <v/>
      </c>
      <c r="N1611" s="74" t="str">
        <f t="shared" si="204"/>
        <v/>
      </c>
      <c r="O1611" s="73" t="str">
        <f t="shared" si="205"/>
        <v/>
      </c>
      <c r="P1611" s="65" t="str">
        <f t="shared" ca="1" si="206"/>
        <v/>
      </c>
      <c r="Q1611" s="2"/>
      <c r="R1611" s="2"/>
      <c r="S1611" s="1" t="str">
        <f t="shared" si="207"/>
        <v/>
      </c>
      <c r="T1611" s="1" t="str">
        <f>IF(OR($C1611="",$D1611&lt;&gt;"Gelir",$L1611=""),"",IFERROR(INDEX(MUSTERILER!$B$7:$B$156,MATCH($S1611,MUSTERILER!$T$7:$T$156,0)),""))</f>
        <v/>
      </c>
      <c r="U1611" s="1" t="str">
        <f>IF($T1611="","",$T1611&amp;"|"&amp;COUNTIFS($T$7:$T1611,$T1611))</f>
        <v/>
      </c>
      <c r="V1611" s="1">
        <f t="shared" si="208"/>
        <v>0</v>
      </c>
      <c r="W1611" s="1" t="str">
        <f t="shared" si="209"/>
        <v/>
      </c>
      <c r="X1611" s="1"/>
      <c r="Y1611" s="1"/>
      <c r="Z1611" s="1"/>
      <c r="AA1611" s="1"/>
      <c r="AB1611" s="1"/>
      <c r="AC1611" s="1"/>
      <c r="AD1611" s="1">
        <f>IF($C1611="",0,SUMPRODUCT((AY_SONU!$O$7:$O$42="Evet")*(AY_SONU!$B$7:$B$42=DATE(YEAR($C1611),MONTH($C1611),1))))</f>
        <v>0</v>
      </c>
      <c r="AE1611" s="1" t="str">
        <f>IF($E1611="","",$E1611&amp;"|"&amp;COUNTIFS($E$7:$E1611,$E1611))</f>
        <v/>
      </c>
    </row>
    <row r="1612" spans="1:31" ht="18" customHeight="1" x14ac:dyDescent="0.3">
      <c r="A1612" s="2"/>
      <c r="B1612" s="65" t="str">
        <f t="shared" si="202"/>
        <v/>
      </c>
      <c r="C1612" s="66"/>
      <c r="D1612" s="60"/>
      <c r="E1612" s="61"/>
      <c r="F1612" s="61"/>
      <c r="G1612" s="67"/>
      <c r="H1612" s="60"/>
      <c r="I1612" s="60"/>
      <c r="J1612" s="61"/>
      <c r="K1612" s="61"/>
      <c r="L1612" s="60"/>
      <c r="M1612" s="74" t="str">
        <f t="shared" si="203"/>
        <v/>
      </c>
      <c r="N1612" s="74" t="str">
        <f t="shared" si="204"/>
        <v/>
      </c>
      <c r="O1612" s="73" t="str">
        <f t="shared" si="205"/>
        <v/>
      </c>
      <c r="P1612" s="65" t="str">
        <f t="shared" ca="1" si="206"/>
        <v/>
      </c>
      <c r="Q1612" s="2"/>
      <c r="R1612" s="2"/>
      <c r="S1612" s="1" t="str">
        <f t="shared" si="207"/>
        <v/>
      </c>
      <c r="T1612" s="1" t="str">
        <f>IF(OR($C1612="",$D1612&lt;&gt;"Gelir",$L1612=""),"",IFERROR(INDEX(MUSTERILER!$B$7:$B$156,MATCH($S1612,MUSTERILER!$T$7:$T$156,0)),""))</f>
        <v/>
      </c>
      <c r="U1612" s="1" t="str">
        <f>IF($T1612="","",$T1612&amp;"|"&amp;COUNTIFS($T$7:$T1612,$T1612))</f>
        <v/>
      </c>
      <c r="V1612" s="1">
        <f t="shared" si="208"/>
        <v>0</v>
      </c>
      <c r="W1612" s="1" t="str">
        <f t="shared" si="209"/>
        <v/>
      </c>
      <c r="X1612" s="1"/>
      <c r="Y1612" s="1"/>
      <c r="Z1612" s="1"/>
      <c r="AA1612" s="1"/>
      <c r="AB1612" s="1"/>
      <c r="AC1612" s="1"/>
      <c r="AD1612" s="1">
        <f>IF($C1612="",0,SUMPRODUCT((AY_SONU!$O$7:$O$42="Evet")*(AY_SONU!$B$7:$B$42=DATE(YEAR($C1612),MONTH($C1612),1))))</f>
        <v>0</v>
      </c>
      <c r="AE1612" s="1" t="str">
        <f>IF($E1612="","",$E1612&amp;"|"&amp;COUNTIFS($E$7:$E1612,$E1612))</f>
        <v/>
      </c>
    </row>
    <row r="1613" spans="1:31" ht="18" customHeight="1" x14ac:dyDescent="0.3">
      <c r="A1613" s="2"/>
      <c r="B1613" s="65" t="str">
        <f t="shared" si="202"/>
        <v/>
      </c>
      <c r="C1613" s="66"/>
      <c r="D1613" s="60"/>
      <c r="E1613" s="61"/>
      <c r="F1613" s="61"/>
      <c r="G1613" s="67"/>
      <c r="H1613" s="60"/>
      <c r="I1613" s="60"/>
      <c r="J1613" s="61"/>
      <c r="K1613" s="61"/>
      <c r="L1613" s="60"/>
      <c r="M1613" s="74" t="str">
        <f t="shared" si="203"/>
        <v/>
      </c>
      <c r="N1613" s="74" t="str">
        <f t="shared" si="204"/>
        <v/>
      </c>
      <c r="O1613" s="73" t="str">
        <f t="shared" si="205"/>
        <v/>
      </c>
      <c r="P1613" s="65" t="str">
        <f t="shared" ca="1" si="206"/>
        <v/>
      </c>
      <c r="Q1613" s="2"/>
      <c r="R1613" s="2"/>
      <c r="S1613" s="1" t="str">
        <f t="shared" si="207"/>
        <v/>
      </c>
      <c r="T1613" s="1" t="str">
        <f>IF(OR($C1613="",$D1613&lt;&gt;"Gelir",$L1613=""),"",IFERROR(INDEX(MUSTERILER!$B$7:$B$156,MATCH($S1613,MUSTERILER!$T$7:$T$156,0)),""))</f>
        <v/>
      </c>
      <c r="U1613" s="1" t="str">
        <f>IF($T1613="","",$T1613&amp;"|"&amp;COUNTIFS($T$7:$T1613,$T1613))</f>
        <v/>
      </c>
      <c r="V1613" s="1">
        <f t="shared" si="208"/>
        <v>0</v>
      </c>
      <c r="W1613" s="1" t="str">
        <f t="shared" si="209"/>
        <v/>
      </c>
      <c r="X1613" s="1"/>
      <c r="Y1613" s="1"/>
      <c r="Z1613" s="1"/>
      <c r="AA1613" s="1"/>
      <c r="AB1613" s="1"/>
      <c r="AC1613" s="1"/>
      <c r="AD1613" s="1">
        <f>IF($C1613="",0,SUMPRODUCT((AY_SONU!$O$7:$O$42="Evet")*(AY_SONU!$B$7:$B$42=DATE(YEAR($C1613),MONTH($C1613),1))))</f>
        <v>0</v>
      </c>
      <c r="AE1613" s="1" t="str">
        <f>IF($E1613="","",$E1613&amp;"|"&amp;COUNTIFS($E$7:$E1613,$E1613))</f>
        <v/>
      </c>
    </row>
    <row r="1614" spans="1:31" ht="18" customHeight="1" x14ac:dyDescent="0.3">
      <c r="A1614" s="2"/>
      <c r="B1614" s="65" t="str">
        <f t="shared" si="202"/>
        <v/>
      </c>
      <c r="C1614" s="66"/>
      <c r="D1614" s="60"/>
      <c r="E1614" s="61"/>
      <c r="F1614" s="61"/>
      <c r="G1614" s="67"/>
      <c r="H1614" s="60"/>
      <c r="I1614" s="60"/>
      <c r="J1614" s="61"/>
      <c r="K1614" s="61"/>
      <c r="L1614" s="60"/>
      <c r="M1614" s="74" t="str">
        <f t="shared" si="203"/>
        <v/>
      </c>
      <c r="N1614" s="74" t="str">
        <f t="shared" si="204"/>
        <v/>
      </c>
      <c r="O1614" s="73" t="str">
        <f t="shared" si="205"/>
        <v/>
      </c>
      <c r="P1614" s="65" t="str">
        <f t="shared" ca="1" si="206"/>
        <v/>
      </c>
      <c r="Q1614" s="2"/>
      <c r="R1614" s="2"/>
      <c r="S1614" s="1" t="str">
        <f t="shared" si="207"/>
        <v/>
      </c>
      <c r="T1614" s="1" t="str">
        <f>IF(OR($C1614="",$D1614&lt;&gt;"Gelir",$L1614=""),"",IFERROR(INDEX(MUSTERILER!$B$7:$B$156,MATCH($S1614,MUSTERILER!$T$7:$T$156,0)),""))</f>
        <v/>
      </c>
      <c r="U1614" s="1" t="str">
        <f>IF($T1614="","",$T1614&amp;"|"&amp;COUNTIFS($T$7:$T1614,$T1614))</f>
        <v/>
      </c>
      <c r="V1614" s="1">
        <f t="shared" si="208"/>
        <v>0</v>
      </c>
      <c r="W1614" s="1" t="str">
        <f t="shared" si="209"/>
        <v/>
      </c>
      <c r="X1614" s="1"/>
      <c r="Y1614" s="1"/>
      <c r="Z1614" s="1"/>
      <c r="AA1614" s="1"/>
      <c r="AB1614" s="1"/>
      <c r="AC1614" s="1"/>
      <c r="AD1614" s="1">
        <f>IF($C1614="",0,SUMPRODUCT((AY_SONU!$O$7:$O$42="Evet")*(AY_SONU!$B$7:$B$42=DATE(YEAR($C1614),MONTH($C1614),1))))</f>
        <v>0</v>
      </c>
      <c r="AE1614" s="1" t="str">
        <f>IF($E1614="","",$E1614&amp;"|"&amp;COUNTIFS($E$7:$E1614,$E1614))</f>
        <v/>
      </c>
    </row>
    <row r="1615" spans="1:31" ht="18" customHeight="1" x14ac:dyDescent="0.3">
      <c r="A1615" s="2"/>
      <c r="B1615" s="65" t="str">
        <f t="shared" si="202"/>
        <v/>
      </c>
      <c r="C1615" s="66"/>
      <c r="D1615" s="60"/>
      <c r="E1615" s="61"/>
      <c r="F1615" s="61"/>
      <c r="G1615" s="67"/>
      <c r="H1615" s="60"/>
      <c r="I1615" s="60"/>
      <c r="J1615" s="61"/>
      <c r="K1615" s="61"/>
      <c r="L1615" s="60"/>
      <c r="M1615" s="74" t="str">
        <f t="shared" si="203"/>
        <v/>
      </c>
      <c r="N1615" s="74" t="str">
        <f t="shared" si="204"/>
        <v/>
      </c>
      <c r="O1615" s="73" t="str">
        <f t="shared" si="205"/>
        <v/>
      </c>
      <c r="P1615" s="65" t="str">
        <f t="shared" ca="1" si="206"/>
        <v/>
      </c>
      <c r="Q1615" s="2"/>
      <c r="R1615" s="2"/>
      <c r="S1615" s="1" t="str">
        <f t="shared" si="207"/>
        <v/>
      </c>
      <c r="T1615" s="1" t="str">
        <f>IF(OR($C1615="",$D1615&lt;&gt;"Gelir",$L1615=""),"",IFERROR(INDEX(MUSTERILER!$B$7:$B$156,MATCH($S1615,MUSTERILER!$T$7:$T$156,0)),""))</f>
        <v/>
      </c>
      <c r="U1615" s="1" t="str">
        <f>IF($T1615="","",$T1615&amp;"|"&amp;COUNTIFS($T$7:$T1615,$T1615))</f>
        <v/>
      </c>
      <c r="V1615" s="1">
        <f t="shared" si="208"/>
        <v>0</v>
      </c>
      <c r="W1615" s="1" t="str">
        <f t="shared" si="209"/>
        <v/>
      </c>
      <c r="X1615" s="1"/>
      <c r="Y1615" s="1"/>
      <c r="Z1615" s="1"/>
      <c r="AA1615" s="1"/>
      <c r="AB1615" s="1"/>
      <c r="AC1615" s="1"/>
      <c r="AD1615" s="1">
        <f>IF($C1615="",0,SUMPRODUCT((AY_SONU!$O$7:$O$42="Evet")*(AY_SONU!$B$7:$B$42=DATE(YEAR($C1615),MONTH($C1615),1))))</f>
        <v>0</v>
      </c>
      <c r="AE1615" s="1" t="str">
        <f>IF($E1615="","",$E1615&amp;"|"&amp;COUNTIFS($E$7:$E1615,$E1615))</f>
        <v/>
      </c>
    </row>
    <row r="1616" spans="1:31" ht="18" customHeight="1" x14ac:dyDescent="0.3">
      <c r="A1616" s="2"/>
      <c r="B1616" s="65" t="str">
        <f t="shared" si="202"/>
        <v/>
      </c>
      <c r="C1616" s="66"/>
      <c r="D1616" s="60"/>
      <c r="E1616" s="61"/>
      <c r="F1616" s="61"/>
      <c r="G1616" s="67"/>
      <c r="H1616" s="60"/>
      <c r="I1616" s="60"/>
      <c r="J1616" s="61"/>
      <c r="K1616" s="61"/>
      <c r="L1616" s="60"/>
      <c r="M1616" s="74" t="str">
        <f t="shared" si="203"/>
        <v/>
      </c>
      <c r="N1616" s="74" t="str">
        <f t="shared" si="204"/>
        <v/>
      </c>
      <c r="O1616" s="73" t="str">
        <f t="shared" si="205"/>
        <v/>
      </c>
      <c r="P1616" s="65" t="str">
        <f t="shared" ca="1" si="206"/>
        <v/>
      </c>
      <c r="Q1616" s="2"/>
      <c r="R1616" s="2"/>
      <c r="S1616" s="1" t="str">
        <f t="shared" si="207"/>
        <v/>
      </c>
      <c r="T1616" s="1" t="str">
        <f>IF(OR($C1616="",$D1616&lt;&gt;"Gelir",$L1616=""),"",IFERROR(INDEX(MUSTERILER!$B$7:$B$156,MATCH($S1616,MUSTERILER!$T$7:$T$156,0)),""))</f>
        <v/>
      </c>
      <c r="U1616" s="1" t="str">
        <f>IF($T1616="","",$T1616&amp;"|"&amp;COUNTIFS($T$7:$T1616,$T1616))</f>
        <v/>
      </c>
      <c r="V1616" s="1">
        <f t="shared" si="208"/>
        <v>0</v>
      </c>
      <c r="W1616" s="1" t="str">
        <f t="shared" si="209"/>
        <v/>
      </c>
      <c r="X1616" s="1"/>
      <c r="Y1616" s="1"/>
      <c r="Z1616" s="1"/>
      <c r="AA1616" s="1"/>
      <c r="AB1616" s="1"/>
      <c r="AC1616" s="1"/>
      <c r="AD1616" s="1">
        <f>IF($C1616="",0,SUMPRODUCT((AY_SONU!$O$7:$O$42="Evet")*(AY_SONU!$B$7:$B$42=DATE(YEAR($C1616),MONTH($C1616),1))))</f>
        <v>0</v>
      </c>
      <c r="AE1616" s="1" t="str">
        <f>IF($E1616="","",$E1616&amp;"|"&amp;COUNTIFS($E$7:$E1616,$E1616))</f>
        <v/>
      </c>
    </row>
    <row r="1617" spans="1:31" ht="18" customHeight="1" x14ac:dyDescent="0.3">
      <c r="A1617" s="2"/>
      <c r="B1617" s="65" t="str">
        <f t="shared" si="202"/>
        <v/>
      </c>
      <c r="C1617" s="66"/>
      <c r="D1617" s="60"/>
      <c r="E1617" s="61"/>
      <c r="F1617" s="61"/>
      <c r="G1617" s="67"/>
      <c r="H1617" s="60"/>
      <c r="I1617" s="60"/>
      <c r="J1617" s="61"/>
      <c r="K1617" s="61"/>
      <c r="L1617" s="60"/>
      <c r="M1617" s="74" t="str">
        <f t="shared" si="203"/>
        <v/>
      </c>
      <c r="N1617" s="74" t="str">
        <f t="shared" si="204"/>
        <v/>
      </c>
      <c r="O1617" s="73" t="str">
        <f t="shared" si="205"/>
        <v/>
      </c>
      <c r="P1617" s="65" t="str">
        <f t="shared" ca="1" si="206"/>
        <v/>
      </c>
      <c r="Q1617" s="2"/>
      <c r="R1617" s="2"/>
      <c r="S1617" s="1" t="str">
        <f t="shared" si="207"/>
        <v/>
      </c>
      <c r="T1617" s="1" t="str">
        <f>IF(OR($C1617="",$D1617&lt;&gt;"Gelir",$L1617=""),"",IFERROR(INDEX(MUSTERILER!$B$7:$B$156,MATCH($S1617,MUSTERILER!$T$7:$T$156,0)),""))</f>
        <v/>
      </c>
      <c r="U1617" s="1" t="str">
        <f>IF($T1617="","",$T1617&amp;"|"&amp;COUNTIFS($T$7:$T1617,$T1617))</f>
        <v/>
      </c>
      <c r="V1617" s="1">
        <f t="shared" si="208"/>
        <v>0</v>
      </c>
      <c r="W1617" s="1" t="str">
        <f t="shared" si="209"/>
        <v/>
      </c>
      <c r="X1617" s="1"/>
      <c r="Y1617" s="1"/>
      <c r="Z1617" s="1"/>
      <c r="AA1617" s="1"/>
      <c r="AB1617" s="1"/>
      <c r="AC1617" s="1"/>
      <c r="AD1617" s="1">
        <f>IF($C1617="",0,SUMPRODUCT((AY_SONU!$O$7:$O$42="Evet")*(AY_SONU!$B$7:$B$42=DATE(YEAR($C1617),MONTH($C1617),1))))</f>
        <v>0</v>
      </c>
      <c r="AE1617" s="1" t="str">
        <f>IF($E1617="","",$E1617&amp;"|"&amp;COUNTIFS($E$7:$E1617,$E1617))</f>
        <v/>
      </c>
    </row>
    <row r="1618" spans="1:31" ht="18" customHeight="1" x14ac:dyDescent="0.3">
      <c r="A1618" s="2"/>
      <c r="B1618" s="65" t="str">
        <f t="shared" si="202"/>
        <v/>
      </c>
      <c r="C1618" s="66"/>
      <c r="D1618" s="60"/>
      <c r="E1618" s="61"/>
      <c r="F1618" s="61"/>
      <c r="G1618" s="67"/>
      <c r="H1618" s="60"/>
      <c r="I1618" s="60"/>
      <c r="J1618" s="61"/>
      <c r="K1618" s="61"/>
      <c r="L1618" s="60"/>
      <c r="M1618" s="74" t="str">
        <f t="shared" si="203"/>
        <v/>
      </c>
      <c r="N1618" s="74" t="str">
        <f t="shared" si="204"/>
        <v/>
      </c>
      <c r="O1618" s="73" t="str">
        <f t="shared" si="205"/>
        <v/>
      </c>
      <c r="P1618" s="65" t="str">
        <f t="shared" ca="1" si="206"/>
        <v/>
      </c>
      <c r="Q1618" s="2"/>
      <c r="R1618" s="2"/>
      <c r="S1618" s="1" t="str">
        <f t="shared" si="207"/>
        <v/>
      </c>
      <c r="T1618" s="1" t="str">
        <f>IF(OR($C1618="",$D1618&lt;&gt;"Gelir",$L1618=""),"",IFERROR(INDEX(MUSTERILER!$B$7:$B$156,MATCH($S1618,MUSTERILER!$T$7:$T$156,0)),""))</f>
        <v/>
      </c>
      <c r="U1618" s="1" t="str">
        <f>IF($T1618="","",$T1618&amp;"|"&amp;COUNTIFS($T$7:$T1618,$T1618))</f>
        <v/>
      </c>
      <c r="V1618" s="1">
        <f t="shared" si="208"/>
        <v>0</v>
      </c>
      <c r="W1618" s="1" t="str">
        <f t="shared" si="209"/>
        <v/>
      </c>
      <c r="X1618" s="1"/>
      <c r="Y1618" s="1"/>
      <c r="Z1618" s="1"/>
      <c r="AA1618" s="1"/>
      <c r="AB1618" s="1"/>
      <c r="AC1618" s="1"/>
      <c r="AD1618" s="1">
        <f>IF($C1618="",0,SUMPRODUCT((AY_SONU!$O$7:$O$42="Evet")*(AY_SONU!$B$7:$B$42=DATE(YEAR($C1618),MONTH($C1618),1))))</f>
        <v>0</v>
      </c>
      <c r="AE1618" s="1" t="str">
        <f>IF($E1618="","",$E1618&amp;"|"&amp;COUNTIFS($E$7:$E1618,$E1618))</f>
        <v/>
      </c>
    </row>
    <row r="1619" spans="1:31" ht="18" customHeight="1" x14ac:dyDescent="0.3">
      <c r="A1619" s="2"/>
      <c r="B1619" s="65" t="str">
        <f t="shared" si="202"/>
        <v/>
      </c>
      <c r="C1619" s="66"/>
      <c r="D1619" s="60"/>
      <c r="E1619" s="61"/>
      <c r="F1619" s="61"/>
      <c r="G1619" s="67"/>
      <c r="H1619" s="60"/>
      <c r="I1619" s="60"/>
      <c r="J1619" s="61"/>
      <c r="K1619" s="61"/>
      <c r="L1619" s="60"/>
      <c r="M1619" s="74" t="str">
        <f t="shared" si="203"/>
        <v/>
      </c>
      <c r="N1619" s="74" t="str">
        <f t="shared" si="204"/>
        <v/>
      </c>
      <c r="O1619" s="73" t="str">
        <f t="shared" si="205"/>
        <v/>
      </c>
      <c r="P1619" s="65" t="str">
        <f t="shared" ca="1" si="206"/>
        <v/>
      </c>
      <c r="Q1619" s="2"/>
      <c r="R1619" s="2"/>
      <c r="S1619" s="1" t="str">
        <f t="shared" si="207"/>
        <v/>
      </c>
      <c r="T1619" s="1" t="str">
        <f>IF(OR($C1619="",$D1619&lt;&gt;"Gelir",$L1619=""),"",IFERROR(INDEX(MUSTERILER!$B$7:$B$156,MATCH($S1619,MUSTERILER!$T$7:$T$156,0)),""))</f>
        <v/>
      </c>
      <c r="U1619" s="1" t="str">
        <f>IF($T1619="","",$T1619&amp;"|"&amp;COUNTIFS($T$7:$T1619,$T1619))</f>
        <v/>
      </c>
      <c r="V1619" s="1">
        <f t="shared" si="208"/>
        <v>0</v>
      </c>
      <c r="W1619" s="1" t="str">
        <f t="shared" si="209"/>
        <v/>
      </c>
      <c r="X1619" s="1"/>
      <c r="Y1619" s="1"/>
      <c r="Z1619" s="1"/>
      <c r="AA1619" s="1"/>
      <c r="AB1619" s="1"/>
      <c r="AC1619" s="1"/>
      <c r="AD1619" s="1">
        <f>IF($C1619="",0,SUMPRODUCT((AY_SONU!$O$7:$O$42="Evet")*(AY_SONU!$B$7:$B$42=DATE(YEAR($C1619),MONTH($C1619),1))))</f>
        <v>0</v>
      </c>
      <c r="AE1619" s="1" t="str">
        <f>IF($E1619="","",$E1619&amp;"|"&amp;COUNTIFS($E$7:$E1619,$E1619))</f>
        <v/>
      </c>
    </row>
    <row r="1620" spans="1:31" ht="18" customHeight="1" x14ac:dyDescent="0.3">
      <c r="A1620" s="2"/>
      <c r="B1620" s="65" t="str">
        <f t="shared" si="202"/>
        <v/>
      </c>
      <c r="C1620" s="66"/>
      <c r="D1620" s="60"/>
      <c r="E1620" s="61"/>
      <c r="F1620" s="61"/>
      <c r="G1620" s="67"/>
      <c r="H1620" s="60"/>
      <c r="I1620" s="60"/>
      <c r="J1620" s="61"/>
      <c r="K1620" s="61"/>
      <c r="L1620" s="60"/>
      <c r="M1620" s="74" t="str">
        <f t="shared" si="203"/>
        <v/>
      </c>
      <c r="N1620" s="74" t="str">
        <f t="shared" si="204"/>
        <v/>
      </c>
      <c r="O1620" s="73" t="str">
        <f t="shared" si="205"/>
        <v/>
      </c>
      <c r="P1620" s="65" t="str">
        <f t="shared" ca="1" si="206"/>
        <v/>
      </c>
      <c r="Q1620" s="2"/>
      <c r="R1620" s="2"/>
      <c r="S1620" s="1" t="str">
        <f t="shared" si="207"/>
        <v/>
      </c>
      <c r="T1620" s="1" t="str">
        <f>IF(OR($C1620="",$D1620&lt;&gt;"Gelir",$L1620=""),"",IFERROR(INDEX(MUSTERILER!$B$7:$B$156,MATCH($S1620,MUSTERILER!$T$7:$T$156,0)),""))</f>
        <v/>
      </c>
      <c r="U1620" s="1" t="str">
        <f>IF($T1620="","",$T1620&amp;"|"&amp;COUNTIFS($T$7:$T1620,$T1620))</f>
        <v/>
      </c>
      <c r="V1620" s="1">
        <f t="shared" si="208"/>
        <v>0</v>
      </c>
      <c r="W1620" s="1" t="str">
        <f t="shared" si="209"/>
        <v/>
      </c>
      <c r="X1620" s="1"/>
      <c r="Y1620" s="1"/>
      <c r="Z1620" s="1"/>
      <c r="AA1620" s="1"/>
      <c r="AB1620" s="1"/>
      <c r="AC1620" s="1"/>
      <c r="AD1620" s="1">
        <f>IF($C1620="",0,SUMPRODUCT((AY_SONU!$O$7:$O$42="Evet")*(AY_SONU!$B$7:$B$42=DATE(YEAR($C1620),MONTH($C1620),1))))</f>
        <v>0</v>
      </c>
      <c r="AE1620" s="1" t="str">
        <f>IF($E1620="","",$E1620&amp;"|"&amp;COUNTIFS($E$7:$E1620,$E1620))</f>
        <v/>
      </c>
    </row>
    <row r="1621" spans="1:31" ht="18" customHeight="1" x14ac:dyDescent="0.3">
      <c r="A1621" s="2"/>
      <c r="B1621" s="65" t="str">
        <f t="shared" si="202"/>
        <v/>
      </c>
      <c r="C1621" s="66"/>
      <c r="D1621" s="60"/>
      <c r="E1621" s="61"/>
      <c r="F1621" s="61"/>
      <c r="G1621" s="67"/>
      <c r="H1621" s="60"/>
      <c r="I1621" s="60"/>
      <c r="J1621" s="61"/>
      <c r="K1621" s="61"/>
      <c r="L1621" s="60"/>
      <c r="M1621" s="74" t="str">
        <f t="shared" si="203"/>
        <v/>
      </c>
      <c r="N1621" s="74" t="str">
        <f t="shared" si="204"/>
        <v/>
      </c>
      <c r="O1621" s="73" t="str">
        <f t="shared" si="205"/>
        <v/>
      </c>
      <c r="P1621" s="65" t="str">
        <f t="shared" ca="1" si="206"/>
        <v/>
      </c>
      <c r="Q1621" s="2"/>
      <c r="R1621" s="2"/>
      <c r="S1621" s="1" t="str">
        <f t="shared" si="207"/>
        <v/>
      </c>
      <c r="T1621" s="1" t="str">
        <f>IF(OR($C1621="",$D1621&lt;&gt;"Gelir",$L1621=""),"",IFERROR(INDEX(MUSTERILER!$B$7:$B$156,MATCH($S1621,MUSTERILER!$T$7:$T$156,0)),""))</f>
        <v/>
      </c>
      <c r="U1621" s="1" t="str">
        <f>IF($T1621="","",$T1621&amp;"|"&amp;COUNTIFS($T$7:$T1621,$T1621))</f>
        <v/>
      </c>
      <c r="V1621" s="1">
        <f t="shared" si="208"/>
        <v>0</v>
      </c>
      <c r="W1621" s="1" t="str">
        <f t="shared" si="209"/>
        <v/>
      </c>
      <c r="X1621" s="1"/>
      <c r="Y1621" s="1"/>
      <c r="Z1621" s="1"/>
      <c r="AA1621" s="1"/>
      <c r="AB1621" s="1"/>
      <c r="AC1621" s="1"/>
      <c r="AD1621" s="1">
        <f>IF($C1621="",0,SUMPRODUCT((AY_SONU!$O$7:$O$42="Evet")*(AY_SONU!$B$7:$B$42=DATE(YEAR($C1621),MONTH($C1621),1))))</f>
        <v>0</v>
      </c>
      <c r="AE1621" s="1" t="str">
        <f>IF($E1621="","",$E1621&amp;"|"&amp;COUNTIFS($E$7:$E1621,$E1621))</f>
        <v/>
      </c>
    </row>
    <row r="1622" spans="1:31" ht="18" customHeight="1" x14ac:dyDescent="0.3">
      <c r="A1622" s="2"/>
      <c r="B1622" s="65" t="str">
        <f t="shared" si="202"/>
        <v/>
      </c>
      <c r="C1622" s="66"/>
      <c r="D1622" s="60"/>
      <c r="E1622" s="61"/>
      <c r="F1622" s="61"/>
      <c r="G1622" s="67"/>
      <c r="H1622" s="60"/>
      <c r="I1622" s="60"/>
      <c r="J1622" s="61"/>
      <c r="K1622" s="61"/>
      <c r="L1622" s="60"/>
      <c r="M1622" s="74" t="str">
        <f t="shared" si="203"/>
        <v/>
      </c>
      <c r="N1622" s="74" t="str">
        <f t="shared" si="204"/>
        <v/>
      </c>
      <c r="O1622" s="73" t="str">
        <f t="shared" si="205"/>
        <v/>
      </c>
      <c r="P1622" s="65" t="str">
        <f t="shared" ca="1" si="206"/>
        <v/>
      </c>
      <c r="Q1622" s="2"/>
      <c r="R1622" s="2"/>
      <c r="S1622" s="1" t="str">
        <f t="shared" si="207"/>
        <v/>
      </c>
      <c r="T1622" s="1" t="str">
        <f>IF(OR($C1622="",$D1622&lt;&gt;"Gelir",$L1622=""),"",IFERROR(INDEX(MUSTERILER!$B$7:$B$156,MATCH($S1622,MUSTERILER!$T$7:$T$156,0)),""))</f>
        <v/>
      </c>
      <c r="U1622" s="1" t="str">
        <f>IF($T1622="","",$T1622&amp;"|"&amp;COUNTIFS($T$7:$T1622,$T1622))</f>
        <v/>
      </c>
      <c r="V1622" s="1">
        <f t="shared" si="208"/>
        <v>0</v>
      </c>
      <c r="W1622" s="1" t="str">
        <f t="shared" si="209"/>
        <v/>
      </c>
      <c r="X1622" s="1"/>
      <c r="Y1622" s="1"/>
      <c r="Z1622" s="1"/>
      <c r="AA1622" s="1"/>
      <c r="AB1622" s="1"/>
      <c r="AC1622" s="1"/>
      <c r="AD1622" s="1">
        <f>IF($C1622="",0,SUMPRODUCT((AY_SONU!$O$7:$O$42="Evet")*(AY_SONU!$B$7:$B$42=DATE(YEAR($C1622),MONTH($C1622),1))))</f>
        <v>0</v>
      </c>
      <c r="AE1622" s="1" t="str">
        <f>IF($E1622="","",$E1622&amp;"|"&amp;COUNTIFS($E$7:$E1622,$E1622))</f>
        <v/>
      </c>
    </row>
    <row r="1623" spans="1:31" ht="18" customHeight="1" x14ac:dyDescent="0.3">
      <c r="A1623" s="2"/>
      <c r="B1623" s="65" t="str">
        <f t="shared" si="202"/>
        <v/>
      </c>
      <c r="C1623" s="66"/>
      <c r="D1623" s="60"/>
      <c r="E1623" s="61"/>
      <c r="F1623" s="61"/>
      <c r="G1623" s="67"/>
      <c r="H1623" s="60"/>
      <c r="I1623" s="60"/>
      <c r="J1623" s="61"/>
      <c r="K1623" s="61"/>
      <c r="L1623" s="60"/>
      <c r="M1623" s="74" t="str">
        <f t="shared" si="203"/>
        <v/>
      </c>
      <c r="N1623" s="74" t="str">
        <f t="shared" si="204"/>
        <v/>
      </c>
      <c r="O1623" s="73" t="str">
        <f t="shared" si="205"/>
        <v/>
      </c>
      <c r="P1623" s="65" t="str">
        <f t="shared" ca="1" si="206"/>
        <v/>
      </c>
      <c r="Q1623" s="2"/>
      <c r="R1623" s="2"/>
      <c r="S1623" s="1" t="str">
        <f t="shared" si="207"/>
        <v/>
      </c>
      <c r="T1623" s="1" t="str">
        <f>IF(OR($C1623="",$D1623&lt;&gt;"Gelir",$L1623=""),"",IFERROR(INDEX(MUSTERILER!$B$7:$B$156,MATCH($S1623,MUSTERILER!$T$7:$T$156,0)),""))</f>
        <v/>
      </c>
      <c r="U1623" s="1" t="str">
        <f>IF($T1623="","",$T1623&amp;"|"&amp;COUNTIFS($T$7:$T1623,$T1623))</f>
        <v/>
      </c>
      <c r="V1623" s="1">
        <f t="shared" si="208"/>
        <v>0</v>
      </c>
      <c r="W1623" s="1" t="str">
        <f t="shared" si="209"/>
        <v/>
      </c>
      <c r="X1623" s="1"/>
      <c r="Y1623" s="1"/>
      <c r="Z1623" s="1"/>
      <c r="AA1623" s="1"/>
      <c r="AB1623" s="1"/>
      <c r="AC1623" s="1"/>
      <c r="AD1623" s="1">
        <f>IF($C1623="",0,SUMPRODUCT((AY_SONU!$O$7:$O$42="Evet")*(AY_SONU!$B$7:$B$42=DATE(YEAR($C1623),MONTH($C1623),1))))</f>
        <v>0</v>
      </c>
      <c r="AE1623" s="1" t="str">
        <f>IF($E1623="","",$E1623&amp;"|"&amp;COUNTIFS($E$7:$E1623,$E1623))</f>
        <v/>
      </c>
    </row>
    <row r="1624" spans="1:31" ht="18" customHeight="1" x14ac:dyDescent="0.3">
      <c r="A1624" s="2"/>
      <c r="B1624" s="65" t="str">
        <f t="shared" si="202"/>
        <v/>
      </c>
      <c r="C1624" s="66"/>
      <c r="D1624" s="60"/>
      <c r="E1624" s="61"/>
      <c r="F1624" s="61"/>
      <c r="G1624" s="67"/>
      <c r="H1624" s="60"/>
      <c r="I1624" s="60"/>
      <c r="J1624" s="61"/>
      <c r="K1624" s="61"/>
      <c r="L1624" s="60"/>
      <c r="M1624" s="74" t="str">
        <f t="shared" si="203"/>
        <v/>
      </c>
      <c r="N1624" s="74" t="str">
        <f t="shared" si="204"/>
        <v/>
      </c>
      <c r="O1624" s="73" t="str">
        <f t="shared" si="205"/>
        <v/>
      </c>
      <c r="P1624" s="65" t="str">
        <f t="shared" ca="1" si="206"/>
        <v/>
      </c>
      <c r="Q1624" s="2"/>
      <c r="R1624" s="2"/>
      <c r="S1624" s="1" t="str">
        <f t="shared" si="207"/>
        <v/>
      </c>
      <c r="T1624" s="1" t="str">
        <f>IF(OR($C1624="",$D1624&lt;&gt;"Gelir",$L1624=""),"",IFERROR(INDEX(MUSTERILER!$B$7:$B$156,MATCH($S1624,MUSTERILER!$T$7:$T$156,0)),""))</f>
        <v/>
      </c>
      <c r="U1624" s="1" t="str">
        <f>IF($T1624="","",$T1624&amp;"|"&amp;COUNTIFS($T$7:$T1624,$T1624))</f>
        <v/>
      </c>
      <c r="V1624" s="1">
        <f t="shared" si="208"/>
        <v>0</v>
      </c>
      <c r="W1624" s="1" t="str">
        <f t="shared" si="209"/>
        <v/>
      </c>
      <c r="X1624" s="1"/>
      <c r="Y1624" s="1"/>
      <c r="Z1624" s="1"/>
      <c r="AA1624" s="1"/>
      <c r="AB1624" s="1"/>
      <c r="AC1624" s="1"/>
      <c r="AD1624" s="1">
        <f>IF($C1624="",0,SUMPRODUCT((AY_SONU!$O$7:$O$42="Evet")*(AY_SONU!$B$7:$B$42=DATE(YEAR($C1624),MONTH($C1624),1))))</f>
        <v>0</v>
      </c>
      <c r="AE1624" s="1" t="str">
        <f>IF($E1624="","",$E1624&amp;"|"&amp;COUNTIFS($E$7:$E1624,$E1624))</f>
        <v/>
      </c>
    </row>
    <row r="1625" spans="1:31" ht="18" customHeight="1" x14ac:dyDescent="0.3">
      <c r="A1625" s="2"/>
      <c r="B1625" s="65" t="str">
        <f t="shared" si="202"/>
        <v/>
      </c>
      <c r="C1625" s="66"/>
      <c r="D1625" s="60"/>
      <c r="E1625" s="61"/>
      <c r="F1625" s="61"/>
      <c r="G1625" s="67"/>
      <c r="H1625" s="60"/>
      <c r="I1625" s="60"/>
      <c r="J1625" s="61"/>
      <c r="K1625" s="61"/>
      <c r="L1625" s="60"/>
      <c r="M1625" s="74" t="str">
        <f t="shared" si="203"/>
        <v/>
      </c>
      <c r="N1625" s="74" t="str">
        <f t="shared" si="204"/>
        <v/>
      </c>
      <c r="O1625" s="73" t="str">
        <f t="shared" si="205"/>
        <v/>
      </c>
      <c r="P1625" s="65" t="str">
        <f t="shared" ca="1" si="206"/>
        <v/>
      </c>
      <c r="Q1625" s="2"/>
      <c r="R1625" s="2"/>
      <c r="S1625" s="1" t="str">
        <f t="shared" si="207"/>
        <v/>
      </c>
      <c r="T1625" s="1" t="str">
        <f>IF(OR($C1625="",$D1625&lt;&gt;"Gelir",$L1625=""),"",IFERROR(INDEX(MUSTERILER!$B$7:$B$156,MATCH($S1625,MUSTERILER!$T$7:$T$156,0)),""))</f>
        <v/>
      </c>
      <c r="U1625" s="1" t="str">
        <f>IF($T1625="","",$T1625&amp;"|"&amp;COUNTIFS($T$7:$T1625,$T1625))</f>
        <v/>
      </c>
      <c r="V1625" s="1">
        <f t="shared" si="208"/>
        <v>0</v>
      </c>
      <c r="W1625" s="1" t="str">
        <f t="shared" si="209"/>
        <v/>
      </c>
      <c r="X1625" s="1"/>
      <c r="Y1625" s="1"/>
      <c r="Z1625" s="1"/>
      <c r="AA1625" s="1"/>
      <c r="AB1625" s="1"/>
      <c r="AC1625" s="1"/>
      <c r="AD1625" s="1">
        <f>IF($C1625="",0,SUMPRODUCT((AY_SONU!$O$7:$O$42="Evet")*(AY_SONU!$B$7:$B$42=DATE(YEAR($C1625),MONTH($C1625),1))))</f>
        <v>0</v>
      </c>
      <c r="AE1625" s="1" t="str">
        <f>IF($E1625="","",$E1625&amp;"|"&amp;COUNTIFS($E$7:$E1625,$E1625))</f>
        <v/>
      </c>
    </row>
    <row r="1626" spans="1:31" ht="18" customHeight="1" x14ac:dyDescent="0.3">
      <c r="A1626" s="2"/>
      <c r="B1626" s="65" t="str">
        <f t="shared" si="202"/>
        <v/>
      </c>
      <c r="C1626" s="66"/>
      <c r="D1626" s="60"/>
      <c r="E1626" s="61"/>
      <c r="F1626" s="61"/>
      <c r="G1626" s="67"/>
      <c r="H1626" s="60"/>
      <c r="I1626" s="60"/>
      <c r="J1626" s="61"/>
      <c r="K1626" s="61"/>
      <c r="L1626" s="60"/>
      <c r="M1626" s="74" t="str">
        <f t="shared" si="203"/>
        <v/>
      </c>
      <c r="N1626" s="74" t="str">
        <f t="shared" si="204"/>
        <v/>
      </c>
      <c r="O1626" s="73" t="str">
        <f t="shared" si="205"/>
        <v/>
      </c>
      <c r="P1626" s="65" t="str">
        <f t="shared" ca="1" si="206"/>
        <v/>
      </c>
      <c r="Q1626" s="2"/>
      <c r="R1626" s="2"/>
      <c r="S1626" s="1" t="str">
        <f t="shared" si="207"/>
        <v/>
      </c>
      <c r="T1626" s="1" t="str">
        <f>IF(OR($C1626="",$D1626&lt;&gt;"Gelir",$L1626=""),"",IFERROR(INDEX(MUSTERILER!$B$7:$B$156,MATCH($S1626,MUSTERILER!$T$7:$T$156,0)),""))</f>
        <v/>
      </c>
      <c r="U1626" s="1" t="str">
        <f>IF($T1626="","",$T1626&amp;"|"&amp;COUNTIFS($T$7:$T1626,$T1626))</f>
        <v/>
      </c>
      <c r="V1626" s="1">
        <f t="shared" si="208"/>
        <v>0</v>
      </c>
      <c r="W1626" s="1" t="str">
        <f t="shared" si="209"/>
        <v/>
      </c>
      <c r="X1626" s="1"/>
      <c r="Y1626" s="1"/>
      <c r="Z1626" s="1"/>
      <c r="AA1626" s="1"/>
      <c r="AB1626" s="1"/>
      <c r="AC1626" s="1"/>
      <c r="AD1626" s="1">
        <f>IF($C1626="",0,SUMPRODUCT((AY_SONU!$O$7:$O$42="Evet")*(AY_SONU!$B$7:$B$42=DATE(YEAR($C1626),MONTH($C1626),1))))</f>
        <v>0</v>
      </c>
      <c r="AE1626" s="1" t="str">
        <f>IF($E1626="","",$E1626&amp;"|"&amp;COUNTIFS($E$7:$E1626,$E1626))</f>
        <v/>
      </c>
    </row>
    <row r="1627" spans="1:31" ht="18" customHeight="1" x14ac:dyDescent="0.3">
      <c r="A1627" s="2"/>
      <c r="B1627" s="65" t="str">
        <f t="shared" si="202"/>
        <v/>
      </c>
      <c r="C1627" s="66"/>
      <c r="D1627" s="60"/>
      <c r="E1627" s="61"/>
      <c r="F1627" s="61"/>
      <c r="G1627" s="67"/>
      <c r="H1627" s="60"/>
      <c r="I1627" s="60"/>
      <c r="J1627" s="61"/>
      <c r="K1627" s="61"/>
      <c r="L1627" s="60"/>
      <c r="M1627" s="74" t="str">
        <f t="shared" si="203"/>
        <v/>
      </c>
      <c r="N1627" s="74" t="str">
        <f t="shared" si="204"/>
        <v/>
      </c>
      <c r="O1627" s="73" t="str">
        <f t="shared" si="205"/>
        <v/>
      </c>
      <c r="P1627" s="65" t="str">
        <f t="shared" ca="1" si="206"/>
        <v/>
      </c>
      <c r="Q1627" s="2"/>
      <c r="R1627" s="2"/>
      <c r="S1627" s="1" t="str">
        <f t="shared" si="207"/>
        <v/>
      </c>
      <c r="T1627" s="1" t="str">
        <f>IF(OR($C1627="",$D1627&lt;&gt;"Gelir",$L1627=""),"",IFERROR(INDEX(MUSTERILER!$B$7:$B$156,MATCH($S1627,MUSTERILER!$T$7:$T$156,0)),""))</f>
        <v/>
      </c>
      <c r="U1627" s="1" t="str">
        <f>IF($T1627="","",$T1627&amp;"|"&amp;COUNTIFS($T$7:$T1627,$T1627))</f>
        <v/>
      </c>
      <c r="V1627" s="1">
        <f t="shared" si="208"/>
        <v>0</v>
      </c>
      <c r="W1627" s="1" t="str">
        <f t="shared" si="209"/>
        <v/>
      </c>
      <c r="X1627" s="1"/>
      <c r="Y1627" s="1"/>
      <c r="Z1627" s="1"/>
      <c r="AA1627" s="1"/>
      <c r="AB1627" s="1"/>
      <c r="AC1627" s="1"/>
      <c r="AD1627" s="1">
        <f>IF($C1627="",0,SUMPRODUCT((AY_SONU!$O$7:$O$42="Evet")*(AY_SONU!$B$7:$B$42=DATE(YEAR($C1627),MONTH($C1627),1))))</f>
        <v>0</v>
      </c>
      <c r="AE1627" s="1" t="str">
        <f>IF($E1627="","",$E1627&amp;"|"&amp;COUNTIFS($E$7:$E1627,$E1627))</f>
        <v/>
      </c>
    </row>
    <row r="1628" spans="1:31" ht="18" customHeight="1" x14ac:dyDescent="0.3">
      <c r="A1628" s="2"/>
      <c r="B1628" s="65" t="str">
        <f t="shared" si="202"/>
        <v/>
      </c>
      <c r="C1628" s="66"/>
      <c r="D1628" s="60"/>
      <c r="E1628" s="61"/>
      <c r="F1628" s="61"/>
      <c r="G1628" s="67"/>
      <c r="H1628" s="60"/>
      <c r="I1628" s="60"/>
      <c r="J1628" s="61"/>
      <c r="K1628" s="61"/>
      <c r="L1628" s="60"/>
      <c r="M1628" s="74" t="str">
        <f t="shared" si="203"/>
        <v/>
      </c>
      <c r="N1628" s="74" t="str">
        <f t="shared" si="204"/>
        <v/>
      </c>
      <c r="O1628" s="73" t="str">
        <f t="shared" si="205"/>
        <v/>
      </c>
      <c r="P1628" s="65" t="str">
        <f t="shared" ca="1" si="206"/>
        <v/>
      </c>
      <c r="Q1628" s="2"/>
      <c r="R1628" s="2"/>
      <c r="S1628" s="1" t="str">
        <f t="shared" si="207"/>
        <v/>
      </c>
      <c r="T1628" s="1" t="str">
        <f>IF(OR($C1628="",$D1628&lt;&gt;"Gelir",$L1628=""),"",IFERROR(INDEX(MUSTERILER!$B$7:$B$156,MATCH($S1628,MUSTERILER!$T$7:$T$156,0)),""))</f>
        <v/>
      </c>
      <c r="U1628" s="1" t="str">
        <f>IF($T1628="","",$T1628&amp;"|"&amp;COUNTIFS($T$7:$T1628,$T1628))</f>
        <v/>
      </c>
      <c r="V1628" s="1">
        <f t="shared" si="208"/>
        <v>0</v>
      </c>
      <c r="W1628" s="1" t="str">
        <f t="shared" si="209"/>
        <v/>
      </c>
      <c r="X1628" s="1"/>
      <c r="Y1628" s="1"/>
      <c r="Z1628" s="1"/>
      <c r="AA1628" s="1"/>
      <c r="AB1628" s="1"/>
      <c r="AC1628" s="1"/>
      <c r="AD1628" s="1">
        <f>IF($C1628="",0,SUMPRODUCT((AY_SONU!$O$7:$O$42="Evet")*(AY_SONU!$B$7:$B$42=DATE(YEAR($C1628),MONTH($C1628),1))))</f>
        <v>0</v>
      </c>
      <c r="AE1628" s="1" t="str">
        <f>IF($E1628="","",$E1628&amp;"|"&amp;COUNTIFS($E$7:$E1628,$E1628))</f>
        <v/>
      </c>
    </row>
    <row r="1629" spans="1:31" ht="18" customHeight="1" x14ac:dyDescent="0.3">
      <c r="A1629" s="2"/>
      <c r="B1629" s="65" t="str">
        <f t="shared" si="202"/>
        <v/>
      </c>
      <c r="C1629" s="66"/>
      <c r="D1629" s="60"/>
      <c r="E1629" s="61"/>
      <c r="F1629" s="61"/>
      <c r="G1629" s="67"/>
      <c r="H1629" s="60"/>
      <c r="I1629" s="60"/>
      <c r="J1629" s="61"/>
      <c r="K1629" s="61"/>
      <c r="L1629" s="60"/>
      <c r="M1629" s="74" t="str">
        <f t="shared" si="203"/>
        <v/>
      </c>
      <c r="N1629" s="74" t="str">
        <f t="shared" si="204"/>
        <v/>
      </c>
      <c r="O1629" s="73" t="str">
        <f t="shared" si="205"/>
        <v/>
      </c>
      <c r="P1629" s="65" t="str">
        <f t="shared" ca="1" si="206"/>
        <v/>
      </c>
      <c r="Q1629" s="2"/>
      <c r="R1629" s="2"/>
      <c r="S1629" s="1" t="str">
        <f t="shared" si="207"/>
        <v/>
      </c>
      <c r="T1629" s="1" t="str">
        <f>IF(OR($C1629="",$D1629&lt;&gt;"Gelir",$L1629=""),"",IFERROR(INDEX(MUSTERILER!$B$7:$B$156,MATCH($S1629,MUSTERILER!$T$7:$T$156,0)),""))</f>
        <v/>
      </c>
      <c r="U1629" s="1" t="str">
        <f>IF($T1629="","",$T1629&amp;"|"&amp;COUNTIFS($T$7:$T1629,$T1629))</f>
        <v/>
      </c>
      <c r="V1629" s="1">
        <f t="shared" si="208"/>
        <v>0</v>
      </c>
      <c r="W1629" s="1" t="str">
        <f t="shared" si="209"/>
        <v/>
      </c>
      <c r="X1629" s="1"/>
      <c r="Y1629" s="1"/>
      <c r="Z1629" s="1"/>
      <c r="AA1629" s="1"/>
      <c r="AB1629" s="1"/>
      <c r="AC1629" s="1"/>
      <c r="AD1629" s="1">
        <f>IF($C1629="",0,SUMPRODUCT((AY_SONU!$O$7:$O$42="Evet")*(AY_SONU!$B$7:$B$42=DATE(YEAR($C1629),MONTH($C1629),1))))</f>
        <v>0</v>
      </c>
      <c r="AE1629" s="1" t="str">
        <f>IF($E1629="","",$E1629&amp;"|"&amp;COUNTIFS($E$7:$E1629,$E1629))</f>
        <v/>
      </c>
    </row>
    <row r="1630" spans="1:31" ht="18" customHeight="1" x14ac:dyDescent="0.3">
      <c r="A1630" s="2"/>
      <c r="B1630" s="65" t="str">
        <f t="shared" si="202"/>
        <v/>
      </c>
      <c r="C1630" s="66"/>
      <c r="D1630" s="60"/>
      <c r="E1630" s="61"/>
      <c r="F1630" s="61"/>
      <c r="G1630" s="67"/>
      <c r="H1630" s="60"/>
      <c r="I1630" s="60"/>
      <c r="J1630" s="61"/>
      <c r="K1630" s="61"/>
      <c r="L1630" s="60"/>
      <c r="M1630" s="74" t="str">
        <f t="shared" si="203"/>
        <v/>
      </c>
      <c r="N1630" s="74" t="str">
        <f t="shared" si="204"/>
        <v/>
      </c>
      <c r="O1630" s="73" t="str">
        <f t="shared" si="205"/>
        <v/>
      </c>
      <c r="P1630" s="65" t="str">
        <f t="shared" ca="1" si="206"/>
        <v/>
      </c>
      <c r="Q1630" s="2"/>
      <c r="R1630" s="2"/>
      <c r="S1630" s="1" t="str">
        <f t="shared" si="207"/>
        <v/>
      </c>
      <c r="T1630" s="1" t="str">
        <f>IF(OR($C1630="",$D1630&lt;&gt;"Gelir",$L1630=""),"",IFERROR(INDEX(MUSTERILER!$B$7:$B$156,MATCH($S1630,MUSTERILER!$T$7:$T$156,0)),""))</f>
        <v/>
      </c>
      <c r="U1630" s="1" t="str">
        <f>IF($T1630="","",$T1630&amp;"|"&amp;COUNTIFS($T$7:$T1630,$T1630))</f>
        <v/>
      </c>
      <c r="V1630" s="1">
        <f t="shared" si="208"/>
        <v>0</v>
      </c>
      <c r="W1630" s="1" t="str">
        <f t="shared" si="209"/>
        <v/>
      </c>
      <c r="X1630" s="1"/>
      <c r="Y1630" s="1"/>
      <c r="Z1630" s="1"/>
      <c r="AA1630" s="1"/>
      <c r="AB1630" s="1"/>
      <c r="AC1630" s="1"/>
      <c r="AD1630" s="1">
        <f>IF($C1630="",0,SUMPRODUCT((AY_SONU!$O$7:$O$42="Evet")*(AY_SONU!$B$7:$B$42=DATE(YEAR($C1630),MONTH($C1630),1))))</f>
        <v>0</v>
      </c>
      <c r="AE1630" s="1" t="str">
        <f>IF($E1630="","",$E1630&amp;"|"&amp;COUNTIFS($E$7:$E1630,$E1630))</f>
        <v/>
      </c>
    </row>
    <row r="1631" spans="1:31" ht="18" customHeight="1" x14ac:dyDescent="0.3">
      <c r="A1631" s="2"/>
      <c r="B1631" s="65" t="str">
        <f t="shared" si="202"/>
        <v/>
      </c>
      <c r="C1631" s="66"/>
      <c r="D1631" s="60"/>
      <c r="E1631" s="61"/>
      <c r="F1631" s="61"/>
      <c r="G1631" s="67"/>
      <c r="H1631" s="60"/>
      <c r="I1631" s="60"/>
      <c r="J1631" s="61"/>
      <c r="K1631" s="61"/>
      <c r="L1631" s="60"/>
      <c r="M1631" s="74" t="str">
        <f t="shared" si="203"/>
        <v/>
      </c>
      <c r="N1631" s="74" t="str">
        <f t="shared" si="204"/>
        <v/>
      </c>
      <c r="O1631" s="73" t="str">
        <f t="shared" si="205"/>
        <v/>
      </c>
      <c r="P1631" s="65" t="str">
        <f t="shared" ca="1" si="206"/>
        <v/>
      </c>
      <c r="Q1631" s="2"/>
      <c r="R1631" s="2"/>
      <c r="S1631" s="1" t="str">
        <f t="shared" si="207"/>
        <v/>
      </c>
      <c r="T1631" s="1" t="str">
        <f>IF(OR($C1631="",$D1631&lt;&gt;"Gelir",$L1631=""),"",IFERROR(INDEX(MUSTERILER!$B$7:$B$156,MATCH($S1631,MUSTERILER!$T$7:$T$156,0)),""))</f>
        <v/>
      </c>
      <c r="U1631" s="1" t="str">
        <f>IF($T1631="","",$T1631&amp;"|"&amp;COUNTIFS($T$7:$T1631,$T1631))</f>
        <v/>
      </c>
      <c r="V1631" s="1">
        <f t="shared" si="208"/>
        <v>0</v>
      </c>
      <c r="W1631" s="1" t="str">
        <f t="shared" si="209"/>
        <v/>
      </c>
      <c r="X1631" s="1"/>
      <c r="Y1631" s="1"/>
      <c r="Z1631" s="1"/>
      <c r="AA1631" s="1"/>
      <c r="AB1631" s="1"/>
      <c r="AC1631" s="1"/>
      <c r="AD1631" s="1">
        <f>IF($C1631="",0,SUMPRODUCT((AY_SONU!$O$7:$O$42="Evet")*(AY_SONU!$B$7:$B$42=DATE(YEAR($C1631),MONTH($C1631),1))))</f>
        <v>0</v>
      </c>
      <c r="AE1631" s="1" t="str">
        <f>IF($E1631="","",$E1631&amp;"|"&amp;COUNTIFS($E$7:$E1631,$E1631))</f>
        <v/>
      </c>
    </row>
    <row r="1632" spans="1:31" ht="18" customHeight="1" x14ac:dyDescent="0.3">
      <c r="A1632" s="2"/>
      <c r="B1632" s="65" t="str">
        <f t="shared" si="202"/>
        <v/>
      </c>
      <c r="C1632" s="66"/>
      <c r="D1632" s="60"/>
      <c r="E1632" s="61"/>
      <c r="F1632" s="61"/>
      <c r="G1632" s="67"/>
      <c r="H1632" s="60"/>
      <c r="I1632" s="60"/>
      <c r="J1632" s="61"/>
      <c r="K1632" s="61"/>
      <c r="L1632" s="60"/>
      <c r="M1632" s="74" t="str">
        <f t="shared" si="203"/>
        <v/>
      </c>
      <c r="N1632" s="74" t="str">
        <f t="shared" si="204"/>
        <v/>
      </c>
      <c r="O1632" s="73" t="str">
        <f t="shared" si="205"/>
        <v/>
      </c>
      <c r="P1632" s="65" t="str">
        <f t="shared" ca="1" si="206"/>
        <v/>
      </c>
      <c r="Q1632" s="2"/>
      <c r="R1632" s="2"/>
      <c r="S1632" s="1" t="str">
        <f t="shared" si="207"/>
        <v/>
      </c>
      <c r="T1632" s="1" t="str">
        <f>IF(OR($C1632="",$D1632&lt;&gt;"Gelir",$L1632=""),"",IFERROR(INDEX(MUSTERILER!$B$7:$B$156,MATCH($S1632,MUSTERILER!$T$7:$T$156,0)),""))</f>
        <v/>
      </c>
      <c r="U1632" s="1" t="str">
        <f>IF($T1632="","",$T1632&amp;"|"&amp;COUNTIFS($T$7:$T1632,$T1632))</f>
        <v/>
      </c>
      <c r="V1632" s="1">
        <f t="shared" si="208"/>
        <v>0</v>
      </c>
      <c r="W1632" s="1" t="str">
        <f t="shared" si="209"/>
        <v/>
      </c>
      <c r="X1632" s="1"/>
      <c r="Y1632" s="1"/>
      <c r="Z1632" s="1"/>
      <c r="AA1632" s="1"/>
      <c r="AB1632" s="1"/>
      <c r="AC1632" s="1"/>
      <c r="AD1632" s="1">
        <f>IF($C1632="",0,SUMPRODUCT((AY_SONU!$O$7:$O$42="Evet")*(AY_SONU!$B$7:$B$42=DATE(YEAR($C1632),MONTH($C1632),1))))</f>
        <v>0</v>
      </c>
      <c r="AE1632" s="1" t="str">
        <f>IF($E1632="","",$E1632&amp;"|"&amp;COUNTIFS($E$7:$E1632,$E1632))</f>
        <v/>
      </c>
    </row>
    <row r="1633" spans="1:31" ht="18" customHeight="1" x14ac:dyDescent="0.3">
      <c r="A1633" s="2"/>
      <c r="B1633" s="65" t="str">
        <f t="shared" si="202"/>
        <v/>
      </c>
      <c r="C1633" s="66"/>
      <c r="D1633" s="60"/>
      <c r="E1633" s="61"/>
      <c r="F1633" s="61"/>
      <c r="G1633" s="67"/>
      <c r="H1633" s="60"/>
      <c r="I1633" s="60"/>
      <c r="J1633" s="61"/>
      <c r="K1633" s="61"/>
      <c r="L1633" s="60"/>
      <c r="M1633" s="74" t="str">
        <f t="shared" si="203"/>
        <v/>
      </c>
      <c r="N1633" s="74" t="str">
        <f t="shared" si="204"/>
        <v/>
      </c>
      <c r="O1633" s="73" t="str">
        <f t="shared" si="205"/>
        <v/>
      </c>
      <c r="P1633" s="65" t="str">
        <f t="shared" ca="1" si="206"/>
        <v/>
      </c>
      <c r="Q1633" s="2"/>
      <c r="R1633" s="2"/>
      <c r="S1633" s="1" t="str">
        <f t="shared" si="207"/>
        <v/>
      </c>
      <c r="T1633" s="1" t="str">
        <f>IF(OR($C1633="",$D1633&lt;&gt;"Gelir",$L1633=""),"",IFERROR(INDEX(MUSTERILER!$B$7:$B$156,MATCH($S1633,MUSTERILER!$T$7:$T$156,0)),""))</f>
        <v/>
      </c>
      <c r="U1633" s="1" t="str">
        <f>IF($T1633="","",$T1633&amp;"|"&amp;COUNTIFS($T$7:$T1633,$T1633))</f>
        <v/>
      </c>
      <c r="V1633" s="1">
        <f t="shared" si="208"/>
        <v>0</v>
      </c>
      <c r="W1633" s="1" t="str">
        <f t="shared" si="209"/>
        <v/>
      </c>
      <c r="X1633" s="1"/>
      <c r="Y1633" s="1"/>
      <c r="Z1633" s="1"/>
      <c r="AA1633" s="1"/>
      <c r="AB1633" s="1"/>
      <c r="AC1633" s="1"/>
      <c r="AD1633" s="1">
        <f>IF($C1633="",0,SUMPRODUCT((AY_SONU!$O$7:$O$42="Evet")*(AY_SONU!$B$7:$B$42=DATE(YEAR($C1633),MONTH($C1633),1))))</f>
        <v>0</v>
      </c>
      <c r="AE1633" s="1" t="str">
        <f>IF($E1633="","",$E1633&amp;"|"&amp;COUNTIFS($E$7:$E1633,$E1633))</f>
        <v/>
      </c>
    </row>
    <row r="1634" spans="1:31" ht="18" customHeight="1" x14ac:dyDescent="0.3">
      <c r="A1634" s="2"/>
      <c r="B1634" s="65" t="str">
        <f t="shared" si="202"/>
        <v/>
      </c>
      <c r="C1634" s="66"/>
      <c r="D1634" s="60"/>
      <c r="E1634" s="61"/>
      <c r="F1634" s="61"/>
      <c r="G1634" s="67"/>
      <c r="H1634" s="60"/>
      <c r="I1634" s="60"/>
      <c r="J1634" s="61"/>
      <c r="K1634" s="61"/>
      <c r="L1634" s="60"/>
      <c r="M1634" s="74" t="str">
        <f t="shared" si="203"/>
        <v/>
      </c>
      <c r="N1634" s="74" t="str">
        <f t="shared" si="204"/>
        <v/>
      </c>
      <c r="O1634" s="73" t="str">
        <f t="shared" si="205"/>
        <v/>
      </c>
      <c r="P1634" s="65" t="str">
        <f t="shared" ca="1" si="206"/>
        <v/>
      </c>
      <c r="Q1634" s="2"/>
      <c r="R1634" s="2"/>
      <c r="S1634" s="1" t="str">
        <f t="shared" si="207"/>
        <v/>
      </c>
      <c r="T1634" s="1" t="str">
        <f>IF(OR($C1634="",$D1634&lt;&gt;"Gelir",$L1634=""),"",IFERROR(INDEX(MUSTERILER!$B$7:$B$156,MATCH($S1634,MUSTERILER!$T$7:$T$156,0)),""))</f>
        <v/>
      </c>
      <c r="U1634" s="1" t="str">
        <f>IF($T1634="","",$T1634&amp;"|"&amp;COUNTIFS($T$7:$T1634,$T1634))</f>
        <v/>
      </c>
      <c r="V1634" s="1">
        <f t="shared" si="208"/>
        <v>0</v>
      </c>
      <c r="W1634" s="1" t="str">
        <f t="shared" si="209"/>
        <v/>
      </c>
      <c r="X1634" s="1"/>
      <c r="Y1634" s="1"/>
      <c r="Z1634" s="1"/>
      <c r="AA1634" s="1"/>
      <c r="AB1634" s="1"/>
      <c r="AC1634" s="1"/>
      <c r="AD1634" s="1">
        <f>IF($C1634="",0,SUMPRODUCT((AY_SONU!$O$7:$O$42="Evet")*(AY_SONU!$B$7:$B$42=DATE(YEAR($C1634),MONTH($C1634),1))))</f>
        <v>0</v>
      </c>
      <c r="AE1634" s="1" t="str">
        <f>IF($E1634="","",$E1634&amp;"|"&amp;COUNTIFS($E$7:$E1634,$E1634))</f>
        <v/>
      </c>
    </row>
    <row r="1635" spans="1:31" ht="18" customHeight="1" x14ac:dyDescent="0.3">
      <c r="A1635" s="2"/>
      <c r="B1635" s="65" t="str">
        <f t="shared" si="202"/>
        <v/>
      </c>
      <c r="C1635" s="66"/>
      <c r="D1635" s="60"/>
      <c r="E1635" s="61"/>
      <c r="F1635" s="61"/>
      <c r="G1635" s="67"/>
      <c r="H1635" s="60"/>
      <c r="I1635" s="60"/>
      <c r="J1635" s="61"/>
      <c r="K1635" s="61"/>
      <c r="L1635" s="60"/>
      <c r="M1635" s="74" t="str">
        <f t="shared" si="203"/>
        <v/>
      </c>
      <c r="N1635" s="74" t="str">
        <f t="shared" si="204"/>
        <v/>
      </c>
      <c r="O1635" s="73" t="str">
        <f t="shared" si="205"/>
        <v/>
      </c>
      <c r="P1635" s="65" t="str">
        <f t="shared" ca="1" si="206"/>
        <v/>
      </c>
      <c r="Q1635" s="2"/>
      <c r="R1635" s="2"/>
      <c r="S1635" s="1" t="str">
        <f t="shared" si="207"/>
        <v/>
      </c>
      <c r="T1635" s="1" t="str">
        <f>IF(OR($C1635="",$D1635&lt;&gt;"Gelir",$L1635=""),"",IFERROR(INDEX(MUSTERILER!$B$7:$B$156,MATCH($S1635,MUSTERILER!$T$7:$T$156,0)),""))</f>
        <v/>
      </c>
      <c r="U1635" s="1" t="str">
        <f>IF($T1635="","",$T1635&amp;"|"&amp;COUNTIFS($T$7:$T1635,$T1635))</f>
        <v/>
      </c>
      <c r="V1635" s="1">
        <f t="shared" si="208"/>
        <v>0</v>
      </c>
      <c r="W1635" s="1" t="str">
        <f t="shared" si="209"/>
        <v/>
      </c>
      <c r="X1635" s="1"/>
      <c r="Y1635" s="1"/>
      <c r="Z1635" s="1"/>
      <c r="AA1635" s="1"/>
      <c r="AB1635" s="1"/>
      <c r="AC1635" s="1"/>
      <c r="AD1635" s="1">
        <f>IF($C1635="",0,SUMPRODUCT((AY_SONU!$O$7:$O$42="Evet")*(AY_SONU!$B$7:$B$42=DATE(YEAR($C1635),MONTH($C1635),1))))</f>
        <v>0</v>
      </c>
      <c r="AE1635" s="1" t="str">
        <f>IF($E1635="","",$E1635&amp;"|"&amp;COUNTIFS($E$7:$E1635,$E1635))</f>
        <v/>
      </c>
    </row>
    <row r="1636" spans="1:31" ht="18" customHeight="1" x14ac:dyDescent="0.3">
      <c r="A1636" s="2"/>
      <c r="B1636" s="65" t="str">
        <f t="shared" si="202"/>
        <v/>
      </c>
      <c r="C1636" s="66"/>
      <c r="D1636" s="60"/>
      <c r="E1636" s="61"/>
      <c r="F1636" s="61"/>
      <c r="G1636" s="67"/>
      <c r="H1636" s="60"/>
      <c r="I1636" s="60"/>
      <c r="J1636" s="61"/>
      <c r="K1636" s="61"/>
      <c r="L1636" s="60"/>
      <c r="M1636" s="74" t="str">
        <f t="shared" si="203"/>
        <v/>
      </c>
      <c r="N1636" s="74" t="str">
        <f t="shared" si="204"/>
        <v/>
      </c>
      <c r="O1636" s="73" t="str">
        <f t="shared" si="205"/>
        <v/>
      </c>
      <c r="P1636" s="65" t="str">
        <f t="shared" ca="1" si="206"/>
        <v/>
      </c>
      <c r="Q1636" s="2"/>
      <c r="R1636" s="2"/>
      <c r="S1636" s="1" t="str">
        <f t="shared" si="207"/>
        <v/>
      </c>
      <c r="T1636" s="1" t="str">
        <f>IF(OR($C1636="",$D1636&lt;&gt;"Gelir",$L1636=""),"",IFERROR(INDEX(MUSTERILER!$B$7:$B$156,MATCH($S1636,MUSTERILER!$T$7:$T$156,0)),""))</f>
        <v/>
      </c>
      <c r="U1636" s="1" t="str">
        <f>IF($T1636="","",$T1636&amp;"|"&amp;COUNTIFS($T$7:$T1636,$T1636))</f>
        <v/>
      </c>
      <c r="V1636" s="1">
        <f t="shared" si="208"/>
        <v>0</v>
      </c>
      <c r="W1636" s="1" t="str">
        <f t="shared" si="209"/>
        <v/>
      </c>
      <c r="X1636" s="1"/>
      <c r="Y1636" s="1"/>
      <c r="Z1636" s="1"/>
      <c r="AA1636" s="1"/>
      <c r="AB1636" s="1"/>
      <c r="AC1636" s="1"/>
      <c r="AD1636" s="1">
        <f>IF($C1636="",0,SUMPRODUCT((AY_SONU!$O$7:$O$42="Evet")*(AY_SONU!$B$7:$B$42=DATE(YEAR($C1636),MONTH($C1636),1))))</f>
        <v>0</v>
      </c>
      <c r="AE1636" s="1" t="str">
        <f>IF($E1636="","",$E1636&amp;"|"&amp;COUNTIFS($E$7:$E1636,$E1636))</f>
        <v/>
      </c>
    </row>
    <row r="1637" spans="1:31" ht="18" customHeight="1" x14ac:dyDescent="0.3">
      <c r="A1637" s="2"/>
      <c r="B1637" s="65" t="str">
        <f t="shared" si="202"/>
        <v/>
      </c>
      <c r="C1637" s="66"/>
      <c r="D1637" s="60"/>
      <c r="E1637" s="61"/>
      <c r="F1637" s="61"/>
      <c r="G1637" s="67"/>
      <c r="H1637" s="60"/>
      <c r="I1637" s="60"/>
      <c r="J1637" s="61"/>
      <c r="K1637" s="61"/>
      <c r="L1637" s="60"/>
      <c r="M1637" s="74" t="str">
        <f t="shared" si="203"/>
        <v/>
      </c>
      <c r="N1637" s="74" t="str">
        <f t="shared" si="204"/>
        <v/>
      </c>
      <c r="O1637" s="73" t="str">
        <f t="shared" si="205"/>
        <v/>
      </c>
      <c r="P1637" s="65" t="str">
        <f t="shared" ca="1" si="206"/>
        <v/>
      </c>
      <c r="Q1637" s="2"/>
      <c r="R1637" s="2"/>
      <c r="S1637" s="1" t="str">
        <f t="shared" si="207"/>
        <v/>
      </c>
      <c r="T1637" s="1" t="str">
        <f>IF(OR($C1637="",$D1637&lt;&gt;"Gelir",$L1637=""),"",IFERROR(INDEX(MUSTERILER!$B$7:$B$156,MATCH($S1637,MUSTERILER!$T$7:$T$156,0)),""))</f>
        <v/>
      </c>
      <c r="U1637" s="1" t="str">
        <f>IF($T1637="","",$T1637&amp;"|"&amp;COUNTIFS($T$7:$T1637,$T1637))</f>
        <v/>
      </c>
      <c r="V1637" s="1">
        <f t="shared" si="208"/>
        <v>0</v>
      </c>
      <c r="W1637" s="1" t="str">
        <f t="shared" si="209"/>
        <v/>
      </c>
      <c r="X1637" s="1"/>
      <c r="Y1637" s="1"/>
      <c r="Z1637" s="1"/>
      <c r="AA1637" s="1"/>
      <c r="AB1637" s="1"/>
      <c r="AC1637" s="1"/>
      <c r="AD1637" s="1">
        <f>IF($C1637="",0,SUMPRODUCT((AY_SONU!$O$7:$O$42="Evet")*(AY_SONU!$B$7:$B$42=DATE(YEAR($C1637),MONTH($C1637),1))))</f>
        <v>0</v>
      </c>
      <c r="AE1637" s="1" t="str">
        <f>IF($E1637="","",$E1637&amp;"|"&amp;COUNTIFS($E$7:$E1637,$E1637))</f>
        <v/>
      </c>
    </row>
    <row r="1638" spans="1:31" ht="18" customHeight="1" x14ac:dyDescent="0.3">
      <c r="A1638" s="2"/>
      <c r="B1638" s="65" t="str">
        <f t="shared" si="202"/>
        <v/>
      </c>
      <c r="C1638" s="66"/>
      <c r="D1638" s="60"/>
      <c r="E1638" s="61"/>
      <c r="F1638" s="61"/>
      <c r="G1638" s="67"/>
      <c r="H1638" s="60"/>
      <c r="I1638" s="60"/>
      <c r="J1638" s="61"/>
      <c r="K1638" s="61"/>
      <c r="L1638" s="60"/>
      <c r="M1638" s="74" t="str">
        <f t="shared" si="203"/>
        <v/>
      </c>
      <c r="N1638" s="74" t="str">
        <f t="shared" si="204"/>
        <v/>
      </c>
      <c r="O1638" s="73" t="str">
        <f t="shared" si="205"/>
        <v/>
      </c>
      <c r="P1638" s="65" t="str">
        <f t="shared" ca="1" si="206"/>
        <v/>
      </c>
      <c r="Q1638" s="2"/>
      <c r="R1638" s="2"/>
      <c r="S1638" s="1" t="str">
        <f t="shared" si="207"/>
        <v/>
      </c>
      <c r="T1638" s="1" t="str">
        <f>IF(OR($C1638="",$D1638&lt;&gt;"Gelir",$L1638=""),"",IFERROR(INDEX(MUSTERILER!$B$7:$B$156,MATCH($S1638,MUSTERILER!$T$7:$T$156,0)),""))</f>
        <v/>
      </c>
      <c r="U1638" s="1" t="str">
        <f>IF($T1638="","",$T1638&amp;"|"&amp;COUNTIFS($T$7:$T1638,$T1638))</f>
        <v/>
      </c>
      <c r="V1638" s="1">
        <f t="shared" si="208"/>
        <v>0</v>
      </c>
      <c r="W1638" s="1" t="str">
        <f t="shared" si="209"/>
        <v/>
      </c>
      <c r="X1638" s="1"/>
      <c r="Y1638" s="1"/>
      <c r="Z1638" s="1"/>
      <c r="AA1638" s="1"/>
      <c r="AB1638" s="1"/>
      <c r="AC1638" s="1"/>
      <c r="AD1638" s="1">
        <f>IF($C1638="",0,SUMPRODUCT((AY_SONU!$O$7:$O$42="Evet")*(AY_SONU!$B$7:$B$42=DATE(YEAR($C1638),MONTH($C1638),1))))</f>
        <v>0</v>
      </c>
      <c r="AE1638" s="1" t="str">
        <f>IF($E1638="","",$E1638&amp;"|"&amp;COUNTIFS($E$7:$E1638,$E1638))</f>
        <v/>
      </c>
    </row>
    <row r="1639" spans="1:31" ht="18" customHeight="1" x14ac:dyDescent="0.3">
      <c r="A1639" s="2"/>
      <c r="B1639" s="65" t="str">
        <f t="shared" si="202"/>
        <v/>
      </c>
      <c r="C1639" s="66"/>
      <c r="D1639" s="60"/>
      <c r="E1639" s="61"/>
      <c r="F1639" s="61"/>
      <c r="G1639" s="67"/>
      <c r="H1639" s="60"/>
      <c r="I1639" s="60"/>
      <c r="J1639" s="61"/>
      <c r="K1639" s="61"/>
      <c r="L1639" s="60"/>
      <c r="M1639" s="74" t="str">
        <f t="shared" si="203"/>
        <v/>
      </c>
      <c r="N1639" s="74" t="str">
        <f t="shared" si="204"/>
        <v/>
      </c>
      <c r="O1639" s="73" t="str">
        <f t="shared" si="205"/>
        <v/>
      </c>
      <c r="P1639" s="65" t="str">
        <f t="shared" ca="1" si="206"/>
        <v/>
      </c>
      <c r="Q1639" s="2"/>
      <c r="R1639" s="2"/>
      <c r="S1639" s="1" t="str">
        <f t="shared" si="207"/>
        <v/>
      </c>
      <c r="T1639" s="1" t="str">
        <f>IF(OR($C1639="",$D1639&lt;&gt;"Gelir",$L1639=""),"",IFERROR(INDEX(MUSTERILER!$B$7:$B$156,MATCH($S1639,MUSTERILER!$T$7:$T$156,0)),""))</f>
        <v/>
      </c>
      <c r="U1639" s="1" t="str">
        <f>IF($T1639="","",$T1639&amp;"|"&amp;COUNTIFS($T$7:$T1639,$T1639))</f>
        <v/>
      </c>
      <c r="V1639" s="1">
        <f t="shared" si="208"/>
        <v>0</v>
      </c>
      <c r="W1639" s="1" t="str">
        <f t="shared" si="209"/>
        <v/>
      </c>
      <c r="X1639" s="1"/>
      <c r="Y1639" s="1"/>
      <c r="Z1639" s="1"/>
      <c r="AA1639" s="1"/>
      <c r="AB1639" s="1"/>
      <c r="AC1639" s="1"/>
      <c r="AD1639" s="1">
        <f>IF($C1639="",0,SUMPRODUCT((AY_SONU!$O$7:$O$42="Evet")*(AY_SONU!$B$7:$B$42=DATE(YEAR($C1639),MONTH($C1639),1))))</f>
        <v>0</v>
      </c>
      <c r="AE1639" s="1" t="str">
        <f>IF($E1639="","",$E1639&amp;"|"&amp;COUNTIFS($E$7:$E1639,$E1639))</f>
        <v/>
      </c>
    </row>
    <row r="1640" spans="1:31" ht="18" customHeight="1" x14ac:dyDescent="0.3">
      <c r="A1640" s="2"/>
      <c r="B1640" s="65" t="str">
        <f t="shared" si="202"/>
        <v/>
      </c>
      <c r="C1640" s="66"/>
      <c r="D1640" s="60"/>
      <c r="E1640" s="61"/>
      <c r="F1640" s="61"/>
      <c r="G1640" s="67"/>
      <c r="H1640" s="60"/>
      <c r="I1640" s="60"/>
      <c r="J1640" s="61"/>
      <c r="K1640" s="61"/>
      <c r="L1640" s="60"/>
      <c r="M1640" s="74" t="str">
        <f t="shared" si="203"/>
        <v/>
      </c>
      <c r="N1640" s="74" t="str">
        <f t="shared" si="204"/>
        <v/>
      </c>
      <c r="O1640" s="73" t="str">
        <f t="shared" si="205"/>
        <v/>
      </c>
      <c r="P1640" s="65" t="str">
        <f t="shared" ca="1" si="206"/>
        <v/>
      </c>
      <c r="Q1640" s="2"/>
      <c r="R1640" s="2"/>
      <c r="S1640" s="1" t="str">
        <f t="shared" si="207"/>
        <v/>
      </c>
      <c r="T1640" s="1" t="str">
        <f>IF(OR($C1640="",$D1640&lt;&gt;"Gelir",$L1640=""),"",IFERROR(INDEX(MUSTERILER!$B$7:$B$156,MATCH($S1640,MUSTERILER!$T$7:$T$156,0)),""))</f>
        <v/>
      </c>
      <c r="U1640" s="1" t="str">
        <f>IF($T1640="","",$T1640&amp;"|"&amp;COUNTIFS($T$7:$T1640,$T1640))</f>
        <v/>
      </c>
      <c r="V1640" s="1">
        <f t="shared" si="208"/>
        <v>0</v>
      </c>
      <c r="W1640" s="1" t="str">
        <f t="shared" si="209"/>
        <v/>
      </c>
      <c r="X1640" s="1"/>
      <c r="Y1640" s="1"/>
      <c r="Z1640" s="1"/>
      <c r="AA1640" s="1"/>
      <c r="AB1640" s="1"/>
      <c r="AC1640" s="1"/>
      <c r="AD1640" s="1">
        <f>IF($C1640="",0,SUMPRODUCT((AY_SONU!$O$7:$O$42="Evet")*(AY_SONU!$B$7:$B$42=DATE(YEAR($C1640),MONTH($C1640),1))))</f>
        <v>0</v>
      </c>
      <c r="AE1640" s="1" t="str">
        <f>IF($E1640="","",$E1640&amp;"|"&amp;COUNTIFS($E$7:$E1640,$E1640))</f>
        <v/>
      </c>
    </row>
    <row r="1641" spans="1:31" ht="18" customHeight="1" x14ac:dyDescent="0.3">
      <c r="A1641" s="2"/>
      <c r="B1641" s="65" t="str">
        <f t="shared" si="202"/>
        <v/>
      </c>
      <c r="C1641" s="66"/>
      <c r="D1641" s="60"/>
      <c r="E1641" s="61"/>
      <c r="F1641" s="61"/>
      <c r="G1641" s="67"/>
      <c r="H1641" s="60"/>
      <c r="I1641" s="60"/>
      <c r="J1641" s="61"/>
      <c r="K1641" s="61"/>
      <c r="L1641" s="60"/>
      <c r="M1641" s="74" t="str">
        <f t="shared" si="203"/>
        <v/>
      </c>
      <c r="N1641" s="74" t="str">
        <f t="shared" si="204"/>
        <v/>
      </c>
      <c r="O1641" s="73" t="str">
        <f t="shared" si="205"/>
        <v/>
      </c>
      <c r="P1641" s="65" t="str">
        <f t="shared" ca="1" si="206"/>
        <v/>
      </c>
      <c r="Q1641" s="2"/>
      <c r="R1641" s="2"/>
      <c r="S1641" s="1" t="str">
        <f t="shared" si="207"/>
        <v/>
      </c>
      <c r="T1641" s="1" t="str">
        <f>IF(OR($C1641="",$D1641&lt;&gt;"Gelir",$L1641=""),"",IFERROR(INDEX(MUSTERILER!$B$7:$B$156,MATCH($S1641,MUSTERILER!$T$7:$T$156,0)),""))</f>
        <v/>
      </c>
      <c r="U1641" s="1" t="str">
        <f>IF($T1641="","",$T1641&amp;"|"&amp;COUNTIFS($T$7:$T1641,$T1641))</f>
        <v/>
      </c>
      <c r="V1641" s="1">
        <f t="shared" si="208"/>
        <v>0</v>
      </c>
      <c r="W1641" s="1" t="str">
        <f t="shared" si="209"/>
        <v/>
      </c>
      <c r="X1641" s="1"/>
      <c r="Y1641" s="1"/>
      <c r="Z1641" s="1"/>
      <c r="AA1641" s="1"/>
      <c r="AB1641" s="1"/>
      <c r="AC1641" s="1"/>
      <c r="AD1641" s="1">
        <f>IF($C1641="",0,SUMPRODUCT((AY_SONU!$O$7:$O$42="Evet")*(AY_SONU!$B$7:$B$42=DATE(YEAR($C1641),MONTH($C1641),1))))</f>
        <v>0</v>
      </c>
      <c r="AE1641" s="1" t="str">
        <f>IF($E1641="","",$E1641&amp;"|"&amp;COUNTIFS($E$7:$E1641,$E1641))</f>
        <v/>
      </c>
    </row>
    <row r="1642" spans="1:31" ht="18" customHeight="1" x14ac:dyDescent="0.3">
      <c r="A1642" s="2"/>
      <c r="B1642" s="65" t="str">
        <f t="shared" si="202"/>
        <v/>
      </c>
      <c r="C1642" s="66"/>
      <c r="D1642" s="60"/>
      <c r="E1642" s="61"/>
      <c r="F1642" s="61"/>
      <c r="G1642" s="67"/>
      <c r="H1642" s="60"/>
      <c r="I1642" s="60"/>
      <c r="J1642" s="61"/>
      <c r="K1642" s="61"/>
      <c r="L1642" s="60"/>
      <c r="M1642" s="74" t="str">
        <f t="shared" si="203"/>
        <v/>
      </c>
      <c r="N1642" s="74" t="str">
        <f t="shared" si="204"/>
        <v/>
      </c>
      <c r="O1642" s="73" t="str">
        <f t="shared" si="205"/>
        <v/>
      </c>
      <c r="P1642" s="65" t="str">
        <f t="shared" ca="1" si="206"/>
        <v/>
      </c>
      <c r="Q1642" s="2"/>
      <c r="R1642" s="2"/>
      <c r="S1642" s="1" t="str">
        <f t="shared" si="207"/>
        <v/>
      </c>
      <c r="T1642" s="1" t="str">
        <f>IF(OR($C1642="",$D1642&lt;&gt;"Gelir",$L1642=""),"",IFERROR(INDEX(MUSTERILER!$B$7:$B$156,MATCH($S1642,MUSTERILER!$T$7:$T$156,0)),""))</f>
        <v/>
      </c>
      <c r="U1642" s="1" t="str">
        <f>IF($T1642="","",$T1642&amp;"|"&amp;COUNTIFS($T$7:$T1642,$T1642))</f>
        <v/>
      </c>
      <c r="V1642" s="1">
        <f t="shared" si="208"/>
        <v>0</v>
      </c>
      <c r="W1642" s="1" t="str">
        <f t="shared" si="209"/>
        <v/>
      </c>
      <c r="X1642" s="1"/>
      <c r="Y1642" s="1"/>
      <c r="Z1642" s="1"/>
      <c r="AA1642" s="1"/>
      <c r="AB1642" s="1"/>
      <c r="AC1642" s="1"/>
      <c r="AD1642" s="1">
        <f>IF($C1642="",0,SUMPRODUCT((AY_SONU!$O$7:$O$42="Evet")*(AY_SONU!$B$7:$B$42=DATE(YEAR($C1642),MONTH($C1642),1))))</f>
        <v>0</v>
      </c>
      <c r="AE1642" s="1" t="str">
        <f>IF($E1642="","",$E1642&amp;"|"&amp;COUNTIFS($E$7:$E1642,$E1642))</f>
        <v/>
      </c>
    </row>
    <row r="1643" spans="1:31" ht="18" customHeight="1" x14ac:dyDescent="0.3">
      <c r="A1643" s="2"/>
      <c r="B1643" s="65" t="str">
        <f t="shared" si="202"/>
        <v/>
      </c>
      <c r="C1643" s="66"/>
      <c r="D1643" s="60"/>
      <c r="E1643" s="61"/>
      <c r="F1643" s="61"/>
      <c r="G1643" s="67"/>
      <c r="H1643" s="60"/>
      <c r="I1643" s="60"/>
      <c r="J1643" s="61"/>
      <c r="K1643" s="61"/>
      <c r="L1643" s="60"/>
      <c r="M1643" s="74" t="str">
        <f t="shared" si="203"/>
        <v/>
      </c>
      <c r="N1643" s="74" t="str">
        <f t="shared" si="204"/>
        <v/>
      </c>
      <c r="O1643" s="73" t="str">
        <f t="shared" si="205"/>
        <v/>
      </c>
      <c r="P1643" s="65" t="str">
        <f t="shared" ca="1" si="206"/>
        <v/>
      </c>
      <c r="Q1643" s="2"/>
      <c r="R1643" s="2"/>
      <c r="S1643" s="1" t="str">
        <f t="shared" si="207"/>
        <v/>
      </c>
      <c r="T1643" s="1" t="str">
        <f>IF(OR($C1643="",$D1643&lt;&gt;"Gelir",$L1643=""),"",IFERROR(INDEX(MUSTERILER!$B$7:$B$156,MATCH($S1643,MUSTERILER!$T$7:$T$156,0)),""))</f>
        <v/>
      </c>
      <c r="U1643" s="1" t="str">
        <f>IF($T1643="","",$T1643&amp;"|"&amp;COUNTIFS($T$7:$T1643,$T1643))</f>
        <v/>
      </c>
      <c r="V1643" s="1">
        <f t="shared" si="208"/>
        <v>0</v>
      </c>
      <c r="W1643" s="1" t="str">
        <f t="shared" si="209"/>
        <v/>
      </c>
      <c r="X1643" s="1"/>
      <c r="Y1643" s="1"/>
      <c r="Z1643" s="1"/>
      <c r="AA1643" s="1"/>
      <c r="AB1643" s="1"/>
      <c r="AC1643" s="1"/>
      <c r="AD1643" s="1">
        <f>IF($C1643="",0,SUMPRODUCT((AY_SONU!$O$7:$O$42="Evet")*(AY_SONU!$B$7:$B$42=DATE(YEAR($C1643),MONTH($C1643),1))))</f>
        <v>0</v>
      </c>
      <c r="AE1643" s="1" t="str">
        <f>IF($E1643="","",$E1643&amp;"|"&amp;COUNTIFS($E$7:$E1643,$E1643))</f>
        <v/>
      </c>
    </row>
    <row r="1644" spans="1:31" ht="18" customHeight="1" x14ac:dyDescent="0.3">
      <c r="A1644" s="2"/>
      <c r="B1644" s="65" t="str">
        <f t="shared" si="202"/>
        <v/>
      </c>
      <c r="C1644" s="66"/>
      <c r="D1644" s="60"/>
      <c r="E1644" s="61"/>
      <c r="F1644" s="61"/>
      <c r="G1644" s="67"/>
      <c r="H1644" s="60"/>
      <c r="I1644" s="60"/>
      <c r="J1644" s="61"/>
      <c r="K1644" s="61"/>
      <c r="L1644" s="60"/>
      <c r="M1644" s="74" t="str">
        <f t="shared" si="203"/>
        <v/>
      </c>
      <c r="N1644" s="74" t="str">
        <f t="shared" si="204"/>
        <v/>
      </c>
      <c r="O1644" s="73" t="str">
        <f t="shared" si="205"/>
        <v/>
      </c>
      <c r="P1644" s="65" t="str">
        <f t="shared" ca="1" si="206"/>
        <v/>
      </c>
      <c r="Q1644" s="2"/>
      <c r="R1644" s="2"/>
      <c r="S1644" s="1" t="str">
        <f t="shared" si="207"/>
        <v/>
      </c>
      <c r="T1644" s="1" t="str">
        <f>IF(OR($C1644="",$D1644&lt;&gt;"Gelir",$L1644=""),"",IFERROR(INDEX(MUSTERILER!$B$7:$B$156,MATCH($S1644,MUSTERILER!$T$7:$T$156,0)),""))</f>
        <v/>
      </c>
      <c r="U1644" s="1" t="str">
        <f>IF($T1644="","",$T1644&amp;"|"&amp;COUNTIFS($T$7:$T1644,$T1644))</f>
        <v/>
      </c>
      <c r="V1644" s="1">
        <f t="shared" si="208"/>
        <v>0</v>
      </c>
      <c r="W1644" s="1" t="str">
        <f t="shared" si="209"/>
        <v/>
      </c>
      <c r="X1644" s="1"/>
      <c r="Y1644" s="1"/>
      <c r="Z1644" s="1"/>
      <c r="AA1644" s="1"/>
      <c r="AB1644" s="1"/>
      <c r="AC1644" s="1"/>
      <c r="AD1644" s="1">
        <f>IF($C1644="",0,SUMPRODUCT((AY_SONU!$O$7:$O$42="Evet")*(AY_SONU!$B$7:$B$42=DATE(YEAR($C1644),MONTH($C1644),1))))</f>
        <v>0</v>
      </c>
      <c r="AE1644" s="1" t="str">
        <f>IF($E1644="","",$E1644&amp;"|"&amp;COUNTIFS($E$7:$E1644,$E1644))</f>
        <v/>
      </c>
    </row>
    <row r="1645" spans="1:31" ht="18" customHeight="1" x14ac:dyDescent="0.3">
      <c r="A1645" s="2"/>
      <c r="B1645" s="65" t="str">
        <f t="shared" si="202"/>
        <v/>
      </c>
      <c r="C1645" s="66"/>
      <c r="D1645" s="60"/>
      <c r="E1645" s="61"/>
      <c r="F1645" s="61"/>
      <c r="G1645" s="67"/>
      <c r="H1645" s="60"/>
      <c r="I1645" s="60"/>
      <c r="J1645" s="61"/>
      <c r="K1645" s="61"/>
      <c r="L1645" s="60"/>
      <c r="M1645" s="74" t="str">
        <f t="shared" si="203"/>
        <v/>
      </c>
      <c r="N1645" s="74" t="str">
        <f t="shared" si="204"/>
        <v/>
      </c>
      <c r="O1645" s="73" t="str">
        <f t="shared" si="205"/>
        <v/>
      </c>
      <c r="P1645" s="65" t="str">
        <f t="shared" ca="1" si="206"/>
        <v/>
      </c>
      <c r="Q1645" s="2"/>
      <c r="R1645" s="2"/>
      <c r="S1645" s="1" t="str">
        <f t="shared" si="207"/>
        <v/>
      </c>
      <c r="T1645" s="1" t="str">
        <f>IF(OR($C1645="",$D1645&lt;&gt;"Gelir",$L1645=""),"",IFERROR(INDEX(MUSTERILER!$B$7:$B$156,MATCH($S1645,MUSTERILER!$T$7:$T$156,0)),""))</f>
        <v/>
      </c>
      <c r="U1645" s="1" t="str">
        <f>IF($T1645="","",$T1645&amp;"|"&amp;COUNTIFS($T$7:$T1645,$T1645))</f>
        <v/>
      </c>
      <c r="V1645" s="1">
        <f t="shared" si="208"/>
        <v>0</v>
      </c>
      <c r="W1645" s="1" t="str">
        <f t="shared" si="209"/>
        <v/>
      </c>
      <c r="X1645" s="1"/>
      <c r="Y1645" s="1"/>
      <c r="Z1645" s="1"/>
      <c r="AA1645" s="1"/>
      <c r="AB1645" s="1"/>
      <c r="AC1645" s="1"/>
      <c r="AD1645" s="1">
        <f>IF($C1645="",0,SUMPRODUCT((AY_SONU!$O$7:$O$42="Evet")*(AY_SONU!$B$7:$B$42=DATE(YEAR($C1645),MONTH($C1645),1))))</f>
        <v>0</v>
      </c>
      <c r="AE1645" s="1" t="str">
        <f>IF($E1645="","",$E1645&amp;"|"&amp;COUNTIFS($E$7:$E1645,$E1645))</f>
        <v/>
      </c>
    </row>
    <row r="1646" spans="1:31" ht="18" customHeight="1" x14ac:dyDescent="0.3">
      <c r="A1646" s="2"/>
      <c r="B1646" s="65" t="str">
        <f t="shared" si="202"/>
        <v/>
      </c>
      <c r="C1646" s="66"/>
      <c r="D1646" s="60"/>
      <c r="E1646" s="61"/>
      <c r="F1646" s="61"/>
      <c r="G1646" s="67"/>
      <c r="H1646" s="60"/>
      <c r="I1646" s="60"/>
      <c r="J1646" s="61"/>
      <c r="K1646" s="61"/>
      <c r="L1646" s="60"/>
      <c r="M1646" s="74" t="str">
        <f t="shared" si="203"/>
        <v/>
      </c>
      <c r="N1646" s="74" t="str">
        <f t="shared" si="204"/>
        <v/>
      </c>
      <c r="O1646" s="73" t="str">
        <f t="shared" si="205"/>
        <v/>
      </c>
      <c r="P1646" s="65" t="str">
        <f t="shared" ca="1" si="206"/>
        <v/>
      </c>
      <c r="Q1646" s="2"/>
      <c r="R1646" s="2"/>
      <c r="S1646" s="1" t="str">
        <f t="shared" si="207"/>
        <v/>
      </c>
      <c r="T1646" s="1" t="str">
        <f>IF(OR($C1646="",$D1646&lt;&gt;"Gelir",$L1646=""),"",IFERROR(INDEX(MUSTERILER!$B$7:$B$156,MATCH($S1646,MUSTERILER!$T$7:$T$156,0)),""))</f>
        <v/>
      </c>
      <c r="U1646" s="1" t="str">
        <f>IF($T1646="","",$T1646&amp;"|"&amp;COUNTIFS($T$7:$T1646,$T1646))</f>
        <v/>
      </c>
      <c r="V1646" s="1">
        <f t="shared" si="208"/>
        <v>0</v>
      </c>
      <c r="W1646" s="1" t="str">
        <f t="shared" si="209"/>
        <v/>
      </c>
      <c r="X1646" s="1"/>
      <c r="Y1646" s="1"/>
      <c r="Z1646" s="1"/>
      <c r="AA1646" s="1"/>
      <c r="AB1646" s="1"/>
      <c r="AC1646" s="1"/>
      <c r="AD1646" s="1">
        <f>IF($C1646="",0,SUMPRODUCT((AY_SONU!$O$7:$O$42="Evet")*(AY_SONU!$B$7:$B$42=DATE(YEAR($C1646),MONTH($C1646),1))))</f>
        <v>0</v>
      </c>
      <c r="AE1646" s="1" t="str">
        <f>IF($E1646="","",$E1646&amp;"|"&amp;COUNTIFS($E$7:$E1646,$E1646))</f>
        <v/>
      </c>
    </row>
    <row r="1647" spans="1:31" ht="18" customHeight="1" x14ac:dyDescent="0.3">
      <c r="A1647" s="2"/>
      <c r="B1647" s="65" t="str">
        <f t="shared" si="202"/>
        <v/>
      </c>
      <c r="C1647" s="66"/>
      <c r="D1647" s="60"/>
      <c r="E1647" s="61"/>
      <c r="F1647" s="61"/>
      <c r="G1647" s="67"/>
      <c r="H1647" s="60"/>
      <c r="I1647" s="60"/>
      <c r="J1647" s="61"/>
      <c r="K1647" s="61"/>
      <c r="L1647" s="60"/>
      <c r="M1647" s="74" t="str">
        <f t="shared" si="203"/>
        <v/>
      </c>
      <c r="N1647" s="74" t="str">
        <f t="shared" si="204"/>
        <v/>
      </c>
      <c r="O1647" s="73" t="str">
        <f t="shared" si="205"/>
        <v/>
      </c>
      <c r="P1647" s="65" t="str">
        <f t="shared" ca="1" si="206"/>
        <v/>
      </c>
      <c r="Q1647" s="2"/>
      <c r="R1647" s="2"/>
      <c r="S1647" s="1" t="str">
        <f t="shared" si="207"/>
        <v/>
      </c>
      <c r="T1647" s="1" t="str">
        <f>IF(OR($C1647="",$D1647&lt;&gt;"Gelir",$L1647=""),"",IFERROR(INDEX(MUSTERILER!$B$7:$B$156,MATCH($S1647,MUSTERILER!$T$7:$T$156,0)),""))</f>
        <v/>
      </c>
      <c r="U1647" s="1" t="str">
        <f>IF($T1647="","",$T1647&amp;"|"&amp;COUNTIFS($T$7:$T1647,$T1647))</f>
        <v/>
      </c>
      <c r="V1647" s="1">
        <f t="shared" si="208"/>
        <v>0</v>
      </c>
      <c r="W1647" s="1" t="str">
        <f t="shared" si="209"/>
        <v/>
      </c>
      <c r="X1647" s="1"/>
      <c r="Y1647" s="1"/>
      <c r="Z1647" s="1"/>
      <c r="AA1647" s="1"/>
      <c r="AB1647" s="1"/>
      <c r="AC1647" s="1"/>
      <c r="AD1647" s="1">
        <f>IF($C1647="",0,SUMPRODUCT((AY_SONU!$O$7:$O$42="Evet")*(AY_SONU!$B$7:$B$42=DATE(YEAR($C1647),MONTH($C1647),1))))</f>
        <v>0</v>
      </c>
      <c r="AE1647" s="1" t="str">
        <f>IF($E1647="","",$E1647&amp;"|"&amp;COUNTIFS($E$7:$E1647,$E1647))</f>
        <v/>
      </c>
    </row>
    <row r="1648" spans="1:31" ht="18" customHeight="1" x14ac:dyDescent="0.3">
      <c r="A1648" s="2"/>
      <c r="B1648" s="65" t="str">
        <f t="shared" si="202"/>
        <v/>
      </c>
      <c r="C1648" s="66"/>
      <c r="D1648" s="60"/>
      <c r="E1648" s="61"/>
      <c r="F1648" s="61"/>
      <c r="G1648" s="67"/>
      <c r="H1648" s="60"/>
      <c r="I1648" s="60"/>
      <c r="J1648" s="61"/>
      <c r="K1648" s="61"/>
      <c r="L1648" s="60"/>
      <c r="M1648" s="74" t="str">
        <f t="shared" si="203"/>
        <v/>
      </c>
      <c r="N1648" s="74" t="str">
        <f t="shared" si="204"/>
        <v/>
      </c>
      <c r="O1648" s="73" t="str">
        <f t="shared" si="205"/>
        <v/>
      </c>
      <c r="P1648" s="65" t="str">
        <f t="shared" ca="1" si="206"/>
        <v/>
      </c>
      <c r="Q1648" s="2"/>
      <c r="R1648" s="2"/>
      <c r="S1648" s="1" t="str">
        <f t="shared" si="207"/>
        <v/>
      </c>
      <c r="T1648" s="1" t="str">
        <f>IF(OR($C1648="",$D1648&lt;&gt;"Gelir",$L1648=""),"",IFERROR(INDEX(MUSTERILER!$B$7:$B$156,MATCH($S1648,MUSTERILER!$T$7:$T$156,0)),""))</f>
        <v/>
      </c>
      <c r="U1648" s="1" t="str">
        <f>IF($T1648="","",$T1648&amp;"|"&amp;COUNTIFS($T$7:$T1648,$T1648))</f>
        <v/>
      </c>
      <c r="V1648" s="1">
        <f t="shared" si="208"/>
        <v>0</v>
      </c>
      <c r="W1648" s="1" t="str">
        <f t="shared" si="209"/>
        <v/>
      </c>
      <c r="X1648" s="1"/>
      <c r="Y1648" s="1"/>
      <c r="Z1648" s="1"/>
      <c r="AA1648" s="1"/>
      <c r="AB1648" s="1"/>
      <c r="AC1648" s="1"/>
      <c r="AD1648" s="1">
        <f>IF($C1648="",0,SUMPRODUCT((AY_SONU!$O$7:$O$42="Evet")*(AY_SONU!$B$7:$B$42=DATE(YEAR($C1648),MONTH($C1648),1))))</f>
        <v>0</v>
      </c>
      <c r="AE1648" s="1" t="str">
        <f>IF($E1648="","",$E1648&amp;"|"&amp;COUNTIFS($E$7:$E1648,$E1648))</f>
        <v/>
      </c>
    </row>
    <row r="1649" spans="1:31" ht="18" customHeight="1" x14ac:dyDescent="0.3">
      <c r="A1649" s="2"/>
      <c r="B1649" s="65" t="str">
        <f t="shared" si="202"/>
        <v/>
      </c>
      <c r="C1649" s="66"/>
      <c r="D1649" s="60"/>
      <c r="E1649" s="61"/>
      <c r="F1649" s="61"/>
      <c r="G1649" s="67"/>
      <c r="H1649" s="60"/>
      <c r="I1649" s="60"/>
      <c r="J1649" s="61"/>
      <c r="K1649" s="61"/>
      <c r="L1649" s="60"/>
      <c r="M1649" s="74" t="str">
        <f t="shared" si="203"/>
        <v/>
      </c>
      <c r="N1649" s="74" t="str">
        <f t="shared" si="204"/>
        <v/>
      </c>
      <c r="O1649" s="73" t="str">
        <f t="shared" si="205"/>
        <v/>
      </c>
      <c r="P1649" s="65" t="str">
        <f t="shared" ca="1" si="206"/>
        <v/>
      </c>
      <c r="Q1649" s="2"/>
      <c r="R1649" s="2"/>
      <c r="S1649" s="1" t="str">
        <f t="shared" si="207"/>
        <v/>
      </c>
      <c r="T1649" s="1" t="str">
        <f>IF(OR($C1649="",$D1649&lt;&gt;"Gelir",$L1649=""),"",IFERROR(INDEX(MUSTERILER!$B$7:$B$156,MATCH($S1649,MUSTERILER!$T$7:$T$156,0)),""))</f>
        <v/>
      </c>
      <c r="U1649" s="1" t="str">
        <f>IF($T1649="","",$T1649&amp;"|"&amp;COUNTIFS($T$7:$T1649,$T1649))</f>
        <v/>
      </c>
      <c r="V1649" s="1">
        <f t="shared" si="208"/>
        <v>0</v>
      </c>
      <c r="W1649" s="1" t="str">
        <f t="shared" si="209"/>
        <v/>
      </c>
      <c r="X1649" s="1"/>
      <c r="Y1649" s="1"/>
      <c r="Z1649" s="1"/>
      <c r="AA1649" s="1"/>
      <c r="AB1649" s="1"/>
      <c r="AC1649" s="1"/>
      <c r="AD1649" s="1">
        <f>IF($C1649="",0,SUMPRODUCT((AY_SONU!$O$7:$O$42="Evet")*(AY_SONU!$B$7:$B$42=DATE(YEAR($C1649),MONTH($C1649),1))))</f>
        <v>0</v>
      </c>
      <c r="AE1649" s="1" t="str">
        <f>IF($E1649="","",$E1649&amp;"|"&amp;COUNTIFS($E$7:$E1649,$E1649))</f>
        <v/>
      </c>
    </row>
    <row r="1650" spans="1:31" ht="18" customHeight="1" x14ac:dyDescent="0.3">
      <c r="A1650" s="2"/>
      <c r="B1650" s="65" t="str">
        <f t="shared" si="202"/>
        <v/>
      </c>
      <c r="C1650" s="66"/>
      <c r="D1650" s="60"/>
      <c r="E1650" s="61"/>
      <c r="F1650" s="61"/>
      <c r="G1650" s="67"/>
      <c r="H1650" s="60"/>
      <c r="I1650" s="60"/>
      <c r="J1650" s="61"/>
      <c r="K1650" s="61"/>
      <c r="L1650" s="60"/>
      <c r="M1650" s="74" t="str">
        <f t="shared" si="203"/>
        <v/>
      </c>
      <c r="N1650" s="74" t="str">
        <f t="shared" si="204"/>
        <v/>
      </c>
      <c r="O1650" s="73" t="str">
        <f t="shared" si="205"/>
        <v/>
      </c>
      <c r="P1650" s="65" t="str">
        <f t="shared" ca="1" si="206"/>
        <v/>
      </c>
      <c r="Q1650" s="2"/>
      <c r="R1650" s="2"/>
      <c r="S1650" s="1" t="str">
        <f t="shared" si="207"/>
        <v/>
      </c>
      <c r="T1650" s="1" t="str">
        <f>IF(OR($C1650="",$D1650&lt;&gt;"Gelir",$L1650=""),"",IFERROR(INDEX(MUSTERILER!$B$7:$B$156,MATCH($S1650,MUSTERILER!$T$7:$T$156,0)),""))</f>
        <v/>
      </c>
      <c r="U1650" s="1" t="str">
        <f>IF($T1650="","",$T1650&amp;"|"&amp;COUNTIFS($T$7:$T1650,$T1650))</f>
        <v/>
      </c>
      <c r="V1650" s="1">
        <f t="shared" si="208"/>
        <v>0</v>
      </c>
      <c r="W1650" s="1" t="str">
        <f t="shared" si="209"/>
        <v/>
      </c>
      <c r="X1650" s="1"/>
      <c r="Y1650" s="1"/>
      <c r="Z1650" s="1"/>
      <c r="AA1650" s="1"/>
      <c r="AB1650" s="1"/>
      <c r="AC1650" s="1"/>
      <c r="AD1650" s="1">
        <f>IF($C1650="",0,SUMPRODUCT((AY_SONU!$O$7:$O$42="Evet")*(AY_SONU!$B$7:$B$42=DATE(YEAR($C1650),MONTH($C1650),1))))</f>
        <v>0</v>
      </c>
      <c r="AE1650" s="1" t="str">
        <f>IF($E1650="","",$E1650&amp;"|"&amp;COUNTIFS($E$7:$E1650,$E1650))</f>
        <v/>
      </c>
    </row>
    <row r="1651" spans="1:31" ht="18" customHeight="1" x14ac:dyDescent="0.3">
      <c r="A1651" s="2"/>
      <c r="B1651" s="65" t="str">
        <f t="shared" si="202"/>
        <v/>
      </c>
      <c r="C1651" s="66"/>
      <c r="D1651" s="60"/>
      <c r="E1651" s="61"/>
      <c r="F1651" s="61"/>
      <c r="G1651" s="67"/>
      <c r="H1651" s="60"/>
      <c r="I1651" s="60"/>
      <c r="J1651" s="61"/>
      <c r="K1651" s="61"/>
      <c r="L1651" s="60"/>
      <c r="M1651" s="74" t="str">
        <f t="shared" si="203"/>
        <v/>
      </c>
      <c r="N1651" s="74" t="str">
        <f t="shared" si="204"/>
        <v/>
      </c>
      <c r="O1651" s="73" t="str">
        <f t="shared" si="205"/>
        <v/>
      </c>
      <c r="P1651" s="65" t="str">
        <f t="shared" ca="1" si="206"/>
        <v/>
      </c>
      <c r="Q1651" s="2"/>
      <c r="R1651" s="2"/>
      <c r="S1651" s="1" t="str">
        <f t="shared" si="207"/>
        <v/>
      </c>
      <c r="T1651" s="1" t="str">
        <f>IF(OR($C1651="",$D1651&lt;&gt;"Gelir",$L1651=""),"",IFERROR(INDEX(MUSTERILER!$B$7:$B$156,MATCH($S1651,MUSTERILER!$T$7:$T$156,0)),""))</f>
        <v/>
      </c>
      <c r="U1651" s="1" t="str">
        <f>IF($T1651="","",$T1651&amp;"|"&amp;COUNTIFS($T$7:$T1651,$T1651))</f>
        <v/>
      </c>
      <c r="V1651" s="1">
        <f t="shared" si="208"/>
        <v>0</v>
      </c>
      <c r="W1651" s="1" t="str">
        <f t="shared" si="209"/>
        <v/>
      </c>
      <c r="X1651" s="1"/>
      <c r="Y1651" s="1"/>
      <c r="Z1651" s="1"/>
      <c r="AA1651" s="1"/>
      <c r="AB1651" s="1"/>
      <c r="AC1651" s="1"/>
      <c r="AD1651" s="1">
        <f>IF($C1651="",0,SUMPRODUCT((AY_SONU!$O$7:$O$42="Evet")*(AY_SONU!$B$7:$B$42=DATE(YEAR($C1651),MONTH($C1651),1))))</f>
        <v>0</v>
      </c>
      <c r="AE1651" s="1" t="str">
        <f>IF($E1651="","",$E1651&amp;"|"&amp;COUNTIFS($E$7:$E1651,$E1651))</f>
        <v/>
      </c>
    </row>
    <row r="1652" spans="1:31" ht="18" customHeight="1" x14ac:dyDescent="0.3">
      <c r="A1652" s="2"/>
      <c r="B1652" s="65" t="str">
        <f t="shared" si="202"/>
        <v/>
      </c>
      <c r="C1652" s="66"/>
      <c r="D1652" s="60"/>
      <c r="E1652" s="61"/>
      <c r="F1652" s="61"/>
      <c r="G1652" s="67"/>
      <c r="H1652" s="60"/>
      <c r="I1652" s="60"/>
      <c r="J1652" s="61"/>
      <c r="K1652" s="61"/>
      <c r="L1652" s="60"/>
      <c r="M1652" s="74" t="str">
        <f t="shared" si="203"/>
        <v/>
      </c>
      <c r="N1652" s="74" t="str">
        <f t="shared" si="204"/>
        <v/>
      </c>
      <c r="O1652" s="73" t="str">
        <f t="shared" si="205"/>
        <v/>
      </c>
      <c r="P1652" s="65" t="str">
        <f t="shared" ca="1" si="206"/>
        <v/>
      </c>
      <c r="Q1652" s="2"/>
      <c r="R1652" s="2"/>
      <c r="S1652" s="1" t="str">
        <f t="shared" si="207"/>
        <v/>
      </c>
      <c r="T1652" s="1" t="str">
        <f>IF(OR($C1652="",$D1652&lt;&gt;"Gelir",$L1652=""),"",IFERROR(INDEX(MUSTERILER!$B$7:$B$156,MATCH($S1652,MUSTERILER!$T$7:$T$156,0)),""))</f>
        <v/>
      </c>
      <c r="U1652" s="1" t="str">
        <f>IF($T1652="","",$T1652&amp;"|"&amp;COUNTIFS($T$7:$T1652,$T1652))</f>
        <v/>
      </c>
      <c r="V1652" s="1">
        <f t="shared" si="208"/>
        <v>0</v>
      </c>
      <c r="W1652" s="1" t="str">
        <f t="shared" si="209"/>
        <v/>
      </c>
      <c r="X1652" s="1"/>
      <c r="Y1652" s="1"/>
      <c r="Z1652" s="1"/>
      <c r="AA1652" s="1"/>
      <c r="AB1652" s="1"/>
      <c r="AC1652" s="1"/>
      <c r="AD1652" s="1">
        <f>IF($C1652="",0,SUMPRODUCT((AY_SONU!$O$7:$O$42="Evet")*(AY_SONU!$B$7:$B$42=DATE(YEAR($C1652),MONTH($C1652),1))))</f>
        <v>0</v>
      </c>
      <c r="AE1652" s="1" t="str">
        <f>IF($E1652="","",$E1652&amp;"|"&amp;COUNTIFS($E$7:$E1652,$E1652))</f>
        <v/>
      </c>
    </row>
    <row r="1653" spans="1:31" ht="18" customHeight="1" x14ac:dyDescent="0.3">
      <c r="A1653" s="2"/>
      <c r="B1653" s="65" t="str">
        <f t="shared" si="202"/>
        <v/>
      </c>
      <c r="C1653" s="66"/>
      <c r="D1653" s="60"/>
      <c r="E1653" s="61"/>
      <c r="F1653" s="61"/>
      <c r="G1653" s="67"/>
      <c r="H1653" s="60"/>
      <c r="I1653" s="60"/>
      <c r="J1653" s="61"/>
      <c r="K1653" s="61"/>
      <c r="L1653" s="60"/>
      <c r="M1653" s="74" t="str">
        <f t="shared" si="203"/>
        <v/>
      </c>
      <c r="N1653" s="74" t="str">
        <f t="shared" si="204"/>
        <v/>
      </c>
      <c r="O1653" s="73" t="str">
        <f t="shared" si="205"/>
        <v/>
      </c>
      <c r="P1653" s="65" t="str">
        <f t="shared" ca="1" si="206"/>
        <v/>
      </c>
      <c r="Q1653" s="2"/>
      <c r="R1653" s="2"/>
      <c r="S1653" s="1" t="str">
        <f t="shared" si="207"/>
        <v/>
      </c>
      <c r="T1653" s="1" t="str">
        <f>IF(OR($C1653="",$D1653&lt;&gt;"Gelir",$L1653=""),"",IFERROR(INDEX(MUSTERILER!$B$7:$B$156,MATCH($S1653,MUSTERILER!$T$7:$T$156,0)),""))</f>
        <v/>
      </c>
      <c r="U1653" s="1" t="str">
        <f>IF($T1653="","",$T1653&amp;"|"&amp;COUNTIFS($T$7:$T1653,$T1653))</f>
        <v/>
      </c>
      <c r="V1653" s="1">
        <f t="shared" si="208"/>
        <v>0</v>
      </c>
      <c r="W1653" s="1" t="str">
        <f t="shared" si="209"/>
        <v/>
      </c>
      <c r="X1653" s="1"/>
      <c r="Y1653" s="1"/>
      <c r="Z1653" s="1"/>
      <c r="AA1653" s="1"/>
      <c r="AB1653" s="1"/>
      <c r="AC1653" s="1"/>
      <c r="AD1653" s="1">
        <f>IF($C1653="",0,SUMPRODUCT((AY_SONU!$O$7:$O$42="Evet")*(AY_SONU!$B$7:$B$42=DATE(YEAR($C1653),MONTH($C1653),1))))</f>
        <v>0</v>
      </c>
      <c r="AE1653" s="1" t="str">
        <f>IF($E1653="","",$E1653&amp;"|"&amp;COUNTIFS($E$7:$E1653,$E1653))</f>
        <v/>
      </c>
    </row>
    <row r="1654" spans="1:31" ht="18" customHeight="1" x14ac:dyDescent="0.3">
      <c r="A1654" s="2"/>
      <c r="B1654" s="65" t="str">
        <f t="shared" si="202"/>
        <v/>
      </c>
      <c r="C1654" s="66"/>
      <c r="D1654" s="60"/>
      <c r="E1654" s="61"/>
      <c r="F1654" s="61"/>
      <c r="G1654" s="67"/>
      <c r="H1654" s="60"/>
      <c r="I1654" s="60"/>
      <c r="J1654" s="61"/>
      <c r="K1654" s="61"/>
      <c r="L1654" s="60"/>
      <c r="M1654" s="74" t="str">
        <f t="shared" si="203"/>
        <v/>
      </c>
      <c r="N1654" s="74" t="str">
        <f t="shared" si="204"/>
        <v/>
      </c>
      <c r="O1654" s="73" t="str">
        <f t="shared" si="205"/>
        <v/>
      </c>
      <c r="P1654" s="65" t="str">
        <f t="shared" ca="1" si="206"/>
        <v/>
      </c>
      <c r="Q1654" s="2"/>
      <c r="R1654" s="2"/>
      <c r="S1654" s="1" t="str">
        <f t="shared" si="207"/>
        <v/>
      </c>
      <c r="T1654" s="1" t="str">
        <f>IF(OR($C1654="",$D1654&lt;&gt;"Gelir",$L1654=""),"",IFERROR(INDEX(MUSTERILER!$B$7:$B$156,MATCH($S1654,MUSTERILER!$T$7:$T$156,0)),""))</f>
        <v/>
      </c>
      <c r="U1654" s="1" t="str">
        <f>IF($T1654="","",$T1654&amp;"|"&amp;COUNTIFS($T$7:$T1654,$T1654))</f>
        <v/>
      </c>
      <c r="V1654" s="1">
        <f t="shared" si="208"/>
        <v>0</v>
      </c>
      <c r="W1654" s="1" t="str">
        <f t="shared" si="209"/>
        <v/>
      </c>
      <c r="X1654" s="1"/>
      <c r="Y1654" s="1"/>
      <c r="Z1654" s="1"/>
      <c r="AA1654" s="1"/>
      <c r="AB1654" s="1"/>
      <c r="AC1654" s="1"/>
      <c r="AD1654" s="1">
        <f>IF($C1654="",0,SUMPRODUCT((AY_SONU!$O$7:$O$42="Evet")*(AY_SONU!$B$7:$B$42=DATE(YEAR($C1654),MONTH($C1654),1))))</f>
        <v>0</v>
      </c>
      <c r="AE1654" s="1" t="str">
        <f>IF($E1654="","",$E1654&amp;"|"&amp;COUNTIFS($E$7:$E1654,$E1654))</f>
        <v/>
      </c>
    </row>
    <row r="1655" spans="1:31" ht="18" customHeight="1" x14ac:dyDescent="0.3">
      <c r="A1655" s="2"/>
      <c r="B1655" s="65" t="str">
        <f t="shared" si="202"/>
        <v/>
      </c>
      <c r="C1655" s="66"/>
      <c r="D1655" s="60"/>
      <c r="E1655" s="61"/>
      <c r="F1655" s="61"/>
      <c r="G1655" s="67"/>
      <c r="H1655" s="60"/>
      <c r="I1655" s="60"/>
      <c r="J1655" s="61"/>
      <c r="K1655" s="61"/>
      <c r="L1655" s="60"/>
      <c r="M1655" s="74" t="str">
        <f t="shared" si="203"/>
        <v/>
      </c>
      <c r="N1655" s="74" t="str">
        <f t="shared" si="204"/>
        <v/>
      </c>
      <c r="O1655" s="73" t="str">
        <f t="shared" si="205"/>
        <v/>
      </c>
      <c r="P1655" s="65" t="str">
        <f t="shared" ca="1" si="206"/>
        <v/>
      </c>
      <c r="Q1655" s="2"/>
      <c r="R1655" s="2"/>
      <c r="S1655" s="1" t="str">
        <f t="shared" si="207"/>
        <v/>
      </c>
      <c r="T1655" s="1" t="str">
        <f>IF(OR($C1655="",$D1655&lt;&gt;"Gelir",$L1655=""),"",IFERROR(INDEX(MUSTERILER!$B$7:$B$156,MATCH($S1655,MUSTERILER!$T$7:$T$156,0)),""))</f>
        <v/>
      </c>
      <c r="U1655" s="1" t="str">
        <f>IF($T1655="","",$T1655&amp;"|"&amp;COUNTIFS($T$7:$T1655,$T1655))</f>
        <v/>
      </c>
      <c r="V1655" s="1">
        <f t="shared" si="208"/>
        <v>0</v>
      </c>
      <c r="W1655" s="1" t="str">
        <f t="shared" si="209"/>
        <v/>
      </c>
      <c r="X1655" s="1"/>
      <c r="Y1655" s="1"/>
      <c r="Z1655" s="1"/>
      <c r="AA1655" s="1"/>
      <c r="AB1655" s="1"/>
      <c r="AC1655" s="1"/>
      <c r="AD1655" s="1">
        <f>IF($C1655="",0,SUMPRODUCT((AY_SONU!$O$7:$O$42="Evet")*(AY_SONU!$B$7:$B$42=DATE(YEAR($C1655),MONTH($C1655),1))))</f>
        <v>0</v>
      </c>
      <c r="AE1655" s="1" t="str">
        <f>IF($E1655="","",$E1655&amp;"|"&amp;COUNTIFS($E$7:$E1655,$E1655))</f>
        <v/>
      </c>
    </row>
    <row r="1656" spans="1:31" ht="18" customHeight="1" x14ac:dyDescent="0.3">
      <c r="A1656" s="2"/>
      <c r="B1656" s="65" t="str">
        <f t="shared" si="202"/>
        <v/>
      </c>
      <c r="C1656" s="66"/>
      <c r="D1656" s="60"/>
      <c r="E1656" s="61"/>
      <c r="F1656" s="61"/>
      <c r="G1656" s="67"/>
      <c r="H1656" s="60"/>
      <c r="I1656" s="60"/>
      <c r="J1656" s="61"/>
      <c r="K1656" s="61"/>
      <c r="L1656" s="60"/>
      <c r="M1656" s="74" t="str">
        <f t="shared" si="203"/>
        <v/>
      </c>
      <c r="N1656" s="74" t="str">
        <f t="shared" si="204"/>
        <v/>
      </c>
      <c r="O1656" s="73" t="str">
        <f t="shared" si="205"/>
        <v/>
      </c>
      <c r="P1656" s="65" t="str">
        <f t="shared" ca="1" si="206"/>
        <v/>
      </c>
      <c r="Q1656" s="2"/>
      <c r="R1656" s="2"/>
      <c r="S1656" s="1" t="str">
        <f t="shared" si="207"/>
        <v/>
      </c>
      <c r="T1656" s="1" t="str">
        <f>IF(OR($C1656="",$D1656&lt;&gt;"Gelir",$L1656=""),"",IFERROR(INDEX(MUSTERILER!$B$7:$B$156,MATCH($S1656,MUSTERILER!$T$7:$T$156,0)),""))</f>
        <v/>
      </c>
      <c r="U1656" s="1" t="str">
        <f>IF($T1656="","",$T1656&amp;"|"&amp;COUNTIFS($T$7:$T1656,$T1656))</f>
        <v/>
      </c>
      <c r="V1656" s="1">
        <f t="shared" si="208"/>
        <v>0</v>
      </c>
      <c r="W1656" s="1" t="str">
        <f t="shared" si="209"/>
        <v/>
      </c>
      <c r="X1656" s="1"/>
      <c r="Y1656" s="1"/>
      <c r="Z1656" s="1"/>
      <c r="AA1656" s="1"/>
      <c r="AB1656" s="1"/>
      <c r="AC1656" s="1"/>
      <c r="AD1656" s="1">
        <f>IF($C1656="",0,SUMPRODUCT((AY_SONU!$O$7:$O$42="Evet")*(AY_SONU!$B$7:$B$42=DATE(YEAR($C1656),MONTH($C1656),1))))</f>
        <v>0</v>
      </c>
      <c r="AE1656" s="1" t="str">
        <f>IF($E1656="","",$E1656&amp;"|"&amp;COUNTIFS($E$7:$E1656,$E1656))</f>
        <v/>
      </c>
    </row>
    <row r="1657" spans="1:31" ht="18" customHeight="1" x14ac:dyDescent="0.3">
      <c r="A1657" s="2"/>
      <c r="B1657" s="65" t="str">
        <f t="shared" si="202"/>
        <v/>
      </c>
      <c r="C1657" s="66"/>
      <c r="D1657" s="60"/>
      <c r="E1657" s="61"/>
      <c r="F1657" s="61"/>
      <c r="G1657" s="67"/>
      <c r="H1657" s="60"/>
      <c r="I1657" s="60"/>
      <c r="J1657" s="61"/>
      <c r="K1657" s="61"/>
      <c r="L1657" s="60"/>
      <c r="M1657" s="74" t="str">
        <f t="shared" si="203"/>
        <v/>
      </c>
      <c r="N1657" s="74" t="str">
        <f t="shared" si="204"/>
        <v/>
      </c>
      <c r="O1657" s="73" t="str">
        <f t="shared" si="205"/>
        <v/>
      </c>
      <c r="P1657" s="65" t="str">
        <f t="shared" ca="1" si="206"/>
        <v/>
      </c>
      <c r="Q1657" s="2"/>
      <c r="R1657" s="2"/>
      <c r="S1657" s="1" t="str">
        <f t="shared" si="207"/>
        <v/>
      </c>
      <c r="T1657" s="1" t="str">
        <f>IF(OR($C1657="",$D1657&lt;&gt;"Gelir",$L1657=""),"",IFERROR(INDEX(MUSTERILER!$B$7:$B$156,MATCH($S1657,MUSTERILER!$T$7:$T$156,0)),""))</f>
        <v/>
      </c>
      <c r="U1657" s="1" t="str">
        <f>IF($T1657="","",$T1657&amp;"|"&amp;COUNTIFS($T$7:$T1657,$T1657))</f>
        <v/>
      </c>
      <c r="V1657" s="1">
        <f t="shared" si="208"/>
        <v>0</v>
      </c>
      <c r="W1657" s="1" t="str">
        <f t="shared" si="209"/>
        <v/>
      </c>
      <c r="X1657" s="1"/>
      <c r="Y1657" s="1"/>
      <c r="Z1657" s="1"/>
      <c r="AA1657" s="1"/>
      <c r="AB1657" s="1"/>
      <c r="AC1657" s="1"/>
      <c r="AD1657" s="1">
        <f>IF($C1657="",0,SUMPRODUCT((AY_SONU!$O$7:$O$42="Evet")*(AY_SONU!$B$7:$B$42=DATE(YEAR($C1657),MONTH($C1657),1))))</f>
        <v>0</v>
      </c>
      <c r="AE1657" s="1" t="str">
        <f>IF($E1657="","",$E1657&amp;"|"&amp;COUNTIFS($E$7:$E1657,$E1657))</f>
        <v/>
      </c>
    </row>
    <row r="1658" spans="1:31" ht="18" customHeight="1" x14ac:dyDescent="0.3">
      <c r="A1658" s="2"/>
      <c r="B1658" s="65" t="str">
        <f t="shared" si="202"/>
        <v/>
      </c>
      <c r="C1658" s="66"/>
      <c r="D1658" s="60"/>
      <c r="E1658" s="61"/>
      <c r="F1658" s="61"/>
      <c r="G1658" s="67"/>
      <c r="H1658" s="60"/>
      <c r="I1658" s="60"/>
      <c r="J1658" s="61"/>
      <c r="K1658" s="61"/>
      <c r="L1658" s="60"/>
      <c r="M1658" s="74" t="str">
        <f t="shared" si="203"/>
        <v/>
      </c>
      <c r="N1658" s="74" t="str">
        <f t="shared" si="204"/>
        <v/>
      </c>
      <c r="O1658" s="73" t="str">
        <f t="shared" si="205"/>
        <v/>
      </c>
      <c r="P1658" s="65" t="str">
        <f t="shared" ca="1" si="206"/>
        <v/>
      </c>
      <c r="Q1658" s="2"/>
      <c r="R1658" s="2"/>
      <c r="S1658" s="1" t="str">
        <f t="shared" si="207"/>
        <v/>
      </c>
      <c r="T1658" s="1" t="str">
        <f>IF(OR($C1658="",$D1658&lt;&gt;"Gelir",$L1658=""),"",IFERROR(INDEX(MUSTERILER!$B$7:$B$156,MATCH($S1658,MUSTERILER!$T$7:$T$156,0)),""))</f>
        <v/>
      </c>
      <c r="U1658" s="1" t="str">
        <f>IF($T1658="","",$T1658&amp;"|"&amp;COUNTIFS($T$7:$T1658,$T1658))</f>
        <v/>
      </c>
      <c r="V1658" s="1">
        <f t="shared" si="208"/>
        <v>0</v>
      </c>
      <c r="W1658" s="1" t="str">
        <f t="shared" si="209"/>
        <v/>
      </c>
      <c r="X1658" s="1"/>
      <c r="Y1658" s="1"/>
      <c r="Z1658" s="1"/>
      <c r="AA1658" s="1"/>
      <c r="AB1658" s="1"/>
      <c r="AC1658" s="1"/>
      <c r="AD1658" s="1">
        <f>IF($C1658="",0,SUMPRODUCT((AY_SONU!$O$7:$O$42="Evet")*(AY_SONU!$B$7:$B$42=DATE(YEAR($C1658),MONTH($C1658),1))))</f>
        <v>0</v>
      </c>
      <c r="AE1658" s="1" t="str">
        <f>IF($E1658="","",$E1658&amp;"|"&amp;COUNTIFS($E$7:$E1658,$E1658))</f>
        <v/>
      </c>
    </row>
    <row r="1659" spans="1:31" ht="18" customHeight="1" x14ac:dyDescent="0.3">
      <c r="A1659" s="2"/>
      <c r="B1659" s="65" t="str">
        <f t="shared" si="202"/>
        <v/>
      </c>
      <c r="C1659" s="66"/>
      <c r="D1659" s="60"/>
      <c r="E1659" s="61"/>
      <c r="F1659" s="61"/>
      <c r="G1659" s="67"/>
      <c r="H1659" s="60"/>
      <c r="I1659" s="60"/>
      <c r="J1659" s="61"/>
      <c r="K1659" s="61"/>
      <c r="L1659" s="60"/>
      <c r="M1659" s="74" t="str">
        <f t="shared" si="203"/>
        <v/>
      </c>
      <c r="N1659" s="74" t="str">
        <f t="shared" si="204"/>
        <v/>
      </c>
      <c r="O1659" s="73" t="str">
        <f t="shared" si="205"/>
        <v/>
      </c>
      <c r="P1659" s="65" t="str">
        <f t="shared" ca="1" si="206"/>
        <v/>
      </c>
      <c r="Q1659" s="2"/>
      <c r="R1659" s="2"/>
      <c r="S1659" s="1" t="str">
        <f t="shared" si="207"/>
        <v/>
      </c>
      <c r="T1659" s="1" t="str">
        <f>IF(OR($C1659="",$D1659&lt;&gt;"Gelir",$L1659=""),"",IFERROR(INDEX(MUSTERILER!$B$7:$B$156,MATCH($S1659,MUSTERILER!$T$7:$T$156,0)),""))</f>
        <v/>
      </c>
      <c r="U1659" s="1" t="str">
        <f>IF($T1659="","",$T1659&amp;"|"&amp;COUNTIFS($T$7:$T1659,$T1659))</f>
        <v/>
      </c>
      <c r="V1659" s="1">
        <f t="shared" si="208"/>
        <v>0</v>
      </c>
      <c r="W1659" s="1" t="str">
        <f t="shared" si="209"/>
        <v/>
      </c>
      <c r="X1659" s="1"/>
      <c r="Y1659" s="1"/>
      <c r="Z1659" s="1"/>
      <c r="AA1659" s="1"/>
      <c r="AB1659" s="1"/>
      <c r="AC1659" s="1"/>
      <c r="AD1659" s="1">
        <f>IF($C1659="",0,SUMPRODUCT((AY_SONU!$O$7:$O$42="Evet")*(AY_SONU!$B$7:$B$42=DATE(YEAR($C1659),MONTH($C1659),1))))</f>
        <v>0</v>
      </c>
      <c r="AE1659" s="1" t="str">
        <f>IF($E1659="","",$E1659&amp;"|"&amp;COUNTIFS($E$7:$E1659,$E1659))</f>
        <v/>
      </c>
    </row>
    <row r="1660" spans="1:31" ht="18" customHeight="1" x14ac:dyDescent="0.3">
      <c r="A1660" s="2"/>
      <c r="B1660" s="65" t="str">
        <f t="shared" si="202"/>
        <v/>
      </c>
      <c r="C1660" s="66"/>
      <c r="D1660" s="60"/>
      <c r="E1660" s="61"/>
      <c r="F1660" s="61"/>
      <c r="G1660" s="67"/>
      <c r="H1660" s="60"/>
      <c r="I1660" s="60"/>
      <c r="J1660" s="61"/>
      <c r="K1660" s="61"/>
      <c r="L1660" s="60"/>
      <c r="M1660" s="74" t="str">
        <f t="shared" si="203"/>
        <v/>
      </c>
      <c r="N1660" s="74" t="str">
        <f t="shared" si="204"/>
        <v/>
      </c>
      <c r="O1660" s="73" t="str">
        <f t="shared" si="205"/>
        <v/>
      </c>
      <c r="P1660" s="65" t="str">
        <f t="shared" ca="1" si="206"/>
        <v/>
      </c>
      <c r="Q1660" s="2"/>
      <c r="R1660" s="2"/>
      <c r="S1660" s="1" t="str">
        <f t="shared" si="207"/>
        <v/>
      </c>
      <c r="T1660" s="1" t="str">
        <f>IF(OR($C1660="",$D1660&lt;&gt;"Gelir",$L1660=""),"",IFERROR(INDEX(MUSTERILER!$B$7:$B$156,MATCH($S1660,MUSTERILER!$T$7:$T$156,0)),""))</f>
        <v/>
      </c>
      <c r="U1660" s="1" t="str">
        <f>IF($T1660="","",$T1660&amp;"|"&amp;COUNTIFS($T$7:$T1660,$T1660))</f>
        <v/>
      </c>
      <c r="V1660" s="1">
        <f t="shared" si="208"/>
        <v>0</v>
      </c>
      <c r="W1660" s="1" t="str">
        <f t="shared" si="209"/>
        <v/>
      </c>
      <c r="X1660" s="1"/>
      <c r="Y1660" s="1"/>
      <c r="Z1660" s="1"/>
      <c r="AA1660" s="1"/>
      <c r="AB1660" s="1"/>
      <c r="AC1660" s="1"/>
      <c r="AD1660" s="1">
        <f>IF($C1660="",0,SUMPRODUCT((AY_SONU!$O$7:$O$42="Evet")*(AY_SONU!$B$7:$B$42=DATE(YEAR($C1660),MONTH($C1660),1))))</f>
        <v>0</v>
      </c>
      <c r="AE1660" s="1" t="str">
        <f>IF($E1660="","",$E1660&amp;"|"&amp;COUNTIFS($E$7:$E1660,$E1660))</f>
        <v/>
      </c>
    </row>
    <row r="1661" spans="1:31" ht="18" customHeight="1" x14ac:dyDescent="0.3">
      <c r="A1661" s="2"/>
      <c r="B1661" s="65" t="str">
        <f t="shared" si="202"/>
        <v/>
      </c>
      <c r="C1661" s="66"/>
      <c r="D1661" s="60"/>
      <c r="E1661" s="61"/>
      <c r="F1661" s="61"/>
      <c r="G1661" s="67"/>
      <c r="H1661" s="60"/>
      <c r="I1661" s="60"/>
      <c r="J1661" s="61"/>
      <c r="K1661" s="61"/>
      <c r="L1661" s="60"/>
      <c r="M1661" s="74" t="str">
        <f t="shared" si="203"/>
        <v/>
      </c>
      <c r="N1661" s="74" t="str">
        <f t="shared" si="204"/>
        <v/>
      </c>
      <c r="O1661" s="73" t="str">
        <f t="shared" si="205"/>
        <v/>
      </c>
      <c r="P1661" s="65" t="str">
        <f t="shared" ca="1" si="206"/>
        <v/>
      </c>
      <c r="Q1661" s="2"/>
      <c r="R1661" s="2"/>
      <c r="S1661" s="1" t="str">
        <f t="shared" si="207"/>
        <v/>
      </c>
      <c r="T1661" s="1" t="str">
        <f>IF(OR($C1661="",$D1661&lt;&gt;"Gelir",$L1661=""),"",IFERROR(INDEX(MUSTERILER!$B$7:$B$156,MATCH($S1661,MUSTERILER!$T$7:$T$156,0)),""))</f>
        <v/>
      </c>
      <c r="U1661" s="1" t="str">
        <f>IF($T1661="","",$T1661&amp;"|"&amp;COUNTIFS($T$7:$T1661,$T1661))</f>
        <v/>
      </c>
      <c r="V1661" s="1">
        <f t="shared" si="208"/>
        <v>0</v>
      </c>
      <c r="W1661" s="1" t="str">
        <f t="shared" si="209"/>
        <v/>
      </c>
      <c r="X1661" s="1"/>
      <c r="Y1661" s="1"/>
      <c r="Z1661" s="1"/>
      <c r="AA1661" s="1"/>
      <c r="AB1661" s="1"/>
      <c r="AC1661" s="1"/>
      <c r="AD1661" s="1">
        <f>IF($C1661="",0,SUMPRODUCT((AY_SONU!$O$7:$O$42="Evet")*(AY_SONU!$B$7:$B$42=DATE(YEAR($C1661),MONTH($C1661),1))))</f>
        <v>0</v>
      </c>
      <c r="AE1661" s="1" t="str">
        <f>IF($E1661="","",$E1661&amp;"|"&amp;COUNTIFS($E$7:$E1661,$E1661))</f>
        <v/>
      </c>
    </row>
    <row r="1662" spans="1:31" ht="18" customHeight="1" x14ac:dyDescent="0.3">
      <c r="A1662" s="2"/>
      <c r="B1662" s="65" t="str">
        <f t="shared" si="202"/>
        <v/>
      </c>
      <c r="C1662" s="66"/>
      <c r="D1662" s="60"/>
      <c r="E1662" s="61"/>
      <c r="F1662" s="61"/>
      <c r="G1662" s="67"/>
      <c r="H1662" s="60"/>
      <c r="I1662" s="60"/>
      <c r="J1662" s="61"/>
      <c r="K1662" s="61"/>
      <c r="L1662" s="60"/>
      <c r="M1662" s="74" t="str">
        <f t="shared" si="203"/>
        <v/>
      </c>
      <c r="N1662" s="74" t="str">
        <f t="shared" si="204"/>
        <v/>
      </c>
      <c r="O1662" s="73" t="str">
        <f t="shared" si="205"/>
        <v/>
      </c>
      <c r="P1662" s="65" t="str">
        <f t="shared" ca="1" si="206"/>
        <v/>
      </c>
      <c r="Q1662" s="2"/>
      <c r="R1662" s="2"/>
      <c r="S1662" s="1" t="str">
        <f t="shared" si="207"/>
        <v/>
      </c>
      <c r="T1662" s="1" t="str">
        <f>IF(OR($C1662="",$D1662&lt;&gt;"Gelir",$L1662=""),"",IFERROR(INDEX(MUSTERILER!$B$7:$B$156,MATCH($S1662,MUSTERILER!$T$7:$T$156,0)),""))</f>
        <v/>
      </c>
      <c r="U1662" s="1" t="str">
        <f>IF($T1662="","",$T1662&amp;"|"&amp;COUNTIFS($T$7:$T1662,$T1662))</f>
        <v/>
      </c>
      <c r="V1662" s="1">
        <f t="shared" si="208"/>
        <v>0</v>
      </c>
      <c r="W1662" s="1" t="str">
        <f t="shared" si="209"/>
        <v/>
      </c>
      <c r="X1662" s="1"/>
      <c r="Y1662" s="1"/>
      <c r="Z1662" s="1"/>
      <c r="AA1662" s="1"/>
      <c r="AB1662" s="1"/>
      <c r="AC1662" s="1"/>
      <c r="AD1662" s="1">
        <f>IF($C1662="",0,SUMPRODUCT((AY_SONU!$O$7:$O$42="Evet")*(AY_SONU!$B$7:$B$42=DATE(YEAR($C1662),MONTH($C1662),1))))</f>
        <v>0</v>
      </c>
      <c r="AE1662" s="1" t="str">
        <f>IF($E1662="","",$E1662&amp;"|"&amp;COUNTIFS($E$7:$E1662,$E1662))</f>
        <v/>
      </c>
    </row>
    <row r="1663" spans="1:31" ht="18" customHeight="1" x14ac:dyDescent="0.3">
      <c r="A1663" s="2"/>
      <c r="B1663" s="65" t="str">
        <f t="shared" si="202"/>
        <v/>
      </c>
      <c r="C1663" s="66"/>
      <c r="D1663" s="60"/>
      <c r="E1663" s="61"/>
      <c r="F1663" s="61"/>
      <c r="G1663" s="67"/>
      <c r="H1663" s="60"/>
      <c r="I1663" s="60"/>
      <c r="J1663" s="61"/>
      <c r="K1663" s="61"/>
      <c r="L1663" s="60"/>
      <c r="M1663" s="74" t="str">
        <f t="shared" si="203"/>
        <v/>
      </c>
      <c r="N1663" s="74" t="str">
        <f t="shared" si="204"/>
        <v/>
      </c>
      <c r="O1663" s="73" t="str">
        <f t="shared" si="205"/>
        <v/>
      </c>
      <c r="P1663" s="65" t="str">
        <f t="shared" ca="1" si="206"/>
        <v/>
      </c>
      <c r="Q1663" s="2"/>
      <c r="R1663" s="2"/>
      <c r="S1663" s="1" t="str">
        <f t="shared" si="207"/>
        <v/>
      </c>
      <c r="T1663" s="1" t="str">
        <f>IF(OR($C1663="",$D1663&lt;&gt;"Gelir",$L1663=""),"",IFERROR(INDEX(MUSTERILER!$B$7:$B$156,MATCH($S1663,MUSTERILER!$T$7:$T$156,0)),""))</f>
        <v/>
      </c>
      <c r="U1663" s="1" t="str">
        <f>IF($T1663="","",$T1663&amp;"|"&amp;COUNTIFS($T$7:$T1663,$T1663))</f>
        <v/>
      </c>
      <c r="V1663" s="1">
        <f t="shared" si="208"/>
        <v>0</v>
      </c>
      <c r="W1663" s="1" t="str">
        <f t="shared" si="209"/>
        <v/>
      </c>
      <c r="X1663" s="1"/>
      <c r="Y1663" s="1"/>
      <c r="Z1663" s="1"/>
      <c r="AA1663" s="1"/>
      <c r="AB1663" s="1"/>
      <c r="AC1663" s="1"/>
      <c r="AD1663" s="1">
        <f>IF($C1663="",0,SUMPRODUCT((AY_SONU!$O$7:$O$42="Evet")*(AY_SONU!$B$7:$B$42=DATE(YEAR($C1663),MONTH($C1663),1))))</f>
        <v>0</v>
      </c>
      <c r="AE1663" s="1" t="str">
        <f>IF($E1663="","",$E1663&amp;"|"&amp;COUNTIFS($E$7:$E1663,$E1663))</f>
        <v/>
      </c>
    </row>
    <row r="1664" spans="1:31" ht="18" customHeight="1" x14ac:dyDescent="0.3">
      <c r="A1664" s="2"/>
      <c r="B1664" s="65" t="str">
        <f t="shared" si="202"/>
        <v/>
      </c>
      <c r="C1664" s="66"/>
      <c r="D1664" s="60"/>
      <c r="E1664" s="61"/>
      <c r="F1664" s="61"/>
      <c r="G1664" s="67"/>
      <c r="H1664" s="60"/>
      <c r="I1664" s="60"/>
      <c r="J1664" s="61"/>
      <c r="K1664" s="61"/>
      <c r="L1664" s="60"/>
      <c r="M1664" s="74" t="str">
        <f t="shared" si="203"/>
        <v/>
      </c>
      <c r="N1664" s="74" t="str">
        <f t="shared" si="204"/>
        <v/>
      </c>
      <c r="O1664" s="73" t="str">
        <f t="shared" si="205"/>
        <v/>
      </c>
      <c r="P1664" s="65" t="str">
        <f t="shared" ca="1" si="206"/>
        <v/>
      </c>
      <c r="Q1664" s="2"/>
      <c r="R1664" s="2"/>
      <c r="S1664" s="1" t="str">
        <f t="shared" si="207"/>
        <v/>
      </c>
      <c r="T1664" s="1" t="str">
        <f>IF(OR($C1664="",$D1664&lt;&gt;"Gelir",$L1664=""),"",IFERROR(INDEX(MUSTERILER!$B$7:$B$156,MATCH($S1664,MUSTERILER!$T$7:$T$156,0)),""))</f>
        <v/>
      </c>
      <c r="U1664" s="1" t="str">
        <f>IF($T1664="","",$T1664&amp;"|"&amp;COUNTIFS($T$7:$T1664,$T1664))</f>
        <v/>
      </c>
      <c r="V1664" s="1">
        <f t="shared" si="208"/>
        <v>0</v>
      </c>
      <c r="W1664" s="1" t="str">
        <f t="shared" si="209"/>
        <v/>
      </c>
      <c r="X1664" s="1"/>
      <c r="Y1664" s="1"/>
      <c r="Z1664" s="1"/>
      <c r="AA1664" s="1"/>
      <c r="AB1664" s="1"/>
      <c r="AC1664" s="1"/>
      <c r="AD1664" s="1">
        <f>IF($C1664="",0,SUMPRODUCT((AY_SONU!$O$7:$O$42="Evet")*(AY_SONU!$B$7:$B$42=DATE(YEAR($C1664),MONTH($C1664),1))))</f>
        <v>0</v>
      </c>
      <c r="AE1664" s="1" t="str">
        <f>IF($E1664="","",$E1664&amp;"|"&amp;COUNTIFS($E$7:$E1664,$E1664))</f>
        <v/>
      </c>
    </row>
    <row r="1665" spans="1:31" ht="18" customHeight="1" x14ac:dyDescent="0.3">
      <c r="A1665" s="2"/>
      <c r="B1665" s="65" t="str">
        <f t="shared" si="202"/>
        <v/>
      </c>
      <c r="C1665" s="66"/>
      <c r="D1665" s="60"/>
      <c r="E1665" s="61"/>
      <c r="F1665" s="61"/>
      <c r="G1665" s="67"/>
      <c r="H1665" s="60"/>
      <c r="I1665" s="60"/>
      <c r="J1665" s="61"/>
      <c r="K1665" s="61"/>
      <c r="L1665" s="60"/>
      <c r="M1665" s="74" t="str">
        <f t="shared" si="203"/>
        <v/>
      </c>
      <c r="N1665" s="74" t="str">
        <f t="shared" si="204"/>
        <v/>
      </c>
      <c r="O1665" s="73" t="str">
        <f t="shared" si="205"/>
        <v/>
      </c>
      <c r="P1665" s="65" t="str">
        <f t="shared" ca="1" si="206"/>
        <v/>
      </c>
      <c r="Q1665" s="2"/>
      <c r="R1665" s="2"/>
      <c r="S1665" s="1" t="str">
        <f t="shared" si="207"/>
        <v/>
      </c>
      <c r="T1665" s="1" t="str">
        <f>IF(OR($C1665="",$D1665&lt;&gt;"Gelir",$L1665=""),"",IFERROR(INDEX(MUSTERILER!$B$7:$B$156,MATCH($S1665,MUSTERILER!$T$7:$T$156,0)),""))</f>
        <v/>
      </c>
      <c r="U1665" s="1" t="str">
        <f>IF($T1665="","",$T1665&amp;"|"&amp;COUNTIFS($T$7:$T1665,$T1665))</f>
        <v/>
      </c>
      <c r="V1665" s="1">
        <f t="shared" si="208"/>
        <v>0</v>
      </c>
      <c r="W1665" s="1" t="str">
        <f t="shared" si="209"/>
        <v/>
      </c>
      <c r="X1665" s="1"/>
      <c r="Y1665" s="1"/>
      <c r="Z1665" s="1"/>
      <c r="AA1665" s="1"/>
      <c r="AB1665" s="1"/>
      <c r="AC1665" s="1"/>
      <c r="AD1665" s="1">
        <f>IF($C1665="",0,SUMPRODUCT((AY_SONU!$O$7:$O$42="Evet")*(AY_SONU!$B$7:$B$42=DATE(YEAR($C1665),MONTH($C1665),1))))</f>
        <v>0</v>
      </c>
      <c r="AE1665" s="1" t="str">
        <f>IF($E1665="","",$E1665&amp;"|"&amp;COUNTIFS($E$7:$E1665,$E1665))</f>
        <v/>
      </c>
    </row>
    <row r="1666" spans="1:31" ht="18" customHeight="1" x14ac:dyDescent="0.3">
      <c r="A1666" s="2"/>
      <c r="B1666" s="65" t="str">
        <f t="shared" si="202"/>
        <v/>
      </c>
      <c r="C1666" s="66"/>
      <c r="D1666" s="60"/>
      <c r="E1666" s="61"/>
      <c r="F1666" s="61"/>
      <c r="G1666" s="67"/>
      <c r="H1666" s="60"/>
      <c r="I1666" s="60"/>
      <c r="J1666" s="61"/>
      <c r="K1666" s="61"/>
      <c r="L1666" s="60"/>
      <c r="M1666" s="74" t="str">
        <f t="shared" si="203"/>
        <v/>
      </c>
      <c r="N1666" s="74" t="str">
        <f t="shared" si="204"/>
        <v/>
      </c>
      <c r="O1666" s="73" t="str">
        <f t="shared" si="205"/>
        <v/>
      </c>
      <c r="P1666" s="65" t="str">
        <f t="shared" ca="1" si="206"/>
        <v/>
      </c>
      <c r="Q1666" s="2"/>
      <c r="R1666" s="2"/>
      <c r="S1666" s="1" t="str">
        <f t="shared" si="207"/>
        <v/>
      </c>
      <c r="T1666" s="1" t="str">
        <f>IF(OR($C1666="",$D1666&lt;&gt;"Gelir",$L1666=""),"",IFERROR(INDEX(MUSTERILER!$B$7:$B$156,MATCH($S1666,MUSTERILER!$T$7:$T$156,0)),""))</f>
        <v/>
      </c>
      <c r="U1666" s="1" t="str">
        <f>IF($T1666="","",$T1666&amp;"|"&amp;COUNTIFS($T$7:$T1666,$T1666))</f>
        <v/>
      </c>
      <c r="V1666" s="1">
        <f t="shared" si="208"/>
        <v>0</v>
      </c>
      <c r="W1666" s="1" t="str">
        <f t="shared" si="209"/>
        <v/>
      </c>
      <c r="X1666" s="1"/>
      <c r="Y1666" s="1"/>
      <c r="Z1666" s="1"/>
      <c r="AA1666" s="1"/>
      <c r="AB1666" s="1"/>
      <c r="AC1666" s="1"/>
      <c r="AD1666" s="1">
        <f>IF($C1666="",0,SUMPRODUCT((AY_SONU!$O$7:$O$42="Evet")*(AY_SONU!$B$7:$B$42=DATE(YEAR($C1666),MONTH($C1666),1))))</f>
        <v>0</v>
      </c>
      <c r="AE1666" s="1" t="str">
        <f>IF($E1666="","",$E1666&amp;"|"&amp;COUNTIFS($E$7:$E1666,$E1666))</f>
        <v/>
      </c>
    </row>
    <row r="1667" spans="1:31" ht="18" customHeight="1" x14ac:dyDescent="0.3">
      <c r="A1667" s="2"/>
      <c r="B1667" s="65" t="str">
        <f t="shared" si="202"/>
        <v/>
      </c>
      <c r="C1667" s="66"/>
      <c r="D1667" s="60"/>
      <c r="E1667" s="61"/>
      <c r="F1667" s="61"/>
      <c r="G1667" s="67"/>
      <c r="H1667" s="60"/>
      <c r="I1667" s="60"/>
      <c r="J1667" s="61"/>
      <c r="K1667" s="61"/>
      <c r="L1667" s="60"/>
      <c r="M1667" s="74" t="str">
        <f t="shared" si="203"/>
        <v/>
      </c>
      <c r="N1667" s="74" t="str">
        <f t="shared" si="204"/>
        <v/>
      </c>
      <c r="O1667" s="73" t="str">
        <f t="shared" si="205"/>
        <v/>
      </c>
      <c r="P1667" s="65" t="str">
        <f t="shared" ca="1" si="206"/>
        <v/>
      </c>
      <c r="Q1667" s="2"/>
      <c r="R1667" s="2"/>
      <c r="S1667" s="1" t="str">
        <f t="shared" si="207"/>
        <v/>
      </c>
      <c r="T1667" s="1" t="str">
        <f>IF(OR($C1667="",$D1667&lt;&gt;"Gelir",$L1667=""),"",IFERROR(INDEX(MUSTERILER!$B$7:$B$156,MATCH($S1667,MUSTERILER!$T$7:$T$156,0)),""))</f>
        <v/>
      </c>
      <c r="U1667" s="1" t="str">
        <f>IF($T1667="","",$T1667&amp;"|"&amp;COUNTIFS($T$7:$T1667,$T1667))</f>
        <v/>
      </c>
      <c r="V1667" s="1">
        <f t="shared" si="208"/>
        <v>0</v>
      </c>
      <c r="W1667" s="1" t="str">
        <f t="shared" si="209"/>
        <v/>
      </c>
      <c r="X1667" s="1"/>
      <c r="Y1667" s="1"/>
      <c r="Z1667" s="1"/>
      <c r="AA1667" s="1"/>
      <c r="AB1667" s="1"/>
      <c r="AC1667" s="1"/>
      <c r="AD1667" s="1">
        <f>IF($C1667="",0,SUMPRODUCT((AY_SONU!$O$7:$O$42="Evet")*(AY_SONU!$B$7:$B$42=DATE(YEAR($C1667),MONTH($C1667),1))))</f>
        <v>0</v>
      </c>
      <c r="AE1667" s="1" t="str">
        <f>IF($E1667="","",$E1667&amp;"|"&amp;COUNTIFS($E$7:$E1667,$E1667))</f>
        <v/>
      </c>
    </row>
    <row r="1668" spans="1:31" ht="18" customHeight="1" x14ac:dyDescent="0.3">
      <c r="A1668" s="2"/>
      <c r="B1668" s="65" t="str">
        <f t="shared" si="202"/>
        <v/>
      </c>
      <c r="C1668" s="66"/>
      <c r="D1668" s="60"/>
      <c r="E1668" s="61"/>
      <c r="F1668" s="61"/>
      <c r="G1668" s="67"/>
      <c r="H1668" s="60"/>
      <c r="I1668" s="60"/>
      <c r="J1668" s="61"/>
      <c r="K1668" s="61"/>
      <c r="L1668" s="60"/>
      <c r="M1668" s="74" t="str">
        <f t="shared" si="203"/>
        <v/>
      </c>
      <c r="N1668" s="74" t="str">
        <f t="shared" si="204"/>
        <v/>
      </c>
      <c r="O1668" s="73" t="str">
        <f t="shared" si="205"/>
        <v/>
      </c>
      <c r="P1668" s="65" t="str">
        <f t="shared" ca="1" si="206"/>
        <v/>
      </c>
      <c r="Q1668" s="2"/>
      <c r="R1668" s="2"/>
      <c r="S1668" s="1" t="str">
        <f t="shared" si="207"/>
        <v/>
      </c>
      <c r="T1668" s="1" t="str">
        <f>IF(OR($C1668="",$D1668&lt;&gt;"Gelir",$L1668=""),"",IFERROR(INDEX(MUSTERILER!$B$7:$B$156,MATCH($S1668,MUSTERILER!$T$7:$T$156,0)),""))</f>
        <v/>
      </c>
      <c r="U1668" s="1" t="str">
        <f>IF($T1668="","",$T1668&amp;"|"&amp;COUNTIFS($T$7:$T1668,$T1668))</f>
        <v/>
      </c>
      <c r="V1668" s="1">
        <f t="shared" si="208"/>
        <v>0</v>
      </c>
      <c r="W1668" s="1" t="str">
        <f t="shared" si="209"/>
        <v/>
      </c>
      <c r="X1668" s="1"/>
      <c r="Y1668" s="1"/>
      <c r="Z1668" s="1"/>
      <c r="AA1668" s="1"/>
      <c r="AB1668" s="1"/>
      <c r="AC1668" s="1"/>
      <c r="AD1668" s="1">
        <f>IF($C1668="",0,SUMPRODUCT((AY_SONU!$O$7:$O$42="Evet")*(AY_SONU!$B$7:$B$42=DATE(YEAR($C1668),MONTH($C1668),1))))</f>
        <v>0</v>
      </c>
      <c r="AE1668" s="1" t="str">
        <f>IF($E1668="","",$E1668&amp;"|"&amp;COUNTIFS($E$7:$E1668,$E1668))</f>
        <v/>
      </c>
    </row>
    <row r="1669" spans="1:31" ht="18" customHeight="1" x14ac:dyDescent="0.3">
      <c r="A1669" s="2"/>
      <c r="B1669" s="65" t="str">
        <f t="shared" si="202"/>
        <v/>
      </c>
      <c r="C1669" s="66"/>
      <c r="D1669" s="60"/>
      <c r="E1669" s="61"/>
      <c r="F1669" s="61"/>
      <c r="G1669" s="67"/>
      <c r="H1669" s="60"/>
      <c r="I1669" s="60"/>
      <c r="J1669" s="61"/>
      <c r="K1669" s="61"/>
      <c r="L1669" s="60"/>
      <c r="M1669" s="74" t="str">
        <f t="shared" si="203"/>
        <v/>
      </c>
      <c r="N1669" s="74" t="str">
        <f t="shared" si="204"/>
        <v/>
      </c>
      <c r="O1669" s="73" t="str">
        <f t="shared" si="205"/>
        <v/>
      </c>
      <c r="P1669" s="65" t="str">
        <f t="shared" ca="1" si="206"/>
        <v/>
      </c>
      <c r="Q1669" s="2"/>
      <c r="R1669" s="2"/>
      <c r="S1669" s="1" t="str">
        <f t="shared" si="207"/>
        <v/>
      </c>
      <c r="T1669" s="1" t="str">
        <f>IF(OR($C1669="",$D1669&lt;&gt;"Gelir",$L1669=""),"",IFERROR(INDEX(MUSTERILER!$B$7:$B$156,MATCH($S1669,MUSTERILER!$T$7:$T$156,0)),""))</f>
        <v/>
      </c>
      <c r="U1669" s="1" t="str">
        <f>IF($T1669="","",$T1669&amp;"|"&amp;COUNTIFS($T$7:$T1669,$T1669))</f>
        <v/>
      </c>
      <c r="V1669" s="1">
        <f t="shared" si="208"/>
        <v>0</v>
      </c>
      <c r="W1669" s="1" t="str">
        <f t="shared" si="209"/>
        <v/>
      </c>
      <c r="X1669" s="1"/>
      <c r="Y1669" s="1"/>
      <c r="Z1669" s="1"/>
      <c r="AA1669" s="1"/>
      <c r="AB1669" s="1"/>
      <c r="AC1669" s="1"/>
      <c r="AD1669" s="1">
        <f>IF($C1669="",0,SUMPRODUCT((AY_SONU!$O$7:$O$42="Evet")*(AY_SONU!$B$7:$B$42=DATE(YEAR($C1669),MONTH($C1669),1))))</f>
        <v>0</v>
      </c>
      <c r="AE1669" s="1" t="str">
        <f>IF($E1669="","",$E1669&amp;"|"&amp;COUNTIFS($E$7:$E1669,$E1669))</f>
        <v/>
      </c>
    </row>
    <row r="1670" spans="1:31" ht="18" customHeight="1" x14ac:dyDescent="0.3">
      <c r="A1670" s="2"/>
      <c r="B1670" s="65" t="str">
        <f t="shared" si="202"/>
        <v/>
      </c>
      <c r="C1670" s="66"/>
      <c r="D1670" s="60"/>
      <c r="E1670" s="61"/>
      <c r="F1670" s="61"/>
      <c r="G1670" s="67"/>
      <c r="H1670" s="60"/>
      <c r="I1670" s="60"/>
      <c r="J1670" s="61"/>
      <c r="K1670" s="61"/>
      <c r="L1670" s="60"/>
      <c r="M1670" s="74" t="str">
        <f t="shared" si="203"/>
        <v/>
      </c>
      <c r="N1670" s="74" t="str">
        <f t="shared" si="204"/>
        <v/>
      </c>
      <c r="O1670" s="73" t="str">
        <f t="shared" si="205"/>
        <v/>
      </c>
      <c r="P1670" s="65" t="str">
        <f t="shared" ca="1" si="206"/>
        <v/>
      </c>
      <c r="Q1670" s="2"/>
      <c r="R1670" s="2"/>
      <c r="S1670" s="1" t="str">
        <f t="shared" si="207"/>
        <v/>
      </c>
      <c r="T1670" s="1" t="str">
        <f>IF(OR($C1670="",$D1670&lt;&gt;"Gelir",$L1670=""),"",IFERROR(INDEX(MUSTERILER!$B$7:$B$156,MATCH($S1670,MUSTERILER!$T$7:$T$156,0)),""))</f>
        <v/>
      </c>
      <c r="U1670" s="1" t="str">
        <f>IF($T1670="","",$T1670&amp;"|"&amp;COUNTIFS($T$7:$T1670,$T1670))</f>
        <v/>
      </c>
      <c r="V1670" s="1">
        <f t="shared" si="208"/>
        <v>0</v>
      </c>
      <c r="W1670" s="1" t="str">
        <f t="shared" si="209"/>
        <v/>
      </c>
      <c r="X1670" s="1"/>
      <c r="Y1670" s="1"/>
      <c r="Z1670" s="1"/>
      <c r="AA1670" s="1"/>
      <c r="AB1670" s="1"/>
      <c r="AC1670" s="1"/>
      <c r="AD1670" s="1">
        <f>IF($C1670="",0,SUMPRODUCT((AY_SONU!$O$7:$O$42="Evet")*(AY_SONU!$B$7:$B$42=DATE(YEAR($C1670),MONTH($C1670),1))))</f>
        <v>0</v>
      </c>
      <c r="AE1670" s="1" t="str">
        <f>IF($E1670="","",$E1670&amp;"|"&amp;COUNTIFS($E$7:$E1670,$E1670))</f>
        <v/>
      </c>
    </row>
    <row r="1671" spans="1:31" ht="18" customHeight="1" x14ac:dyDescent="0.3">
      <c r="A1671" s="2"/>
      <c r="B1671" s="65" t="str">
        <f t="shared" ref="B1671:B1734" si="210">IF($C1671="","","GG"&amp;TEXT(ROW()-6,"00000"))</f>
        <v/>
      </c>
      <c r="C1671" s="66"/>
      <c r="D1671" s="60"/>
      <c r="E1671" s="61"/>
      <c r="F1671" s="61"/>
      <c r="G1671" s="67"/>
      <c r="H1671" s="60"/>
      <c r="I1671" s="60"/>
      <c r="J1671" s="61"/>
      <c r="K1671" s="61"/>
      <c r="L1671" s="60"/>
      <c r="M1671" s="74" t="str">
        <f t="shared" ref="M1671:M1734" si="211">IF($C1671="","",IF($D1671="Gider",$E1671,IF($L1671&lt;&gt;"",$L1671,$H1671)))</f>
        <v/>
      </c>
      <c r="N1671" s="74" t="str">
        <f t="shared" ref="N1671:N1734" si="212">IF($C1671="","",IF($D1671="Gider",$H1671,$E1671))</f>
        <v/>
      </c>
      <c r="O1671" s="73" t="str">
        <f t="shared" ref="O1671:O1734" si="213">IF($C1671="","",DATE(YEAR($C1671),MONTH($C1671),1))</f>
        <v/>
      </c>
      <c r="P1671" s="65" t="str">
        <f t="shared" ref="P1671:P1734" ca="1" si="214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TARİH",IF(COUNTIF($W$7:$W$3006,$W1671)&gt;1,"MÜKERRER?",IF($AD1671&gt;0,"KAPALI DÖNEM",IF($I1671="Hayır","ÖDENECEK","UYGUN")))),"EKSİK"))))</f>
        <v/>
      </c>
      <c r="Q1671" s="2"/>
      <c r="R1671" s="2"/>
      <c r="S1671" s="1" t="str">
        <f t="shared" ref="S1671:S1734" si="215"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1" t="str">
        <f>IF(OR($C1671="",$D1671&lt;&gt;"Gelir",$L1671=""),"",IFERROR(INDEX(MUSTERILER!$B$7:$B$156,MATCH($S1671,MUSTERILER!$T$7:$T$156,0)),""))</f>
        <v/>
      </c>
      <c r="U1671" s="1" t="str">
        <f>IF($T1671="","",$T1671&amp;"|"&amp;COUNTIFS($T$7:$T1671,$T1671))</f>
        <v/>
      </c>
      <c r="V1671" s="1">
        <f t="shared" ref="V1671:V1734" si="216">IF($T1671="",0,1)</f>
        <v>0</v>
      </c>
      <c r="W1671" s="1" t="str">
        <f t="shared" ref="W1671:W1734" si="217">IF($C1671="","",$D1671&amp;"|"&amp;$E1671&amp;"|"&amp;TEXT($C1671,"0")&amp;"|"&amp;TEXT($G1671,"0")&amp;"|"&amp;$J1671)</f>
        <v/>
      </c>
      <c r="X1671" s="1"/>
      <c r="Y1671" s="1"/>
      <c r="Z1671" s="1"/>
      <c r="AA1671" s="1"/>
      <c r="AB1671" s="1"/>
      <c r="AC1671" s="1"/>
      <c r="AD1671" s="1">
        <f>IF($C1671="",0,SUMPRODUCT((AY_SONU!$O$7:$O$42="Evet")*(AY_SONU!$B$7:$B$42=DATE(YEAR($C1671),MONTH($C1671),1))))</f>
        <v>0</v>
      </c>
      <c r="AE1671" s="1" t="str">
        <f>IF($E1671="","",$E1671&amp;"|"&amp;COUNTIFS($E$7:$E1671,$E1671))</f>
        <v/>
      </c>
    </row>
    <row r="1672" spans="1:31" ht="18" customHeight="1" x14ac:dyDescent="0.3">
      <c r="A1672" s="2"/>
      <c r="B1672" s="65" t="str">
        <f t="shared" si="210"/>
        <v/>
      </c>
      <c r="C1672" s="66"/>
      <c r="D1672" s="60"/>
      <c r="E1672" s="61"/>
      <c r="F1672" s="61"/>
      <c r="G1672" s="67"/>
      <c r="H1672" s="60"/>
      <c r="I1672" s="60"/>
      <c r="J1672" s="61"/>
      <c r="K1672" s="61"/>
      <c r="L1672" s="60"/>
      <c r="M1672" s="74" t="str">
        <f t="shared" si="211"/>
        <v/>
      </c>
      <c r="N1672" s="74" t="str">
        <f t="shared" si="212"/>
        <v/>
      </c>
      <c r="O1672" s="73" t="str">
        <f t="shared" si="213"/>
        <v/>
      </c>
      <c r="P1672" s="65" t="str">
        <f t="shared" ca="1" si="214"/>
        <v/>
      </c>
      <c r="Q1672" s="2"/>
      <c r="R1672" s="2"/>
      <c r="S1672" s="1" t="str">
        <f t="shared" si="215"/>
        <v/>
      </c>
      <c r="T1672" s="1" t="str">
        <f>IF(OR($C1672="",$D1672&lt;&gt;"Gelir",$L1672=""),"",IFERROR(INDEX(MUSTERILER!$B$7:$B$156,MATCH($S1672,MUSTERILER!$T$7:$T$156,0)),""))</f>
        <v/>
      </c>
      <c r="U1672" s="1" t="str">
        <f>IF($T1672="","",$T1672&amp;"|"&amp;COUNTIFS($T$7:$T1672,$T1672))</f>
        <v/>
      </c>
      <c r="V1672" s="1">
        <f t="shared" si="216"/>
        <v>0</v>
      </c>
      <c r="W1672" s="1" t="str">
        <f t="shared" si="217"/>
        <v/>
      </c>
      <c r="X1672" s="1"/>
      <c r="Y1672" s="1"/>
      <c r="Z1672" s="1"/>
      <c r="AA1672" s="1"/>
      <c r="AB1672" s="1"/>
      <c r="AC1672" s="1"/>
      <c r="AD1672" s="1">
        <f>IF($C1672="",0,SUMPRODUCT((AY_SONU!$O$7:$O$42="Evet")*(AY_SONU!$B$7:$B$42=DATE(YEAR($C1672),MONTH($C1672),1))))</f>
        <v>0</v>
      </c>
      <c r="AE1672" s="1" t="str">
        <f>IF($E1672="","",$E1672&amp;"|"&amp;COUNTIFS($E$7:$E1672,$E1672))</f>
        <v/>
      </c>
    </row>
    <row r="1673" spans="1:31" ht="18" customHeight="1" x14ac:dyDescent="0.3">
      <c r="A1673" s="2"/>
      <c r="B1673" s="65" t="str">
        <f t="shared" si="210"/>
        <v/>
      </c>
      <c r="C1673" s="66"/>
      <c r="D1673" s="60"/>
      <c r="E1673" s="61"/>
      <c r="F1673" s="61"/>
      <c r="G1673" s="67"/>
      <c r="H1673" s="60"/>
      <c r="I1673" s="60"/>
      <c r="J1673" s="61"/>
      <c r="K1673" s="61"/>
      <c r="L1673" s="60"/>
      <c r="M1673" s="74" t="str">
        <f t="shared" si="211"/>
        <v/>
      </c>
      <c r="N1673" s="74" t="str">
        <f t="shared" si="212"/>
        <v/>
      </c>
      <c r="O1673" s="73" t="str">
        <f t="shared" si="213"/>
        <v/>
      </c>
      <c r="P1673" s="65" t="str">
        <f t="shared" ca="1" si="214"/>
        <v/>
      </c>
      <c r="Q1673" s="2"/>
      <c r="R1673" s="2"/>
      <c r="S1673" s="1" t="str">
        <f t="shared" si="215"/>
        <v/>
      </c>
      <c r="T1673" s="1" t="str">
        <f>IF(OR($C1673="",$D1673&lt;&gt;"Gelir",$L1673=""),"",IFERROR(INDEX(MUSTERILER!$B$7:$B$156,MATCH($S1673,MUSTERILER!$T$7:$T$156,0)),""))</f>
        <v/>
      </c>
      <c r="U1673" s="1" t="str">
        <f>IF($T1673="","",$T1673&amp;"|"&amp;COUNTIFS($T$7:$T1673,$T1673))</f>
        <v/>
      </c>
      <c r="V1673" s="1">
        <f t="shared" si="216"/>
        <v>0</v>
      </c>
      <c r="W1673" s="1" t="str">
        <f t="shared" si="217"/>
        <v/>
      </c>
      <c r="X1673" s="1"/>
      <c r="Y1673" s="1"/>
      <c r="Z1673" s="1"/>
      <c r="AA1673" s="1"/>
      <c r="AB1673" s="1"/>
      <c r="AC1673" s="1"/>
      <c r="AD1673" s="1">
        <f>IF($C1673="",0,SUMPRODUCT((AY_SONU!$O$7:$O$42="Evet")*(AY_SONU!$B$7:$B$42=DATE(YEAR($C1673),MONTH($C1673),1))))</f>
        <v>0</v>
      </c>
      <c r="AE1673" s="1" t="str">
        <f>IF($E1673="","",$E1673&amp;"|"&amp;COUNTIFS($E$7:$E1673,$E1673))</f>
        <v/>
      </c>
    </row>
    <row r="1674" spans="1:31" ht="18" customHeight="1" x14ac:dyDescent="0.3">
      <c r="A1674" s="2"/>
      <c r="B1674" s="65" t="str">
        <f t="shared" si="210"/>
        <v/>
      </c>
      <c r="C1674" s="66"/>
      <c r="D1674" s="60"/>
      <c r="E1674" s="61"/>
      <c r="F1674" s="61"/>
      <c r="G1674" s="67"/>
      <c r="H1674" s="60"/>
      <c r="I1674" s="60"/>
      <c r="J1674" s="61"/>
      <c r="K1674" s="61"/>
      <c r="L1674" s="60"/>
      <c r="M1674" s="74" t="str">
        <f t="shared" si="211"/>
        <v/>
      </c>
      <c r="N1674" s="74" t="str">
        <f t="shared" si="212"/>
        <v/>
      </c>
      <c r="O1674" s="73" t="str">
        <f t="shared" si="213"/>
        <v/>
      </c>
      <c r="P1674" s="65" t="str">
        <f t="shared" ca="1" si="214"/>
        <v/>
      </c>
      <c r="Q1674" s="2"/>
      <c r="R1674" s="2"/>
      <c r="S1674" s="1" t="str">
        <f t="shared" si="215"/>
        <v/>
      </c>
      <c r="T1674" s="1" t="str">
        <f>IF(OR($C1674="",$D1674&lt;&gt;"Gelir",$L1674=""),"",IFERROR(INDEX(MUSTERILER!$B$7:$B$156,MATCH($S1674,MUSTERILER!$T$7:$T$156,0)),""))</f>
        <v/>
      </c>
      <c r="U1674" s="1" t="str">
        <f>IF($T1674="","",$T1674&amp;"|"&amp;COUNTIFS($T$7:$T1674,$T1674))</f>
        <v/>
      </c>
      <c r="V1674" s="1">
        <f t="shared" si="216"/>
        <v>0</v>
      </c>
      <c r="W1674" s="1" t="str">
        <f t="shared" si="217"/>
        <v/>
      </c>
      <c r="X1674" s="1"/>
      <c r="Y1674" s="1"/>
      <c r="Z1674" s="1"/>
      <c r="AA1674" s="1"/>
      <c r="AB1674" s="1"/>
      <c r="AC1674" s="1"/>
      <c r="AD1674" s="1">
        <f>IF($C1674="",0,SUMPRODUCT((AY_SONU!$O$7:$O$42="Evet")*(AY_SONU!$B$7:$B$42=DATE(YEAR($C1674),MONTH($C1674),1))))</f>
        <v>0</v>
      </c>
      <c r="AE1674" s="1" t="str">
        <f>IF($E1674="","",$E1674&amp;"|"&amp;COUNTIFS($E$7:$E1674,$E1674))</f>
        <v/>
      </c>
    </row>
    <row r="1675" spans="1:31" ht="18" customHeight="1" x14ac:dyDescent="0.3">
      <c r="A1675" s="2"/>
      <c r="B1675" s="65" t="str">
        <f t="shared" si="210"/>
        <v/>
      </c>
      <c r="C1675" s="66"/>
      <c r="D1675" s="60"/>
      <c r="E1675" s="61"/>
      <c r="F1675" s="61"/>
      <c r="G1675" s="67"/>
      <c r="H1675" s="60"/>
      <c r="I1675" s="60"/>
      <c r="J1675" s="61"/>
      <c r="K1675" s="61"/>
      <c r="L1675" s="60"/>
      <c r="M1675" s="74" t="str">
        <f t="shared" si="211"/>
        <v/>
      </c>
      <c r="N1675" s="74" t="str">
        <f t="shared" si="212"/>
        <v/>
      </c>
      <c r="O1675" s="73" t="str">
        <f t="shared" si="213"/>
        <v/>
      </c>
      <c r="P1675" s="65" t="str">
        <f t="shared" ca="1" si="214"/>
        <v/>
      </c>
      <c r="Q1675" s="2"/>
      <c r="R1675" s="2"/>
      <c r="S1675" s="1" t="str">
        <f t="shared" si="215"/>
        <v/>
      </c>
      <c r="T1675" s="1" t="str">
        <f>IF(OR($C1675="",$D1675&lt;&gt;"Gelir",$L1675=""),"",IFERROR(INDEX(MUSTERILER!$B$7:$B$156,MATCH($S1675,MUSTERILER!$T$7:$T$156,0)),""))</f>
        <v/>
      </c>
      <c r="U1675" s="1" t="str">
        <f>IF($T1675="","",$T1675&amp;"|"&amp;COUNTIFS($T$7:$T1675,$T1675))</f>
        <v/>
      </c>
      <c r="V1675" s="1">
        <f t="shared" si="216"/>
        <v>0</v>
      </c>
      <c r="W1675" s="1" t="str">
        <f t="shared" si="217"/>
        <v/>
      </c>
      <c r="X1675" s="1"/>
      <c r="Y1675" s="1"/>
      <c r="Z1675" s="1"/>
      <c r="AA1675" s="1"/>
      <c r="AB1675" s="1"/>
      <c r="AC1675" s="1"/>
      <c r="AD1675" s="1">
        <f>IF($C1675="",0,SUMPRODUCT((AY_SONU!$O$7:$O$42="Evet")*(AY_SONU!$B$7:$B$42=DATE(YEAR($C1675),MONTH($C1675),1))))</f>
        <v>0</v>
      </c>
      <c r="AE1675" s="1" t="str">
        <f>IF($E1675="","",$E1675&amp;"|"&amp;COUNTIFS($E$7:$E1675,$E1675))</f>
        <v/>
      </c>
    </row>
    <row r="1676" spans="1:31" ht="18" customHeight="1" x14ac:dyDescent="0.3">
      <c r="A1676" s="2"/>
      <c r="B1676" s="65" t="str">
        <f t="shared" si="210"/>
        <v/>
      </c>
      <c r="C1676" s="66"/>
      <c r="D1676" s="60"/>
      <c r="E1676" s="61"/>
      <c r="F1676" s="61"/>
      <c r="G1676" s="67"/>
      <c r="H1676" s="60"/>
      <c r="I1676" s="60"/>
      <c r="J1676" s="61"/>
      <c r="K1676" s="61"/>
      <c r="L1676" s="60"/>
      <c r="M1676" s="74" t="str">
        <f t="shared" si="211"/>
        <v/>
      </c>
      <c r="N1676" s="74" t="str">
        <f t="shared" si="212"/>
        <v/>
      </c>
      <c r="O1676" s="73" t="str">
        <f t="shared" si="213"/>
        <v/>
      </c>
      <c r="P1676" s="65" t="str">
        <f t="shared" ca="1" si="214"/>
        <v/>
      </c>
      <c r="Q1676" s="2"/>
      <c r="R1676" s="2"/>
      <c r="S1676" s="1" t="str">
        <f t="shared" si="215"/>
        <v/>
      </c>
      <c r="T1676" s="1" t="str">
        <f>IF(OR($C1676="",$D1676&lt;&gt;"Gelir",$L1676=""),"",IFERROR(INDEX(MUSTERILER!$B$7:$B$156,MATCH($S1676,MUSTERILER!$T$7:$T$156,0)),""))</f>
        <v/>
      </c>
      <c r="U1676" s="1" t="str">
        <f>IF($T1676="","",$T1676&amp;"|"&amp;COUNTIFS($T$7:$T1676,$T1676))</f>
        <v/>
      </c>
      <c r="V1676" s="1">
        <f t="shared" si="216"/>
        <v>0</v>
      </c>
      <c r="W1676" s="1" t="str">
        <f t="shared" si="217"/>
        <v/>
      </c>
      <c r="X1676" s="1"/>
      <c r="Y1676" s="1"/>
      <c r="Z1676" s="1"/>
      <c r="AA1676" s="1"/>
      <c r="AB1676" s="1"/>
      <c r="AC1676" s="1"/>
      <c r="AD1676" s="1">
        <f>IF($C1676="",0,SUMPRODUCT((AY_SONU!$O$7:$O$42="Evet")*(AY_SONU!$B$7:$B$42=DATE(YEAR($C1676),MONTH($C1676),1))))</f>
        <v>0</v>
      </c>
      <c r="AE1676" s="1" t="str">
        <f>IF($E1676="","",$E1676&amp;"|"&amp;COUNTIFS($E$7:$E1676,$E1676))</f>
        <v/>
      </c>
    </row>
    <row r="1677" spans="1:31" ht="18" customHeight="1" x14ac:dyDescent="0.3">
      <c r="A1677" s="2"/>
      <c r="B1677" s="65" t="str">
        <f t="shared" si="210"/>
        <v/>
      </c>
      <c r="C1677" s="66"/>
      <c r="D1677" s="60"/>
      <c r="E1677" s="61"/>
      <c r="F1677" s="61"/>
      <c r="G1677" s="67"/>
      <c r="H1677" s="60"/>
      <c r="I1677" s="60"/>
      <c r="J1677" s="61"/>
      <c r="K1677" s="61"/>
      <c r="L1677" s="60"/>
      <c r="M1677" s="74" t="str">
        <f t="shared" si="211"/>
        <v/>
      </c>
      <c r="N1677" s="74" t="str">
        <f t="shared" si="212"/>
        <v/>
      </c>
      <c r="O1677" s="73" t="str">
        <f t="shared" si="213"/>
        <v/>
      </c>
      <c r="P1677" s="65" t="str">
        <f t="shared" ca="1" si="214"/>
        <v/>
      </c>
      <c r="Q1677" s="2"/>
      <c r="R1677" s="2"/>
      <c r="S1677" s="1" t="str">
        <f t="shared" si="215"/>
        <v/>
      </c>
      <c r="T1677" s="1" t="str">
        <f>IF(OR($C1677="",$D1677&lt;&gt;"Gelir",$L1677=""),"",IFERROR(INDEX(MUSTERILER!$B$7:$B$156,MATCH($S1677,MUSTERILER!$T$7:$T$156,0)),""))</f>
        <v/>
      </c>
      <c r="U1677" s="1" t="str">
        <f>IF($T1677="","",$T1677&amp;"|"&amp;COUNTIFS($T$7:$T1677,$T1677))</f>
        <v/>
      </c>
      <c r="V1677" s="1">
        <f t="shared" si="216"/>
        <v>0</v>
      </c>
      <c r="W1677" s="1" t="str">
        <f t="shared" si="217"/>
        <v/>
      </c>
      <c r="X1677" s="1"/>
      <c r="Y1677" s="1"/>
      <c r="Z1677" s="1"/>
      <c r="AA1677" s="1"/>
      <c r="AB1677" s="1"/>
      <c r="AC1677" s="1"/>
      <c r="AD1677" s="1">
        <f>IF($C1677="",0,SUMPRODUCT((AY_SONU!$O$7:$O$42="Evet")*(AY_SONU!$B$7:$B$42=DATE(YEAR($C1677),MONTH($C1677),1))))</f>
        <v>0</v>
      </c>
      <c r="AE1677" s="1" t="str">
        <f>IF($E1677="","",$E1677&amp;"|"&amp;COUNTIFS($E$7:$E1677,$E1677))</f>
        <v/>
      </c>
    </row>
    <row r="1678" spans="1:31" ht="18" customHeight="1" x14ac:dyDescent="0.3">
      <c r="A1678" s="2"/>
      <c r="B1678" s="65" t="str">
        <f t="shared" si="210"/>
        <v/>
      </c>
      <c r="C1678" s="66"/>
      <c r="D1678" s="60"/>
      <c r="E1678" s="61"/>
      <c r="F1678" s="61"/>
      <c r="G1678" s="67"/>
      <c r="H1678" s="60"/>
      <c r="I1678" s="60"/>
      <c r="J1678" s="61"/>
      <c r="K1678" s="61"/>
      <c r="L1678" s="60"/>
      <c r="M1678" s="74" t="str">
        <f t="shared" si="211"/>
        <v/>
      </c>
      <c r="N1678" s="74" t="str">
        <f t="shared" si="212"/>
        <v/>
      </c>
      <c r="O1678" s="73" t="str">
        <f t="shared" si="213"/>
        <v/>
      </c>
      <c r="P1678" s="65" t="str">
        <f t="shared" ca="1" si="214"/>
        <v/>
      </c>
      <c r="Q1678" s="2"/>
      <c r="R1678" s="2"/>
      <c r="S1678" s="1" t="str">
        <f t="shared" si="215"/>
        <v/>
      </c>
      <c r="T1678" s="1" t="str">
        <f>IF(OR($C1678="",$D1678&lt;&gt;"Gelir",$L1678=""),"",IFERROR(INDEX(MUSTERILER!$B$7:$B$156,MATCH($S1678,MUSTERILER!$T$7:$T$156,0)),""))</f>
        <v/>
      </c>
      <c r="U1678" s="1" t="str">
        <f>IF($T1678="","",$T1678&amp;"|"&amp;COUNTIFS($T$7:$T1678,$T1678))</f>
        <v/>
      </c>
      <c r="V1678" s="1">
        <f t="shared" si="216"/>
        <v>0</v>
      </c>
      <c r="W1678" s="1" t="str">
        <f t="shared" si="217"/>
        <v/>
      </c>
      <c r="X1678" s="1"/>
      <c r="Y1678" s="1"/>
      <c r="Z1678" s="1"/>
      <c r="AA1678" s="1"/>
      <c r="AB1678" s="1"/>
      <c r="AC1678" s="1"/>
      <c r="AD1678" s="1">
        <f>IF($C1678="",0,SUMPRODUCT((AY_SONU!$O$7:$O$42="Evet")*(AY_SONU!$B$7:$B$42=DATE(YEAR($C1678),MONTH($C1678),1))))</f>
        <v>0</v>
      </c>
      <c r="AE1678" s="1" t="str">
        <f>IF($E1678="","",$E1678&amp;"|"&amp;COUNTIFS($E$7:$E1678,$E1678))</f>
        <v/>
      </c>
    </row>
    <row r="1679" spans="1:31" ht="18" customHeight="1" x14ac:dyDescent="0.3">
      <c r="A1679" s="2"/>
      <c r="B1679" s="65" t="str">
        <f t="shared" si="210"/>
        <v/>
      </c>
      <c r="C1679" s="66"/>
      <c r="D1679" s="60"/>
      <c r="E1679" s="61"/>
      <c r="F1679" s="61"/>
      <c r="G1679" s="67"/>
      <c r="H1679" s="60"/>
      <c r="I1679" s="60"/>
      <c r="J1679" s="61"/>
      <c r="K1679" s="61"/>
      <c r="L1679" s="60"/>
      <c r="M1679" s="74" t="str">
        <f t="shared" si="211"/>
        <v/>
      </c>
      <c r="N1679" s="74" t="str">
        <f t="shared" si="212"/>
        <v/>
      </c>
      <c r="O1679" s="73" t="str">
        <f t="shared" si="213"/>
        <v/>
      </c>
      <c r="P1679" s="65" t="str">
        <f t="shared" ca="1" si="214"/>
        <v/>
      </c>
      <c r="Q1679" s="2"/>
      <c r="R1679" s="2"/>
      <c r="S1679" s="1" t="str">
        <f t="shared" si="215"/>
        <v/>
      </c>
      <c r="T1679" s="1" t="str">
        <f>IF(OR($C1679="",$D1679&lt;&gt;"Gelir",$L1679=""),"",IFERROR(INDEX(MUSTERILER!$B$7:$B$156,MATCH($S1679,MUSTERILER!$T$7:$T$156,0)),""))</f>
        <v/>
      </c>
      <c r="U1679" s="1" t="str">
        <f>IF($T1679="","",$T1679&amp;"|"&amp;COUNTIFS($T$7:$T1679,$T1679))</f>
        <v/>
      </c>
      <c r="V1679" s="1">
        <f t="shared" si="216"/>
        <v>0</v>
      </c>
      <c r="W1679" s="1" t="str">
        <f t="shared" si="217"/>
        <v/>
      </c>
      <c r="X1679" s="1"/>
      <c r="Y1679" s="1"/>
      <c r="Z1679" s="1"/>
      <c r="AA1679" s="1"/>
      <c r="AB1679" s="1"/>
      <c r="AC1679" s="1"/>
      <c r="AD1679" s="1">
        <f>IF($C1679="",0,SUMPRODUCT((AY_SONU!$O$7:$O$42="Evet")*(AY_SONU!$B$7:$B$42=DATE(YEAR($C1679),MONTH($C1679),1))))</f>
        <v>0</v>
      </c>
      <c r="AE1679" s="1" t="str">
        <f>IF($E1679="","",$E1679&amp;"|"&amp;COUNTIFS($E$7:$E1679,$E1679))</f>
        <v/>
      </c>
    </row>
    <row r="1680" spans="1:31" ht="18" customHeight="1" x14ac:dyDescent="0.3">
      <c r="A1680" s="2"/>
      <c r="B1680" s="65" t="str">
        <f t="shared" si="210"/>
        <v/>
      </c>
      <c r="C1680" s="66"/>
      <c r="D1680" s="60"/>
      <c r="E1680" s="61"/>
      <c r="F1680" s="61"/>
      <c r="G1680" s="67"/>
      <c r="H1680" s="60"/>
      <c r="I1680" s="60"/>
      <c r="J1680" s="61"/>
      <c r="K1680" s="61"/>
      <c r="L1680" s="60"/>
      <c r="M1680" s="74" t="str">
        <f t="shared" si="211"/>
        <v/>
      </c>
      <c r="N1680" s="74" t="str">
        <f t="shared" si="212"/>
        <v/>
      </c>
      <c r="O1680" s="73" t="str">
        <f t="shared" si="213"/>
        <v/>
      </c>
      <c r="P1680" s="65" t="str">
        <f t="shared" ca="1" si="214"/>
        <v/>
      </c>
      <c r="Q1680" s="2"/>
      <c r="R1680" s="2"/>
      <c r="S1680" s="1" t="str">
        <f t="shared" si="215"/>
        <v/>
      </c>
      <c r="T1680" s="1" t="str">
        <f>IF(OR($C1680="",$D1680&lt;&gt;"Gelir",$L1680=""),"",IFERROR(INDEX(MUSTERILER!$B$7:$B$156,MATCH($S1680,MUSTERILER!$T$7:$T$156,0)),""))</f>
        <v/>
      </c>
      <c r="U1680" s="1" t="str">
        <f>IF($T1680="","",$T1680&amp;"|"&amp;COUNTIFS($T$7:$T1680,$T1680))</f>
        <v/>
      </c>
      <c r="V1680" s="1">
        <f t="shared" si="216"/>
        <v>0</v>
      </c>
      <c r="W1680" s="1" t="str">
        <f t="shared" si="217"/>
        <v/>
      </c>
      <c r="X1680" s="1"/>
      <c r="Y1680" s="1"/>
      <c r="Z1680" s="1"/>
      <c r="AA1680" s="1"/>
      <c r="AB1680" s="1"/>
      <c r="AC1680" s="1"/>
      <c r="AD1680" s="1">
        <f>IF($C1680="",0,SUMPRODUCT((AY_SONU!$O$7:$O$42="Evet")*(AY_SONU!$B$7:$B$42=DATE(YEAR($C1680),MONTH($C1680),1))))</f>
        <v>0</v>
      </c>
      <c r="AE1680" s="1" t="str">
        <f>IF($E1680="","",$E1680&amp;"|"&amp;COUNTIFS($E$7:$E1680,$E1680))</f>
        <v/>
      </c>
    </row>
    <row r="1681" spans="1:31" ht="18" customHeight="1" x14ac:dyDescent="0.3">
      <c r="A1681" s="2"/>
      <c r="B1681" s="65" t="str">
        <f t="shared" si="210"/>
        <v/>
      </c>
      <c r="C1681" s="66"/>
      <c r="D1681" s="60"/>
      <c r="E1681" s="61"/>
      <c r="F1681" s="61"/>
      <c r="G1681" s="67"/>
      <c r="H1681" s="60"/>
      <c r="I1681" s="60"/>
      <c r="J1681" s="61"/>
      <c r="K1681" s="61"/>
      <c r="L1681" s="60"/>
      <c r="M1681" s="74" t="str">
        <f t="shared" si="211"/>
        <v/>
      </c>
      <c r="N1681" s="74" t="str">
        <f t="shared" si="212"/>
        <v/>
      </c>
      <c r="O1681" s="73" t="str">
        <f t="shared" si="213"/>
        <v/>
      </c>
      <c r="P1681" s="65" t="str">
        <f t="shared" ca="1" si="214"/>
        <v/>
      </c>
      <c r="Q1681" s="2"/>
      <c r="R1681" s="2"/>
      <c r="S1681" s="1" t="str">
        <f t="shared" si="215"/>
        <v/>
      </c>
      <c r="T1681" s="1" t="str">
        <f>IF(OR($C1681="",$D1681&lt;&gt;"Gelir",$L1681=""),"",IFERROR(INDEX(MUSTERILER!$B$7:$B$156,MATCH($S1681,MUSTERILER!$T$7:$T$156,0)),""))</f>
        <v/>
      </c>
      <c r="U1681" s="1" t="str">
        <f>IF($T1681="","",$T1681&amp;"|"&amp;COUNTIFS($T$7:$T1681,$T1681))</f>
        <v/>
      </c>
      <c r="V1681" s="1">
        <f t="shared" si="216"/>
        <v>0</v>
      </c>
      <c r="W1681" s="1" t="str">
        <f t="shared" si="217"/>
        <v/>
      </c>
      <c r="X1681" s="1"/>
      <c r="Y1681" s="1"/>
      <c r="Z1681" s="1"/>
      <c r="AA1681" s="1"/>
      <c r="AB1681" s="1"/>
      <c r="AC1681" s="1"/>
      <c r="AD1681" s="1">
        <f>IF($C1681="",0,SUMPRODUCT((AY_SONU!$O$7:$O$42="Evet")*(AY_SONU!$B$7:$B$42=DATE(YEAR($C1681),MONTH($C1681),1))))</f>
        <v>0</v>
      </c>
      <c r="AE1681" s="1" t="str">
        <f>IF($E1681="","",$E1681&amp;"|"&amp;COUNTIFS($E$7:$E1681,$E1681))</f>
        <v/>
      </c>
    </row>
    <row r="1682" spans="1:31" ht="18" customHeight="1" x14ac:dyDescent="0.3">
      <c r="A1682" s="2"/>
      <c r="B1682" s="65" t="str">
        <f t="shared" si="210"/>
        <v/>
      </c>
      <c r="C1682" s="66"/>
      <c r="D1682" s="60"/>
      <c r="E1682" s="61"/>
      <c r="F1682" s="61"/>
      <c r="G1682" s="67"/>
      <c r="H1682" s="60"/>
      <c r="I1682" s="60"/>
      <c r="J1682" s="61"/>
      <c r="K1682" s="61"/>
      <c r="L1682" s="60"/>
      <c r="M1682" s="74" t="str">
        <f t="shared" si="211"/>
        <v/>
      </c>
      <c r="N1682" s="74" t="str">
        <f t="shared" si="212"/>
        <v/>
      </c>
      <c r="O1682" s="73" t="str">
        <f t="shared" si="213"/>
        <v/>
      </c>
      <c r="P1682" s="65" t="str">
        <f t="shared" ca="1" si="214"/>
        <v/>
      </c>
      <c r="Q1682" s="2"/>
      <c r="R1682" s="2"/>
      <c r="S1682" s="1" t="str">
        <f t="shared" si="215"/>
        <v/>
      </c>
      <c r="T1682" s="1" t="str">
        <f>IF(OR($C1682="",$D1682&lt;&gt;"Gelir",$L1682=""),"",IFERROR(INDEX(MUSTERILER!$B$7:$B$156,MATCH($S1682,MUSTERILER!$T$7:$T$156,0)),""))</f>
        <v/>
      </c>
      <c r="U1682" s="1" t="str">
        <f>IF($T1682="","",$T1682&amp;"|"&amp;COUNTIFS($T$7:$T1682,$T1682))</f>
        <v/>
      </c>
      <c r="V1682" s="1">
        <f t="shared" si="216"/>
        <v>0</v>
      </c>
      <c r="W1682" s="1" t="str">
        <f t="shared" si="217"/>
        <v/>
      </c>
      <c r="X1682" s="1"/>
      <c r="Y1682" s="1"/>
      <c r="Z1682" s="1"/>
      <c r="AA1682" s="1"/>
      <c r="AB1682" s="1"/>
      <c r="AC1682" s="1"/>
      <c r="AD1682" s="1">
        <f>IF($C1682="",0,SUMPRODUCT((AY_SONU!$O$7:$O$42="Evet")*(AY_SONU!$B$7:$B$42=DATE(YEAR($C1682),MONTH($C1682),1))))</f>
        <v>0</v>
      </c>
      <c r="AE1682" s="1" t="str">
        <f>IF($E1682="","",$E1682&amp;"|"&amp;COUNTIFS($E$7:$E1682,$E1682))</f>
        <v/>
      </c>
    </row>
    <row r="1683" spans="1:31" ht="18" customHeight="1" x14ac:dyDescent="0.3">
      <c r="A1683" s="2"/>
      <c r="B1683" s="65" t="str">
        <f t="shared" si="210"/>
        <v/>
      </c>
      <c r="C1683" s="66"/>
      <c r="D1683" s="60"/>
      <c r="E1683" s="61"/>
      <c r="F1683" s="61"/>
      <c r="G1683" s="67"/>
      <c r="H1683" s="60"/>
      <c r="I1683" s="60"/>
      <c r="J1683" s="61"/>
      <c r="K1683" s="61"/>
      <c r="L1683" s="60"/>
      <c r="M1683" s="74" t="str">
        <f t="shared" si="211"/>
        <v/>
      </c>
      <c r="N1683" s="74" t="str">
        <f t="shared" si="212"/>
        <v/>
      </c>
      <c r="O1683" s="73" t="str">
        <f t="shared" si="213"/>
        <v/>
      </c>
      <c r="P1683" s="65" t="str">
        <f t="shared" ca="1" si="214"/>
        <v/>
      </c>
      <c r="Q1683" s="2"/>
      <c r="R1683" s="2"/>
      <c r="S1683" s="1" t="str">
        <f t="shared" si="215"/>
        <v/>
      </c>
      <c r="T1683" s="1" t="str">
        <f>IF(OR($C1683="",$D1683&lt;&gt;"Gelir",$L1683=""),"",IFERROR(INDEX(MUSTERILER!$B$7:$B$156,MATCH($S1683,MUSTERILER!$T$7:$T$156,0)),""))</f>
        <v/>
      </c>
      <c r="U1683" s="1" t="str">
        <f>IF($T1683="","",$T1683&amp;"|"&amp;COUNTIFS($T$7:$T1683,$T1683))</f>
        <v/>
      </c>
      <c r="V1683" s="1">
        <f t="shared" si="216"/>
        <v>0</v>
      </c>
      <c r="W1683" s="1" t="str">
        <f t="shared" si="217"/>
        <v/>
      </c>
      <c r="X1683" s="1"/>
      <c r="Y1683" s="1"/>
      <c r="Z1683" s="1"/>
      <c r="AA1683" s="1"/>
      <c r="AB1683" s="1"/>
      <c r="AC1683" s="1"/>
      <c r="AD1683" s="1">
        <f>IF($C1683="",0,SUMPRODUCT((AY_SONU!$O$7:$O$42="Evet")*(AY_SONU!$B$7:$B$42=DATE(YEAR($C1683),MONTH($C1683),1))))</f>
        <v>0</v>
      </c>
      <c r="AE1683" s="1" t="str">
        <f>IF($E1683="","",$E1683&amp;"|"&amp;COUNTIFS($E$7:$E1683,$E1683))</f>
        <v/>
      </c>
    </row>
    <row r="1684" spans="1:31" ht="18" customHeight="1" x14ac:dyDescent="0.3">
      <c r="A1684" s="2"/>
      <c r="B1684" s="65" t="str">
        <f t="shared" si="210"/>
        <v/>
      </c>
      <c r="C1684" s="66"/>
      <c r="D1684" s="60"/>
      <c r="E1684" s="61"/>
      <c r="F1684" s="61"/>
      <c r="G1684" s="67"/>
      <c r="H1684" s="60"/>
      <c r="I1684" s="60"/>
      <c r="J1684" s="61"/>
      <c r="K1684" s="61"/>
      <c r="L1684" s="60"/>
      <c r="M1684" s="74" t="str">
        <f t="shared" si="211"/>
        <v/>
      </c>
      <c r="N1684" s="74" t="str">
        <f t="shared" si="212"/>
        <v/>
      </c>
      <c r="O1684" s="73" t="str">
        <f t="shared" si="213"/>
        <v/>
      </c>
      <c r="P1684" s="65" t="str">
        <f t="shared" ca="1" si="214"/>
        <v/>
      </c>
      <c r="Q1684" s="2"/>
      <c r="R1684" s="2"/>
      <c r="S1684" s="1" t="str">
        <f t="shared" si="215"/>
        <v/>
      </c>
      <c r="T1684" s="1" t="str">
        <f>IF(OR($C1684="",$D1684&lt;&gt;"Gelir",$L1684=""),"",IFERROR(INDEX(MUSTERILER!$B$7:$B$156,MATCH($S1684,MUSTERILER!$T$7:$T$156,0)),""))</f>
        <v/>
      </c>
      <c r="U1684" s="1" t="str">
        <f>IF($T1684="","",$T1684&amp;"|"&amp;COUNTIFS($T$7:$T1684,$T1684))</f>
        <v/>
      </c>
      <c r="V1684" s="1">
        <f t="shared" si="216"/>
        <v>0</v>
      </c>
      <c r="W1684" s="1" t="str">
        <f t="shared" si="217"/>
        <v/>
      </c>
      <c r="X1684" s="1"/>
      <c r="Y1684" s="1"/>
      <c r="Z1684" s="1"/>
      <c r="AA1684" s="1"/>
      <c r="AB1684" s="1"/>
      <c r="AC1684" s="1"/>
      <c r="AD1684" s="1">
        <f>IF($C1684="",0,SUMPRODUCT((AY_SONU!$O$7:$O$42="Evet")*(AY_SONU!$B$7:$B$42=DATE(YEAR($C1684),MONTH($C1684),1))))</f>
        <v>0</v>
      </c>
      <c r="AE1684" s="1" t="str">
        <f>IF($E1684="","",$E1684&amp;"|"&amp;COUNTIFS($E$7:$E1684,$E1684))</f>
        <v/>
      </c>
    </row>
    <row r="1685" spans="1:31" ht="18" customHeight="1" x14ac:dyDescent="0.3">
      <c r="A1685" s="2"/>
      <c r="B1685" s="65" t="str">
        <f t="shared" si="210"/>
        <v/>
      </c>
      <c r="C1685" s="66"/>
      <c r="D1685" s="60"/>
      <c r="E1685" s="61"/>
      <c r="F1685" s="61"/>
      <c r="G1685" s="67"/>
      <c r="H1685" s="60"/>
      <c r="I1685" s="60"/>
      <c r="J1685" s="61"/>
      <c r="K1685" s="61"/>
      <c r="L1685" s="60"/>
      <c r="M1685" s="74" t="str">
        <f t="shared" si="211"/>
        <v/>
      </c>
      <c r="N1685" s="74" t="str">
        <f t="shared" si="212"/>
        <v/>
      </c>
      <c r="O1685" s="73" t="str">
        <f t="shared" si="213"/>
        <v/>
      </c>
      <c r="P1685" s="65" t="str">
        <f t="shared" ca="1" si="214"/>
        <v/>
      </c>
      <c r="Q1685" s="2"/>
      <c r="R1685" s="2"/>
      <c r="S1685" s="1" t="str">
        <f t="shared" si="215"/>
        <v/>
      </c>
      <c r="T1685" s="1" t="str">
        <f>IF(OR($C1685="",$D1685&lt;&gt;"Gelir",$L1685=""),"",IFERROR(INDEX(MUSTERILER!$B$7:$B$156,MATCH($S1685,MUSTERILER!$T$7:$T$156,0)),""))</f>
        <v/>
      </c>
      <c r="U1685" s="1" t="str">
        <f>IF($T1685="","",$T1685&amp;"|"&amp;COUNTIFS($T$7:$T1685,$T1685))</f>
        <v/>
      </c>
      <c r="V1685" s="1">
        <f t="shared" si="216"/>
        <v>0</v>
      </c>
      <c r="W1685" s="1" t="str">
        <f t="shared" si="217"/>
        <v/>
      </c>
      <c r="X1685" s="1"/>
      <c r="Y1685" s="1"/>
      <c r="Z1685" s="1"/>
      <c r="AA1685" s="1"/>
      <c r="AB1685" s="1"/>
      <c r="AC1685" s="1"/>
      <c r="AD1685" s="1">
        <f>IF($C1685="",0,SUMPRODUCT((AY_SONU!$O$7:$O$42="Evet")*(AY_SONU!$B$7:$B$42=DATE(YEAR($C1685),MONTH($C1685),1))))</f>
        <v>0</v>
      </c>
      <c r="AE1685" s="1" t="str">
        <f>IF($E1685="","",$E1685&amp;"|"&amp;COUNTIFS($E$7:$E1685,$E1685))</f>
        <v/>
      </c>
    </row>
    <row r="1686" spans="1:31" ht="18" customHeight="1" x14ac:dyDescent="0.3">
      <c r="A1686" s="2"/>
      <c r="B1686" s="65" t="str">
        <f t="shared" si="210"/>
        <v/>
      </c>
      <c r="C1686" s="66"/>
      <c r="D1686" s="60"/>
      <c r="E1686" s="61"/>
      <c r="F1686" s="61"/>
      <c r="G1686" s="67"/>
      <c r="H1686" s="60"/>
      <c r="I1686" s="60"/>
      <c r="J1686" s="61"/>
      <c r="K1686" s="61"/>
      <c r="L1686" s="60"/>
      <c r="M1686" s="74" t="str">
        <f t="shared" si="211"/>
        <v/>
      </c>
      <c r="N1686" s="74" t="str">
        <f t="shared" si="212"/>
        <v/>
      </c>
      <c r="O1686" s="73" t="str">
        <f t="shared" si="213"/>
        <v/>
      </c>
      <c r="P1686" s="65" t="str">
        <f t="shared" ca="1" si="214"/>
        <v/>
      </c>
      <c r="Q1686" s="2"/>
      <c r="R1686" s="2"/>
      <c r="S1686" s="1" t="str">
        <f t="shared" si="215"/>
        <v/>
      </c>
      <c r="T1686" s="1" t="str">
        <f>IF(OR($C1686="",$D1686&lt;&gt;"Gelir",$L1686=""),"",IFERROR(INDEX(MUSTERILER!$B$7:$B$156,MATCH($S1686,MUSTERILER!$T$7:$T$156,0)),""))</f>
        <v/>
      </c>
      <c r="U1686" s="1" t="str">
        <f>IF($T1686="","",$T1686&amp;"|"&amp;COUNTIFS($T$7:$T1686,$T1686))</f>
        <v/>
      </c>
      <c r="V1686" s="1">
        <f t="shared" si="216"/>
        <v>0</v>
      </c>
      <c r="W1686" s="1" t="str">
        <f t="shared" si="217"/>
        <v/>
      </c>
      <c r="X1686" s="1"/>
      <c r="Y1686" s="1"/>
      <c r="Z1686" s="1"/>
      <c r="AA1686" s="1"/>
      <c r="AB1686" s="1"/>
      <c r="AC1686" s="1"/>
      <c r="AD1686" s="1">
        <f>IF($C1686="",0,SUMPRODUCT((AY_SONU!$O$7:$O$42="Evet")*(AY_SONU!$B$7:$B$42=DATE(YEAR($C1686),MONTH($C1686),1))))</f>
        <v>0</v>
      </c>
      <c r="AE1686" s="1" t="str">
        <f>IF($E1686="","",$E1686&amp;"|"&amp;COUNTIFS($E$7:$E1686,$E1686))</f>
        <v/>
      </c>
    </row>
    <row r="1687" spans="1:31" ht="18" customHeight="1" x14ac:dyDescent="0.3">
      <c r="A1687" s="2"/>
      <c r="B1687" s="65" t="str">
        <f t="shared" si="210"/>
        <v/>
      </c>
      <c r="C1687" s="66"/>
      <c r="D1687" s="60"/>
      <c r="E1687" s="61"/>
      <c r="F1687" s="61"/>
      <c r="G1687" s="67"/>
      <c r="H1687" s="60"/>
      <c r="I1687" s="60"/>
      <c r="J1687" s="61"/>
      <c r="K1687" s="61"/>
      <c r="L1687" s="60"/>
      <c r="M1687" s="74" t="str">
        <f t="shared" si="211"/>
        <v/>
      </c>
      <c r="N1687" s="74" t="str">
        <f t="shared" si="212"/>
        <v/>
      </c>
      <c r="O1687" s="73" t="str">
        <f t="shared" si="213"/>
        <v/>
      </c>
      <c r="P1687" s="65" t="str">
        <f t="shared" ca="1" si="214"/>
        <v/>
      </c>
      <c r="Q1687" s="2"/>
      <c r="R1687" s="2"/>
      <c r="S1687" s="1" t="str">
        <f t="shared" si="215"/>
        <v/>
      </c>
      <c r="T1687" s="1" t="str">
        <f>IF(OR($C1687="",$D1687&lt;&gt;"Gelir",$L1687=""),"",IFERROR(INDEX(MUSTERILER!$B$7:$B$156,MATCH($S1687,MUSTERILER!$T$7:$T$156,0)),""))</f>
        <v/>
      </c>
      <c r="U1687" s="1" t="str">
        <f>IF($T1687="","",$T1687&amp;"|"&amp;COUNTIFS($T$7:$T1687,$T1687))</f>
        <v/>
      </c>
      <c r="V1687" s="1">
        <f t="shared" si="216"/>
        <v>0</v>
      </c>
      <c r="W1687" s="1" t="str">
        <f t="shared" si="217"/>
        <v/>
      </c>
      <c r="X1687" s="1"/>
      <c r="Y1687" s="1"/>
      <c r="Z1687" s="1"/>
      <c r="AA1687" s="1"/>
      <c r="AB1687" s="1"/>
      <c r="AC1687" s="1"/>
      <c r="AD1687" s="1">
        <f>IF($C1687="",0,SUMPRODUCT((AY_SONU!$O$7:$O$42="Evet")*(AY_SONU!$B$7:$B$42=DATE(YEAR($C1687),MONTH($C1687),1))))</f>
        <v>0</v>
      </c>
      <c r="AE1687" s="1" t="str">
        <f>IF($E1687="","",$E1687&amp;"|"&amp;COUNTIFS($E$7:$E1687,$E1687))</f>
        <v/>
      </c>
    </row>
    <row r="1688" spans="1:31" ht="18" customHeight="1" x14ac:dyDescent="0.3">
      <c r="A1688" s="2"/>
      <c r="B1688" s="65" t="str">
        <f t="shared" si="210"/>
        <v/>
      </c>
      <c r="C1688" s="66"/>
      <c r="D1688" s="60"/>
      <c r="E1688" s="61"/>
      <c r="F1688" s="61"/>
      <c r="G1688" s="67"/>
      <c r="H1688" s="60"/>
      <c r="I1688" s="60"/>
      <c r="J1688" s="61"/>
      <c r="K1688" s="61"/>
      <c r="L1688" s="60"/>
      <c r="M1688" s="74" t="str">
        <f t="shared" si="211"/>
        <v/>
      </c>
      <c r="N1688" s="74" t="str">
        <f t="shared" si="212"/>
        <v/>
      </c>
      <c r="O1688" s="73" t="str">
        <f t="shared" si="213"/>
        <v/>
      </c>
      <c r="P1688" s="65" t="str">
        <f t="shared" ca="1" si="214"/>
        <v/>
      </c>
      <c r="Q1688" s="2"/>
      <c r="R1688" s="2"/>
      <c r="S1688" s="1" t="str">
        <f t="shared" si="215"/>
        <v/>
      </c>
      <c r="T1688" s="1" t="str">
        <f>IF(OR($C1688="",$D1688&lt;&gt;"Gelir",$L1688=""),"",IFERROR(INDEX(MUSTERILER!$B$7:$B$156,MATCH($S1688,MUSTERILER!$T$7:$T$156,0)),""))</f>
        <v/>
      </c>
      <c r="U1688" s="1" t="str">
        <f>IF($T1688="","",$T1688&amp;"|"&amp;COUNTIFS($T$7:$T1688,$T1688))</f>
        <v/>
      </c>
      <c r="V1688" s="1">
        <f t="shared" si="216"/>
        <v>0</v>
      </c>
      <c r="W1688" s="1" t="str">
        <f t="shared" si="217"/>
        <v/>
      </c>
      <c r="X1688" s="1"/>
      <c r="Y1688" s="1"/>
      <c r="Z1688" s="1"/>
      <c r="AA1688" s="1"/>
      <c r="AB1688" s="1"/>
      <c r="AC1688" s="1"/>
      <c r="AD1688" s="1">
        <f>IF($C1688="",0,SUMPRODUCT((AY_SONU!$O$7:$O$42="Evet")*(AY_SONU!$B$7:$B$42=DATE(YEAR($C1688),MONTH($C1688),1))))</f>
        <v>0</v>
      </c>
      <c r="AE1688" s="1" t="str">
        <f>IF($E1688="","",$E1688&amp;"|"&amp;COUNTIFS($E$7:$E1688,$E1688))</f>
        <v/>
      </c>
    </row>
    <row r="1689" spans="1:31" ht="18" customHeight="1" x14ac:dyDescent="0.3">
      <c r="A1689" s="2"/>
      <c r="B1689" s="65" t="str">
        <f t="shared" si="210"/>
        <v/>
      </c>
      <c r="C1689" s="66"/>
      <c r="D1689" s="60"/>
      <c r="E1689" s="61"/>
      <c r="F1689" s="61"/>
      <c r="G1689" s="67"/>
      <c r="H1689" s="60"/>
      <c r="I1689" s="60"/>
      <c r="J1689" s="61"/>
      <c r="K1689" s="61"/>
      <c r="L1689" s="60"/>
      <c r="M1689" s="74" t="str">
        <f t="shared" si="211"/>
        <v/>
      </c>
      <c r="N1689" s="74" t="str">
        <f t="shared" si="212"/>
        <v/>
      </c>
      <c r="O1689" s="73" t="str">
        <f t="shared" si="213"/>
        <v/>
      </c>
      <c r="P1689" s="65" t="str">
        <f t="shared" ca="1" si="214"/>
        <v/>
      </c>
      <c r="Q1689" s="2"/>
      <c r="R1689" s="2"/>
      <c r="S1689" s="1" t="str">
        <f t="shared" si="215"/>
        <v/>
      </c>
      <c r="T1689" s="1" t="str">
        <f>IF(OR($C1689="",$D1689&lt;&gt;"Gelir",$L1689=""),"",IFERROR(INDEX(MUSTERILER!$B$7:$B$156,MATCH($S1689,MUSTERILER!$T$7:$T$156,0)),""))</f>
        <v/>
      </c>
      <c r="U1689" s="1" t="str">
        <f>IF($T1689="","",$T1689&amp;"|"&amp;COUNTIFS($T$7:$T1689,$T1689))</f>
        <v/>
      </c>
      <c r="V1689" s="1">
        <f t="shared" si="216"/>
        <v>0</v>
      </c>
      <c r="W1689" s="1" t="str">
        <f t="shared" si="217"/>
        <v/>
      </c>
      <c r="X1689" s="1"/>
      <c r="Y1689" s="1"/>
      <c r="Z1689" s="1"/>
      <c r="AA1689" s="1"/>
      <c r="AB1689" s="1"/>
      <c r="AC1689" s="1"/>
      <c r="AD1689" s="1">
        <f>IF($C1689="",0,SUMPRODUCT((AY_SONU!$O$7:$O$42="Evet")*(AY_SONU!$B$7:$B$42=DATE(YEAR($C1689),MONTH($C1689),1))))</f>
        <v>0</v>
      </c>
      <c r="AE1689" s="1" t="str">
        <f>IF($E1689="","",$E1689&amp;"|"&amp;COUNTIFS($E$7:$E1689,$E1689))</f>
        <v/>
      </c>
    </row>
    <row r="1690" spans="1:31" ht="18" customHeight="1" x14ac:dyDescent="0.3">
      <c r="A1690" s="2"/>
      <c r="B1690" s="65" t="str">
        <f t="shared" si="210"/>
        <v/>
      </c>
      <c r="C1690" s="66"/>
      <c r="D1690" s="60"/>
      <c r="E1690" s="61"/>
      <c r="F1690" s="61"/>
      <c r="G1690" s="67"/>
      <c r="H1690" s="60"/>
      <c r="I1690" s="60"/>
      <c r="J1690" s="61"/>
      <c r="K1690" s="61"/>
      <c r="L1690" s="60"/>
      <c r="M1690" s="74" t="str">
        <f t="shared" si="211"/>
        <v/>
      </c>
      <c r="N1690" s="74" t="str">
        <f t="shared" si="212"/>
        <v/>
      </c>
      <c r="O1690" s="73" t="str">
        <f t="shared" si="213"/>
        <v/>
      </c>
      <c r="P1690" s="65" t="str">
        <f t="shared" ca="1" si="214"/>
        <v/>
      </c>
      <c r="Q1690" s="2"/>
      <c r="R1690" s="2"/>
      <c r="S1690" s="1" t="str">
        <f t="shared" si="215"/>
        <v/>
      </c>
      <c r="T1690" s="1" t="str">
        <f>IF(OR($C1690="",$D1690&lt;&gt;"Gelir",$L1690=""),"",IFERROR(INDEX(MUSTERILER!$B$7:$B$156,MATCH($S1690,MUSTERILER!$T$7:$T$156,0)),""))</f>
        <v/>
      </c>
      <c r="U1690" s="1" t="str">
        <f>IF($T1690="","",$T1690&amp;"|"&amp;COUNTIFS($T$7:$T1690,$T1690))</f>
        <v/>
      </c>
      <c r="V1690" s="1">
        <f t="shared" si="216"/>
        <v>0</v>
      </c>
      <c r="W1690" s="1" t="str">
        <f t="shared" si="217"/>
        <v/>
      </c>
      <c r="X1690" s="1"/>
      <c r="Y1690" s="1"/>
      <c r="Z1690" s="1"/>
      <c r="AA1690" s="1"/>
      <c r="AB1690" s="1"/>
      <c r="AC1690" s="1"/>
      <c r="AD1690" s="1">
        <f>IF($C1690="",0,SUMPRODUCT((AY_SONU!$O$7:$O$42="Evet")*(AY_SONU!$B$7:$B$42=DATE(YEAR($C1690),MONTH($C1690),1))))</f>
        <v>0</v>
      </c>
      <c r="AE1690" s="1" t="str">
        <f>IF($E1690="","",$E1690&amp;"|"&amp;COUNTIFS($E$7:$E1690,$E1690))</f>
        <v/>
      </c>
    </row>
    <row r="1691" spans="1:31" ht="18" customHeight="1" x14ac:dyDescent="0.3">
      <c r="A1691" s="2"/>
      <c r="B1691" s="65" t="str">
        <f t="shared" si="210"/>
        <v/>
      </c>
      <c r="C1691" s="66"/>
      <c r="D1691" s="60"/>
      <c r="E1691" s="61"/>
      <c r="F1691" s="61"/>
      <c r="G1691" s="67"/>
      <c r="H1691" s="60"/>
      <c r="I1691" s="60"/>
      <c r="J1691" s="61"/>
      <c r="K1691" s="61"/>
      <c r="L1691" s="60"/>
      <c r="M1691" s="74" t="str">
        <f t="shared" si="211"/>
        <v/>
      </c>
      <c r="N1691" s="74" t="str">
        <f t="shared" si="212"/>
        <v/>
      </c>
      <c r="O1691" s="73" t="str">
        <f t="shared" si="213"/>
        <v/>
      </c>
      <c r="P1691" s="65" t="str">
        <f t="shared" ca="1" si="214"/>
        <v/>
      </c>
      <c r="Q1691" s="2"/>
      <c r="R1691" s="2"/>
      <c r="S1691" s="1" t="str">
        <f t="shared" si="215"/>
        <v/>
      </c>
      <c r="T1691" s="1" t="str">
        <f>IF(OR($C1691="",$D1691&lt;&gt;"Gelir",$L1691=""),"",IFERROR(INDEX(MUSTERILER!$B$7:$B$156,MATCH($S1691,MUSTERILER!$T$7:$T$156,0)),""))</f>
        <v/>
      </c>
      <c r="U1691" s="1" t="str">
        <f>IF($T1691="","",$T1691&amp;"|"&amp;COUNTIFS($T$7:$T1691,$T1691))</f>
        <v/>
      </c>
      <c r="V1691" s="1">
        <f t="shared" si="216"/>
        <v>0</v>
      </c>
      <c r="W1691" s="1" t="str">
        <f t="shared" si="217"/>
        <v/>
      </c>
      <c r="X1691" s="1"/>
      <c r="Y1691" s="1"/>
      <c r="Z1691" s="1"/>
      <c r="AA1691" s="1"/>
      <c r="AB1691" s="1"/>
      <c r="AC1691" s="1"/>
      <c r="AD1691" s="1">
        <f>IF($C1691="",0,SUMPRODUCT((AY_SONU!$O$7:$O$42="Evet")*(AY_SONU!$B$7:$B$42=DATE(YEAR($C1691),MONTH($C1691),1))))</f>
        <v>0</v>
      </c>
      <c r="AE1691" s="1" t="str">
        <f>IF($E1691="","",$E1691&amp;"|"&amp;COUNTIFS($E$7:$E1691,$E1691))</f>
        <v/>
      </c>
    </row>
    <row r="1692" spans="1:31" ht="18" customHeight="1" x14ac:dyDescent="0.3">
      <c r="A1692" s="2"/>
      <c r="B1692" s="65" t="str">
        <f t="shared" si="210"/>
        <v/>
      </c>
      <c r="C1692" s="66"/>
      <c r="D1692" s="60"/>
      <c r="E1692" s="61"/>
      <c r="F1692" s="61"/>
      <c r="G1692" s="67"/>
      <c r="H1692" s="60"/>
      <c r="I1692" s="60"/>
      <c r="J1692" s="61"/>
      <c r="K1692" s="61"/>
      <c r="L1692" s="60"/>
      <c r="M1692" s="74" t="str">
        <f t="shared" si="211"/>
        <v/>
      </c>
      <c r="N1692" s="74" t="str">
        <f t="shared" si="212"/>
        <v/>
      </c>
      <c r="O1692" s="73" t="str">
        <f t="shared" si="213"/>
        <v/>
      </c>
      <c r="P1692" s="65" t="str">
        <f t="shared" ca="1" si="214"/>
        <v/>
      </c>
      <c r="Q1692" s="2"/>
      <c r="R1692" s="2"/>
      <c r="S1692" s="1" t="str">
        <f t="shared" si="215"/>
        <v/>
      </c>
      <c r="T1692" s="1" t="str">
        <f>IF(OR($C1692="",$D1692&lt;&gt;"Gelir",$L1692=""),"",IFERROR(INDEX(MUSTERILER!$B$7:$B$156,MATCH($S1692,MUSTERILER!$T$7:$T$156,0)),""))</f>
        <v/>
      </c>
      <c r="U1692" s="1" t="str">
        <f>IF($T1692="","",$T1692&amp;"|"&amp;COUNTIFS($T$7:$T1692,$T1692))</f>
        <v/>
      </c>
      <c r="V1692" s="1">
        <f t="shared" si="216"/>
        <v>0</v>
      </c>
      <c r="W1692" s="1" t="str">
        <f t="shared" si="217"/>
        <v/>
      </c>
      <c r="X1692" s="1"/>
      <c r="Y1692" s="1"/>
      <c r="Z1692" s="1"/>
      <c r="AA1692" s="1"/>
      <c r="AB1692" s="1"/>
      <c r="AC1692" s="1"/>
      <c r="AD1692" s="1">
        <f>IF($C1692="",0,SUMPRODUCT((AY_SONU!$O$7:$O$42="Evet")*(AY_SONU!$B$7:$B$42=DATE(YEAR($C1692),MONTH($C1692),1))))</f>
        <v>0</v>
      </c>
      <c r="AE1692" s="1" t="str">
        <f>IF($E1692="","",$E1692&amp;"|"&amp;COUNTIFS($E$7:$E1692,$E1692))</f>
        <v/>
      </c>
    </row>
    <row r="1693" spans="1:31" ht="18" customHeight="1" x14ac:dyDescent="0.3">
      <c r="A1693" s="2"/>
      <c r="B1693" s="65" t="str">
        <f t="shared" si="210"/>
        <v/>
      </c>
      <c r="C1693" s="66"/>
      <c r="D1693" s="60"/>
      <c r="E1693" s="61"/>
      <c r="F1693" s="61"/>
      <c r="G1693" s="67"/>
      <c r="H1693" s="60"/>
      <c r="I1693" s="60"/>
      <c r="J1693" s="61"/>
      <c r="K1693" s="61"/>
      <c r="L1693" s="60"/>
      <c r="M1693" s="74" t="str">
        <f t="shared" si="211"/>
        <v/>
      </c>
      <c r="N1693" s="74" t="str">
        <f t="shared" si="212"/>
        <v/>
      </c>
      <c r="O1693" s="73" t="str">
        <f t="shared" si="213"/>
        <v/>
      </c>
      <c r="P1693" s="65" t="str">
        <f t="shared" ca="1" si="214"/>
        <v/>
      </c>
      <c r="Q1693" s="2"/>
      <c r="R1693" s="2"/>
      <c r="S1693" s="1" t="str">
        <f t="shared" si="215"/>
        <v/>
      </c>
      <c r="T1693" s="1" t="str">
        <f>IF(OR($C1693="",$D1693&lt;&gt;"Gelir",$L1693=""),"",IFERROR(INDEX(MUSTERILER!$B$7:$B$156,MATCH($S1693,MUSTERILER!$T$7:$T$156,0)),""))</f>
        <v/>
      </c>
      <c r="U1693" s="1" t="str">
        <f>IF($T1693="","",$T1693&amp;"|"&amp;COUNTIFS($T$7:$T1693,$T1693))</f>
        <v/>
      </c>
      <c r="V1693" s="1">
        <f t="shared" si="216"/>
        <v>0</v>
      </c>
      <c r="W1693" s="1" t="str">
        <f t="shared" si="217"/>
        <v/>
      </c>
      <c r="X1693" s="1"/>
      <c r="Y1693" s="1"/>
      <c r="Z1693" s="1"/>
      <c r="AA1693" s="1"/>
      <c r="AB1693" s="1"/>
      <c r="AC1693" s="1"/>
      <c r="AD1693" s="1">
        <f>IF($C1693="",0,SUMPRODUCT((AY_SONU!$O$7:$O$42="Evet")*(AY_SONU!$B$7:$B$42=DATE(YEAR($C1693),MONTH($C1693),1))))</f>
        <v>0</v>
      </c>
      <c r="AE1693" s="1" t="str">
        <f>IF($E1693="","",$E1693&amp;"|"&amp;COUNTIFS($E$7:$E1693,$E1693))</f>
        <v/>
      </c>
    </row>
    <row r="1694" spans="1:31" ht="18" customHeight="1" x14ac:dyDescent="0.3">
      <c r="A1694" s="2"/>
      <c r="B1694" s="65" t="str">
        <f t="shared" si="210"/>
        <v/>
      </c>
      <c r="C1694" s="66"/>
      <c r="D1694" s="60"/>
      <c r="E1694" s="61"/>
      <c r="F1694" s="61"/>
      <c r="G1694" s="67"/>
      <c r="H1694" s="60"/>
      <c r="I1694" s="60"/>
      <c r="J1694" s="61"/>
      <c r="K1694" s="61"/>
      <c r="L1694" s="60"/>
      <c r="M1694" s="74" t="str">
        <f t="shared" si="211"/>
        <v/>
      </c>
      <c r="N1694" s="74" t="str">
        <f t="shared" si="212"/>
        <v/>
      </c>
      <c r="O1694" s="73" t="str">
        <f t="shared" si="213"/>
        <v/>
      </c>
      <c r="P1694" s="65" t="str">
        <f t="shared" ca="1" si="214"/>
        <v/>
      </c>
      <c r="Q1694" s="2"/>
      <c r="R1694" s="2"/>
      <c r="S1694" s="1" t="str">
        <f t="shared" si="215"/>
        <v/>
      </c>
      <c r="T1694" s="1" t="str">
        <f>IF(OR($C1694="",$D1694&lt;&gt;"Gelir",$L1694=""),"",IFERROR(INDEX(MUSTERILER!$B$7:$B$156,MATCH($S1694,MUSTERILER!$T$7:$T$156,0)),""))</f>
        <v/>
      </c>
      <c r="U1694" s="1" t="str">
        <f>IF($T1694="","",$T1694&amp;"|"&amp;COUNTIFS($T$7:$T1694,$T1694))</f>
        <v/>
      </c>
      <c r="V1694" s="1">
        <f t="shared" si="216"/>
        <v>0</v>
      </c>
      <c r="W1694" s="1" t="str">
        <f t="shared" si="217"/>
        <v/>
      </c>
      <c r="X1694" s="1"/>
      <c r="Y1694" s="1"/>
      <c r="Z1694" s="1"/>
      <c r="AA1694" s="1"/>
      <c r="AB1694" s="1"/>
      <c r="AC1694" s="1"/>
      <c r="AD1694" s="1">
        <f>IF($C1694="",0,SUMPRODUCT((AY_SONU!$O$7:$O$42="Evet")*(AY_SONU!$B$7:$B$42=DATE(YEAR($C1694),MONTH($C1694),1))))</f>
        <v>0</v>
      </c>
      <c r="AE1694" s="1" t="str">
        <f>IF($E1694="","",$E1694&amp;"|"&amp;COUNTIFS($E$7:$E1694,$E1694))</f>
        <v/>
      </c>
    </row>
    <row r="1695" spans="1:31" ht="18" customHeight="1" x14ac:dyDescent="0.3">
      <c r="A1695" s="2"/>
      <c r="B1695" s="65" t="str">
        <f t="shared" si="210"/>
        <v/>
      </c>
      <c r="C1695" s="66"/>
      <c r="D1695" s="60"/>
      <c r="E1695" s="61"/>
      <c r="F1695" s="61"/>
      <c r="G1695" s="67"/>
      <c r="H1695" s="60"/>
      <c r="I1695" s="60"/>
      <c r="J1695" s="61"/>
      <c r="K1695" s="61"/>
      <c r="L1695" s="60"/>
      <c r="M1695" s="74" t="str">
        <f t="shared" si="211"/>
        <v/>
      </c>
      <c r="N1695" s="74" t="str">
        <f t="shared" si="212"/>
        <v/>
      </c>
      <c r="O1695" s="73" t="str">
        <f t="shared" si="213"/>
        <v/>
      </c>
      <c r="P1695" s="65" t="str">
        <f t="shared" ca="1" si="214"/>
        <v/>
      </c>
      <c r="Q1695" s="2"/>
      <c r="R1695" s="2"/>
      <c r="S1695" s="1" t="str">
        <f t="shared" si="215"/>
        <v/>
      </c>
      <c r="T1695" s="1" t="str">
        <f>IF(OR($C1695="",$D1695&lt;&gt;"Gelir",$L1695=""),"",IFERROR(INDEX(MUSTERILER!$B$7:$B$156,MATCH($S1695,MUSTERILER!$T$7:$T$156,0)),""))</f>
        <v/>
      </c>
      <c r="U1695" s="1" t="str">
        <f>IF($T1695="","",$T1695&amp;"|"&amp;COUNTIFS($T$7:$T1695,$T1695))</f>
        <v/>
      </c>
      <c r="V1695" s="1">
        <f t="shared" si="216"/>
        <v>0</v>
      </c>
      <c r="W1695" s="1" t="str">
        <f t="shared" si="217"/>
        <v/>
      </c>
      <c r="X1695" s="1"/>
      <c r="Y1695" s="1"/>
      <c r="Z1695" s="1"/>
      <c r="AA1695" s="1"/>
      <c r="AB1695" s="1"/>
      <c r="AC1695" s="1"/>
      <c r="AD1695" s="1">
        <f>IF($C1695="",0,SUMPRODUCT((AY_SONU!$O$7:$O$42="Evet")*(AY_SONU!$B$7:$B$42=DATE(YEAR($C1695),MONTH($C1695),1))))</f>
        <v>0</v>
      </c>
      <c r="AE1695" s="1" t="str">
        <f>IF($E1695="","",$E1695&amp;"|"&amp;COUNTIFS($E$7:$E1695,$E1695))</f>
        <v/>
      </c>
    </row>
    <row r="1696" spans="1:31" ht="18" customHeight="1" x14ac:dyDescent="0.3">
      <c r="A1696" s="2"/>
      <c r="B1696" s="65" t="str">
        <f t="shared" si="210"/>
        <v/>
      </c>
      <c r="C1696" s="66"/>
      <c r="D1696" s="60"/>
      <c r="E1696" s="61"/>
      <c r="F1696" s="61"/>
      <c r="G1696" s="67"/>
      <c r="H1696" s="60"/>
      <c r="I1696" s="60"/>
      <c r="J1696" s="61"/>
      <c r="K1696" s="61"/>
      <c r="L1696" s="60"/>
      <c r="M1696" s="74" t="str">
        <f t="shared" si="211"/>
        <v/>
      </c>
      <c r="N1696" s="74" t="str">
        <f t="shared" si="212"/>
        <v/>
      </c>
      <c r="O1696" s="73" t="str">
        <f t="shared" si="213"/>
        <v/>
      </c>
      <c r="P1696" s="65" t="str">
        <f t="shared" ca="1" si="214"/>
        <v/>
      </c>
      <c r="Q1696" s="2"/>
      <c r="R1696" s="2"/>
      <c r="S1696" s="1" t="str">
        <f t="shared" si="215"/>
        <v/>
      </c>
      <c r="T1696" s="1" t="str">
        <f>IF(OR($C1696="",$D1696&lt;&gt;"Gelir",$L1696=""),"",IFERROR(INDEX(MUSTERILER!$B$7:$B$156,MATCH($S1696,MUSTERILER!$T$7:$T$156,0)),""))</f>
        <v/>
      </c>
      <c r="U1696" s="1" t="str">
        <f>IF($T1696="","",$T1696&amp;"|"&amp;COUNTIFS($T$7:$T1696,$T1696))</f>
        <v/>
      </c>
      <c r="V1696" s="1">
        <f t="shared" si="216"/>
        <v>0</v>
      </c>
      <c r="W1696" s="1" t="str">
        <f t="shared" si="217"/>
        <v/>
      </c>
      <c r="X1696" s="1"/>
      <c r="Y1696" s="1"/>
      <c r="Z1696" s="1"/>
      <c r="AA1696" s="1"/>
      <c r="AB1696" s="1"/>
      <c r="AC1696" s="1"/>
      <c r="AD1696" s="1">
        <f>IF($C1696="",0,SUMPRODUCT((AY_SONU!$O$7:$O$42="Evet")*(AY_SONU!$B$7:$B$42=DATE(YEAR($C1696),MONTH($C1696),1))))</f>
        <v>0</v>
      </c>
      <c r="AE1696" s="1" t="str">
        <f>IF($E1696="","",$E1696&amp;"|"&amp;COUNTIFS($E$7:$E1696,$E1696))</f>
        <v/>
      </c>
    </row>
    <row r="1697" spans="1:31" ht="18" customHeight="1" x14ac:dyDescent="0.3">
      <c r="A1697" s="2"/>
      <c r="B1697" s="65" t="str">
        <f t="shared" si="210"/>
        <v/>
      </c>
      <c r="C1697" s="66"/>
      <c r="D1697" s="60"/>
      <c r="E1697" s="61"/>
      <c r="F1697" s="61"/>
      <c r="G1697" s="67"/>
      <c r="H1697" s="60"/>
      <c r="I1697" s="60"/>
      <c r="J1697" s="61"/>
      <c r="K1697" s="61"/>
      <c r="L1697" s="60"/>
      <c r="M1697" s="74" t="str">
        <f t="shared" si="211"/>
        <v/>
      </c>
      <c r="N1697" s="74" t="str">
        <f t="shared" si="212"/>
        <v/>
      </c>
      <c r="O1697" s="73" t="str">
        <f t="shared" si="213"/>
        <v/>
      </c>
      <c r="P1697" s="65" t="str">
        <f t="shared" ca="1" si="214"/>
        <v/>
      </c>
      <c r="Q1697" s="2"/>
      <c r="R1697" s="2"/>
      <c r="S1697" s="1" t="str">
        <f t="shared" si="215"/>
        <v/>
      </c>
      <c r="T1697" s="1" t="str">
        <f>IF(OR($C1697="",$D1697&lt;&gt;"Gelir",$L1697=""),"",IFERROR(INDEX(MUSTERILER!$B$7:$B$156,MATCH($S1697,MUSTERILER!$T$7:$T$156,0)),""))</f>
        <v/>
      </c>
      <c r="U1697" s="1" t="str">
        <f>IF($T1697="","",$T1697&amp;"|"&amp;COUNTIFS($T$7:$T1697,$T1697))</f>
        <v/>
      </c>
      <c r="V1697" s="1">
        <f t="shared" si="216"/>
        <v>0</v>
      </c>
      <c r="W1697" s="1" t="str">
        <f t="shared" si="217"/>
        <v/>
      </c>
      <c r="X1697" s="1"/>
      <c r="Y1697" s="1"/>
      <c r="Z1697" s="1"/>
      <c r="AA1697" s="1"/>
      <c r="AB1697" s="1"/>
      <c r="AC1697" s="1"/>
      <c r="AD1697" s="1">
        <f>IF($C1697="",0,SUMPRODUCT((AY_SONU!$O$7:$O$42="Evet")*(AY_SONU!$B$7:$B$42=DATE(YEAR($C1697),MONTH($C1697),1))))</f>
        <v>0</v>
      </c>
      <c r="AE1697" s="1" t="str">
        <f>IF($E1697="","",$E1697&amp;"|"&amp;COUNTIFS($E$7:$E1697,$E1697))</f>
        <v/>
      </c>
    </row>
    <row r="1698" spans="1:31" ht="18" customHeight="1" x14ac:dyDescent="0.3">
      <c r="A1698" s="2"/>
      <c r="B1698" s="65" t="str">
        <f t="shared" si="210"/>
        <v/>
      </c>
      <c r="C1698" s="66"/>
      <c r="D1698" s="60"/>
      <c r="E1698" s="61"/>
      <c r="F1698" s="61"/>
      <c r="G1698" s="67"/>
      <c r="H1698" s="60"/>
      <c r="I1698" s="60"/>
      <c r="J1698" s="61"/>
      <c r="K1698" s="61"/>
      <c r="L1698" s="60"/>
      <c r="M1698" s="74" t="str">
        <f t="shared" si="211"/>
        <v/>
      </c>
      <c r="N1698" s="74" t="str">
        <f t="shared" si="212"/>
        <v/>
      </c>
      <c r="O1698" s="73" t="str">
        <f t="shared" si="213"/>
        <v/>
      </c>
      <c r="P1698" s="65" t="str">
        <f t="shared" ca="1" si="214"/>
        <v/>
      </c>
      <c r="Q1698" s="2"/>
      <c r="R1698" s="2"/>
      <c r="S1698" s="1" t="str">
        <f t="shared" si="215"/>
        <v/>
      </c>
      <c r="T1698" s="1" t="str">
        <f>IF(OR($C1698="",$D1698&lt;&gt;"Gelir",$L1698=""),"",IFERROR(INDEX(MUSTERILER!$B$7:$B$156,MATCH($S1698,MUSTERILER!$T$7:$T$156,0)),""))</f>
        <v/>
      </c>
      <c r="U1698" s="1" t="str">
        <f>IF($T1698="","",$T1698&amp;"|"&amp;COUNTIFS($T$7:$T1698,$T1698))</f>
        <v/>
      </c>
      <c r="V1698" s="1">
        <f t="shared" si="216"/>
        <v>0</v>
      </c>
      <c r="W1698" s="1" t="str">
        <f t="shared" si="217"/>
        <v/>
      </c>
      <c r="X1698" s="1"/>
      <c r="Y1698" s="1"/>
      <c r="Z1698" s="1"/>
      <c r="AA1698" s="1"/>
      <c r="AB1698" s="1"/>
      <c r="AC1698" s="1"/>
      <c r="AD1698" s="1">
        <f>IF($C1698="",0,SUMPRODUCT((AY_SONU!$O$7:$O$42="Evet")*(AY_SONU!$B$7:$B$42=DATE(YEAR($C1698),MONTH($C1698),1))))</f>
        <v>0</v>
      </c>
      <c r="AE1698" s="1" t="str">
        <f>IF($E1698="","",$E1698&amp;"|"&amp;COUNTIFS($E$7:$E1698,$E1698))</f>
        <v/>
      </c>
    </row>
    <row r="1699" spans="1:31" ht="18" customHeight="1" x14ac:dyDescent="0.3">
      <c r="A1699" s="2"/>
      <c r="B1699" s="65" t="str">
        <f t="shared" si="210"/>
        <v/>
      </c>
      <c r="C1699" s="66"/>
      <c r="D1699" s="60"/>
      <c r="E1699" s="61"/>
      <c r="F1699" s="61"/>
      <c r="G1699" s="67"/>
      <c r="H1699" s="60"/>
      <c r="I1699" s="60"/>
      <c r="J1699" s="61"/>
      <c r="K1699" s="61"/>
      <c r="L1699" s="60"/>
      <c r="M1699" s="74" t="str">
        <f t="shared" si="211"/>
        <v/>
      </c>
      <c r="N1699" s="74" t="str">
        <f t="shared" si="212"/>
        <v/>
      </c>
      <c r="O1699" s="73" t="str">
        <f t="shared" si="213"/>
        <v/>
      </c>
      <c r="P1699" s="65" t="str">
        <f t="shared" ca="1" si="214"/>
        <v/>
      </c>
      <c r="Q1699" s="2"/>
      <c r="R1699" s="2"/>
      <c r="S1699" s="1" t="str">
        <f t="shared" si="215"/>
        <v/>
      </c>
      <c r="T1699" s="1" t="str">
        <f>IF(OR($C1699="",$D1699&lt;&gt;"Gelir",$L1699=""),"",IFERROR(INDEX(MUSTERILER!$B$7:$B$156,MATCH($S1699,MUSTERILER!$T$7:$T$156,0)),""))</f>
        <v/>
      </c>
      <c r="U1699" s="1" t="str">
        <f>IF($T1699="","",$T1699&amp;"|"&amp;COUNTIFS($T$7:$T1699,$T1699))</f>
        <v/>
      </c>
      <c r="V1699" s="1">
        <f t="shared" si="216"/>
        <v>0</v>
      </c>
      <c r="W1699" s="1" t="str">
        <f t="shared" si="217"/>
        <v/>
      </c>
      <c r="X1699" s="1"/>
      <c r="Y1699" s="1"/>
      <c r="Z1699" s="1"/>
      <c r="AA1699" s="1"/>
      <c r="AB1699" s="1"/>
      <c r="AC1699" s="1"/>
      <c r="AD1699" s="1">
        <f>IF($C1699="",0,SUMPRODUCT((AY_SONU!$O$7:$O$42="Evet")*(AY_SONU!$B$7:$B$42=DATE(YEAR($C1699),MONTH($C1699),1))))</f>
        <v>0</v>
      </c>
      <c r="AE1699" s="1" t="str">
        <f>IF($E1699="","",$E1699&amp;"|"&amp;COUNTIFS($E$7:$E1699,$E1699))</f>
        <v/>
      </c>
    </row>
    <row r="1700" spans="1:31" ht="18" customHeight="1" x14ac:dyDescent="0.3">
      <c r="A1700" s="2"/>
      <c r="B1700" s="65" t="str">
        <f t="shared" si="210"/>
        <v/>
      </c>
      <c r="C1700" s="66"/>
      <c r="D1700" s="60"/>
      <c r="E1700" s="61"/>
      <c r="F1700" s="61"/>
      <c r="G1700" s="67"/>
      <c r="H1700" s="60"/>
      <c r="I1700" s="60"/>
      <c r="J1700" s="61"/>
      <c r="K1700" s="61"/>
      <c r="L1700" s="60"/>
      <c r="M1700" s="74" t="str">
        <f t="shared" si="211"/>
        <v/>
      </c>
      <c r="N1700" s="74" t="str">
        <f t="shared" si="212"/>
        <v/>
      </c>
      <c r="O1700" s="73" t="str">
        <f t="shared" si="213"/>
        <v/>
      </c>
      <c r="P1700" s="65" t="str">
        <f t="shared" ca="1" si="214"/>
        <v/>
      </c>
      <c r="Q1700" s="2"/>
      <c r="R1700" s="2"/>
      <c r="S1700" s="1" t="str">
        <f t="shared" si="215"/>
        <v/>
      </c>
      <c r="T1700" s="1" t="str">
        <f>IF(OR($C1700="",$D1700&lt;&gt;"Gelir",$L1700=""),"",IFERROR(INDEX(MUSTERILER!$B$7:$B$156,MATCH($S1700,MUSTERILER!$T$7:$T$156,0)),""))</f>
        <v/>
      </c>
      <c r="U1700" s="1" t="str">
        <f>IF($T1700="","",$T1700&amp;"|"&amp;COUNTIFS($T$7:$T1700,$T1700))</f>
        <v/>
      </c>
      <c r="V1700" s="1">
        <f t="shared" si="216"/>
        <v>0</v>
      </c>
      <c r="W1700" s="1" t="str">
        <f t="shared" si="217"/>
        <v/>
      </c>
      <c r="X1700" s="1"/>
      <c r="Y1700" s="1"/>
      <c r="Z1700" s="1"/>
      <c r="AA1700" s="1"/>
      <c r="AB1700" s="1"/>
      <c r="AC1700" s="1"/>
      <c r="AD1700" s="1">
        <f>IF($C1700="",0,SUMPRODUCT((AY_SONU!$O$7:$O$42="Evet")*(AY_SONU!$B$7:$B$42=DATE(YEAR($C1700),MONTH($C1700),1))))</f>
        <v>0</v>
      </c>
      <c r="AE1700" s="1" t="str">
        <f>IF($E1700="","",$E1700&amp;"|"&amp;COUNTIFS($E$7:$E1700,$E1700))</f>
        <v/>
      </c>
    </row>
    <row r="1701" spans="1:31" ht="18" customHeight="1" x14ac:dyDescent="0.3">
      <c r="A1701" s="2"/>
      <c r="B1701" s="65" t="str">
        <f t="shared" si="210"/>
        <v/>
      </c>
      <c r="C1701" s="66"/>
      <c r="D1701" s="60"/>
      <c r="E1701" s="61"/>
      <c r="F1701" s="61"/>
      <c r="G1701" s="67"/>
      <c r="H1701" s="60"/>
      <c r="I1701" s="60"/>
      <c r="J1701" s="61"/>
      <c r="K1701" s="61"/>
      <c r="L1701" s="60"/>
      <c r="M1701" s="74" t="str">
        <f t="shared" si="211"/>
        <v/>
      </c>
      <c r="N1701" s="74" t="str">
        <f t="shared" si="212"/>
        <v/>
      </c>
      <c r="O1701" s="73" t="str">
        <f t="shared" si="213"/>
        <v/>
      </c>
      <c r="P1701" s="65" t="str">
        <f t="shared" ca="1" si="214"/>
        <v/>
      </c>
      <c r="Q1701" s="2"/>
      <c r="R1701" s="2"/>
      <c r="S1701" s="1" t="str">
        <f t="shared" si="215"/>
        <v/>
      </c>
      <c r="T1701" s="1" t="str">
        <f>IF(OR($C1701="",$D1701&lt;&gt;"Gelir",$L1701=""),"",IFERROR(INDEX(MUSTERILER!$B$7:$B$156,MATCH($S1701,MUSTERILER!$T$7:$T$156,0)),""))</f>
        <v/>
      </c>
      <c r="U1701" s="1" t="str">
        <f>IF($T1701="","",$T1701&amp;"|"&amp;COUNTIFS($T$7:$T1701,$T1701))</f>
        <v/>
      </c>
      <c r="V1701" s="1">
        <f t="shared" si="216"/>
        <v>0</v>
      </c>
      <c r="W1701" s="1" t="str">
        <f t="shared" si="217"/>
        <v/>
      </c>
      <c r="X1701" s="1"/>
      <c r="Y1701" s="1"/>
      <c r="Z1701" s="1"/>
      <c r="AA1701" s="1"/>
      <c r="AB1701" s="1"/>
      <c r="AC1701" s="1"/>
      <c r="AD1701" s="1">
        <f>IF($C1701="",0,SUMPRODUCT((AY_SONU!$O$7:$O$42="Evet")*(AY_SONU!$B$7:$B$42=DATE(YEAR($C1701),MONTH($C1701),1))))</f>
        <v>0</v>
      </c>
      <c r="AE1701" s="1" t="str">
        <f>IF($E1701="","",$E1701&amp;"|"&amp;COUNTIFS($E$7:$E1701,$E1701))</f>
        <v/>
      </c>
    </row>
    <row r="1702" spans="1:31" ht="18" customHeight="1" x14ac:dyDescent="0.3">
      <c r="A1702" s="2"/>
      <c r="B1702" s="65" t="str">
        <f t="shared" si="210"/>
        <v/>
      </c>
      <c r="C1702" s="66"/>
      <c r="D1702" s="60"/>
      <c r="E1702" s="61"/>
      <c r="F1702" s="61"/>
      <c r="G1702" s="67"/>
      <c r="H1702" s="60"/>
      <c r="I1702" s="60"/>
      <c r="J1702" s="61"/>
      <c r="K1702" s="61"/>
      <c r="L1702" s="60"/>
      <c r="M1702" s="74" t="str">
        <f t="shared" si="211"/>
        <v/>
      </c>
      <c r="N1702" s="74" t="str">
        <f t="shared" si="212"/>
        <v/>
      </c>
      <c r="O1702" s="73" t="str">
        <f t="shared" si="213"/>
        <v/>
      </c>
      <c r="P1702" s="65" t="str">
        <f t="shared" ca="1" si="214"/>
        <v/>
      </c>
      <c r="Q1702" s="2"/>
      <c r="R1702" s="2"/>
      <c r="S1702" s="1" t="str">
        <f t="shared" si="215"/>
        <v/>
      </c>
      <c r="T1702" s="1" t="str">
        <f>IF(OR($C1702="",$D1702&lt;&gt;"Gelir",$L1702=""),"",IFERROR(INDEX(MUSTERILER!$B$7:$B$156,MATCH($S1702,MUSTERILER!$T$7:$T$156,0)),""))</f>
        <v/>
      </c>
      <c r="U1702" s="1" t="str">
        <f>IF($T1702="","",$T1702&amp;"|"&amp;COUNTIFS($T$7:$T1702,$T1702))</f>
        <v/>
      </c>
      <c r="V1702" s="1">
        <f t="shared" si="216"/>
        <v>0</v>
      </c>
      <c r="W1702" s="1" t="str">
        <f t="shared" si="217"/>
        <v/>
      </c>
      <c r="X1702" s="1"/>
      <c r="Y1702" s="1"/>
      <c r="Z1702" s="1"/>
      <c r="AA1702" s="1"/>
      <c r="AB1702" s="1"/>
      <c r="AC1702" s="1"/>
      <c r="AD1702" s="1">
        <f>IF($C1702="",0,SUMPRODUCT((AY_SONU!$O$7:$O$42="Evet")*(AY_SONU!$B$7:$B$42=DATE(YEAR($C1702),MONTH($C1702),1))))</f>
        <v>0</v>
      </c>
      <c r="AE1702" s="1" t="str">
        <f>IF($E1702="","",$E1702&amp;"|"&amp;COUNTIFS($E$7:$E1702,$E1702))</f>
        <v/>
      </c>
    </row>
    <row r="1703" spans="1:31" ht="18" customHeight="1" x14ac:dyDescent="0.3">
      <c r="A1703" s="2"/>
      <c r="B1703" s="65" t="str">
        <f t="shared" si="210"/>
        <v/>
      </c>
      <c r="C1703" s="66"/>
      <c r="D1703" s="60"/>
      <c r="E1703" s="61"/>
      <c r="F1703" s="61"/>
      <c r="G1703" s="67"/>
      <c r="H1703" s="60"/>
      <c r="I1703" s="60"/>
      <c r="J1703" s="61"/>
      <c r="K1703" s="61"/>
      <c r="L1703" s="60"/>
      <c r="M1703" s="74" t="str">
        <f t="shared" si="211"/>
        <v/>
      </c>
      <c r="N1703" s="74" t="str">
        <f t="shared" si="212"/>
        <v/>
      </c>
      <c r="O1703" s="73" t="str">
        <f t="shared" si="213"/>
        <v/>
      </c>
      <c r="P1703" s="65" t="str">
        <f t="shared" ca="1" si="214"/>
        <v/>
      </c>
      <c r="Q1703" s="2"/>
      <c r="R1703" s="2"/>
      <c r="S1703" s="1" t="str">
        <f t="shared" si="215"/>
        <v/>
      </c>
      <c r="T1703" s="1" t="str">
        <f>IF(OR($C1703="",$D1703&lt;&gt;"Gelir",$L1703=""),"",IFERROR(INDEX(MUSTERILER!$B$7:$B$156,MATCH($S1703,MUSTERILER!$T$7:$T$156,0)),""))</f>
        <v/>
      </c>
      <c r="U1703" s="1" t="str">
        <f>IF($T1703="","",$T1703&amp;"|"&amp;COUNTIFS($T$7:$T1703,$T1703))</f>
        <v/>
      </c>
      <c r="V1703" s="1">
        <f t="shared" si="216"/>
        <v>0</v>
      </c>
      <c r="W1703" s="1" t="str">
        <f t="shared" si="217"/>
        <v/>
      </c>
      <c r="X1703" s="1"/>
      <c r="Y1703" s="1"/>
      <c r="Z1703" s="1"/>
      <c r="AA1703" s="1"/>
      <c r="AB1703" s="1"/>
      <c r="AC1703" s="1"/>
      <c r="AD1703" s="1">
        <f>IF($C1703="",0,SUMPRODUCT((AY_SONU!$O$7:$O$42="Evet")*(AY_SONU!$B$7:$B$42=DATE(YEAR($C1703),MONTH($C1703),1))))</f>
        <v>0</v>
      </c>
      <c r="AE1703" s="1" t="str">
        <f>IF($E1703="","",$E1703&amp;"|"&amp;COUNTIFS($E$7:$E1703,$E1703))</f>
        <v/>
      </c>
    </row>
    <row r="1704" spans="1:31" ht="18" customHeight="1" x14ac:dyDescent="0.3">
      <c r="A1704" s="2"/>
      <c r="B1704" s="65" t="str">
        <f t="shared" si="210"/>
        <v/>
      </c>
      <c r="C1704" s="66"/>
      <c r="D1704" s="60"/>
      <c r="E1704" s="61"/>
      <c r="F1704" s="61"/>
      <c r="G1704" s="67"/>
      <c r="H1704" s="60"/>
      <c r="I1704" s="60"/>
      <c r="J1704" s="61"/>
      <c r="K1704" s="61"/>
      <c r="L1704" s="60"/>
      <c r="M1704" s="74" t="str">
        <f t="shared" si="211"/>
        <v/>
      </c>
      <c r="N1704" s="74" t="str">
        <f t="shared" si="212"/>
        <v/>
      </c>
      <c r="O1704" s="73" t="str">
        <f t="shared" si="213"/>
        <v/>
      </c>
      <c r="P1704" s="65" t="str">
        <f t="shared" ca="1" si="214"/>
        <v/>
      </c>
      <c r="Q1704" s="2"/>
      <c r="R1704" s="2"/>
      <c r="S1704" s="1" t="str">
        <f t="shared" si="215"/>
        <v/>
      </c>
      <c r="T1704" s="1" t="str">
        <f>IF(OR($C1704="",$D1704&lt;&gt;"Gelir",$L1704=""),"",IFERROR(INDEX(MUSTERILER!$B$7:$B$156,MATCH($S1704,MUSTERILER!$T$7:$T$156,0)),""))</f>
        <v/>
      </c>
      <c r="U1704" s="1" t="str">
        <f>IF($T1704="","",$T1704&amp;"|"&amp;COUNTIFS($T$7:$T1704,$T1704))</f>
        <v/>
      </c>
      <c r="V1704" s="1">
        <f t="shared" si="216"/>
        <v>0</v>
      </c>
      <c r="W1704" s="1" t="str">
        <f t="shared" si="217"/>
        <v/>
      </c>
      <c r="X1704" s="1"/>
      <c r="Y1704" s="1"/>
      <c r="Z1704" s="1"/>
      <c r="AA1704" s="1"/>
      <c r="AB1704" s="1"/>
      <c r="AC1704" s="1"/>
      <c r="AD1704" s="1">
        <f>IF($C1704="",0,SUMPRODUCT((AY_SONU!$O$7:$O$42="Evet")*(AY_SONU!$B$7:$B$42=DATE(YEAR($C1704),MONTH($C1704),1))))</f>
        <v>0</v>
      </c>
      <c r="AE1704" s="1" t="str">
        <f>IF($E1704="","",$E1704&amp;"|"&amp;COUNTIFS($E$7:$E1704,$E1704))</f>
        <v/>
      </c>
    </row>
    <row r="1705" spans="1:31" ht="18" customHeight="1" x14ac:dyDescent="0.3">
      <c r="A1705" s="2"/>
      <c r="B1705" s="65" t="str">
        <f t="shared" si="210"/>
        <v/>
      </c>
      <c r="C1705" s="66"/>
      <c r="D1705" s="60"/>
      <c r="E1705" s="61"/>
      <c r="F1705" s="61"/>
      <c r="G1705" s="67"/>
      <c r="H1705" s="60"/>
      <c r="I1705" s="60"/>
      <c r="J1705" s="61"/>
      <c r="K1705" s="61"/>
      <c r="L1705" s="60"/>
      <c r="M1705" s="74" t="str">
        <f t="shared" si="211"/>
        <v/>
      </c>
      <c r="N1705" s="74" t="str">
        <f t="shared" si="212"/>
        <v/>
      </c>
      <c r="O1705" s="73" t="str">
        <f t="shared" si="213"/>
        <v/>
      </c>
      <c r="P1705" s="65" t="str">
        <f t="shared" ca="1" si="214"/>
        <v/>
      </c>
      <c r="Q1705" s="2"/>
      <c r="R1705" s="2"/>
      <c r="S1705" s="1" t="str">
        <f t="shared" si="215"/>
        <v/>
      </c>
      <c r="T1705" s="1" t="str">
        <f>IF(OR($C1705="",$D1705&lt;&gt;"Gelir",$L1705=""),"",IFERROR(INDEX(MUSTERILER!$B$7:$B$156,MATCH($S1705,MUSTERILER!$T$7:$T$156,0)),""))</f>
        <v/>
      </c>
      <c r="U1705" s="1" t="str">
        <f>IF($T1705="","",$T1705&amp;"|"&amp;COUNTIFS($T$7:$T1705,$T1705))</f>
        <v/>
      </c>
      <c r="V1705" s="1">
        <f t="shared" si="216"/>
        <v>0</v>
      </c>
      <c r="W1705" s="1" t="str">
        <f t="shared" si="217"/>
        <v/>
      </c>
      <c r="X1705" s="1"/>
      <c r="Y1705" s="1"/>
      <c r="Z1705" s="1"/>
      <c r="AA1705" s="1"/>
      <c r="AB1705" s="1"/>
      <c r="AC1705" s="1"/>
      <c r="AD1705" s="1">
        <f>IF($C1705="",0,SUMPRODUCT((AY_SONU!$O$7:$O$42="Evet")*(AY_SONU!$B$7:$B$42=DATE(YEAR($C1705),MONTH($C1705),1))))</f>
        <v>0</v>
      </c>
      <c r="AE1705" s="1" t="str">
        <f>IF($E1705="","",$E1705&amp;"|"&amp;COUNTIFS($E$7:$E1705,$E1705))</f>
        <v/>
      </c>
    </row>
    <row r="1706" spans="1:31" ht="18" customHeight="1" x14ac:dyDescent="0.3">
      <c r="A1706" s="2"/>
      <c r="B1706" s="65" t="str">
        <f t="shared" si="210"/>
        <v/>
      </c>
      <c r="C1706" s="66"/>
      <c r="D1706" s="60"/>
      <c r="E1706" s="61"/>
      <c r="F1706" s="61"/>
      <c r="G1706" s="67"/>
      <c r="H1706" s="60"/>
      <c r="I1706" s="60"/>
      <c r="J1706" s="61"/>
      <c r="K1706" s="61"/>
      <c r="L1706" s="60"/>
      <c r="M1706" s="74" t="str">
        <f t="shared" si="211"/>
        <v/>
      </c>
      <c r="N1706" s="74" t="str">
        <f t="shared" si="212"/>
        <v/>
      </c>
      <c r="O1706" s="73" t="str">
        <f t="shared" si="213"/>
        <v/>
      </c>
      <c r="P1706" s="65" t="str">
        <f t="shared" ca="1" si="214"/>
        <v/>
      </c>
      <c r="Q1706" s="2"/>
      <c r="R1706" s="2"/>
      <c r="S1706" s="1" t="str">
        <f t="shared" si="215"/>
        <v/>
      </c>
      <c r="T1706" s="1" t="str">
        <f>IF(OR($C1706="",$D1706&lt;&gt;"Gelir",$L1706=""),"",IFERROR(INDEX(MUSTERILER!$B$7:$B$156,MATCH($S1706,MUSTERILER!$T$7:$T$156,0)),""))</f>
        <v/>
      </c>
      <c r="U1706" s="1" t="str">
        <f>IF($T1706="","",$T1706&amp;"|"&amp;COUNTIFS($T$7:$T1706,$T1706))</f>
        <v/>
      </c>
      <c r="V1706" s="1">
        <f t="shared" si="216"/>
        <v>0</v>
      </c>
      <c r="W1706" s="1" t="str">
        <f t="shared" si="217"/>
        <v/>
      </c>
      <c r="X1706" s="1"/>
      <c r="Y1706" s="1"/>
      <c r="Z1706" s="1"/>
      <c r="AA1706" s="1"/>
      <c r="AB1706" s="1"/>
      <c r="AC1706" s="1"/>
      <c r="AD1706" s="1">
        <f>IF($C1706="",0,SUMPRODUCT((AY_SONU!$O$7:$O$42="Evet")*(AY_SONU!$B$7:$B$42=DATE(YEAR($C1706),MONTH($C1706),1))))</f>
        <v>0</v>
      </c>
      <c r="AE1706" s="1" t="str">
        <f>IF($E1706="","",$E1706&amp;"|"&amp;COUNTIFS($E$7:$E1706,$E1706))</f>
        <v/>
      </c>
    </row>
    <row r="1707" spans="1:31" ht="18" customHeight="1" x14ac:dyDescent="0.3">
      <c r="A1707" s="2"/>
      <c r="B1707" s="65" t="str">
        <f t="shared" si="210"/>
        <v/>
      </c>
      <c r="C1707" s="66"/>
      <c r="D1707" s="60"/>
      <c r="E1707" s="61"/>
      <c r="F1707" s="61"/>
      <c r="G1707" s="67"/>
      <c r="H1707" s="60"/>
      <c r="I1707" s="60"/>
      <c r="J1707" s="61"/>
      <c r="K1707" s="61"/>
      <c r="L1707" s="60"/>
      <c r="M1707" s="74" t="str">
        <f t="shared" si="211"/>
        <v/>
      </c>
      <c r="N1707" s="74" t="str">
        <f t="shared" si="212"/>
        <v/>
      </c>
      <c r="O1707" s="73" t="str">
        <f t="shared" si="213"/>
        <v/>
      </c>
      <c r="P1707" s="65" t="str">
        <f t="shared" ca="1" si="214"/>
        <v/>
      </c>
      <c r="Q1707" s="2"/>
      <c r="R1707" s="2"/>
      <c r="S1707" s="1" t="str">
        <f t="shared" si="215"/>
        <v/>
      </c>
      <c r="T1707" s="1" t="str">
        <f>IF(OR($C1707="",$D1707&lt;&gt;"Gelir",$L1707=""),"",IFERROR(INDEX(MUSTERILER!$B$7:$B$156,MATCH($S1707,MUSTERILER!$T$7:$T$156,0)),""))</f>
        <v/>
      </c>
      <c r="U1707" s="1" t="str">
        <f>IF($T1707="","",$T1707&amp;"|"&amp;COUNTIFS($T$7:$T1707,$T1707))</f>
        <v/>
      </c>
      <c r="V1707" s="1">
        <f t="shared" si="216"/>
        <v>0</v>
      </c>
      <c r="W1707" s="1" t="str">
        <f t="shared" si="217"/>
        <v/>
      </c>
      <c r="X1707" s="1"/>
      <c r="Y1707" s="1"/>
      <c r="Z1707" s="1"/>
      <c r="AA1707" s="1"/>
      <c r="AB1707" s="1"/>
      <c r="AC1707" s="1"/>
      <c r="AD1707" s="1">
        <f>IF($C1707="",0,SUMPRODUCT((AY_SONU!$O$7:$O$42="Evet")*(AY_SONU!$B$7:$B$42=DATE(YEAR($C1707),MONTH($C1707),1))))</f>
        <v>0</v>
      </c>
      <c r="AE1707" s="1" t="str">
        <f>IF($E1707="","",$E1707&amp;"|"&amp;COUNTIFS($E$7:$E1707,$E1707))</f>
        <v/>
      </c>
    </row>
    <row r="1708" spans="1:31" ht="18" customHeight="1" x14ac:dyDescent="0.3">
      <c r="A1708" s="2"/>
      <c r="B1708" s="65" t="str">
        <f t="shared" si="210"/>
        <v/>
      </c>
      <c r="C1708" s="66"/>
      <c r="D1708" s="60"/>
      <c r="E1708" s="61"/>
      <c r="F1708" s="61"/>
      <c r="G1708" s="67"/>
      <c r="H1708" s="60"/>
      <c r="I1708" s="60"/>
      <c r="J1708" s="61"/>
      <c r="K1708" s="61"/>
      <c r="L1708" s="60"/>
      <c r="M1708" s="74" t="str">
        <f t="shared" si="211"/>
        <v/>
      </c>
      <c r="N1708" s="74" t="str">
        <f t="shared" si="212"/>
        <v/>
      </c>
      <c r="O1708" s="73" t="str">
        <f t="shared" si="213"/>
        <v/>
      </c>
      <c r="P1708" s="65" t="str">
        <f t="shared" ca="1" si="214"/>
        <v/>
      </c>
      <c r="Q1708" s="2"/>
      <c r="R1708" s="2"/>
      <c r="S1708" s="1" t="str">
        <f t="shared" si="215"/>
        <v/>
      </c>
      <c r="T1708" s="1" t="str">
        <f>IF(OR($C1708="",$D1708&lt;&gt;"Gelir",$L1708=""),"",IFERROR(INDEX(MUSTERILER!$B$7:$B$156,MATCH($S1708,MUSTERILER!$T$7:$T$156,0)),""))</f>
        <v/>
      </c>
      <c r="U1708" s="1" t="str">
        <f>IF($T1708="","",$T1708&amp;"|"&amp;COUNTIFS($T$7:$T1708,$T1708))</f>
        <v/>
      </c>
      <c r="V1708" s="1">
        <f t="shared" si="216"/>
        <v>0</v>
      </c>
      <c r="W1708" s="1" t="str">
        <f t="shared" si="217"/>
        <v/>
      </c>
      <c r="X1708" s="1"/>
      <c r="Y1708" s="1"/>
      <c r="Z1708" s="1"/>
      <c r="AA1708" s="1"/>
      <c r="AB1708" s="1"/>
      <c r="AC1708" s="1"/>
      <c r="AD1708" s="1">
        <f>IF($C1708="",0,SUMPRODUCT((AY_SONU!$O$7:$O$42="Evet")*(AY_SONU!$B$7:$B$42=DATE(YEAR($C1708),MONTH($C1708),1))))</f>
        <v>0</v>
      </c>
      <c r="AE1708" s="1" t="str">
        <f>IF($E1708="","",$E1708&amp;"|"&amp;COUNTIFS($E$7:$E1708,$E1708))</f>
        <v/>
      </c>
    </row>
    <row r="1709" spans="1:31" ht="18" customHeight="1" x14ac:dyDescent="0.3">
      <c r="A1709" s="2"/>
      <c r="B1709" s="65" t="str">
        <f t="shared" si="210"/>
        <v/>
      </c>
      <c r="C1709" s="66"/>
      <c r="D1709" s="60"/>
      <c r="E1709" s="61"/>
      <c r="F1709" s="61"/>
      <c r="G1709" s="67"/>
      <c r="H1709" s="60"/>
      <c r="I1709" s="60"/>
      <c r="J1709" s="61"/>
      <c r="K1709" s="61"/>
      <c r="L1709" s="60"/>
      <c r="M1709" s="74" t="str">
        <f t="shared" si="211"/>
        <v/>
      </c>
      <c r="N1709" s="74" t="str">
        <f t="shared" si="212"/>
        <v/>
      </c>
      <c r="O1709" s="73" t="str">
        <f t="shared" si="213"/>
        <v/>
      </c>
      <c r="P1709" s="65" t="str">
        <f t="shared" ca="1" si="214"/>
        <v/>
      </c>
      <c r="Q1709" s="2"/>
      <c r="R1709" s="2"/>
      <c r="S1709" s="1" t="str">
        <f t="shared" si="215"/>
        <v/>
      </c>
      <c r="T1709" s="1" t="str">
        <f>IF(OR($C1709="",$D1709&lt;&gt;"Gelir",$L1709=""),"",IFERROR(INDEX(MUSTERILER!$B$7:$B$156,MATCH($S1709,MUSTERILER!$T$7:$T$156,0)),""))</f>
        <v/>
      </c>
      <c r="U1709" s="1" t="str">
        <f>IF($T1709="","",$T1709&amp;"|"&amp;COUNTIFS($T$7:$T1709,$T1709))</f>
        <v/>
      </c>
      <c r="V1709" s="1">
        <f t="shared" si="216"/>
        <v>0</v>
      </c>
      <c r="W1709" s="1" t="str">
        <f t="shared" si="217"/>
        <v/>
      </c>
      <c r="X1709" s="1"/>
      <c r="Y1709" s="1"/>
      <c r="Z1709" s="1"/>
      <c r="AA1709" s="1"/>
      <c r="AB1709" s="1"/>
      <c r="AC1709" s="1"/>
      <c r="AD1709" s="1">
        <f>IF($C1709="",0,SUMPRODUCT((AY_SONU!$O$7:$O$42="Evet")*(AY_SONU!$B$7:$B$42=DATE(YEAR($C1709),MONTH($C1709),1))))</f>
        <v>0</v>
      </c>
      <c r="AE1709" s="1" t="str">
        <f>IF($E1709="","",$E1709&amp;"|"&amp;COUNTIFS($E$7:$E1709,$E1709))</f>
        <v/>
      </c>
    </row>
    <row r="1710" spans="1:31" ht="18" customHeight="1" x14ac:dyDescent="0.3">
      <c r="A1710" s="2"/>
      <c r="B1710" s="65" t="str">
        <f t="shared" si="210"/>
        <v/>
      </c>
      <c r="C1710" s="66"/>
      <c r="D1710" s="60"/>
      <c r="E1710" s="61"/>
      <c r="F1710" s="61"/>
      <c r="G1710" s="67"/>
      <c r="H1710" s="60"/>
      <c r="I1710" s="60"/>
      <c r="J1710" s="61"/>
      <c r="K1710" s="61"/>
      <c r="L1710" s="60"/>
      <c r="M1710" s="74" t="str">
        <f t="shared" si="211"/>
        <v/>
      </c>
      <c r="N1710" s="74" t="str">
        <f t="shared" si="212"/>
        <v/>
      </c>
      <c r="O1710" s="73" t="str">
        <f t="shared" si="213"/>
        <v/>
      </c>
      <c r="P1710" s="65" t="str">
        <f t="shared" ca="1" si="214"/>
        <v/>
      </c>
      <c r="Q1710" s="2"/>
      <c r="R1710" s="2"/>
      <c r="S1710" s="1" t="str">
        <f t="shared" si="215"/>
        <v/>
      </c>
      <c r="T1710" s="1" t="str">
        <f>IF(OR($C1710="",$D1710&lt;&gt;"Gelir",$L1710=""),"",IFERROR(INDEX(MUSTERILER!$B$7:$B$156,MATCH($S1710,MUSTERILER!$T$7:$T$156,0)),""))</f>
        <v/>
      </c>
      <c r="U1710" s="1" t="str">
        <f>IF($T1710="","",$T1710&amp;"|"&amp;COUNTIFS($T$7:$T1710,$T1710))</f>
        <v/>
      </c>
      <c r="V1710" s="1">
        <f t="shared" si="216"/>
        <v>0</v>
      </c>
      <c r="W1710" s="1" t="str">
        <f t="shared" si="217"/>
        <v/>
      </c>
      <c r="X1710" s="1"/>
      <c r="Y1710" s="1"/>
      <c r="Z1710" s="1"/>
      <c r="AA1710" s="1"/>
      <c r="AB1710" s="1"/>
      <c r="AC1710" s="1"/>
      <c r="AD1710" s="1">
        <f>IF($C1710="",0,SUMPRODUCT((AY_SONU!$O$7:$O$42="Evet")*(AY_SONU!$B$7:$B$42=DATE(YEAR($C1710),MONTH($C1710),1))))</f>
        <v>0</v>
      </c>
      <c r="AE1710" s="1" t="str">
        <f>IF($E1710="","",$E1710&amp;"|"&amp;COUNTIFS($E$7:$E1710,$E1710))</f>
        <v/>
      </c>
    </row>
    <row r="1711" spans="1:31" ht="18" customHeight="1" x14ac:dyDescent="0.3">
      <c r="A1711" s="2"/>
      <c r="B1711" s="65" t="str">
        <f t="shared" si="210"/>
        <v/>
      </c>
      <c r="C1711" s="66"/>
      <c r="D1711" s="60"/>
      <c r="E1711" s="61"/>
      <c r="F1711" s="61"/>
      <c r="G1711" s="67"/>
      <c r="H1711" s="60"/>
      <c r="I1711" s="60"/>
      <c r="J1711" s="61"/>
      <c r="K1711" s="61"/>
      <c r="L1711" s="60"/>
      <c r="M1711" s="74" t="str">
        <f t="shared" si="211"/>
        <v/>
      </c>
      <c r="N1711" s="74" t="str">
        <f t="shared" si="212"/>
        <v/>
      </c>
      <c r="O1711" s="73" t="str">
        <f t="shared" si="213"/>
        <v/>
      </c>
      <c r="P1711" s="65" t="str">
        <f t="shared" ca="1" si="214"/>
        <v/>
      </c>
      <c r="Q1711" s="2"/>
      <c r="R1711" s="2"/>
      <c r="S1711" s="1" t="str">
        <f t="shared" si="215"/>
        <v/>
      </c>
      <c r="T1711" s="1" t="str">
        <f>IF(OR($C1711="",$D1711&lt;&gt;"Gelir",$L1711=""),"",IFERROR(INDEX(MUSTERILER!$B$7:$B$156,MATCH($S1711,MUSTERILER!$T$7:$T$156,0)),""))</f>
        <v/>
      </c>
      <c r="U1711" s="1" t="str">
        <f>IF($T1711="","",$T1711&amp;"|"&amp;COUNTIFS($T$7:$T1711,$T1711))</f>
        <v/>
      </c>
      <c r="V1711" s="1">
        <f t="shared" si="216"/>
        <v>0</v>
      </c>
      <c r="W1711" s="1" t="str">
        <f t="shared" si="217"/>
        <v/>
      </c>
      <c r="X1711" s="1"/>
      <c r="Y1711" s="1"/>
      <c r="Z1711" s="1"/>
      <c r="AA1711" s="1"/>
      <c r="AB1711" s="1"/>
      <c r="AC1711" s="1"/>
      <c r="AD1711" s="1">
        <f>IF($C1711="",0,SUMPRODUCT((AY_SONU!$O$7:$O$42="Evet")*(AY_SONU!$B$7:$B$42=DATE(YEAR($C1711),MONTH($C1711),1))))</f>
        <v>0</v>
      </c>
      <c r="AE1711" s="1" t="str">
        <f>IF($E1711="","",$E1711&amp;"|"&amp;COUNTIFS($E$7:$E1711,$E1711))</f>
        <v/>
      </c>
    </row>
    <row r="1712" spans="1:31" ht="18" customHeight="1" x14ac:dyDescent="0.3">
      <c r="A1712" s="2"/>
      <c r="B1712" s="65" t="str">
        <f t="shared" si="210"/>
        <v/>
      </c>
      <c r="C1712" s="66"/>
      <c r="D1712" s="60"/>
      <c r="E1712" s="61"/>
      <c r="F1712" s="61"/>
      <c r="G1712" s="67"/>
      <c r="H1712" s="60"/>
      <c r="I1712" s="60"/>
      <c r="J1712" s="61"/>
      <c r="K1712" s="61"/>
      <c r="L1712" s="60"/>
      <c r="M1712" s="74" t="str">
        <f t="shared" si="211"/>
        <v/>
      </c>
      <c r="N1712" s="74" t="str">
        <f t="shared" si="212"/>
        <v/>
      </c>
      <c r="O1712" s="73" t="str">
        <f t="shared" si="213"/>
        <v/>
      </c>
      <c r="P1712" s="65" t="str">
        <f t="shared" ca="1" si="214"/>
        <v/>
      </c>
      <c r="Q1712" s="2"/>
      <c r="R1712" s="2"/>
      <c r="S1712" s="1" t="str">
        <f t="shared" si="215"/>
        <v/>
      </c>
      <c r="T1712" s="1" t="str">
        <f>IF(OR($C1712="",$D1712&lt;&gt;"Gelir",$L1712=""),"",IFERROR(INDEX(MUSTERILER!$B$7:$B$156,MATCH($S1712,MUSTERILER!$T$7:$T$156,0)),""))</f>
        <v/>
      </c>
      <c r="U1712" s="1" t="str">
        <f>IF($T1712="","",$T1712&amp;"|"&amp;COUNTIFS($T$7:$T1712,$T1712))</f>
        <v/>
      </c>
      <c r="V1712" s="1">
        <f t="shared" si="216"/>
        <v>0</v>
      </c>
      <c r="W1712" s="1" t="str">
        <f t="shared" si="217"/>
        <v/>
      </c>
      <c r="X1712" s="1"/>
      <c r="Y1712" s="1"/>
      <c r="Z1712" s="1"/>
      <c r="AA1712" s="1"/>
      <c r="AB1712" s="1"/>
      <c r="AC1712" s="1"/>
      <c r="AD1712" s="1">
        <f>IF($C1712="",0,SUMPRODUCT((AY_SONU!$O$7:$O$42="Evet")*(AY_SONU!$B$7:$B$42=DATE(YEAR($C1712),MONTH($C1712),1))))</f>
        <v>0</v>
      </c>
      <c r="AE1712" s="1" t="str">
        <f>IF($E1712="","",$E1712&amp;"|"&amp;COUNTIFS($E$7:$E1712,$E1712))</f>
        <v/>
      </c>
    </row>
    <row r="1713" spans="1:31" ht="18" customHeight="1" x14ac:dyDescent="0.3">
      <c r="A1713" s="2"/>
      <c r="B1713" s="65" t="str">
        <f t="shared" si="210"/>
        <v/>
      </c>
      <c r="C1713" s="66"/>
      <c r="D1713" s="60"/>
      <c r="E1713" s="61"/>
      <c r="F1713" s="61"/>
      <c r="G1713" s="67"/>
      <c r="H1713" s="60"/>
      <c r="I1713" s="60"/>
      <c r="J1713" s="61"/>
      <c r="K1713" s="61"/>
      <c r="L1713" s="60"/>
      <c r="M1713" s="74" t="str">
        <f t="shared" si="211"/>
        <v/>
      </c>
      <c r="N1713" s="74" t="str">
        <f t="shared" si="212"/>
        <v/>
      </c>
      <c r="O1713" s="73" t="str">
        <f t="shared" si="213"/>
        <v/>
      </c>
      <c r="P1713" s="65" t="str">
        <f t="shared" ca="1" si="214"/>
        <v/>
      </c>
      <c r="Q1713" s="2"/>
      <c r="R1713" s="2"/>
      <c r="S1713" s="1" t="str">
        <f t="shared" si="215"/>
        <v/>
      </c>
      <c r="T1713" s="1" t="str">
        <f>IF(OR($C1713="",$D1713&lt;&gt;"Gelir",$L1713=""),"",IFERROR(INDEX(MUSTERILER!$B$7:$B$156,MATCH($S1713,MUSTERILER!$T$7:$T$156,0)),""))</f>
        <v/>
      </c>
      <c r="U1713" s="1" t="str">
        <f>IF($T1713="","",$T1713&amp;"|"&amp;COUNTIFS($T$7:$T1713,$T1713))</f>
        <v/>
      </c>
      <c r="V1713" s="1">
        <f t="shared" si="216"/>
        <v>0</v>
      </c>
      <c r="W1713" s="1" t="str">
        <f t="shared" si="217"/>
        <v/>
      </c>
      <c r="X1713" s="1"/>
      <c r="Y1713" s="1"/>
      <c r="Z1713" s="1"/>
      <c r="AA1713" s="1"/>
      <c r="AB1713" s="1"/>
      <c r="AC1713" s="1"/>
      <c r="AD1713" s="1">
        <f>IF($C1713="",0,SUMPRODUCT((AY_SONU!$O$7:$O$42="Evet")*(AY_SONU!$B$7:$B$42=DATE(YEAR($C1713),MONTH($C1713),1))))</f>
        <v>0</v>
      </c>
      <c r="AE1713" s="1" t="str">
        <f>IF($E1713="","",$E1713&amp;"|"&amp;COUNTIFS($E$7:$E1713,$E1713))</f>
        <v/>
      </c>
    </row>
    <row r="1714" spans="1:31" ht="18" customHeight="1" x14ac:dyDescent="0.3">
      <c r="A1714" s="2"/>
      <c r="B1714" s="65" t="str">
        <f t="shared" si="210"/>
        <v/>
      </c>
      <c r="C1714" s="66"/>
      <c r="D1714" s="60"/>
      <c r="E1714" s="61"/>
      <c r="F1714" s="61"/>
      <c r="G1714" s="67"/>
      <c r="H1714" s="60"/>
      <c r="I1714" s="60"/>
      <c r="J1714" s="61"/>
      <c r="K1714" s="61"/>
      <c r="L1714" s="60"/>
      <c r="M1714" s="74" t="str">
        <f t="shared" si="211"/>
        <v/>
      </c>
      <c r="N1714" s="74" t="str">
        <f t="shared" si="212"/>
        <v/>
      </c>
      <c r="O1714" s="73" t="str">
        <f t="shared" si="213"/>
        <v/>
      </c>
      <c r="P1714" s="65" t="str">
        <f t="shared" ca="1" si="214"/>
        <v/>
      </c>
      <c r="Q1714" s="2"/>
      <c r="R1714" s="2"/>
      <c r="S1714" s="1" t="str">
        <f t="shared" si="215"/>
        <v/>
      </c>
      <c r="T1714" s="1" t="str">
        <f>IF(OR($C1714="",$D1714&lt;&gt;"Gelir",$L1714=""),"",IFERROR(INDEX(MUSTERILER!$B$7:$B$156,MATCH($S1714,MUSTERILER!$T$7:$T$156,0)),""))</f>
        <v/>
      </c>
      <c r="U1714" s="1" t="str">
        <f>IF($T1714="","",$T1714&amp;"|"&amp;COUNTIFS($T$7:$T1714,$T1714))</f>
        <v/>
      </c>
      <c r="V1714" s="1">
        <f t="shared" si="216"/>
        <v>0</v>
      </c>
      <c r="W1714" s="1" t="str">
        <f t="shared" si="217"/>
        <v/>
      </c>
      <c r="X1714" s="1"/>
      <c r="Y1714" s="1"/>
      <c r="Z1714" s="1"/>
      <c r="AA1714" s="1"/>
      <c r="AB1714" s="1"/>
      <c r="AC1714" s="1"/>
      <c r="AD1714" s="1">
        <f>IF($C1714="",0,SUMPRODUCT((AY_SONU!$O$7:$O$42="Evet")*(AY_SONU!$B$7:$B$42=DATE(YEAR($C1714),MONTH($C1714),1))))</f>
        <v>0</v>
      </c>
      <c r="AE1714" s="1" t="str">
        <f>IF($E1714="","",$E1714&amp;"|"&amp;COUNTIFS($E$7:$E1714,$E1714))</f>
        <v/>
      </c>
    </row>
    <row r="1715" spans="1:31" ht="18" customHeight="1" x14ac:dyDescent="0.3">
      <c r="A1715" s="2"/>
      <c r="B1715" s="65" t="str">
        <f t="shared" si="210"/>
        <v/>
      </c>
      <c r="C1715" s="66"/>
      <c r="D1715" s="60"/>
      <c r="E1715" s="61"/>
      <c r="F1715" s="61"/>
      <c r="G1715" s="67"/>
      <c r="H1715" s="60"/>
      <c r="I1715" s="60"/>
      <c r="J1715" s="61"/>
      <c r="K1715" s="61"/>
      <c r="L1715" s="60"/>
      <c r="M1715" s="74" t="str">
        <f t="shared" si="211"/>
        <v/>
      </c>
      <c r="N1715" s="74" t="str">
        <f t="shared" si="212"/>
        <v/>
      </c>
      <c r="O1715" s="73" t="str">
        <f t="shared" si="213"/>
        <v/>
      </c>
      <c r="P1715" s="65" t="str">
        <f t="shared" ca="1" si="214"/>
        <v/>
      </c>
      <c r="Q1715" s="2"/>
      <c r="R1715" s="2"/>
      <c r="S1715" s="1" t="str">
        <f t="shared" si="215"/>
        <v/>
      </c>
      <c r="T1715" s="1" t="str">
        <f>IF(OR($C1715="",$D1715&lt;&gt;"Gelir",$L1715=""),"",IFERROR(INDEX(MUSTERILER!$B$7:$B$156,MATCH($S1715,MUSTERILER!$T$7:$T$156,0)),""))</f>
        <v/>
      </c>
      <c r="U1715" s="1" t="str">
        <f>IF($T1715="","",$T1715&amp;"|"&amp;COUNTIFS($T$7:$T1715,$T1715))</f>
        <v/>
      </c>
      <c r="V1715" s="1">
        <f t="shared" si="216"/>
        <v>0</v>
      </c>
      <c r="W1715" s="1" t="str">
        <f t="shared" si="217"/>
        <v/>
      </c>
      <c r="X1715" s="1"/>
      <c r="Y1715" s="1"/>
      <c r="Z1715" s="1"/>
      <c r="AA1715" s="1"/>
      <c r="AB1715" s="1"/>
      <c r="AC1715" s="1"/>
      <c r="AD1715" s="1">
        <f>IF($C1715="",0,SUMPRODUCT((AY_SONU!$O$7:$O$42="Evet")*(AY_SONU!$B$7:$B$42=DATE(YEAR($C1715),MONTH($C1715),1))))</f>
        <v>0</v>
      </c>
      <c r="AE1715" s="1" t="str">
        <f>IF($E1715="","",$E1715&amp;"|"&amp;COUNTIFS($E$7:$E1715,$E1715))</f>
        <v/>
      </c>
    </row>
    <row r="1716" spans="1:31" ht="18" customHeight="1" x14ac:dyDescent="0.3">
      <c r="A1716" s="2"/>
      <c r="B1716" s="65" t="str">
        <f t="shared" si="210"/>
        <v/>
      </c>
      <c r="C1716" s="66"/>
      <c r="D1716" s="60"/>
      <c r="E1716" s="61"/>
      <c r="F1716" s="61"/>
      <c r="G1716" s="67"/>
      <c r="H1716" s="60"/>
      <c r="I1716" s="60"/>
      <c r="J1716" s="61"/>
      <c r="K1716" s="61"/>
      <c r="L1716" s="60"/>
      <c r="M1716" s="74" t="str">
        <f t="shared" si="211"/>
        <v/>
      </c>
      <c r="N1716" s="74" t="str">
        <f t="shared" si="212"/>
        <v/>
      </c>
      <c r="O1716" s="73" t="str">
        <f t="shared" si="213"/>
        <v/>
      </c>
      <c r="P1716" s="65" t="str">
        <f t="shared" ca="1" si="214"/>
        <v/>
      </c>
      <c r="Q1716" s="2"/>
      <c r="R1716" s="2"/>
      <c r="S1716" s="1" t="str">
        <f t="shared" si="215"/>
        <v/>
      </c>
      <c r="T1716" s="1" t="str">
        <f>IF(OR($C1716="",$D1716&lt;&gt;"Gelir",$L1716=""),"",IFERROR(INDEX(MUSTERILER!$B$7:$B$156,MATCH($S1716,MUSTERILER!$T$7:$T$156,0)),""))</f>
        <v/>
      </c>
      <c r="U1716" s="1" t="str">
        <f>IF($T1716="","",$T1716&amp;"|"&amp;COUNTIFS($T$7:$T1716,$T1716))</f>
        <v/>
      </c>
      <c r="V1716" s="1">
        <f t="shared" si="216"/>
        <v>0</v>
      </c>
      <c r="W1716" s="1" t="str">
        <f t="shared" si="217"/>
        <v/>
      </c>
      <c r="X1716" s="1"/>
      <c r="Y1716" s="1"/>
      <c r="Z1716" s="1"/>
      <c r="AA1716" s="1"/>
      <c r="AB1716" s="1"/>
      <c r="AC1716" s="1"/>
      <c r="AD1716" s="1">
        <f>IF($C1716="",0,SUMPRODUCT((AY_SONU!$O$7:$O$42="Evet")*(AY_SONU!$B$7:$B$42=DATE(YEAR($C1716),MONTH($C1716),1))))</f>
        <v>0</v>
      </c>
      <c r="AE1716" s="1" t="str">
        <f>IF($E1716="","",$E1716&amp;"|"&amp;COUNTIFS($E$7:$E1716,$E1716))</f>
        <v/>
      </c>
    </row>
    <row r="1717" spans="1:31" ht="18" customHeight="1" x14ac:dyDescent="0.3">
      <c r="A1717" s="2"/>
      <c r="B1717" s="65" t="str">
        <f t="shared" si="210"/>
        <v/>
      </c>
      <c r="C1717" s="66"/>
      <c r="D1717" s="60"/>
      <c r="E1717" s="61"/>
      <c r="F1717" s="61"/>
      <c r="G1717" s="67"/>
      <c r="H1717" s="60"/>
      <c r="I1717" s="60"/>
      <c r="J1717" s="61"/>
      <c r="K1717" s="61"/>
      <c r="L1717" s="60"/>
      <c r="M1717" s="74" t="str">
        <f t="shared" si="211"/>
        <v/>
      </c>
      <c r="N1717" s="74" t="str">
        <f t="shared" si="212"/>
        <v/>
      </c>
      <c r="O1717" s="73" t="str">
        <f t="shared" si="213"/>
        <v/>
      </c>
      <c r="P1717" s="65" t="str">
        <f t="shared" ca="1" si="214"/>
        <v/>
      </c>
      <c r="Q1717" s="2"/>
      <c r="R1717" s="2"/>
      <c r="S1717" s="1" t="str">
        <f t="shared" si="215"/>
        <v/>
      </c>
      <c r="T1717" s="1" t="str">
        <f>IF(OR($C1717="",$D1717&lt;&gt;"Gelir",$L1717=""),"",IFERROR(INDEX(MUSTERILER!$B$7:$B$156,MATCH($S1717,MUSTERILER!$T$7:$T$156,0)),""))</f>
        <v/>
      </c>
      <c r="U1717" s="1" t="str">
        <f>IF($T1717="","",$T1717&amp;"|"&amp;COUNTIFS($T$7:$T1717,$T1717))</f>
        <v/>
      </c>
      <c r="V1717" s="1">
        <f t="shared" si="216"/>
        <v>0</v>
      </c>
      <c r="W1717" s="1" t="str">
        <f t="shared" si="217"/>
        <v/>
      </c>
      <c r="X1717" s="1"/>
      <c r="Y1717" s="1"/>
      <c r="Z1717" s="1"/>
      <c r="AA1717" s="1"/>
      <c r="AB1717" s="1"/>
      <c r="AC1717" s="1"/>
      <c r="AD1717" s="1">
        <f>IF($C1717="",0,SUMPRODUCT((AY_SONU!$O$7:$O$42="Evet")*(AY_SONU!$B$7:$B$42=DATE(YEAR($C1717),MONTH($C1717),1))))</f>
        <v>0</v>
      </c>
      <c r="AE1717" s="1" t="str">
        <f>IF($E1717="","",$E1717&amp;"|"&amp;COUNTIFS($E$7:$E1717,$E1717))</f>
        <v/>
      </c>
    </row>
    <row r="1718" spans="1:31" ht="18" customHeight="1" x14ac:dyDescent="0.3">
      <c r="A1718" s="2"/>
      <c r="B1718" s="65" t="str">
        <f t="shared" si="210"/>
        <v/>
      </c>
      <c r="C1718" s="66"/>
      <c r="D1718" s="60"/>
      <c r="E1718" s="61"/>
      <c r="F1718" s="61"/>
      <c r="G1718" s="67"/>
      <c r="H1718" s="60"/>
      <c r="I1718" s="60"/>
      <c r="J1718" s="61"/>
      <c r="K1718" s="61"/>
      <c r="L1718" s="60"/>
      <c r="M1718" s="74" t="str">
        <f t="shared" si="211"/>
        <v/>
      </c>
      <c r="N1718" s="74" t="str">
        <f t="shared" si="212"/>
        <v/>
      </c>
      <c r="O1718" s="73" t="str">
        <f t="shared" si="213"/>
        <v/>
      </c>
      <c r="P1718" s="65" t="str">
        <f t="shared" ca="1" si="214"/>
        <v/>
      </c>
      <c r="Q1718" s="2"/>
      <c r="R1718" s="2"/>
      <c r="S1718" s="1" t="str">
        <f t="shared" si="215"/>
        <v/>
      </c>
      <c r="T1718" s="1" t="str">
        <f>IF(OR($C1718="",$D1718&lt;&gt;"Gelir",$L1718=""),"",IFERROR(INDEX(MUSTERILER!$B$7:$B$156,MATCH($S1718,MUSTERILER!$T$7:$T$156,0)),""))</f>
        <v/>
      </c>
      <c r="U1718" s="1" t="str">
        <f>IF($T1718="","",$T1718&amp;"|"&amp;COUNTIFS($T$7:$T1718,$T1718))</f>
        <v/>
      </c>
      <c r="V1718" s="1">
        <f t="shared" si="216"/>
        <v>0</v>
      </c>
      <c r="W1718" s="1" t="str">
        <f t="shared" si="217"/>
        <v/>
      </c>
      <c r="X1718" s="1"/>
      <c r="Y1718" s="1"/>
      <c r="Z1718" s="1"/>
      <c r="AA1718" s="1"/>
      <c r="AB1718" s="1"/>
      <c r="AC1718" s="1"/>
      <c r="AD1718" s="1">
        <f>IF($C1718="",0,SUMPRODUCT((AY_SONU!$O$7:$O$42="Evet")*(AY_SONU!$B$7:$B$42=DATE(YEAR($C1718),MONTH($C1718),1))))</f>
        <v>0</v>
      </c>
      <c r="AE1718" s="1" t="str">
        <f>IF($E1718="","",$E1718&amp;"|"&amp;COUNTIFS($E$7:$E1718,$E1718))</f>
        <v/>
      </c>
    </row>
    <row r="1719" spans="1:31" ht="18" customHeight="1" x14ac:dyDescent="0.3">
      <c r="A1719" s="2"/>
      <c r="B1719" s="65" t="str">
        <f t="shared" si="210"/>
        <v/>
      </c>
      <c r="C1719" s="66"/>
      <c r="D1719" s="60"/>
      <c r="E1719" s="61"/>
      <c r="F1719" s="61"/>
      <c r="G1719" s="67"/>
      <c r="H1719" s="60"/>
      <c r="I1719" s="60"/>
      <c r="J1719" s="61"/>
      <c r="K1719" s="61"/>
      <c r="L1719" s="60"/>
      <c r="M1719" s="74" t="str">
        <f t="shared" si="211"/>
        <v/>
      </c>
      <c r="N1719" s="74" t="str">
        <f t="shared" si="212"/>
        <v/>
      </c>
      <c r="O1719" s="73" t="str">
        <f t="shared" si="213"/>
        <v/>
      </c>
      <c r="P1719" s="65" t="str">
        <f t="shared" ca="1" si="214"/>
        <v/>
      </c>
      <c r="Q1719" s="2"/>
      <c r="R1719" s="2"/>
      <c r="S1719" s="1" t="str">
        <f t="shared" si="215"/>
        <v/>
      </c>
      <c r="T1719" s="1" t="str">
        <f>IF(OR($C1719="",$D1719&lt;&gt;"Gelir",$L1719=""),"",IFERROR(INDEX(MUSTERILER!$B$7:$B$156,MATCH($S1719,MUSTERILER!$T$7:$T$156,0)),""))</f>
        <v/>
      </c>
      <c r="U1719" s="1" t="str">
        <f>IF($T1719="","",$T1719&amp;"|"&amp;COUNTIFS($T$7:$T1719,$T1719))</f>
        <v/>
      </c>
      <c r="V1719" s="1">
        <f t="shared" si="216"/>
        <v>0</v>
      </c>
      <c r="W1719" s="1" t="str">
        <f t="shared" si="217"/>
        <v/>
      </c>
      <c r="X1719" s="1"/>
      <c r="Y1719" s="1"/>
      <c r="Z1719" s="1"/>
      <c r="AA1719" s="1"/>
      <c r="AB1719" s="1"/>
      <c r="AC1719" s="1"/>
      <c r="AD1719" s="1">
        <f>IF($C1719="",0,SUMPRODUCT((AY_SONU!$O$7:$O$42="Evet")*(AY_SONU!$B$7:$B$42=DATE(YEAR($C1719),MONTH($C1719),1))))</f>
        <v>0</v>
      </c>
      <c r="AE1719" s="1" t="str">
        <f>IF($E1719="","",$E1719&amp;"|"&amp;COUNTIFS($E$7:$E1719,$E1719))</f>
        <v/>
      </c>
    </row>
    <row r="1720" spans="1:31" ht="18" customHeight="1" x14ac:dyDescent="0.3">
      <c r="A1720" s="2"/>
      <c r="B1720" s="65" t="str">
        <f t="shared" si="210"/>
        <v/>
      </c>
      <c r="C1720" s="66"/>
      <c r="D1720" s="60"/>
      <c r="E1720" s="61"/>
      <c r="F1720" s="61"/>
      <c r="G1720" s="67"/>
      <c r="H1720" s="60"/>
      <c r="I1720" s="60"/>
      <c r="J1720" s="61"/>
      <c r="K1720" s="61"/>
      <c r="L1720" s="60"/>
      <c r="M1720" s="74" t="str">
        <f t="shared" si="211"/>
        <v/>
      </c>
      <c r="N1720" s="74" t="str">
        <f t="shared" si="212"/>
        <v/>
      </c>
      <c r="O1720" s="73" t="str">
        <f t="shared" si="213"/>
        <v/>
      </c>
      <c r="P1720" s="65" t="str">
        <f t="shared" ca="1" si="214"/>
        <v/>
      </c>
      <c r="Q1720" s="2"/>
      <c r="R1720" s="2"/>
      <c r="S1720" s="1" t="str">
        <f t="shared" si="215"/>
        <v/>
      </c>
      <c r="T1720" s="1" t="str">
        <f>IF(OR($C1720="",$D1720&lt;&gt;"Gelir",$L1720=""),"",IFERROR(INDEX(MUSTERILER!$B$7:$B$156,MATCH($S1720,MUSTERILER!$T$7:$T$156,0)),""))</f>
        <v/>
      </c>
      <c r="U1720" s="1" t="str">
        <f>IF($T1720="","",$T1720&amp;"|"&amp;COUNTIFS($T$7:$T1720,$T1720))</f>
        <v/>
      </c>
      <c r="V1720" s="1">
        <f t="shared" si="216"/>
        <v>0</v>
      </c>
      <c r="W1720" s="1" t="str">
        <f t="shared" si="217"/>
        <v/>
      </c>
      <c r="X1720" s="1"/>
      <c r="Y1720" s="1"/>
      <c r="Z1720" s="1"/>
      <c r="AA1720" s="1"/>
      <c r="AB1720" s="1"/>
      <c r="AC1720" s="1"/>
      <c r="AD1720" s="1">
        <f>IF($C1720="",0,SUMPRODUCT((AY_SONU!$O$7:$O$42="Evet")*(AY_SONU!$B$7:$B$42=DATE(YEAR($C1720),MONTH($C1720),1))))</f>
        <v>0</v>
      </c>
      <c r="AE1720" s="1" t="str">
        <f>IF($E1720="","",$E1720&amp;"|"&amp;COUNTIFS($E$7:$E1720,$E1720))</f>
        <v/>
      </c>
    </row>
    <row r="1721" spans="1:31" ht="18" customHeight="1" x14ac:dyDescent="0.3">
      <c r="A1721" s="2"/>
      <c r="B1721" s="65" t="str">
        <f t="shared" si="210"/>
        <v/>
      </c>
      <c r="C1721" s="66"/>
      <c r="D1721" s="60"/>
      <c r="E1721" s="61"/>
      <c r="F1721" s="61"/>
      <c r="G1721" s="67"/>
      <c r="H1721" s="60"/>
      <c r="I1721" s="60"/>
      <c r="J1721" s="61"/>
      <c r="K1721" s="61"/>
      <c r="L1721" s="60"/>
      <c r="M1721" s="74" t="str">
        <f t="shared" si="211"/>
        <v/>
      </c>
      <c r="N1721" s="74" t="str">
        <f t="shared" si="212"/>
        <v/>
      </c>
      <c r="O1721" s="73" t="str">
        <f t="shared" si="213"/>
        <v/>
      </c>
      <c r="P1721" s="65" t="str">
        <f t="shared" ca="1" si="214"/>
        <v/>
      </c>
      <c r="Q1721" s="2"/>
      <c r="R1721" s="2"/>
      <c r="S1721" s="1" t="str">
        <f t="shared" si="215"/>
        <v/>
      </c>
      <c r="T1721" s="1" t="str">
        <f>IF(OR($C1721="",$D1721&lt;&gt;"Gelir",$L1721=""),"",IFERROR(INDEX(MUSTERILER!$B$7:$B$156,MATCH($S1721,MUSTERILER!$T$7:$T$156,0)),""))</f>
        <v/>
      </c>
      <c r="U1721" s="1" t="str">
        <f>IF($T1721="","",$T1721&amp;"|"&amp;COUNTIFS($T$7:$T1721,$T1721))</f>
        <v/>
      </c>
      <c r="V1721" s="1">
        <f t="shared" si="216"/>
        <v>0</v>
      </c>
      <c r="W1721" s="1" t="str">
        <f t="shared" si="217"/>
        <v/>
      </c>
      <c r="X1721" s="1"/>
      <c r="Y1721" s="1"/>
      <c r="Z1721" s="1"/>
      <c r="AA1721" s="1"/>
      <c r="AB1721" s="1"/>
      <c r="AC1721" s="1"/>
      <c r="AD1721" s="1">
        <f>IF($C1721="",0,SUMPRODUCT((AY_SONU!$O$7:$O$42="Evet")*(AY_SONU!$B$7:$B$42=DATE(YEAR($C1721),MONTH($C1721),1))))</f>
        <v>0</v>
      </c>
      <c r="AE1721" s="1" t="str">
        <f>IF($E1721="","",$E1721&amp;"|"&amp;COUNTIFS($E$7:$E1721,$E1721))</f>
        <v/>
      </c>
    </row>
    <row r="1722" spans="1:31" ht="18" customHeight="1" x14ac:dyDescent="0.3">
      <c r="A1722" s="2"/>
      <c r="B1722" s="65" t="str">
        <f t="shared" si="210"/>
        <v/>
      </c>
      <c r="C1722" s="66"/>
      <c r="D1722" s="60"/>
      <c r="E1722" s="61"/>
      <c r="F1722" s="61"/>
      <c r="G1722" s="67"/>
      <c r="H1722" s="60"/>
      <c r="I1722" s="60"/>
      <c r="J1722" s="61"/>
      <c r="K1722" s="61"/>
      <c r="L1722" s="60"/>
      <c r="M1722" s="74" t="str">
        <f t="shared" si="211"/>
        <v/>
      </c>
      <c r="N1722" s="74" t="str">
        <f t="shared" si="212"/>
        <v/>
      </c>
      <c r="O1722" s="73" t="str">
        <f t="shared" si="213"/>
        <v/>
      </c>
      <c r="P1722" s="65" t="str">
        <f t="shared" ca="1" si="214"/>
        <v/>
      </c>
      <c r="Q1722" s="2"/>
      <c r="R1722" s="2"/>
      <c r="S1722" s="1" t="str">
        <f t="shared" si="215"/>
        <v/>
      </c>
      <c r="T1722" s="1" t="str">
        <f>IF(OR($C1722="",$D1722&lt;&gt;"Gelir",$L1722=""),"",IFERROR(INDEX(MUSTERILER!$B$7:$B$156,MATCH($S1722,MUSTERILER!$T$7:$T$156,0)),""))</f>
        <v/>
      </c>
      <c r="U1722" s="1" t="str">
        <f>IF($T1722="","",$T1722&amp;"|"&amp;COUNTIFS($T$7:$T1722,$T1722))</f>
        <v/>
      </c>
      <c r="V1722" s="1">
        <f t="shared" si="216"/>
        <v>0</v>
      </c>
      <c r="W1722" s="1" t="str">
        <f t="shared" si="217"/>
        <v/>
      </c>
      <c r="X1722" s="1"/>
      <c r="Y1722" s="1"/>
      <c r="Z1722" s="1"/>
      <c r="AA1722" s="1"/>
      <c r="AB1722" s="1"/>
      <c r="AC1722" s="1"/>
      <c r="AD1722" s="1">
        <f>IF($C1722="",0,SUMPRODUCT((AY_SONU!$O$7:$O$42="Evet")*(AY_SONU!$B$7:$B$42=DATE(YEAR($C1722),MONTH($C1722),1))))</f>
        <v>0</v>
      </c>
      <c r="AE1722" s="1" t="str">
        <f>IF($E1722="","",$E1722&amp;"|"&amp;COUNTIFS($E$7:$E1722,$E1722))</f>
        <v/>
      </c>
    </row>
    <row r="1723" spans="1:31" ht="18" customHeight="1" x14ac:dyDescent="0.3">
      <c r="A1723" s="2"/>
      <c r="B1723" s="65" t="str">
        <f t="shared" si="210"/>
        <v/>
      </c>
      <c r="C1723" s="66"/>
      <c r="D1723" s="60"/>
      <c r="E1723" s="61"/>
      <c r="F1723" s="61"/>
      <c r="G1723" s="67"/>
      <c r="H1723" s="60"/>
      <c r="I1723" s="60"/>
      <c r="J1723" s="61"/>
      <c r="K1723" s="61"/>
      <c r="L1723" s="60"/>
      <c r="M1723" s="74" t="str">
        <f t="shared" si="211"/>
        <v/>
      </c>
      <c r="N1723" s="74" t="str">
        <f t="shared" si="212"/>
        <v/>
      </c>
      <c r="O1723" s="73" t="str">
        <f t="shared" si="213"/>
        <v/>
      </c>
      <c r="P1723" s="65" t="str">
        <f t="shared" ca="1" si="214"/>
        <v/>
      </c>
      <c r="Q1723" s="2"/>
      <c r="R1723" s="2"/>
      <c r="S1723" s="1" t="str">
        <f t="shared" si="215"/>
        <v/>
      </c>
      <c r="T1723" s="1" t="str">
        <f>IF(OR($C1723="",$D1723&lt;&gt;"Gelir",$L1723=""),"",IFERROR(INDEX(MUSTERILER!$B$7:$B$156,MATCH($S1723,MUSTERILER!$T$7:$T$156,0)),""))</f>
        <v/>
      </c>
      <c r="U1723" s="1" t="str">
        <f>IF($T1723="","",$T1723&amp;"|"&amp;COUNTIFS($T$7:$T1723,$T1723))</f>
        <v/>
      </c>
      <c r="V1723" s="1">
        <f t="shared" si="216"/>
        <v>0</v>
      </c>
      <c r="W1723" s="1" t="str">
        <f t="shared" si="217"/>
        <v/>
      </c>
      <c r="X1723" s="1"/>
      <c r="Y1723" s="1"/>
      <c r="Z1723" s="1"/>
      <c r="AA1723" s="1"/>
      <c r="AB1723" s="1"/>
      <c r="AC1723" s="1"/>
      <c r="AD1723" s="1">
        <f>IF($C1723="",0,SUMPRODUCT((AY_SONU!$O$7:$O$42="Evet")*(AY_SONU!$B$7:$B$42=DATE(YEAR($C1723),MONTH($C1723),1))))</f>
        <v>0</v>
      </c>
      <c r="AE1723" s="1" t="str">
        <f>IF($E1723="","",$E1723&amp;"|"&amp;COUNTIFS($E$7:$E1723,$E1723))</f>
        <v/>
      </c>
    </row>
    <row r="1724" spans="1:31" ht="18" customHeight="1" x14ac:dyDescent="0.3">
      <c r="A1724" s="2"/>
      <c r="B1724" s="65" t="str">
        <f t="shared" si="210"/>
        <v/>
      </c>
      <c r="C1724" s="66"/>
      <c r="D1724" s="60"/>
      <c r="E1724" s="61"/>
      <c r="F1724" s="61"/>
      <c r="G1724" s="67"/>
      <c r="H1724" s="60"/>
      <c r="I1724" s="60"/>
      <c r="J1724" s="61"/>
      <c r="K1724" s="61"/>
      <c r="L1724" s="60"/>
      <c r="M1724" s="74" t="str">
        <f t="shared" si="211"/>
        <v/>
      </c>
      <c r="N1724" s="74" t="str">
        <f t="shared" si="212"/>
        <v/>
      </c>
      <c r="O1724" s="73" t="str">
        <f t="shared" si="213"/>
        <v/>
      </c>
      <c r="P1724" s="65" t="str">
        <f t="shared" ca="1" si="214"/>
        <v/>
      </c>
      <c r="Q1724" s="2"/>
      <c r="R1724" s="2"/>
      <c r="S1724" s="1" t="str">
        <f t="shared" si="215"/>
        <v/>
      </c>
      <c r="T1724" s="1" t="str">
        <f>IF(OR($C1724="",$D1724&lt;&gt;"Gelir",$L1724=""),"",IFERROR(INDEX(MUSTERILER!$B$7:$B$156,MATCH($S1724,MUSTERILER!$T$7:$T$156,0)),""))</f>
        <v/>
      </c>
      <c r="U1724" s="1" t="str">
        <f>IF($T1724="","",$T1724&amp;"|"&amp;COUNTIFS($T$7:$T1724,$T1724))</f>
        <v/>
      </c>
      <c r="V1724" s="1">
        <f t="shared" si="216"/>
        <v>0</v>
      </c>
      <c r="W1724" s="1" t="str">
        <f t="shared" si="217"/>
        <v/>
      </c>
      <c r="X1724" s="1"/>
      <c r="Y1724" s="1"/>
      <c r="Z1724" s="1"/>
      <c r="AA1724" s="1"/>
      <c r="AB1724" s="1"/>
      <c r="AC1724" s="1"/>
      <c r="AD1724" s="1">
        <f>IF($C1724="",0,SUMPRODUCT((AY_SONU!$O$7:$O$42="Evet")*(AY_SONU!$B$7:$B$42=DATE(YEAR($C1724),MONTH($C1724),1))))</f>
        <v>0</v>
      </c>
      <c r="AE1724" s="1" t="str">
        <f>IF($E1724="","",$E1724&amp;"|"&amp;COUNTIFS($E$7:$E1724,$E1724))</f>
        <v/>
      </c>
    </row>
    <row r="1725" spans="1:31" ht="18" customHeight="1" x14ac:dyDescent="0.3">
      <c r="A1725" s="2"/>
      <c r="B1725" s="65" t="str">
        <f t="shared" si="210"/>
        <v/>
      </c>
      <c r="C1725" s="66"/>
      <c r="D1725" s="60"/>
      <c r="E1725" s="61"/>
      <c r="F1725" s="61"/>
      <c r="G1725" s="67"/>
      <c r="H1725" s="60"/>
      <c r="I1725" s="60"/>
      <c r="J1725" s="61"/>
      <c r="K1725" s="61"/>
      <c r="L1725" s="60"/>
      <c r="M1725" s="74" t="str">
        <f t="shared" si="211"/>
        <v/>
      </c>
      <c r="N1725" s="74" t="str">
        <f t="shared" si="212"/>
        <v/>
      </c>
      <c r="O1725" s="73" t="str">
        <f t="shared" si="213"/>
        <v/>
      </c>
      <c r="P1725" s="65" t="str">
        <f t="shared" ca="1" si="214"/>
        <v/>
      </c>
      <c r="Q1725" s="2"/>
      <c r="R1725" s="2"/>
      <c r="S1725" s="1" t="str">
        <f t="shared" si="215"/>
        <v/>
      </c>
      <c r="T1725" s="1" t="str">
        <f>IF(OR($C1725="",$D1725&lt;&gt;"Gelir",$L1725=""),"",IFERROR(INDEX(MUSTERILER!$B$7:$B$156,MATCH($S1725,MUSTERILER!$T$7:$T$156,0)),""))</f>
        <v/>
      </c>
      <c r="U1725" s="1" t="str">
        <f>IF($T1725="","",$T1725&amp;"|"&amp;COUNTIFS($T$7:$T1725,$T1725))</f>
        <v/>
      </c>
      <c r="V1725" s="1">
        <f t="shared" si="216"/>
        <v>0</v>
      </c>
      <c r="W1725" s="1" t="str">
        <f t="shared" si="217"/>
        <v/>
      </c>
      <c r="X1725" s="1"/>
      <c r="Y1725" s="1"/>
      <c r="Z1725" s="1"/>
      <c r="AA1725" s="1"/>
      <c r="AB1725" s="1"/>
      <c r="AC1725" s="1"/>
      <c r="AD1725" s="1">
        <f>IF($C1725="",0,SUMPRODUCT((AY_SONU!$O$7:$O$42="Evet")*(AY_SONU!$B$7:$B$42=DATE(YEAR($C1725),MONTH($C1725),1))))</f>
        <v>0</v>
      </c>
      <c r="AE1725" s="1" t="str">
        <f>IF($E1725="","",$E1725&amp;"|"&amp;COUNTIFS($E$7:$E1725,$E1725))</f>
        <v/>
      </c>
    </row>
    <row r="1726" spans="1:31" ht="18" customHeight="1" x14ac:dyDescent="0.3">
      <c r="A1726" s="2"/>
      <c r="B1726" s="65" t="str">
        <f t="shared" si="210"/>
        <v/>
      </c>
      <c r="C1726" s="66"/>
      <c r="D1726" s="60"/>
      <c r="E1726" s="61"/>
      <c r="F1726" s="61"/>
      <c r="G1726" s="67"/>
      <c r="H1726" s="60"/>
      <c r="I1726" s="60"/>
      <c r="J1726" s="61"/>
      <c r="K1726" s="61"/>
      <c r="L1726" s="60"/>
      <c r="M1726" s="74" t="str">
        <f t="shared" si="211"/>
        <v/>
      </c>
      <c r="N1726" s="74" t="str">
        <f t="shared" si="212"/>
        <v/>
      </c>
      <c r="O1726" s="73" t="str">
        <f t="shared" si="213"/>
        <v/>
      </c>
      <c r="P1726" s="65" t="str">
        <f t="shared" ca="1" si="214"/>
        <v/>
      </c>
      <c r="Q1726" s="2"/>
      <c r="R1726" s="2"/>
      <c r="S1726" s="1" t="str">
        <f t="shared" si="215"/>
        <v/>
      </c>
      <c r="T1726" s="1" t="str">
        <f>IF(OR($C1726="",$D1726&lt;&gt;"Gelir",$L1726=""),"",IFERROR(INDEX(MUSTERILER!$B$7:$B$156,MATCH($S1726,MUSTERILER!$T$7:$T$156,0)),""))</f>
        <v/>
      </c>
      <c r="U1726" s="1" t="str">
        <f>IF($T1726="","",$T1726&amp;"|"&amp;COUNTIFS($T$7:$T1726,$T1726))</f>
        <v/>
      </c>
      <c r="V1726" s="1">
        <f t="shared" si="216"/>
        <v>0</v>
      </c>
      <c r="W1726" s="1" t="str">
        <f t="shared" si="217"/>
        <v/>
      </c>
      <c r="X1726" s="1"/>
      <c r="Y1726" s="1"/>
      <c r="Z1726" s="1"/>
      <c r="AA1726" s="1"/>
      <c r="AB1726" s="1"/>
      <c r="AC1726" s="1"/>
      <c r="AD1726" s="1">
        <f>IF($C1726="",0,SUMPRODUCT((AY_SONU!$O$7:$O$42="Evet")*(AY_SONU!$B$7:$B$42=DATE(YEAR($C1726),MONTH($C1726),1))))</f>
        <v>0</v>
      </c>
      <c r="AE1726" s="1" t="str">
        <f>IF($E1726="","",$E1726&amp;"|"&amp;COUNTIFS($E$7:$E1726,$E1726))</f>
        <v/>
      </c>
    </row>
    <row r="1727" spans="1:31" ht="18" customHeight="1" x14ac:dyDescent="0.3">
      <c r="A1727" s="2"/>
      <c r="B1727" s="65" t="str">
        <f t="shared" si="210"/>
        <v/>
      </c>
      <c r="C1727" s="66"/>
      <c r="D1727" s="60"/>
      <c r="E1727" s="61"/>
      <c r="F1727" s="61"/>
      <c r="G1727" s="67"/>
      <c r="H1727" s="60"/>
      <c r="I1727" s="60"/>
      <c r="J1727" s="61"/>
      <c r="K1727" s="61"/>
      <c r="L1727" s="60"/>
      <c r="M1727" s="74" t="str">
        <f t="shared" si="211"/>
        <v/>
      </c>
      <c r="N1727" s="74" t="str">
        <f t="shared" si="212"/>
        <v/>
      </c>
      <c r="O1727" s="73" t="str">
        <f t="shared" si="213"/>
        <v/>
      </c>
      <c r="P1727" s="65" t="str">
        <f t="shared" ca="1" si="214"/>
        <v/>
      </c>
      <c r="Q1727" s="2"/>
      <c r="R1727" s="2"/>
      <c r="S1727" s="1" t="str">
        <f t="shared" si="215"/>
        <v/>
      </c>
      <c r="T1727" s="1" t="str">
        <f>IF(OR($C1727="",$D1727&lt;&gt;"Gelir",$L1727=""),"",IFERROR(INDEX(MUSTERILER!$B$7:$B$156,MATCH($S1727,MUSTERILER!$T$7:$T$156,0)),""))</f>
        <v/>
      </c>
      <c r="U1727" s="1" t="str">
        <f>IF($T1727="","",$T1727&amp;"|"&amp;COUNTIFS($T$7:$T1727,$T1727))</f>
        <v/>
      </c>
      <c r="V1727" s="1">
        <f t="shared" si="216"/>
        <v>0</v>
      </c>
      <c r="W1727" s="1" t="str">
        <f t="shared" si="217"/>
        <v/>
      </c>
      <c r="X1727" s="1"/>
      <c r="Y1727" s="1"/>
      <c r="Z1727" s="1"/>
      <c r="AA1727" s="1"/>
      <c r="AB1727" s="1"/>
      <c r="AC1727" s="1"/>
      <c r="AD1727" s="1">
        <f>IF($C1727="",0,SUMPRODUCT((AY_SONU!$O$7:$O$42="Evet")*(AY_SONU!$B$7:$B$42=DATE(YEAR($C1727),MONTH($C1727),1))))</f>
        <v>0</v>
      </c>
      <c r="AE1727" s="1" t="str">
        <f>IF($E1727="","",$E1727&amp;"|"&amp;COUNTIFS($E$7:$E1727,$E1727))</f>
        <v/>
      </c>
    </row>
    <row r="1728" spans="1:31" ht="18" customHeight="1" x14ac:dyDescent="0.3">
      <c r="A1728" s="2"/>
      <c r="B1728" s="65" t="str">
        <f t="shared" si="210"/>
        <v/>
      </c>
      <c r="C1728" s="66"/>
      <c r="D1728" s="60"/>
      <c r="E1728" s="61"/>
      <c r="F1728" s="61"/>
      <c r="G1728" s="67"/>
      <c r="H1728" s="60"/>
      <c r="I1728" s="60"/>
      <c r="J1728" s="61"/>
      <c r="K1728" s="61"/>
      <c r="L1728" s="60"/>
      <c r="M1728" s="74" t="str">
        <f t="shared" si="211"/>
        <v/>
      </c>
      <c r="N1728" s="74" t="str">
        <f t="shared" si="212"/>
        <v/>
      </c>
      <c r="O1728" s="73" t="str">
        <f t="shared" si="213"/>
        <v/>
      </c>
      <c r="P1728" s="65" t="str">
        <f t="shared" ca="1" si="214"/>
        <v/>
      </c>
      <c r="Q1728" s="2"/>
      <c r="R1728" s="2"/>
      <c r="S1728" s="1" t="str">
        <f t="shared" si="215"/>
        <v/>
      </c>
      <c r="T1728" s="1" t="str">
        <f>IF(OR($C1728="",$D1728&lt;&gt;"Gelir",$L1728=""),"",IFERROR(INDEX(MUSTERILER!$B$7:$B$156,MATCH($S1728,MUSTERILER!$T$7:$T$156,0)),""))</f>
        <v/>
      </c>
      <c r="U1728" s="1" t="str">
        <f>IF($T1728="","",$T1728&amp;"|"&amp;COUNTIFS($T$7:$T1728,$T1728))</f>
        <v/>
      </c>
      <c r="V1728" s="1">
        <f t="shared" si="216"/>
        <v>0</v>
      </c>
      <c r="W1728" s="1" t="str">
        <f t="shared" si="217"/>
        <v/>
      </c>
      <c r="X1728" s="1"/>
      <c r="Y1728" s="1"/>
      <c r="Z1728" s="1"/>
      <c r="AA1728" s="1"/>
      <c r="AB1728" s="1"/>
      <c r="AC1728" s="1"/>
      <c r="AD1728" s="1">
        <f>IF($C1728="",0,SUMPRODUCT((AY_SONU!$O$7:$O$42="Evet")*(AY_SONU!$B$7:$B$42=DATE(YEAR($C1728),MONTH($C1728),1))))</f>
        <v>0</v>
      </c>
      <c r="AE1728" s="1" t="str">
        <f>IF($E1728="","",$E1728&amp;"|"&amp;COUNTIFS($E$7:$E1728,$E1728))</f>
        <v/>
      </c>
    </row>
    <row r="1729" spans="1:31" ht="18" customHeight="1" x14ac:dyDescent="0.3">
      <c r="A1729" s="2"/>
      <c r="B1729" s="65" t="str">
        <f t="shared" si="210"/>
        <v/>
      </c>
      <c r="C1729" s="66"/>
      <c r="D1729" s="60"/>
      <c r="E1729" s="61"/>
      <c r="F1729" s="61"/>
      <c r="G1729" s="67"/>
      <c r="H1729" s="60"/>
      <c r="I1729" s="60"/>
      <c r="J1729" s="61"/>
      <c r="K1729" s="61"/>
      <c r="L1729" s="60"/>
      <c r="M1729" s="74" t="str">
        <f t="shared" si="211"/>
        <v/>
      </c>
      <c r="N1729" s="74" t="str">
        <f t="shared" si="212"/>
        <v/>
      </c>
      <c r="O1729" s="73" t="str">
        <f t="shared" si="213"/>
        <v/>
      </c>
      <c r="P1729" s="65" t="str">
        <f t="shared" ca="1" si="214"/>
        <v/>
      </c>
      <c r="Q1729" s="2"/>
      <c r="R1729" s="2"/>
      <c r="S1729" s="1" t="str">
        <f t="shared" si="215"/>
        <v/>
      </c>
      <c r="T1729" s="1" t="str">
        <f>IF(OR($C1729="",$D1729&lt;&gt;"Gelir",$L1729=""),"",IFERROR(INDEX(MUSTERILER!$B$7:$B$156,MATCH($S1729,MUSTERILER!$T$7:$T$156,0)),""))</f>
        <v/>
      </c>
      <c r="U1729" s="1" t="str">
        <f>IF($T1729="","",$T1729&amp;"|"&amp;COUNTIFS($T$7:$T1729,$T1729))</f>
        <v/>
      </c>
      <c r="V1729" s="1">
        <f t="shared" si="216"/>
        <v>0</v>
      </c>
      <c r="W1729" s="1" t="str">
        <f t="shared" si="217"/>
        <v/>
      </c>
      <c r="X1729" s="1"/>
      <c r="Y1729" s="1"/>
      <c r="Z1729" s="1"/>
      <c r="AA1729" s="1"/>
      <c r="AB1729" s="1"/>
      <c r="AC1729" s="1"/>
      <c r="AD1729" s="1">
        <f>IF($C1729="",0,SUMPRODUCT((AY_SONU!$O$7:$O$42="Evet")*(AY_SONU!$B$7:$B$42=DATE(YEAR($C1729),MONTH($C1729),1))))</f>
        <v>0</v>
      </c>
      <c r="AE1729" s="1" t="str">
        <f>IF($E1729="","",$E1729&amp;"|"&amp;COUNTIFS($E$7:$E1729,$E1729))</f>
        <v/>
      </c>
    </row>
    <row r="1730" spans="1:31" ht="18" customHeight="1" x14ac:dyDescent="0.3">
      <c r="A1730" s="2"/>
      <c r="B1730" s="65" t="str">
        <f t="shared" si="210"/>
        <v/>
      </c>
      <c r="C1730" s="66"/>
      <c r="D1730" s="60"/>
      <c r="E1730" s="61"/>
      <c r="F1730" s="61"/>
      <c r="G1730" s="67"/>
      <c r="H1730" s="60"/>
      <c r="I1730" s="60"/>
      <c r="J1730" s="61"/>
      <c r="K1730" s="61"/>
      <c r="L1730" s="60"/>
      <c r="M1730" s="74" t="str">
        <f t="shared" si="211"/>
        <v/>
      </c>
      <c r="N1730" s="74" t="str">
        <f t="shared" si="212"/>
        <v/>
      </c>
      <c r="O1730" s="73" t="str">
        <f t="shared" si="213"/>
        <v/>
      </c>
      <c r="P1730" s="65" t="str">
        <f t="shared" ca="1" si="214"/>
        <v/>
      </c>
      <c r="Q1730" s="2"/>
      <c r="R1730" s="2"/>
      <c r="S1730" s="1" t="str">
        <f t="shared" si="215"/>
        <v/>
      </c>
      <c r="T1730" s="1" t="str">
        <f>IF(OR($C1730="",$D1730&lt;&gt;"Gelir",$L1730=""),"",IFERROR(INDEX(MUSTERILER!$B$7:$B$156,MATCH($S1730,MUSTERILER!$T$7:$T$156,0)),""))</f>
        <v/>
      </c>
      <c r="U1730" s="1" t="str">
        <f>IF($T1730="","",$T1730&amp;"|"&amp;COUNTIFS($T$7:$T1730,$T1730))</f>
        <v/>
      </c>
      <c r="V1730" s="1">
        <f t="shared" si="216"/>
        <v>0</v>
      </c>
      <c r="W1730" s="1" t="str">
        <f t="shared" si="217"/>
        <v/>
      </c>
      <c r="X1730" s="1"/>
      <c r="Y1730" s="1"/>
      <c r="Z1730" s="1"/>
      <c r="AA1730" s="1"/>
      <c r="AB1730" s="1"/>
      <c r="AC1730" s="1"/>
      <c r="AD1730" s="1">
        <f>IF($C1730="",0,SUMPRODUCT((AY_SONU!$O$7:$O$42="Evet")*(AY_SONU!$B$7:$B$42=DATE(YEAR($C1730),MONTH($C1730),1))))</f>
        <v>0</v>
      </c>
      <c r="AE1730" s="1" t="str">
        <f>IF($E1730="","",$E1730&amp;"|"&amp;COUNTIFS($E$7:$E1730,$E1730))</f>
        <v/>
      </c>
    </row>
    <row r="1731" spans="1:31" ht="18" customHeight="1" x14ac:dyDescent="0.3">
      <c r="A1731" s="2"/>
      <c r="B1731" s="65" t="str">
        <f t="shared" si="210"/>
        <v/>
      </c>
      <c r="C1731" s="66"/>
      <c r="D1731" s="60"/>
      <c r="E1731" s="61"/>
      <c r="F1731" s="61"/>
      <c r="G1731" s="67"/>
      <c r="H1731" s="60"/>
      <c r="I1731" s="60"/>
      <c r="J1731" s="61"/>
      <c r="K1731" s="61"/>
      <c r="L1731" s="60"/>
      <c r="M1731" s="74" t="str">
        <f t="shared" si="211"/>
        <v/>
      </c>
      <c r="N1731" s="74" t="str">
        <f t="shared" si="212"/>
        <v/>
      </c>
      <c r="O1731" s="73" t="str">
        <f t="shared" si="213"/>
        <v/>
      </c>
      <c r="P1731" s="65" t="str">
        <f t="shared" ca="1" si="214"/>
        <v/>
      </c>
      <c r="Q1731" s="2"/>
      <c r="R1731" s="2"/>
      <c r="S1731" s="1" t="str">
        <f t="shared" si="215"/>
        <v/>
      </c>
      <c r="T1731" s="1" t="str">
        <f>IF(OR($C1731="",$D1731&lt;&gt;"Gelir",$L1731=""),"",IFERROR(INDEX(MUSTERILER!$B$7:$B$156,MATCH($S1731,MUSTERILER!$T$7:$T$156,0)),""))</f>
        <v/>
      </c>
      <c r="U1731" s="1" t="str">
        <f>IF($T1731="","",$T1731&amp;"|"&amp;COUNTIFS($T$7:$T1731,$T1731))</f>
        <v/>
      </c>
      <c r="V1731" s="1">
        <f t="shared" si="216"/>
        <v>0</v>
      </c>
      <c r="W1731" s="1" t="str">
        <f t="shared" si="217"/>
        <v/>
      </c>
      <c r="X1731" s="1"/>
      <c r="Y1731" s="1"/>
      <c r="Z1731" s="1"/>
      <c r="AA1731" s="1"/>
      <c r="AB1731" s="1"/>
      <c r="AC1731" s="1"/>
      <c r="AD1731" s="1">
        <f>IF($C1731="",0,SUMPRODUCT((AY_SONU!$O$7:$O$42="Evet")*(AY_SONU!$B$7:$B$42=DATE(YEAR($C1731),MONTH($C1731),1))))</f>
        <v>0</v>
      </c>
      <c r="AE1731" s="1" t="str">
        <f>IF($E1731="","",$E1731&amp;"|"&amp;COUNTIFS($E$7:$E1731,$E1731))</f>
        <v/>
      </c>
    </row>
    <row r="1732" spans="1:31" ht="18" customHeight="1" x14ac:dyDescent="0.3">
      <c r="A1732" s="2"/>
      <c r="B1732" s="65" t="str">
        <f t="shared" si="210"/>
        <v/>
      </c>
      <c r="C1732" s="66"/>
      <c r="D1732" s="60"/>
      <c r="E1732" s="61"/>
      <c r="F1732" s="61"/>
      <c r="G1732" s="67"/>
      <c r="H1732" s="60"/>
      <c r="I1732" s="60"/>
      <c r="J1732" s="61"/>
      <c r="K1732" s="61"/>
      <c r="L1732" s="60"/>
      <c r="M1732" s="74" t="str">
        <f t="shared" si="211"/>
        <v/>
      </c>
      <c r="N1732" s="74" t="str">
        <f t="shared" si="212"/>
        <v/>
      </c>
      <c r="O1732" s="73" t="str">
        <f t="shared" si="213"/>
        <v/>
      </c>
      <c r="P1732" s="65" t="str">
        <f t="shared" ca="1" si="214"/>
        <v/>
      </c>
      <c r="Q1732" s="2"/>
      <c r="R1732" s="2"/>
      <c r="S1732" s="1" t="str">
        <f t="shared" si="215"/>
        <v/>
      </c>
      <c r="T1732" s="1" t="str">
        <f>IF(OR($C1732="",$D1732&lt;&gt;"Gelir",$L1732=""),"",IFERROR(INDEX(MUSTERILER!$B$7:$B$156,MATCH($S1732,MUSTERILER!$T$7:$T$156,0)),""))</f>
        <v/>
      </c>
      <c r="U1732" s="1" t="str">
        <f>IF($T1732="","",$T1732&amp;"|"&amp;COUNTIFS($T$7:$T1732,$T1732))</f>
        <v/>
      </c>
      <c r="V1732" s="1">
        <f t="shared" si="216"/>
        <v>0</v>
      </c>
      <c r="W1732" s="1" t="str">
        <f t="shared" si="217"/>
        <v/>
      </c>
      <c r="X1732" s="1"/>
      <c r="Y1732" s="1"/>
      <c r="Z1732" s="1"/>
      <c r="AA1732" s="1"/>
      <c r="AB1732" s="1"/>
      <c r="AC1732" s="1"/>
      <c r="AD1732" s="1">
        <f>IF($C1732="",0,SUMPRODUCT((AY_SONU!$O$7:$O$42="Evet")*(AY_SONU!$B$7:$B$42=DATE(YEAR($C1732),MONTH($C1732),1))))</f>
        <v>0</v>
      </c>
      <c r="AE1732" s="1" t="str">
        <f>IF($E1732="","",$E1732&amp;"|"&amp;COUNTIFS($E$7:$E1732,$E1732))</f>
        <v/>
      </c>
    </row>
    <row r="1733" spans="1:31" ht="18" customHeight="1" x14ac:dyDescent="0.3">
      <c r="A1733" s="2"/>
      <c r="B1733" s="65" t="str">
        <f t="shared" si="210"/>
        <v/>
      </c>
      <c r="C1733" s="66"/>
      <c r="D1733" s="60"/>
      <c r="E1733" s="61"/>
      <c r="F1733" s="61"/>
      <c r="G1733" s="67"/>
      <c r="H1733" s="60"/>
      <c r="I1733" s="60"/>
      <c r="J1733" s="61"/>
      <c r="K1733" s="61"/>
      <c r="L1733" s="60"/>
      <c r="M1733" s="74" t="str">
        <f t="shared" si="211"/>
        <v/>
      </c>
      <c r="N1733" s="74" t="str">
        <f t="shared" si="212"/>
        <v/>
      </c>
      <c r="O1733" s="73" t="str">
        <f t="shared" si="213"/>
        <v/>
      </c>
      <c r="P1733" s="65" t="str">
        <f t="shared" ca="1" si="214"/>
        <v/>
      </c>
      <c r="Q1733" s="2"/>
      <c r="R1733" s="2"/>
      <c r="S1733" s="1" t="str">
        <f t="shared" si="215"/>
        <v/>
      </c>
      <c r="T1733" s="1" t="str">
        <f>IF(OR($C1733="",$D1733&lt;&gt;"Gelir",$L1733=""),"",IFERROR(INDEX(MUSTERILER!$B$7:$B$156,MATCH($S1733,MUSTERILER!$T$7:$T$156,0)),""))</f>
        <v/>
      </c>
      <c r="U1733" s="1" t="str">
        <f>IF($T1733="","",$T1733&amp;"|"&amp;COUNTIFS($T$7:$T1733,$T1733))</f>
        <v/>
      </c>
      <c r="V1733" s="1">
        <f t="shared" si="216"/>
        <v>0</v>
      </c>
      <c r="W1733" s="1" t="str">
        <f t="shared" si="217"/>
        <v/>
      </c>
      <c r="X1733" s="1"/>
      <c r="Y1733" s="1"/>
      <c r="Z1733" s="1"/>
      <c r="AA1733" s="1"/>
      <c r="AB1733" s="1"/>
      <c r="AC1733" s="1"/>
      <c r="AD1733" s="1">
        <f>IF($C1733="",0,SUMPRODUCT((AY_SONU!$O$7:$O$42="Evet")*(AY_SONU!$B$7:$B$42=DATE(YEAR($C1733),MONTH($C1733),1))))</f>
        <v>0</v>
      </c>
      <c r="AE1733" s="1" t="str">
        <f>IF($E1733="","",$E1733&amp;"|"&amp;COUNTIFS($E$7:$E1733,$E1733))</f>
        <v/>
      </c>
    </row>
    <row r="1734" spans="1:31" ht="18" customHeight="1" x14ac:dyDescent="0.3">
      <c r="A1734" s="2"/>
      <c r="B1734" s="65" t="str">
        <f t="shared" si="210"/>
        <v/>
      </c>
      <c r="C1734" s="66"/>
      <c r="D1734" s="60"/>
      <c r="E1734" s="61"/>
      <c r="F1734" s="61"/>
      <c r="G1734" s="67"/>
      <c r="H1734" s="60"/>
      <c r="I1734" s="60"/>
      <c r="J1734" s="61"/>
      <c r="K1734" s="61"/>
      <c r="L1734" s="60"/>
      <c r="M1734" s="74" t="str">
        <f t="shared" si="211"/>
        <v/>
      </c>
      <c r="N1734" s="74" t="str">
        <f t="shared" si="212"/>
        <v/>
      </c>
      <c r="O1734" s="73" t="str">
        <f t="shared" si="213"/>
        <v/>
      </c>
      <c r="P1734" s="65" t="str">
        <f t="shared" ca="1" si="214"/>
        <v/>
      </c>
      <c r="Q1734" s="2"/>
      <c r="R1734" s="2"/>
      <c r="S1734" s="1" t="str">
        <f t="shared" si="215"/>
        <v/>
      </c>
      <c r="T1734" s="1" t="str">
        <f>IF(OR($C1734="",$D1734&lt;&gt;"Gelir",$L1734=""),"",IFERROR(INDEX(MUSTERILER!$B$7:$B$156,MATCH($S1734,MUSTERILER!$T$7:$T$156,0)),""))</f>
        <v/>
      </c>
      <c r="U1734" s="1" t="str">
        <f>IF($T1734="","",$T1734&amp;"|"&amp;COUNTIFS($T$7:$T1734,$T1734))</f>
        <v/>
      </c>
      <c r="V1734" s="1">
        <f t="shared" si="216"/>
        <v>0</v>
      </c>
      <c r="W1734" s="1" t="str">
        <f t="shared" si="217"/>
        <v/>
      </c>
      <c r="X1734" s="1"/>
      <c r="Y1734" s="1"/>
      <c r="Z1734" s="1"/>
      <c r="AA1734" s="1"/>
      <c r="AB1734" s="1"/>
      <c r="AC1734" s="1"/>
      <c r="AD1734" s="1">
        <f>IF($C1734="",0,SUMPRODUCT((AY_SONU!$O$7:$O$42="Evet")*(AY_SONU!$B$7:$B$42=DATE(YEAR($C1734),MONTH($C1734),1))))</f>
        <v>0</v>
      </c>
      <c r="AE1734" s="1" t="str">
        <f>IF($E1734="","",$E1734&amp;"|"&amp;COUNTIFS($E$7:$E1734,$E1734))</f>
        <v/>
      </c>
    </row>
    <row r="1735" spans="1:31" ht="18" customHeight="1" x14ac:dyDescent="0.3">
      <c r="A1735" s="2"/>
      <c r="B1735" s="65" t="str">
        <f t="shared" ref="B1735:B1798" si="218">IF($C1735="","","GG"&amp;TEXT(ROW()-6,"00000"))</f>
        <v/>
      </c>
      <c r="C1735" s="66"/>
      <c r="D1735" s="60"/>
      <c r="E1735" s="61"/>
      <c r="F1735" s="61"/>
      <c r="G1735" s="67"/>
      <c r="H1735" s="60"/>
      <c r="I1735" s="60"/>
      <c r="J1735" s="61"/>
      <c r="K1735" s="61"/>
      <c r="L1735" s="60"/>
      <c r="M1735" s="74" t="str">
        <f t="shared" ref="M1735:M1798" si="219">IF($C1735="","",IF($D1735="Gider",$E1735,IF($L1735&lt;&gt;"",$L1735,$H1735)))</f>
        <v/>
      </c>
      <c r="N1735" s="74" t="str">
        <f t="shared" ref="N1735:N1798" si="220">IF($C1735="","",IF($D1735="Gider",$H1735,$E1735))</f>
        <v/>
      </c>
      <c r="O1735" s="73" t="str">
        <f t="shared" ref="O1735:O1798" si="221">IF($C1735="","",DATE(YEAR($C1735),MONTH($C1735),1))</f>
        <v/>
      </c>
      <c r="P1735" s="65" t="str">
        <f t="shared" ref="P1735:P1798" ca="1" si="222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TARİH",IF(COUNTIF($W$7:$W$3006,$W1735)&gt;1,"MÜKERRER?",IF($AD1735&gt;0,"KAPALI DÖNEM",IF($I1735="Hayır","ÖDENECEK","UYGUN")))),"EKSİK"))))</f>
        <v/>
      </c>
      <c r="Q1735" s="2"/>
      <c r="R1735" s="2"/>
      <c r="S1735" s="1" t="str">
        <f t="shared" ref="S1735:S1798" si="223"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1" t="str">
        <f>IF(OR($C1735="",$D1735&lt;&gt;"Gelir",$L1735=""),"",IFERROR(INDEX(MUSTERILER!$B$7:$B$156,MATCH($S1735,MUSTERILER!$T$7:$T$156,0)),""))</f>
        <v/>
      </c>
      <c r="U1735" s="1" t="str">
        <f>IF($T1735="","",$T1735&amp;"|"&amp;COUNTIFS($T$7:$T1735,$T1735))</f>
        <v/>
      </c>
      <c r="V1735" s="1">
        <f t="shared" ref="V1735:V1798" si="224">IF($T1735="",0,1)</f>
        <v>0</v>
      </c>
      <c r="W1735" s="1" t="str">
        <f t="shared" ref="W1735:W1798" si="225">IF($C1735="","",$D1735&amp;"|"&amp;$E1735&amp;"|"&amp;TEXT($C1735,"0")&amp;"|"&amp;TEXT($G1735,"0")&amp;"|"&amp;$J1735)</f>
        <v/>
      </c>
      <c r="X1735" s="1"/>
      <c r="Y1735" s="1"/>
      <c r="Z1735" s="1"/>
      <c r="AA1735" s="1"/>
      <c r="AB1735" s="1"/>
      <c r="AC1735" s="1"/>
      <c r="AD1735" s="1">
        <f>IF($C1735="",0,SUMPRODUCT((AY_SONU!$O$7:$O$42="Evet")*(AY_SONU!$B$7:$B$42=DATE(YEAR($C1735),MONTH($C1735),1))))</f>
        <v>0</v>
      </c>
      <c r="AE1735" s="1" t="str">
        <f>IF($E1735="","",$E1735&amp;"|"&amp;COUNTIFS($E$7:$E1735,$E1735))</f>
        <v/>
      </c>
    </row>
    <row r="1736" spans="1:31" ht="18" customHeight="1" x14ac:dyDescent="0.3">
      <c r="A1736" s="2"/>
      <c r="B1736" s="65" t="str">
        <f t="shared" si="218"/>
        <v/>
      </c>
      <c r="C1736" s="66"/>
      <c r="D1736" s="60"/>
      <c r="E1736" s="61"/>
      <c r="F1736" s="61"/>
      <c r="G1736" s="67"/>
      <c r="H1736" s="60"/>
      <c r="I1736" s="60"/>
      <c r="J1736" s="61"/>
      <c r="K1736" s="61"/>
      <c r="L1736" s="60"/>
      <c r="M1736" s="74" t="str">
        <f t="shared" si="219"/>
        <v/>
      </c>
      <c r="N1736" s="74" t="str">
        <f t="shared" si="220"/>
        <v/>
      </c>
      <c r="O1736" s="73" t="str">
        <f t="shared" si="221"/>
        <v/>
      </c>
      <c r="P1736" s="65" t="str">
        <f t="shared" ca="1" si="222"/>
        <v/>
      </c>
      <c r="Q1736" s="2"/>
      <c r="R1736" s="2"/>
      <c r="S1736" s="1" t="str">
        <f t="shared" si="223"/>
        <v/>
      </c>
      <c r="T1736" s="1" t="str">
        <f>IF(OR($C1736="",$D1736&lt;&gt;"Gelir",$L1736=""),"",IFERROR(INDEX(MUSTERILER!$B$7:$B$156,MATCH($S1736,MUSTERILER!$T$7:$T$156,0)),""))</f>
        <v/>
      </c>
      <c r="U1736" s="1" t="str">
        <f>IF($T1736="","",$T1736&amp;"|"&amp;COUNTIFS($T$7:$T1736,$T1736))</f>
        <v/>
      </c>
      <c r="V1736" s="1">
        <f t="shared" si="224"/>
        <v>0</v>
      </c>
      <c r="W1736" s="1" t="str">
        <f t="shared" si="225"/>
        <v/>
      </c>
      <c r="X1736" s="1"/>
      <c r="Y1736" s="1"/>
      <c r="Z1736" s="1"/>
      <c r="AA1736" s="1"/>
      <c r="AB1736" s="1"/>
      <c r="AC1736" s="1"/>
      <c r="AD1736" s="1">
        <f>IF($C1736="",0,SUMPRODUCT((AY_SONU!$O$7:$O$42="Evet")*(AY_SONU!$B$7:$B$42=DATE(YEAR($C1736),MONTH($C1736),1))))</f>
        <v>0</v>
      </c>
      <c r="AE1736" s="1" t="str">
        <f>IF($E1736="","",$E1736&amp;"|"&amp;COUNTIFS($E$7:$E1736,$E1736))</f>
        <v/>
      </c>
    </row>
    <row r="1737" spans="1:31" ht="18" customHeight="1" x14ac:dyDescent="0.3">
      <c r="A1737" s="2"/>
      <c r="B1737" s="65" t="str">
        <f t="shared" si="218"/>
        <v/>
      </c>
      <c r="C1737" s="66"/>
      <c r="D1737" s="60"/>
      <c r="E1737" s="61"/>
      <c r="F1737" s="61"/>
      <c r="G1737" s="67"/>
      <c r="H1737" s="60"/>
      <c r="I1737" s="60"/>
      <c r="J1737" s="61"/>
      <c r="K1737" s="61"/>
      <c r="L1737" s="60"/>
      <c r="M1737" s="74" t="str">
        <f t="shared" si="219"/>
        <v/>
      </c>
      <c r="N1737" s="74" t="str">
        <f t="shared" si="220"/>
        <v/>
      </c>
      <c r="O1737" s="73" t="str">
        <f t="shared" si="221"/>
        <v/>
      </c>
      <c r="P1737" s="65" t="str">
        <f t="shared" ca="1" si="222"/>
        <v/>
      </c>
      <c r="Q1737" s="2"/>
      <c r="R1737" s="2"/>
      <c r="S1737" s="1" t="str">
        <f t="shared" si="223"/>
        <v/>
      </c>
      <c r="T1737" s="1" t="str">
        <f>IF(OR($C1737="",$D1737&lt;&gt;"Gelir",$L1737=""),"",IFERROR(INDEX(MUSTERILER!$B$7:$B$156,MATCH($S1737,MUSTERILER!$T$7:$T$156,0)),""))</f>
        <v/>
      </c>
      <c r="U1737" s="1" t="str">
        <f>IF($T1737="","",$T1737&amp;"|"&amp;COUNTIFS($T$7:$T1737,$T1737))</f>
        <v/>
      </c>
      <c r="V1737" s="1">
        <f t="shared" si="224"/>
        <v>0</v>
      </c>
      <c r="W1737" s="1" t="str">
        <f t="shared" si="225"/>
        <v/>
      </c>
      <c r="X1737" s="1"/>
      <c r="Y1737" s="1"/>
      <c r="Z1737" s="1"/>
      <c r="AA1737" s="1"/>
      <c r="AB1737" s="1"/>
      <c r="AC1737" s="1"/>
      <c r="AD1737" s="1">
        <f>IF($C1737="",0,SUMPRODUCT((AY_SONU!$O$7:$O$42="Evet")*(AY_SONU!$B$7:$B$42=DATE(YEAR($C1737),MONTH($C1737),1))))</f>
        <v>0</v>
      </c>
      <c r="AE1737" s="1" t="str">
        <f>IF($E1737="","",$E1737&amp;"|"&amp;COUNTIFS($E$7:$E1737,$E1737))</f>
        <v/>
      </c>
    </row>
    <row r="1738" spans="1:31" ht="18" customHeight="1" x14ac:dyDescent="0.3">
      <c r="A1738" s="2"/>
      <c r="B1738" s="65" t="str">
        <f t="shared" si="218"/>
        <v/>
      </c>
      <c r="C1738" s="66"/>
      <c r="D1738" s="60"/>
      <c r="E1738" s="61"/>
      <c r="F1738" s="61"/>
      <c r="G1738" s="67"/>
      <c r="H1738" s="60"/>
      <c r="I1738" s="60"/>
      <c r="J1738" s="61"/>
      <c r="K1738" s="61"/>
      <c r="L1738" s="60"/>
      <c r="M1738" s="74" t="str">
        <f t="shared" si="219"/>
        <v/>
      </c>
      <c r="N1738" s="74" t="str">
        <f t="shared" si="220"/>
        <v/>
      </c>
      <c r="O1738" s="73" t="str">
        <f t="shared" si="221"/>
        <v/>
      </c>
      <c r="P1738" s="65" t="str">
        <f t="shared" ca="1" si="222"/>
        <v/>
      </c>
      <c r="Q1738" s="2"/>
      <c r="R1738" s="2"/>
      <c r="S1738" s="1" t="str">
        <f t="shared" si="223"/>
        <v/>
      </c>
      <c r="T1738" s="1" t="str">
        <f>IF(OR($C1738="",$D1738&lt;&gt;"Gelir",$L1738=""),"",IFERROR(INDEX(MUSTERILER!$B$7:$B$156,MATCH($S1738,MUSTERILER!$T$7:$T$156,0)),""))</f>
        <v/>
      </c>
      <c r="U1738" s="1" t="str">
        <f>IF($T1738="","",$T1738&amp;"|"&amp;COUNTIFS($T$7:$T1738,$T1738))</f>
        <v/>
      </c>
      <c r="V1738" s="1">
        <f t="shared" si="224"/>
        <v>0</v>
      </c>
      <c r="W1738" s="1" t="str">
        <f t="shared" si="225"/>
        <v/>
      </c>
      <c r="X1738" s="1"/>
      <c r="Y1738" s="1"/>
      <c r="Z1738" s="1"/>
      <c r="AA1738" s="1"/>
      <c r="AB1738" s="1"/>
      <c r="AC1738" s="1"/>
      <c r="AD1738" s="1">
        <f>IF($C1738="",0,SUMPRODUCT((AY_SONU!$O$7:$O$42="Evet")*(AY_SONU!$B$7:$B$42=DATE(YEAR($C1738),MONTH($C1738),1))))</f>
        <v>0</v>
      </c>
      <c r="AE1738" s="1" t="str">
        <f>IF($E1738="","",$E1738&amp;"|"&amp;COUNTIFS($E$7:$E1738,$E1738))</f>
        <v/>
      </c>
    </row>
    <row r="1739" spans="1:31" ht="18" customHeight="1" x14ac:dyDescent="0.3">
      <c r="A1739" s="2"/>
      <c r="B1739" s="65" t="str">
        <f t="shared" si="218"/>
        <v/>
      </c>
      <c r="C1739" s="66"/>
      <c r="D1739" s="60"/>
      <c r="E1739" s="61"/>
      <c r="F1739" s="61"/>
      <c r="G1739" s="67"/>
      <c r="H1739" s="60"/>
      <c r="I1739" s="60"/>
      <c r="J1739" s="61"/>
      <c r="K1739" s="61"/>
      <c r="L1739" s="60"/>
      <c r="M1739" s="74" t="str">
        <f t="shared" si="219"/>
        <v/>
      </c>
      <c r="N1739" s="74" t="str">
        <f t="shared" si="220"/>
        <v/>
      </c>
      <c r="O1739" s="73" t="str">
        <f t="shared" si="221"/>
        <v/>
      </c>
      <c r="P1739" s="65" t="str">
        <f t="shared" ca="1" si="222"/>
        <v/>
      </c>
      <c r="Q1739" s="2"/>
      <c r="R1739" s="2"/>
      <c r="S1739" s="1" t="str">
        <f t="shared" si="223"/>
        <v/>
      </c>
      <c r="T1739" s="1" t="str">
        <f>IF(OR($C1739="",$D1739&lt;&gt;"Gelir",$L1739=""),"",IFERROR(INDEX(MUSTERILER!$B$7:$B$156,MATCH($S1739,MUSTERILER!$T$7:$T$156,0)),""))</f>
        <v/>
      </c>
      <c r="U1739" s="1" t="str">
        <f>IF($T1739="","",$T1739&amp;"|"&amp;COUNTIFS($T$7:$T1739,$T1739))</f>
        <v/>
      </c>
      <c r="V1739" s="1">
        <f t="shared" si="224"/>
        <v>0</v>
      </c>
      <c r="W1739" s="1" t="str">
        <f t="shared" si="225"/>
        <v/>
      </c>
      <c r="X1739" s="1"/>
      <c r="Y1739" s="1"/>
      <c r="Z1739" s="1"/>
      <c r="AA1739" s="1"/>
      <c r="AB1739" s="1"/>
      <c r="AC1739" s="1"/>
      <c r="AD1739" s="1">
        <f>IF($C1739="",0,SUMPRODUCT((AY_SONU!$O$7:$O$42="Evet")*(AY_SONU!$B$7:$B$42=DATE(YEAR($C1739),MONTH($C1739),1))))</f>
        <v>0</v>
      </c>
      <c r="AE1739" s="1" t="str">
        <f>IF($E1739="","",$E1739&amp;"|"&amp;COUNTIFS($E$7:$E1739,$E1739))</f>
        <v/>
      </c>
    </row>
    <row r="1740" spans="1:31" ht="18" customHeight="1" x14ac:dyDescent="0.3">
      <c r="A1740" s="2"/>
      <c r="B1740" s="65" t="str">
        <f t="shared" si="218"/>
        <v/>
      </c>
      <c r="C1740" s="66"/>
      <c r="D1740" s="60"/>
      <c r="E1740" s="61"/>
      <c r="F1740" s="61"/>
      <c r="G1740" s="67"/>
      <c r="H1740" s="60"/>
      <c r="I1740" s="60"/>
      <c r="J1740" s="61"/>
      <c r="K1740" s="61"/>
      <c r="L1740" s="60"/>
      <c r="M1740" s="74" t="str">
        <f t="shared" si="219"/>
        <v/>
      </c>
      <c r="N1740" s="74" t="str">
        <f t="shared" si="220"/>
        <v/>
      </c>
      <c r="O1740" s="73" t="str">
        <f t="shared" si="221"/>
        <v/>
      </c>
      <c r="P1740" s="65" t="str">
        <f t="shared" ca="1" si="222"/>
        <v/>
      </c>
      <c r="Q1740" s="2"/>
      <c r="R1740" s="2"/>
      <c r="S1740" s="1" t="str">
        <f t="shared" si="223"/>
        <v/>
      </c>
      <c r="T1740" s="1" t="str">
        <f>IF(OR($C1740="",$D1740&lt;&gt;"Gelir",$L1740=""),"",IFERROR(INDEX(MUSTERILER!$B$7:$B$156,MATCH($S1740,MUSTERILER!$T$7:$T$156,0)),""))</f>
        <v/>
      </c>
      <c r="U1740" s="1" t="str">
        <f>IF($T1740="","",$T1740&amp;"|"&amp;COUNTIFS($T$7:$T1740,$T1740))</f>
        <v/>
      </c>
      <c r="V1740" s="1">
        <f t="shared" si="224"/>
        <v>0</v>
      </c>
      <c r="W1740" s="1" t="str">
        <f t="shared" si="225"/>
        <v/>
      </c>
      <c r="X1740" s="1"/>
      <c r="Y1740" s="1"/>
      <c r="Z1740" s="1"/>
      <c r="AA1740" s="1"/>
      <c r="AB1740" s="1"/>
      <c r="AC1740" s="1"/>
      <c r="AD1740" s="1">
        <f>IF($C1740="",0,SUMPRODUCT((AY_SONU!$O$7:$O$42="Evet")*(AY_SONU!$B$7:$B$42=DATE(YEAR($C1740),MONTH($C1740),1))))</f>
        <v>0</v>
      </c>
      <c r="AE1740" s="1" t="str">
        <f>IF($E1740="","",$E1740&amp;"|"&amp;COUNTIFS($E$7:$E1740,$E1740))</f>
        <v/>
      </c>
    </row>
    <row r="1741" spans="1:31" ht="18" customHeight="1" x14ac:dyDescent="0.3">
      <c r="A1741" s="2"/>
      <c r="B1741" s="65" t="str">
        <f t="shared" si="218"/>
        <v/>
      </c>
      <c r="C1741" s="66"/>
      <c r="D1741" s="60"/>
      <c r="E1741" s="61"/>
      <c r="F1741" s="61"/>
      <c r="G1741" s="67"/>
      <c r="H1741" s="60"/>
      <c r="I1741" s="60"/>
      <c r="J1741" s="61"/>
      <c r="K1741" s="61"/>
      <c r="L1741" s="60"/>
      <c r="M1741" s="74" t="str">
        <f t="shared" si="219"/>
        <v/>
      </c>
      <c r="N1741" s="74" t="str">
        <f t="shared" si="220"/>
        <v/>
      </c>
      <c r="O1741" s="73" t="str">
        <f t="shared" si="221"/>
        <v/>
      </c>
      <c r="P1741" s="65" t="str">
        <f t="shared" ca="1" si="222"/>
        <v/>
      </c>
      <c r="Q1741" s="2"/>
      <c r="R1741" s="2"/>
      <c r="S1741" s="1" t="str">
        <f t="shared" si="223"/>
        <v/>
      </c>
      <c r="T1741" s="1" t="str">
        <f>IF(OR($C1741="",$D1741&lt;&gt;"Gelir",$L1741=""),"",IFERROR(INDEX(MUSTERILER!$B$7:$B$156,MATCH($S1741,MUSTERILER!$T$7:$T$156,0)),""))</f>
        <v/>
      </c>
      <c r="U1741" s="1" t="str">
        <f>IF($T1741="","",$T1741&amp;"|"&amp;COUNTIFS($T$7:$T1741,$T1741))</f>
        <v/>
      </c>
      <c r="V1741" s="1">
        <f t="shared" si="224"/>
        <v>0</v>
      </c>
      <c r="W1741" s="1" t="str">
        <f t="shared" si="225"/>
        <v/>
      </c>
      <c r="X1741" s="1"/>
      <c r="Y1741" s="1"/>
      <c r="Z1741" s="1"/>
      <c r="AA1741" s="1"/>
      <c r="AB1741" s="1"/>
      <c r="AC1741" s="1"/>
      <c r="AD1741" s="1">
        <f>IF($C1741="",0,SUMPRODUCT((AY_SONU!$O$7:$O$42="Evet")*(AY_SONU!$B$7:$B$42=DATE(YEAR($C1741),MONTH($C1741),1))))</f>
        <v>0</v>
      </c>
      <c r="AE1741" s="1" t="str">
        <f>IF($E1741="","",$E1741&amp;"|"&amp;COUNTIFS($E$7:$E1741,$E1741))</f>
        <v/>
      </c>
    </row>
    <row r="1742" spans="1:31" ht="18" customHeight="1" x14ac:dyDescent="0.3">
      <c r="A1742" s="2"/>
      <c r="B1742" s="65" t="str">
        <f t="shared" si="218"/>
        <v/>
      </c>
      <c r="C1742" s="66"/>
      <c r="D1742" s="60"/>
      <c r="E1742" s="61"/>
      <c r="F1742" s="61"/>
      <c r="G1742" s="67"/>
      <c r="H1742" s="60"/>
      <c r="I1742" s="60"/>
      <c r="J1742" s="61"/>
      <c r="K1742" s="61"/>
      <c r="L1742" s="60"/>
      <c r="M1742" s="74" t="str">
        <f t="shared" si="219"/>
        <v/>
      </c>
      <c r="N1742" s="74" t="str">
        <f t="shared" si="220"/>
        <v/>
      </c>
      <c r="O1742" s="73" t="str">
        <f t="shared" si="221"/>
        <v/>
      </c>
      <c r="P1742" s="65" t="str">
        <f t="shared" ca="1" si="222"/>
        <v/>
      </c>
      <c r="Q1742" s="2"/>
      <c r="R1742" s="2"/>
      <c r="S1742" s="1" t="str">
        <f t="shared" si="223"/>
        <v/>
      </c>
      <c r="T1742" s="1" t="str">
        <f>IF(OR($C1742="",$D1742&lt;&gt;"Gelir",$L1742=""),"",IFERROR(INDEX(MUSTERILER!$B$7:$B$156,MATCH($S1742,MUSTERILER!$T$7:$T$156,0)),""))</f>
        <v/>
      </c>
      <c r="U1742" s="1" t="str">
        <f>IF($T1742="","",$T1742&amp;"|"&amp;COUNTIFS($T$7:$T1742,$T1742))</f>
        <v/>
      </c>
      <c r="V1742" s="1">
        <f t="shared" si="224"/>
        <v>0</v>
      </c>
      <c r="W1742" s="1" t="str">
        <f t="shared" si="225"/>
        <v/>
      </c>
      <c r="X1742" s="1"/>
      <c r="Y1742" s="1"/>
      <c r="Z1742" s="1"/>
      <c r="AA1742" s="1"/>
      <c r="AB1742" s="1"/>
      <c r="AC1742" s="1"/>
      <c r="AD1742" s="1">
        <f>IF($C1742="",0,SUMPRODUCT((AY_SONU!$O$7:$O$42="Evet")*(AY_SONU!$B$7:$B$42=DATE(YEAR($C1742),MONTH($C1742),1))))</f>
        <v>0</v>
      </c>
      <c r="AE1742" s="1" t="str">
        <f>IF($E1742="","",$E1742&amp;"|"&amp;COUNTIFS($E$7:$E1742,$E1742))</f>
        <v/>
      </c>
    </row>
    <row r="1743" spans="1:31" ht="18" customHeight="1" x14ac:dyDescent="0.3">
      <c r="A1743" s="2"/>
      <c r="B1743" s="65" t="str">
        <f t="shared" si="218"/>
        <v/>
      </c>
      <c r="C1743" s="66"/>
      <c r="D1743" s="60"/>
      <c r="E1743" s="61"/>
      <c r="F1743" s="61"/>
      <c r="G1743" s="67"/>
      <c r="H1743" s="60"/>
      <c r="I1743" s="60"/>
      <c r="J1743" s="61"/>
      <c r="K1743" s="61"/>
      <c r="L1743" s="60"/>
      <c r="M1743" s="74" t="str">
        <f t="shared" si="219"/>
        <v/>
      </c>
      <c r="N1743" s="74" t="str">
        <f t="shared" si="220"/>
        <v/>
      </c>
      <c r="O1743" s="73" t="str">
        <f t="shared" si="221"/>
        <v/>
      </c>
      <c r="P1743" s="65" t="str">
        <f t="shared" ca="1" si="222"/>
        <v/>
      </c>
      <c r="Q1743" s="2"/>
      <c r="R1743" s="2"/>
      <c r="S1743" s="1" t="str">
        <f t="shared" si="223"/>
        <v/>
      </c>
      <c r="T1743" s="1" t="str">
        <f>IF(OR($C1743="",$D1743&lt;&gt;"Gelir",$L1743=""),"",IFERROR(INDEX(MUSTERILER!$B$7:$B$156,MATCH($S1743,MUSTERILER!$T$7:$T$156,0)),""))</f>
        <v/>
      </c>
      <c r="U1743" s="1" t="str">
        <f>IF($T1743="","",$T1743&amp;"|"&amp;COUNTIFS($T$7:$T1743,$T1743))</f>
        <v/>
      </c>
      <c r="V1743" s="1">
        <f t="shared" si="224"/>
        <v>0</v>
      </c>
      <c r="W1743" s="1" t="str">
        <f t="shared" si="225"/>
        <v/>
      </c>
      <c r="X1743" s="1"/>
      <c r="Y1743" s="1"/>
      <c r="Z1743" s="1"/>
      <c r="AA1743" s="1"/>
      <c r="AB1743" s="1"/>
      <c r="AC1743" s="1"/>
      <c r="AD1743" s="1">
        <f>IF($C1743="",0,SUMPRODUCT((AY_SONU!$O$7:$O$42="Evet")*(AY_SONU!$B$7:$B$42=DATE(YEAR($C1743),MONTH($C1743),1))))</f>
        <v>0</v>
      </c>
      <c r="AE1743" s="1" t="str">
        <f>IF($E1743="","",$E1743&amp;"|"&amp;COUNTIFS($E$7:$E1743,$E1743))</f>
        <v/>
      </c>
    </row>
    <row r="1744" spans="1:31" ht="18" customHeight="1" x14ac:dyDescent="0.3">
      <c r="A1744" s="2"/>
      <c r="B1744" s="65" t="str">
        <f t="shared" si="218"/>
        <v/>
      </c>
      <c r="C1744" s="66"/>
      <c r="D1744" s="60"/>
      <c r="E1744" s="61"/>
      <c r="F1744" s="61"/>
      <c r="G1744" s="67"/>
      <c r="H1744" s="60"/>
      <c r="I1744" s="60"/>
      <c r="J1744" s="61"/>
      <c r="K1744" s="61"/>
      <c r="L1744" s="60"/>
      <c r="M1744" s="74" t="str">
        <f t="shared" si="219"/>
        <v/>
      </c>
      <c r="N1744" s="74" t="str">
        <f t="shared" si="220"/>
        <v/>
      </c>
      <c r="O1744" s="73" t="str">
        <f t="shared" si="221"/>
        <v/>
      </c>
      <c r="P1744" s="65" t="str">
        <f t="shared" ca="1" si="222"/>
        <v/>
      </c>
      <c r="Q1744" s="2"/>
      <c r="R1744" s="2"/>
      <c r="S1744" s="1" t="str">
        <f t="shared" si="223"/>
        <v/>
      </c>
      <c r="T1744" s="1" t="str">
        <f>IF(OR($C1744="",$D1744&lt;&gt;"Gelir",$L1744=""),"",IFERROR(INDEX(MUSTERILER!$B$7:$B$156,MATCH($S1744,MUSTERILER!$T$7:$T$156,0)),""))</f>
        <v/>
      </c>
      <c r="U1744" s="1" t="str">
        <f>IF($T1744="","",$T1744&amp;"|"&amp;COUNTIFS($T$7:$T1744,$T1744))</f>
        <v/>
      </c>
      <c r="V1744" s="1">
        <f t="shared" si="224"/>
        <v>0</v>
      </c>
      <c r="W1744" s="1" t="str">
        <f t="shared" si="225"/>
        <v/>
      </c>
      <c r="X1744" s="1"/>
      <c r="Y1744" s="1"/>
      <c r="Z1744" s="1"/>
      <c r="AA1744" s="1"/>
      <c r="AB1744" s="1"/>
      <c r="AC1744" s="1"/>
      <c r="AD1744" s="1">
        <f>IF($C1744="",0,SUMPRODUCT((AY_SONU!$O$7:$O$42="Evet")*(AY_SONU!$B$7:$B$42=DATE(YEAR($C1744),MONTH($C1744),1))))</f>
        <v>0</v>
      </c>
      <c r="AE1744" s="1" t="str">
        <f>IF($E1744="","",$E1744&amp;"|"&amp;COUNTIFS($E$7:$E1744,$E1744))</f>
        <v/>
      </c>
    </row>
    <row r="1745" spans="1:31" ht="18" customHeight="1" x14ac:dyDescent="0.3">
      <c r="A1745" s="2"/>
      <c r="B1745" s="65" t="str">
        <f t="shared" si="218"/>
        <v/>
      </c>
      <c r="C1745" s="66"/>
      <c r="D1745" s="60"/>
      <c r="E1745" s="61"/>
      <c r="F1745" s="61"/>
      <c r="G1745" s="67"/>
      <c r="H1745" s="60"/>
      <c r="I1745" s="60"/>
      <c r="J1745" s="61"/>
      <c r="K1745" s="61"/>
      <c r="L1745" s="60"/>
      <c r="M1745" s="74" t="str">
        <f t="shared" si="219"/>
        <v/>
      </c>
      <c r="N1745" s="74" t="str">
        <f t="shared" si="220"/>
        <v/>
      </c>
      <c r="O1745" s="73" t="str">
        <f t="shared" si="221"/>
        <v/>
      </c>
      <c r="P1745" s="65" t="str">
        <f t="shared" ca="1" si="222"/>
        <v/>
      </c>
      <c r="Q1745" s="2"/>
      <c r="R1745" s="2"/>
      <c r="S1745" s="1" t="str">
        <f t="shared" si="223"/>
        <v/>
      </c>
      <c r="T1745" s="1" t="str">
        <f>IF(OR($C1745="",$D1745&lt;&gt;"Gelir",$L1745=""),"",IFERROR(INDEX(MUSTERILER!$B$7:$B$156,MATCH($S1745,MUSTERILER!$T$7:$T$156,0)),""))</f>
        <v/>
      </c>
      <c r="U1745" s="1" t="str">
        <f>IF($T1745="","",$T1745&amp;"|"&amp;COUNTIFS($T$7:$T1745,$T1745))</f>
        <v/>
      </c>
      <c r="V1745" s="1">
        <f t="shared" si="224"/>
        <v>0</v>
      </c>
      <c r="W1745" s="1" t="str">
        <f t="shared" si="225"/>
        <v/>
      </c>
      <c r="X1745" s="1"/>
      <c r="Y1745" s="1"/>
      <c r="Z1745" s="1"/>
      <c r="AA1745" s="1"/>
      <c r="AB1745" s="1"/>
      <c r="AC1745" s="1"/>
      <c r="AD1745" s="1">
        <f>IF($C1745="",0,SUMPRODUCT((AY_SONU!$O$7:$O$42="Evet")*(AY_SONU!$B$7:$B$42=DATE(YEAR($C1745),MONTH($C1745),1))))</f>
        <v>0</v>
      </c>
      <c r="AE1745" s="1" t="str">
        <f>IF($E1745="","",$E1745&amp;"|"&amp;COUNTIFS($E$7:$E1745,$E1745))</f>
        <v/>
      </c>
    </row>
    <row r="1746" spans="1:31" ht="18" customHeight="1" x14ac:dyDescent="0.3">
      <c r="A1746" s="2"/>
      <c r="B1746" s="65" t="str">
        <f t="shared" si="218"/>
        <v/>
      </c>
      <c r="C1746" s="66"/>
      <c r="D1746" s="60"/>
      <c r="E1746" s="61"/>
      <c r="F1746" s="61"/>
      <c r="G1746" s="67"/>
      <c r="H1746" s="60"/>
      <c r="I1746" s="60"/>
      <c r="J1746" s="61"/>
      <c r="K1746" s="61"/>
      <c r="L1746" s="60"/>
      <c r="M1746" s="74" t="str">
        <f t="shared" si="219"/>
        <v/>
      </c>
      <c r="N1746" s="74" t="str">
        <f t="shared" si="220"/>
        <v/>
      </c>
      <c r="O1746" s="73" t="str">
        <f t="shared" si="221"/>
        <v/>
      </c>
      <c r="P1746" s="65" t="str">
        <f t="shared" ca="1" si="222"/>
        <v/>
      </c>
      <c r="Q1746" s="2"/>
      <c r="R1746" s="2"/>
      <c r="S1746" s="1" t="str">
        <f t="shared" si="223"/>
        <v/>
      </c>
      <c r="T1746" s="1" t="str">
        <f>IF(OR($C1746="",$D1746&lt;&gt;"Gelir",$L1746=""),"",IFERROR(INDEX(MUSTERILER!$B$7:$B$156,MATCH($S1746,MUSTERILER!$T$7:$T$156,0)),""))</f>
        <v/>
      </c>
      <c r="U1746" s="1" t="str">
        <f>IF($T1746="","",$T1746&amp;"|"&amp;COUNTIFS($T$7:$T1746,$T1746))</f>
        <v/>
      </c>
      <c r="V1746" s="1">
        <f t="shared" si="224"/>
        <v>0</v>
      </c>
      <c r="W1746" s="1" t="str">
        <f t="shared" si="225"/>
        <v/>
      </c>
      <c r="X1746" s="1"/>
      <c r="Y1746" s="1"/>
      <c r="Z1746" s="1"/>
      <c r="AA1746" s="1"/>
      <c r="AB1746" s="1"/>
      <c r="AC1746" s="1"/>
      <c r="AD1746" s="1">
        <f>IF($C1746="",0,SUMPRODUCT((AY_SONU!$O$7:$O$42="Evet")*(AY_SONU!$B$7:$B$42=DATE(YEAR($C1746),MONTH($C1746),1))))</f>
        <v>0</v>
      </c>
      <c r="AE1746" s="1" t="str">
        <f>IF($E1746="","",$E1746&amp;"|"&amp;COUNTIFS($E$7:$E1746,$E1746))</f>
        <v/>
      </c>
    </row>
    <row r="1747" spans="1:31" ht="18" customHeight="1" x14ac:dyDescent="0.3">
      <c r="A1747" s="2"/>
      <c r="B1747" s="65" t="str">
        <f t="shared" si="218"/>
        <v/>
      </c>
      <c r="C1747" s="66"/>
      <c r="D1747" s="60"/>
      <c r="E1747" s="61"/>
      <c r="F1747" s="61"/>
      <c r="G1747" s="67"/>
      <c r="H1747" s="60"/>
      <c r="I1747" s="60"/>
      <c r="J1747" s="61"/>
      <c r="K1747" s="61"/>
      <c r="L1747" s="60"/>
      <c r="M1747" s="74" t="str">
        <f t="shared" si="219"/>
        <v/>
      </c>
      <c r="N1747" s="74" t="str">
        <f t="shared" si="220"/>
        <v/>
      </c>
      <c r="O1747" s="73" t="str">
        <f t="shared" si="221"/>
        <v/>
      </c>
      <c r="P1747" s="65" t="str">
        <f t="shared" ca="1" si="222"/>
        <v/>
      </c>
      <c r="Q1747" s="2"/>
      <c r="R1747" s="2"/>
      <c r="S1747" s="1" t="str">
        <f t="shared" si="223"/>
        <v/>
      </c>
      <c r="T1747" s="1" t="str">
        <f>IF(OR($C1747="",$D1747&lt;&gt;"Gelir",$L1747=""),"",IFERROR(INDEX(MUSTERILER!$B$7:$B$156,MATCH($S1747,MUSTERILER!$T$7:$T$156,0)),""))</f>
        <v/>
      </c>
      <c r="U1747" s="1" t="str">
        <f>IF($T1747="","",$T1747&amp;"|"&amp;COUNTIFS($T$7:$T1747,$T1747))</f>
        <v/>
      </c>
      <c r="V1747" s="1">
        <f t="shared" si="224"/>
        <v>0</v>
      </c>
      <c r="W1747" s="1" t="str">
        <f t="shared" si="225"/>
        <v/>
      </c>
      <c r="X1747" s="1"/>
      <c r="Y1747" s="1"/>
      <c r="Z1747" s="1"/>
      <c r="AA1747" s="1"/>
      <c r="AB1747" s="1"/>
      <c r="AC1747" s="1"/>
      <c r="AD1747" s="1">
        <f>IF($C1747="",0,SUMPRODUCT((AY_SONU!$O$7:$O$42="Evet")*(AY_SONU!$B$7:$B$42=DATE(YEAR($C1747),MONTH($C1747),1))))</f>
        <v>0</v>
      </c>
      <c r="AE1747" s="1" t="str">
        <f>IF($E1747="","",$E1747&amp;"|"&amp;COUNTIFS($E$7:$E1747,$E1747))</f>
        <v/>
      </c>
    </row>
    <row r="1748" spans="1:31" ht="18" customHeight="1" x14ac:dyDescent="0.3">
      <c r="A1748" s="2"/>
      <c r="B1748" s="65" t="str">
        <f t="shared" si="218"/>
        <v/>
      </c>
      <c r="C1748" s="66"/>
      <c r="D1748" s="60"/>
      <c r="E1748" s="61"/>
      <c r="F1748" s="61"/>
      <c r="G1748" s="67"/>
      <c r="H1748" s="60"/>
      <c r="I1748" s="60"/>
      <c r="J1748" s="61"/>
      <c r="K1748" s="61"/>
      <c r="L1748" s="60"/>
      <c r="M1748" s="74" t="str">
        <f t="shared" si="219"/>
        <v/>
      </c>
      <c r="N1748" s="74" t="str">
        <f t="shared" si="220"/>
        <v/>
      </c>
      <c r="O1748" s="73" t="str">
        <f t="shared" si="221"/>
        <v/>
      </c>
      <c r="P1748" s="65" t="str">
        <f t="shared" ca="1" si="222"/>
        <v/>
      </c>
      <c r="Q1748" s="2"/>
      <c r="R1748" s="2"/>
      <c r="S1748" s="1" t="str">
        <f t="shared" si="223"/>
        <v/>
      </c>
      <c r="T1748" s="1" t="str">
        <f>IF(OR($C1748="",$D1748&lt;&gt;"Gelir",$L1748=""),"",IFERROR(INDEX(MUSTERILER!$B$7:$B$156,MATCH($S1748,MUSTERILER!$T$7:$T$156,0)),""))</f>
        <v/>
      </c>
      <c r="U1748" s="1" t="str">
        <f>IF($T1748="","",$T1748&amp;"|"&amp;COUNTIFS($T$7:$T1748,$T1748))</f>
        <v/>
      </c>
      <c r="V1748" s="1">
        <f t="shared" si="224"/>
        <v>0</v>
      </c>
      <c r="W1748" s="1" t="str">
        <f t="shared" si="225"/>
        <v/>
      </c>
      <c r="X1748" s="1"/>
      <c r="Y1748" s="1"/>
      <c r="Z1748" s="1"/>
      <c r="AA1748" s="1"/>
      <c r="AB1748" s="1"/>
      <c r="AC1748" s="1"/>
      <c r="AD1748" s="1">
        <f>IF($C1748="",0,SUMPRODUCT((AY_SONU!$O$7:$O$42="Evet")*(AY_SONU!$B$7:$B$42=DATE(YEAR($C1748),MONTH($C1748),1))))</f>
        <v>0</v>
      </c>
      <c r="AE1748" s="1" t="str">
        <f>IF($E1748="","",$E1748&amp;"|"&amp;COUNTIFS($E$7:$E1748,$E1748))</f>
        <v/>
      </c>
    </row>
    <row r="1749" spans="1:31" ht="18" customHeight="1" x14ac:dyDescent="0.3">
      <c r="A1749" s="2"/>
      <c r="B1749" s="65" t="str">
        <f t="shared" si="218"/>
        <v/>
      </c>
      <c r="C1749" s="66"/>
      <c r="D1749" s="60"/>
      <c r="E1749" s="61"/>
      <c r="F1749" s="61"/>
      <c r="G1749" s="67"/>
      <c r="H1749" s="60"/>
      <c r="I1749" s="60"/>
      <c r="J1749" s="61"/>
      <c r="K1749" s="61"/>
      <c r="L1749" s="60"/>
      <c r="M1749" s="74" t="str">
        <f t="shared" si="219"/>
        <v/>
      </c>
      <c r="N1749" s="74" t="str">
        <f t="shared" si="220"/>
        <v/>
      </c>
      <c r="O1749" s="73" t="str">
        <f t="shared" si="221"/>
        <v/>
      </c>
      <c r="P1749" s="65" t="str">
        <f t="shared" ca="1" si="222"/>
        <v/>
      </c>
      <c r="Q1749" s="2"/>
      <c r="R1749" s="2"/>
      <c r="S1749" s="1" t="str">
        <f t="shared" si="223"/>
        <v/>
      </c>
      <c r="T1749" s="1" t="str">
        <f>IF(OR($C1749="",$D1749&lt;&gt;"Gelir",$L1749=""),"",IFERROR(INDEX(MUSTERILER!$B$7:$B$156,MATCH($S1749,MUSTERILER!$T$7:$T$156,0)),""))</f>
        <v/>
      </c>
      <c r="U1749" s="1" t="str">
        <f>IF($T1749="","",$T1749&amp;"|"&amp;COUNTIFS($T$7:$T1749,$T1749))</f>
        <v/>
      </c>
      <c r="V1749" s="1">
        <f t="shared" si="224"/>
        <v>0</v>
      </c>
      <c r="W1749" s="1" t="str">
        <f t="shared" si="225"/>
        <v/>
      </c>
      <c r="X1749" s="1"/>
      <c r="Y1749" s="1"/>
      <c r="Z1749" s="1"/>
      <c r="AA1749" s="1"/>
      <c r="AB1749" s="1"/>
      <c r="AC1749" s="1"/>
      <c r="AD1749" s="1">
        <f>IF($C1749="",0,SUMPRODUCT((AY_SONU!$O$7:$O$42="Evet")*(AY_SONU!$B$7:$B$42=DATE(YEAR($C1749),MONTH($C1749),1))))</f>
        <v>0</v>
      </c>
      <c r="AE1749" s="1" t="str">
        <f>IF($E1749="","",$E1749&amp;"|"&amp;COUNTIFS($E$7:$E1749,$E1749))</f>
        <v/>
      </c>
    </row>
    <row r="1750" spans="1:31" ht="18" customHeight="1" x14ac:dyDescent="0.3">
      <c r="A1750" s="2"/>
      <c r="B1750" s="65" t="str">
        <f t="shared" si="218"/>
        <v/>
      </c>
      <c r="C1750" s="66"/>
      <c r="D1750" s="60"/>
      <c r="E1750" s="61"/>
      <c r="F1750" s="61"/>
      <c r="G1750" s="67"/>
      <c r="H1750" s="60"/>
      <c r="I1750" s="60"/>
      <c r="J1750" s="61"/>
      <c r="K1750" s="61"/>
      <c r="L1750" s="60"/>
      <c r="M1750" s="74" t="str">
        <f t="shared" si="219"/>
        <v/>
      </c>
      <c r="N1750" s="74" t="str">
        <f t="shared" si="220"/>
        <v/>
      </c>
      <c r="O1750" s="73" t="str">
        <f t="shared" si="221"/>
        <v/>
      </c>
      <c r="P1750" s="65" t="str">
        <f t="shared" ca="1" si="222"/>
        <v/>
      </c>
      <c r="Q1750" s="2"/>
      <c r="R1750" s="2"/>
      <c r="S1750" s="1" t="str">
        <f t="shared" si="223"/>
        <v/>
      </c>
      <c r="T1750" s="1" t="str">
        <f>IF(OR($C1750="",$D1750&lt;&gt;"Gelir",$L1750=""),"",IFERROR(INDEX(MUSTERILER!$B$7:$B$156,MATCH($S1750,MUSTERILER!$T$7:$T$156,0)),""))</f>
        <v/>
      </c>
      <c r="U1750" s="1" t="str">
        <f>IF($T1750="","",$T1750&amp;"|"&amp;COUNTIFS($T$7:$T1750,$T1750))</f>
        <v/>
      </c>
      <c r="V1750" s="1">
        <f t="shared" si="224"/>
        <v>0</v>
      </c>
      <c r="W1750" s="1" t="str">
        <f t="shared" si="225"/>
        <v/>
      </c>
      <c r="X1750" s="1"/>
      <c r="Y1750" s="1"/>
      <c r="Z1750" s="1"/>
      <c r="AA1750" s="1"/>
      <c r="AB1750" s="1"/>
      <c r="AC1750" s="1"/>
      <c r="AD1750" s="1">
        <f>IF($C1750="",0,SUMPRODUCT((AY_SONU!$O$7:$O$42="Evet")*(AY_SONU!$B$7:$B$42=DATE(YEAR($C1750),MONTH($C1750),1))))</f>
        <v>0</v>
      </c>
      <c r="AE1750" s="1" t="str">
        <f>IF($E1750="","",$E1750&amp;"|"&amp;COUNTIFS($E$7:$E1750,$E1750))</f>
        <v/>
      </c>
    </row>
    <row r="1751" spans="1:31" ht="18" customHeight="1" x14ac:dyDescent="0.3">
      <c r="A1751" s="2"/>
      <c r="B1751" s="65" t="str">
        <f t="shared" si="218"/>
        <v/>
      </c>
      <c r="C1751" s="66"/>
      <c r="D1751" s="60"/>
      <c r="E1751" s="61"/>
      <c r="F1751" s="61"/>
      <c r="G1751" s="67"/>
      <c r="H1751" s="60"/>
      <c r="I1751" s="60"/>
      <c r="J1751" s="61"/>
      <c r="K1751" s="61"/>
      <c r="L1751" s="60"/>
      <c r="M1751" s="74" t="str">
        <f t="shared" si="219"/>
        <v/>
      </c>
      <c r="N1751" s="74" t="str">
        <f t="shared" si="220"/>
        <v/>
      </c>
      <c r="O1751" s="73" t="str">
        <f t="shared" si="221"/>
        <v/>
      </c>
      <c r="P1751" s="65" t="str">
        <f t="shared" ca="1" si="222"/>
        <v/>
      </c>
      <c r="Q1751" s="2"/>
      <c r="R1751" s="2"/>
      <c r="S1751" s="1" t="str">
        <f t="shared" si="223"/>
        <v/>
      </c>
      <c r="T1751" s="1" t="str">
        <f>IF(OR($C1751="",$D1751&lt;&gt;"Gelir",$L1751=""),"",IFERROR(INDEX(MUSTERILER!$B$7:$B$156,MATCH($S1751,MUSTERILER!$T$7:$T$156,0)),""))</f>
        <v/>
      </c>
      <c r="U1751" s="1" t="str">
        <f>IF($T1751="","",$T1751&amp;"|"&amp;COUNTIFS($T$7:$T1751,$T1751))</f>
        <v/>
      </c>
      <c r="V1751" s="1">
        <f t="shared" si="224"/>
        <v>0</v>
      </c>
      <c r="W1751" s="1" t="str">
        <f t="shared" si="225"/>
        <v/>
      </c>
      <c r="X1751" s="1"/>
      <c r="Y1751" s="1"/>
      <c r="Z1751" s="1"/>
      <c r="AA1751" s="1"/>
      <c r="AB1751" s="1"/>
      <c r="AC1751" s="1"/>
      <c r="AD1751" s="1">
        <f>IF($C1751="",0,SUMPRODUCT((AY_SONU!$O$7:$O$42="Evet")*(AY_SONU!$B$7:$B$42=DATE(YEAR($C1751),MONTH($C1751),1))))</f>
        <v>0</v>
      </c>
      <c r="AE1751" s="1" t="str">
        <f>IF($E1751="","",$E1751&amp;"|"&amp;COUNTIFS($E$7:$E1751,$E1751))</f>
        <v/>
      </c>
    </row>
    <row r="1752" spans="1:31" ht="18" customHeight="1" x14ac:dyDescent="0.3">
      <c r="A1752" s="2"/>
      <c r="B1752" s="65" t="str">
        <f t="shared" si="218"/>
        <v/>
      </c>
      <c r="C1752" s="66"/>
      <c r="D1752" s="60"/>
      <c r="E1752" s="61"/>
      <c r="F1752" s="61"/>
      <c r="G1752" s="67"/>
      <c r="H1752" s="60"/>
      <c r="I1752" s="60"/>
      <c r="J1752" s="61"/>
      <c r="K1752" s="61"/>
      <c r="L1752" s="60"/>
      <c r="M1752" s="74" t="str">
        <f t="shared" si="219"/>
        <v/>
      </c>
      <c r="N1752" s="74" t="str">
        <f t="shared" si="220"/>
        <v/>
      </c>
      <c r="O1752" s="73" t="str">
        <f t="shared" si="221"/>
        <v/>
      </c>
      <c r="P1752" s="65" t="str">
        <f t="shared" ca="1" si="222"/>
        <v/>
      </c>
      <c r="Q1752" s="2"/>
      <c r="R1752" s="2"/>
      <c r="S1752" s="1" t="str">
        <f t="shared" si="223"/>
        <v/>
      </c>
      <c r="T1752" s="1" t="str">
        <f>IF(OR($C1752="",$D1752&lt;&gt;"Gelir",$L1752=""),"",IFERROR(INDEX(MUSTERILER!$B$7:$B$156,MATCH($S1752,MUSTERILER!$T$7:$T$156,0)),""))</f>
        <v/>
      </c>
      <c r="U1752" s="1" t="str">
        <f>IF($T1752="","",$T1752&amp;"|"&amp;COUNTIFS($T$7:$T1752,$T1752))</f>
        <v/>
      </c>
      <c r="V1752" s="1">
        <f t="shared" si="224"/>
        <v>0</v>
      </c>
      <c r="W1752" s="1" t="str">
        <f t="shared" si="225"/>
        <v/>
      </c>
      <c r="X1752" s="1"/>
      <c r="Y1752" s="1"/>
      <c r="Z1752" s="1"/>
      <c r="AA1752" s="1"/>
      <c r="AB1752" s="1"/>
      <c r="AC1752" s="1"/>
      <c r="AD1752" s="1">
        <f>IF($C1752="",0,SUMPRODUCT((AY_SONU!$O$7:$O$42="Evet")*(AY_SONU!$B$7:$B$42=DATE(YEAR($C1752),MONTH($C1752),1))))</f>
        <v>0</v>
      </c>
      <c r="AE1752" s="1" t="str">
        <f>IF($E1752="","",$E1752&amp;"|"&amp;COUNTIFS($E$7:$E1752,$E1752))</f>
        <v/>
      </c>
    </row>
    <row r="1753" spans="1:31" ht="18" customHeight="1" x14ac:dyDescent="0.3">
      <c r="A1753" s="2"/>
      <c r="B1753" s="65" t="str">
        <f t="shared" si="218"/>
        <v/>
      </c>
      <c r="C1753" s="66"/>
      <c r="D1753" s="60"/>
      <c r="E1753" s="61"/>
      <c r="F1753" s="61"/>
      <c r="G1753" s="67"/>
      <c r="H1753" s="60"/>
      <c r="I1753" s="60"/>
      <c r="J1753" s="61"/>
      <c r="K1753" s="61"/>
      <c r="L1753" s="60"/>
      <c r="M1753" s="74" t="str">
        <f t="shared" si="219"/>
        <v/>
      </c>
      <c r="N1753" s="74" t="str">
        <f t="shared" si="220"/>
        <v/>
      </c>
      <c r="O1753" s="73" t="str">
        <f t="shared" si="221"/>
        <v/>
      </c>
      <c r="P1753" s="65" t="str">
        <f t="shared" ca="1" si="222"/>
        <v/>
      </c>
      <c r="Q1753" s="2"/>
      <c r="R1753" s="2"/>
      <c r="S1753" s="1" t="str">
        <f t="shared" si="223"/>
        <v/>
      </c>
      <c r="T1753" s="1" t="str">
        <f>IF(OR($C1753="",$D1753&lt;&gt;"Gelir",$L1753=""),"",IFERROR(INDEX(MUSTERILER!$B$7:$B$156,MATCH($S1753,MUSTERILER!$T$7:$T$156,0)),""))</f>
        <v/>
      </c>
      <c r="U1753" s="1" t="str">
        <f>IF($T1753="","",$T1753&amp;"|"&amp;COUNTIFS($T$7:$T1753,$T1753))</f>
        <v/>
      </c>
      <c r="V1753" s="1">
        <f t="shared" si="224"/>
        <v>0</v>
      </c>
      <c r="W1753" s="1" t="str">
        <f t="shared" si="225"/>
        <v/>
      </c>
      <c r="X1753" s="1"/>
      <c r="Y1753" s="1"/>
      <c r="Z1753" s="1"/>
      <c r="AA1753" s="1"/>
      <c r="AB1753" s="1"/>
      <c r="AC1753" s="1"/>
      <c r="AD1753" s="1">
        <f>IF($C1753="",0,SUMPRODUCT((AY_SONU!$O$7:$O$42="Evet")*(AY_SONU!$B$7:$B$42=DATE(YEAR($C1753),MONTH($C1753),1))))</f>
        <v>0</v>
      </c>
      <c r="AE1753" s="1" t="str">
        <f>IF($E1753="","",$E1753&amp;"|"&amp;COUNTIFS($E$7:$E1753,$E1753))</f>
        <v/>
      </c>
    </row>
    <row r="1754" spans="1:31" ht="18" customHeight="1" x14ac:dyDescent="0.3">
      <c r="A1754" s="2"/>
      <c r="B1754" s="65" t="str">
        <f t="shared" si="218"/>
        <v/>
      </c>
      <c r="C1754" s="66"/>
      <c r="D1754" s="60"/>
      <c r="E1754" s="61"/>
      <c r="F1754" s="61"/>
      <c r="G1754" s="67"/>
      <c r="H1754" s="60"/>
      <c r="I1754" s="60"/>
      <c r="J1754" s="61"/>
      <c r="K1754" s="61"/>
      <c r="L1754" s="60"/>
      <c r="M1754" s="74" t="str">
        <f t="shared" si="219"/>
        <v/>
      </c>
      <c r="N1754" s="74" t="str">
        <f t="shared" si="220"/>
        <v/>
      </c>
      <c r="O1754" s="73" t="str">
        <f t="shared" si="221"/>
        <v/>
      </c>
      <c r="P1754" s="65" t="str">
        <f t="shared" ca="1" si="222"/>
        <v/>
      </c>
      <c r="Q1754" s="2"/>
      <c r="R1754" s="2"/>
      <c r="S1754" s="1" t="str">
        <f t="shared" si="223"/>
        <v/>
      </c>
      <c r="T1754" s="1" t="str">
        <f>IF(OR($C1754="",$D1754&lt;&gt;"Gelir",$L1754=""),"",IFERROR(INDEX(MUSTERILER!$B$7:$B$156,MATCH($S1754,MUSTERILER!$T$7:$T$156,0)),""))</f>
        <v/>
      </c>
      <c r="U1754" s="1" t="str">
        <f>IF($T1754="","",$T1754&amp;"|"&amp;COUNTIFS($T$7:$T1754,$T1754))</f>
        <v/>
      </c>
      <c r="V1754" s="1">
        <f t="shared" si="224"/>
        <v>0</v>
      </c>
      <c r="W1754" s="1" t="str">
        <f t="shared" si="225"/>
        <v/>
      </c>
      <c r="X1754" s="1"/>
      <c r="Y1754" s="1"/>
      <c r="Z1754" s="1"/>
      <c r="AA1754" s="1"/>
      <c r="AB1754" s="1"/>
      <c r="AC1754" s="1"/>
      <c r="AD1754" s="1">
        <f>IF($C1754="",0,SUMPRODUCT((AY_SONU!$O$7:$O$42="Evet")*(AY_SONU!$B$7:$B$42=DATE(YEAR($C1754),MONTH($C1754),1))))</f>
        <v>0</v>
      </c>
      <c r="AE1754" s="1" t="str">
        <f>IF($E1754="","",$E1754&amp;"|"&amp;COUNTIFS($E$7:$E1754,$E1754))</f>
        <v/>
      </c>
    </row>
    <row r="1755" spans="1:31" ht="18" customHeight="1" x14ac:dyDescent="0.3">
      <c r="A1755" s="2"/>
      <c r="B1755" s="65" t="str">
        <f t="shared" si="218"/>
        <v/>
      </c>
      <c r="C1755" s="66"/>
      <c r="D1755" s="60"/>
      <c r="E1755" s="61"/>
      <c r="F1755" s="61"/>
      <c r="G1755" s="67"/>
      <c r="H1755" s="60"/>
      <c r="I1755" s="60"/>
      <c r="J1755" s="61"/>
      <c r="K1755" s="61"/>
      <c r="L1755" s="60"/>
      <c r="M1755" s="74" t="str">
        <f t="shared" si="219"/>
        <v/>
      </c>
      <c r="N1755" s="74" t="str">
        <f t="shared" si="220"/>
        <v/>
      </c>
      <c r="O1755" s="73" t="str">
        <f t="shared" si="221"/>
        <v/>
      </c>
      <c r="P1755" s="65" t="str">
        <f t="shared" ca="1" si="222"/>
        <v/>
      </c>
      <c r="Q1755" s="2"/>
      <c r="R1755" s="2"/>
      <c r="S1755" s="1" t="str">
        <f t="shared" si="223"/>
        <v/>
      </c>
      <c r="T1755" s="1" t="str">
        <f>IF(OR($C1755="",$D1755&lt;&gt;"Gelir",$L1755=""),"",IFERROR(INDEX(MUSTERILER!$B$7:$B$156,MATCH($S1755,MUSTERILER!$T$7:$T$156,0)),""))</f>
        <v/>
      </c>
      <c r="U1755" s="1" t="str">
        <f>IF($T1755="","",$T1755&amp;"|"&amp;COUNTIFS($T$7:$T1755,$T1755))</f>
        <v/>
      </c>
      <c r="V1755" s="1">
        <f t="shared" si="224"/>
        <v>0</v>
      </c>
      <c r="W1755" s="1" t="str">
        <f t="shared" si="225"/>
        <v/>
      </c>
      <c r="X1755" s="1"/>
      <c r="Y1755" s="1"/>
      <c r="Z1755" s="1"/>
      <c r="AA1755" s="1"/>
      <c r="AB1755" s="1"/>
      <c r="AC1755" s="1"/>
      <c r="AD1755" s="1">
        <f>IF($C1755="",0,SUMPRODUCT((AY_SONU!$O$7:$O$42="Evet")*(AY_SONU!$B$7:$B$42=DATE(YEAR($C1755),MONTH($C1755),1))))</f>
        <v>0</v>
      </c>
      <c r="AE1755" s="1" t="str">
        <f>IF($E1755="","",$E1755&amp;"|"&amp;COUNTIFS($E$7:$E1755,$E1755))</f>
        <v/>
      </c>
    </row>
    <row r="1756" spans="1:31" ht="18" customHeight="1" x14ac:dyDescent="0.3">
      <c r="A1756" s="2"/>
      <c r="B1756" s="65" t="str">
        <f t="shared" si="218"/>
        <v/>
      </c>
      <c r="C1756" s="66"/>
      <c r="D1756" s="60"/>
      <c r="E1756" s="61"/>
      <c r="F1756" s="61"/>
      <c r="G1756" s="67"/>
      <c r="H1756" s="60"/>
      <c r="I1756" s="60"/>
      <c r="J1756" s="61"/>
      <c r="K1756" s="61"/>
      <c r="L1756" s="60"/>
      <c r="M1756" s="74" t="str">
        <f t="shared" si="219"/>
        <v/>
      </c>
      <c r="N1756" s="74" t="str">
        <f t="shared" si="220"/>
        <v/>
      </c>
      <c r="O1756" s="73" t="str">
        <f t="shared" si="221"/>
        <v/>
      </c>
      <c r="P1756" s="65" t="str">
        <f t="shared" ca="1" si="222"/>
        <v/>
      </c>
      <c r="Q1756" s="2"/>
      <c r="R1756" s="2"/>
      <c r="S1756" s="1" t="str">
        <f t="shared" si="223"/>
        <v/>
      </c>
      <c r="T1756" s="1" t="str">
        <f>IF(OR($C1756="",$D1756&lt;&gt;"Gelir",$L1756=""),"",IFERROR(INDEX(MUSTERILER!$B$7:$B$156,MATCH($S1756,MUSTERILER!$T$7:$T$156,0)),""))</f>
        <v/>
      </c>
      <c r="U1756" s="1" t="str">
        <f>IF($T1756="","",$T1756&amp;"|"&amp;COUNTIFS($T$7:$T1756,$T1756))</f>
        <v/>
      </c>
      <c r="V1756" s="1">
        <f t="shared" si="224"/>
        <v>0</v>
      </c>
      <c r="W1756" s="1" t="str">
        <f t="shared" si="225"/>
        <v/>
      </c>
      <c r="X1756" s="1"/>
      <c r="Y1756" s="1"/>
      <c r="Z1756" s="1"/>
      <c r="AA1756" s="1"/>
      <c r="AB1756" s="1"/>
      <c r="AC1756" s="1"/>
      <c r="AD1756" s="1">
        <f>IF($C1756="",0,SUMPRODUCT((AY_SONU!$O$7:$O$42="Evet")*(AY_SONU!$B$7:$B$42=DATE(YEAR($C1756),MONTH($C1756),1))))</f>
        <v>0</v>
      </c>
      <c r="AE1756" s="1" t="str">
        <f>IF($E1756="","",$E1756&amp;"|"&amp;COUNTIFS($E$7:$E1756,$E1756))</f>
        <v/>
      </c>
    </row>
    <row r="1757" spans="1:31" ht="18" customHeight="1" x14ac:dyDescent="0.3">
      <c r="A1757" s="2"/>
      <c r="B1757" s="65" t="str">
        <f t="shared" si="218"/>
        <v/>
      </c>
      <c r="C1757" s="66"/>
      <c r="D1757" s="60"/>
      <c r="E1757" s="61"/>
      <c r="F1757" s="61"/>
      <c r="G1757" s="67"/>
      <c r="H1757" s="60"/>
      <c r="I1757" s="60"/>
      <c r="J1757" s="61"/>
      <c r="K1757" s="61"/>
      <c r="L1757" s="60"/>
      <c r="M1757" s="74" t="str">
        <f t="shared" si="219"/>
        <v/>
      </c>
      <c r="N1757" s="74" t="str">
        <f t="shared" si="220"/>
        <v/>
      </c>
      <c r="O1757" s="73" t="str">
        <f t="shared" si="221"/>
        <v/>
      </c>
      <c r="P1757" s="65" t="str">
        <f t="shared" ca="1" si="222"/>
        <v/>
      </c>
      <c r="Q1757" s="2"/>
      <c r="R1757" s="2"/>
      <c r="S1757" s="1" t="str">
        <f t="shared" si="223"/>
        <v/>
      </c>
      <c r="T1757" s="1" t="str">
        <f>IF(OR($C1757="",$D1757&lt;&gt;"Gelir",$L1757=""),"",IFERROR(INDEX(MUSTERILER!$B$7:$B$156,MATCH($S1757,MUSTERILER!$T$7:$T$156,0)),""))</f>
        <v/>
      </c>
      <c r="U1757" s="1" t="str">
        <f>IF($T1757="","",$T1757&amp;"|"&amp;COUNTIFS($T$7:$T1757,$T1757))</f>
        <v/>
      </c>
      <c r="V1757" s="1">
        <f t="shared" si="224"/>
        <v>0</v>
      </c>
      <c r="W1757" s="1" t="str">
        <f t="shared" si="225"/>
        <v/>
      </c>
      <c r="X1757" s="1"/>
      <c r="Y1757" s="1"/>
      <c r="Z1757" s="1"/>
      <c r="AA1757" s="1"/>
      <c r="AB1757" s="1"/>
      <c r="AC1757" s="1"/>
      <c r="AD1757" s="1">
        <f>IF($C1757="",0,SUMPRODUCT((AY_SONU!$O$7:$O$42="Evet")*(AY_SONU!$B$7:$B$42=DATE(YEAR($C1757),MONTH($C1757),1))))</f>
        <v>0</v>
      </c>
      <c r="AE1757" s="1" t="str">
        <f>IF($E1757="","",$E1757&amp;"|"&amp;COUNTIFS($E$7:$E1757,$E1757))</f>
        <v/>
      </c>
    </row>
    <row r="1758" spans="1:31" ht="18" customHeight="1" x14ac:dyDescent="0.3">
      <c r="A1758" s="2"/>
      <c r="B1758" s="65" t="str">
        <f t="shared" si="218"/>
        <v/>
      </c>
      <c r="C1758" s="66"/>
      <c r="D1758" s="60"/>
      <c r="E1758" s="61"/>
      <c r="F1758" s="61"/>
      <c r="G1758" s="67"/>
      <c r="H1758" s="60"/>
      <c r="I1758" s="60"/>
      <c r="J1758" s="61"/>
      <c r="K1758" s="61"/>
      <c r="L1758" s="60"/>
      <c r="M1758" s="74" t="str">
        <f t="shared" si="219"/>
        <v/>
      </c>
      <c r="N1758" s="74" t="str">
        <f t="shared" si="220"/>
        <v/>
      </c>
      <c r="O1758" s="73" t="str">
        <f t="shared" si="221"/>
        <v/>
      </c>
      <c r="P1758" s="65" t="str">
        <f t="shared" ca="1" si="222"/>
        <v/>
      </c>
      <c r="Q1758" s="2"/>
      <c r="R1758" s="2"/>
      <c r="S1758" s="1" t="str">
        <f t="shared" si="223"/>
        <v/>
      </c>
      <c r="T1758" s="1" t="str">
        <f>IF(OR($C1758="",$D1758&lt;&gt;"Gelir",$L1758=""),"",IFERROR(INDEX(MUSTERILER!$B$7:$B$156,MATCH($S1758,MUSTERILER!$T$7:$T$156,0)),""))</f>
        <v/>
      </c>
      <c r="U1758" s="1" t="str">
        <f>IF($T1758="","",$T1758&amp;"|"&amp;COUNTIFS($T$7:$T1758,$T1758))</f>
        <v/>
      </c>
      <c r="V1758" s="1">
        <f t="shared" si="224"/>
        <v>0</v>
      </c>
      <c r="W1758" s="1" t="str">
        <f t="shared" si="225"/>
        <v/>
      </c>
      <c r="X1758" s="1"/>
      <c r="Y1758" s="1"/>
      <c r="Z1758" s="1"/>
      <c r="AA1758" s="1"/>
      <c r="AB1758" s="1"/>
      <c r="AC1758" s="1"/>
      <c r="AD1758" s="1">
        <f>IF($C1758="",0,SUMPRODUCT((AY_SONU!$O$7:$O$42="Evet")*(AY_SONU!$B$7:$B$42=DATE(YEAR($C1758),MONTH($C1758),1))))</f>
        <v>0</v>
      </c>
      <c r="AE1758" s="1" t="str">
        <f>IF($E1758="","",$E1758&amp;"|"&amp;COUNTIFS($E$7:$E1758,$E1758))</f>
        <v/>
      </c>
    </row>
    <row r="1759" spans="1:31" ht="18" customHeight="1" x14ac:dyDescent="0.3">
      <c r="A1759" s="2"/>
      <c r="B1759" s="65" t="str">
        <f t="shared" si="218"/>
        <v/>
      </c>
      <c r="C1759" s="66"/>
      <c r="D1759" s="60"/>
      <c r="E1759" s="61"/>
      <c r="F1759" s="61"/>
      <c r="G1759" s="67"/>
      <c r="H1759" s="60"/>
      <c r="I1759" s="60"/>
      <c r="J1759" s="61"/>
      <c r="K1759" s="61"/>
      <c r="L1759" s="60"/>
      <c r="M1759" s="74" t="str">
        <f t="shared" si="219"/>
        <v/>
      </c>
      <c r="N1759" s="74" t="str">
        <f t="shared" si="220"/>
        <v/>
      </c>
      <c r="O1759" s="73" t="str">
        <f t="shared" si="221"/>
        <v/>
      </c>
      <c r="P1759" s="65" t="str">
        <f t="shared" ca="1" si="222"/>
        <v/>
      </c>
      <c r="Q1759" s="2"/>
      <c r="R1759" s="2"/>
      <c r="S1759" s="1" t="str">
        <f t="shared" si="223"/>
        <v/>
      </c>
      <c r="T1759" s="1" t="str">
        <f>IF(OR($C1759="",$D1759&lt;&gt;"Gelir",$L1759=""),"",IFERROR(INDEX(MUSTERILER!$B$7:$B$156,MATCH($S1759,MUSTERILER!$T$7:$T$156,0)),""))</f>
        <v/>
      </c>
      <c r="U1759" s="1" t="str">
        <f>IF($T1759="","",$T1759&amp;"|"&amp;COUNTIFS($T$7:$T1759,$T1759))</f>
        <v/>
      </c>
      <c r="V1759" s="1">
        <f t="shared" si="224"/>
        <v>0</v>
      </c>
      <c r="W1759" s="1" t="str">
        <f t="shared" si="225"/>
        <v/>
      </c>
      <c r="X1759" s="1"/>
      <c r="Y1759" s="1"/>
      <c r="Z1759" s="1"/>
      <c r="AA1759" s="1"/>
      <c r="AB1759" s="1"/>
      <c r="AC1759" s="1"/>
      <c r="AD1759" s="1">
        <f>IF($C1759="",0,SUMPRODUCT((AY_SONU!$O$7:$O$42="Evet")*(AY_SONU!$B$7:$B$42=DATE(YEAR($C1759),MONTH($C1759),1))))</f>
        <v>0</v>
      </c>
      <c r="AE1759" s="1" t="str">
        <f>IF($E1759="","",$E1759&amp;"|"&amp;COUNTIFS($E$7:$E1759,$E1759))</f>
        <v/>
      </c>
    </row>
    <row r="1760" spans="1:31" ht="18" customHeight="1" x14ac:dyDescent="0.3">
      <c r="A1760" s="2"/>
      <c r="B1760" s="65" t="str">
        <f t="shared" si="218"/>
        <v/>
      </c>
      <c r="C1760" s="66"/>
      <c r="D1760" s="60"/>
      <c r="E1760" s="61"/>
      <c r="F1760" s="61"/>
      <c r="G1760" s="67"/>
      <c r="H1760" s="60"/>
      <c r="I1760" s="60"/>
      <c r="J1760" s="61"/>
      <c r="K1760" s="61"/>
      <c r="L1760" s="60"/>
      <c r="M1760" s="74" t="str">
        <f t="shared" si="219"/>
        <v/>
      </c>
      <c r="N1760" s="74" t="str">
        <f t="shared" si="220"/>
        <v/>
      </c>
      <c r="O1760" s="73" t="str">
        <f t="shared" si="221"/>
        <v/>
      </c>
      <c r="P1760" s="65" t="str">
        <f t="shared" ca="1" si="222"/>
        <v/>
      </c>
      <c r="Q1760" s="2"/>
      <c r="R1760" s="2"/>
      <c r="S1760" s="1" t="str">
        <f t="shared" si="223"/>
        <v/>
      </c>
      <c r="T1760" s="1" t="str">
        <f>IF(OR($C1760="",$D1760&lt;&gt;"Gelir",$L1760=""),"",IFERROR(INDEX(MUSTERILER!$B$7:$B$156,MATCH($S1760,MUSTERILER!$T$7:$T$156,0)),""))</f>
        <v/>
      </c>
      <c r="U1760" s="1" t="str">
        <f>IF($T1760="","",$T1760&amp;"|"&amp;COUNTIFS($T$7:$T1760,$T1760))</f>
        <v/>
      </c>
      <c r="V1760" s="1">
        <f t="shared" si="224"/>
        <v>0</v>
      </c>
      <c r="W1760" s="1" t="str">
        <f t="shared" si="225"/>
        <v/>
      </c>
      <c r="X1760" s="1"/>
      <c r="Y1760" s="1"/>
      <c r="Z1760" s="1"/>
      <c r="AA1760" s="1"/>
      <c r="AB1760" s="1"/>
      <c r="AC1760" s="1"/>
      <c r="AD1760" s="1">
        <f>IF($C1760="",0,SUMPRODUCT((AY_SONU!$O$7:$O$42="Evet")*(AY_SONU!$B$7:$B$42=DATE(YEAR($C1760),MONTH($C1760),1))))</f>
        <v>0</v>
      </c>
      <c r="AE1760" s="1" t="str">
        <f>IF($E1760="","",$E1760&amp;"|"&amp;COUNTIFS($E$7:$E1760,$E1760))</f>
        <v/>
      </c>
    </row>
    <row r="1761" spans="1:31" ht="18" customHeight="1" x14ac:dyDescent="0.3">
      <c r="A1761" s="2"/>
      <c r="B1761" s="65" t="str">
        <f t="shared" si="218"/>
        <v/>
      </c>
      <c r="C1761" s="66"/>
      <c r="D1761" s="60"/>
      <c r="E1761" s="61"/>
      <c r="F1761" s="61"/>
      <c r="G1761" s="67"/>
      <c r="H1761" s="60"/>
      <c r="I1761" s="60"/>
      <c r="J1761" s="61"/>
      <c r="K1761" s="61"/>
      <c r="L1761" s="60"/>
      <c r="M1761" s="74" t="str">
        <f t="shared" si="219"/>
        <v/>
      </c>
      <c r="N1761" s="74" t="str">
        <f t="shared" si="220"/>
        <v/>
      </c>
      <c r="O1761" s="73" t="str">
        <f t="shared" si="221"/>
        <v/>
      </c>
      <c r="P1761" s="65" t="str">
        <f t="shared" ca="1" si="222"/>
        <v/>
      </c>
      <c r="Q1761" s="2"/>
      <c r="R1761" s="2"/>
      <c r="S1761" s="1" t="str">
        <f t="shared" si="223"/>
        <v/>
      </c>
      <c r="T1761" s="1" t="str">
        <f>IF(OR($C1761="",$D1761&lt;&gt;"Gelir",$L1761=""),"",IFERROR(INDEX(MUSTERILER!$B$7:$B$156,MATCH($S1761,MUSTERILER!$T$7:$T$156,0)),""))</f>
        <v/>
      </c>
      <c r="U1761" s="1" t="str">
        <f>IF($T1761="","",$T1761&amp;"|"&amp;COUNTIFS($T$7:$T1761,$T1761))</f>
        <v/>
      </c>
      <c r="V1761" s="1">
        <f t="shared" si="224"/>
        <v>0</v>
      </c>
      <c r="W1761" s="1" t="str">
        <f t="shared" si="225"/>
        <v/>
      </c>
      <c r="X1761" s="1"/>
      <c r="Y1761" s="1"/>
      <c r="Z1761" s="1"/>
      <c r="AA1761" s="1"/>
      <c r="AB1761" s="1"/>
      <c r="AC1761" s="1"/>
      <c r="AD1761" s="1">
        <f>IF($C1761="",0,SUMPRODUCT((AY_SONU!$O$7:$O$42="Evet")*(AY_SONU!$B$7:$B$42=DATE(YEAR($C1761),MONTH($C1761),1))))</f>
        <v>0</v>
      </c>
      <c r="AE1761" s="1" t="str">
        <f>IF($E1761="","",$E1761&amp;"|"&amp;COUNTIFS($E$7:$E1761,$E1761))</f>
        <v/>
      </c>
    </row>
    <row r="1762" spans="1:31" ht="18" customHeight="1" x14ac:dyDescent="0.3">
      <c r="A1762" s="2"/>
      <c r="B1762" s="65" t="str">
        <f t="shared" si="218"/>
        <v/>
      </c>
      <c r="C1762" s="66"/>
      <c r="D1762" s="60"/>
      <c r="E1762" s="61"/>
      <c r="F1762" s="61"/>
      <c r="G1762" s="67"/>
      <c r="H1762" s="60"/>
      <c r="I1762" s="60"/>
      <c r="J1762" s="61"/>
      <c r="K1762" s="61"/>
      <c r="L1762" s="60"/>
      <c r="M1762" s="74" t="str">
        <f t="shared" si="219"/>
        <v/>
      </c>
      <c r="N1762" s="74" t="str">
        <f t="shared" si="220"/>
        <v/>
      </c>
      <c r="O1762" s="73" t="str">
        <f t="shared" si="221"/>
        <v/>
      </c>
      <c r="P1762" s="65" t="str">
        <f t="shared" ca="1" si="222"/>
        <v/>
      </c>
      <c r="Q1762" s="2"/>
      <c r="R1762" s="2"/>
      <c r="S1762" s="1" t="str">
        <f t="shared" si="223"/>
        <v/>
      </c>
      <c r="T1762" s="1" t="str">
        <f>IF(OR($C1762="",$D1762&lt;&gt;"Gelir",$L1762=""),"",IFERROR(INDEX(MUSTERILER!$B$7:$B$156,MATCH($S1762,MUSTERILER!$T$7:$T$156,0)),""))</f>
        <v/>
      </c>
      <c r="U1762" s="1" t="str">
        <f>IF($T1762="","",$T1762&amp;"|"&amp;COUNTIFS($T$7:$T1762,$T1762))</f>
        <v/>
      </c>
      <c r="V1762" s="1">
        <f t="shared" si="224"/>
        <v>0</v>
      </c>
      <c r="W1762" s="1" t="str">
        <f t="shared" si="225"/>
        <v/>
      </c>
      <c r="X1762" s="1"/>
      <c r="Y1762" s="1"/>
      <c r="Z1762" s="1"/>
      <c r="AA1762" s="1"/>
      <c r="AB1762" s="1"/>
      <c r="AC1762" s="1"/>
      <c r="AD1762" s="1">
        <f>IF($C1762="",0,SUMPRODUCT((AY_SONU!$O$7:$O$42="Evet")*(AY_SONU!$B$7:$B$42=DATE(YEAR($C1762),MONTH($C1762),1))))</f>
        <v>0</v>
      </c>
      <c r="AE1762" s="1" t="str">
        <f>IF($E1762="","",$E1762&amp;"|"&amp;COUNTIFS($E$7:$E1762,$E1762))</f>
        <v/>
      </c>
    </row>
    <row r="1763" spans="1:31" ht="18" customHeight="1" x14ac:dyDescent="0.3">
      <c r="A1763" s="2"/>
      <c r="B1763" s="65" t="str">
        <f t="shared" si="218"/>
        <v/>
      </c>
      <c r="C1763" s="66"/>
      <c r="D1763" s="60"/>
      <c r="E1763" s="61"/>
      <c r="F1763" s="61"/>
      <c r="G1763" s="67"/>
      <c r="H1763" s="60"/>
      <c r="I1763" s="60"/>
      <c r="J1763" s="61"/>
      <c r="K1763" s="61"/>
      <c r="L1763" s="60"/>
      <c r="M1763" s="74" t="str">
        <f t="shared" si="219"/>
        <v/>
      </c>
      <c r="N1763" s="74" t="str">
        <f t="shared" si="220"/>
        <v/>
      </c>
      <c r="O1763" s="73" t="str">
        <f t="shared" si="221"/>
        <v/>
      </c>
      <c r="P1763" s="65" t="str">
        <f t="shared" ca="1" si="222"/>
        <v/>
      </c>
      <c r="Q1763" s="2"/>
      <c r="R1763" s="2"/>
      <c r="S1763" s="1" t="str">
        <f t="shared" si="223"/>
        <v/>
      </c>
      <c r="T1763" s="1" t="str">
        <f>IF(OR($C1763="",$D1763&lt;&gt;"Gelir",$L1763=""),"",IFERROR(INDEX(MUSTERILER!$B$7:$B$156,MATCH($S1763,MUSTERILER!$T$7:$T$156,0)),""))</f>
        <v/>
      </c>
      <c r="U1763" s="1" t="str">
        <f>IF($T1763="","",$T1763&amp;"|"&amp;COUNTIFS($T$7:$T1763,$T1763))</f>
        <v/>
      </c>
      <c r="V1763" s="1">
        <f t="shared" si="224"/>
        <v>0</v>
      </c>
      <c r="W1763" s="1" t="str">
        <f t="shared" si="225"/>
        <v/>
      </c>
      <c r="X1763" s="1"/>
      <c r="Y1763" s="1"/>
      <c r="Z1763" s="1"/>
      <c r="AA1763" s="1"/>
      <c r="AB1763" s="1"/>
      <c r="AC1763" s="1"/>
      <c r="AD1763" s="1">
        <f>IF($C1763="",0,SUMPRODUCT((AY_SONU!$O$7:$O$42="Evet")*(AY_SONU!$B$7:$B$42=DATE(YEAR($C1763),MONTH($C1763),1))))</f>
        <v>0</v>
      </c>
      <c r="AE1763" s="1" t="str">
        <f>IF($E1763="","",$E1763&amp;"|"&amp;COUNTIFS($E$7:$E1763,$E1763))</f>
        <v/>
      </c>
    </row>
    <row r="1764" spans="1:31" ht="18" customHeight="1" x14ac:dyDescent="0.3">
      <c r="A1764" s="2"/>
      <c r="B1764" s="65" t="str">
        <f t="shared" si="218"/>
        <v/>
      </c>
      <c r="C1764" s="66"/>
      <c r="D1764" s="60"/>
      <c r="E1764" s="61"/>
      <c r="F1764" s="61"/>
      <c r="G1764" s="67"/>
      <c r="H1764" s="60"/>
      <c r="I1764" s="60"/>
      <c r="J1764" s="61"/>
      <c r="K1764" s="61"/>
      <c r="L1764" s="60"/>
      <c r="M1764" s="74" t="str">
        <f t="shared" si="219"/>
        <v/>
      </c>
      <c r="N1764" s="74" t="str">
        <f t="shared" si="220"/>
        <v/>
      </c>
      <c r="O1764" s="73" t="str">
        <f t="shared" si="221"/>
        <v/>
      </c>
      <c r="P1764" s="65" t="str">
        <f t="shared" ca="1" si="222"/>
        <v/>
      </c>
      <c r="Q1764" s="2"/>
      <c r="R1764" s="2"/>
      <c r="S1764" s="1" t="str">
        <f t="shared" si="223"/>
        <v/>
      </c>
      <c r="T1764" s="1" t="str">
        <f>IF(OR($C1764="",$D1764&lt;&gt;"Gelir",$L1764=""),"",IFERROR(INDEX(MUSTERILER!$B$7:$B$156,MATCH($S1764,MUSTERILER!$T$7:$T$156,0)),""))</f>
        <v/>
      </c>
      <c r="U1764" s="1" t="str">
        <f>IF($T1764="","",$T1764&amp;"|"&amp;COUNTIFS($T$7:$T1764,$T1764))</f>
        <v/>
      </c>
      <c r="V1764" s="1">
        <f t="shared" si="224"/>
        <v>0</v>
      </c>
      <c r="W1764" s="1" t="str">
        <f t="shared" si="225"/>
        <v/>
      </c>
      <c r="X1764" s="1"/>
      <c r="Y1764" s="1"/>
      <c r="Z1764" s="1"/>
      <c r="AA1764" s="1"/>
      <c r="AB1764" s="1"/>
      <c r="AC1764" s="1"/>
      <c r="AD1764" s="1">
        <f>IF($C1764="",0,SUMPRODUCT((AY_SONU!$O$7:$O$42="Evet")*(AY_SONU!$B$7:$B$42=DATE(YEAR($C1764),MONTH($C1764),1))))</f>
        <v>0</v>
      </c>
      <c r="AE1764" s="1" t="str">
        <f>IF($E1764="","",$E1764&amp;"|"&amp;COUNTIFS($E$7:$E1764,$E1764))</f>
        <v/>
      </c>
    </row>
    <row r="1765" spans="1:31" ht="18" customHeight="1" x14ac:dyDescent="0.3">
      <c r="A1765" s="2"/>
      <c r="B1765" s="65" t="str">
        <f t="shared" si="218"/>
        <v/>
      </c>
      <c r="C1765" s="66"/>
      <c r="D1765" s="60"/>
      <c r="E1765" s="61"/>
      <c r="F1765" s="61"/>
      <c r="G1765" s="67"/>
      <c r="H1765" s="60"/>
      <c r="I1765" s="60"/>
      <c r="J1765" s="61"/>
      <c r="K1765" s="61"/>
      <c r="L1765" s="60"/>
      <c r="M1765" s="74" t="str">
        <f t="shared" si="219"/>
        <v/>
      </c>
      <c r="N1765" s="74" t="str">
        <f t="shared" si="220"/>
        <v/>
      </c>
      <c r="O1765" s="73" t="str">
        <f t="shared" si="221"/>
        <v/>
      </c>
      <c r="P1765" s="65" t="str">
        <f t="shared" ca="1" si="222"/>
        <v/>
      </c>
      <c r="Q1765" s="2"/>
      <c r="R1765" s="2"/>
      <c r="S1765" s="1" t="str">
        <f t="shared" si="223"/>
        <v/>
      </c>
      <c r="T1765" s="1" t="str">
        <f>IF(OR($C1765="",$D1765&lt;&gt;"Gelir",$L1765=""),"",IFERROR(INDEX(MUSTERILER!$B$7:$B$156,MATCH($S1765,MUSTERILER!$T$7:$T$156,0)),""))</f>
        <v/>
      </c>
      <c r="U1765" s="1" t="str">
        <f>IF($T1765="","",$T1765&amp;"|"&amp;COUNTIFS($T$7:$T1765,$T1765))</f>
        <v/>
      </c>
      <c r="V1765" s="1">
        <f t="shared" si="224"/>
        <v>0</v>
      </c>
      <c r="W1765" s="1" t="str">
        <f t="shared" si="225"/>
        <v/>
      </c>
      <c r="X1765" s="1"/>
      <c r="Y1765" s="1"/>
      <c r="Z1765" s="1"/>
      <c r="AA1765" s="1"/>
      <c r="AB1765" s="1"/>
      <c r="AC1765" s="1"/>
      <c r="AD1765" s="1">
        <f>IF($C1765="",0,SUMPRODUCT((AY_SONU!$O$7:$O$42="Evet")*(AY_SONU!$B$7:$B$42=DATE(YEAR($C1765),MONTH($C1765),1))))</f>
        <v>0</v>
      </c>
      <c r="AE1765" s="1" t="str">
        <f>IF($E1765="","",$E1765&amp;"|"&amp;COUNTIFS($E$7:$E1765,$E1765))</f>
        <v/>
      </c>
    </row>
    <row r="1766" spans="1:31" ht="18" customHeight="1" x14ac:dyDescent="0.3">
      <c r="A1766" s="2"/>
      <c r="B1766" s="65" t="str">
        <f t="shared" si="218"/>
        <v/>
      </c>
      <c r="C1766" s="66"/>
      <c r="D1766" s="60"/>
      <c r="E1766" s="61"/>
      <c r="F1766" s="61"/>
      <c r="G1766" s="67"/>
      <c r="H1766" s="60"/>
      <c r="I1766" s="60"/>
      <c r="J1766" s="61"/>
      <c r="K1766" s="61"/>
      <c r="L1766" s="60"/>
      <c r="M1766" s="74" t="str">
        <f t="shared" si="219"/>
        <v/>
      </c>
      <c r="N1766" s="74" t="str">
        <f t="shared" si="220"/>
        <v/>
      </c>
      <c r="O1766" s="73" t="str">
        <f t="shared" si="221"/>
        <v/>
      </c>
      <c r="P1766" s="65" t="str">
        <f t="shared" ca="1" si="222"/>
        <v/>
      </c>
      <c r="Q1766" s="2"/>
      <c r="R1766" s="2"/>
      <c r="S1766" s="1" t="str">
        <f t="shared" si="223"/>
        <v/>
      </c>
      <c r="T1766" s="1" t="str">
        <f>IF(OR($C1766="",$D1766&lt;&gt;"Gelir",$L1766=""),"",IFERROR(INDEX(MUSTERILER!$B$7:$B$156,MATCH($S1766,MUSTERILER!$T$7:$T$156,0)),""))</f>
        <v/>
      </c>
      <c r="U1766" s="1" t="str">
        <f>IF($T1766="","",$T1766&amp;"|"&amp;COUNTIFS($T$7:$T1766,$T1766))</f>
        <v/>
      </c>
      <c r="V1766" s="1">
        <f t="shared" si="224"/>
        <v>0</v>
      </c>
      <c r="W1766" s="1" t="str">
        <f t="shared" si="225"/>
        <v/>
      </c>
      <c r="X1766" s="1"/>
      <c r="Y1766" s="1"/>
      <c r="Z1766" s="1"/>
      <c r="AA1766" s="1"/>
      <c r="AB1766" s="1"/>
      <c r="AC1766" s="1"/>
      <c r="AD1766" s="1">
        <f>IF($C1766="",0,SUMPRODUCT((AY_SONU!$O$7:$O$42="Evet")*(AY_SONU!$B$7:$B$42=DATE(YEAR($C1766),MONTH($C1766),1))))</f>
        <v>0</v>
      </c>
      <c r="AE1766" s="1" t="str">
        <f>IF($E1766="","",$E1766&amp;"|"&amp;COUNTIFS($E$7:$E1766,$E1766))</f>
        <v/>
      </c>
    </row>
    <row r="1767" spans="1:31" ht="18" customHeight="1" x14ac:dyDescent="0.3">
      <c r="A1767" s="2"/>
      <c r="B1767" s="65" t="str">
        <f t="shared" si="218"/>
        <v/>
      </c>
      <c r="C1767" s="66"/>
      <c r="D1767" s="60"/>
      <c r="E1767" s="61"/>
      <c r="F1767" s="61"/>
      <c r="G1767" s="67"/>
      <c r="H1767" s="60"/>
      <c r="I1767" s="60"/>
      <c r="J1767" s="61"/>
      <c r="K1767" s="61"/>
      <c r="L1767" s="60"/>
      <c r="M1767" s="74" t="str">
        <f t="shared" si="219"/>
        <v/>
      </c>
      <c r="N1767" s="74" t="str">
        <f t="shared" si="220"/>
        <v/>
      </c>
      <c r="O1767" s="73" t="str">
        <f t="shared" si="221"/>
        <v/>
      </c>
      <c r="P1767" s="65" t="str">
        <f t="shared" ca="1" si="222"/>
        <v/>
      </c>
      <c r="Q1767" s="2"/>
      <c r="R1767" s="2"/>
      <c r="S1767" s="1" t="str">
        <f t="shared" si="223"/>
        <v/>
      </c>
      <c r="T1767" s="1" t="str">
        <f>IF(OR($C1767="",$D1767&lt;&gt;"Gelir",$L1767=""),"",IFERROR(INDEX(MUSTERILER!$B$7:$B$156,MATCH($S1767,MUSTERILER!$T$7:$T$156,0)),""))</f>
        <v/>
      </c>
      <c r="U1767" s="1" t="str">
        <f>IF($T1767="","",$T1767&amp;"|"&amp;COUNTIFS($T$7:$T1767,$T1767))</f>
        <v/>
      </c>
      <c r="V1767" s="1">
        <f t="shared" si="224"/>
        <v>0</v>
      </c>
      <c r="W1767" s="1" t="str">
        <f t="shared" si="225"/>
        <v/>
      </c>
      <c r="X1767" s="1"/>
      <c r="Y1767" s="1"/>
      <c r="Z1767" s="1"/>
      <c r="AA1767" s="1"/>
      <c r="AB1767" s="1"/>
      <c r="AC1767" s="1"/>
      <c r="AD1767" s="1">
        <f>IF($C1767="",0,SUMPRODUCT((AY_SONU!$O$7:$O$42="Evet")*(AY_SONU!$B$7:$B$42=DATE(YEAR($C1767),MONTH($C1767),1))))</f>
        <v>0</v>
      </c>
      <c r="AE1767" s="1" t="str">
        <f>IF($E1767="","",$E1767&amp;"|"&amp;COUNTIFS($E$7:$E1767,$E1767))</f>
        <v/>
      </c>
    </row>
    <row r="1768" spans="1:31" ht="18" customHeight="1" x14ac:dyDescent="0.3">
      <c r="A1768" s="2"/>
      <c r="B1768" s="65" t="str">
        <f t="shared" si="218"/>
        <v/>
      </c>
      <c r="C1768" s="66"/>
      <c r="D1768" s="60"/>
      <c r="E1768" s="61"/>
      <c r="F1768" s="61"/>
      <c r="G1768" s="67"/>
      <c r="H1768" s="60"/>
      <c r="I1768" s="60"/>
      <c r="J1768" s="61"/>
      <c r="K1768" s="61"/>
      <c r="L1768" s="60"/>
      <c r="M1768" s="74" t="str">
        <f t="shared" si="219"/>
        <v/>
      </c>
      <c r="N1768" s="74" t="str">
        <f t="shared" si="220"/>
        <v/>
      </c>
      <c r="O1768" s="73" t="str">
        <f t="shared" si="221"/>
        <v/>
      </c>
      <c r="P1768" s="65" t="str">
        <f t="shared" ca="1" si="222"/>
        <v/>
      </c>
      <c r="Q1768" s="2"/>
      <c r="R1768" s="2"/>
      <c r="S1768" s="1" t="str">
        <f t="shared" si="223"/>
        <v/>
      </c>
      <c r="T1768" s="1" t="str">
        <f>IF(OR($C1768="",$D1768&lt;&gt;"Gelir",$L1768=""),"",IFERROR(INDEX(MUSTERILER!$B$7:$B$156,MATCH($S1768,MUSTERILER!$T$7:$T$156,0)),""))</f>
        <v/>
      </c>
      <c r="U1768" s="1" t="str">
        <f>IF($T1768="","",$T1768&amp;"|"&amp;COUNTIFS($T$7:$T1768,$T1768))</f>
        <v/>
      </c>
      <c r="V1768" s="1">
        <f t="shared" si="224"/>
        <v>0</v>
      </c>
      <c r="W1768" s="1" t="str">
        <f t="shared" si="225"/>
        <v/>
      </c>
      <c r="X1768" s="1"/>
      <c r="Y1768" s="1"/>
      <c r="Z1768" s="1"/>
      <c r="AA1768" s="1"/>
      <c r="AB1768" s="1"/>
      <c r="AC1768" s="1"/>
      <c r="AD1768" s="1">
        <f>IF($C1768="",0,SUMPRODUCT((AY_SONU!$O$7:$O$42="Evet")*(AY_SONU!$B$7:$B$42=DATE(YEAR($C1768),MONTH($C1768),1))))</f>
        <v>0</v>
      </c>
      <c r="AE1768" s="1" t="str">
        <f>IF($E1768="","",$E1768&amp;"|"&amp;COUNTIFS($E$7:$E1768,$E1768))</f>
        <v/>
      </c>
    </row>
    <row r="1769" spans="1:31" ht="18" customHeight="1" x14ac:dyDescent="0.3">
      <c r="A1769" s="2"/>
      <c r="B1769" s="65" t="str">
        <f t="shared" si="218"/>
        <v/>
      </c>
      <c r="C1769" s="66"/>
      <c r="D1769" s="60"/>
      <c r="E1769" s="61"/>
      <c r="F1769" s="61"/>
      <c r="G1769" s="67"/>
      <c r="H1769" s="60"/>
      <c r="I1769" s="60"/>
      <c r="J1769" s="61"/>
      <c r="K1769" s="61"/>
      <c r="L1769" s="60"/>
      <c r="M1769" s="74" t="str">
        <f t="shared" si="219"/>
        <v/>
      </c>
      <c r="N1769" s="74" t="str">
        <f t="shared" si="220"/>
        <v/>
      </c>
      <c r="O1769" s="73" t="str">
        <f t="shared" si="221"/>
        <v/>
      </c>
      <c r="P1769" s="65" t="str">
        <f t="shared" ca="1" si="222"/>
        <v/>
      </c>
      <c r="Q1769" s="2"/>
      <c r="R1769" s="2"/>
      <c r="S1769" s="1" t="str">
        <f t="shared" si="223"/>
        <v/>
      </c>
      <c r="T1769" s="1" t="str">
        <f>IF(OR($C1769="",$D1769&lt;&gt;"Gelir",$L1769=""),"",IFERROR(INDEX(MUSTERILER!$B$7:$B$156,MATCH($S1769,MUSTERILER!$T$7:$T$156,0)),""))</f>
        <v/>
      </c>
      <c r="U1769" s="1" t="str">
        <f>IF($T1769="","",$T1769&amp;"|"&amp;COUNTIFS($T$7:$T1769,$T1769))</f>
        <v/>
      </c>
      <c r="V1769" s="1">
        <f t="shared" si="224"/>
        <v>0</v>
      </c>
      <c r="W1769" s="1" t="str">
        <f t="shared" si="225"/>
        <v/>
      </c>
      <c r="X1769" s="1"/>
      <c r="Y1769" s="1"/>
      <c r="Z1769" s="1"/>
      <c r="AA1769" s="1"/>
      <c r="AB1769" s="1"/>
      <c r="AC1769" s="1"/>
      <c r="AD1769" s="1">
        <f>IF($C1769="",0,SUMPRODUCT((AY_SONU!$O$7:$O$42="Evet")*(AY_SONU!$B$7:$B$42=DATE(YEAR($C1769),MONTH($C1769),1))))</f>
        <v>0</v>
      </c>
      <c r="AE1769" s="1" t="str">
        <f>IF($E1769="","",$E1769&amp;"|"&amp;COUNTIFS($E$7:$E1769,$E1769))</f>
        <v/>
      </c>
    </row>
    <row r="1770" spans="1:31" ht="18" customHeight="1" x14ac:dyDescent="0.3">
      <c r="A1770" s="2"/>
      <c r="B1770" s="65" t="str">
        <f t="shared" si="218"/>
        <v/>
      </c>
      <c r="C1770" s="66"/>
      <c r="D1770" s="60"/>
      <c r="E1770" s="61"/>
      <c r="F1770" s="61"/>
      <c r="G1770" s="67"/>
      <c r="H1770" s="60"/>
      <c r="I1770" s="60"/>
      <c r="J1770" s="61"/>
      <c r="K1770" s="61"/>
      <c r="L1770" s="60"/>
      <c r="M1770" s="74" t="str">
        <f t="shared" si="219"/>
        <v/>
      </c>
      <c r="N1770" s="74" t="str">
        <f t="shared" si="220"/>
        <v/>
      </c>
      <c r="O1770" s="73" t="str">
        <f t="shared" si="221"/>
        <v/>
      </c>
      <c r="P1770" s="65" t="str">
        <f t="shared" ca="1" si="222"/>
        <v/>
      </c>
      <c r="Q1770" s="2"/>
      <c r="R1770" s="2"/>
      <c r="S1770" s="1" t="str">
        <f t="shared" si="223"/>
        <v/>
      </c>
      <c r="T1770" s="1" t="str">
        <f>IF(OR($C1770="",$D1770&lt;&gt;"Gelir",$L1770=""),"",IFERROR(INDEX(MUSTERILER!$B$7:$B$156,MATCH($S1770,MUSTERILER!$T$7:$T$156,0)),""))</f>
        <v/>
      </c>
      <c r="U1770" s="1" t="str">
        <f>IF($T1770="","",$T1770&amp;"|"&amp;COUNTIFS($T$7:$T1770,$T1770))</f>
        <v/>
      </c>
      <c r="V1770" s="1">
        <f t="shared" si="224"/>
        <v>0</v>
      </c>
      <c r="W1770" s="1" t="str">
        <f t="shared" si="225"/>
        <v/>
      </c>
      <c r="X1770" s="1"/>
      <c r="Y1770" s="1"/>
      <c r="Z1770" s="1"/>
      <c r="AA1770" s="1"/>
      <c r="AB1770" s="1"/>
      <c r="AC1770" s="1"/>
      <c r="AD1770" s="1">
        <f>IF($C1770="",0,SUMPRODUCT((AY_SONU!$O$7:$O$42="Evet")*(AY_SONU!$B$7:$B$42=DATE(YEAR($C1770),MONTH($C1770),1))))</f>
        <v>0</v>
      </c>
      <c r="AE1770" s="1" t="str">
        <f>IF($E1770="","",$E1770&amp;"|"&amp;COUNTIFS($E$7:$E1770,$E1770))</f>
        <v/>
      </c>
    </row>
    <row r="1771" spans="1:31" ht="18" customHeight="1" x14ac:dyDescent="0.3">
      <c r="A1771" s="2"/>
      <c r="B1771" s="65" t="str">
        <f t="shared" si="218"/>
        <v/>
      </c>
      <c r="C1771" s="66"/>
      <c r="D1771" s="60"/>
      <c r="E1771" s="61"/>
      <c r="F1771" s="61"/>
      <c r="G1771" s="67"/>
      <c r="H1771" s="60"/>
      <c r="I1771" s="60"/>
      <c r="J1771" s="61"/>
      <c r="K1771" s="61"/>
      <c r="L1771" s="60"/>
      <c r="M1771" s="74" t="str">
        <f t="shared" si="219"/>
        <v/>
      </c>
      <c r="N1771" s="74" t="str">
        <f t="shared" si="220"/>
        <v/>
      </c>
      <c r="O1771" s="73" t="str">
        <f t="shared" si="221"/>
        <v/>
      </c>
      <c r="P1771" s="65" t="str">
        <f t="shared" ca="1" si="222"/>
        <v/>
      </c>
      <c r="Q1771" s="2"/>
      <c r="R1771" s="2"/>
      <c r="S1771" s="1" t="str">
        <f t="shared" si="223"/>
        <v/>
      </c>
      <c r="T1771" s="1" t="str">
        <f>IF(OR($C1771="",$D1771&lt;&gt;"Gelir",$L1771=""),"",IFERROR(INDEX(MUSTERILER!$B$7:$B$156,MATCH($S1771,MUSTERILER!$T$7:$T$156,0)),""))</f>
        <v/>
      </c>
      <c r="U1771" s="1" t="str">
        <f>IF($T1771="","",$T1771&amp;"|"&amp;COUNTIFS($T$7:$T1771,$T1771))</f>
        <v/>
      </c>
      <c r="V1771" s="1">
        <f t="shared" si="224"/>
        <v>0</v>
      </c>
      <c r="W1771" s="1" t="str">
        <f t="shared" si="225"/>
        <v/>
      </c>
      <c r="X1771" s="1"/>
      <c r="Y1771" s="1"/>
      <c r="Z1771" s="1"/>
      <c r="AA1771" s="1"/>
      <c r="AB1771" s="1"/>
      <c r="AC1771" s="1"/>
      <c r="AD1771" s="1">
        <f>IF($C1771="",0,SUMPRODUCT((AY_SONU!$O$7:$O$42="Evet")*(AY_SONU!$B$7:$B$42=DATE(YEAR($C1771),MONTH($C1771),1))))</f>
        <v>0</v>
      </c>
      <c r="AE1771" s="1" t="str">
        <f>IF($E1771="","",$E1771&amp;"|"&amp;COUNTIFS($E$7:$E1771,$E1771))</f>
        <v/>
      </c>
    </row>
    <row r="1772" spans="1:31" ht="18" customHeight="1" x14ac:dyDescent="0.3">
      <c r="A1772" s="2"/>
      <c r="B1772" s="65" t="str">
        <f t="shared" si="218"/>
        <v/>
      </c>
      <c r="C1772" s="66"/>
      <c r="D1772" s="60"/>
      <c r="E1772" s="61"/>
      <c r="F1772" s="61"/>
      <c r="G1772" s="67"/>
      <c r="H1772" s="60"/>
      <c r="I1772" s="60"/>
      <c r="J1772" s="61"/>
      <c r="K1772" s="61"/>
      <c r="L1772" s="60"/>
      <c r="M1772" s="74" t="str">
        <f t="shared" si="219"/>
        <v/>
      </c>
      <c r="N1772" s="74" t="str">
        <f t="shared" si="220"/>
        <v/>
      </c>
      <c r="O1772" s="73" t="str">
        <f t="shared" si="221"/>
        <v/>
      </c>
      <c r="P1772" s="65" t="str">
        <f t="shared" ca="1" si="222"/>
        <v/>
      </c>
      <c r="Q1772" s="2"/>
      <c r="R1772" s="2"/>
      <c r="S1772" s="1" t="str">
        <f t="shared" si="223"/>
        <v/>
      </c>
      <c r="T1772" s="1" t="str">
        <f>IF(OR($C1772="",$D1772&lt;&gt;"Gelir",$L1772=""),"",IFERROR(INDEX(MUSTERILER!$B$7:$B$156,MATCH($S1772,MUSTERILER!$T$7:$T$156,0)),""))</f>
        <v/>
      </c>
      <c r="U1772" s="1" t="str">
        <f>IF($T1772="","",$T1772&amp;"|"&amp;COUNTIFS($T$7:$T1772,$T1772))</f>
        <v/>
      </c>
      <c r="V1772" s="1">
        <f t="shared" si="224"/>
        <v>0</v>
      </c>
      <c r="W1772" s="1" t="str">
        <f t="shared" si="225"/>
        <v/>
      </c>
      <c r="X1772" s="1"/>
      <c r="Y1772" s="1"/>
      <c r="Z1772" s="1"/>
      <c r="AA1772" s="1"/>
      <c r="AB1772" s="1"/>
      <c r="AC1772" s="1"/>
      <c r="AD1772" s="1">
        <f>IF($C1772="",0,SUMPRODUCT((AY_SONU!$O$7:$O$42="Evet")*(AY_SONU!$B$7:$B$42=DATE(YEAR($C1772),MONTH($C1772),1))))</f>
        <v>0</v>
      </c>
      <c r="AE1772" s="1" t="str">
        <f>IF($E1772="","",$E1772&amp;"|"&amp;COUNTIFS($E$7:$E1772,$E1772))</f>
        <v/>
      </c>
    </row>
    <row r="1773" spans="1:31" ht="18" customHeight="1" x14ac:dyDescent="0.3">
      <c r="A1773" s="2"/>
      <c r="B1773" s="65" t="str">
        <f t="shared" si="218"/>
        <v/>
      </c>
      <c r="C1773" s="66"/>
      <c r="D1773" s="60"/>
      <c r="E1773" s="61"/>
      <c r="F1773" s="61"/>
      <c r="G1773" s="67"/>
      <c r="H1773" s="60"/>
      <c r="I1773" s="60"/>
      <c r="J1773" s="61"/>
      <c r="K1773" s="61"/>
      <c r="L1773" s="60"/>
      <c r="M1773" s="74" t="str">
        <f t="shared" si="219"/>
        <v/>
      </c>
      <c r="N1773" s="74" t="str">
        <f t="shared" si="220"/>
        <v/>
      </c>
      <c r="O1773" s="73" t="str">
        <f t="shared" si="221"/>
        <v/>
      </c>
      <c r="P1773" s="65" t="str">
        <f t="shared" ca="1" si="222"/>
        <v/>
      </c>
      <c r="Q1773" s="2"/>
      <c r="R1773" s="2"/>
      <c r="S1773" s="1" t="str">
        <f t="shared" si="223"/>
        <v/>
      </c>
      <c r="T1773" s="1" t="str">
        <f>IF(OR($C1773="",$D1773&lt;&gt;"Gelir",$L1773=""),"",IFERROR(INDEX(MUSTERILER!$B$7:$B$156,MATCH($S1773,MUSTERILER!$T$7:$T$156,0)),""))</f>
        <v/>
      </c>
      <c r="U1773" s="1" t="str">
        <f>IF($T1773="","",$T1773&amp;"|"&amp;COUNTIFS($T$7:$T1773,$T1773))</f>
        <v/>
      </c>
      <c r="V1773" s="1">
        <f t="shared" si="224"/>
        <v>0</v>
      </c>
      <c r="W1773" s="1" t="str">
        <f t="shared" si="225"/>
        <v/>
      </c>
      <c r="X1773" s="1"/>
      <c r="Y1773" s="1"/>
      <c r="Z1773" s="1"/>
      <c r="AA1773" s="1"/>
      <c r="AB1773" s="1"/>
      <c r="AC1773" s="1"/>
      <c r="AD1773" s="1">
        <f>IF($C1773="",0,SUMPRODUCT((AY_SONU!$O$7:$O$42="Evet")*(AY_SONU!$B$7:$B$42=DATE(YEAR($C1773),MONTH($C1773),1))))</f>
        <v>0</v>
      </c>
      <c r="AE1773" s="1" t="str">
        <f>IF($E1773="","",$E1773&amp;"|"&amp;COUNTIFS($E$7:$E1773,$E1773))</f>
        <v/>
      </c>
    </row>
    <row r="1774" spans="1:31" ht="18" customHeight="1" x14ac:dyDescent="0.3">
      <c r="A1774" s="2"/>
      <c r="B1774" s="65" t="str">
        <f t="shared" si="218"/>
        <v/>
      </c>
      <c r="C1774" s="66"/>
      <c r="D1774" s="60"/>
      <c r="E1774" s="61"/>
      <c r="F1774" s="61"/>
      <c r="G1774" s="67"/>
      <c r="H1774" s="60"/>
      <c r="I1774" s="60"/>
      <c r="J1774" s="61"/>
      <c r="K1774" s="61"/>
      <c r="L1774" s="60"/>
      <c r="M1774" s="74" t="str">
        <f t="shared" si="219"/>
        <v/>
      </c>
      <c r="N1774" s="74" t="str">
        <f t="shared" si="220"/>
        <v/>
      </c>
      <c r="O1774" s="73" t="str">
        <f t="shared" si="221"/>
        <v/>
      </c>
      <c r="P1774" s="65" t="str">
        <f t="shared" ca="1" si="222"/>
        <v/>
      </c>
      <c r="Q1774" s="2"/>
      <c r="R1774" s="2"/>
      <c r="S1774" s="1" t="str">
        <f t="shared" si="223"/>
        <v/>
      </c>
      <c r="T1774" s="1" t="str">
        <f>IF(OR($C1774="",$D1774&lt;&gt;"Gelir",$L1774=""),"",IFERROR(INDEX(MUSTERILER!$B$7:$B$156,MATCH($S1774,MUSTERILER!$T$7:$T$156,0)),""))</f>
        <v/>
      </c>
      <c r="U1774" s="1" t="str">
        <f>IF($T1774="","",$T1774&amp;"|"&amp;COUNTIFS($T$7:$T1774,$T1774))</f>
        <v/>
      </c>
      <c r="V1774" s="1">
        <f t="shared" si="224"/>
        <v>0</v>
      </c>
      <c r="W1774" s="1" t="str">
        <f t="shared" si="225"/>
        <v/>
      </c>
      <c r="X1774" s="1"/>
      <c r="Y1774" s="1"/>
      <c r="Z1774" s="1"/>
      <c r="AA1774" s="1"/>
      <c r="AB1774" s="1"/>
      <c r="AC1774" s="1"/>
      <c r="AD1774" s="1">
        <f>IF($C1774="",0,SUMPRODUCT((AY_SONU!$O$7:$O$42="Evet")*(AY_SONU!$B$7:$B$42=DATE(YEAR($C1774),MONTH($C1774),1))))</f>
        <v>0</v>
      </c>
      <c r="AE1774" s="1" t="str">
        <f>IF($E1774="","",$E1774&amp;"|"&amp;COUNTIFS($E$7:$E1774,$E1774))</f>
        <v/>
      </c>
    </row>
    <row r="1775" spans="1:31" ht="18" customHeight="1" x14ac:dyDescent="0.3">
      <c r="A1775" s="2"/>
      <c r="B1775" s="65" t="str">
        <f t="shared" si="218"/>
        <v/>
      </c>
      <c r="C1775" s="66"/>
      <c r="D1775" s="60"/>
      <c r="E1775" s="61"/>
      <c r="F1775" s="61"/>
      <c r="G1775" s="67"/>
      <c r="H1775" s="60"/>
      <c r="I1775" s="60"/>
      <c r="J1775" s="61"/>
      <c r="K1775" s="61"/>
      <c r="L1775" s="60"/>
      <c r="M1775" s="74" t="str">
        <f t="shared" si="219"/>
        <v/>
      </c>
      <c r="N1775" s="74" t="str">
        <f t="shared" si="220"/>
        <v/>
      </c>
      <c r="O1775" s="73" t="str">
        <f t="shared" si="221"/>
        <v/>
      </c>
      <c r="P1775" s="65" t="str">
        <f t="shared" ca="1" si="222"/>
        <v/>
      </c>
      <c r="Q1775" s="2"/>
      <c r="R1775" s="2"/>
      <c r="S1775" s="1" t="str">
        <f t="shared" si="223"/>
        <v/>
      </c>
      <c r="T1775" s="1" t="str">
        <f>IF(OR($C1775="",$D1775&lt;&gt;"Gelir",$L1775=""),"",IFERROR(INDEX(MUSTERILER!$B$7:$B$156,MATCH($S1775,MUSTERILER!$T$7:$T$156,0)),""))</f>
        <v/>
      </c>
      <c r="U1775" s="1" t="str">
        <f>IF($T1775="","",$T1775&amp;"|"&amp;COUNTIFS($T$7:$T1775,$T1775))</f>
        <v/>
      </c>
      <c r="V1775" s="1">
        <f t="shared" si="224"/>
        <v>0</v>
      </c>
      <c r="W1775" s="1" t="str">
        <f t="shared" si="225"/>
        <v/>
      </c>
      <c r="X1775" s="1"/>
      <c r="Y1775" s="1"/>
      <c r="Z1775" s="1"/>
      <c r="AA1775" s="1"/>
      <c r="AB1775" s="1"/>
      <c r="AC1775" s="1"/>
      <c r="AD1775" s="1">
        <f>IF($C1775="",0,SUMPRODUCT((AY_SONU!$O$7:$O$42="Evet")*(AY_SONU!$B$7:$B$42=DATE(YEAR($C1775),MONTH($C1775),1))))</f>
        <v>0</v>
      </c>
      <c r="AE1775" s="1" t="str">
        <f>IF($E1775="","",$E1775&amp;"|"&amp;COUNTIFS($E$7:$E1775,$E1775))</f>
        <v/>
      </c>
    </row>
    <row r="1776" spans="1:31" ht="18" customHeight="1" x14ac:dyDescent="0.3">
      <c r="A1776" s="2"/>
      <c r="B1776" s="65" t="str">
        <f t="shared" si="218"/>
        <v/>
      </c>
      <c r="C1776" s="66"/>
      <c r="D1776" s="60"/>
      <c r="E1776" s="61"/>
      <c r="F1776" s="61"/>
      <c r="G1776" s="67"/>
      <c r="H1776" s="60"/>
      <c r="I1776" s="60"/>
      <c r="J1776" s="61"/>
      <c r="K1776" s="61"/>
      <c r="L1776" s="60"/>
      <c r="M1776" s="74" t="str">
        <f t="shared" si="219"/>
        <v/>
      </c>
      <c r="N1776" s="74" t="str">
        <f t="shared" si="220"/>
        <v/>
      </c>
      <c r="O1776" s="73" t="str">
        <f t="shared" si="221"/>
        <v/>
      </c>
      <c r="P1776" s="65" t="str">
        <f t="shared" ca="1" si="222"/>
        <v/>
      </c>
      <c r="Q1776" s="2"/>
      <c r="R1776" s="2"/>
      <c r="S1776" s="1" t="str">
        <f t="shared" si="223"/>
        <v/>
      </c>
      <c r="T1776" s="1" t="str">
        <f>IF(OR($C1776="",$D1776&lt;&gt;"Gelir",$L1776=""),"",IFERROR(INDEX(MUSTERILER!$B$7:$B$156,MATCH($S1776,MUSTERILER!$T$7:$T$156,0)),""))</f>
        <v/>
      </c>
      <c r="U1776" s="1" t="str">
        <f>IF($T1776="","",$T1776&amp;"|"&amp;COUNTIFS($T$7:$T1776,$T1776))</f>
        <v/>
      </c>
      <c r="V1776" s="1">
        <f t="shared" si="224"/>
        <v>0</v>
      </c>
      <c r="W1776" s="1" t="str">
        <f t="shared" si="225"/>
        <v/>
      </c>
      <c r="X1776" s="1"/>
      <c r="Y1776" s="1"/>
      <c r="Z1776" s="1"/>
      <c r="AA1776" s="1"/>
      <c r="AB1776" s="1"/>
      <c r="AC1776" s="1"/>
      <c r="AD1776" s="1">
        <f>IF($C1776="",0,SUMPRODUCT((AY_SONU!$O$7:$O$42="Evet")*(AY_SONU!$B$7:$B$42=DATE(YEAR($C1776),MONTH($C1776),1))))</f>
        <v>0</v>
      </c>
      <c r="AE1776" s="1" t="str">
        <f>IF($E1776="","",$E1776&amp;"|"&amp;COUNTIFS($E$7:$E1776,$E1776))</f>
        <v/>
      </c>
    </row>
    <row r="1777" spans="1:31" ht="18" customHeight="1" x14ac:dyDescent="0.3">
      <c r="A1777" s="2"/>
      <c r="B1777" s="65" t="str">
        <f t="shared" si="218"/>
        <v/>
      </c>
      <c r="C1777" s="66"/>
      <c r="D1777" s="60"/>
      <c r="E1777" s="61"/>
      <c r="F1777" s="61"/>
      <c r="G1777" s="67"/>
      <c r="H1777" s="60"/>
      <c r="I1777" s="60"/>
      <c r="J1777" s="61"/>
      <c r="K1777" s="61"/>
      <c r="L1777" s="60"/>
      <c r="M1777" s="74" t="str">
        <f t="shared" si="219"/>
        <v/>
      </c>
      <c r="N1777" s="74" t="str">
        <f t="shared" si="220"/>
        <v/>
      </c>
      <c r="O1777" s="73" t="str">
        <f t="shared" si="221"/>
        <v/>
      </c>
      <c r="P1777" s="65" t="str">
        <f t="shared" ca="1" si="222"/>
        <v/>
      </c>
      <c r="Q1777" s="2"/>
      <c r="R1777" s="2"/>
      <c r="S1777" s="1" t="str">
        <f t="shared" si="223"/>
        <v/>
      </c>
      <c r="T1777" s="1" t="str">
        <f>IF(OR($C1777="",$D1777&lt;&gt;"Gelir",$L1777=""),"",IFERROR(INDEX(MUSTERILER!$B$7:$B$156,MATCH($S1777,MUSTERILER!$T$7:$T$156,0)),""))</f>
        <v/>
      </c>
      <c r="U1777" s="1" t="str">
        <f>IF($T1777="","",$T1777&amp;"|"&amp;COUNTIFS($T$7:$T1777,$T1777))</f>
        <v/>
      </c>
      <c r="V1777" s="1">
        <f t="shared" si="224"/>
        <v>0</v>
      </c>
      <c r="W1777" s="1" t="str">
        <f t="shared" si="225"/>
        <v/>
      </c>
      <c r="X1777" s="1"/>
      <c r="Y1777" s="1"/>
      <c r="Z1777" s="1"/>
      <c r="AA1777" s="1"/>
      <c r="AB1777" s="1"/>
      <c r="AC1777" s="1"/>
      <c r="AD1777" s="1">
        <f>IF($C1777="",0,SUMPRODUCT((AY_SONU!$O$7:$O$42="Evet")*(AY_SONU!$B$7:$B$42=DATE(YEAR($C1777),MONTH($C1777),1))))</f>
        <v>0</v>
      </c>
      <c r="AE1777" s="1" t="str">
        <f>IF($E1777="","",$E1777&amp;"|"&amp;COUNTIFS($E$7:$E1777,$E1777))</f>
        <v/>
      </c>
    </row>
    <row r="1778" spans="1:31" ht="18" customHeight="1" x14ac:dyDescent="0.3">
      <c r="A1778" s="2"/>
      <c r="B1778" s="65" t="str">
        <f t="shared" si="218"/>
        <v/>
      </c>
      <c r="C1778" s="66"/>
      <c r="D1778" s="60"/>
      <c r="E1778" s="61"/>
      <c r="F1778" s="61"/>
      <c r="G1778" s="67"/>
      <c r="H1778" s="60"/>
      <c r="I1778" s="60"/>
      <c r="J1778" s="61"/>
      <c r="K1778" s="61"/>
      <c r="L1778" s="60"/>
      <c r="M1778" s="74" t="str">
        <f t="shared" si="219"/>
        <v/>
      </c>
      <c r="N1778" s="74" t="str">
        <f t="shared" si="220"/>
        <v/>
      </c>
      <c r="O1778" s="73" t="str">
        <f t="shared" si="221"/>
        <v/>
      </c>
      <c r="P1778" s="65" t="str">
        <f t="shared" ca="1" si="222"/>
        <v/>
      </c>
      <c r="Q1778" s="2"/>
      <c r="R1778" s="2"/>
      <c r="S1778" s="1" t="str">
        <f t="shared" si="223"/>
        <v/>
      </c>
      <c r="T1778" s="1" t="str">
        <f>IF(OR($C1778="",$D1778&lt;&gt;"Gelir",$L1778=""),"",IFERROR(INDEX(MUSTERILER!$B$7:$B$156,MATCH($S1778,MUSTERILER!$T$7:$T$156,0)),""))</f>
        <v/>
      </c>
      <c r="U1778" s="1" t="str">
        <f>IF($T1778="","",$T1778&amp;"|"&amp;COUNTIFS($T$7:$T1778,$T1778))</f>
        <v/>
      </c>
      <c r="V1778" s="1">
        <f t="shared" si="224"/>
        <v>0</v>
      </c>
      <c r="W1778" s="1" t="str">
        <f t="shared" si="225"/>
        <v/>
      </c>
      <c r="X1778" s="1"/>
      <c r="Y1778" s="1"/>
      <c r="Z1778" s="1"/>
      <c r="AA1778" s="1"/>
      <c r="AB1778" s="1"/>
      <c r="AC1778" s="1"/>
      <c r="AD1778" s="1">
        <f>IF($C1778="",0,SUMPRODUCT((AY_SONU!$O$7:$O$42="Evet")*(AY_SONU!$B$7:$B$42=DATE(YEAR($C1778),MONTH($C1778),1))))</f>
        <v>0</v>
      </c>
      <c r="AE1778" s="1" t="str">
        <f>IF($E1778="","",$E1778&amp;"|"&amp;COUNTIFS($E$7:$E1778,$E1778))</f>
        <v/>
      </c>
    </row>
    <row r="1779" spans="1:31" ht="18" customHeight="1" x14ac:dyDescent="0.3">
      <c r="A1779" s="2"/>
      <c r="B1779" s="65" t="str">
        <f t="shared" si="218"/>
        <v/>
      </c>
      <c r="C1779" s="66"/>
      <c r="D1779" s="60"/>
      <c r="E1779" s="61"/>
      <c r="F1779" s="61"/>
      <c r="G1779" s="67"/>
      <c r="H1779" s="60"/>
      <c r="I1779" s="60"/>
      <c r="J1779" s="61"/>
      <c r="K1779" s="61"/>
      <c r="L1779" s="60"/>
      <c r="M1779" s="74" t="str">
        <f t="shared" si="219"/>
        <v/>
      </c>
      <c r="N1779" s="74" t="str">
        <f t="shared" si="220"/>
        <v/>
      </c>
      <c r="O1779" s="73" t="str">
        <f t="shared" si="221"/>
        <v/>
      </c>
      <c r="P1779" s="65" t="str">
        <f t="shared" ca="1" si="222"/>
        <v/>
      </c>
      <c r="Q1779" s="2"/>
      <c r="R1779" s="2"/>
      <c r="S1779" s="1" t="str">
        <f t="shared" si="223"/>
        <v/>
      </c>
      <c r="T1779" s="1" t="str">
        <f>IF(OR($C1779="",$D1779&lt;&gt;"Gelir",$L1779=""),"",IFERROR(INDEX(MUSTERILER!$B$7:$B$156,MATCH($S1779,MUSTERILER!$T$7:$T$156,0)),""))</f>
        <v/>
      </c>
      <c r="U1779" s="1" t="str">
        <f>IF($T1779="","",$T1779&amp;"|"&amp;COUNTIFS($T$7:$T1779,$T1779))</f>
        <v/>
      </c>
      <c r="V1779" s="1">
        <f t="shared" si="224"/>
        <v>0</v>
      </c>
      <c r="W1779" s="1" t="str">
        <f t="shared" si="225"/>
        <v/>
      </c>
      <c r="X1779" s="1"/>
      <c r="Y1779" s="1"/>
      <c r="Z1779" s="1"/>
      <c r="AA1779" s="1"/>
      <c r="AB1779" s="1"/>
      <c r="AC1779" s="1"/>
      <c r="AD1779" s="1">
        <f>IF($C1779="",0,SUMPRODUCT((AY_SONU!$O$7:$O$42="Evet")*(AY_SONU!$B$7:$B$42=DATE(YEAR($C1779),MONTH($C1779),1))))</f>
        <v>0</v>
      </c>
      <c r="AE1779" s="1" t="str">
        <f>IF($E1779="","",$E1779&amp;"|"&amp;COUNTIFS($E$7:$E1779,$E1779))</f>
        <v/>
      </c>
    </row>
    <row r="1780" spans="1:31" ht="18" customHeight="1" x14ac:dyDescent="0.3">
      <c r="A1780" s="2"/>
      <c r="B1780" s="65" t="str">
        <f t="shared" si="218"/>
        <v/>
      </c>
      <c r="C1780" s="66"/>
      <c r="D1780" s="60"/>
      <c r="E1780" s="61"/>
      <c r="F1780" s="61"/>
      <c r="G1780" s="67"/>
      <c r="H1780" s="60"/>
      <c r="I1780" s="60"/>
      <c r="J1780" s="61"/>
      <c r="K1780" s="61"/>
      <c r="L1780" s="60"/>
      <c r="M1780" s="74" t="str">
        <f t="shared" si="219"/>
        <v/>
      </c>
      <c r="N1780" s="74" t="str">
        <f t="shared" si="220"/>
        <v/>
      </c>
      <c r="O1780" s="73" t="str">
        <f t="shared" si="221"/>
        <v/>
      </c>
      <c r="P1780" s="65" t="str">
        <f t="shared" ca="1" si="222"/>
        <v/>
      </c>
      <c r="Q1780" s="2"/>
      <c r="R1780" s="2"/>
      <c r="S1780" s="1" t="str">
        <f t="shared" si="223"/>
        <v/>
      </c>
      <c r="T1780" s="1" t="str">
        <f>IF(OR($C1780="",$D1780&lt;&gt;"Gelir",$L1780=""),"",IFERROR(INDEX(MUSTERILER!$B$7:$B$156,MATCH($S1780,MUSTERILER!$T$7:$T$156,0)),""))</f>
        <v/>
      </c>
      <c r="U1780" s="1" t="str">
        <f>IF($T1780="","",$T1780&amp;"|"&amp;COUNTIFS($T$7:$T1780,$T1780))</f>
        <v/>
      </c>
      <c r="V1780" s="1">
        <f t="shared" si="224"/>
        <v>0</v>
      </c>
      <c r="W1780" s="1" t="str">
        <f t="shared" si="225"/>
        <v/>
      </c>
      <c r="X1780" s="1"/>
      <c r="Y1780" s="1"/>
      <c r="Z1780" s="1"/>
      <c r="AA1780" s="1"/>
      <c r="AB1780" s="1"/>
      <c r="AC1780" s="1"/>
      <c r="AD1780" s="1">
        <f>IF($C1780="",0,SUMPRODUCT((AY_SONU!$O$7:$O$42="Evet")*(AY_SONU!$B$7:$B$42=DATE(YEAR($C1780),MONTH($C1780),1))))</f>
        <v>0</v>
      </c>
      <c r="AE1780" s="1" t="str">
        <f>IF($E1780="","",$E1780&amp;"|"&amp;COUNTIFS($E$7:$E1780,$E1780))</f>
        <v/>
      </c>
    </row>
    <row r="1781" spans="1:31" ht="18" customHeight="1" x14ac:dyDescent="0.3">
      <c r="A1781" s="2"/>
      <c r="B1781" s="65" t="str">
        <f t="shared" si="218"/>
        <v/>
      </c>
      <c r="C1781" s="66"/>
      <c r="D1781" s="60"/>
      <c r="E1781" s="61"/>
      <c r="F1781" s="61"/>
      <c r="G1781" s="67"/>
      <c r="H1781" s="60"/>
      <c r="I1781" s="60"/>
      <c r="J1781" s="61"/>
      <c r="K1781" s="61"/>
      <c r="L1781" s="60"/>
      <c r="M1781" s="74" t="str">
        <f t="shared" si="219"/>
        <v/>
      </c>
      <c r="N1781" s="74" t="str">
        <f t="shared" si="220"/>
        <v/>
      </c>
      <c r="O1781" s="73" t="str">
        <f t="shared" si="221"/>
        <v/>
      </c>
      <c r="P1781" s="65" t="str">
        <f t="shared" ca="1" si="222"/>
        <v/>
      </c>
      <c r="Q1781" s="2"/>
      <c r="R1781" s="2"/>
      <c r="S1781" s="1" t="str">
        <f t="shared" si="223"/>
        <v/>
      </c>
      <c r="T1781" s="1" t="str">
        <f>IF(OR($C1781="",$D1781&lt;&gt;"Gelir",$L1781=""),"",IFERROR(INDEX(MUSTERILER!$B$7:$B$156,MATCH($S1781,MUSTERILER!$T$7:$T$156,0)),""))</f>
        <v/>
      </c>
      <c r="U1781" s="1" t="str">
        <f>IF($T1781="","",$T1781&amp;"|"&amp;COUNTIFS($T$7:$T1781,$T1781))</f>
        <v/>
      </c>
      <c r="V1781" s="1">
        <f t="shared" si="224"/>
        <v>0</v>
      </c>
      <c r="W1781" s="1" t="str">
        <f t="shared" si="225"/>
        <v/>
      </c>
      <c r="X1781" s="1"/>
      <c r="Y1781" s="1"/>
      <c r="Z1781" s="1"/>
      <c r="AA1781" s="1"/>
      <c r="AB1781" s="1"/>
      <c r="AC1781" s="1"/>
      <c r="AD1781" s="1">
        <f>IF($C1781="",0,SUMPRODUCT((AY_SONU!$O$7:$O$42="Evet")*(AY_SONU!$B$7:$B$42=DATE(YEAR($C1781),MONTH($C1781),1))))</f>
        <v>0</v>
      </c>
      <c r="AE1781" s="1" t="str">
        <f>IF($E1781="","",$E1781&amp;"|"&amp;COUNTIFS($E$7:$E1781,$E1781))</f>
        <v/>
      </c>
    </row>
    <row r="1782" spans="1:31" ht="18" customHeight="1" x14ac:dyDescent="0.3">
      <c r="A1782" s="2"/>
      <c r="B1782" s="65" t="str">
        <f t="shared" si="218"/>
        <v/>
      </c>
      <c r="C1782" s="66"/>
      <c r="D1782" s="60"/>
      <c r="E1782" s="61"/>
      <c r="F1782" s="61"/>
      <c r="G1782" s="67"/>
      <c r="H1782" s="60"/>
      <c r="I1782" s="60"/>
      <c r="J1782" s="61"/>
      <c r="K1782" s="61"/>
      <c r="L1782" s="60"/>
      <c r="M1782" s="74" t="str">
        <f t="shared" si="219"/>
        <v/>
      </c>
      <c r="N1782" s="74" t="str">
        <f t="shared" si="220"/>
        <v/>
      </c>
      <c r="O1782" s="73" t="str">
        <f t="shared" si="221"/>
        <v/>
      </c>
      <c r="P1782" s="65" t="str">
        <f t="shared" ca="1" si="222"/>
        <v/>
      </c>
      <c r="Q1782" s="2"/>
      <c r="R1782" s="2"/>
      <c r="S1782" s="1" t="str">
        <f t="shared" si="223"/>
        <v/>
      </c>
      <c r="T1782" s="1" t="str">
        <f>IF(OR($C1782="",$D1782&lt;&gt;"Gelir",$L1782=""),"",IFERROR(INDEX(MUSTERILER!$B$7:$B$156,MATCH($S1782,MUSTERILER!$T$7:$T$156,0)),""))</f>
        <v/>
      </c>
      <c r="U1782" s="1" t="str">
        <f>IF($T1782="","",$T1782&amp;"|"&amp;COUNTIFS($T$7:$T1782,$T1782))</f>
        <v/>
      </c>
      <c r="V1782" s="1">
        <f t="shared" si="224"/>
        <v>0</v>
      </c>
      <c r="W1782" s="1" t="str">
        <f t="shared" si="225"/>
        <v/>
      </c>
      <c r="X1782" s="1"/>
      <c r="Y1782" s="1"/>
      <c r="Z1782" s="1"/>
      <c r="AA1782" s="1"/>
      <c r="AB1782" s="1"/>
      <c r="AC1782" s="1"/>
      <c r="AD1782" s="1">
        <f>IF($C1782="",0,SUMPRODUCT((AY_SONU!$O$7:$O$42="Evet")*(AY_SONU!$B$7:$B$42=DATE(YEAR($C1782),MONTH($C1782),1))))</f>
        <v>0</v>
      </c>
      <c r="AE1782" s="1" t="str">
        <f>IF($E1782="","",$E1782&amp;"|"&amp;COUNTIFS($E$7:$E1782,$E1782))</f>
        <v/>
      </c>
    </row>
    <row r="1783" spans="1:31" ht="18" customHeight="1" x14ac:dyDescent="0.3">
      <c r="A1783" s="2"/>
      <c r="B1783" s="65" t="str">
        <f t="shared" si="218"/>
        <v/>
      </c>
      <c r="C1783" s="66"/>
      <c r="D1783" s="60"/>
      <c r="E1783" s="61"/>
      <c r="F1783" s="61"/>
      <c r="G1783" s="67"/>
      <c r="H1783" s="60"/>
      <c r="I1783" s="60"/>
      <c r="J1783" s="61"/>
      <c r="K1783" s="61"/>
      <c r="L1783" s="60"/>
      <c r="M1783" s="74" t="str">
        <f t="shared" si="219"/>
        <v/>
      </c>
      <c r="N1783" s="74" t="str">
        <f t="shared" si="220"/>
        <v/>
      </c>
      <c r="O1783" s="73" t="str">
        <f t="shared" si="221"/>
        <v/>
      </c>
      <c r="P1783" s="65" t="str">
        <f t="shared" ca="1" si="222"/>
        <v/>
      </c>
      <c r="Q1783" s="2"/>
      <c r="R1783" s="2"/>
      <c r="S1783" s="1" t="str">
        <f t="shared" si="223"/>
        <v/>
      </c>
      <c r="T1783" s="1" t="str">
        <f>IF(OR($C1783="",$D1783&lt;&gt;"Gelir",$L1783=""),"",IFERROR(INDEX(MUSTERILER!$B$7:$B$156,MATCH($S1783,MUSTERILER!$T$7:$T$156,0)),""))</f>
        <v/>
      </c>
      <c r="U1783" s="1" t="str">
        <f>IF($T1783="","",$T1783&amp;"|"&amp;COUNTIFS($T$7:$T1783,$T1783))</f>
        <v/>
      </c>
      <c r="V1783" s="1">
        <f t="shared" si="224"/>
        <v>0</v>
      </c>
      <c r="W1783" s="1" t="str">
        <f t="shared" si="225"/>
        <v/>
      </c>
      <c r="X1783" s="1"/>
      <c r="Y1783" s="1"/>
      <c r="Z1783" s="1"/>
      <c r="AA1783" s="1"/>
      <c r="AB1783" s="1"/>
      <c r="AC1783" s="1"/>
      <c r="AD1783" s="1">
        <f>IF($C1783="",0,SUMPRODUCT((AY_SONU!$O$7:$O$42="Evet")*(AY_SONU!$B$7:$B$42=DATE(YEAR($C1783),MONTH($C1783),1))))</f>
        <v>0</v>
      </c>
      <c r="AE1783" s="1" t="str">
        <f>IF($E1783="","",$E1783&amp;"|"&amp;COUNTIFS($E$7:$E1783,$E1783))</f>
        <v/>
      </c>
    </row>
    <row r="1784" spans="1:31" ht="18" customHeight="1" x14ac:dyDescent="0.3">
      <c r="A1784" s="2"/>
      <c r="B1784" s="65" t="str">
        <f t="shared" si="218"/>
        <v/>
      </c>
      <c r="C1784" s="66"/>
      <c r="D1784" s="60"/>
      <c r="E1784" s="61"/>
      <c r="F1784" s="61"/>
      <c r="G1784" s="67"/>
      <c r="H1784" s="60"/>
      <c r="I1784" s="60"/>
      <c r="J1784" s="61"/>
      <c r="K1784" s="61"/>
      <c r="L1784" s="60"/>
      <c r="M1784" s="74" t="str">
        <f t="shared" si="219"/>
        <v/>
      </c>
      <c r="N1784" s="74" t="str">
        <f t="shared" si="220"/>
        <v/>
      </c>
      <c r="O1784" s="73" t="str">
        <f t="shared" si="221"/>
        <v/>
      </c>
      <c r="P1784" s="65" t="str">
        <f t="shared" ca="1" si="222"/>
        <v/>
      </c>
      <c r="Q1784" s="2"/>
      <c r="R1784" s="2"/>
      <c r="S1784" s="1" t="str">
        <f t="shared" si="223"/>
        <v/>
      </c>
      <c r="T1784" s="1" t="str">
        <f>IF(OR($C1784="",$D1784&lt;&gt;"Gelir",$L1784=""),"",IFERROR(INDEX(MUSTERILER!$B$7:$B$156,MATCH($S1784,MUSTERILER!$T$7:$T$156,0)),""))</f>
        <v/>
      </c>
      <c r="U1784" s="1" t="str">
        <f>IF($T1784="","",$T1784&amp;"|"&amp;COUNTIFS($T$7:$T1784,$T1784))</f>
        <v/>
      </c>
      <c r="V1784" s="1">
        <f t="shared" si="224"/>
        <v>0</v>
      </c>
      <c r="W1784" s="1" t="str">
        <f t="shared" si="225"/>
        <v/>
      </c>
      <c r="X1784" s="1"/>
      <c r="Y1784" s="1"/>
      <c r="Z1784" s="1"/>
      <c r="AA1784" s="1"/>
      <c r="AB1784" s="1"/>
      <c r="AC1784" s="1"/>
      <c r="AD1784" s="1">
        <f>IF($C1784="",0,SUMPRODUCT((AY_SONU!$O$7:$O$42="Evet")*(AY_SONU!$B$7:$B$42=DATE(YEAR($C1784),MONTH($C1784),1))))</f>
        <v>0</v>
      </c>
      <c r="AE1784" s="1" t="str">
        <f>IF($E1784="","",$E1784&amp;"|"&amp;COUNTIFS($E$7:$E1784,$E1784))</f>
        <v/>
      </c>
    </row>
    <row r="1785" spans="1:31" ht="18" customHeight="1" x14ac:dyDescent="0.3">
      <c r="A1785" s="2"/>
      <c r="B1785" s="65" t="str">
        <f t="shared" si="218"/>
        <v/>
      </c>
      <c r="C1785" s="66"/>
      <c r="D1785" s="60"/>
      <c r="E1785" s="61"/>
      <c r="F1785" s="61"/>
      <c r="G1785" s="67"/>
      <c r="H1785" s="60"/>
      <c r="I1785" s="60"/>
      <c r="J1785" s="61"/>
      <c r="K1785" s="61"/>
      <c r="L1785" s="60"/>
      <c r="M1785" s="74" t="str">
        <f t="shared" si="219"/>
        <v/>
      </c>
      <c r="N1785" s="74" t="str">
        <f t="shared" si="220"/>
        <v/>
      </c>
      <c r="O1785" s="73" t="str">
        <f t="shared" si="221"/>
        <v/>
      </c>
      <c r="P1785" s="65" t="str">
        <f t="shared" ca="1" si="222"/>
        <v/>
      </c>
      <c r="Q1785" s="2"/>
      <c r="R1785" s="2"/>
      <c r="S1785" s="1" t="str">
        <f t="shared" si="223"/>
        <v/>
      </c>
      <c r="T1785" s="1" t="str">
        <f>IF(OR($C1785="",$D1785&lt;&gt;"Gelir",$L1785=""),"",IFERROR(INDEX(MUSTERILER!$B$7:$B$156,MATCH($S1785,MUSTERILER!$T$7:$T$156,0)),""))</f>
        <v/>
      </c>
      <c r="U1785" s="1" t="str">
        <f>IF($T1785="","",$T1785&amp;"|"&amp;COUNTIFS($T$7:$T1785,$T1785))</f>
        <v/>
      </c>
      <c r="V1785" s="1">
        <f t="shared" si="224"/>
        <v>0</v>
      </c>
      <c r="W1785" s="1" t="str">
        <f t="shared" si="225"/>
        <v/>
      </c>
      <c r="X1785" s="1"/>
      <c r="Y1785" s="1"/>
      <c r="Z1785" s="1"/>
      <c r="AA1785" s="1"/>
      <c r="AB1785" s="1"/>
      <c r="AC1785" s="1"/>
      <c r="AD1785" s="1">
        <f>IF($C1785="",0,SUMPRODUCT((AY_SONU!$O$7:$O$42="Evet")*(AY_SONU!$B$7:$B$42=DATE(YEAR($C1785),MONTH($C1785),1))))</f>
        <v>0</v>
      </c>
      <c r="AE1785" s="1" t="str">
        <f>IF($E1785="","",$E1785&amp;"|"&amp;COUNTIFS($E$7:$E1785,$E1785))</f>
        <v/>
      </c>
    </row>
    <row r="1786" spans="1:31" ht="18" customHeight="1" x14ac:dyDescent="0.3">
      <c r="A1786" s="2"/>
      <c r="B1786" s="65" t="str">
        <f t="shared" si="218"/>
        <v/>
      </c>
      <c r="C1786" s="66"/>
      <c r="D1786" s="60"/>
      <c r="E1786" s="61"/>
      <c r="F1786" s="61"/>
      <c r="G1786" s="67"/>
      <c r="H1786" s="60"/>
      <c r="I1786" s="60"/>
      <c r="J1786" s="61"/>
      <c r="K1786" s="61"/>
      <c r="L1786" s="60"/>
      <c r="M1786" s="74" t="str">
        <f t="shared" si="219"/>
        <v/>
      </c>
      <c r="N1786" s="74" t="str">
        <f t="shared" si="220"/>
        <v/>
      </c>
      <c r="O1786" s="73" t="str">
        <f t="shared" si="221"/>
        <v/>
      </c>
      <c r="P1786" s="65" t="str">
        <f t="shared" ca="1" si="222"/>
        <v/>
      </c>
      <c r="Q1786" s="2"/>
      <c r="R1786" s="2"/>
      <c r="S1786" s="1" t="str">
        <f t="shared" si="223"/>
        <v/>
      </c>
      <c r="T1786" s="1" t="str">
        <f>IF(OR($C1786="",$D1786&lt;&gt;"Gelir",$L1786=""),"",IFERROR(INDEX(MUSTERILER!$B$7:$B$156,MATCH($S1786,MUSTERILER!$T$7:$T$156,0)),""))</f>
        <v/>
      </c>
      <c r="U1786" s="1" t="str">
        <f>IF($T1786="","",$T1786&amp;"|"&amp;COUNTIFS($T$7:$T1786,$T1786))</f>
        <v/>
      </c>
      <c r="V1786" s="1">
        <f t="shared" si="224"/>
        <v>0</v>
      </c>
      <c r="W1786" s="1" t="str">
        <f t="shared" si="225"/>
        <v/>
      </c>
      <c r="X1786" s="1"/>
      <c r="Y1786" s="1"/>
      <c r="Z1786" s="1"/>
      <c r="AA1786" s="1"/>
      <c r="AB1786" s="1"/>
      <c r="AC1786" s="1"/>
      <c r="AD1786" s="1">
        <f>IF($C1786="",0,SUMPRODUCT((AY_SONU!$O$7:$O$42="Evet")*(AY_SONU!$B$7:$B$42=DATE(YEAR($C1786),MONTH($C1786),1))))</f>
        <v>0</v>
      </c>
      <c r="AE1786" s="1" t="str">
        <f>IF($E1786="","",$E1786&amp;"|"&amp;COUNTIFS($E$7:$E1786,$E1786))</f>
        <v/>
      </c>
    </row>
    <row r="1787" spans="1:31" ht="18" customHeight="1" x14ac:dyDescent="0.3">
      <c r="A1787" s="2"/>
      <c r="B1787" s="65" t="str">
        <f t="shared" si="218"/>
        <v/>
      </c>
      <c r="C1787" s="66"/>
      <c r="D1787" s="60"/>
      <c r="E1787" s="61"/>
      <c r="F1787" s="61"/>
      <c r="G1787" s="67"/>
      <c r="H1787" s="60"/>
      <c r="I1787" s="60"/>
      <c r="J1787" s="61"/>
      <c r="K1787" s="61"/>
      <c r="L1787" s="60"/>
      <c r="M1787" s="74" t="str">
        <f t="shared" si="219"/>
        <v/>
      </c>
      <c r="N1787" s="74" t="str">
        <f t="shared" si="220"/>
        <v/>
      </c>
      <c r="O1787" s="73" t="str">
        <f t="shared" si="221"/>
        <v/>
      </c>
      <c r="P1787" s="65" t="str">
        <f t="shared" ca="1" si="222"/>
        <v/>
      </c>
      <c r="Q1787" s="2"/>
      <c r="R1787" s="2"/>
      <c r="S1787" s="1" t="str">
        <f t="shared" si="223"/>
        <v/>
      </c>
      <c r="T1787" s="1" t="str">
        <f>IF(OR($C1787="",$D1787&lt;&gt;"Gelir",$L1787=""),"",IFERROR(INDEX(MUSTERILER!$B$7:$B$156,MATCH($S1787,MUSTERILER!$T$7:$T$156,0)),""))</f>
        <v/>
      </c>
      <c r="U1787" s="1" t="str">
        <f>IF($T1787="","",$T1787&amp;"|"&amp;COUNTIFS($T$7:$T1787,$T1787))</f>
        <v/>
      </c>
      <c r="V1787" s="1">
        <f t="shared" si="224"/>
        <v>0</v>
      </c>
      <c r="W1787" s="1" t="str">
        <f t="shared" si="225"/>
        <v/>
      </c>
      <c r="X1787" s="1"/>
      <c r="Y1787" s="1"/>
      <c r="Z1787" s="1"/>
      <c r="AA1787" s="1"/>
      <c r="AB1787" s="1"/>
      <c r="AC1787" s="1"/>
      <c r="AD1787" s="1">
        <f>IF($C1787="",0,SUMPRODUCT((AY_SONU!$O$7:$O$42="Evet")*(AY_SONU!$B$7:$B$42=DATE(YEAR($C1787),MONTH($C1787),1))))</f>
        <v>0</v>
      </c>
      <c r="AE1787" s="1" t="str">
        <f>IF($E1787="","",$E1787&amp;"|"&amp;COUNTIFS($E$7:$E1787,$E1787))</f>
        <v/>
      </c>
    </row>
    <row r="1788" spans="1:31" ht="18" customHeight="1" x14ac:dyDescent="0.3">
      <c r="A1788" s="2"/>
      <c r="B1788" s="65" t="str">
        <f t="shared" si="218"/>
        <v/>
      </c>
      <c r="C1788" s="66"/>
      <c r="D1788" s="60"/>
      <c r="E1788" s="61"/>
      <c r="F1788" s="61"/>
      <c r="G1788" s="67"/>
      <c r="H1788" s="60"/>
      <c r="I1788" s="60"/>
      <c r="J1788" s="61"/>
      <c r="K1788" s="61"/>
      <c r="L1788" s="60"/>
      <c r="M1788" s="74" t="str">
        <f t="shared" si="219"/>
        <v/>
      </c>
      <c r="N1788" s="74" t="str">
        <f t="shared" si="220"/>
        <v/>
      </c>
      <c r="O1788" s="73" t="str">
        <f t="shared" si="221"/>
        <v/>
      </c>
      <c r="P1788" s="65" t="str">
        <f t="shared" ca="1" si="222"/>
        <v/>
      </c>
      <c r="Q1788" s="2"/>
      <c r="R1788" s="2"/>
      <c r="S1788" s="1" t="str">
        <f t="shared" si="223"/>
        <v/>
      </c>
      <c r="T1788" s="1" t="str">
        <f>IF(OR($C1788="",$D1788&lt;&gt;"Gelir",$L1788=""),"",IFERROR(INDEX(MUSTERILER!$B$7:$B$156,MATCH($S1788,MUSTERILER!$T$7:$T$156,0)),""))</f>
        <v/>
      </c>
      <c r="U1788" s="1" t="str">
        <f>IF($T1788="","",$T1788&amp;"|"&amp;COUNTIFS($T$7:$T1788,$T1788))</f>
        <v/>
      </c>
      <c r="V1788" s="1">
        <f t="shared" si="224"/>
        <v>0</v>
      </c>
      <c r="W1788" s="1" t="str">
        <f t="shared" si="225"/>
        <v/>
      </c>
      <c r="X1788" s="1"/>
      <c r="Y1788" s="1"/>
      <c r="Z1788" s="1"/>
      <c r="AA1788" s="1"/>
      <c r="AB1788" s="1"/>
      <c r="AC1788" s="1"/>
      <c r="AD1788" s="1">
        <f>IF($C1788="",0,SUMPRODUCT((AY_SONU!$O$7:$O$42="Evet")*(AY_SONU!$B$7:$B$42=DATE(YEAR($C1788),MONTH($C1788),1))))</f>
        <v>0</v>
      </c>
      <c r="AE1788" s="1" t="str">
        <f>IF($E1788="","",$E1788&amp;"|"&amp;COUNTIFS($E$7:$E1788,$E1788))</f>
        <v/>
      </c>
    </row>
    <row r="1789" spans="1:31" ht="18" customHeight="1" x14ac:dyDescent="0.3">
      <c r="A1789" s="2"/>
      <c r="B1789" s="65" t="str">
        <f t="shared" si="218"/>
        <v/>
      </c>
      <c r="C1789" s="66"/>
      <c r="D1789" s="60"/>
      <c r="E1789" s="61"/>
      <c r="F1789" s="61"/>
      <c r="G1789" s="67"/>
      <c r="H1789" s="60"/>
      <c r="I1789" s="60"/>
      <c r="J1789" s="61"/>
      <c r="K1789" s="61"/>
      <c r="L1789" s="60"/>
      <c r="M1789" s="74" t="str">
        <f t="shared" si="219"/>
        <v/>
      </c>
      <c r="N1789" s="74" t="str">
        <f t="shared" si="220"/>
        <v/>
      </c>
      <c r="O1789" s="73" t="str">
        <f t="shared" si="221"/>
        <v/>
      </c>
      <c r="P1789" s="65" t="str">
        <f t="shared" ca="1" si="222"/>
        <v/>
      </c>
      <c r="Q1789" s="2"/>
      <c r="R1789" s="2"/>
      <c r="S1789" s="1" t="str">
        <f t="shared" si="223"/>
        <v/>
      </c>
      <c r="T1789" s="1" t="str">
        <f>IF(OR($C1789="",$D1789&lt;&gt;"Gelir",$L1789=""),"",IFERROR(INDEX(MUSTERILER!$B$7:$B$156,MATCH($S1789,MUSTERILER!$T$7:$T$156,0)),""))</f>
        <v/>
      </c>
      <c r="U1789" s="1" t="str">
        <f>IF($T1789="","",$T1789&amp;"|"&amp;COUNTIFS($T$7:$T1789,$T1789))</f>
        <v/>
      </c>
      <c r="V1789" s="1">
        <f t="shared" si="224"/>
        <v>0</v>
      </c>
      <c r="W1789" s="1" t="str">
        <f t="shared" si="225"/>
        <v/>
      </c>
      <c r="X1789" s="1"/>
      <c r="Y1789" s="1"/>
      <c r="Z1789" s="1"/>
      <c r="AA1789" s="1"/>
      <c r="AB1789" s="1"/>
      <c r="AC1789" s="1"/>
      <c r="AD1789" s="1">
        <f>IF($C1789="",0,SUMPRODUCT((AY_SONU!$O$7:$O$42="Evet")*(AY_SONU!$B$7:$B$42=DATE(YEAR($C1789),MONTH($C1789),1))))</f>
        <v>0</v>
      </c>
      <c r="AE1789" s="1" t="str">
        <f>IF($E1789="","",$E1789&amp;"|"&amp;COUNTIFS($E$7:$E1789,$E1789))</f>
        <v/>
      </c>
    </row>
    <row r="1790" spans="1:31" ht="18" customHeight="1" x14ac:dyDescent="0.3">
      <c r="A1790" s="2"/>
      <c r="B1790" s="65" t="str">
        <f t="shared" si="218"/>
        <v/>
      </c>
      <c r="C1790" s="66"/>
      <c r="D1790" s="60"/>
      <c r="E1790" s="61"/>
      <c r="F1790" s="61"/>
      <c r="G1790" s="67"/>
      <c r="H1790" s="60"/>
      <c r="I1790" s="60"/>
      <c r="J1790" s="61"/>
      <c r="K1790" s="61"/>
      <c r="L1790" s="60"/>
      <c r="M1790" s="74" t="str">
        <f t="shared" si="219"/>
        <v/>
      </c>
      <c r="N1790" s="74" t="str">
        <f t="shared" si="220"/>
        <v/>
      </c>
      <c r="O1790" s="73" t="str">
        <f t="shared" si="221"/>
        <v/>
      </c>
      <c r="P1790" s="65" t="str">
        <f t="shared" ca="1" si="222"/>
        <v/>
      </c>
      <c r="Q1790" s="2"/>
      <c r="R1790" s="2"/>
      <c r="S1790" s="1" t="str">
        <f t="shared" si="223"/>
        <v/>
      </c>
      <c r="T1790" s="1" t="str">
        <f>IF(OR($C1790="",$D1790&lt;&gt;"Gelir",$L1790=""),"",IFERROR(INDEX(MUSTERILER!$B$7:$B$156,MATCH($S1790,MUSTERILER!$T$7:$T$156,0)),""))</f>
        <v/>
      </c>
      <c r="U1790" s="1" t="str">
        <f>IF($T1790="","",$T1790&amp;"|"&amp;COUNTIFS($T$7:$T1790,$T1790))</f>
        <v/>
      </c>
      <c r="V1790" s="1">
        <f t="shared" si="224"/>
        <v>0</v>
      </c>
      <c r="W1790" s="1" t="str">
        <f t="shared" si="225"/>
        <v/>
      </c>
      <c r="X1790" s="1"/>
      <c r="Y1790" s="1"/>
      <c r="Z1790" s="1"/>
      <c r="AA1790" s="1"/>
      <c r="AB1790" s="1"/>
      <c r="AC1790" s="1"/>
      <c r="AD1790" s="1">
        <f>IF($C1790="",0,SUMPRODUCT((AY_SONU!$O$7:$O$42="Evet")*(AY_SONU!$B$7:$B$42=DATE(YEAR($C1790),MONTH($C1790),1))))</f>
        <v>0</v>
      </c>
      <c r="AE1790" s="1" t="str">
        <f>IF($E1790="","",$E1790&amp;"|"&amp;COUNTIFS($E$7:$E1790,$E1790))</f>
        <v/>
      </c>
    </row>
    <row r="1791" spans="1:31" ht="18" customHeight="1" x14ac:dyDescent="0.3">
      <c r="A1791" s="2"/>
      <c r="B1791" s="65" t="str">
        <f t="shared" si="218"/>
        <v/>
      </c>
      <c r="C1791" s="66"/>
      <c r="D1791" s="60"/>
      <c r="E1791" s="61"/>
      <c r="F1791" s="61"/>
      <c r="G1791" s="67"/>
      <c r="H1791" s="60"/>
      <c r="I1791" s="60"/>
      <c r="J1791" s="61"/>
      <c r="K1791" s="61"/>
      <c r="L1791" s="60"/>
      <c r="M1791" s="74" t="str">
        <f t="shared" si="219"/>
        <v/>
      </c>
      <c r="N1791" s="74" t="str">
        <f t="shared" si="220"/>
        <v/>
      </c>
      <c r="O1791" s="73" t="str">
        <f t="shared" si="221"/>
        <v/>
      </c>
      <c r="P1791" s="65" t="str">
        <f t="shared" ca="1" si="222"/>
        <v/>
      </c>
      <c r="Q1791" s="2"/>
      <c r="R1791" s="2"/>
      <c r="S1791" s="1" t="str">
        <f t="shared" si="223"/>
        <v/>
      </c>
      <c r="T1791" s="1" t="str">
        <f>IF(OR($C1791="",$D1791&lt;&gt;"Gelir",$L1791=""),"",IFERROR(INDEX(MUSTERILER!$B$7:$B$156,MATCH($S1791,MUSTERILER!$T$7:$T$156,0)),""))</f>
        <v/>
      </c>
      <c r="U1791" s="1" t="str">
        <f>IF($T1791="","",$T1791&amp;"|"&amp;COUNTIFS($T$7:$T1791,$T1791))</f>
        <v/>
      </c>
      <c r="V1791" s="1">
        <f t="shared" si="224"/>
        <v>0</v>
      </c>
      <c r="W1791" s="1" t="str">
        <f t="shared" si="225"/>
        <v/>
      </c>
      <c r="X1791" s="1"/>
      <c r="Y1791" s="1"/>
      <c r="Z1791" s="1"/>
      <c r="AA1791" s="1"/>
      <c r="AB1791" s="1"/>
      <c r="AC1791" s="1"/>
      <c r="AD1791" s="1">
        <f>IF($C1791="",0,SUMPRODUCT((AY_SONU!$O$7:$O$42="Evet")*(AY_SONU!$B$7:$B$42=DATE(YEAR($C1791),MONTH($C1791),1))))</f>
        <v>0</v>
      </c>
      <c r="AE1791" s="1" t="str">
        <f>IF($E1791="","",$E1791&amp;"|"&amp;COUNTIFS($E$7:$E1791,$E1791))</f>
        <v/>
      </c>
    </row>
    <row r="1792" spans="1:31" ht="18" customHeight="1" x14ac:dyDescent="0.3">
      <c r="A1792" s="2"/>
      <c r="B1792" s="65" t="str">
        <f t="shared" si="218"/>
        <v/>
      </c>
      <c r="C1792" s="66"/>
      <c r="D1792" s="60"/>
      <c r="E1792" s="61"/>
      <c r="F1792" s="61"/>
      <c r="G1792" s="67"/>
      <c r="H1792" s="60"/>
      <c r="I1792" s="60"/>
      <c r="J1792" s="61"/>
      <c r="K1792" s="61"/>
      <c r="L1792" s="60"/>
      <c r="M1792" s="74" t="str">
        <f t="shared" si="219"/>
        <v/>
      </c>
      <c r="N1792" s="74" t="str">
        <f t="shared" si="220"/>
        <v/>
      </c>
      <c r="O1792" s="73" t="str">
        <f t="shared" si="221"/>
        <v/>
      </c>
      <c r="P1792" s="65" t="str">
        <f t="shared" ca="1" si="222"/>
        <v/>
      </c>
      <c r="Q1792" s="2"/>
      <c r="R1792" s="2"/>
      <c r="S1792" s="1" t="str">
        <f t="shared" si="223"/>
        <v/>
      </c>
      <c r="T1792" s="1" t="str">
        <f>IF(OR($C1792="",$D1792&lt;&gt;"Gelir",$L1792=""),"",IFERROR(INDEX(MUSTERILER!$B$7:$B$156,MATCH($S1792,MUSTERILER!$T$7:$T$156,0)),""))</f>
        <v/>
      </c>
      <c r="U1792" s="1" t="str">
        <f>IF($T1792="","",$T1792&amp;"|"&amp;COUNTIFS($T$7:$T1792,$T1792))</f>
        <v/>
      </c>
      <c r="V1792" s="1">
        <f t="shared" si="224"/>
        <v>0</v>
      </c>
      <c r="W1792" s="1" t="str">
        <f t="shared" si="225"/>
        <v/>
      </c>
      <c r="X1792" s="1"/>
      <c r="Y1792" s="1"/>
      <c r="Z1792" s="1"/>
      <c r="AA1792" s="1"/>
      <c r="AB1792" s="1"/>
      <c r="AC1792" s="1"/>
      <c r="AD1792" s="1">
        <f>IF($C1792="",0,SUMPRODUCT((AY_SONU!$O$7:$O$42="Evet")*(AY_SONU!$B$7:$B$42=DATE(YEAR($C1792),MONTH($C1792),1))))</f>
        <v>0</v>
      </c>
      <c r="AE1792" s="1" t="str">
        <f>IF($E1792="","",$E1792&amp;"|"&amp;COUNTIFS($E$7:$E1792,$E1792))</f>
        <v/>
      </c>
    </row>
    <row r="1793" spans="1:31" ht="18" customHeight="1" x14ac:dyDescent="0.3">
      <c r="A1793" s="2"/>
      <c r="B1793" s="65" t="str">
        <f t="shared" si="218"/>
        <v/>
      </c>
      <c r="C1793" s="66"/>
      <c r="D1793" s="60"/>
      <c r="E1793" s="61"/>
      <c r="F1793" s="61"/>
      <c r="G1793" s="67"/>
      <c r="H1793" s="60"/>
      <c r="I1793" s="60"/>
      <c r="J1793" s="61"/>
      <c r="K1793" s="61"/>
      <c r="L1793" s="60"/>
      <c r="M1793" s="74" t="str">
        <f t="shared" si="219"/>
        <v/>
      </c>
      <c r="N1793" s="74" t="str">
        <f t="shared" si="220"/>
        <v/>
      </c>
      <c r="O1793" s="73" t="str">
        <f t="shared" si="221"/>
        <v/>
      </c>
      <c r="P1793" s="65" t="str">
        <f t="shared" ca="1" si="222"/>
        <v/>
      </c>
      <c r="Q1793" s="2"/>
      <c r="R1793" s="2"/>
      <c r="S1793" s="1" t="str">
        <f t="shared" si="223"/>
        <v/>
      </c>
      <c r="T1793" s="1" t="str">
        <f>IF(OR($C1793="",$D1793&lt;&gt;"Gelir",$L1793=""),"",IFERROR(INDEX(MUSTERILER!$B$7:$B$156,MATCH($S1793,MUSTERILER!$T$7:$T$156,0)),""))</f>
        <v/>
      </c>
      <c r="U1793" s="1" t="str">
        <f>IF($T1793="","",$T1793&amp;"|"&amp;COUNTIFS($T$7:$T1793,$T1793))</f>
        <v/>
      </c>
      <c r="V1793" s="1">
        <f t="shared" si="224"/>
        <v>0</v>
      </c>
      <c r="W1793" s="1" t="str">
        <f t="shared" si="225"/>
        <v/>
      </c>
      <c r="X1793" s="1"/>
      <c r="Y1793" s="1"/>
      <c r="Z1793" s="1"/>
      <c r="AA1793" s="1"/>
      <c r="AB1793" s="1"/>
      <c r="AC1793" s="1"/>
      <c r="AD1793" s="1">
        <f>IF($C1793="",0,SUMPRODUCT((AY_SONU!$O$7:$O$42="Evet")*(AY_SONU!$B$7:$B$42=DATE(YEAR($C1793),MONTH($C1793),1))))</f>
        <v>0</v>
      </c>
      <c r="AE1793" s="1" t="str">
        <f>IF($E1793="","",$E1793&amp;"|"&amp;COUNTIFS($E$7:$E1793,$E1793))</f>
        <v/>
      </c>
    </row>
    <row r="1794" spans="1:31" ht="18" customHeight="1" x14ac:dyDescent="0.3">
      <c r="A1794" s="2"/>
      <c r="B1794" s="65" t="str">
        <f t="shared" si="218"/>
        <v/>
      </c>
      <c r="C1794" s="66"/>
      <c r="D1794" s="60"/>
      <c r="E1794" s="61"/>
      <c r="F1794" s="61"/>
      <c r="G1794" s="67"/>
      <c r="H1794" s="60"/>
      <c r="I1794" s="60"/>
      <c r="J1794" s="61"/>
      <c r="K1794" s="61"/>
      <c r="L1794" s="60"/>
      <c r="M1794" s="74" t="str">
        <f t="shared" si="219"/>
        <v/>
      </c>
      <c r="N1794" s="74" t="str">
        <f t="shared" si="220"/>
        <v/>
      </c>
      <c r="O1794" s="73" t="str">
        <f t="shared" si="221"/>
        <v/>
      </c>
      <c r="P1794" s="65" t="str">
        <f t="shared" ca="1" si="222"/>
        <v/>
      </c>
      <c r="Q1794" s="2"/>
      <c r="R1794" s="2"/>
      <c r="S1794" s="1" t="str">
        <f t="shared" si="223"/>
        <v/>
      </c>
      <c r="T1794" s="1" t="str">
        <f>IF(OR($C1794="",$D1794&lt;&gt;"Gelir",$L1794=""),"",IFERROR(INDEX(MUSTERILER!$B$7:$B$156,MATCH($S1794,MUSTERILER!$T$7:$T$156,0)),""))</f>
        <v/>
      </c>
      <c r="U1794" s="1" t="str">
        <f>IF($T1794="","",$T1794&amp;"|"&amp;COUNTIFS($T$7:$T1794,$T1794))</f>
        <v/>
      </c>
      <c r="V1794" s="1">
        <f t="shared" si="224"/>
        <v>0</v>
      </c>
      <c r="W1794" s="1" t="str">
        <f t="shared" si="225"/>
        <v/>
      </c>
      <c r="X1794" s="1"/>
      <c r="Y1794" s="1"/>
      <c r="Z1794" s="1"/>
      <c r="AA1794" s="1"/>
      <c r="AB1794" s="1"/>
      <c r="AC1794" s="1"/>
      <c r="AD1794" s="1">
        <f>IF($C1794="",0,SUMPRODUCT((AY_SONU!$O$7:$O$42="Evet")*(AY_SONU!$B$7:$B$42=DATE(YEAR($C1794),MONTH($C1794),1))))</f>
        <v>0</v>
      </c>
      <c r="AE1794" s="1" t="str">
        <f>IF($E1794="","",$E1794&amp;"|"&amp;COUNTIFS($E$7:$E1794,$E1794))</f>
        <v/>
      </c>
    </row>
    <row r="1795" spans="1:31" ht="18" customHeight="1" x14ac:dyDescent="0.3">
      <c r="A1795" s="2"/>
      <c r="B1795" s="65" t="str">
        <f t="shared" si="218"/>
        <v/>
      </c>
      <c r="C1795" s="66"/>
      <c r="D1795" s="60"/>
      <c r="E1795" s="61"/>
      <c r="F1795" s="61"/>
      <c r="G1795" s="67"/>
      <c r="H1795" s="60"/>
      <c r="I1795" s="60"/>
      <c r="J1795" s="61"/>
      <c r="K1795" s="61"/>
      <c r="L1795" s="60"/>
      <c r="M1795" s="74" t="str">
        <f t="shared" si="219"/>
        <v/>
      </c>
      <c r="N1795" s="74" t="str">
        <f t="shared" si="220"/>
        <v/>
      </c>
      <c r="O1795" s="73" t="str">
        <f t="shared" si="221"/>
        <v/>
      </c>
      <c r="P1795" s="65" t="str">
        <f t="shared" ca="1" si="222"/>
        <v/>
      </c>
      <c r="Q1795" s="2"/>
      <c r="R1795" s="2"/>
      <c r="S1795" s="1" t="str">
        <f t="shared" si="223"/>
        <v/>
      </c>
      <c r="T1795" s="1" t="str">
        <f>IF(OR($C1795="",$D1795&lt;&gt;"Gelir",$L1795=""),"",IFERROR(INDEX(MUSTERILER!$B$7:$B$156,MATCH($S1795,MUSTERILER!$T$7:$T$156,0)),""))</f>
        <v/>
      </c>
      <c r="U1795" s="1" t="str">
        <f>IF($T1795="","",$T1795&amp;"|"&amp;COUNTIFS($T$7:$T1795,$T1795))</f>
        <v/>
      </c>
      <c r="V1795" s="1">
        <f t="shared" si="224"/>
        <v>0</v>
      </c>
      <c r="W1795" s="1" t="str">
        <f t="shared" si="225"/>
        <v/>
      </c>
      <c r="X1795" s="1"/>
      <c r="Y1795" s="1"/>
      <c r="Z1795" s="1"/>
      <c r="AA1795" s="1"/>
      <c r="AB1795" s="1"/>
      <c r="AC1795" s="1"/>
      <c r="AD1795" s="1">
        <f>IF($C1795="",0,SUMPRODUCT((AY_SONU!$O$7:$O$42="Evet")*(AY_SONU!$B$7:$B$42=DATE(YEAR($C1795),MONTH($C1795),1))))</f>
        <v>0</v>
      </c>
      <c r="AE1795" s="1" t="str">
        <f>IF($E1795="","",$E1795&amp;"|"&amp;COUNTIFS($E$7:$E1795,$E1795))</f>
        <v/>
      </c>
    </row>
    <row r="1796" spans="1:31" ht="18" customHeight="1" x14ac:dyDescent="0.3">
      <c r="A1796" s="2"/>
      <c r="B1796" s="65" t="str">
        <f t="shared" si="218"/>
        <v/>
      </c>
      <c r="C1796" s="66"/>
      <c r="D1796" s="60"/>
      <c r="E1796" s="61"/>
      <c r="F1796" s="61"/>
      <c r="G1796" s="67"/>
      <c r="H1796" s="60"/>
      <c r="I1796" s="60"/>
      <c r="J1796" s="61"/>
      <c r="K1796" s="61"/>
      <c r="L1796" s="60"/>
      <c r="M1796" s="74" t="str">
        <f t="shared" si="219"/>
        <v/>
      </c>
      <c r="N1796" s="74" t="str">
        <f t="shared" si="220"/>
        <v/>
      </c>
      <c r="O1796" s="73" t="str">
        <f t="shared" si="221"/>
        <v/>
      </c>
      <c r="P1796" s="65" t="str">
        <f t="shared" ca="1" si="222"/>
        <v/>
      </c>
      <c r="Q1796" s="2"/>
      <c r="R1796" s="2"/>
      <c r="S1796" s="1" t="str">
        <f t="shared" si="223"/>
        <v/>
      </c>
      <c r="T1796" s="1" t="str">
        <f>IF(OR($C1796="",$D1796&lt;&gt;"Gelir",$L1796=""),"",IFERROR(INDEX(MUSTERILER!$B$7:$B$156,MATCH($S1796,MUSTERILER!$T$7:$T$156,0)),""))</f>
        <v/>
      </c>
      <c r="U1796" s="1" t="str">
        <f>IF($T1796="","",$T1796&amp;"|"&amp;COUNTIFS($T$7:$T1796,$T1796))</f>
        <v/>
      </c>
      <c r="V1796" s="1">
        <f t="shared" si="224"/>
        <v>0</v>
      </c>
      <c r="W1796" s="1" t="str">
        <f t="shared" si="225"/>
        <v/>
      </c>
      <c r="X1796" s="1"/>
      <c r="Y1796" s="1"/>
      <c r="Z1796" s="1"/>
      <c r="AA1796" s="1"/>
      <c r="AB1796" s="1"/>
      <c r="AC1796" s="1"/>
      <c r="AD1796" s="1">
        <f>IF($C1796="",0,SUMPRODUCT((AY_SONU!$O$7:$O$42="Evet")*(AY_SONU!$B$7:$B$42=DATE(YEAR($C1796),MONTH($C1796),1))))</f>
        <v>0</v>
      </c>
      <c r="AE1796" s="1" t="str">
        <f>IF($E1796="","",$E1796&amp;"|"&amp;COUNTIFS($E$7:$E1796,$E1796))</f>
        <v/>
      </c>
    </row>
    <row r="1797" spans="1:31" ht="18" customHeight="1" x14ac:dyDescent="0.3">
      <c r="A1797" s="2"/>
      <c r="B1797" s="65" t="str">
        <f t="shared" si="218"/>
        <v/>
      </c>
      <c r="C1797" s="66"/>
      <c r="D1797" s="60"/>
      <c r="E1797" s="61"/>
      <c r="F1797" s="61"/>
      <c r="G1797" s="67"/>
      <c r="H1797" s="60"/>
      <c r="I1797" s="60"/>
      <c r="J1797" s="61"/>
      <c r="K1797" s="61"/>
      <c r="L1797" s="60"/>
      <c r="M1797" s="74" t="str">
        <f t="shared" si="219"/>
        <v/>
      </c>
      <c r="N1797" s="74" t="str">
        <f t="shared" si="220"/>
        <v/>
      </c>
      <c r="O1797" s="73" t="str">
        <f t="shared" si="221"/>
        <v/>
      </c>
      <c r="P1797" s="65" t="str">
        <f t="shared" ca="1" si="222"/>
        <v/>
      </c>
      <c r="Q1797" s="2"/>
      <c r="R1797" s="2"/>
      <c r="S1797" s="1" t="str">
        <f t="shared" si="223"/>
        <v/>
      </c>
      <c r="T1797" s="1" t="str">
        <f>IF(OR($C1797="",$D1797&lt;&gt;"Gelir",$L1797=""),"",IFERROR(INDEX(MUSTERILER!$B$7:$B$156,MATCH($S1797,MUSTERILER!$T$7:$T$156,0)),""))</f>
        <v/>
      </c>
      <c r="U1797" s="1" t="str">
        <f>IF($T1797="","",$T1797&amp;"|"&amp;COUNTIFS($T$7:$T1797,$T1797))</f>
        <v/>
      </c>
      <c r="V1797" s="1">
        <f t="shared" si="224"/>
        <v>0</v>
      </c>
      <c r="W1797" s="1" t="str">
        <f t="shared" si="225"/>
        <v/>
      </c>
      <c r="X1797" s="1"/>
      <c r="Y1797" s="1"/>
      <c r="Z1797" s="1"/>
      <c r="AA1797" s="1"/>
      <c r="AB1797" s="1"/>
      <c r="AC1797" s="1"/>
      <c r="AD1797" s="1">
        <f>IF($C1797="",0,SUMPRODUCT((AY_SONU!$O$7:$O$42="Evet")*(AY_SONU!$B$7:$B$42=DATE(YEAR($C1797),MONTH($C1797),1))))</f>
        <v>0</v>
      </c>
      <c r="AE1797" s="1" t="str">
        <f>IF($E1797="","",$E1797&amp;"|"&amp;COUNTIFS($E$7:$E1797,$E1797))</f>
        <v/>
      </c>
    </row>
    <row r="1798" spans="1:31" ht="18" customHeight="1" x14ac:dyDescent="0.3">
      <c r="A1798" s="2"/>
      <c r="B1798" s="65" t="str">
        <f t="shared" si="218"/>
        <v/>
      </c>
      <c r="C1798" s="66"/>
      <c r="D1798" s="60"/>
      <c r="E1798" s="61"/>
      <c r="F1798" s="61"/>
      <c r="G1798" s="67"/>
      <c r="H1798" s="60"/>
      <c r="I1798" s="60"/>
      <c r="J1798" s="61"/>
      <c r="K1798" s="61"/>
      <c r="L1798" s="60"/>
      <c r="M1798" s="74" t="str">
        <f t="shared" si="219"/>
        <v/>
      </c>
      <c r="N1798" s="74" t="str">
        <f t="shared" si="220"/>
        <v/>
      </c>
      <c r="O1798" s="73" t="str">
        <f t="shared" si="221"/>
        <v/>
      </c>
      <c r="P1798" s="65" t="str">
        <f t="shared" ca="1" si="222"/>
        <v/>
      </c>
      <c r="Q1798" s="2"/>
      <c r="R1798" s="2"/>
      <c r="S1798" s="1" t="str">
        <f t="shared" si="223"/>
        <v/>
      </c>
      <c r="T1798" s="1" t="str">
        <f>IF(OR($C1798="",$D1798&lt;&gt;"Gelir",$L1798=""),"",IFERROR(INDEX(MUSTERILER!$B$7:$B$156,MATCH($S1798,MUSTERILER!$T$7:$T$156,0)),""))</f>
        <v/>
      </c>
      <c r="U1798" s="1" t="str">
        <f>IF($T1798="","",$T1798&amp;"|"&amp;COUNTIFS($T$7:$T1798,$T1798))</f>
        <v/>
      </c>
      <c r="V1798" s="1">
        <f t="shared" si="224"/>
        <v>0</v>
      </c>
      <c r="W1798" s="1" t="str">
        <f t="shared" si="225"/>
        <v/>
      </c>
      <c r="X1798" s="1"/>
      <c r="Y1798" s="1"/>
      <c r="Z1798" s="1"/>
      <c r="AA1798" s="1"/>
      <c r="AB1798" s="1"/>
      <c r="AC1798" s="1"/>
      <c r="AD1798" s="1">
        <f>IF($C1798="",0,SUMPRODUCT((AY_SONU!$O$7:$O$42="Evet")*(AY_SONU!$B$7:$B$42=DATE(YEAR($C1798),MONTH($C1798),1))))</f>
        <v>0</v>
      </c>
      <c r="AE1798" s="1" t="str">
        <f>IF($E1798="","",$E1798&amp;"|"&amp;COUNTIFS($E$7:$E1798,$E1798))</f>
        <v/>
      </c>
    </row>
    <row r="1799" spans="1:31" ht="18" customHeight="1" x14ac:dyDescent="0.3">
      <c r="A1799" s="2"/>
      <c r="B1799" s="65" t="str">
        <f t="shared" ref="B1799:B1862" si="226">IF($C1799="","","GG"&amp;TEXT(ROW()-6,"00000"))</f>
        <v/>
      </c>
      <c r="C1799" s="66"/>
      <c r="D1799" s="60"/>
      <c r="E1799" s="61"/>
      <c r="F1799" s="61"/>
      <c r="G1799" s="67"/>
      <c r="H1799" s="60"/>
      <c r="I1799" s="60"/>
      <c r="J1799" s="61"/>
      <c r="K1799" s="61"/>
      <c r="L1799" s="60"/>
      <c r="M1799" s="74" t="str">
        <f t="shared" ref="M1799:M1862" si="227">IF($C1799="","",IF($D1799="Gider",$E1799,IF($L1799&lt;&gt;"",$L1799,$H1799)))</f>
        <v/>
      </c>
      <c r="N1799" s="74" t="str">
        <f t="shared" ref="N1799:N1862" si="228">IF($C1799="","",IF($D1799="Gider",$H1799,$E1799))</f>
        <v/>
      </c>
      <c r="O1799" s="73" t="str">
        <f t="shared" ref="O1799:O1862" si="229">IF($C1799="","",DATE(YEAR($C1799),MONTH($C1799),1))</f>
        <v/>
      </c>
      <c r="P1799" s="65" t="str">
        <f t="shared" ref="P1799:P1862" ca="1" si="230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TARİH",IF(COUNTIF($W$7:$W$3006,$W1799)&gt;1,"MÜKERRER?",IF($AD1799&gt;0,"KAPALI DÖNEM",IF($I1799="Hayır","ÖDENECEK","UYGUN")))),"EKSİK"))))</f>
        <v/>
      </c>
      <c r="Q1799" s="2"/>
      <c r="R1799" s="2"/>
      <c r="S1799" s="1" t="str">
        <f t="shared" ref="S1799:S1862" si="231"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1" t="str">
        <f>IF(OR($C1799="",$D1799&lt;&gt;"Gelir",$L1799=""),"",IFERROR(INDEX(MUSTERILER!$B$7:$B$156,MATCH($S1799,MUSTERILER!$T$7:$T$156,0)),""))</f>
        <v/>
      </c>
      <c r="U1799" s="1" t="str">
        <f>IF($T1799="","",$T1799&amp;"|"&amp;COUNTIFS($T$7:$T1799,$T1799))</f>
        <v/>
      </c>
      <c r="V1799" s="1">
        <f t="shared" ref="V1799:V1862" si="232">IF($T1799="",0,1)</f>
        <v>0</v>
      </c>
      <c r="W1799" s="1" t="str">
        <f t="shared" ref="W1799:W1862" si="233">IF($C1799="","",$D1799&amp;"|"&amp;$E1799&amp;"|"&amp;TEXT($C1799,"0")&amp;"|"&amp;TEXT($G1799,"0")&amp;"|"&amp;$J1799)</f>
        <v/>
      </c>
      <c r="X1799" s="1"/>
      <c r="Y1799" s="1"/>
      <c r="Z1799" s="1"/>
      <c r="AA1799" s="1"/>
      <c r="AB1799" s="1"/>
      <c r="AC1799" s="1"/>
      <c r="AD1799" s="1">
        <f>IF($C1799="",0,SUMPRODUCT((AY_SONU!$O$7:$O$42="Evet")*(AY_SONU!$B$7:$B$42=DATE(YEAR($C1799),MONTH($C1799),1))))</f>
        <v>0</v>
      </c>
      <c r="AE1799" s="1" t="str">
        <f>IF($E1799="","",$E1799&amp;"|"&amp;COUNTIFS($E$7:$E1799,$E1799))</f>
        <v/>
      </c>
    </row>
    <row r="1800" spans="1:31" ht="18" customHeight="1" x14ac:dyDescent="0.3">
      <c r="A1800" s="2"/>
      <c r="B1800" s="65" t="str">
        <f t="shared" si="226"/>
        <v/>
      </c>
      <c r="C1800" s="66"/>
      <c r="D1800" s="60"/>
      <c r="E1800" s="61"/>
      <c r="F1800" s="61"/>
      <c r="G1800" s="67"/>
      <c r="H1800" s="60"/>
      <c r="I1800" s="60"/>
      <c r="J1800" s="61"/>
      <c r="K1800" s="61"/>
      <c r="L1800" s="60"/>
      <c r="M1800" s="74" t="str">
        <f t="shared" si="227"/>
        <v/>
      </c>
      <c r="N1800" s="74" t="str">
        <f t="shared" si="228"/>
        <v/>
      </c>
      <c r="O1800" s="73" t="str">
        <f t="shared" si="229"/>
        <v/>
      </c>
      <c r="P1800" s="65" t="str">
        <f t="shared" ca="1" si="230"/>
        <v/>
      </c>
      <c r="Q1800" s="2"/>
      <c r="R1800" s="2"/>
      <c r="S1800" s="1" t="str">
        <f t="shared" si="231"/>
        <v/>
      </c>
      <c r="T1800" s="1" t="str">
        <f>IF(OR($C1800="",$D1800&lt;&gt;"Gelir",$L1800=""),"",IFERROR(INDEX(MUSTERILER!$B$7:$B$156,MATCH($S1800,MUSTERILER!$T$7:$T$156,0)),""))</f>
        <v/>
      </c>
      <c r="U1800" s="1" t="str">
        <f>IF($T1800="","",$T1800&amp;"|"&amp;COUNTIFS($T$7:$T1800,$T1800))</f>
        <v/>
      </c>
      <c r="V1800" s="1">
        <f t="shared" si="232"/>
        <v>0</v>
      </c>
      <c r="W1800" s="1" t="str">
        <f t="shared" si="233"/>
        <v/>
      </c>
      <c r="X1800" s="1"/>
      <c r="Y1800" s="1"/>
      <c r="Z1800" s="1"/>
      <c r="AA1800" s="1"/>
      <c r="AB1800" s="1"/>
      <c r="AC1800" s="1"/>
      <c r="AD1800" s="1">
        <f>IF($C1800="",0,SUMPRODUCT((AY_SONU!$O$7:$O$42="Evet")*(AY_SONU!$B$7:$B$42=DATE(YEAR($C1800),MONTH($C1800),1))))</f>
        <v>0</v>
      </c>
      <c r="AE1800" s="1" t="str">
        <f>IF($E1800="","",$E1800&amp;"|"&amp;COUNTIFS($E$7:$E1800,$E1800))</f>
        <v/>
      </c>
    </row>
    <row r="1801" spans="1:31" ht="18" customHeight="1" x14ac:dyDescent="0.3">
      <c r="A1801" s="2"/>
      <c r="B1801" s="65" t="str">
        <f t="shared" si="226"/>
        <v/>
      </c>
      <c r="C1801" s="66"/>
      <c r="D1801" s="60"/>
      <c r="E1801" s="61"/>
      <c r="F1801" s="61"/>
      <c r="G1801" s="67"/>
      <c r="H1801" s="60"/>
      <c r="I1801" s="60"/>
      <c r="J1801" s="61"/>
      <c r="K1801" s="61"/>
      <c r="L1801" s="60"/>
      <c r="M1801" s="74" t="str">
        <f t="shared" si="227"/>
        <v/>
      </c>
      <c r="N1801" s="74" t="str">
        <f t="shared" si="228"/>
        <v/>
      </c>
      <c r="O1801" s="73" t="str">
        <f t="shared" si="229"/>
        <v/>
      </c>
      <c r="P1801" s="65" t="str">
        <f t="shared" ca="1" si="230"/>
        <v/>
      </c>
      <c r="Q1801" s="2"/>
      <c r="R1801" s="2"/>
      <c r="S1801" s="1" t="str">
        <f t="shared" si="231"/>
        <v/>
      </c>
      <c r="T1801" s="1" t="str">
        <f>IF(OR($C1801="",$D1801&lt;&gt;"Gelir",$L1801=""),"",IFERROR(INDEX(MUSTERILER!$B$7:$B$156,MATCH($S1801,MUSTERILER!$T$7:$T$156,0)),""))</f>
        <v/>
      </c>
      <c r="U1801" s="1" t="str">
        <f>IF($T1801="","",$T1801&amp;"|"&amp;COUNTIFS($T$7:$T1801,$T1801))</f>
        <v/>
      </c>
      <c r="V1801" s="1">
        <f t="shared" si="232"/>
        <v>0</v>
      </c>
      <c r="W1801" s="1" t="str">
        <f t="shared" si="233"/>
        <v/>
      </c>
      <c r="X1801" s="1"/>
      <c r="Y1801" s="1"/>
      <c r="Z1801" s="1"/>
      <c r="AA1801" s="1"/>
      <c r="AB1801" s="1"/>
      <c r="AC1801" s="1"/>
      <c r="AD1801" s="1">
        <f>IF($C1801="",0,SUMPRODUCT((AY_SONU!$O$7:$O$42="Evet")*(AY_SONU!$B$7:$B$42=DATE(YEAR($C1801),MONTH($C1801),1))))</f>
        <v>0</v>
      </c>
      <c r="AE1801" s="1" t="str">
        <f>IF($E1801="","",$E1801&amp;"|"&amp;COUNTIFS($E$7:$E1801,$E1801))</f>
        <v/>
      </c>
    </row>
    <row r="1802" spans="1:31" ht="18" customHeight="1" x14ac:dyDescent="0.3">
      <c r="A1802" s="2"/>
      <c r="B1802" s="65" t="str">
        <f t="shared" si="226"/>
        <v/>
      </c>
      <c r="C1802" s="66"/>
      <c r="D1802" s="60"/>
      <c r="E1802" s="61"/>
      <c r="F1802" s="61"/>
      <c r="G1802" s="67"/>
      <c r="H1802" s="60"/>
      <c r="I1802" s="60"/>
      <c r="J1802" s="61"/>
      <c r="K1802" s="61"/>
      <c r="L1802" s="60"/>
      <c r="M1802" s="74" t="str">
        <f t="shared" si="227"/>
        <v/>
      </c>
      <c r="N1802" s="74" t="str">
        <f t="shared" si="228"/>
        <v/>
      </c>
      <c r="O1802" s="73" t="str">
        <f t="shared" si="229"/>
        <v/>
      </c>
      <c r="P1802" s="65" t="str">
        <f t="shared" ca="1" si="230"/>
        <v/>
      </c>
      <c r="Q1802" s="2"/>
      <c r="R1802" s="2"/>
      <c r="S1802" s="1" t="str">
        <f t="shared" si="231"/>
        <v/>
      </c>
      <c r="T1802" s="1" t="str">
        <f>IF(OR($C1802="",$D1802&lt;&gt;"Gelir",$L1802=""),"",IFERROR(INDEX(MUSTERILER!$B$7:$B$156,MATCH($S1802,MUSTERILER!$T$7:$T$156,0)),""))</f>
        <v/>
      </c>
      <c r="U1802" s="1" t="str">
        <f>IF($T1802="","",$T1802&amp;"|"&amp;COUNTIFS($T$7:$T1802,$T1802))</f>
        <v/>
      </c>
      <c r="V1802" s="1">
        <f t="shared" si="232"/>
        <v>0</v>
      </c>
      <c r="W1802" s="1" t="str">
        <f t="shared" si="233"/>
        <v/>
      </c>
      <c r="X1802" s="1"/>
      <c r="Y1802" s="1"/>
      <c r="Z1802" s="1"/>
      <c r="AA1802" s="1"/>
      <c r="AB1802" s="1"/>
      <c r="AC1802" s="1"/>
      <c r="AD1802" s="1">
        <f>IF($C1802="",0,SUMPRODUCT((AY_SONU!$O$7:$O$42="Evet")*(AY_SONU!$B$7:$B$42=DATE(YEAR($C1802),MONTH($C1802),1))))</f>
        <v>0</v>
      </c>
      <c r="AE1802" s="1" t="str">
        <f>IF($E1802="","",$E1802&amp;"|"&amp;COUNTIFS($E$7:$E1802,$E1802))</f>
        <v/>
      </c>
    </row>
    <row r="1803" spans="1:31" ht="18" customHeight="1" x14ac:dyDescent="0.3">
      <c r="A1803" s="2"/>
      <c r="B1803" s="65" t="str">
        <f t="shared" si="226"/>
        <v/>
      </c>
      <c r="C1803" s="66"/>
      <c r="D1803" s="60"/>
      <c r="E1803" s="61"/>
      <c r="F1803" s="61"/>
      <c r="G1803" s="67"/>
      <c r="H1803" s="60"/>
      <c r="I1803" s="60"/>
      <c r="J1803" s="61"/>
      <c r="K1803" s="61"/>
      <c r="L1803" s="60"/>
      <c r="M1803" s="74" t="str">
        <f t="shared" si="227"/>
        <v/>
      </c>
      <c r="N1803" s="74" t="str">
        <f t="shared" si="228"/>
        <v/>
      </c>
      <c r="O1803" s="73" t="str">
        <f t="shared" si="229"/>
        <v/>
      </c>
      <c r="P1803" s="65" t="str">
        <f t="shared" ca="1" si="230"/>
        <v/>
      </c>
      <c r="Q1803" s="2"/>
      <c r="R1803" s="2"/>
      <c r="S1803" s="1" t="str">
        <f t="shared" si="231"/>
        <v/>
      </c>
      <c r="T1803" s="1" t="str">
        <f>IF(OR($C1803="",$D1803&lt;&gt;"Gelir",$L1803=""),"",IFERROR(INDEX(MUSTERILER!$B$7:$B$156,MATCH($S1803,MUSTERILER!$T$7:$T$156,0)),""))</f>
        <v/>
      </c>
      <c r="U1803" s="1" t="str">
        <f>IF($T1803="","",$T1803&amp;"|"&amp;COUNTIFS($T$7:$T1803,$T1803))</f>
        <v/>
      </c>
      <c r="V1803" s="1">
        <f t="shared" si="232"/>
        <v>0</v>
      </c>
      <c r="W1803" s="1" t="str">
        <f t="shared" si="233"/>
        <v/>
      </c>
      <c r="X1803" s="1"/>
      <c r="Y1803" s="1"/>
      <c r="Z1803" s="1"/>
      <c r="AA1803" s="1"/>
      <c r="AB1803" s="1"/>
      <c r="AC1803" s="1"/>
      <c r="AD1803" s="1">
        <f>IF($C1803="",0,SUMPRODUCT((AY_SONU!$O$7:$O$42="Evet")*(AY_SONU!$B$7:$B$42=DATE(YEAR($C1803),MONTH($C1803),1))))</f>
        <v>0</v>
      </c>
      <c r="AE1803" s="1" t="str">
        <f>IF($E1803="","",$E1803&amp;"|"&amp;COUNTIFS($E$7:$E1803,$E1803))</f>
        <v/>
      </c>
    </row>
    <row r="1804" spans="1:31" ht="18" customHeight="1" x14ac:dyDescent="0.3">
      <c r="A1804" s="2"/>
      <c r="B1804" s="65" t="str">
        <f t="shared" si="226"/>
        <v/>
      </c>
      <c r="C1804" s="66"/>
      <c r="D1804" s="60"/>
      <c r="E1804" s="61"/>
      <c r="F1804" s="61"/>
      <c r="G1804" s="67"/>
      <c r="H1804" s="60"/>
      <c r="I1804" s="60"/>
      <c r="J1804" s="61"/>
      <c r="K1804" s="61"/>
      <c r="L1804" s="60"/>
      <c r="M1804" s="74" t="str">
        <f t="shared" si="227"/>
        <v/>
      </c>
      <c r="N1804" s="74" t="str">
        <f t="shared" si="228"/>
        <v/>
      </c>
      <c r="O1804" s="73" t="str">
        <f t="shared" si="229"/>
        <v/>
      </c>
      <c r="P1804" s="65" t="str">
        <f t="shared" ca="1" si="230"/>
        <v/>
      </c>
      <c r="Q1804" s="2"/>
      <c r="R1804" s="2"/>
      <c r="S1804" s="1" t="str">
        <f t="shared" si="231"/>
        <v/>
      </c>
      <c r="T1804" s="1" t="str">
        <f>IF(OR($C1804="",$D1804&lt;&gt;"Gelir",$L1804=""),"",IFERROR(INDEX(MUSTERILER!$B$7:$B$156,MATCH($S1804,MUSTERILER!$T$7:$T$156,0)),""))</f>
        <v/>
      </c>
      <c r="U1804" s="1" t="str">
        <f>IF($T1804="","",$T1804&amp;"|"&amp;COUNTIFS($T$7:$T1804,$T1804))</f>
        <v/>
      </c>
      <c r="V1804" s="1">
        <f t="shared" si="232"/>
        <v>0</v>
      </c>
      <c r="W1804" s="1" t="str">
        <f t="shared" si="233"/>
        <v/>
      </c>
      <c r="X1804" s="1"/>
      <c r="Y1804" s="1"/>
      <c r="Z1804" s="1"/>
      <c r="AA1804" s="1"/>
      <c r="AB1804" s="1"/>
      <c r="AC1804" s="1"/>
      <c r="AD1804" s="1">
        <f>IF($C1804="",0,SUMPRODUCT((AY_SONU!$O$7:$O$42="Evet")*(AY_SONU!$B$7:$B$42=DATE(YEAR($C1804),MONTH($C1804),1))))</f>
        <v>0</v>
      </c>
      <c r="AE1804" s="1" t="str">
        <f>IF($E1804="","",$E1804&amp;"|"&amp;COUNTIFS($E$7:$E1804,$E1804))</f>
        <v/>
      </c>
    </row>
    <row r="1805" spans="1:31" ht="18" customHeight="1" x14ac:dyDescent="0.3">
      <c r="A1805" s="2"/>
      <c r="B1805" s="65" t="str">
        <f t="shared" si="226"/>
        <v/>
      </c>
      <c r="C1805" s="66"/>
      <c r="D1805" s="60"/>
      <c r="E1805" s="61"/>
      <c r="F1805" s="61"/>
      <c r="G1805" s="67"/>
      <c r="H1805" s="60"/>
      <c r="I1805" s="60"/>
      <c r="J1805" s="61"/>
      <c r="K1805" s="61"/>
      <c r="L1805" s="60"/>
      <c r="M1805" s="74" t="str">
        <f t="shared" si="227"/>
        <v/>
      </c>
      <c r="N1805" s="74" t="str">
        <f t="shared" si="228"/>
        <v/>
      </c>
      <c r="O1805" s="73" t="str">
        <f t="shared" si="229"/>
        <v/>
      </c>
      <c r="P1805" s="65" t="str">
        <f t="shared" ca="1" si="230"/>
        <v/>
      </c>
      <c r="Q1805" s="2"/>
      <c r="R1805" s="2"/>
      <c r="S1805" s="1" t="str">
        <f t="shared" si="231"/>
        <v/>
      </c>
      <c r="T1805" s="1" t="str">
        <f>IF(OR($C1805="",$D1805&lt;&gt;"Gelir",$L1805=""),"",IFERROR(INDEX(MUSTERILER!$B$7:$B$156,MATCH($S1805,MUSTERILER!$T$7:$T$156,0)),""))</f>
        <v/>
      </c>
      <c r="U1805" s="1" t="str">
        <f>IF($T1805="","",$T1805&amp;"|"&amp;COUNTIFS($T$7:$T1805,$T1805))</f>
        <v/>
      </c>
      <c r="V1805" s="1">
        <f t="shared" si="232"/>
        <v>0</v>
      </c>
      <c r="W1805" s="1" t="str">
        <f t="shared" si="233"/>
        <v/>
      </c>
      <c r="X1805" s="1"/>
      <c r="Y1805" s="1"/>
      <c r="Z1805" s="1"/>
      <c r="AA1805" s="1"/>
      <c r="AB1805" s="1"/>
      <c r="AC1805" s="1"/>
      <c r="AD1805" s="1">
        <f>IF($C1805="",0,SUMPRODUCT((AY_SONU!$O$7:$O$42="Evet")*(AY_SONU!$B$7:$B$42=DATE(YEAR($C1805),MONTH($C1805),1))))</f>
        <v>0</v>
      </c>
      <c r="AE1805" s="1" t="str">
        <f>IF($E1805="","",$E1805&amp;"|"&amp;COUNTIFS($E$7:$E1805,$E1805))</f>
        <v/>
      </c>
    </row>
    <row r="1806" spans="1:31" ht="18" customHeight="1" x14ac:dyDescent="0.3">
      <c r="A1806" s="2"/>
      <c r="B1806" s="65" t="str">
        <f t="shared" si="226"/>
        <v/>
      </c>
      <c r="C1806" s="66"/>
      <c r="D1806" s="60"/>
      <c r="E1806" s="61"/>
      <c r="F1806" s="61"/>
      <c r="G1806" s="67"/>
      <c r="H1806" s="60"/>
      <c r="I1806" s="60"/>
      <c r="J1806" s="61"/>
      <c r="K1806" s="61"/>
      <c r="L1806" s="60"/>
      <c r="M1806" s="74" t="str">
        <f t="shared" si="227"/>
        <v/>
      </c>
      <c r="N1806" s="74" t="str">
        <f t="shared" si="228"/>
        <v/>
      </c>
      <c r="O1806" s="73" t="str">
        <f t="shared" si="229"/>
        <v/>
      </c>
      <c r="P1806" s="65" t="str">
        <f t="shared" ca="1" si="230"/>
        <v/>
      </c>
      <c r="Q1806" s="2"/>
      <c r="R1806" s="2"/>
      <c r="S1806" s="1" t="str">
        <f t="shared" si="231"/>
        <v/>
      </c>
      <c r="T1806" s="1" t="str">
        <f>IF(OR($C1806="",$D1806&lt;&gt;"Gelir",$L1806=""),"",IFERROR(INDEX(MUSTERILER!$B$7:$B$156,MATCH($S1806,MUSTERILER!$T$7:$T$156,0)),""))</f>
        <v/>
      </c>
      <c r="U1806" s="1" t="str">
        <f>IF($T1806="","",$T1806&amp;"|"&amp;COUNTIFS($T$7:$T1806,$T1806))</f>
        <v/>
      </c>
      <c r="V1806" s="1">
        <f t="shared" si="232"/>
        <v>0</v>
      </c>
      <c r="W1806" s="1" t="str">
        <f t="shared" si="233"/>
        <v/>
      </c>
      <c r="X1806" s="1"/>
      <c r="Y1806" s="1"/>
      <c r="Z1806" s="1"/>
      <c r="AA1806" s="1"/>
      <c r="AB1806" s="1"/>
      <c r="AC1806" s="1"/>
      <c r="AD1806" s="1">
        <f>IF($C1806="",0,SUMPRODUCT((AY_SONU!$O$7:$O$42="Evet")*(AY_SONU!$B$7:$B$42=DATE(YEAR($C1806),MONTH($C1806),1))))</f>
        <v>0</v>
      </c>
      <c r="AE1806" s="1" t="str">
        <f>IF($E1806="","",$E1806&amp;"|"&amp;COUNTIFS($E$7:$E1806,$E1806))</f>
        <v/>
      </c>
    </row>
    <row r="1807" spans="1:31" ht="18" customHeight="1" x14ac:dyDescent="0.3">
      <c r="A1807" s="2"/>
      <c r="B1807" s="65" t="str">
        <f t="shared" si="226"/>
        <v/>
      </c>
      <c r="C1807" s="66"/>
      <c r="D1807" s="60"/>
      <c r="E1807" s="61"/>
      <c r="F1807" s="61"/>
      <c r="G1807" s="67"/>
      <c r="H1807" s="60"/>
      <c r="I1807" s="60"/>
      <c r="J1807" s="61"/>
      <c r="K1807" s="61"/>
      <c r="L1807" s="60"/>
      <c r="M1807" s="74" t="str">
        <f t="shared" si="227"/>
        <v/>
      </c>
      <c r="N1807" s="74" t="str">
        <f t="shared" si="228"/>
        <v/>
      </c>
      <c r="O1807" s="73" t="str">
        <f t="shared" si="229"/>
        <v/>
      </c>
      <c r="P1807" s="65" t="str">
        <f t="shared" ca="1" si="230"/>
        <v/>
      </c>
      <c r="Q1807" s="2"/>
      <c r="R1807" s="2"/>
      <c r="S1807" s="1" t="str">
        <f t="shared" si="231"/>
        <v/>
      </c>
      <c r="T1807" s="1" t="str">
        <f>IF(OR($C1807="",$D1807&lt;&gt;"Gelir",$L1807=""),"",IFERROR(INDEX(MUSTERILER!$B$7:$B$156,MATCH($S1807,MUSTERILER!$T$7:$T$156,0)),""))</f>
        <v/>
      </c>
      <c r="U1807" s="1" t="str">
        <f>IF($T1807="","",$T1807&amp;"|"&amp;COUNTIFS($T$7:$T1807,$T1807))</f>
        <v/>
      </c>
      <c r="V1807" s="1">
        <f t="shared" si="232"/>
        <v>0</v>
      </c>
      <c r="W1807" s="1" t="str">
        <f t="shared" si="233"/>
        <v/>
      </c>
      <c r="X1807" s="1"/>
      <c r="Y1807" s="1"/>
      <c r="Z1807" s="1"/>
      <c r="AA1807" s="1"/>
      <c r="AB1807" s="1"/>
      <c r="AC1807" s="1"/>
      <c r="AD1807" s="1">
        <f>IF($C1807="",0,SUMPRODUCT((AY_SONU!$O$7:$O$42="Evet")*(AY_SONU!$B$7:$B$42=DATE(YEAR($C1807),MONTH($C1807),1))))</f>
        <v>0</v>
      </c>
      <c r="AE1807" s="1" t="str">
        <f>IF($E1807="","",$E1807&amp;"|"&amp;COUNTIFS($E$7:$E1807,$E1807))</f>
        <v/>
      </c>
    </row>
    <row r="1808" spans="1:31" ht="18" customHeight="1" x14ac:dyDescent="0.3">
      <c r="A1808" s="2"/>
      <c r="B1808" s="65" t="str">
        <f t="shared" si="226"/>
        <v/>
      </c>
      <c r="C1808" s="66"/>
      <c r="D1808" s="60"/>
      <c r="E1808" s="61"/>
      <c r="F1808" s="61"/>
      <c r="G1808" s="67"/>
      <c r="H1808" s="60"/>
      <c r="I1808" s="60"/>
      <c r="J1808" s="61"/>
      <c r="K1808" s="61"/>
      <c r="L1808" s="60"/>
      <c r="M1808" s="74" t="str">
        <f t="shared" si="227"/>
        <v/>
      </c>
      <c r="N1808" s="74" t="str">
        <f t="shared" si="228"/>
        <v/>
      </c>
      <c r="O1808" s="73" t="str">
        <f t="shared" si="229"/>
        <v/>
      </c>
      <c r="P1808" s="65" t="str">
        <f t="shared" ca="1" si="230"/>
        <v/>
      </c>
      <c r="Q1808" s="2"/>
      <c r="R1808" s="2"/>
      <c r="S1808" s="1" t="str">
        <f t="shared" si="231"/>
        <v/>
      </c>
      <c r="T1808" s="1" t="str">
        <f>IF(OR($C1808="",$D1808&lt;&gt;"Gelir",$L1808=""),"",IFERROR(INDEX(MUSTERILER!$B$7:$B$156,MATCH($S1808,MUSTERILER!$T$7:$T$156,0)),""))</f>
        <v/>
      </c>
      <c r="U1808" s="1" t="str">
        <f>IF($T1808="","",$T1808&amp;"|"&amp;COUNTIFS($T$7:$T1808,$T1808))</f>
        <v/>
      </c>
      <c r="V1808" s="1">
        <f t="shared" si="232"/>
        <v>0</v>
      </c>
      <c r="W1808" s="1" t="str">
        <f t="shared" si="233"/>
        <v/>
      </c>
      <c r="X1808" s="1"/>
      <c r="Y1808" s="1"/>
      <c r="Z1808" s="1"/>
      <c r="AA1808" s="1"/>
      <c r="AB1808" s="1"/>
      <c r="AC1808" s="1"/>
      <c r="AD1808" s="1">
        <f>IF($C1808="",0,SUMPRODUCT((AY_SONU!$O$7:$O$42="Evet")*(AY_SONU!$B$7:$B$42=DATE(YEAR($C1808),MONTH($C1808),1))))</f>
        <v>0</v>
      </c>
      <c r="AE1808" s="1" t="str">
        <f>IF($E1808="","",$E1808&amp;"|"&amp;COUNTIFS($E$7:$E1808,$E1808))</f>
        <v/>
      </c>
    </row>
    <row r="1809" spans="1:31" ht="18" customHeight="1" x14ac:dyDescent="0.3">
      <c r="A1809" s="2"/>
      <c r="B1809" s="65" t="str">
        <f t="shared" si="226"/>
        <v/>
      </c>
      <c r="C1809" s="66"/>
      <c r="D1809" s="60"/>
      <c r="E1809" s="61"/>
      <c r="F1809" s="61"/>
      <c r="G1809" s="67"/>
      <c r="H1809" s="60"/>
      <c r="I1809" s="60"/>
      <c r="J1809" s="61"/>
      <c r="K1809" s="61"/>
      <c r="L1809" s="60"/>
      <c r="M1809" s="74" t="str">
        <f t="shared" si="227"/>
        <v/>
      </c>
      <c r="N1809" s="74" t="str">
        <f t="shared" si="228"/>
        <v/>
      </c>
      <c r="O1809" s="73" t="str">
        <f t="shared" si="229"/>
        <v/>
      </c>
      <c r="P1809" s="65" t="str">
        <f t="shared" ca="1" si="230"/>
        <v/>
      </c>
      <c r="Q1809" s="2"/>
      <c r="R1809" s="2"/>
      <c r="S1809" s="1" t="str">
        <f t="shared" si="231"/>
        <v/>
      </c>
      <c r="T1809" s="1" t="str">
        <f>IF(OR($C1809="",$D1809&lt;&gt;"Gelir",$L1809=""),"",IFERROR(INDEX(MUSTERILER!$B$7:$B$156,MATCH($S1809,MUSTERILER!$T$7:$T$156,0)),""))</f>
        <v/>
      </c>
      <c r="U1809" s="1" t="str">
        <f>IF($T1809="","",$T1809&amp;"|"&amp;COUNTIFS($T$7:$T1809,$T1809))</f>
        <v/>
      </c>
      <c r="V1809" s="1">
        <f t="shared" si="232"/>
        <v>0</v>
      </c>
      <c r="W1809" s="1" t="str">
        <f t="shared" si="233"/>
        <v/>
      </c>
      <c r="X1809" s="1"/>
      <c r="Y1809" s="1"/>
      <c r="Z1809" s="1"/>
      <c r="AA1809" s="1"/>
      <c r="AB1809" s="1"/>
      <c r="AC1809" s="1"/>
      <c r="AD1809" s="1">
        <f>IF($C1809="",0,SUMPRODUCT((AY_SONU!$O$7:$O$42="Evet")*(AY_SONU!$B$7:$B$42=DATE(YEAR($C1809),MONTH($C1809),1))))</f>
        <v>0</v>
      </c>
      <c r="AE1809" s="1" t="str">
        <f>IF($E1809="","",$E1809&amp;"|"&amp;COUNTIFS($E$7:$E1809,$E1809))</f>
        <v/>
      </c>
    </row>
    <row r="1810" spans="1:31" ht="18" customHeight="1" x14ac:dyDescent="0.3">
      <c r="A1810" s="2"/>
      <c r="B1810" s="65" t="str">
        <f t="shared" si="226"/>
        <v/>
      </c>
      <c r="C1810" s="66"/>
      <c r="D1810" s="60"/>
      <c r="E1810" s="61"/>
      <c r="F1810" s="61"/>
      <c r="G1810" s="67"/>
      <c r="H1810" s="60"/>
      <c r="I1810" s="60"/>
      <c r="J1810" s="61"/>
      <c r="K1810" s="61"/>
      <c r="L1810" s="60"/>
      <c r="M1810" s="74" t="str">
        <f t="shared" si="227"/>
        <v/>
      </c>
      <c r="N1810" s="74" t="str">
        <f t="shared" si="228"/>
        <v/>
      </c>
      <c r="O1810" s="73" t="str">
        <f t="shared" si="229"/>
        <v/>
      </c>
      <c r="P1810" s="65" t="str">
        <f t="shared" ca="1" si="230"/>
        <v/>
      </c>
      <c r="Q1810" s="2"/>
      <c r="R1810" s="2"/>
      <c r="S1810" s="1" t="str">
        <f t="shared" si="231"/>
        <v/>
      </c>
      <c r="T1810" s="1" t="str">
        <f>IF(OR($C1810="",$D1810&lt;&gt;"Gelir",$L1810=""),"",IFERROR(INDEX(MUSTERILER!$B$7:$B$156,MATCH($S1810,MUSTERILER!$T$7:$T$156,0)),""))</f>
        <v/>
      </c>
      <c r="U1810" s="1" t="str">
        <f>IF($T1810="","",$T1810&amp;"|"&amp;COUNTIFS($T$7:$T1810,$T1810))</f>
        <v/>
      </c>
      <c r="V1810" s="1">
        <f t="shared" si="232"/>
        <v>0</v>
      </c>
      <c r="W1810" s="1" t="str">
        <f t="shared" si="233"/>
        <v/>
      </c>
      <c r="X1810" s="1"/>
      <c r="Y1810" s="1"/>
      <c r="Z1810" s="1"/>
      <c r="AA1810" s="1"/>
      <c r="AB1810" s="1"/>
      <c r="AC1810" s="1"/>
      <c r="AD1810" s="1">
        <f>IF($C1810="",0,SUMPRODUCT((AY_SONU!$O$7:$O$42="Evet")*(AY_SONU!$B$7:$B$42=DATE(YEAR($C1810),MONTH($C1810),1))))</f>
        <v>0</v>
      </c>
      <c r="AE1810" s="1" t="str">
        <f>IF($E1810="","",$E1810&amp;"|"&amp;COUNTIFS($E$7:$E1810,$E1810))</f>
        <v/>
      </c>
    </row>
    <row r="1811" spans="1:31" ht="18" customHeight="1" x14ac:dyDescent="0.3">
      <c r="A1811" s="2"/>
      <c r="B1811" s="65" t="str">
        <f t="shared" si="226"/>
        <v/>
      </c>
      <c r="C1811" s="66"/>
      <c r="D1811" s="60"/>
      <c r="E1811" s="61"/>
      <c r="F1811" s="61"/>
      <c r="G1811" s="67"/>
      <c r="H1811" s="60"/>
      <c r="I1811" s="60"/>
      <c r="J1811" s="61"/>
      <c r="K1811" s="61"/>
      <c r="L1811" s="60"/>
      <c r="M1811" s="74" t="str">
        <f t="shared" si="227"/>
        <v/>
      </c>
      <c r="N1811" s="74" t="str">
        <f t="shared" si="228"/>
        <v/>
      </c>
      <c r="O1811" s="73" t="str">
        <f t="shared" si="229"/>
        <v/>
      </c>
      <c r="P1811" s="65" t="str">
        <f t="shared" ca="1" si="230"/>
        <v/>
      </c>
      <c r="Q1811" s="2"/>
      <c r="R1811" s="2"/>
      <c r="S1811" s="1" t="str">
        <f t="shared" si="231"/>
        <v/>
      </c>
      <c r="T1811" s="1" t="str">
        <f>IF(OR($C1811="",$D1811&lt;&gt;"Gelir",$L1811=""),"",IFERROR(INDEX(MUSTERILER!$B$7:$B$156,MATCH($S1811,MUSTERILER!$T$7:$T$156,0)),""))</f>
        <v/>
      </c>
      <c r="U1811" s="1" t="str">
        <f>IF($T1811="","",$T1811&amp;"|"&amp;COUNTIFS($T$7:$T1811,$T1811))</f>
        <v/>
      </c>
      <c r="V1811" s="1">
        <f t="shared" si="232"/>
        <v>0</v>
      </c>
      <c r="W1811" s="1" t="str">
        <f t="shared" si="233"/>
        <v/>
      </c>
      <c r="X1811" s="1"/>
      <c r="Y1811" s="1"/>
      <c r="Z1811" s="1"/>
      <c r="AA1811" s="1"/>
      <c r="AB1811" s="1"/>
      <c r="AC1811" s="1"/>
      <c r="AD1811" s="1">
        <f>IF($C1811="",0,SUMPRODUCT((AY_SONU!$O$7:$O$42="Evet")*(AY_SONU!$B$7:$B$42=DATE(YEAR($C1811),MONTH($C1811),1))))</f>
        <v>0</v>
      </c>
      <c r="AE1811" s="1" t="str">
        <f>IF($E1811="","",$E1811&amp;"|"&amp;COUNTIFS($E$7:$E1811,$E1811))</f>
        <v/>
      </c>
    </row>
    <row r="1812" spans="1:31" ht="18" customHeight="1" x14ac:dyDescent="0.3">
      <c r="A1812" s="2"/>
      <c r="B1812" s="65" t="str">
        <f t="shared" si="226"/>
        <v/>
      </c>
      <c r="C1812" s="66"/>
      <c r="D1812" s="60"/>
      <c r="E1812" s="61"/>
      <c r="F1812" s="61"/>
      <c r="G1812" s="67"/>
      <c r="H1812" s="60"/>
      <c r="I1812" s="60"/>
      <c r="J1812" s="61"/>
      <c r="K1812" s="61"/>
      <c r="L1812" s="60"/>
      <c r="M1812" s="74" t="str">
        <f t="shared" si="227"/>
        <v/>
      </c>
      <c r="N1812" s="74" t="str">
        <f t="shared" si="228"/>
        <v/>
      </c>
      <c r="O1812" s="73" t="str">
        <f t="shared" si="229"/>
        <v/>
      </c>
      <c r="P1812" s="65" t="str">
        <f t="shared" ca="1" si="230"/>
        <v/>
      </c>
      <c r="Q1812" s="2"/>
      <c r="R1812" s="2"/>
      <c r="S1812" s="1" t="str">
        <f t="shared" si="231"/>
        <v/>
      </c>
      <c r="T1812" s="1" t="str">
        <f>IF(OR($C1812="",$D1812&lt;&gt;"Gelir",$L1812=""),"",IFERROR(INDEX(MUSTERILER!$B$7:$B$156,MATCH($S1812,MUSTERILER!$T$7:$T$156,0)),""))</f>
        <v/>
      </c>
      <c r="U1812" s="1" t="str">
        <f>IF($T1812="","",$T1812&amp;"|"&amp;COUNTIFS($T$7:$T1812,$T1812))</f>
        <v/>
      </c>
      <c r="V1812" s="1">
        <f t="shared" si="232"/>
        <v>0</v>
      </c>
      <c r="W1812" s="1" t="str">
        <f t="shared" si="233"/>
        <v/>
      </c>
      <c r="X1812" s="1"/>
      <c r="Y1812" s="1"/>
      <c r="Z1812" s="1"/>
      <c r="AA1812" s="1"/>
      <c r="AB1812" s="1"/>
      <c r="AC1812" s="1"/>
      <c r="AD1812" s="1">
        <f>IF($C1812="",0,SUMPRODUCT((AY_SONU!$O$7:$O$42="Evet")*(AY_SONU!$B$7:$B$42=DATE(YEAR($C1812),MONTH($C1812),1))))</f>
        <v>0</v>
      </c>
      <c r="AE1812" s="1" t="str">
        <f>IF($E1812="","",$E1812&amp;"|"&amp;COUNTIFS($E$7:$E1812,$E1812))</f>
        <v/>
      </c>
    </row>
    <row r="1813" spans="1:31" ht="18" customHeight="1" x14ac:dyDescent="0.3">
      <c r="A1813" s="2"/>
      <c r="B1813" s="65" t="str">
        <f t="shared" si="226"/>
        <v/>
      </c>
      <c r="C1813" s="66"/>
      <c r="D1813" s="60"/>
      <c r="E1813" s="61"/>
      <c r="F1813" s="61"/>
      <c r="G1813" s="67"/>
      <c r="H1813" s="60"/>
      <c r="I1813" s="60"/>
      <c r="J1813" s="61"/>
      <c r="K1813" s="61"/>
      <c r="L1813" s="60"/>
      <c r="M1813" s="74" t="str">
        <f t="shared" si="227"/>
        <v/>
      </c>
      <c r="N1813" s="74" t="str">
        <f t="shared" si="228"/>
        <v/>
      </c>
      <c r="O1813" s="73" t="str">
        <f t="shared" si="229"/>
        <v/>
      </c>
      <c r="P1813" s="65" t="str">
        <f t="shared" ca="1" si="230"/>
        <v/>
      </c>
      <c r="Q1813" s="2"/>
      <c r="R1813" s="2"/>
      <c r="S1813" s="1" t="str">
        <f t="shared" si="231"/>
        <v/>
      </c>
      <c r="T1813" s="1" t="str">
        <f>IF(OR($C1813="",$D1813&lt;&gt;"Gelir",$L1813=""),"",IFERROR(INDEX(MUSTERILER!$B$7:$B$156,MATCH($S1813,MUSTERILER!$T$7:$T$156,0)),""))</f>
        <v/>
      </c>
      <c r="U1813" s="1" t="str">
        <f>IF($T1813="","",$T1813&amp;"|"&amp;COUNTIFS($T$7:$T1813,$T1813))</f>
        <v/>
      </c>
      <c r="V1813" s="1">
        <f t="shared" si="232"/>
        <v>0</v>
      </c>
      <c r="W1813" s="1" t="str">
        <f t="shared" si="233"/>
        <v/>
      </c>
      <c r="X1813" s="1"/>
      <c r="Y1813" s="1"/>
      <c r="Z1813" s="1"/>
      <c r="AA1813" s="1"/>
      <c r="AB1813" s="1"/>
      <c r="AC1813" s="1"/>
      <c r="AD1813" s="1">
        <f>IF($C1813="",0,SUMPRODUCT((AY_SONU!$O$7:$O$42="Evet")*(AY_SONU!$B$7:$B$42=DATE(YEAR($C1813),MONTH($C1813),1))))</f>
        <v>0</v>
      </c>
      <c r="AE1813" s="1" t="str">
        <f>IF($E1813="","",$E1813&amp;"|"&amp;COUNTIFS($E$7:$E1813,$E1813))</f>
        <v/>
      </c>
    </row>
    <row r="1814" spans="1:31" ht="18" customHeight="1" x14ac:dyDescent="0.3">
      <c r="A1814" s="2"/>
      <c r="B1814" s="65" t="str">
        <f t="shared" si="226"/>
        <v/>
      </c>
      <c r="C1814" s="66"/>
      <c r="D1814" s="60"/>
      <c r="E1814" s="61"/>
      <c r="F1814" s="61"/>
      <c r="G1814" s="67"/>
      <c r="H1814" s="60"/>
      <c r="I1814" s="60"/>
      <c r="J1814" s="61"/>
      <c r="K1814" s="61"/>
      <c r="L1814" s="60"/>
      <c r="M1814" s="74" t="str">
        <f t="shared" si="227"/>
        <v/>
      </c>
      <c r="N1814" s="74" t="str">
        <f t="shared" si="228"/>
        <v/>
      </c>
      <c r="O1814" s="73" t="str">
        <f t="shared" si="229"/>
        <v/>
      </c>
      <c r="P1814" s="65" t="str">
        <f t="shared" ca="1" si="230"/>
        <v/>
      </c>
      <c r="Q1814" s="2"/>
      <c r="R1814" s="2"/>
      <c r="S1814" s="1" t="str">
        <f t="shared" si="231"/>
        <v/>
      </c>
      <c r="T1814" s="1" t="str">
        <f>IF(OR($C1814="",$D1814&lt;&gt;"Gelir",$L1814=""),"",IFERROR(INDEX(MUSTERILER!$B$7:$B$156,MATCH($S1814,MUSTERILER!$T$7:$T$156,0)),""))</f>
        <v/>
      </c>
      <c r="U1814" s="1" t="str">
        <f>IF($T1814="","",$T1814&amp;"|"&amp;COUNTIFS($T$7:$T1814,$T1814))</f>
        <v/>
      </c>
      <c r="V1814" s="1">
        <f t="shared" si="232"/>
        <v>0</v>
      </c>
      <c r="W1814" s="1" t="str">
        <f t="shared" si="233"/>
        <v/>
      </c>
      <c r="X1814" s="1"/>
      <c r="Y1814" s="1"/>
      <c r="Z1814" s="1"/>
      <c r="AA1814" s="1"/>
      <c r="AB1814" s="1"/>
      <c r="AC1814" s="1"/>
      <c r="AD1814" s="1">
        <f>IF($C1814="",0,SUMPRODUCT((AY_SONU!$O$7:$O$42="Evet")*(AY_SONU!$B$7:$B$42=DATE(YEAR($C1814),MONTH($C1814),1))))</f>
        <v>0</v>
      </c>
      <c r="AE1814" s="1" t="str">
        <f>IF($E1814="","",$E1814&amp;"|"&amp;COUNTIFS($E$7:$E1814,$E1814))</f>
        <v/>
      </c>
    </row>
    <row r="1815" spans="1:31" ht="18" customHeight="1" x14ac:dyDescent="0.3">
      <c r="A1815" s="2"/>
      <c r="B1815" s="65" t="str">
        <f t="shared" si="226"/>
        <v/>
      </c>
      <c r="C1815" s="66"/>
      <c r="D1815" s="60"/>
      <c r="E1815" s="61"/>
      <c r="F1815" s="61"/>
      <c r="G1815" s="67"/>
      <c r="H1815" s="60"/>
      <c r="I1815" s="60"/>
      <c r="J1815" s="61"/>
      <c r="K1815" s="61"/>
      <c r="L1815" s="60"/>
      <c r="M1815" s="74" t="str">
        <f t="shared" si="227"/>
        <v/>
      </c>
      <c r="N1815" s="74" t="str">
        <f t="shared" si="228"/>
        <v/>
      </c>
      <c r="O1815" s="73" t="str">
        <f t="shared" si="229"/>
        <v/>
      </c>
      <c r="P1815" s="65" t="str">
        <f t="shared" ca="1" si="230"/>
        <v/>
      </c>
      <c r="Q1815" s="2"/>
      <c r="R1815" s="2"/>
      <c r="S1815" s="1" t="str">
        <f t="shared" si="231"/>
        <v/>
      </c>
      <c r="T1815" s="1" t="str">
        <f>IF(OR($C1815="",$D1815&lt;&gt;"Gelir",$L1815=""),"",IFERROR(INDEX(MUSTERILER!$B$7:$B$156,MATCH($S1815,MUSTERILER!$T$7:$T$156,0)),""))</f>
        <v/>
      </c>
      <c r="U1815" s="1" t="str">
        <f>IF($T1815="","",$T1815&amp;"|"&amp;COUNTIFS($T$7:$T1815,$T1815))</f>
        <v/>
      </c>
      <c r="V1815" s="1">
        <f t="shared" si="232"/>
        <v>0</v>
      </c>
      <c r="W1815" s="1" t="str">
        <f t="shared" si="233"/>
        <v/>
      </c>
      <c r="X1815" s="1"/>
      <c r="Y1815" s="1"/>
      <c r="Z1815" s="1"/>
      <c r="AA1815" s="1"/>
      <c r="AB1815" s="1"/>
      <c r="AC1815" s="1"/>
      <c r="AD1815" s="1">
        <f>IF($C1815="",0,SUMPRODUCT((AY_SONU!$O$7:$O$42="Evet")*(AY_SONU!$B$7:$B$42=DATE(YEAR($C1815),MONTH($C1815),1))))</f>
        <v>0</v>
      </c>
      <c r="AE1815" s="1" t="str">
        <f>IF($E1815="","",$E1815&amp;"|"&amp;COUNTIFS($E$7:$E1815,$E1815))</f>
        <v/>
      </c>
    </row>
    <row r="1816" spans="1:31" ht="18" customHeight="1" x14ac:dyDescent="0.3">
      <c r="A1816" s="2"/>
      <c r="B1816" s="65" t="str">
        <f t="shared" si="226"/>
        <v/>
      </c>
      <c r="C1816" s="66"/>
      <c r="D1816" s="60"/>
      <c r="E1816" s="61"/>
      <c r="F1816" s="61"/>
      <c r="G1816" s="67"/>
      <c r="H1816" s="60"/>
      <c r="I1816" s="60"/>
      <c r="J1816" s="61"/>
      <c r="K1816" s="61"/>
      <c r="L1816" s="60"/>
      <c r="M1816" s="74" t="str">
        <f t="shared" si="227"/>
        <v/>
      </c>
      <c r="N1816" s="74" t="str">
        <f t="shared" si="228"/>
        <v/>
      </c>
      <c r="O1816" s="73" t="str">
        <f t="shared" si="229"/>
        <v/>
      </c>
      <c r="P1816" s="65" t="str">
        <f t="shared" ca="1" si="230"/>
        <v/>
      </c>
      <c r="Q1816" s="2"/>
      <c r="R1816" s="2"/>
      <c r="S1816" s="1" t="str">
        <f t="shared" si="231"/>
        <v/>
      </c>
      <c r="T1816" s="1" t="str">
        <f>IF(OR($C1816="",$D1816&lt;&gt;"Gelir",$L1816=""),"",IFERROR(INDEX(MUSTERILER!$B$7:$B$156,MATCH($S1816,MUSTERILER!$T$7:$T$156,0)),""))</f>
        <v/>
      </c>
      <c r="U1816" s="1" t="str">
        <f>IF($T1816="","",$T1816&amp;"|"&amp;COUNTIFS($T$7:$T1816,$T1816))</f>
        <v/>
      </c>
      <c r="V1816" s="1">
        <f t="shared" si="232"/>
        <v>0</v>
      </c>
      <c r="W1816" s="1" t="str">
        <f t="shared" si="233"/>
        <v/>
      </c>
      <c r="X1816" s="1"/>
      <c r="Y1816" s="1"/>
      <c r="Z1816" s="1"/>
      <c r="AA1816" s="1"/>
      <c r="AB1816" s="1"/>
      <c r="AC1816" s="1"/>
      <c r="AD1816" s="1">
        <f>IF($C1816="",0,SUMPRODUCT((AY_SONU!$O$7:$O$42="Evet")*(AY_SONU!$B$7:$B$42=DATE(YEAR($C1816),MONTH($C1816),1))))</f>
        <v>0</v>
      </c>
      <c r="AE1816" s="1" t="str">
        <f>IF($E1816="","",$E1816&amp;"|"&amp;COUNTIFS($E$7:$E1816,$E1816))</f>
        <v/>
      </c>
    </row>
    <row r="1817" spans="1:31" ht="18" customHeight="1" x14ac:dyDescent="0.3">
      <c r="A1817" s="2"/>
      <c r="B1817" s="65" t="str">
        <f t="shared" si="226"/>
        <v/>
      </c>
      <c r="C1817" s="66"/>
      <c r="D1817" s="60"/>
      <c r="E1817" s="61"/>
      <c r="F1817" s="61"/>
      <c r="G1817" s="67"/>
      <c r="H1817" s="60"/>
      <c r="I1817" s="60"/>
      <c r="J1817" s="61"/>
      <c r="K1817" s="61"/>
      <c r="L1817" s="60"/>
      <c r="M1817" s="74" t="str">
        <f t="shared" si="227"/>
        <v/>
      </c>
      <c r="N1817" s="74" t="str">
        <f t="shared" si="228"/>
        <v/>
      </c>
      <c r="O1817" s="73" t="str">
        <f t="shared" si="229"/>
        <v/>
      </c>
      <c r="P1817" s="65" t="str">
        <f t="shared" ca="1" si="230"/>
        <v/>
      </c>
      <c r="Q1817" s="2"/>
      <c r="R1817" s="2"/>
      <c r="S1817" s="1" t="str">
        <f t="shared" si="231"/>
        <v/>
      </c>
      <c r="T1817" s="1" t="str">
        <f>IF(OR($C1817="",$D1817&lt;&gt;"Gelir",$L1817=""),"",IFERROR(INDEX(MUSTERILER!$B$7:$B$156,MATCH($S1817,MUSTERILER!$T$7:$T$156,0)),""))</f>
        <v/>
      </c>
      <c r="U1817" s="1" t="str">
        <f>IF($T1817="","",$T1817&amp;"|"&amp;COUNTIFS($T$7:$T1817,$T1817))</f>
        <v/>
      </c>
      <c r="V1817" s="1">
        <f t="shared" si="232"/>
        <v>0</v>
      </c>
      <c r="W1817" s="1" t="str">
        <f t="shared" si="233"/>
        <v/>
      </c>
      <c r="X1817" s="1"/>
      <c r="Y1817" s="1"/>
      <c r="Z1817" s="1"/>
      <c r="AA1817" s="1"/>
      <c r="AB1817" s="1"/>
      <c r="AC1817" s="1"/>
      <c r="AD1817" s="1">
        <f>IF($C1817="",0,SUMPRODUCT((AY_SONU!$O$7:$O$42="Evet")*(AY_SONU!$B$7:$B$42=DATE(YEAR($C1817),MONTH($C1817),1))))</f>
        <v>0</v>
      </c>
      <c r="AE1817" s="1" t="str">
        <f>IF($E1817="","",$E1817&amp;"|"&amp;COUNTIFS($E$7:$E1817,$E1817))</f>
        <v/>
      </c>
    </row>
    <row r="1818" spans="1:31" ht="18" customHeight="1" x14ac:dyDescent="0.3">
      <c r="A1818" s="2"/>
      <c r="B1818" s="65" t="str">
        <f t="shared" si="226"/>
        <v/>
      </c>
      <c r="C1818" s="66"/>
      <c r="D1818" s="60"/>
      <c r="E1818" s="61"/>
      <c r="F1818" s="61"/>
      <c r="G1818" s="67"/>
      <c r="H1818" s="60"/>
      <c r="I1818" s="60"/>
      <c r="J1818" s="61"/>
      <c r="K1818" s="61"/>
      <c r="L1818" s="60"/>
      <c r="M1818" s="74" t="str">
        <f t="shared" si="227"/>
        <v/>
      </c>
      <c r="N1818" s="74" t="str">
        <f t="shared" si="228"/>
        <v/>
      </c>
      <c r="O1818" s="73" t="str">
        <f t="shared" si="229"/>
        <v/>
      </c>
      <c r="P1818" s="65" t="str">
        <f t="shared" ca="1" si="230"/>
        <v/>
      </c>
      <c r="Q1818" s="2"/>
      <c r="R1818" s="2"/>
      <c r="S1818" s="1" t="str">
        <f t="shared" si="231"/>
        <v/>
      </c>
      <c r="T1818" s="1" t="str">
        <f>IF(OR($C1818="",$D1818&lt;&gt;"Gelir",$L1818=""),"",IFERROR(INDEX(MUSTERILER!$B$7:$B$156,MATCH($S1818,MUSTERILER!$T$7:$T$156,0)),""))</f>
        <v/>
      </c>
      <c r="U1818" s="1" t="str">
        <f>IF($T1818="","",$T1818&amp;"|"&amp;COUNTIFS($T$7:$T1818,$T1818))</f>
        <v/>
      </c>
      <c r="V1818" s="1">
        <f t="shared" si="232"/>
        <v>0</v>
      </c>
      <c r="W1818" s="1" t="str">
        <f t="shared" si="233"/>
        <v/>
      </c>
      <c r="X1818" s="1"/>
      <c r="Y1818" s="1"/>
      <c r="Z1818" s="1"/>
      <c r="AA1818" s="1"/>
      <c r="AB1818" s="1"/>
      <c r="AC1818" s="1"/>
      <c r="AD1818" s="1">
        <f>IF($C1818="",0,SUMPRODUCT((AY_SONU!$O$7:$O$42="Evet")*(AY_SONU!$B$7:$B$42=DATE(YEAR($C1818),MONTH($C1818),1))))</f>
        <v>0</v>
      </c>
      <c r="AE1818" s="1" t="str">
        <f>IF($E1818="","",$E1818&amp;"|"&amp;COUNTIFS($E$7:$E1818,$E1818))</f>
        <v/>
      </c>
    </row>
    <row r="1819" spans="1:31" ht="18" customHeight="1" x14ac:dyDescent="0.3">
      <c r="A1819" s="2"/>
      <c r="B1819" s="65" t="str">
        <f t="shared" si="226"/>
        <v/>
      </c>
      <c r="C1819" s="66"/>
      <c r="D1819" s="60"/>
      <c r="E1819" s="61"/>
      <c r="F1819" s="61"/>
      <c r="G1819" s="67"/>
      <c r="H1819" s="60"/>
      <c r="I1819" s="60"/>
      <c r="J1819" s="61"/>
      <c r="K1819" s="61"/>
      <c r="L1819" s="60"/>
      <c r="M1819" s="74" t="str">
        <f t="shared" si="227"/>
        <v/>
      </c>
      <c r="N1819" s="74" t="str">
        <f t="shared" si="228"/>
        <v/>
      </c>
      <c r="O1819" s="73" t="str">
        <f t="shared" si="229"/>
        <v/>
      </c>
      <c r="P1819" s="65" t="str">
        <f t="shared" ca="1" si="230"/>
        <v/>
      </c>
      <c r="Q1819" s="2"/>
      <c r="R1819" s="2"/>
      <c r="S1819" s="1" t="str">
        <f t="shared" si="231"/>
        <v/>
      </c>
      <c r="T1819" s="1" t="str">
        <f>IF(OR($C1819="",$D1819&lt;&gt;"Gelir",$L1819=""),"",IFERROR(INDEX(MUSTERILER!$B$7:$B$156,MATCH($S1819,MUSTERILER!$T$7:$T$156,0)),""))</f>
        <v/>
      </c>
      <c r="U1819" s="1" t="str">
        <f>IF($T1819="","",$T1819&amp;"|"&amp;COUNTIFS($T$7:$T1819,$T1819))</f>
        <v/>
      </c>
      <c r="V1819" s="1">
        <f t="shared" si="232"/>
        <v>0</v>
      </c>
      <c r="W1819" s="1" t="str">
        <f t="shared" si="233"/>
        <v/>
      </c>
      <c r="X1819" s="1"/>
      <c r="Y1819" s="1"/>
      <c r="Z1819" s="1"/>
      <c r="AA1819" s="1"/>
      <c r="AB1819" s="1"/>
      <c r="AC1819" s="1"/>
      <c r="AD1819" s="1">
        <f>IF($C1819="",0,SUMPRODUCT((AY_SONU!$O$7:$O$42="Evet")*(AY_SONU!$B$7:$B$42=DATE(YEAR($C1819),MONTH($C1819),1))))</f>
        <v>0</v>
      </c>
      <c r="AE1819" s="1" t="str">
        <f>IF($E1819="","",$E1819&amp;"|"&amp;COUNTIFS($E$7:$E1819,$E1819))</f>
        <v/>
      </c>
    </row>
    <row r="1820" spans="1:31" ht="18" customHeight="1" x14ac:dyDescent="0.3">
      <c r="A1820" s="2"/>
      <c r="B1820" s="65" t="str">
        <f t="shared" si="226"/>
        <v/>
      </c>
      <c r="C1820" s="66"/>
      <c r="D1820" s="60"/>
      <c r="E1820" s="61"/>
      <c r="F1820" s="61"/>
      <c r="G1820" s="67"/>
      <c r="H1820" s="60"/>
      <c r="I1820" s="60"/>
      <c r="J1820" s="61"/>
      <c r="K1820" s="61"/>
      <c r="L1820" s="60"/>
      <c r="M1820" s="74" t="str">
        <f t="shared" si="227"/>
        <v/>
      </c>
      <c r="N1820" s="74" t="str">
        <f t="shared" si="228"/>
        <v/>
      </c>
      <c r="O1820" s="73" t="str">
        <f t="shared" si="229"/>
        <v/>
      </c>
      <c r="P1820" s="65" t="str">
        <f t="shared" ca="1" si="230"/>
        <v/>
      </c>
      <c r="Q1820" s="2"/>
      <c r="R1820" s="2"/>
      <c r="S1820" s="1" t="str">
        <f t="shared" si="231"/>
        <v/>
      </c>
      <c r="T1820" s="1" t="str">
        <f>IF(OR($C1820="",$D1820&lt;&gt;"Gelir",$L1820=""),"",IFERROR(INDEX(MUSTERILER!$B$7:$B$156,MATCH($S1820,MUSTERILER!$T$7:$T$156,0)),""))</f>
        <v/>
      </c>
      <c r="U1820" s="1" t="str">
        <f>IF($T1820="","",$T1820&amp;"|"&amp;COUNTIFS($T$7:$T1820,$T1820))</f>
        <v/>
      </c>
      <c r="V1820" s="1">
        <f t="shared" si="232"/>
        <v>0</v>
      </c>
      <c r="W1820" s="1" t="str">
        <f t="shared" si="233"/>
        <v/>
      </c>
      <c r="X1820" s="1"/>
      <c r="Y1820" s="1"/>
      <c r="Z1820" s="1"/>
      <c r="AA1820" s="1"/>
      <c r="AB1820" s="1"/>
      <c r="AC1820" s="1"/>
      <c r="AD1820" s="1">
        <f>IF($C1820="",0,SUMPRODUCT((AY_SONU!$O$7:$O$42="Evet")*(AY_SONU!$B$7:$B$42=DATE(YEAR($C1820),MONTH($C1820),1))))</f>
        <v>0</v>
      </c>
      <c r="AE1820" s="1" t="str">
        <f>IF($E1820="","",$E1820&amp;"|"&amp;COUNTIFS($E$7:$E1820,$E1820))</f>
        <v/>
      </c>
    </row>
    <row r="1821" spans="1:31" ht="18" customHeight="1" x14ac:dyDescent="0.3">
      <c r="A1821" s="2"/>
      <c r="B1821" s="65" t="str">
        <f t="shared" si="226"/>
        <v/>
      </c>
      <c r="C1821" s="66"/>
      <c r="D1821" s="60"/>
      <c r="E1821" s="61"/>
      <c r="F1821" s="61"/>
      <c r="G1821" s="67"/>
      <c r="H1821" s="60"/>
      <c r="I1821" s="60"/>
      <c r="J1821" s="61"/>
      <c r="K1821" s="61"/>
      <c r="L1821" s="60"/>
      <c r="M1821" s="74" t="str">
        <f t="shared" si="227"/>
        <v/>
      </c>
      <c r="N1821" s="74" t="str">
        <f t="shared" si="228"/>
        <v/>
      </c>
      <c r="O1821" s="73" t="str">
        <f t="shared" si="229"/>
        <v/>
      </c>
      <c r="P1821" s="65" t="str">
        <f t="shared" ca="1" si="230"/>
        <v/>
      </c>
      <c r="Q1821" s="2"/>
      <c r="R1821" s="2"/>
      <c r="S1821" s="1" t="str">
        <f t="shared" si="231"/>
        <v/>
      </c>
      <c r="T1821" s="1" t="str">
        <f>IF(OR($C1821="",$D1821&lt;&gt;"Gelir",$L1821=""),"",IFERROR(INDEX(MUSTERILER!$B$7:$B$156,MATCH($S1821,MUSTERILER!$T$7:$T$156,0)),""))</f>
        <v/>
      </c>
      <c r="U1821" s="1" t="str">
        <f>IF($T1821="","",$T1821&amp;"|"&amp;COUNTIFS($T$7:$T1821,$T1821))</f>
        <v/>
      </c>
      <c r="V1821" s="1">
        <f t="shared" si="232"/>
        <v>0</v>
      </c>
      <c r="W1821" s="1" t="str">
        <f t="shared" si="233"/>
        <v/>
      </c>
      <c r="X1821" s="1"/>
      <c r="Y1821" s="1"/>
      <c r="Z1821" s="1"/>
      <c r="AA1821" s="1"/>
      <c r="AB1821" s="1"/>
      <c r="AC1821" s="1"/>
      <c r="AD1821" s="1">
        <f>IF($C1821="",0,SUMPRODUCT((AY_SONU!$O$7:$O$42="Evet")*(AY_SONU!$B$7:$B$42=DATE(YEAR($C1821),MONTH($C1821),1))))</f>
        <v>0</v>
      </c>
      <c r="AE1821" s="1" t="str">
        <f>IF($E1821="","",$E1821&amp;"|"&amp;COUNTIFS($E$7:$E1821,$E1821))</f>
        <v/>
      </c>
    </row>
    <row r="1822" spans="1:31" ht="18" customHeight="1" x14ac:dyDescent="0.3">
      <c r="A1822" s="2"/>
      <c r="B1822" s="65" t="str">
        <f t="shared" si="226"/>
        <v/>
      </c>
      <c r="C1822" s="66"/>
      <c r="D1822" s="60"/>
      <c r="E1822" s="61"/>
      <c r="F1822" s="61"/>
      <c r="G1822" s="67"/>
      <c r="H1822" s="60"/>
      <c r="I1822" s="60"/>
      <c r="J1822" s="61"/>
      <c r="K1822" s="61"/>
      <c r="L1822" s="60"/>
      <c r="M1822" s="74" t="str">
        <f t="shared" si="227"/>
        <v/>
      </c>
      <c r="N1822" s="74" t="str">
        <f t="shared" si="228"/>
        <v/>
      </c>
      <c r="O1822" s="73" t="str">
        <f t="shared" si="229"/>
        <v/>
      </c>
      <c r="P1822" s="65" t="str">
        <f t="shared" ca="1" si="230"/>
        <v/>
      </c>
      <c r="Q1822" s="2"/>
      <c r="R1822" s="2"/>
      <c r="S1822" s="1" t="str">
        <f t="shared" si="231"/>
        <v/>
      </c>
      <c r="T1822" s="1" t="str">
        <f>IF(OR($C1822="",$D1822&lt;&gt;"Gelir",$L1822=""),"",IFERROR(INDEX(MUSTERILER!$B$7:$B$156,MATCH($S1822,MUSTERILER!$T$7:$T$156,0)),""))</f>
        <v/>
      </c>
      <c r="U1822" s="1" t="str">
        <f>IF($T1822="","",$T1822&amp;"|"&amp;COUNTIFS($T$7:$T1822,$T1822))</f>
        <v/>
      </c>
      <c r="V1822" s="1">
        <f t="shared" si="232"/>
        <v>0</v>
      </c>
      <c r="W1822" s="1" t="str">
        <f t="shared" si="233"/>
        <v/>
      </c>
      <c r="X1822" s="1"/>
      <c r="Y1822" s="1"/>
      <c r="Z1822" s="1"/>
      <c r="AA1822" s="1"/>
      <c r="AB1822" s="1"/>
      <c r="AC1822" s="1"/>
      <c r="AD1822" s="1">
        <f>IF($C1822="",0,SUMPRODUCT((AY_SONU!$O$7:$O$42="Evet")*(AY_SONU!$B$7:$B$42=DATE(YEAR($C1822),MONTH($C1822),1))))</f>
        <v>0</v>
      </c>
      <c r="AE1822" s="1" t="str">
        <f>IF($E1822="","",$E1822&amp;"|"&amp;COUNTIFS($E$7:$E1822,$E1822))</f>
        <v/>
      </c>
    </row>
    <row r="1823" spans="1:31" ht="18" customHeight="1" x14ac:dyDescent="0.3">
      <c r="A1823" s="2"/>
      <c r="B1823" s="65" t="str">
        <f t="shared" si="226"/>
        <v/>
      </c>
      <c r="C1823" s="66"/>
      <c r="D1823" s="60"/>
      <c r="E1823" s="61"/>
      <c r="F1823" s="61"/>
      <c r="G1823" s="67"/>
      <c r="H1823" s="60"/>
      <c r="I1823" s="60"/>
      <c r="J1823" s="61"/>
      <c r="K1823" s="61"/>
      <c r="L1823" s="60"/>
      <c r="M1823" s="74" t="str">
        <f t="shared" si="227"/>
        <v/>
      </c>
      <c r="N1823" s="74" t="str">
        <f t="shared" si="228"/>
        <v/>
      </c>
      <c r="O1823" s="73" t="str">
        <f t="shared" si="229"/>
        <v/>
      </c>
      <c r="P1823" s="65" t="str">
        <f t="shared" ca="1" si="230"/>
        <v/>
      </c>
      <c r="Q1823" s="2"/>
      <c r="R1823" s="2"/>
      <c r="S1823" s="1" t="str">
        <f t="shared" si="231"/>
        <v/>
      </c>
      <c r="T1823" s="1" t="str">
        <f>IF(OR($C1823="",$D1823&lt;&gt;"Gelir",$L1823=""),"",IFERROR(INDEX(MUSTERILER!$B$7:$B$156,MATCH($S1823,MUSTERILER!$T$7:$T$156,0)),""))</f>
        <v/>
      </c>
      <c r="U1823" s="1" t="str">
        <f>IF($T1823="","",$T1823&amp;"|"&amp;COUNTIFS($T$7:$T1823,$T1823))</f>
        <v/>
      </c>
      <c r="V1823" s="1">
        <f t="shared" si="232"/>
        <v>0</v>
      </c>
      <c r="W1823" s="1" t="str">
        <f t="shared" si="233"/>
        <v/>
      </c>
      <c r="X1823" s="1"/>
      <c r="Y1823" s="1"/>
      <c r="Z1823" s="1"/>
      <c r="AA1823" s="1"/>
      <c r="AB1823" s="1"/>
      <c r="AC1823" s="1"/>
      <c r="AD1823" s="1">
        <f>IF($C1823="",0,SUMPRODUCT((AY_SONU!$O$7:$O$42="Evet")*(AY_SONU!$B$7:$B$42=DATE(YEAR($C1823),MONTH($C1823),1))))</f>
        <v>0</v>
      </c>
      <c r="AE1823" s="1" t="str">
        <f>IF($E1823="","",$E1823&amp;"|"&amp;COUNTIFS($E$7:$E1823,$E1823))</f>
        <v/>
      </c>
    </row>
    <row r="1824" spans="1:31" ht="18" customHeight="1" x14ac:dyDescent="0.3">
      <c r="A1824" s="2"/>
      <c r="B1824" s="65" t="str">
        <f t="shared" si="226"/>
        <v/>
      </c>
      <c r="C1824" s="66"/>
      <c r="D1824" s="60"/>
      <c r="E1824" s="61"/>
      <c r="F1824" s="61"/>
      <c r="G1824" s="67"/>
      <c r="H1824" s="60"/>
      <c r="I1824" s="60"/>
      <c r="J1824" s="61"/>
      <c r="K1824" s="61"/>
      <c r="L1824" s="60"/>
      <c r="M1824" s="74" t="str">
        <f t="shared" si="227"/>
        <v/>
      </c>
      <c r="N1824" s="74" t="str">
        <f t="shared" si="228"/>
        <v/>
      </c>
      <c r="O1824" s="73" t="str">
        <f t="shared" si="229"/>
        <v/>
      </c>
      <c r="P1824" s="65" t="str">
        <f t="shared" ca="1" si="230"/>
        <v/>
      </c>
      <c r="Q1824" s="2"/>
      <c r="R1824" s="2"/>
      <c r="S1824" s="1" t="str">
        <f t="shared" si="231"/>
        <v/>
      </c>
      <c r="T1824" s="1" t="str">
        <f>IF(OR($C1824="",$D1824&lt;&gt;"Gelir",$L1824=""),"",IFERROR(INDEX(MUSTERILER!$B$7:$B$156,MATCH($S1824,MUSTERILER!$T$7:$T$156,0)),""))</f>
        <v/>
      </c>
      <c r="U1824" s="1" t="str">
        <f>IF($T1824="","",$T1824&amp;"|"&amp;COUNTIFS($T$7:$T1824,$T1824))</f>
        <v/>
      </c>
      <c r="V1824" s="1">
        <f t="shared" si="232"/>
        <v>0</v>
      </c>
      <c r="W1824" s="1" t="str">
        <f t="shared" si="233"/>
        <v/>
      </c>
      <c r="X1824" s="1"/>
      <c r="Y1824" s="1"/>
      <c r="Z1824" s="1"/>
      <c r="AA1824" s="1"/>
      <c r="AB1824" s="1"/>
      <c r="AC1824" s="1"/>
      <c r="AD1824" s="1">
        <f>IF($C1824="",0,SUMPRODUCT((AY_SONU!$O$7:$O$42="Evet")*(AY_SONU!$B$7:$B$42=DATE(YEAR($C1824),MONTH($C1824),1))))</f>
        <v>0</v>
      </c>
      <c r="AE1824" s="1" t="str">
        <f>IF($E1824="","",$E1824&amp;"|"&amp;COUNTIFS($E$7:$E1824,$E1824))</f>
        <v/>
      </c>
    </row>
    <row r="1825" spans="1:31" ht="18" customHeight="1" x14ac:dyDescent="0.3">
      <c r="A1825" s="2"/>
      <c r="B1825" s="65" t="str">
        <f t="shared" si="226"/>
        <v/>
      </c>
      <c r="C1825" s="66"/>
      <c r="D1825" s="60"/>
      <c r="E1825" s="61"/>
      <c r="F1825" s="61"/>
      <c r="G1825" s="67"/>
      <c r="H1825" s="60"/>
      <c r="I1825" s="60"/>
      <c r="J1825" s="61"/>
      <c r="K1825" s="61"/>
      <c r="L1825" s="60"/>
      <c r="M1825" s="74" t="str">
        <f t="shared" si="227"/>
        <v/>
      </c>
      <c r="N1825" s="74" t="str">
        <f t="shared" si="228"/>
        <v/>
      </c>
      <c r="O1825" s="73" t="str">
        <f t="shared" si="229"/>
        <v/>
      </c>
      <c r="P1825" s="65" t="str">
        <f t="shared" ca="1" si="230"/>
        <v/>
      </c>
      <c r="Q1825" s="2"/>
      <c r="R1825" s="2"/>
      <c r="S1825" s="1" t="str">
        <f t="shared" si="231"/>
        <v/>
      </c>
      <c r="T1825" s="1" t="str">
        <f>IF(OR($C1825="",$D1825&lt;&gt;"Gelir",$L1825=""),"",IFERROR(INDEX(MUSTERILER!$B$7:$B$156,MATCH($S1825,MUSTERILER!$T$7:$T$156,0)),""))</f>
        <v/>
      </c>
      <c r="U1825" s="1" t="str">
        <f>IF($T1825="","",$T1825&amp;"|"&amp;COUNTIFS($T$7:$T1825,$T1825))</f>
        <v/>
      </c>
      <c r="V1825" s="1">
        <f t="shared" si="232"/>
        <v>0</v>
      </c>
      <c r="W1825" s="1" t="str">
        <f t="shared" si="233"/>
        <v/>
      </c>
      <c r="X1825" s="1"/>
      <c r="Y1825" s="1"/>
      <c r="Z1825" s="1"/>
      <c r="AA1825" s="1"/>
      <c r="AB1825" s="1"/>
      <c r="AC1825" s="1"/>
      <c r="AD1825" s="1">
        <f>IF($C1825="",0,SUMPRODUCT((AY_SONU!$O$7:$O$42="Evet")*(AY_SONU!$B$7:$B$42=DATE(YEAR($C1825),MONTH($C1825),1))))</f>
        <v>0</v>
      </c>
      <c r="AE1825" s="1" t="str">
        <f>IF($E1825="","",$E1825&amp;"|"&amp;COUNTIFS($E$7:$E1825,$E1825))</f>
        <v/>
      </c>
    </row>
    <row r="1826" spans="1:31" ht="18" customHeight="1" x14ac:dyDescent="0.3">
      <c r="A1826" s="2"/>
      <c r="B1826" s="65" t="str">
        <f t="shared" si="226"/>
        <v/>
      </c>
      <c r="C1826" s="66"/>
      <c r="D1826" s="60"/>
      <c r="E1826" s="61"/>
      <c r="F1826" s="61"/>
      <c r="G1826" s="67"/>
      <c r="H1826" s="60"/>
      <c r="I1826" s="60"/>
      <c r="J1826" s="61"/>
      <c r="K1826" s="61"/>
      <c r="L1826" s="60"/>
      <c r="M1826" s="74" t="str">
        <f t="shared" si="227"/>
        <v/>
      </c>
      <c r="N1826" s="74" t="str">
        <f t="shared" si="228"/>
        <v/>
      </c>
      <c r="O1826" s="73" t="str">
        <f t="shared" si="229"/>
        <v/>
      </c>
      <c r="P1826" s="65" t="str">
        <f t="shared" ca="1" si="230"/>
        <v/>
      </c>
      <c r="Q1826" s="2"/>
      <c r="R1826" s="2"/>
      <c r="S1826" s="1" t="str">
        <f t="shared" si="231"/>
        <v/>
      </c>
      <c r="T1826" s="1" t="str">
        <f>IF(OR($C1826="",$D1826&lt;&gt;"Gelir",$L1826=""),"",IFERROR(INDEX(MUSTERILER!$B$7:$B$156,MATCH($S1826,MUSTERILER!$T$7:$T$156,0)),""))</f>
        <v/>
      </c>
      <c r="U1826" s="1" t="str">
        <f>IF($T1826="","",$T1826&amp;"|"&amp;COUNTIFS($T$7:$T1826,$T1826))</f>
        <v/>
      </c>
      <c r="V1826" s="1">
        <f t="shared" si="232"/>
        <v>0</v>
      </c>
      <c r="W1826" s="1" t="str">
        <f t="shared" si="233"/>
        <v/>
      </c>
      <c r="X1826" s="1"/>
      <c r="Y1826" s="1"/>
      <c r="Z1826" s="1"/>
      <c r="AA1826" s="1"/>
      <c r="AB1826" s="1"/>
      <c r="AC1826" s="1"/>
      <c r="AD1826" s="1">
        <f>IF($C1826="",0,SUMPRODUCT((AY_SONU!$O$7:$O$42="Evet")*(AY_SONU!$B$7:$B$42=DATE(YEAR($C1826),MONTH($C1826),1))))</f>
        <v>0</v>
      </c>
      <c r="AE1826" s="1" t="str">
        <f>IF($E1826="","",$E1826&amp;"|"&amp;COUNTIFS($E$7:$E1826,$E1826))</f>
        <v/>
      </c>
    </row>
    <row r="1827" spans="1:31" ht="18" customHeight="1" x14ac:dyDescent="0.3">
      <c r="A1827" s="2"/>
      <c r="B1827" s="65" t="str">
        <f t="shared" si="226"/>
        <v/>
      </c>
      <c r="C1827" s="66"/>
      <c r="D1827" s="60"/>
      <c r="E1827" s="61"/>
      <c r="F1827" s="61"/>
      <c r="G1827" s="67"/>
      <c r="H1827" s="60"/>
      <c r="I1827" s="60"/>
      <c r="J1827" s="61"/>
      <c r="K1827" s="61"/>
      <c r="L1827" s="60"/>
      <c r="M1827" s="74" t="str">
        <f t="shared" si="227"/>
        <v/>
      </c>
      <c r="N1827" s="74" t="str">
        <f t="shared" si="228"/>
        <v/>
      </c>
      <c r="O1827" s="73" t="str">
        <f t="shared" si="229"/>
        <v/>
      </c>
      <c r="P1827" s="65" t="str">
        <f t="shared" ca="1" si="230"/>
        <v/>
      </c>
      <c r="Q1827" s="2"/>
      <c r="R1827" s="2"/>
      <c r="S1827" s="1" t="str">
        <f t="shared" si="231"/>
        <v/>
      </c>
      <c r="T1827" s="1" t="str">
        <f>IF(OR($C1827="",$D1827&lt;&gt;"Gelir",$L1827=""),"",IFERROR(INDEX(MUSTERILER!$B$7:$B$156,MATCH($S1827,MUSTERILER!$T$7:$T$156,0)),""))</f>
        <v/>
      </c>
      <c r="U1827" s="1" t="str">
        <f>IF($T1827="","",$T1827&amp;"|"&amp;COUNTIFS($T$7:$T1827,$T1827))</f>
        <v/>
      </c>
      <c r="V1827" s="1">
        <f t="shared" si="232"/>
        <v>0</v>
      </c>
      <c r="W1827" s="1" t="str">
        <f t="shared" si="233"/>
        <v/>
      </c>
      <c r="X1827" s="1"/>
      <c r="Y1827" s="1"/>
      <c r="Z1827" s="1"/>
      <c r="AA1827" s="1"/>
      <c r="AB1827" s="1"/>
      <c r="AC1827" s="1"/>
      <c r="AD1827" s="1">
        <f>IF($C1827="",0,SUMPRODUCT((AY_SONU!$O$7:$O$42="Evet")*(AY_SONU!$B$7:$B$42=DATE(YEAR($C1827),MONTH($C1827),1))))</f>
        <v>0</v>
      </c>
      <c r="AE1827" s="1" t="str">
        <f>IF($E1827="","",$E1827&amp;"|"&amp;COUNTIFS($E$7:$E1827,$E1827))</f>
        <v/>
      </c>
    </row>
    <row r="1828" spans="1:31" ht="18" customHeight="1" x14ac:dyDescent="0.3">
      <c r="A1828" s="2"/>
      <c r="B1828" s="65" t="str">
        <f t="shared" si="226"/>
        <v/>
      </c>
      <c r="C1828" s="66"/>
      <c r="D1828" s="60"/>
      <c r="E1828" s="61"/>
      <c r="F1828" s="61"/>
      <c r="G1828" s="67"/>
      <c r="H1828" s="60"/>
      <c r="I1828" s="60"/>
      <c r="J1828" s="61"/>
      <c r="K1828" s="61"/>
      <c r="L1828" s="60"/>
      <c r="M1828" s="74" t="str">
        <f t="shared" si="227"/>
        <v/>
      </c>
      <c r="N1828" s="74" t="str">
        <f t="shared" si="228"/>
        <v/>
      </c>
      <c r="O1828" s="73" t="str">
        <f t="shared" si="229"/>
        <v/>
      </c>
      <c r="P1828" s="65" t="str">
        <f t="shared" ca="1" si="230"/>
        <v/>
      </c>
      <c r="Q1828" s="2"/>
      <c r="R1828" s="2"/>
      <c r="S1828" s="1" t="str">
        <f t="shared" si="231"/>
        <v/>
      </c>
      <c r="T1828" s="1" t="str">
        <f>IF(OR($C1828="",$D1828&lt;&gt;"Gelir",$L1828=""),"",IFERROR(INDEX(MUSTERILER!$B$7:$B$156,MATCH($S1828,MUSTERILER!$T$7:$T$156,0)),""))</f>
        <v/>
      </c>
      <c r="U1828" s="1" t="str">
        <f>IF($T1828="","",$T1828&amp;"|"&amp;COUNTIFS($T$7:$T1828,$T1828))</f>
        <v/>
      </c>
      <c r="V1828" s="1">
        <f t="shared" si="232"/>
        <v>0</v>
      </c>
      <c r="W1828" s="1" t="str">
        <f t="shared" si="233"/>
        <v/>
      </c>
      <c r="X1828" s="1"/>
      <c r="Y1828" s="1"/>
      <c r="Z1828" s="1"/>
      <c r="AA1828" s="1"/>
      <c r="AB1828" s="1"/>
      <c r="AC1828" s="1"/>
      <c r="AD1828" s="1">
        <f>IF($C1828="",0,SUMPRODUCT((AY_SONU!$O$7:$O$42="Evet")*(AY_SONU!$B$7:$B$42=DATE(YEAR($C1828),MONTH($C1828),1))))</f>
        <v>0</v>
      </c>
      <c r="AE1828" s="1" t="str">
        <f>IF($E1828="","",$E1828&amp;"|"&amp;COUNTIFS($E$7:$E1828,$E1828))</f>
        <v/>
      </c>
    </row>
    <row r="1829" spans="1:31" ht="18" customHeight="1" x14ac:dyDescent="0.3">
      <c r="A1829" s="2"/>
      <c r="B1829" s="65" t="str">
        <f t="shared" si="226"/>
        <v/>
      </c>
      <c r="C1829" s="66"/>
      <c r="D1829" s="60"/>
      <c r="E1829" s="61"/>
      <c r="F1829" s="61"/>
      <c r="G1829" s="67"/>
      <c r="H1829" s="60"/>
      <c r="I1829" s="60"/>
      <c r="J1829" s="61"/>
      <c r="K1829" s="61"/>
      <c r="L1829" s="60"/>
      <c r="M1829" s="74" t="str">
        <f t="shared" si="227"/>
        <v/>
      </c>
      <c r="N1829" s="74" t="str">
        <f t="shared" si="228"/>
        <v/>
      </c>
      <c r="O1829" s="73" t="str">
        <f t="shared" si="229"/>
        <v/>
      </c>
      <c r="P1829" s="65" t="str">
        <f t="shared" ca="1" si="230"/>
        <v/>
      </c>
      <c r="Q1829" s="2"/>
      <c r="R1829" s="2"/>
      <c r="S1829" s="1" t="str">
        <f t="shared" si="231"/>
        <v/>
      </c>
      <c r="T1829" s="1" t="str">
        <f>IF(OR($C1829="",$D1829&lt;&gt;"Gelir",$L1829=""),"",IFERROR(INDEX(MUSTERILER!$B$7:$B$156,MATCH($S1829,MUSTERILER!$T$7:$T$156,0)),""))</f>
        <v/>
      </c>
      <c r="U1829" s="1" t="str">
        <f>IF($T1829="","",$T1829&amp;"|"&amp;COUNTIFS($T$7:$T1829,$T1829))</f>
        <v/>
      </c>
      <c r="V1829" s="1">
        <f t="shared" si="232"/>
        <v>0</v>
      </c>
      <c r="W1829" s="1" t="str">
        <f t="shared" si="233"/>
        <v/>
      </c>
      <c r="X1829" s="1"/>
      <c r="Y1829" s="1"/>
      <c r="Z1829" s="1"/>
      <c r="AA1829" s="1"/>
      <c r="AB1829" s="1"/>
      <c r="AC1829" s="1"/>
      <c r="AD1829" s="1">
        <f>IF($C1829="",0,SUMPRODUCT((AY_SONU!$O$7:$O$42="Evet")*(AY_SONU!$B$7:$B$42=DATE(YEAR($C1829),MONTH($C1829),1))))</f>
        <v>0</v>
      </c>
      <c r="AE1829" s="1" t="str">
        <f>IF($E1829="","",$E1829&amp;"|"&amp;COUNTIFS($E$7:$E1829,$E1829))</f>
        <v/>
      </c>
    </row>
    <row r="1830" spans="1:31" ht="18" customHeight="1" x14ac:dyDescent="0.3">
      <c r="A1830" s="2"/>
      <c r="B1830" s="65" t="str">
        <f t="shared" si="226"/>
        <v/>
      </c>
      <c r="C1830" s="66"/>
      <c r="D1830" s="60"/>
      <c r="E1830" s="61"/>
      <c r="F1830" s="61"/>
      <c r="G1830" s="67"/>
      <c r="H1830" s="60"/>
      <c r="I1830" s="60"/>
      <c r="J1830" s="61"/>
      <c r="K1830" s="61"/>
      <c r="L1830" s="60"/>
      <c r="M1830" s="74" t="str">
        <f t="shared" si="227"/>
        <v/>
      </c>
      <c r="N1830" s="74" t="str">
        <f t="shared" si="228"/>
        <v/>
      </c>
      <c r="O1830" s="73" t="str">
        <f t="shared" si="229"/>
        <v/>
      </c>
      <c r="P1830" s="65" t="str">
        <f t="shared" ca="1" si="230"/>
        <v/>
      </c>
      <c r="Q1830" s="2"/>
      <c r="R1830" s="2"/>
      <c r="S1830" s="1" t="str">
        <f t="shared" si="231"/>
        <v/>
      </c>
      <c r="T1830" s="1" t="str">
        <f>IF(OR($C1830="",$D1830&lt;&gt;"Gelir",$L1830=""),"",IFERROR(INDEX(MUSTERILER!$B$7:$B$156,MATCH($S1830,MUSTERILER!$T$7:$T$156,0)),""))</f>
        <v/>
      </c>
      <c r="U1830" s="1" t="str">
        <f>IF($T1830="","",$T1830&amp;"|"&amp;COUNTIFS($T$7:$T1830,$T1830))</f>
        <v/>
      </c>
      <c r="V1830" s="1">
        <f t="shared" si="232"/>
        <v>0</v>
      </c>
      <c r="W1830" s="1" t="str">
        <f t="shared" si="233"/>
        <v/>
      </c>
      <c r="X1830" s="1"/>
      <c r="Y1830" s="1"/>
      <c r="Z1830" s="1"/>
      <c r="AA1830" s="1"/>
      <c r="AB1830" s="1"/>
      <c r="AC1830" s="1"/>
      <c r="AD1830" s="1">
        <f>IF($C1830="",0,SUMPRODUCT((AY_SONU!$O$7:$O$42="Evet")*(AY_SONU!$B$7:$B$42=DATE(YEAR($C1830),MONTH($C1830),1))))</f>
        <v>0</v>
      </c>
      <c r="AE1830" s="1" t="str">
        <f>IF($E1830="","",$E1830&amp;"|"&amp;COUNTIFS($E$7:$E1830,$E1830))</f>
        <v/>
      </c>
    </row>
    <row r="1831" spans="1:31" ht="18" customHeight="1" x14ac:dyDescent="0.3">
      <c r="A1831" s="2"/>
      <c r="B1831" s="65" t="str">
        <f t="shared" si="226"/>
        <v/>
      </c>
      <c r="C1831" s="66"/>
      <c r="D1831" s="60"/>
      <c r="E1831" s="61"/>
      <c r="F1831" s="61"/>
      <c r="G1831" s="67"/>
      <c r="H1831" s="60"/>
      <c r="I1831" s="60"/>
      <c r="J1831" s="61"/>
      <c r="K1831" s="61"/>
      <c r="L1831" s="60"/>
      <c r="M1831" s="74" t="str">
        <f t="shared" si="227"/>
        <v/>
      </c>
      <c r="N1831" s="74" t="str">
        <f t="shared" si="228"/>
        <v/>
      </c>
      <c r="O1831" s="73" t="str">
        <f t="shared" si="229"/>
        <v/>
      </c>
      <c r="P1831" s="65" t="str">
        <f t="shared" ca="1" si="230"/>
        <v/>
      </c>
      <c r="Q1831" s="2"/>
      <c r="R1831" s="2"/>
      <c r="S1831" s="1" t="str">
        <f t="shared" si="231"/>
        <v/>
      </c>
      <c r="T1831" s="1" t="str">
        <f>IF(OR($C1831="",$D1831&lt;&gt;"Gelir",$L1831=""),"",IFERROR(INDEX(MUSTERILER!$B$7:$B$156,MATCH($S1831,MUSTERILER!$T$7:$T$156,0)),""))</f>
        <v/>
      </c>
      <c r="U1831" s="1" t="str">
        <f>IF($T1831="","",$T1831&amp;"|"&amp;COUNTIFS($T$7:$T1831,$T1831))</f>
        <v/>
      </c>
      <c r="V1831" s="1">
        <f t="shared" si="232"/>
        <v>0</v>
      </c>
      <c r="W1831" s="1" t="str">
        <f t="shared" si="233"/>
        <v/>
      </c>
      <c r="X1831" s="1"/>
      <c r="Y1831" s="1"/>
      <c r="Z1831" s="1"/>
      <c r="AA1831" s="1"/>
      <c r="AB1831" s="1"/>
      <c r="AC1831" s="1"/>
      <c r="AD1831" s="1">
        <f>IF($C1831="",0,SUMPRODUCT((AY_SONU!$O$7:$O$42="Evet")*(AY_SONU!$B$7:$B$42=DATE(YEAR($C1831),MONTH($C1831),1))))</f>
        <v>0</v>
      </c>
      <c r="AE1831" s="1" t="str">
        <f>IF($E1831="","",$E1831&amp;"|"&amp;COUNTIFS($E$7:$E1831,$E1831))</f>
        <v/>
      </c>
    </row>
    <row r="1832" spans="1:31" ht="18" customHeight="1" x14ac:dyDescent="0.3">
      <c r="A1832" s="2"/>
      <c r="B1832" s="65" t="str">
        <f t="shared" si="226"/>
        <v/>
      </c>
      <c r="C1832" s="66"/>
      <c r="D1832" s="60"/>
      <c r="E1832" s="61"/>
      <c r="F1832" s="61"/>
      <c r="G1832" s="67"/>
      <c r="H1832" s="60"/>
      <c r="I1832" s="60"/>
      <c r="J1832" s="61"/>
      <c r="K1832" s="61"/>
      <c r="L1832" s="60"/>
      <c r="M1832" s="74" t="str">
        <f t="shared" si="227"/>
        <v/>
      </c>
      <c r="N1832" s="74" t="str">
        <f t="shared" si="228"/>
        <v/>
      </c>
      <c r="O1832" s="73" t="str">
        <f t="shared" si="229"/>
        <v/>
      </c>
      <c r="P1832" s="65" t="str">
        <f t="shared" ca="1" si="230"/>
        <v/>
      </c>
      <c r="Q1832" s="2"/>
      <c r="R1832" s="2"/>
      <c r="S1832" s="1" t="str">
        <f t="shared" si="231"/>
        <v/>
      </c>
      <c r="T1832" s="1" t="str">
        <f>IF(OR($C1832="",$D1832&lt;&gt;"Gelir",$L1832=""),"",IFERROR(INDEX(MUSTERILER!$B$7:$B$156,MATCH($S1832,MUSTERILER!$T$7:$T$156,0)),""))</f>
        <v/>
      </c>
      <c r="U1832" s="1" t="str">
        <f>IF($T1832="","",$T1832&amp;"|"&amp;COUNTIFS($T$7:$T1832,$T1832))</f>
        <v/>
      </c>
      <c r="V1832" s="1">
        <f t="shared" si="232"/>
        <v>0</v>
      </c>
      <c r="W1832" s="1" t="str">
        <f t="shared" si="233"/>
        <v/>
      </c>
      <c r="X1832" s="1"/>
      <c r="Y1832" s="1"/>
      <c r="Z1832" s="1"/>
      <c r="AA1832" s="1"/>
      <c r="AB1832" s="1"/>
      <c r="AC1832" s="1"/>
      <c r="AD1832" s="1">
        <f>IF($C1832="",0,SUMPRODUCT((AY_SONU!$O$7:$O$42="Evet")*(AY_SONU!$B$7:$B$42=DATE(YEAR($C1832),MONTH($C1832),1))))</f>
        <v>0</v>
      </c>
      <c r="AE1832" s="1" t="str">
        <f>IF($E1832="","",$E1832&amp;"|"&amp;COUNTIFS($E$7:$E1832,$E1832))</f>
        <v/>
      </c>
    </row>
    <row r="1833" spans="1:31" ht="18" customHeight="1" x14ac:dyDescent="0.3">
      <c r="A1833" s="2"/>
      <c r="B1833" s="65" t="str">
        <f t="shared" si="226"/>
        <v/>
      </c>
      <c r="C1833" s="66"/>
      <c r="D1833" s="60"/>
      <c r="E1833" s="61"/>
      <c r="F1833" s="61"/>
      <c r="G1833" s="67"/>
      <c r="H1833" s="60"/>
      <c r="I1833" s="60"/>
      <c r="J1833" s="61"/>
      <c r="K1833" s="61"/>
      <c r="L1833" s="60"/>
      <c r="M1833" s="74" t="str">
        <f t="shared" si="227"/>
        <v/>
      </c>
      <c r="N1833" s="74" t="str">
        <f t="shared" si="228"/>
        <v/>
      </c>
      <c r="O1833" s="73" t="str">
        <f t="shared" si="229"/>
        <v/>
      </c>
      <c r="P1833" s="65" t="str">
        <f t="shared" ca="1" si="230"/>
        <v/>
      </c>
      <c r="Q1833" s="2"/>
      <c r="R1833" s="2"/>
      <c r="S1833" s="1" t="str">
        <f t="shared" si="231"/>
        <v/>
      </c>
      <c r="T1833" s="1" t="str">
        <f>IF(OR($C1833="",$D1833&lt;&gt;"Gelir",$L1833=""),"",IFERROR(INDEX(MUSTERILER!$B$7:$B$156,MATCH($S1833,MUSTERILER!$T$7:$T$156,0)),""))</f>
        <v/>
      </c>
      <c r="U1833" s="1" t="str">
        <f>IF($T1833="","",$T1833&amp;"|"&amp;COUNTIFS($T$7:$T1833,$T1833))</f>
        <v/>
      </c>
      <c r="V1833" s="1">
        <f t="shared" si="232"/>
        <v>0</v>
      </c>
      <c r="W1833" s="1" t="str">
        <f t="shared" si="233"/>
        <v/>
      </c>
      <c r="X1833" s="1"/>
      <c r="Y1833" s="1"/>
      <c r="Z1833" s="1"/>
      <c r="AA1833" s="1"/>
      <c r="AB1833" s="1"/>
      <c r="AC1833" s="1"/>
      <c r="AD1833" s="1">
        <f>IF($C1833="",0,SUMPRODUCT((AY_SONU!$O$7:$O$42="Evet")*(AY_SONU!$B$7:$B$42=DATE(YEAR($C1833),MONTH($C1833),1))))</f>
        <v>0</v>
      </c>
      <c r="AE1833" s="1" t="str">
        <f>IF($E1833="","",$E1833&amp;"|"&amp;COUNTIFS($E$7:$E1833,$E1833))</f>
        <v/>
      </c>
    </row>
    <row r="1834" spans="1:31" ht="18" customHeight="1" x14ac:dyDescent="0.3">
      <c r="A1834" s="2"/>
      <c r="B1834" s="65" t="str">
        <f t="shared" si="226"/>
        <v/>
      </c>
      <c r="C1834" s="66"/>
      <c r="D1834" s="60"/>
      <c r="E1834" s="61"/>
      <c r="F1834" s="61"/>
      <c r="G1834" s="67"/>
      <c r="H1834" s="60"/>
      <c r="I1834" s="60"/>
      <c r="J1834" s="61"/>
      <c r="K1834" s="61"/>
      <c r="L1834" s="60"/>
      <c r="M1834" s="74" t="str">
        <f t="shared" si="227"/>
        <v/>
      </c>
      <c r="N1834" s="74" t="str">
        <f t="shared" si="228"/>
        <v/>
      </c>
      <c r="O1834" s="73" t="str">
        <f t="shared" si="229"/>
        <v/>
      </c>
      <c r="P1834" s="65" t="str">
        <f t="shared" ca="1" si="230"/>
        <v/>
      </c>
      <c r="Q1834" s="2"/>
      <c r="R1834" s="2"/>
      <c r="S1834" s="1" t="str">
        <f t="shared" si="231"/>
        <v/>
      </c>
      <c r="T1834" s="1" t="str">
        <f>IF(OR($C1834="",$D1834&lt;&gt;"Gelir",$L1834=""),"",IFERROR(INDEX(MUSTERILER!$B$7:$B$156,MATCH($S1834,MUSTERILER!$T$7:$T$156,0)),""))</f>
        <v/>
      </c>
      <c r="U1834" s="1" t="str">
        <f>IF($T1834="","",$T1834&amp;"|"&amp;COUNTIFS($T$7:$T1834,$T1834))</f>
        <v/>
      </c>
      <c r="V1834" s="1">
        <f t="shared" si="232"/>
        <v>0</v>
      </c>
      <c r="W1834" s="1" t="str">
        <f t="shared" si="233"/>
        <v/>
      </c>
      <c r="X1834" s="1"/>
      <c r="Y1834" s="1"/>
      <c r="Z1834" s="1"/>
      <c r="AA1834" s="1"/>
      <c r="AB1834" s="1"/>
      <c r="AC1834" s="1"/>
      <c r="AD1834" s="1">
        <f>IF($C1834="",0,SUMPRODUCT((AY_SONU!$O$7:$O$42="Evet")*(AY_SONU!$B$7:$B$42=DATE(YEAR($C1834),MONTH($C1834),1))))</f>
        <v>0</v>
      </c>
      <c r="AE1834" s="1" t="str">
        <f>IF($E1834="","",$E1834&amp;"|"&amp;COUNTIFS($E$7:$E1834,$E1834))</f>
        <v/>
      </c>
    </row>
    <row r="1835" spans="1:31" ht="18" customHeight="1" x14ac:dyDescent="0.3">
      <c r="A1835" s="2"/>
      <c r="B1835" s="65" t="str">
        <f t="shared" si="226"/>
        <v/>
      </c>
      <c r="C1835" s="66"/>
      <c r="D1835" s="60"/>
      <c r="E1835" s="61"/>
      <c r="F1835" s="61"/>
      <c r="G1835" s="67"/>
      <c r="H1835" s="60"/>
      <c r="I1835" s="60"/>
      <c r="J1835" s="61"/>
      <c r="K1835" s="61"/>
      <c r="L1835" s="60"/>
      <c r="M1835" s="74" t="str">
        <f t="shared" si="227"/>
        <v/>
      </c>
      <c r="N1835" s="74" t="str">
        <f t="shared" si="228"/>
        <v/>
      </c>
      <c r="O1835" s="73" t="str">
        <f t="shared" si="229"/>
        <v/>
      </c>
      <c r="P1835" s="65" t="str">
        <f t="shared" ca="1" si="230"/>
        <v/>
      </c>
      <c r="Q1835" s="2"/>
      <c r="R1835" s="2"/>
      <c r="S1835" s="1" t="str">
        <f t="shared" si="231"/>
        <v/>
      </c>
      <c r="T1835" s="1" t="str">
        <f>IF(OR($C1835="",$D1835&lt;&gt;"Gelir",$L1835=""),"",IFERROR(INDEX(MUSTERILER!$B$7:$B$156,MATCH($S1835,MUSTERILER!$T$7:$T$156,0)),""))</f>
        <v/>
      </c>
      <c r="U1835" s="1" t="str">
        <f>IF($T1835="","",$T1835&amp;"|"&amp;COUNTIFS($T$7:$T1835,$T1835))</f>
        <v/>
      </c>
      <c r="V1835" s="1">
        <f t="shared" si="232"/>
        <v>0</v>
      </c>
      <c r="W1835" s="1" t="str">
        <f t="shared" si="233"/>
        <v/>
      </c>
      <c r="X1835" s="1"/>
      <c r="Y1835" s="1"/>
      <c r="Z1835" s="1"/>
      <c r="AA1835" s="1"/>
      <c r="AB1835" s="1"/>
      <c r="AC1835" s="1"/>
      <c r="AD1835" s="1">
        <f>IF($C1835="",0,SUMPRODUCT((AY_SONU!$O$7:$O$42="Evet")*(AY_SONU!$B$7:$B$42=DATE(YEAR($C1835),MONTH($C1835),1))))</f>
        <v>0</v>
      </c>
      <c r="AE1835" s="1" t="str">
        <f>IF($E1835="","",$E1835&amp;"|"&amp;COUNTIFS($E$7:$E1835,$E1835))</f>
        <v/>
      </c>
    </row>
    <row r="1836" spans="1:31" ht="18" customHeight="1" x14ac:dyDescent="0.3">
      <c r="A1836" s="2"/>
      <c r="B1836" s="65" t="str">
        <f t="shared" si="226"/>
        <v/>
      </c>
      <c r="C1836" s="66"/>
      <c r="D1836" s="60"/>
      <c r="E1836" s="61"/>
      <c r="F1836" s="61"/>
      <c r="G1836" s="67"/>
      <c r="H1836" s="60"/>
      <c r="I1836" s="60"/>
      <c r="J1836" s="61"/>
      <c r="K1836" s="61"/>
      <c r="L1836" s="60"/>
      <c r="M1836" s="74" t="str">
        <f t="shared" si="227"/>
        <v/>
      </c>
      <c r="N1836" s="74" t="str">
        <f t="shared" si="228"/>
        <v/>
      </c>
      <c r="O1836" s="73" t="str">
        <f t="shared" si="229"/>
        <v/>
      </c>
      <c r="P1836" s="65" t="str">
        <f t="shared" ca="1" si="230"/>
        <v/>
      </c>
      <c r="Q1836" s="2"/>
      <c r="R1836" s="2"/>
      <c r="S1836" s="1" t="str">
        <f t="shared" si="231"/>
        <v/>
      </c>
      <c r="T1836" s="1" t="str">
        <f>IF(OR($C1836="",$D1836&lt;&gt;"Gelir",$L1836=""),"",IFERROR(INDEX(MUSTERILER!$B$7:$B$156,MATCH($S1836,MUSTERILER!$T$7:$T$156,0)),""))</f>
        <v/>
      </c>
      <c r="U1836" s="1" t="str">
        <f>IF($T1836="","",$T1836&amp;"|"&amp;COUNTIFS($T$7:$T1836,$T1836))</f>
        <v/>
      </c>
      <c r="V1836" s="1">
        <f t="shared" si="232"/>
        <v>0</v>
      </c>
      <c r="W1836" s="1" t="str">
        <f t="shared" si="233"/>
        <v/>
      </c>
      <c r="X1836" s="1"/>
      <c r="Y1836" s="1"/>
      <c r="Z1836" s="1"/>
      <c r="AA1836" s="1"/>
      <c r="AB1836" s="1"/>
      <c r="AC1836" s="1"/>
      <c r="AD1836" s="1">
        <f>IF($C1836="",0,SUMPRODUCT((AY_SONU!$O$7:$O$42="Evet")*(AY_SONU!$B$7:$B$42=DATE(YEAR($C1836),MONTH($C1836),1))))</f>
        <v>0</v>
      </c>
      <c r="AE1836" s="1" t="str">
        <f>IF($E1836="","",$E1836&amp;"|"&amp;COUNTIFS($E$7:$E1836,$E1836))</f>
        <v/>
      </c>
    </row>
    <row r="1837" spans="1:31" ht="18" customHeight="1" x14ac:dyDescent="0.3">
      <c r="A1837" s="2"/>
      <c r="B1837" s="65" t="str">
        <f t="shared" si="226"/>
        <v/>
      </c>
      <c r="C1837" s="66"/>
      <c r="D1837" s="60"/>
      <c r="E1837" s="61"/>
      <c r="F1837" s="61"/>
      <c r="G1837" s="67"/>
      <c r="H1837" s="60"/>
      <c r="I1837" s="60"/>
      <c r="J1837" s="61"/>
      <c r="K1837" s="61"/>
      <c r="L1837" s="60"/>
      <c r="M1837" s="74" t="str">
        <f t="shared" si="227"/>
        <v/>
      </c>
      <c r="N1837" s="74" t="str">
        <f t="shared" si="228"/>
        <v/>
      </c>
      <c r="O1837" s="73" t="str">
        <f t="shared" si="229"/>
        <v/>
      </c>
      <c r="P1837" s="65" t="str">
        <f t="shared" ca="1" si="230"/>
        <v/>
      </c>
      <c r="Q1837" s="2"/>
      <c r="R1837" s="2"/>
      <c r="S1837" s="1" t="str">
        <f t="shared" si="231"/>
        <v/>
      </c>
      <c r="T1837" s="1" t="str">
        <f>IF(OR($C1837="",$D1837&lt;&gt;"Gelir",$L1837=""),"",IFERROR(INDEX(MUSTERILER!$B$7:$B$156,MATCH($S1837,MUSTERILER!$T$7:$T$156,0)),""))</f>
        <v/>
      </c>
      <c r="U1837" s="1" t="str">
        <f>IF($T1837="","",$T1837&amp;"|"&amp;COUNTIFS($T$7:$T1837,$T1837))</f>
        <v/>
      </c>
      <c r="V1837" s="1">
        <f t="shared" si="232"/>
        <v>0</v>
      </c>
      <c r="W1837" s="1" t="str">
        <f t="shared" si="233"/>
        <v/>
      </c>
      <c r="X1837" s="1"/>
      <c r="Y1837" s="1"/>
      <c r="Z1837" s="1"/>
      <c r="AA1837" s="1"/>
      <c r="AB1837" s="1"/>
      <c r="AC1837" s="1"/>
      <c r="AD1837" s="1">
        <f>IF($C1837="",0,SUMPRODUCT((AY_SONU!$O$7:$O$42="Evet")*(AY_SONU!$B$7:$B$42=DATE(YEAR($C1837),MONTH($C1837),1))))</f>
        <v>0</v>
      </c>
      <c r="AE1837" s="1" t="str">
        <f>IF($E1837="","",$E1837&amp;"|"&amp;COUNTIFS($E$7:$E1837,$E1837))</f>
        <v/>
      </c>
    </row>
    <row r="1838" spans="1:31" ht="18" customHeight="1" x14ac:dyDescent="0.3">
      <c r="A1838" s="2"/>
      <c r="B1838" s="65" t="str">
        <f t="shared" si="226"/>
        <v/>
      </c>
      <c r="C1838" s="66"/>
      <c r="D1838" s="60"/>
      <c r="E1838" s="61"/>
      <c r="F1838" s="61"/>
      <c r="G1838" s="67"/>
      <c r="H1838" s="60"/>
      <c r="I1838" s="60"/>
      <c r="J1838" s="61"/>
      <c r="K1838" s="61"/>
      <c r="L1838" s="60"/>
      <c r="M1838" s="74" t="str">
        <f t="shared" si="227"/>
        <v/>
      </c>
      <c r="N1838" s="74" t="str">
        <f t="shared" si="228"/>
        <v/>
      </c>
      <c r="O1838" s="73" t="str">
        <f t="shared" si="229"/>
        <v/>
      </c>
      <c r="P1838" s="65" t="str">
        <f t="shared" ca="1" si="230"/>
        <v/>
      </c>
      <c r="Q1838" s="2"/>
      <c r="R1838" s="2"/>
      <c r="S1838" s="1" t="str">
        <f t="shared" si="231"/>
        <v/>
      </c>
      <c r="T1838" s="1" t="str">
        <f>IF(OR($C1838="",$D1838&lt;&gt;"Gelir",$L1838=""),"",IFERROR(INDEX(MUSTERILER!$B$7:$B$156,MATCH($S1838,MUSTERILER!$T$7:$T$156,0)),""))</f>
        <v/>
      </c>
      <c r="U1838" s="1" t="str">
        <f>IF($T1838="","",$T1838&amp;"|"&amp;COUNTIFS($T$7:$T1838,$T1838))</f>
        <v/>
      </c>
      <c r="V1838" s="1">
        <f t="shared" si="232"/>
        <v>0</v>
      </c>
      <c r="W1838" s="1" t="str">
        <f t="shared" si="233"/>
        <v/>
      </c>
      <c r="X1838" s="1"/>
      <c r="Y1838" s="1"/>
      <c r="Z1838" s="1"/>
      <c r="AA1838" s="1"/>
      <c r="AB1838" s="1"/>
      <c r="AC1838" s="1"/>
      <c r="AD1838" s="1">
        <f>IF($C1838="",0,SUMPRODUCT((AY_SONU!$O$7:$O$42="Evet")*(AY_SONU!$B$7:$B$42=DATE(YEAR($C1838),MONTH($C1838),1))))</f>
        <v>0</v>
      </c>
      <c r="AE1838" s="1" t="str">
        <f>IF($E1838="","",$E1838&amp;"|"&amp;COUNTIFS($E$7:$E1838,$E1838))</f>
        <v/>
      </c>
    </row>
    <row r="1839" spans="1:31" ht="18" customHeight="1" x14ac:dyDescent="0.3">
      <c r="A1839" s="2"/>
      <c r="B1839" s="65" t="str">
        <f t="shared" si="226"/>
        <v/>
      </c>
      <c r="C1839" s="66"/>
      <c r="D1839" s="60"/>
      <c r="E1839" s="61"/>
      <c r="F1839" s="61"/>
      <c r="G1839" s="67"/>
      <c r="H1839" s="60"/>
      <c r="I1839" s="60"/>
      <c r="J1839" s="61"/>
      <c r="K1839" s="61"/>
      <c r="L1839" s="60"/>
      <c r="M1839" s="74" t="str">
        <f t="shared" si="227"/>
        <v/>
      </c>
      <c r="N1839" s="74" t="str">
        <f t="shared" si="228"/>
        <v/>
      </c>
      <c r="O1839" s="73" t="str">
        <f t="shared" si="229"/>
        <v/>
      </c>
      <c r="P1839" s="65" t="str">
        <f t="shared" ca="1" si="230"/>
        <v/>
      </c>
      <c r="Q1839" s="2"/>
      <c r="R1839" s="2"/>
      <c r="S1839" s="1" t="str">
        <f t="shared" si="231"/>
        <v/>
      </c>
      <c r="T1839" s="1" t="str">
        <f>IF(OR($C1839="",$D1839&lt;&gt;"Gelir",$L1839=""),"",IFERROR(INDEX(MUSTERILER!$B$7:$B$156,MATCH($S1839,MUSTERILER!$T$7:$T$156,0)),""))</f>
        <v/>
      </c>
      <c r="U1839" s="1" t="str">
        <f>IF($T1839="","",$T1839&amp;"|"&amp;COUNTIFS($T$7:$T1839,$T1839))</f>
        <v/>
      </c>
      <c r="V1839" s="1">
        <f t="shared" si="232"/>
        <v>0</v>
      </c>
      <c r="W1839" s="1" t="str">
        <f t="shared" si="233"/>
        <v/>
      </c>
      <c r="X1839" s="1"/>
      <c r="Y1839" s="1"/>
      <c r="Z1839" s="1"/>
      <c r="AA1839" s="1"/>
      <c r="AB1839" s="1"/>
      <c r="AC1839" s="1"/>
      <c r="AD1839" s="1">
        <f>IF($C1839="",0,SUMPRODUCT((AY_SONU!$O$7:$O$42="Evet")*(AY_SONU!$B$7:$B$42=DATE(YEAR($C1839),MONTH($C1839),1))))</f>
        <v>0</v>
      </c>
      <c r="AE1839" s="1" t="str">
        <f>IF($E1839="","",$E1839&amp;"|"&amp;COUNTIFS($E$7:$E1839,$E1839))</f>
        <v/>
      </c>
    </row>
    <row r="1840" spans="1:31" ht="18" customHeight="1" x14ac:dyDescent="0.3">
      <c r="A1840" s="2"/>
      <c r="B1840" s="65" t="str">
        <f t="shared" si="226"/>
        <v/>
      </c>
      <c r="C1840" s="66"/>
      <c r="D1840" s="60"/>
      <c r="E1840" s="61"/>
      <c r="F1840" s="61"/>
      <c r="G1840" s="67"/>
      <c r="H1840" s="60"/>
      <c r="I1840" s="60"/>
      <c r="J1840" s="61"/>
      <c r="K1840" s="61"/>
      <c r="L1840" s="60"/>
      <c r="M1840" s="74" t="str">
        <f t="shared" si="227"/>
        <v/>
      </c>
      <c r="N1840" s="74" t="str">
        <f t="shared" si="228"/>
        <v/>
      </c>
      <c r="O1840" s="73" t="str">
        <f t="shared" si="229"/>
        <v/>
      </c>
      <c r="P1840" s="65" t="str">
        <f t="shared" ca="1" si="230"/>
        <v/>
      </c>
      <c r="Q1840" s="2"/>
      <c r="R1840" s="2"/>
      <c r="S1840" s="1" t="str">
        <f t="shared" si="231"/>
        <v/>
      </c>
      <c r="T1840" s="1" t="str">
        <f>IF(OR($C1840="",$D1840&lt;&gt;"Gelir",$L1840=""),"",IFERROR(INDEX(MUSTERILER!$B$7:$B$156,MATCH($S1840,MUSTERILER!$T$7:$T$156,0)),""))</f>
        <v/>
      </c>
      <c r="U1840" s="1" t="str">
        <f>IF($T1840="","",$T1840&amp;"|"&amp;COUNTIFS($T$7:$T1840,$T1840))</f>
        <v/>
      </c>
      <c r="V1840" s="1">
        <f t="shared" si="232"/>
        <v>0</v>
      </c>
      <c r="W1840" s="1" t="str">
        <f t="shared" si="233"/>
        <v/>
      </c>
      <c r="X1840" s="1"/>
      <c r="Y1840" s="1"/>
      <c r="Z1840" s="1"/>
      <c r="AA1840" s="1"/>
      <c r="AB1840" s="1"/>
      <c r="AC1840" s="1"/>
      <c r="AD1840" s="1">
        <f>IF($C1840="",0,SUMPRODUCT((AY_SONU!$O$7:$O$42="Evet")*(AY_SONU!$B$7:$B$42=DATE(YEAR($C1840),MONTH($C1840),1))))</f>
        <v>0</v>
      </c>
      <c r="AE1840" s="1" t="str">
        <f>IF($E1840="","",$E1840&amp;"|"&amp;COUNTIFS($E$7:$E1840,$E1840))</f>
        <v/>
      </c>
    </row>
    <row r="1841" spans="1:31" ht="18" customHeight="1" x14ac:dyDescent="0.3">
      <c r="A1841" s="2"/>
      <c r="B1841" s="65" t="str">
        <f t="shared" si="226"/>
        <v/>
      </c>
      <c r="C1841" s="66"/>
      <c r="D1841" s="60"/>
      <c r="E1841" s="61"/>
      <c r="F1841" s="61"/>
      <c r="G1841" s="67"/>
      <c r="H1841" s="60"/>
      <c r="I1841" s="60"/>
      <c r="J1841" s="61"/>
      <c r="K1841" s="61"/>
      <c r="L1841" s="60"/>
      <c r="M1841" s="74" t="str">
        <f t="shared" si="227"/>
        <v/>
      </c>
      <c r="N1841" s="74" t="str">
        <f t="shared" si="228"/>
        <v/>
      </c>
      <c r="O1841" s="73" t="str">
        <f t="shared" si="229"/>
        <v/>
      </c>
      <c r="P1841" s="65" t="str">
        <f t="shared" ca="1" si="230"/>
        <v/>
      </c>
      <c r="Q1841" s="2"/>
      <c r="R1841" s="2"/>
      <c r="S1841" s="1" t="str">
        <f t="shared" si="231"/>
        <v/>
      </c>
      <c r="T1841" s="1" t="str">
        <f>IF(OR($C1841="",$D1841&lt;&gt;"Gelir",$L1841=""),"",IFERROR(INDEX(MUSTERILER!$B$7:$B$156,MATCH($S1841,MUSTERILER!$T$7:$T$156,0)),""))</f>
        <v/>
      </c>
      <c r="U1841" s="1" t="str">
        <f>IF($T1841="","",$T1841&amp;"|"&amp;COUNTIFS($T$7:$T1841,$T1841))</f>
        <v/>
      </c>
      <c r="V1841" s="1">
        <f t="shared" si="232"/>
        <v>0</v>
      </c>
      <c r="W1841" s="1" t="str">
        <f t="shared" si="233"/>
        <v/>
      </c>
      <c r="X1841" s="1"/>
      <c r="Y1841" s="1"/>
      <c r="Z1841" s="1"/>
      <c r="AA1841" s="1"/>
      <c r="AB1841" s="1"/>
      <c r="AC1841" s="1"/>
      <c r="AD1841" s="1">
        <f>IF($C1841="",0,SUMPRODUCT((AY_SONU!$O$7:$O$42="Evet")*(AY_SONU!$B$7:$B$42=DATE(YEAR($C1841),MONTH($C1841),1))))</f>
        <v>0</v>
      </c>
      <c r="AE1841" s="1" t="str">
        <f>IF($E1841="","",$E1841&amp;"|"&amp;COUNTIFS($E$7:$E1841,$E1841))</f>
        <v/>
      </c>
    </row>
    <row r="1842" spans="1:31" ht="18" customHeight="1" x14ac:dyDescent="0.3">
      <c r="A1842" s="2"/>
      <c r="B1842" s="65" t="str">
        <f t="shared" si="226"/>
        <v/>
      </c>
      <c r="C1842" s="66"/>
      <c r="D1842" s="60"/>
      <c r="E1842" s="61"/>
      <c r="F1842" s="61"/>
      <c r="G1842" s="67"/>
      <c r="H1842" s="60"/>
      <c r="I1842" s="60"/>
      <c r="J1842" s="61"/>
      <c r="K1842" s="61"/>
      <c r="L1842" s="60"/>
      <c r="M1842" s="74" t="str">
        <f t="shared" si="227"/>
        <v/>
      </c>
      <c r="N1842" s="74" t="str">
        <f t="shared" si="228"/>
        <v/>
      </c>
      <c r="O1842" s="73" t="str">
        <f t="shared" si="229"/>
        <v/>
      </c>
      <c r="P1842" s="65" t="str">
        <f t="shared" ca="1" si="230"/>
        <v/>
      </c>
      <c r="Q1842" s="2"/>
      <c r="R1842" s="2"/>
      <c r="S1842" s="1" t="str">
        <f t="shared" si="231"/>
        <v/>
      </c>
      <c r="T1842" s="1" t="str">
        <f>IF(OR($C1842="",$D1842&lt;&gt;"Gelir",$L1842=""),"",IFERROR(INDEX(MUSTERILER!$B$7:$B$156,MATCH($S1842,MUSTERILER!$T$7:$T$156,0)),""))</f>
        <v/>
      </c>
      <c r="U1842" s="1" t="str">
        <f>IF($T1842="","",$T1842&amp;"|"&amp;COUNTIFS($T$7:$T1842,$T1842))</f>
        <v/>
      </c>
      <c r="V1842" s="1">
        <f t="shared" si="232"/>
        <v>0</v>
      </c>
      <c r="W1842" s="1" t="str">
        <f t="shared" si="233"/>
        <v/>
      </c>
      <c r="X1842" s="1"/>
      <c r="Y1842" s="1"/>
      <c r="Z1842" s="1"/>
      <c r="AA1842" s="1"/>
      <c r="AB1842" s="1"/>
      <c r="AC1842" s="1"/>
      <c r="AD1842" s="1">
        <f>IF($C1842="",0,SUMPRODUCT((AY_SONU!$O$7:$O$42="Evet")*(AY_SONU!$B$7:$B$42=DATE(YEAR($C1842),MONTH($C1842),1))))</f>
        <v>0</v>
      </c>
      <c r="AE1842" s="1" t="str">
        <f>IF($E1842="","",$E1842&amp;"|"&amp;COUNTIFS($E$7:$E1842,$E1842))</f>
        <v/>
      </c>
    </row>
    <row r="1843" spans="1:31" ht="18" customHeight="1" x14ac:dyDescent="0.3">
      <c r="A1843" s="2"/>
      <c r="B1843" s="65" t="str">
        <f t="shared" si="226"/>
        <v/>
      </c>
      <c r="C1843" s="66"/>
      <c r="D1843" s="60"/>
      <c r="E1843" s="61"/>
      <c r="F1843" s="61"/>
      <c r="G1843" s="67"/>
      <c r="H1843" s="60"/>
      <c r="I1843" s="60"/>
      <c r="J1843" s="61"/>
      <c r="K1843" s="61"/>
      <c r="L1843" s="60"/>
      <c r="M1843" s="74" t="str">
        <f t="shared" si="227"/>
        <v/>
      </c>
      <c r="N1843" s="74" t="str">
        <f t="shared" si="228"/>
        <v/>
      </c>
      <c r="O1843" s="73" t="str">
        <f t="shared" si="229"/>
        <v/>
      </c>
      <c r="P1843" s="65" t="str">
        <f t="shared" ca="1" si="230"/>
        <v/>
      </c>
      <c r="Q1843" s="2"/>
      <c r="R1843" s="2"/>
      <c r="S1843" s="1" t="str">
        <f t="shared" si="231"/>
        <v/>
      </c>
      <c r="T1843" s="1" t="str">
        <f>IF(OR($C1843="",$D1843&lt;&gt;"Gelir",$L1843=""),"",IFERROR(INDEX(MUSTERILER!$B$7:$B$156,MATCH($S1843,MUSTERILER!$T$7:$T$156,0)),""))</f>
        <v/>
      </c>
      <c r="U1843" s="1" t="str">
        <f>IF($T1843="","",$T1843&amp;"|"&amp;COUNTIFS($T$7:$T1843,$T1843))</f>
        <v/>
      </c>
      <c r="V1843" s="1">
        <f t="shared" si="232"/>
        <v>0</v>
      </c>
      <c r="W1843" s="1" t="str">
        <f t="shared" si="233"/>
        <v/>
      </c>
      <c r="X1843" s="1"/>
      <c r="Y1843" s="1"/>
      <c r="Z1843" s="1"/>
      <c r="AA1843" s="1"/>
      <c r="AB1843" s="1"/>
      <c r="AC1843" s="1"/>
      <c r="AD1843" s="1">
        <f>IF($C1843="",0,SUMPRODUCT((AY_SONU!$O$7:$O$42="Evet")*(AY_SONU!$B$7:$B$42=DATE(YEAR($C1843),MONTH($C1843),1))))</f>
        <v>0</v>
      </c>
      <c r="AE1843" s="1" t="str">
        <f>IF($E1843="","",$E1843&amp;"|"&amp;COUNTIFS($E$7:$E1843,$E1843))</f>
        <v/>
      </c>
    </row>
    <row r="1844" spans="1:31" ht="18" customHeight="1" x14ac:dyDescent="0.3">
      <c r="A1844" s="2"/>
      <c r="B1844" s="65" t="str">
        <f t="shared" si="226"/>
        <v/>
      </c>
      <c r="C1844" s="66"/>
      <c r="D1844" s="60"/>
      <c r="E1844" s="61"/>
      <c r="F1844" s="61"/>
      <c r="G1844" s="67"/>
      <c r="H1844" s="60"/>
      <c r="I1844" s="60"/>
      <c r="J1844" s="61"/>
      <c r="K1844" s="61"/>
      <c r="L1844" s="60"/>
      <c r="M1844" s="74" t="str">
        <f t="shared" si="227"/>
        <v/>
      </c>
      <c r="N1844" s="74" t="str">
        <f t="shared" si="228"/>
        <v/>
      </c>
      <c r="O1844" s="73" t="str">
        <f t="shared" si="229"/>
        <v/>
      </c>
      <c r="P1844" s="65" t="str">
        <f t="shared" ca="1" si="230"/>
        <v/>
      </c>
      <c r="Q1844" s="2"/>
      <c r="R1844" s="2"/>
      <c r="S1844" s="1" t="str">
        <f t="shared" si="231"/>
        <v/>
      </c>
      <c r="T1844" s="1" t="str">
        <f>IF(OR($C1844="",$D1844&lt;&gt;"Gelir",$L1844=""),"",IFERROR(INDEX(MUSTERILER!$B$7:$B$156,MATCH($S1844,MUSTERILER!$T$7:$T$156,0)),""))</f>
        <v/>
      </c>
      <c r="U1844" s="1" t="str">
        <f>IF($T1844="","",$T1844&amp;"|"&amp;COUNTIFS($T$7:$T1844,$T1844))</f>
        <v/>
      </c>
      <c r="V1844" s="1">
        <f t="shared" si="232"/>
        <v>0</v>
      </c>
      <c r="W1844" s="1" t="str">
        <f t="shared" si="233"/>
        <v/>
      </c>
      <c r="X1844" s="1"/>
      <c r="Y1844" s="1"/>
      <c r="Z1844" s="1"/>
      <c r="AA1844" s="1"/>
      <c r="AB1844" s="1"/>
      <c r="AC1844" s="1"/>
      <c r="AD1844" s="1">
        <f>IF($C1844="",0,SUMPRODUCT((AY_SONU!$O$7:$O$42="Evet")*(AY_SONU!$B$7:$B$42=DATE(YEAR($C1844),MONTH($C1844),1))))</f>
        <v>0</v>
      </c>
      <c r="AE1844" s="1" t="str">
        <f>IF($E1844="","",$E1844&amp;"|"&amp;COUNTIFS($E$7:$E1844,$E1844))</f>
        <v/>
      </c>
    </row>
    <row r="1845" spans="1:31" ht="18" customHeight="1" x14ac:dyDescent="0.3">
      <c r="A1845" s="2"/>
      <c r="B1845" s="65" t="str">
        <f t="shared" si="226"/>
        <v/>
      </c>
      <c r="C1845" s="66"/>
      <c r="D1845" s="60"/>
      <c r="E1845" s="61"/>
      <c r="F1845" s="61"/>
      <c r="G1845" s="67"/>
      <c r="H1845" s="60"/>
      <c r="I1845" s="60"/>
      <c r="J1845" s="61"/>
      <c r="K1845" s="61"/>
      <c r="L1845" s="60"/>
      <c r="M1845" s="74" t="str">
        <f t="shared" si="227"/>
        <v/>
      </c>
      <c r="N1845" s="74" t="str">
        <f t="shared" si="228"/>
        <v/>
      </c>
      <c r="O1845" s="73" t="str">
        <f t="shared" si="229"/>
        <v/>
      </c>
      <c r="P1845" s="65" t="str">
        <f t="shared" ca="1" si="230"/>
        <v/>
      </c>
      <c r="Q1845" s="2"/>
      <c r="R1845" s="2"/>
      <c r="S1845" s="1" t="str">
        <f t="shared" si="231"/>
        <v/>
      </c>
      <c r="T1845" s="1" t="str">
        <f>IF(OR($C1845="",$D1845&lt;&gt;"Gelir",$L1845=""),"",IFERROR(INDEX(MUSTERILER!$B$7:$B$156,MATCH($S1845,MUSTERILER!$T$7:$T$156,0)),""))</f>
        <v/>
      </c>
      <c r="U1845" s="1" t="str">
        <f>IF($T1845="","",$T1845&amp;"|"&amp;COUNTIFS($T$7:$T1845,$T1845))</f>
        <v/>
      </c>
      <c r="V1845" s="1">
        <f t="shared" si="232"/>
        <v>0</v>
      </c>
      <c r="W1845" s="1" t="str">
        <f t="shared" si="233"/>
        <v/>
      </c>
      <c r="X1845" s="1"/>
      <c r="Y1845" s="1"/>
      <c r="Z1845" s="1"/>
      <c r="AA1845" s="1"/>
      <c r="AB1845" s="1"/>
      <c r="AC1845" s="1"/>
      <c r="AD1845" s="1">
        <f>IF($C1845="",0,SUMPRODUCT((AY_SONU!$O$7:$O$42="Evet")*(AY_SONU!$B$7:$B$42=DATE(YEAR($C1845),MONTH($C1845),1))))</f>
        <v>0</v>
      </c>
      <c r="AE1845" s="1" t="str">
        <f>IF($E1845="","",$E1845&amp;"|"&amp;COUNTIFS($E$7:$E1845,$E1845))</f>
        <v/>
      </c>
    </row>
    <row r="1846" spans="1:31" ht="18" customHeight="1" x14ac:dyDescent="0.3">
      <c r="A1846" s="2"/>
      <c r="B1846" s="65" t="str">
        <f t="shared" si="226"/>
        <v/>
      </c>
      <c r="C1846" s="66"/>
      <c r="D1846" s="60"/>
      <c r="E1846" s="61"/>
      <c r="F1846" s="61"/>
      <c r="G1846" s="67"/>
      <c r="H1846" s="60"/>
      <c r="I1846" s="60"/>
      <c r="J1846" s="61"/>
      <c r="K1846" s="61"/>
      <c r="L1846" s="60"/>
      <c r="M1846" s="74" t="str">
        <f t="shared" si="227"/>
        <v/>
      </c>
      <c r="N1846" s="74" t="str">
        <f t="shared" si="228"/>
        <v/>
      </c>
      <c r="O1846" s="73" t="str">
        <f t="shared" si="229"/>
        <v/>
      </c>
      <c r="P1846" s="65" t="str">
        <f t="shared" ca="1" si="230"/>
        <v/>
      </c>
      <c r="Q1846" s="2"/>
      <c r="R1846" s="2"/>
      <c r="S1846" s="1" t="str">
        <f t="shared" si="231"/>
        <v/>
      </c>
      <c r="T1846" s="1" t="str">
        <f>IF(OR($C1846="",$D1846&lt;&gt;"Gelir",$L1846=""),"",IFERROR(INDEX(MUSTERILER!$B$7:$B$156,MATCH($S1846,MUSTERILER!$T$7:$T$156,0)),""))</f>
        <v/>
      </c>
      <c r="U1846" s="1" t="str">
        <f>IF($T1846="","",$T1846&amp;"|"&amp;COUNTIFS($T$7:$T1846,$T1846))</f>
        <v/>
      </c>
      <c r="V1846" s="1">
        <f t="shared" si="232"/>
        <v>0</v>
      </c>
      <c r="W1846" s="1" t="str">
        <f t="shared" si="233"/>
        <v/>
      </c>
      <c r="X1846" s="1"/>
      <c r="Y1846" s="1"/>
      <c r="Z1846" s="1"/>
      <c r="AA1846" s="1"/>
      <c r="AB1846" s="1"/>
      <c r="AC1846" s="1"/>
      <c r="AD1846" s="1">
        <f>IF($C1846="",0,SUMPRODUCT((AY_SONU!$O$7:$O$42="Evet")*(AY_SONU!$B$7:$B$42=DATE(YEAR($C1846),MONTH($C1846),1))))</f>
        <v>0</v>
      </c>
      <c r="AE1846" s="1" t="str">
        <f>IF($E1846="","",$E1846&amp;"|"&amp;COUNTIFS($E$7:$E1846,$E1846))</f>
        <v/>
      </c>
    </row>
    <row r="1847" spans="1:31" ht="18" customHeight="1" x14ac:dyDescent="0.3">
      <c r="A1847" s="2"/>
      <c r="B1847" s="65" t="str">
        <f t="shared" si="226"/>
        <v/>
      </c>
      <c r="C1847" s="66"/>
      <c r="D1847" s="60"/>
      <c r="E1847" s="61"/>
      <c r="F1847" s="61"/>
      <c r="G1847" s="67"/>
      <c r="H1847" s="60"/>
      <c r="I1847" s="60"/>
      <c r="J1847" s="61"/>
      <c r="K1847" s="61"/>
      <c r="L1847" s="60"/>
      <c r="M1847" s="74" t="str">
        <f t="shared" si="227"/>
        <v/>
      </c>
      <c r="N1847" s="74" t="str">
        <f t="shared" si="228"/>
        <v/>
      </c>
      <c r="O1847" s="73" t="str">
        <f t="shared" si="229"/>
        <v/>
      </c>
      <c r="P1847" s="65" t="str">
        <f t="shared" ca="1" si="230"/>
        <v/>
      </c>
      <c r="Q1847" s="2"/>
      <c r="R1847" s="2"/>
      <c r="S1847" s="1" t="str">
        <f t="shared" si="231"/>
        <v/>
      </c>
      <c r="T1847" s="1" t="str">
        <f>IF(OR($C1847="",$D1847&lt;&gt;"Gelir",$L1847=""),"",IFERROR(INDEX(MUSTERILER!$B$7:$B$156,MATCH($S1847,MUSTERILER!$T$7:$T$156,0)),""))</f>
        <v/>
      </c>
      <c r="U1847" s="1" t="str">
        <f>IF($T1847="","",$T1847&amp;"|"&amp;COUNTIFS($T$7:$T1847,$T1847))</f>
        <v/>
      </c>
      <c r="V1847" s="1">
        <f t="shared" si="232"/>
        <v>0</v>
      </c>
      <c r="W1847" s="1" t="str">
        <f t="shared" si="233"/>
        <v/>
      </c>
      <c r="X1847" s="1"/>
      <c r="Y1847" s="1"/>
      <c r="Z1847" s="1"/>
      <c r="AA1847" s="1"/>
      <c r="AB1847" s="1"/>
      <c r="AC1847" s="1"/>
      <c r="AD1847" s="1">
        <f>IF($C1847="",0,SUMPRODUCT((AY_SONU!$O$7:$O$42="Evet")*(AY_SONU!$B$7:$B$42=DATE(YEAR($C1847),MONTH($C1847),1))))</f>
        <v>0</v>
      </c>
      <c r="AE1847" s="1" t="str">
        <f>IF($E1847="","",$E1847&amp;"|"&amp;COUNTIFS($E$7:$E1847,$E1847))</f>
        <v/>
      </c>
    </row>
    <row r="1848" spans="1:31" ht="18" customHeight="1" x14ac:dyDescent="0.3">
      <c r="A1848" s="2"/>
      <c r="B1848" s="65" t="str">
        <f t="shared" si="226"/>
        <v/>
      </c>
      <c r="C1848" s="66"/>
      <c r="D1848" s="60"/>
      <c r="E1848" s="61"/>
      <c r="F1848" s="61"/>
      <c r="G1848" s="67"/>
      <c r="H1848" s="60"/>
      <c r="I1848" s="60"/>
      <c r="J1848" s="61"/>
      <c r="K1848" s="61"/>
      <c r="L1848" s="60"/>
      <c r="M1848" s="74" t="str">
        <f t="shared" si="227"/>
        <v/>
      </c>
      <c r="N1848" s="74" t="str">
        <f t="shared" si="228"/>
        <v/>
      </c>
      <c r="O1848" s="73" t="str">
        <f t="shared" si="229"/>
        <v/>
      </c>
      <c r="P1848" s="65" t="str">
        <f t="shared" ca="1" si="230"/>
        <v/>
      </c>
      <c r="Q1848" s="2"/>
      <c r="R1848" s="2"/>
      <c r="S1848" s="1" t="str">
        <f t="shared" si="231"/>
        <v/>
      </c>
      <c r="T1848" s="1" t="str">
        <f>IF(OR($C1848="",$D1848&lt;&gt;"Gelir",$L1848=""),"",IFERROR(INDEX(MUSTERILER!$B$7:$B$156,MATCH($S1848,MUSTERILER!$T$7:$T$156,0)),""))</f>
        <v/>
      </c>
      <c r="U1848" s="1" t="str">
        <f>IF($T1848="","",$T1848&amp;"|"&amp;COUNTIFS($T$7:$T1848,$T1848))</f>
        <v/>
      </c>
      <c r="V1848" s="1">
        <f t="shared" si="232"/>
        <v>0</v>
      </c>
      <c r="W1848" s="1" t="str">
        <f t="shared" si="233"/>
        <v/>
      </c>
      <c r="X1848" s="1"/>
      <c r="Y1848" s="1"/>
      <c r="Z1848" s="1"/>
      <c r="AA1848" s="1"/>
      <c r="AB1848" s="1"/>
      <c r="AC1848" s="1"/>
      <c r="AD1848" s="1">
        <f>IF($C1848="",0,SUMPRODUCT((AY_SONU!$O$7:$O$42="Evet")*(AY_SONU!$B$7:$B$42=DATE(YEAR($C1848),MONTH($C1848),1))))</f>
        <v>0</v>
      </c>
      <c r="AE1848" s="1" t="str">
        <f>IF($E1848="","",$E1848&amp;"|"&amp;COUNTIFS($E$7:$E1848,$E1848))</f>
        <v/>
      </c>
    </row>
    <row r="1849" spans="1:31" ht="18" customHeight="1" x14ac:dyDescent="0.3">
      <c r="A1849" s="2"/>
      <c r="B1849" s="65" t="str">
        <f t="shared" si="226"/>
        <v/>
      </c>
      <c r="C1849" s="66"/>
      <c r="D1849" s="60"/>
      <c r="E1849" s="61"/>
      <c r="F1849" s="61"/>
      <c r="G1849" s="67"/>
      <c r="H1849" s="60"/>
      <c r="I1849" s="60"/>
      <c r="J1849" s="61"/>
      <c r="K1849" s="61"/>
      <c r="L1849" s="60"/>
      <c r="M1849" s="74" t="str">
        <f t="shared" si="227"/>
        <v/>
      </c>
      <c r="N1849" s="74" t="str">
        <f t="shared" si="228"/>
        <v/>
      </c>
      <c r="O1849" s="73" t="str">
        <f t="shared" si="229"/>
        <v/>
      </c>
      <c r="P1849" s="65" t="str">
        <f t="shared" ca="1" si="230"/>
        <v/>
      </c>
      <c r="Q1849" s="2"/>
      <c r="R1849" s="2"/>
      <c r="S1849" s="1" t="str">
        <f t="shared" si="231"/>
        <v/>
      </c>
      <c r="T1849" s="1" t="str">
        <f>IF(OR($C1849="",$D1849&lt;&gt;"Gelir",$L1849=""),"",IFERROR(INDEX(MUSTERILER!$B$7:$B$156,MATCH($S1849,MUSTERILER!$T$7:$T$156,0)),""))</f>
        <v/>
      </c>
      <c r="U1849" s="1" t="str">
        <f>IF($T1849="","",$T1849&amp;"|"&amp;COUNTIFS($T$7:$T1849,$T1849))</f>
        <v/>
      </c>
      <c r="V1849" s="1">
        <f t="shared" si="232"/>
        <v>0</v>
      </c>
      <c r="W1849" s="1" t="str">
        <f t="shared" si="233"/>
        <v/>
      </c>
      <c r="X1849" s="1"/>
      <c r="Y1849" s="1"/>
      <c r="Z1849" s="1"/>
      <c r="AA1849" s="1"/>
      <c r="AB1849" s="1"/>
      <c r="AC1849" s="1"/>
      <c r="AD1849" s="1">
        <f>IF($C1849="",0,SUMPRODUCT((AY_SONU!$O$7:$O$42="Evet")*(AY_SONU!$B$7:$B$42=DATE(YEAR($C1849),MONTH($C1849),1))))</f>
        <v>0</v>
      </c>
      <c r="AE1849" s="1" t="str">
        <f>IF($E1849="","",$E1849&amp;"|"&amp;COUNTIFS($E$7:$E1849,$E1849))</f>
        <v/>
      </c>
    </row>
    <row r="1850" spans="1:31" ht="18" customHeight="1" x14ac:dyDescent="0.3">
      <c r="A1850" s="2"/>
      <c r="B1850" s="65" t="str">
        <f t="shared" si="226"/>
        <v/>
      </c>
      <c r="C1850" s="66"/>
      <c r="D1850" s="60"/>
      <c r="E1850" s="61"/>
      <c r="F1850" s="61"/>
      <c r="G1850" s="67"/>
      <c r="H1850" s="60"/>
      <c r="I1850" s="60"/>
      <c r="J1850" s="61"/>
      <c r="K1850" s="61"/>
      <c r="L1850" s="60"/>
      <c r="M1850" s="74" t="str">
        <f t="shared" si="227"/>
        <v/>
      </c>
      <c r="N1850" s="74" t="str">
        <f t="shared" si="228"/>
        <v/>
      </c>
      <c r="O1850" s="73" t="str">
        <f t="shared" si="229"/>
        <v/>
      </c>
      <c r="P1850" s="65" t="str">
        <f t="shared" ca="1" si="230"/>
        <v/>
      </c>
      <c r="Q1850" s="2"/>
      <c r="R1850" s="2"/>
      <c r="S1850" s="1" t="str">
        <f t="shared" si="231"/>
        <v/>
      </c>
      <c r="T1850" s="1" t="str">
        <f>IF(OR($C1850="",$D1850&lt;&gt;"Gelir",$L1850=""),"",IFERROR(INDEX(MUSTERILER!$B$7:$B$156,MATCH($S1850,MUSTERILER!$T$7:$T$156,0)),""))</f>
        <v/>
      </c>
      <c r="U1850" s="1" t="str">
        <f>IF($T1850="","",$T1850&amp;"|"&amp;COUNTIFS($T$7:$T1850,$T1850))</f>
        <v/>
      </c>
      <c r="V1850" s="1">
        <f t="shared" si="232"/>
        <v>0</v>
      </c>
      <c r="W1850" s="1" t="str">
        <f t="shared" si="233"/>
        <v/>
      </c>
      <c r="X1850" s="1"/>
      <c r="Y1850" s="1"/>
      <c r="Z1850" s="1"/>
      <c r="AA1850" s="1"/>
      <c r="AB1850" s="1"/>
      <c r="AC1850" s="1"/>
      <c r="AD1850" s="1">
        <f>IF($C1850="",0,SUMPRODUCT((AY_SONU!$O$7:$O$42="Evet")*(AY_SONU!$B$7:$B$42=DATE(YEAR($C1850),MONTH($C1850),1))))</f>
        <v>0</v>
      </c>
      <c r="AE1850" s="1" t="str">
        <f>IF($E1850="","",$E1850&amp;"|"&amp;COUNTIFS($E$7:$E1850,$E1850))</f>
        <v/>
      </c>
    </row>
    <row r="1851" spans="1:31" ht="18" customHeight="1" x14ac:dyDescent="0.3">
      <c r="A1851" s="2"/>
      <c r="B1851" s="65" t="str">
        <f t="shared" si="226"/>
        <v/>
      </c>
      <c r="C1851" s="66"/>
      <c r="D1851" s="60"/>
      <c r="E1851" s="61"/>
      <c r="F1851" s="61"/>
      <c r="G1851" s="67"/>
      <c r="H1851" s="60"/>
      <c r="I1851" s="60"/>
      <c r="J1851" s="61"/>
      <c r="K1851" s="61"/>
      <c r="L1851" s="60"/>
      <c r="M1851" s="74" t="str">
        <f t="shared" si="227"/>
        <v/>
      </c>
      <c r="N1851" s="74" t="str">
        <f t="shared" si="228"/>
        <v/>
      </c>
      <c r="O1851" s="73" t="str">
        <f t="shared" si="229"/>
        <v/>
      </c>
      <c r="P1851" s="65" t="str">
        <f t="shared" ca="1" si="230"/>
        <v/>
      </c>
      <c r="Q1851" s="2"/>
      <c r="R1851" s="2"/>
      <c r="S1851" s="1" t="str">
        <f t="shared" si="231"/>
        <v/>
      </c>
      <c r="T1851" s="1" t="str">
        <f>IF(OR($C1851="",$D1851&lt;&gt;"Gelir",$L1851=""),"",IFERROR(INDEX(MUSTERILER!$B$7:$B$156,MATCH($S1851,MUSTERILER!$T$7:$T$156,0)),""))</f>
        <v/>
      </c>
      <c r="U1851" s="1" t="str">
        <f>IF($T1851="","",$T1851&amp;"|"&amp;COUNTIFS($T$7:$T1851,$T1851))</f>
        <v/>
      </c>
      <c r="V1851" s="1">
        <f t="shared" si="232"/>
        <v>0</v>
      </c>
      <c r="W1851" s="1" t="str">
        <f t="shared" si="233"/>
        <v/>
      </c>
      <c r="X1851" s="1"/>
      <c r="Y1851" s="1"/>
      <c r="Z1851" s="1"/>
      <c r="AA1851" s="1"/>
      <c r="AB1851" s="1"/>
      <c r="AC1851" s="1"/>
      <c r="AD1851" s="1">
        <f>IF($C1851="",0,SUMPRODUCT((AY_SONU!$O$7:$O$42="Evet")*(AY_SONU!$B$7:$B$42=DATE(YEAR($C1851),MONTH($C1851),1))))</f>
        <v>0</v>
      </c>
      <c r="AE1851" s="1" t="str">
        <f>IF($E1851="","",$E1851&amp;"|"&amp;COUNTIFS($E$7:$E1851,$E1851))</f>
        <v/>
      </c>
    </row>
    <row r="1852" spans="1:31" ht="18" customHeight="1" x14ac:dyDescent="0.3">
      <c r="A1852" s="2"/>
      <c r="B1852" s="65" t="str">
        <f t="shared" si="226"/>
        <v/>
      </c>
      <c r="C1852" s="66"/>
      <c r="D1852" s="60"/>
      <c r="E1852" s="61"/>
      <c r="F1852" s="61"/>
      <c r="G1852" s="67"/>
      <c r="H1852" s="60"/>
      <c r="I1852" s="60"/>
      <c r="J1852" s="61"/>
      <c r="K1852" s="61"/>
      <c r="L1852" s="60"/>
      <c r="M1852" s="74" t="str">
        <f t="shared" si="227"/>
        <v/>
      </c>
      <c r="N1852" s="74" t="str">
        <f t="shared" si="228"/>
        <v/>
      </c>
      <c r="O1852" s="73" t="str">
        <f t="shared" si="229"/>
        <v/>
      </c>
      <c r="P1852" s="65" t="str">
        <f t="shared" ca="1" si="230"/>
        <v/>
      </c>
      <c r="Q1852" s="2"/>
      <c r="R1852" s="2"/>
      <c r="S1852" s="1" t="str">
        <f t="shared" si="231"/>
        <v/>
      </c>
      <c r="T1852" s="1" t="str">
        <f>IF(OR($C1852="",$D1852&lt;&gt;"Gelir",$L1852=""),"",IFERROR(INDEX(MUSTERILER!$B$7:$B$156,MATCH($S1852,MUSTERILER!$T$7:$T$156,0)),""))</f>
        <v/>
      </c>
      <c r="U1852" s="1" t="str">
        <f>IF($T1852="","",$T1852&amp;"|"&amp;COUNTIFS($T$7:$T1852,$T1852))</f>
        <v/>
      </c>
      <c r="V1852" s="1">
        <f t="shared" si="232"/>
        <v>0</v>
      </c>
      <c r="W1852" s="1" t="str">
        <f t="shared" si="233"/>
        <v/>
      </c>
      <c r="X1852" s="1"/>
      <c r="Y1852" s="1"/>
      <c r="Z1852" s="1"/>
      <c r="AA1852" s="1"/>
      <c r="AB1852" s="1"/>
      <c r="AC1852" s="1"/>
      <c r="AD1852" s="1">
        <f>IF($C1852="",0,SUMPRODUCT((AY_SONU!$O$7:$O$42="Evet")*(AY_SONU!$B$7:$B$42=DATE(YEAR($C1852),MONTH($C1852),1))))</f>
        <v>0</v>
      </c>
      <c r="AE1852" s="1" t="str">
        <f>IF($E1852="","",$E1852&amp;"|"&amp;COUNTIFS($E$7:$E1852,$E1852))</f>
        <v/>
      </c>
    </row>
    <row r="1853" spans="1:31" ht="18" customHeight="1" x14ac:dyDescent="0.3">
      <c r="A1853" s="2"/>
      <c r="B1853" s="65" t="str">
        <f t="shared" si="226"/>
        <v/>
      </c>
      <c r="C1853" s="66"/>
      <c r="D1853" s="60"/>
      <c r="E1853" s="61"/>
      <c r="F1853" s="61"/>
      <c r="G1853" s="67"/>
      <c r="H1853" s="60"/>
      <c r="I1853" s="60"/>
      <c r="J1853" s="61"/>
      <c r="K1853" s="61"/>
      <c r="L1853" s="60"/>
      <c r="M1853" s="74" t="str">
        <f t="shared" si="227"/>
        <v/>
      </c>
      <c r="N1853" s="74" t="str">
        <f t="shared" si="228"/>
        <v/>
      </c>
      <c r="O1853" s="73" t="str">
        <f t="shared" si="229"/>
        <v/>
      </c>
      <c r="P1853" s="65" t="str">
        <f t="shared" ca="1" si="230"/>
        <v/>
      </c>
      <c r="Q1853" s="2"/>
      <c r="R1853" s="2"/>
      <c r="S1853" s="1" t="str">
        <f t="shared" si="231"/>
        <v/>
      </c>
      <c r="T1853" s="1" t="str">
        <f>IF(OR($C1853="",$D1853&lt;&gt;"Gelir",$L1853=""),"",IFERROR(INDEX(MUSTERILER!$B$7:$B$156,MATCH($S1853,MUSTERILER!$T$7:$T$156,0)),""))</f>
        <v/>
      </c>
      <c r="U1853" s="1" t="str">
        <f>IF($T1853="","",$T1853&amp;"|"&amp;COUNTIFS($T$7:$T1853,$T1853))</f>
        <v/>
      </c>
      <c r="V1853" s="1">
        <f t="shared" si="232"/>
        <v>0</v>
      </c>
      <c r="W1853" s="1" t="str">
        <f t="shared" si="233"/>
        <v/>
      </c>
      <c r="X1853" s="1"/>
      <c r="Y1853" s="1"/>
      <c r="Z1853" s="1"/>
      <c r="AA1853" s="1"/>
      <c r="AB1853" s="1"/>
      <c r="AC1853" s="1"/>
      <c r="AD1853" s="1">
        <f>IF($C1853="",0,SUMPRODUCT((AY_SONU!$O$7:$O$42="Evet")*(AY_SONU!$B$7:$B$42=DATE(YEAR($C1853),MONTH($C1853),1))))</f>
        <v>0</v>
      </c>
      <c r="AE1853" s="1" t="str">
        <f>IF($E1853="","",$E1853&amp;"|"&amp;COUNTIFS($E$7:$E1853,$E1853))</f>
        <v/>
      </c>
    </row>
    <row r="1854" spans="1:31" ht="18" customHeight="1" x14ac:dyDescent="0.3">
      <c r="A1854" s="2"/>
      <c r="B1854" s="65" t="str">
        <f t="shared" si="226"/>
        <v/>
      </c>
      <c r="C1854" s="66"/>
      <c r="D1854" s="60"/>
      <c r="E1854" s="61"/>
      <c r="F1854" s="61"/>
      <c r="G1854" s="67"/>
      <c r="H1854" s="60"/>
      <c r="I1854" s="60"/>
      <c r="J1854" s="61"/>
      <c r="K1854" s="61"/>
      <c r="L1854" s="60"/>
      <c r="M1854" s="74" t="str">
        <f t="shared" si="227"/>
        <v/>
      </c>
      <c r="N1854" s="74" t="str">
        <f t="shared" si="228"/>
        <v/>
      </c>
      <c r="O1854" s="73" t="str">
        <f t="shared" si="229"/>
        <v/>
      </c>
      <c r="P1854" s="65" t="str">
        <f t="shared" ca="1" si="230"/>
        <v/>
      </c>
      <c r="Q1854" s="2"/>
      <c r="R1854" s="2"/>
      <c r="S1854" s="1" t="str">
        <f t="shared" si="231"/>
        <v/>
      </c>
      <c r="T1854" s="1" t="str">
        <f>IF(OR($C1854="",$D1854&lt;&gt;"Gelir",$L1854=""),"",IFERROR(INDEX(MUSTERILER!$B$7:$B$156,MATCH($S1854,MUSTERILER!$T$7:$T$156,0)),""))</f>
        <v/>
      </c>
      <c r="U1854" s="1" t="str">
        <f>IF($T1854="","",$T1854&amp;"|"&amp;COUNTIFS($T$7:$T1854,$T1854))</f>
        <v/>
      </c>
      <c r="V1854" s="1">
        <f t="shared" si="232"/>
        <v>0</v>
      </c>
      <c r="W1854" s="1" t="str">
        <f t="shared" si="233"/>
        <v/>
      </c>
      <c r="X1854" s="1"/>
      <c r="Y1854" s="1"/>
      <c r="Z1854" s="1"/>
      <c r="AA1854" s="1"/>
      <c r="AB1854" s="1"/>
      <c r="AC1854" s="1"/>
      <c r="AD1854" s="1">
        <f>IF($C1854="",0,SUMPRODUCT((AY_SONU!$O$7:$O$42="Evet")*(AY_SONU!$B$7:$B$42=DATE(YEAR($C1854),MONTH($C1854),1))))</f>
        <v>0</v>
      </c>
      <c r="AE1854" s="1" t="str">
        <f>IF($E1854="","",$E1854&amp;"|"&amp;COUNTIFS($E$7:$E1854,$E1854))</f>
        <v/>
      </c>
    </row>
    <row r="1855" spans="1:31" ht="18" customHeight="1" x14ac:dyDescent="0.3">
      <c r="A1855" s="2"/>
      <c r="B1855" s="65" t="str">
        <f t="shared" si="226"/>
        <v/>
      </c>
      <c r="C1855" s="66"/>
      <c r="D1855" s="60"/>
      <c r="E1855" s="61"/>
      <c r="F1855" s="61"/>
      <c r="G1855" s="67"/>
      <c r="H1855" s="60"/>
      <c r="I1855" s="60"/>
      <c r="J1855" s="61"/>
      <c r="K1855" s="61"/>
      <c r="L1855" s="60"/>
      <c r="M1855" s="74" t="str">
        <f t="shared" si="227"/>
        <v/>
      </c>
      <c r="N1855" s="74" t="str">
        <f t="shared" si="228"/>
        <v/>
      </c>
      <c r="O1855" s="73" t="str">
        <f t="shared" si="229"/>
        <v/>
      </c>
      <c r="P1855" s="65" t="str">
        <f t="shared" ca="1" si="230"/>
        <v/>
      </c>
      <c r="Q1855" s="2"/>
      <c r="R1855" s="2"/>
      <c r="S1855" s="1" t="str">
        <f t="shared" si="231"/>
        <v/>
      </c>
      <c r="T1855" s="1" t="str">
        <f>IF(OR($C1855="",$D1855&lt;&gt;"Gelir",$L1855=""),"",IFERROR(INDEX(MUSTERILER!$B$7:$B$156,MATCH($S1855,MUSTERILER!$T$7:$T$156,0)),""))</f>
        <v/>
      </c>
      <c r="U1855" s="1" t="str">
        <f>IF($T1855="","",$T1855&amp;"|"&amp;COUNTIFS($T$7:$T1855,$T1855))</f>
        <v/>
      </c>
      <c r="V1855" s="1">
        <f t="shared" si="232"/>
        <v>0</v>
      </c>
      <c r="W1855" s="1" t="str">
        <f t="shared" si="233"/>
        <v/>
      </c>
      <c r="X1855" s="1"/>
      <c r="Y1855" s="1"/>
      <c r="Z1855" s="1"/>
      <c r="AA1855" s="1"/>
      <c r="AB1855" s="1"/>
      <c r="AC1855" s="1"/>
      <c r="AD1855" s="1">
        <f>IF($C1855="",0,SUMPRODUCT((AY_SONU!$O$7:$O$42="Evet")*(AY_SONU!$B$7:$B$42=DATE(YEAR($C1855),MONTH($C1855),1))))</f>
        <v>0</v>
      </c>
      <c r="AE1855" s="1" t="str">
        <f>IF($E1855="","",$E1855&amp;"|"&amp;COUNTIFS($E$7:$E1855,$E1855))</f>
        <v/>
      </c>
    </row>
    <row r="1856" spans="1:31" ht="18" customHeight="1" x14ac:dyDescent="0.3">
      <c r="A1856" s="2"/>
      <c r="B1856" s="65" t="str">
        <f t="shared" si="226"/>
        <v/>
      </c>
      <c r="C1856" s="66"/>
      <c r="D1856" s="60"/>
      <c r="E1856" s="61"/>
      <c r="F1856" s="61"/>
      <c r="G1856" s="67"/>
      <c r="H1856" s="60"/>
      <c r="I1856" s="60"/>
      <c r="J1856" s="61"/>
      <c r="K1856" s="61"/>
      <c r="L1856" s="60"/>
      <c r="M1856" s="74" t="str">
        <f t="shared" si="227"/>
        <v/>
      </c>
      <c r="N1856" s="74" t="str">
        <f t="shared" si="228"/>
        <v/>
      </c>
      <c r="O1856" s="73" t="str">
        <f t="shared" si="229"/>
        <v/>
      </c>
      <c r="P1856" s="65" t="str">
        <f t="shared" ca="1" si="230"/>
        <v/>
      </c>
      <c r="Q1856" s="2"/>
      <c r="R1856" s="2"/>
      <c r="S1856" s="1" t="str">
        <f t="shared" si="231"/>
        <v/>
      </c>
      <c r="T1856" s="1" t="str">
        <f>IF(OR($C1856="",$D1856&lt;&gt;"Gelir",$L1856=""),"",IFERROR(INDEX(MUSTERILER!$B$7:$B$156,MATCH($S1856,MUSTERILER!$T$7:$T$156,0)),""))</f>
        <v/>
      </c>
      <c r="U1856" s="1" t="str">
        <f>IF($T1856="","",$T1856&amp;"|"&amp;COUNTIFS($T$7:$T1856,$T1856))</f>
        <v/>
      </c>
      <c r="V1856" s="1">
        <f t="shared" si="232"/>
        <v>0</v>
      </c>
      <c r="W1856" s="1" t="str">
        <f t="shared" si="233"/>
        <v/>
      </c>
      <c r="X1856" s="1"/>
      <c r="Y1856" s="1"/>
      <c r="Z1856" s="1"/>
      <c r="AA1856" s="1"/>
      <c r="AB1856" s="1"/>
      <c r="AC1856" s="1"/>
      <c r="AD1856" s="1">
        <f>IF($C1856="",0,SUMPRODUCT((AY_SONU!$O$7:$O$42="Evet")*(AY_SONU!$B$7:$B$42=DATE(YEAR($C1856),MONTH($C1856),1))))</f>
        <v>0</v>
      </c>
      <c r="AE1856" s="1" t="str">
        <f>IF($E1856="","",$E1856&amp;"|"&amp;COUNTIFS($E$7:$E1856,$E1856))</f>
        <v/>
      </c>
    </row>
    <row r="1857" spans="1:31" ht="18" customHeight="1" x14ac:dyDescent="0.3">
      <c r="A1857" s="2"/>
      <c r="B1857" s="65" t="str">
        <f t="shared" si="226"/>
        <v/>
      </c>
      <c r="C1857" s="66"/>
      <c r="D1857" s="60"/>
      <c r="E1857" s="61"/>
      <c r="F1857" s="61"/>
      <c r="G1857" s="67"/>
      <c r="H1857" s="60"/>
      <c r="I1857" s="60"/>
      <c r="J1857" s="61"/>
      <c r="K1857" s="61"/>
      <c r="L1857" s="60"/>
      <c r="M1857" s="74" t="str">
        <f t="shared" si="227"/>
        <v/>
      </c>
      <c r="N1857" s="74" t="str">
        <f t="shared" si="228"/>
        <v/>
      </c>
      <c r="O1857" s="73" t="str">
        <f t="shared" si="229"/>
        <v/>
      </c>
      <c r="P1857" s="65" t="str">
        <f t="shared" ca="1" si="230"/>
        <v/>
      </c>
      <c r="Q1857" s="2"/>
      <c r="R1857" s="2"/>
      <c r="S1857" s="1" t="str">
        <f t="shared" si="231"/>
        <v/>
      </c>
      <c r="T1857" s="1" t="str">
        <f>IF(OR($C1857="",$D1857&lt;&gt;"Gelir",$L1857=""),"",IFERROR(INDEX(MUSTERILER!$B$7:$B$156,MATCH($S1857,MUSTERILER!$T$7:$T$156,0)),""))</f>
        <v/>
      </c>
      <c r="U1857" s="1" t="str">
        <f>IF($T1857="","",$T1857&amp;"|"&amp;COUNTIFS($T$7:$T1857,$T1857))</f>
        <v/>
      </c>
      <c r="V1857" s="1">
        <f t="shared" si="232"/>
        <v>0</v>
      </c>
      <c r="W1857" s="1" t="str">
        <f t="shared" si="233"/>
        <v/>
      </c>
      <c r="X1857" s="1"/>
      <c r="Y1857" s="1"/>
      <c r="Z1857" s="1"/>
      <c r="AA1857" s="1"/>
      <c r="AB1857" s="1"/>
      <c r="AC1857" s="1"/>
      <c r="AD1857" s="1">
        <f>IF($C1857="",0,SUMPRODUCT((AY_SONU!$O$7:$O$42="Evet")*(AY_SONU!$B$7:$B$42=DATE(YEAR($C1857),MONTH($C1857),1))))</f>
        <v>0</v>
      </c>
      <c r="AE1857" s="1" t="str">
        <f>IF($E1857="","",$E1857&amp;"|"&amp;COUNTIFS($E$7:$E1857,$E1857))</f>
        <v/>
      </c>
    </row>
    <row r="1858" spans="1:31" ht="18" customHeight="1" x14ac:dyDescent="0.3">
      <c r="A1858" s="2"/>
      <c r="B1858" s="65" t="str">
        <f t="shared" si="226"/>
        <v/>
      </c>
      <c r="C1858" s="66"/>
      <c r="D1858" s="60"/>
      <c r="E1858" s="61"/>
      <c r="F1858" s="61"/>
      <c r="G1858" s="67"/>
      <c r="H1858" s="60"/>
      <c r="I1858" s="60"/>
      <c r="J1858" s="61"/>
      <c r="K1858" s="61"/>
      <c r="L1858" s="60"/>
      <c r="M1858" s="74" t="str">
        <f t="shared" si="227"/>
        <v/>
      </c>
      <c r="N1858" s="74" t="str">
        <f t="shared" si="228"/>
        <v/>
      </c>
      <c r="O1858" s="73" t="str">
        <f t="shared" si="229"/>
        <v/>
      </c>
      <c r="P1858" s="65" t="str">
        <f t="shared" ca="1" si="230"/>
        <v/>
      </c>
      <c r="Q1858" s="2"/>
      <c r="R1858" s="2"/>
      <c r="S1858" s="1" t="str">
        <f t="shared" si="231"/>
        <v/>
      </c>
      <c r="T1858" s="1" t="str">
        <f>IF(OR($C1858="",$D1858&lt;&gt;"Gelir",$L1858=""),"",IFERROR(INDEX(MUSTERILER!$B$7:$B$156,MATCH($S1858,MUSTERILER!$T$7:$T$156,0)),""))</f>
        <v/>
      </c>
      <c r="U1858" s="1" t="str">
        <f>IF($T1858="","",$T1858&amp;"|"&amp;COUNTIFS($T$7:$T1858,$T1858))</f>
        <v/>
      </c>
      <c r="V1858" s="1">
        <f t="shared" si="232"/>
        <v>0</v>
      </c>
      <c r="W1858" s="1" t="str">
        <f t="shared" si="233"/>
        <v/>
      </c>
      <c r="X1858" s="1"/>
      <c r="Y1858" s="1"/>
      <c r="Z1858" s="1"/>
      <c r="AA1858" s="1"/>
      <c r="AB1858" s="1"/>
      <c r="AC1858" s="1"/>
      <c r="AD1858" s="1">
        <f>IF($C1858="",0,SUMPRODUCT((AY_SONU!$O$7:$O$42="Evet")*(AY_SONU!$B$7:$B$42=DATE(YEAR($C1858),MONTH($C1858),1))))</f>
        <v>0</v>
      </c>
      <c r="AE1858" s="1" t="str">
        <f>IF($E1858="","",$E1858&amp;"|"&amp;COUNTIFS($E$7:$E1858,$E1858))</f>
        <v/>
      </c>
    </row>
    <row r="1859" spans="1:31" ht="18" customHeight="1" x14ac:dyDescent="0.3">
      <c r="A1859" s="2"/>
      <c r="B1859" s="65" t="str">
        <f t="shared" si="226"/>
        <v/>
      </c>
      <c r="C1859" s="66"/>
      <c r="D1859" s="60"/>
      <c r="E1859" s="61"/>
      <c r="F1859" s="61"/>
      <c r="G1859" s="67"/>
      <c r="H1859" s="60"/>
      <c r="I1859" s="60"/>
      <c r="J1859" s="61"/>
      <c r="K1859" s="61"/>
      <c r="L1859" s="60"/>
      <c r="M1859" s="74" t="str">
        <f t="shared" si="227"/>
        <v/>
      </c>
      <c r="N1859" s="74" t="str">
        <f t="shared" si="228"/>
        <v/>
      </c>
      <c r="O1859" s="73" t="str">
        <f t="shared" si="229"/>
        <v/>
      </c>
      <c r="P1859" s="65" t="str">
        <f t="shared" ca="1" si="230"/>
        <v/>
      </c>
      <c r="Q1859" s="2"/>
      <c r="R1859" s="2"/>
      <c r="S1859" s="1" t="str">
        <f t="shared" si="231"/>
        <v/>
      </c>
      <c r="T1859" s="1" t="str">
        <f>IF(OR($C1859="",$D1859&lt;&gt;"Gelir",$L1859=""),"",IFERROR(INDEX(MUSTERILER!$B$7:$B$156,MATCH($S1859,MUSTERILER!$T$7:$T$156,0)),""))</f>
        <v/>
      </c>
      <c r="U1859" s="1" t="str">
        <f>IF($T1859="","",$T1859&amp;"|"&amp;COUNTIFS($T$7:$T1859,$T1859))</f>
        <v/>
      </c>
      <c r="V1859" s="1">
        <f t="shared" si="232"/>
        <v>0</v>
      </c>
      <c r="W1859" s="1" t="str">
        <f t="shared" si="233"/>
        <v/>
      </c>
      <c r="X1859" s="1"/>
      <c r="Y1859" s="1"/>
      <c r="Z1859" s="1"/>
      <c r="AA1859" s="1"/>
      <c r="AB1859" s="1"/>
      <c r="AC1859" s="1"/>
      <c r="AD1859" s="1">
        <f>IF($C1859="",0,SUMPRODUCT((AY_SONU!$O$7:$O$42="Evet")*(AY_SONU!$B$7:$B$42=DATE(YEAR($C1859),MONTH($C1859),1))))</f>
        <v>0</v>
      </c>
      <c r="AE1859" s="1" t="str">
        <f>IF($E1859="","",$E1859&amp;"|"&amp;COUNTIFS($E$7:$E1859,$E1859))</f>
        <v/>
      </c>
    </row>
    <row r="1860" spans="1:31" ht="18" customHeight="1" x14ac:dyDescent="0.3">
      <c r="A1860" s="2"/>
      <c r="B1860" s="65" t="str">
        <f t="shared" si="226"/>
        <v/>
      </c>
      <c r="C1860" s="66"/>
      <c r="D1860" s="60"/>
      <c r="E1860" s="61"/>
      <c r="F1860" s="61"/>
      <c r="G1860" s="67"/>
      <c r="H1860" s="60"/>
      <c r="I1860" s="60"/>
      <c r="J1860" s="61"/>
      <c r="K1860" s="61"/>
      <c r="L1860" s="60"/>
      <c r="M1860" s="74" t="str">
        <f t="shared" si="227"/>
        <v/>
      </c>
      <c r="N1860" s="74" t="str">
        <f t="shared" si="228"/>
        <v/>
      </c>
      <c r="O1860" s="73" t="str">
        <f t="shared" si="229"/>
        <v/>
      </c>
      <c r="P1860" s="65" t="str">
        <f t="shared" ca="1" si="230"/>
        <v/>
      </c>
      <c r="Q1860" s="2"/>
      <c r="R1860" s="2"/>
      <c r="S1860" s="1" t="str">
        <f t="shared" si="231"/>
        <v/>
      </c>
      <c r="T1860" s="1" t="str">
        <f>IF(OR($C1860="",$D1860&lt;&gt;"Gelir",$L1860=""),"",IFERROR(INDEX(MUSTERILER!$B$7:$B$156,MATCH($S1860,MUSTERILER!$T$7:$T$156,0)),""))</f>
        <v/>
      </c>
      <c r="U1860" s="1" t="str">
        <f>IF($T1860="","",$T1860&amp;"|"&amp;COUNTIFS($T$7:$T1860,$T1860))</f>
        <v/>
      </c>
      <c r="V1860" s="1">
        <f t="shared" si="232"/>
        <v>0</v>
      </c>
      <c r="W1860" s="1" t="str">
        <f t="shared" si="233"/>
        <v/>
      </c>
      <c r="X1860" s="1"/>
      <c r="Y1860" s="1"/>
      <c r="Z1860" s="1"/>
      <c r="AA1860" s="1"/>
      <c r="AB1860" s="1"/>
      <c r="AC1860" s="1"/>
      <c r="AD1860" s="1">
        <f>IF($C1860="",0,SUMPRODUCT((AY_SONU!$O$7:$O$42="Evet")*(AY_SONU!$B$7:$B$42=DATE(YEAR($C1860),MONTH($C1860),1))))</f>
        <v>0</v>
      </c>
      <c r="AE1860" s="1" t="str">
        <f>IF($E1860="","",$E1860&amp;"|"&amp;COUNTIFS($E$7:$E1860,$E1860))</f>
        <v/>
      </c>
    </row>
    <row r="1861" spans="1:31" ht="18" customHeight="1" x14ac:dyDescent="0.3">
      <c r="A1861" s="2"/>
      <c r="B1861" s="65" t="str">
        <f t="shared" si="226"/>
        <v/>
      </c>
      <c r="C1861" s="66"/>
      <c r="D1861" s="60"/>
      <c r="E1861" s="61"/>
      <c r="F1861" s="61"/>
      <c r="G1861" s="67"/>
      <c r="H1861" s="60"/>
      <c r="I1861" s="60"/>
      <c r="J1861" s="61"/>
      <c r="K1861" s="61"/>
      <c r="L1861" s="60"/>
      <c r="M1861" s="74" t="str">
        <f t="shared" si="227"/>
        <v/>
      </c>
      <c r="N1861" s="74" t="str">
        <f t="shared" si="228"/>
        <v/>
      </c>
      <c r="O1861" s="73" t="str">
        <f t="shared" si="229"/>
        <v/>
      </c>
      <c r="P1861" s="65" t="str">
        <f t="shared" ca="1" si="230"/>
        <v/>
      </c>
      <c r="Q1861" s="2"/>
      <c r="R1861" s="2"/>
      <c r="S1861" s="1" t="str">
        <f t="shared" si="231"/>
        <v/>
      </c>
      <c r="T1861" s="1" t="str">
        <f>IF(OR($C1861="",$D1861&lt;&gt;"Gelir",$L1861=""),"",IFERROR(INDEX(MUSTERILER!$B$7:$B$156,MATCH($S1861,MUSTERILER!$T$7:$T$156,0)),""))</f>
        <v/>
      </c>
      <c r="U1861" s="1" t="str">
        <f>IF($T1861="","",$T1861&amp;"|"&amp;COUNTIFS($T$7:$T1861,$T1861))</f>
        <v/>
      </c>
      <c r="V1861" s="1">
        <f t="shared" si="232"/>
        <v>0</v>
      </c>
      <c r="W1861" s="1" t="str">
        <f t="shared" si="233"/>
        <v/>
      </c>
      <c r="X1861" s="1"/>
      <c r="Y1861" s="1"/>
      <c r="Z1861" s="1"/>
      <c r="AA1861" s="1"/>
      <c r="AB1861" s="1"/>
      <c r="AC1861" s="1"/>
      <c r="AD1861" s="1">
        <f>IF($C1861="",0,SUMPRODUCT((AY_SONU!$O$7:$O$42="Evet")*(AY_SONU!$B$7:$B$42=DATE(YEAR($C1861),MONTH($C1861),1))))</f>
        <v>0</v>
      </c>
      <c r="AE1861" s="1" t="str">
        <f>IF($E1861="","",$E1861&amp;"|"&amp;COUNTIFS($E$7:$E1861,$E1861))</f>
        <v/>
      </c>
    </row>
    <row r="1862" spans="1:31" ht="18" customHeight="1" x14ac:dyDescent="0.3">
      <c r="A1862" s="2"/>
      <c r="B1862" s="65" t="str">
        <f t="shared" si="226"/>
        <v/>
      </c>
      <c r="C1862" s="66"/>
      <c r="D1862" s="60"/>
      <c r="E1862" s="61"/>
      <c r="F1862" s="61"/>
      <c r="G1862" s="67"/>
      <c r="H1862" s="60"/>
      <c r="I1862" s="60"/>
      <c r="J1862" s="61"/>
      <c r="K1862" s="61"/>
      <c r="L1862" s="60"/>
      <c r="M1862" s="74" t="str">
        <f t="shared" si="227"/>
        <v/>
      </c>
      <c r="N1862" s="74" t="str">
        <f t="shared" si="228"/>
        <v/>
      </c>
      <c r="O1862" s="73" t="str">
        <f t="shared" si="229"/>
        <v/>
      </c>
      <c r="P1862" s="65" t="str">
        <f t="shared" ca="1" si="230"/>
        <v/>
      </c>
      <c r="Q1862" s="2"/>
      <c r="R1862" s="2"/>
      <c r="S1862" s="1" t="str">
        <f t="shared" si="231"/>
        <v/>
      </c>
      <c r="T1862" s="1" t="str">
        <f>IF(OR($C1862="",$D1862&lt;&gt;"Gelir",$L1862=""),"",IFERROR(INDEX(MUSTERILER!$B$7:$B$156,MATCH($S1862,MUSTERILER!$T$7:$T$156,0)),""))</f>
        <v/>
      </c>
      <c r="U1862" s="1" t="str">
        <f>IF($T1862="","",$T1862&amp;"|"&amp;COUNTIFS($T$7:$T1862,$T1862))</f>
        <v/>
      </c>
      <c r="V1862" s="1">
        <f t="shared" si="232"/>
        <v>0</v>
      </c>
      <c r="W1862" s="1" t="str">
        <f t="shared" si="233"/>
        <v/>
      </c>
      <c r="X1862" s="1"/>
      <c r="Y1862" s="1"/>
      <c r="Z1862" s="1"/>
      <c r="AA1862" s="1"/>
      <c r="AB1862" s="1"/>
      <c r="AC1862" s="1"/>
      <c r="AD1862" s="1">
        <f>IF($C1862="",0,SUMPRODUCT((AY_SONU!$O$7:$O$42="Evet")*(AY_SONU!$B$7:$B$42=DATE(YEAR($C1862),MONTH($C1862),1))))</f>
        <v>0</v>
      </c>
      <c r="AE1862" s="1" t="str">
        <f>IF($E1862="","",$E1862&amp;"|"&amp;COUNTIFS($E$7:$E1862,$E1862))</f>
        <v/>
      </c>
    </row>
    <row r="1863" spans="1:31" ht="18" customHeight="1" x14ac:dyDescent="0.3">
      <c r="A1863" s="2"/>
      <c r="B1863" s="65" t="str">
        <f t="shared" ref="B1863:B1926" si="234">IF($C1863="","","GG"&amp;TEXT(ROW()-6,"00000"))</f>
        <v/>
      </c>
      <c r="C1863" s="66"/>
      <c r="D1863" s="60"/>
      <c r="E1863" s="61"/>
      <c r="F1863" s="61"/>
      <c r="G1863" s="67"/>
      <c r="H1863" s="60"/>
      <c r="I1863" s="60"/>
      <c r="J1863" s="61"/>
      <c r="K1863" s="61"/>
      <c r="L1863" s="60"/>
      <c r="M1863" s="74" t="str">
        <f t="shared" ref="M1863:M1926" si="235">IF($C1863="","",IF($D1863="Gider",$E1863,IF($L1863&lt;&gt;"",$L1863,$H1863)))</f>
        <v/>
      </c>
      <c r="N1863" s="74" t="str">
        <f t="shared" ref="N1863:N1926" si="236">IF($C1863="","",IF($D1863="Gider",$H1863,$E1863))</f>
        <v/>
      </c>
      <c r="O1863" s="73" t="str">
        <f t="shared" ref="O1863:O1926" si="237">IF($C1863="","",DATE(YEAR($C1863),MONTH($C1863),1))</f>
        <v/>
      </c>
      <c r="P1863" s="65" t="str">
        <f t="shared" ref="P1863:P1926" ca="1" si="238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TARİH",IF(COUNTIF($W$7:$W$3006,$W1863)&gt;1,"MÜKERRER?",IF($AD1863&gt;0,"KAPALI DÖNEM",IF($I1863="Hayır","ÖDENECEK","UYGUN")))),"EKSİK"))))</f>
        <v/>
      </c>
      <c r="Q1863" s="2"/>
      <c r="R1863" s="2"/>
      <c r="S1863" s="1" t="str">
        <f t="shared" ref="S1863:S1926" si="239"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1" t="str">
        <f>IF(OR($C1863="",$D1863&lt;&gt;"Gelir",$L1863=""),"",IFERROR(INDEX(MUSTERILER!$B$7:$B$156,MATCH($S1863,MUSTERILER!$T$7:$T$156,0)),""))</f>
        <v/>
      </c>
      <c r="U1863" s="1" t="str">
        <f>IF($T1863="","",$T1863&amp;"|"&amp;COUNTIFS($T$7:$T1863,$T1863))</f>
        <v/>
      </c>
      <c r="V1863" s="1">
        <f t="shared" ref="V1863:V1926" si="240">IF($T1863="",0,1)</f>
        <v>0</v>
      </c>
      <c r="W1863" s="1" t="str">
        <f t="shared" ref="W1863:W1926" si="241">IF($C1863="","",$D1863&amp;"|"&amp;$E1863&amp;"|"&amp;TEXT($C1863,"0")&amp;"|"&amp;TEXT($G1863,"0")&amp;"|"&amp;$J1863)</f>
        <v/>
      </c>
      <c r="X1863" s="1"/>
      <c r="Y1863" s="1"/>
      <c r="Z1863" s="1"/>
      <c r="AA1863" s="1"/>
      <c r="AB1863" s="1"/>
      <c r="AC1863" s="1"/>
      <c r="AD1863" s="1">
        <f>IF($C1863="",0,SUMPRODUCT((AY_SONU!$O$7:$O$42="Evet")*(AY_SONU!$B$7:$B$42=DATE(YEAR($C1863),MONTH($C1863),1))))</f>
        <v>0</v>
      </c>
      <c r="AE1863" s="1" t="str">
        <f>IF($E1863="","",$E1863&amp;"|"&amp;COUNTIFS($E$7:$E1863,$E1863))</f>
        <v/>
      </c>
    </row>
    <row r="1864" spans="1:31" ht="18" customHeight="1" x14ac:dyDescent="0.3">
      <c r="A1864" s="2"/>
      <c r="B1864" s="65" t="str">
        <f t="shared" si="234"/>
        <v/>
      </c>
      <c r="C1864" s="66"/>
      <c r="D1864" s="60"/>
      <c r="E1864" s="61"/>
      <c r="F1864" s="61"/>
      <c r="G1864" s="67"/>
      <c r="H1864" s="60"/>
      <c r="I1864" s="60"/>
      <c r="J1864" s="61"/>
      <c r="K1864" s="61"/>
      <c r="L1864" s="60"/>
      <c r="M1864" s="74" t="str">
        <f t="shared" si="235"/>
        <v/>
      </c>
      <c r="N1864" s="74" t="str">
        <f t="shared" si="236"/>
        <v/>
      </c>
      <c r="O1864" s="73" t="str">
        <f t="shared" si="237"/>
        <v/>
      </c>
      <c r="P1864" s="65" t="str">
        <f t="shared" ca="1" si="238"/>
        <v/>
      </c>
      <c r="Q1864" s="2"/>
      <c r="R1864" s="2"/>
      <c r="S1864" s="1" t="str">
        <f t="shared" si="239"/>
        <v/>
      </c>
      <c r="T1864" s="1" t="str">
        <f>IF(OR($C1864="",$D1864&lt;&gt;"Gelir",$L1864=""),"",IFERROR(INDEX(MUSTERILER!$B$7:$B$156,MATCH($S1864,MUSTERILER!$T$7:$T$156,0)),""))</f>
        <v/>
      </c>
      <c r="U1864" s="1" t="str">
        <f>IF($T1864="","",$T1864&amp;"|"&amp;COUNTIFS($T$7:$T1864,$T1864))</f>
        <v/>
      </c>
      <c r="V1864" s="1">
        <f t="shared" si="240"/>
        <v>0</v>
      </c>
      <c r="W1864" s="1" t="str">
        <f t="shared" si="241"/>
        <v/>
      </c>
      <c r="X1864" s="1"/>
      <c r="Y1864" s="1"/>
      <c r="Z1864" s="1"/>
      <c r="AA1864" s="1"/>
      <c r="AB1864" s="1"/>
      <c r="AC1864" s="1"/>
      <c r="AD1864" s="1">
        <f>IF($C1864="",0,SUMPRODUCT((AY_SONU!$O$7:$O$42="Evet")*(AY_SONU!$B$7:$B$42=DATE(YEAR($C1864),MONTH($C1864),1))))</f>
        <v>0</v>
      </c>
      <c r="AE1864" s="1" t="str">
        <f>IF($E1864="","",$E1864&amp;"|"&amp;COUNTIFS($E$7:$E1864,$E1864))</f>
        <v/>
      </c>
    </row>
    <row r="1865" spans="1:31" ht="18" customHeight="1" x14ac:dyDescent="0.3">
      <c r="A1865" s="2"/>
      <c r="B1865" s="65" t="str">
        <f t="shared" si="234"/>
        <v/>
      </c>
      <c r="C1865" s="66"/>
      <c r="D1865" s="60"/>
      <c r="E1865" s="61"/>
      <c r="F1865" s="61"/>
      <c r="G1865" s="67"/>
      <c r="H1865" s="60"/>
      <c r="I1865" s="60"/>
      <c r="J1865" s="61"/>
      <c r="K1865" s="61"/>
      <c r="L1865" s="60"/>
      <c r="M1865" s="74" t="str">
        <f t="shared" si="235"/>
        <v/>
      </c>
      <c r="N1865" s="74" t="str">
        <f t="shared" si="236"/>
        <v/>
      </c>
      <c r="O1865" s="73" t="str">
        <f t="shared" si="237"/>
        <v/>
      </c>
      <c r="P1865" s="65" t="str">
        <f t="shared" ca="1" si="238"/>
        <v/>
      </c>
      <c r="Q1865" s="2"/>
      <c r="R1865" s="2"/>
      <c r="S1865" s="1" t="str">
        <f t="shared" si="239"/>
        <v/>
      </c>
      <c r="T1865" s="1" t="str">
        <f>IF(OR($C1865="",$D1865&lt;&gt;"Gelir",$L1865=""),"",IFERROR(INDEX(MUSTERILER!$B$7:$B$156,MATCH($S1865,MUSTERILER!$T$7:$T$156,0)),""))</f>
        <v/>
      </c>
      <c r="U1865" s="1" t="str">
        <f>IF($T1865="","",$T1865&amp;"|"&amp;COUNTIFS($T$7:$T1865,$T1865))</f>
        <v/>
      </c>
      <c r="V1865" s="1">
        <f t="shared" si="240"/>
        <v>0</v>
      </c>
      <c r="W1865" s="1" t="str">
        <f t="shared" si="241"/>
        <v/>
      </c>
      <c r="X1865" s="1"/>
      <c r="Y1865" s="1"/>
      <c r="Z1865" s="1"/>
      <c r="AA1865" s="1"/>
      <c r="AB1865" s="1"/>
      <c r="AC1865" s="1"/>
      <c r="AD1865" s="1">
        <f>IF($C1865="",0,SUMPRODUCT((AY_SONU!$O$7:$O$42="Evet")*(AY_SONU!$B$7:$B$42=DATE(YEAR($C1865),MONTH($C1865),1))))</f>
        <v>0</v>
      </c>
      <c r="AE1865" s="1" t="str">
        <f>IF($E1865="","",$E1865&amp;"|"&amp;COUNTIFS($E$7:$E1865,$E1865))</f>
        <v/>
      </c>
    </row>
    <row r="1866" spans="1:31" ht="18" customHeight="1" x14ac:dyDescent="0.3">
      <c r="A1866" s="2"/>
      <c r="B1866" s="65" t="str">
        <f t="shared" si="234"/>
        <v/>
      </c>
      <c r="C1866" s="66"/>
      <c r="D1866" s="60"/>
      <c r="E1866" s="61"/>
      <c r="F1866" s="61"/>
      <c r="G1866" s="67"/>
      <c r="H1866" s="60"/>
      <c r="I1866" s="60"/>
      <c r="J1866" s="61"/>
      <c r="K1866" s="61"/>
      <c r="L1866" s="60"/>
      <c r="M1866" s="74" t="str">
        <f t="shared" si="235"/>
        <v/>
      </c>
      <c r="N1866" s="74" t="str">
        <f t="shared" si="236"/>
        <v/>
      </c>
      <c r="O1866" s="73" t="str">
        <f t="shared" si="237"/>
        <v/>
      </c>
      <c r="P1866" s="65" t="str">
        <f t="shared" ca="1" si="238"/>
        <v/>
      </c>
      <c r="Q1866" s="2"/>
      <c r="R1866" s="2"/>
      <c r="S1866" s="1" t="str">
        <f t="shared" si="239"/>
        <v/>
      </c>
      <c r="T1866" s="1" t="str">
        <f>IF(OR($C1866="",$D1866&lt;&gt;"Gelir",$L1866=""),"",IFERROR(INDEX(MUSTERILER!$B$7:$B$156,MATCH($S1866,MUSTERILER!$T$7:$T$156,0)),""))</f>
        <v/>
      </c>
      <c r="U1866" s="1" t="str">
        <f>IF($T1866="","",$T1866&amp;"|"&amp;COUNTIFS($T$7:$T1866,$T1866))</f>
        <v/>
      </c>
      <c r="V1866" s="1">
        <f t="shared" si="240"/>
        <v>0</v>
      </c>
      <c r="W1866" s="1" t="str">
        <f t="shared" si="241"/>
        <v/>
      </c>
      <c r="X1866" s="1"/>
      <c r="Y1866" s="1"/>
      <c r="Z1866" s="1"/>
      <c r="AA1866" s="1"/>
      <c r="AB1866" s="1"/>
      <c r="AC1866" s="1"/>
      <c r="AD1866" s="1">
        <f>IF($C1866="",0,SUMPRODUCT((AY_SONU!$O$7:$O$42="Evet")*(AY_SONU!$B$7:$B$42=DATE(YEAR($C1866),MONTH($C1866),1))))</f>
        <v>0</v>
      </c>
      <c r="AE1866" s="1" t="str">
        <f>IF($E1866="","",$E1866&amp;"|"&amp;COUNTIFS($E$7:$E1866,$E1866))</f>
        <v/>
      </c>
    </row>
    <row r="1867" spans="1:31" ht="18" customHeight="1" x14ac:dyDescent="0.3">
      <c r="A1867" s="2"/>
      <c r="B1867" s="65" t="str">
        <f t="shared" si="234"/>
        <v/>
      </c>
      <c r="C1867" s="66"/>
      <c r="D1867" s="60"/>
      <c r="E1867" s="61"/>
      <c r="F1867" s="61"/>
      <c r="G1867" s="67"/>
      <c r="H1867" s="60"/>
      <c r="I1867" s="60"/>
      <c r="J1867" s="61"/>
      <c r="K1867" s="61"/>
      <c r="L1867" s="60"/>
      <c r="M1867" s="74" t="str">
        <f t="shared" si="235"/>
        <v/>
      </c>
      <c r="N1867" s="74" t="str">
        <f t="shared" si="236"/>
        <v/>
      </c>
      <c r="O1867" s="73" t="str">
        <f t="shared" si="237"/>
        <v/>
      </c>
      <c r="P1867" s="65" t="str">
        <f t="shared" ca="1" si="238"/>
        <v/>
      </c>
      <c r="Q1867" s="2"/>
      <c r="R1867" s="2"/>
      <c r="S1867" s="1" t="str">
        <f t="shared" si="239"/>
        <v/>
      </c>
      <c r="T1867" s="1" t="str">
        <f>IF(OR($C1867="",$D1867&lt;&gt;"Gelir",$L1867=""),"",IFERROR(INDEX(MUSTERILER!$B$7:$B$156,MATCH($S1867,MUSTERILER!$T$7:$T$156,0)),""))</f>
        <v/>
      </c>
      <c r="U1867" s="1" t="str">
        <f>IF($T1867="","",$T1867&amp;"|"&amp;COUNTIFS($T$7:$T1867,$T1867))</f>
        <v/>
      </c>
      <c r="V1867" s="1">
        <f t="shared" si="240"/>
        <v>0</v>
      </c>
      <c r="W1867" s="1" t="str">
        <f t="shared" si="241"/>
        <v/>
      </c>
      <c r="X1867" s="1"/>
      <c r="Y1867" s="1"/>
      <c r="Z1867" s="1"/>
      <c r="AA1867" s="1"/>
      <c r="AB1867" s="1"/>
      <c r="AC1867" s="1"/>
      <c r="AD1867" s="1">
        <f>IF($C1867="",0,SUMPRODUCT((AY_SONU!$O$7:$O$42="Evet")*(AY_SONU!$B$7:$B$42=DATE(YEAR($C1867),MONTH($C1867),1))))</f>
        <v>0</v>
      </c>
      <c r="AE1867" s="1" t="str">
        <f>IF($E1867="","",$E1867&amp;"|"&amp;COUNTIFS($E$7:$E1867,$E1867))</f>
        <v/>
      </c>
    </row>
    <row r="1868" spans="1:31" ht="18" customHeight="1" x14ac:dyDescent="0.3">
      <c r="A1868" s="2"/>
      <c r="B1868" s="65" t="str">
        <f t="shared" si="234"/>
        <v/>
      </c>
      <c r="C1868" s="66"/>
      <c r="D1868" s="60"/>
      <c r="E1868" s="61"/>
      <c r="F1868" s="61"/>
      <c r="G1868" s="67"/>
      <c r="H1868" s="60"/>
      <c r="I1868" s="60"/>
      <c r="J1868" s="61"/>
      <c r="K1868" s="61"/>
      <c r="L1868" s="60"/>
      <c r="M1868" s="74" t="str">
        <f t="shared" si="235"/>
        <v/>
      </c>
      <c r="N1868" s="74" t="str">
        <f t="shared" si="236"/>
        <v/>
      </c>
      <c r="O1868" s="73" t="str">
        <f t="shared" si="237"/>
        <v/>
      </c>
      <c r="P1868" s="65" t="str">
        <f t="shared" ca="1" si="238"/>
        <v/>
      </c>
      <c r="Q1868" s="2"/>
      <c r="R1868" s="2"/>
      <c r="S1868" s="1" t="str">
        <f t="shared" si="239"/>
        <v/>
      </c>
      <c r="T1868" s="1" t="str">
        <f>IF(OR($C1868="",$D1868&lt;&gt;"Gelir",$L1868=""),"",IFERROR(INDEX(MUSTERILER!$B$7:$B$156,MATCH($S1868,MUSTERILER!$T$7:$T$156,0)),""))</f>
        <v/>
      </c>
      <c r="U1868" s="1" t="str">
        <f>IF($T1868="","",$T1868&amp;"|"&amp;COUNTIFS($T$7:$T1868,$T1868))</f>
        <v/>
      </c>
      <c r="V1868" s="1">
        <f t="shared" si="240"/>
        <v>0</v>
      </c>
      <c r="W1868" s="1" t="str">
        <f t="shared" si="241"/>
        <v/>
      </c>
      <c r="X1868" s="1"/>
      <c r="Y1868" s="1"/>
      <c r="Z1868" s="1"/>
      <c r="AA1868" s="1"/>
      <c r="AB1868" s="1"/>
      <c r="AC1868" s="1"/>
      <c r="AD1868" s="1">
        <f>IF($C1868="",0,SUMPRODUCT((AY_SONU!$O$7:$O$42="Evet")*(AY_SONU!$B$7:$B$42=DATE(YEAR($C1868),MONTH($C1868),1))))</f>
        <v>0</v>
      </c>
      <c r="AE1868" s="1" t="str">
        <f>IF($E1868="","",$E1868&amp;"|"&amp;COUNTIFS($E$7:$E1868,$E1868))</f>
        <v/>
      </c>
    </row>
    <row r="1869" spans="1:31" ht="18" customHeight="1" x14ac:dyDescent="0.3">
      <c r="A1869" s="2"/>
      <c r="B1869" s="65" t="str">
        <f t="shared" si="234"/>
        <v/>
      </c>
      <c r="C1869" s="66"/>
      <c r="D1869" s="60"/>
      <c r="E1869" s="61"/>
      <c r="F1869" s="61"/>
      <c r="G1869" s="67"/>
      <c r="H1869" s="60"/>
      <c r="I1869" s="60"/>
      <c r="J1869" s="61"/>
      <c r="K1869" s="61"/>
      <c r="L1869" s="60"/>
      <c r="M1869" s="74" t="str">
        <f t="shared" si="235"/>
        <v/>
      </c>
      <c r="N1869" s="74" t="str">
        <f t="shared" si="236"/>
        <v/>
      </c>
      <c r="O1869" s="73" t="str">
        <f t="shared" si="237"/>
        <v/>
      </c>
      <c r="P1869" s="65" t="str">
        <f t="shared" ca="1" si="238"/>
        <v/>
      </c>
      <c r="Q1869" s="2"/>
      <c r="R1869" s="2"/>
      <c r="S1869" s="1" t="str">
        <f t="shared" si="239"/>
        <v/>
      </c>
      <c r="T1869" s="1" t="str">
        <f>IF(OR($C1869="",$D1869&lt;&gt;"Gelir",$L1869=""),"",IFERROR(INDEX(MUSTERILER!$B$7:$B$156,MATCH($S1869,MUSTERILER!$T$7:$T$156,0)),""))</f>
        <v/>
      </c>
      <c r="U1869" s="1" t="str">
        <f>IF($T1869="","",$T1869&amp;"|"&amp;COUNTIFS($T$7:$T1869,$T1869))</f>
        <v/>
      </c>
      <c r="V1869" s="1">
        <f t="shared" si="240"/>
        <v>0</v>
      </c>
      <c r="W1869" s="1" t="str">
        <f t="shared" si="241"/>
        <v/>
      </c>
      <c r="X1869" s="1"/>
      <c r="Y1869" s="1"/>
      <c r="Z1869" s="1"/>
      <c r="AA1869" s="1"/>
      <c r="AB1869" s="1"/>
      <c r="AC1869" s="1"/>
      <c r="AD1869" s="1">
        <f>IF($C1869="",0,SUMPRODUCT((AY_SONU!$O$7:$O$42="Evet")*(AY_SONU!$B$7:$B$42=DATE(YEAR($C1869),MONTH($C1869),1))))</f>
        <v>0</v>
      </c>
      <c r="AE1869" s="1" t="str">
        <f>IF($E1869="","",$E1869&amp;"|"&amp;COUNTIFS($E$7:$E1869,$E1869))</f>
        <v/>
      </c>
    </row>
    <row r="1870" spans="1:31" ht="18" customHeight="1" x14ac:dyDescent="0.3">
      <c r="A1870" s="2"/>
      <c r="B1870" s="65" t="str">
        <f t="shared" si="234"/>
        <v/>
      </c>
      <c r="C1870" s="66"/>
      <c r="D1870" s="60"/>
      <c r="E1870" s="61"/>
      <c r="F1870" s="61"/>
      <c r="G1870" s="67"/>
      <c r="H1870" s="60"/>
      <c r="I1870" s="60"/>
      <c r="J1870" s="61"/>
      <c r="K1870" s="61"/>
      <c r="L1870" s="60"/>
      <c r="M1870" s="74" t="str">
        <f t="shared" si="235"/>
        <v/>
      </c>
      <c r="N1870" s="74" t="str">
        <f t="shared" si="236"/>
        <v/>
      </c>
      <c r="O1870" s="73" t="str">
        <f t="shared" si="237"/>
        <v/>
      </c>
      <c r="P1870" s="65" t="str">
        <f t="shared" ca="1" si="238"/>
        <v/>
      </c>
      <c r="Q1870" s="2"/>
      <c r="R1870" s="2"/>
      <c r="S1870" s="1" t="str">
        <f t="shared" si="239"/>
        <v/>
      </c>
      <c r="T1870" s="1" t="str">
        <f>IF(OR($C1870="",$D1870&lt;&gt;"Gelir",$L1870=""),"",IFERROR(INDEX(MUSTERILER!$B$7:$B$156,MATCH($S1870,MUSTERILER!$T$7:$T$156,0)),""))</f>
        <v/>
      </c>
      <c r="U1870" s="1" t="str">
        <f>IF($T1870="","",$T1870&amp;"|"&amp;COUNTIFS($T$7:$T1870,$T1870))</f>
        <v/>
      </c>
      <c r="V1870" s="1">
        <f t="shared" si="240"/>
        <v>0</v>
      </c>
      <c r="W1870" s="1" t="str">
        <f t="shared" si="241"/>
        <v/>
      </c>
      <c r="X1870" s="1"/>
      <c r="Y1870" s="1"/>
      <c r="Z1870" s="1"/>
      <c r="AA1870" s="1"/>
      <c r="AB1870" s="1"/>
      <c r="AC1870" s="1"/>
      <c r="AD1870" s="1">
        <f>IF($C1870="",0,SUMPRODUCT((AY_SONU!$O$7:$O$42="Evet")*(AY_SONU!$B$7:$B$42=DATE(YEAR($C1870),MONTH($C1870),1))))</f>
        <v>0</v>
      </c>
      <c r="AE1870" s="1" t="str">
        <f>IF($E1870="","",$E1870&amp;"|"&amp;COUNTIFS($E$7:$E1870,$E1870))</f>
        <v/>
      </c>
    </row>
    <row r="1871" spans="1:31" ht="18" customHeight="1" x14ac:dyDescent="0.3">
      <c r="A1871" s="2"/>
      <c r="B1871" s="65" t="str">
        <f t="shared" si="234"/>
        <v/>
      </c>
      <c r="C1871" s="66"/>
      <c r="D1871" s="60"/>
      <c r="E1871" s="61"/>
      <c r="F1871" s="61"/>
      <c r="G1871" s="67"/>
      <c r="H1871" s="60"/>
      <c r="I1871" s="60"/>
      <c r="J1871" s="61"/>
      <c r="K1871" s="61"/>
      <c r="L1871" s="60"/>
      <c r="M1871" s="74" t="str">
        <f t="shared" si="235"/>
        <v/>
      </c>
      <c r="N1871" s="74" t="str">
        <f t="shared" si="236"/>
        <v/>
      </c>
      <c r="O1871" s="73" t="str">
        <f t="shared" si="237"/>
        <v/>
      </c>
      <c r="P1871" s="65" t="str">
        <f t="shared" ca="1" si="238"/>
        <v/>
      </c>
      <c r="Q1871" s="2"/>
      <c r="R1871" s="2"/>
      <c r="S1871" s="1" t="str">
        <f t="shared" si="239"/>
        <v/>
      </c>
      <c r="T1871" s="1" t="str">
        <f>IF(OR($C1871="",$D1871&lt;&gt;"Gelir",$L1871=""),"",IFERROR(INDEX(MUSTERILER!$B$7:$B$156,MATCH($S1871,MUSTERILER!$T$7:$T$156,0)),""))</f>
        <v/>
      </c>
      <c r="U1871" s="1" t="str">
        <f>IF($T1871="","",$T1871&amp;"|"&amp;COUNTIFS($T$7:$T1871,$T1871))</f>
        <v/>
      </c>
      <c r="V1871" s="1">
        <f t="shared" si="240"/>
        <v>0</v>
      </c>
      <c r="W1871" s="1" t="str">
        <f t="shared" si="241"/>
        <v/>
      </c>
      <c r="X1871" s="1"/>
      <c r="Y1871" s="1"/>
      <c r="Z1871" s="1"/>
      <c r="AA1871" s="1"/>
      <c r="AB1871" s="1"/>
      <c r="AC1871" s="1"/>
      <c r="AD1871" s="1">
        <f>IF($C1871="",0,SUMPRODUCT((AY_SONU!$O$7:$O$42="Evet")*(AY_SONU!$B$7:$B$42=DATE(YEAR($C1871),MONTH($C1871),1))))</f>
        <v>0</v>
      </c>
      <c r="AE1871" s="1" t="str">
        <f>IF($E1871="","",$E1871&amp;"|"&amp;COUNTIFS($E$7:$E1871,$E1871))</f>
        <v/>
      </c>
    </row>
    <row r="1872" spans="1:31" ht="18" customHeight="1" x14ac:dyDescent="0.3">
      <c r="A1872" s="2"/>
      <c r="B1872" s="65" t="str">
        <f t="shared" si="234"/>
        <v/>
      </c>
      <c r="C1872" s="66"/>
      <c r="D1872" s="60"/>
      <c r="E1872" s="61"/>
      <c r="F1872" s="61"/>
      <c r="G1872" s="67"/>
      <c r="H1872" s="60"/>
      <c r="I1872" s="60"/>
      <c r="J1872" s="61"/>
      <c r="K1872" s="61"/>
      <c r="L1872" s="60"/>
      <c r="M1872" s="74" t="str">
        <f t="shared" si="235"/>
        <v/>
      </c>
      <c r="N1872" s="74" t="str">
        <f t="shared" si="236"/>
        <v/>
      </c>
      <c r="O1872" s="73" t="str">
        <f t="shared" si="237"/>
        <v/>
      </c>
      <c r="P1872" s="65" t="str">
        <f t="shared" ca="1" si="238"/>
        <v/>
      </c>
      <c r="Q1872" s="2"/>
      <c r="R1872" s="2"/>
      <c r="S1872" s="1" t="str">
        <f t="shared" si="239"/>
        <v/>
      </c>
      <c r="T1872" s="1" t="str">
        <f>IF(OR($C1872="",$D1872&lt;&gt;"Gelir",$L1872=""),"",IFERROR(INDEX(MUSTERILER!$B$7:$B$156,MATCH($S1872,MUSTERILER!$T$7:$T$156,0)),""))</f>
        <v/>
      </c>
      <c r="U1872" s="1" t="str">
        <f>IF($T1872="","",$T1872&amp;"|"&amp;COUNTIFS($T$7:$T1872,$T1872))</f>
        <v/>
      </c>
      <c r="V1872" s="1">
        <f t="shared" si="240"/>
        <v>0</v>
      </c>
      <c r="W1872" s="1" t="str">
        <f t="shared" si="241"/>
        <v/>
      </c>
      <c r="X1872" s="1"/>
      <c r="Y1872" s="1"/>
      <c r="Z1872" s="1"/>
      <c r="AA1872" s="1"/>
      <c r="AB1872" s="1"/>
      <c r="AC1872" s="1"/>
      <c r="AD1872" s="1">
        <f>IF($C1872="",0,SUMPRODUCT((AY_SONU!$O$7:$O$42="Evet")*(AY_SONU!$B$7:$B$42=DATE(YEAR($C1872),MONTH($C1872),1))))</f>
        <v>0</v>
      </c>
      <c r="AE1872" s="1" t="str">
        <f>IF($E1872="","",$E1872&amp;"|"&amp;COUNTIFS($E$7:$E1872,$E1872))</f>
        <v/>
      </c>
    </row>
    <row r="1873" spans="1:31" ht="18" customHeight="1" x14ac:dyDescent="0.3">
      <c r="A1873" s="2"/>
      <c r="B1873" s="65" t="str">
        <f t="shared" si="234"/>
        <v/>
      </c>
      <c r="C1873" s="66"/>
      <c r="D1873" s="60"/>
      <c r="E1873" s="61"/>
      <c r="F1873" s="61"/>
      <c r="G1873" s="67"/>
      <c r="H1873" s="60"/>
      <c r="I1873" s="60"/>
      <c r="J1873" s="61"/>
      <c r="K1873" s="61"/>
      <c r="L1873" s="60"/>
      <c r="M1873" s="74" t="str">
        <f t="shared" si="235"/>
        <v/>
      </c>
      <c r="N1873" s="74" t="str">
        <f t="shared" si="236"/>
        <v/>
      </c>
      <c r="O1873" s="73" t="str">
        <f t="shared" si="237"/>
        <v/>
      </c>
      <c r="P1873" s="65" t="str">
        <f t="shared" ca="1" si="238"/>
        <v/>
      </c>
      <c r="Q1873" s="2"/>
      <c r="R1873" s="2"/>
      <c r="S1873" s="1" t="str">
        <f t="shared" si="239"/>
        <v/>
      </c>
      <c r="T1873" s="1" t="str">
        <f>IF(OR($C1873="",$D1873&lt;&gt;"Gelir",$L1873=""),"",IFERROR(INDEX(MUSTERILER!$B$7:$B$156,MATCH($S1873,MUSTERILER!$T$7:$T$156,0)),""))</f>
        <v/>
      </c>
      <c r="U1873" s="1" t="str">
        <f>IF($T1873="","",$T1873&amp;"|"&amp;COUNTIFS($T$7:$T1873,$T1873))</f>
        <v/>
      </c>
      <c r="V1873" s="1">
        <f t="shared" si="240"/>
        <v>0</v>
      </c>
      <c r="W1873" s="1" t="str">
        <f t="shared" si="241"/>
        <v/>
      </c>
      <c r="X1873" s="1"/>
      <c r="Y1873" s="1"/>
      <c r="Z1873" s="1"/>
      <c r="AA1873" s="1"/>
      <c r="AB1873" s="1"/>
      <c r="AC1873" s="1"/>
      <c r="AD1873" s="1">
        <f>IF($C1873="",0,SUMPRODUCT((AY_SONU!$O$7:$O$42="Evet")*(AY_SONU!$B$7:$B$42=DATE(YEAR($C1873),MONTH($C1873),1))))</f>
        <v>0</v>
      </c>
      <c r="AE1873" s="1" t="str">
        <f>IF($E1873="","",$E1873&amp;"|"&amp;COUNTIFS($E$7:$E1873,$E1873))</f>
        <v/>
      </c>
    </row>
    <row r="1874" spans="1:31" ht="18" customHeight="1" x14ac:dyDescent="0.3">
      <c r="A1874" s="2"/>
      <c r="B1874" s="65" t="str">
        <f t="shared" si="234"/>
        <v/>
      </c>
      <c r="C1874" s="66"/>
      <c r="D1874" s="60"/>
      <c r="E1874" s="61"/>
      <c r="F1874" s="61"/>
      <c r="G1874" s="67"/>
      <c r="H1874" s="60"/>
      <c r="I1874" s="60"/>
      <c r="J1874" s="61"/>
      <c r="K1874" s="61"/>
      <c r="L1874" s="60"/>
      <c r="M1874" s="74" t="str">
        <f t="shared" si="235"/>
        <v/>
      </c>
      <c r="N1874" s="74" t="str">
        <f t="shared" si="236"/>
        <v/>
      </c>
      <c r="O1874" s="73" t="str">
        <f t="shared" si="237"/>
        <v/>
      </c>
      <c r="P1874" s="65" t="str">
        <f t="shared" ca="1" si="238"/>
        <v/>
      </c>
      <c r="Q1874" s="2"/>
      <c r="R1874" s="2"/>
      <c r="S1874" s="1" t="str">
        <f t="shared" si="239"/>
        <v/>
      </c>
      <c r="T1874" s="1" t="str">
        <f>IF(OR($C1874="",$D1874&lt;&gt;"Gelir",$L1874=""),"",IFERROR(INDEX(MUSTERILER!$B$7:$B$156,MATCH($S1874,MUSTERILER!$T$7:$T$156,0)),""))</f>
        <v/>
      </c>
      <c r="U1874" s="1" t="str">
        <f>IF($T1874="","",$T1874&amp;"|"&amp;COUNTIFS($T$7:$T1874,$T1874))</f>
        <v/>
      </c>
      <c r="V1874" s="1">
        <f t="shared" si="240"/>
        <v>0</v>
      </c>
      <c r="W1874" s="1" t="str">
        <f t="shared" si="241"/>
        <v/>
      </c>
      <c r="X1874" s="1"/>
      <c r="Y1874" s="1"/>
      <c r="Z1874" s="1"/>
      <c r="AA1874" s="1"/>
      <c r="AB1874" s="1"/>
      <c r="AC1874" s="1"/>
      <c r="AD1874" s="1">
        <f>IF($C1874="",0,SUMPRODUCT((AY_SONU!$O$7:$O$42="Evet")*(AY_SONU!$B$7:$B$42=DATE(YEAR($C1874),MONTH($C1874),1))))</f>
        <v>0</v>
      </c>
      <c r="AE1874" s="1" t="str">
        <f>IF($E1874="","",$E1874&amp;"|"&amp;COUNTIFS($E$7:$E1874,$E1874))</f>
        <v/>
      </c>
    </row>
    <row r="1875" spans="1:31" ht="18" customHeight="1" x14ac:dyDescent="0.3">
      <c r="A1875" s="2"/>
      <c r="B1875" s="65" t="str">
        <f t="shared" si="234"/>
        <v/>
      </c>
      <c r="C1875" s="66"/>
      <c r="D1875" s="60"/>
      <c r="E1875" s="61"/>
      <c r="F1875" s="61"/>
      <c r="G1875" s="67"/>
      <c r="H1875" s="60"/>
      <c r="I1875" s="60"/>
      <c r="J1875" s="61"/>
      <c r="K1875" s="61"/>
      <c r="L1875" s="60"/>
      <c r="M1875" s="74" t="str">
        <f t="shared" si="235"/>
        <v/>
      </c>
      <c r="N1875" s="74" t="str">
        <f t="shared" si="236"/>
        <v/>
      </c>
      <c r="O1875" s="73" t="str">
        <f t="shared" si="237"/>
        <v/>
      </c>
      <c r="P1875" s="65" t="str">
        <f t="shared" ca="1" si="238"/>
        <v/>
      </c>
      <c r="Q1875" s="2"/>
      <c r="R1875" s="2"/>
      <c r="S1875" s="1" t="str">
        <f t="shared" si="239"/>
        <v/>
      </c>
      <c r="T1875" s="1" t="str">
        <f>IF(OR($C1875="",$D1875&lt;&gt;"Gelir",$L1875=""),"",IFERROR(INDEX(MUSTERILER!$B$7:$B$156,MATCH($S1875,MUSTERILER!$T$7:$T$156,0)),""))</f>
        <v/>
      </c>
      <c r="U1875" s="1" t="str">
        <f>IF($T1875="","",$T1875&amp;"|"&amp;COUNTIFS($T$7:$T1875,$T1875))</f>
        <v/>
      </c>
      <c r="V1875" s="1">
        <f t="shared" si="240"/>
        <v>0</v>
      </c>
      <c r="W1875" s="1" t="str">
        <f t="shared" si="241"/>
        <v/>
      </c>
      <c r="X1875" s="1"/>
      <c r="Y1875" s="1"/>
      <c r="Z1875" s="1"/>
      <c r="AA1875" s="1"/>
      <c r="AB1875" s="1"/>
      <c r="AC1875" s="1"/>
      <c r="AD1875" s="1">
        <f>IF($C1875="",0,SUMPRODUCT((AY_SONU!$O$7:$O$42="Evet")*(AY_SONU!$B$7:$B$42=DATE(YEAR($C1875),MONTH($C1875),1))))</f>
        <v>0</v>
      </c>
      <c r="AE1875" s="1" t="str">
        <f>IF($E1875="","",$E1875&amp;"|"&amp;COUNTIFS($E$7:$E1875,$E1875))</f>
        <v/>
      </c>
    </row>
    <row r="1876" spans="1:31" ht="18" customHeight="1" x14ac:dyDescent="0.3">
      <c r="A1876" s="2"/>
      <c r="B1876" s="65" t="str">
        <f t="shared" si="234"/>
        <v/>
      </c>
      <c r="C1876" s="66"/>
      <c r="D1876" s="60"/>
      <c r="E1876" s="61"/>
      <c r="F1876" s="61"/>
      <c r="G1876" s="67"/>
      <c r="H1876" s="60"/>
      <c r="I1876" s="60"/>
      <c r="J1876" s="61"/>
      <c r="K1876" s="61"/>
      <c r="L1876" s="60"/>
      <c r="M1876" s="74" t="str">
        <f t="shared" si="235"/>
        <v/>
      </c>
      <c r="N1876" s="74" t="str">
        <f t="shared" si="236"/>
        <v/>
      </c>
      <c r="O1876" s="73" t="str">
        <f t="shared" si="237"/>
        <v/>
      </c>
      <c r="P1876" s="65" t="str">
        <f t="shared" ca="1" si="238"/>
        <v/>
      </c>
      <c r="Q1876" s="2"/>
      <c r="R1876" s="2"/>
      <c r="S1876" s="1" t="str">
        <f t="shared" si="239"/>
        <v/>
      </c>
      <c r="T1876" s="1" t="str">
        <f>IF(OR($C1876="",$D1876&lt;&gt;"Gelir",$L1876=""),"",IFERROR(INDEX(MUSTERILER!$B$7:$B$156,MATCH($S1876,MUSTERILER!$T$7:$T$156,0)),""))</f>
        <v/>
      </c>
      <c r="U1876" s="1" t="str">
        <f>IF($T1876="","",$T1876&amp;"|"&amp;COUNTIFS($T$7:$T1876,$T1876))</f>
        <v/>
      </c>
      <c r="V1876" s="1">
        <f t="shared" si="240"/>
        <v>0</v>
      </c>
      <c r="W1876" s="1" t="str">
        <f t="shared" si="241"/>
        <v/>
      </c>
      <c r="X1876" s="1"/>
      <c r="Y1876" s="1"/>
      <c r="Z1876" s="1"/>
      <c r="AA1876" s="1"/>
      <c r="AB1876" s="1"/>
      <c r="AC1876" s="1"/>
      <c r="AD1876" s="1">
        <f>IF($C1876="",0,SUMPRODUCT((AY_SONU!$O$7:$O$42="Evet")*(AY_SONU!$B$7:$B$42=DATE(YEAR($C1876),MONTH($C1876),1))))</f>
        <v>0</v>
      </c>
      <c r="AE1876" s="1" t="str">
        <f>IF($E1876="","",$E1876&amp;"|"&amp;COUNTIFS($E$7:$E1876,$E1876))</f>
        <v/>
      </c>
    </row>
    <row r="1877" spans="1:31" ht="18" customHeight="1" x14ac:dyDescent="0.3">
      <c r="A1877" s="2"/>
      <c r="B1877" s="65" t="str">
        <f t="shared" si="234"/>
        <v/>
      </c>
      <c r="C1877" s="66"/>
      <c r="D1877" s="60"/>
      <c r="E1877" s="61"/>
      <c r="F1877" s="61"/>
      <c r="G1877" s="67"/>
      <c r="H1877" s="60"/>
      <c r="I1877" s="60"/>
      <c r="J1877" s="61"/>
      <c r="K1877" s="61"/>
      <c r="L1877" s="60"/>
      <c r="M1877" s="74" t="str">
        <f t="shared" si="235"/>
        <v/>
      </c>
      <c r="N1877" s="74" t="str">
        <f t="shared" si="236"/>
        <v/>
      </c>
      <c r="O1877" s="73" t="str">
        <f t="shared" si="237"/>
        <v/>
      </c>
      <c r="P1877" s="65" t="str">
        <f t="shared" ca="1" si="238"/>
        <v/>
      </c>
      <c r="Q1877" s="2"/>
      <c r="R1877" s="2"/>
      <c r="S1877" s="1" t="str">
        <f t="shared" si="239"/>
        <v/>
      </c>
      <c r="T1877" s="1" t="str">
        <f>IF(OR($C1877="",$D1877&lt;&gt;"Gelir",$L1877=""),"",IFERROR(INDEX(MUSTERILER!$B$7:$B$156,MATCH($S1877,MUSTERILER!$T$7:$T$156,0)),""))</f>
        <v/>
      </c>
      <c r="U1877" s="1" t="str">
        <f>IF($T1877="","",$T1877&amp;"|"&amp;COUNTIFS($T$7:$T1877,$T1877))</f>
        <v/>
      </c>
      <c r="V1877" s="1">
        <f t="shared" si="240"/>
        <v>0</v>
      </c>
      <c r="W1877" s="1" t="str">
        <f t="shared" si="241"/>
        <v/>
      </c>
      <c r="X1877" s="1"/>
      <c r="Y1877" s="1"/>
      <c r="Z1877" s="1"/>
      <c r="AA1877" s="1"/>
      <c r="AB1877" s="1"/>
      <c r="AC1877" s="1"/>
      <c r="AD1877" s="1">
        <f>IF($C1877="",0,SUMPRODUCT((AY_SONU!$O$7:$O$42="Evet")*(AY_SONU!$B$7:$B$42=DATE(YEAR($C1877),MONTH($C1877),1))))</f>
        <v>0</v>
      </c>
      <c r="AE1877" s="1" t="str">
        <f>IF($E1877="","",$E1877&amp;"|"&amp;COUNTIFS($E$7:$E1877,$E1877))</f>
        <v/>
      </c>
    </row>
    <row r="1878" spans="1:31" ht="18" customHeight="1" x14ac:dyDescent="0.3">
      <c r="A1878" s="2"/>
      <c r="B1878" s="65" t="str">
        <f t="shared" si="234"/>
        <v/>
      </c>
      <c r="C1878" s="66"/>
      <c r="D1878" s="60"/>
      <c r="E1878" s="61"/>
      <c r="F1878" s="61"/>
      <c r="G1878" s="67"/>
      <c r="H1878" s="60"/>
      <c r="I1878" s="60"/>
      <c r="J1878" s="61"/>
      <c r="K1878" s="61"/>
      <c r="L1878" s="60"/>
      <c r="M1878" s="74" t="str">
        <f t="shared" si="235"/>
        <v/>
      </c>
      <c r="N1878" s="74" t="str">
        <f t="shared" si="236"/>
        <v/>
      </c>
      <c r="O1878" s="73" t="str">
        <f t="shared" si="237"/>
        <v/>
      </c>
      <c r="P1878" s="65" t="str">
        <f t="shared" ca="1" si="238"/>
        <v/>
      </c>
      <c r="Q1878" s="2"/>
      <c r="R1878" s="2"/>
      <c r="S1878" s="1" t="str">
        <f t="shared" si="239"/>
        <v/>
      </c>
      <c r="T1878" s="1" t="str">
        <f>IF(OR($C1878="",$D1878&lt;&gt;"Gelir",$L1878=""),"",IFERROR(INDEX(MUSTERILER!$B$7:$B$156,MATCH($S1878,MUSTERILER!$T$7:$T$156,0)),""))</f>
        <v/>
      </c>
      <c r="U1878" s="1" t="str">
        <f>IF($T1878="","",$T1878&amp;"|"&amp;COUNTIFS($T$7:$T1878,$T1878))</f>
        <v/>
      </c>
      <c r="V1878" s="1">
        <f t="shared" si="240"/>
        <v>0</v>
      </c>
      <c r="W1878" s="1" t="str">
        <f t="shared" si="241"/>
        <v/>
      </c>
      <c r="X1878" s="1"/>
      <c r="Y1878" s="1"/>
      <c r="Z1878" s="1"/>
      <c r="AA1878" s="1"/>
      <c r="AB1878" s="1"/>
      <c r="AC1878" s="1"/>
      <c r="AD1878" s="1">
        <f>IF($C1878="",0,SUMPRODUCT((AY_SONU!$O$7:$O$42="Evet")*(AY_SONU!$B$7:$B$42=DATE(YEAR($C1878),MONTH($C1878),1))))</f>
        <v>0</v>
      </c>
      <c r="AE1878" s="1" t="str">
        <f>IF($E1878="","",$E1878&amp;"|"&amp;COUNTIFS($E$7:$E1878,$E1878))</f>
        <v/>
      </c>
    </row>
    <row r="1879" spans="1:31" ht="18" customHeight="1" x14ac:dyDescent="0.3">
      <c r="A1879" s="2"/>
      <c r="B1879" s="65" t="str">
        <f t="shared" si="234"/>
        <v/>
      </c>
      <c r="C1879" s="66"/>
      <c r="D1879" s="60"/>
      <c r="E1879" s="61"/>
      <c r="F1879" s="61"/>
      <c r="G1879" s="67"/>
      <c r="H1879" s="60"/>
      <c r="I1879" s="60"/>
      <c r="J1879" s="61"/>
      <c r="K1879" s="61"/>
      <c r="L1879" s="60"/>
      <c r="M1879" s="74" t="str">
        <f t="shared" si="235"/>
        <v/>
      </c>
      <c r="N1879" s="74" t="str">
        <f t="shared" si="236"/>
        <v/>
      </c>
      <c r="O1879" s="73" t="str">
        <f t="shared" si="237"/>
        <v/>
      </c>
      <c r="P1879" s="65" t="str">
        <f t="shared" ca="1" si="238"/>
        <v/>
      </c>
      <c r="Q1879" s="2"/>
      <c r="R1879" s="2"/>
      <c r="S1879" s="1" t="str">
        <f t="shared" si="239"/>
        <v/>
      </c>
      <c r="T1879" s="1" t="str">
        <f>IF(OR($C1879="",$D1879&lt;&gt;"Gelir",$L1879=""),"",IFERROR(INDEX(MUSTERILER!$B$7:$B$156,MATCH($S1879,MUSTERILER!$T$7:$T$156,0)),""))</f>
        <v/>
      </c>
      <c r="U1879" s="1" t="str">
        <f>IF($T1879="","",$T1879&amp;"|"&amp;COUNTIFS($T$7:$T1879,$T1879))</f>
        <v/>
      </c>
      <c r="V1879" s="1">
        <f t="shared" si="240"/>
        <v>0</v>
      </c>
      <c r="W1879" s="1" t="str">
        <f t="shared" si="241"/>
        <v/>
      </c>
      <c r="X1879" s="1"/>
      <c r="Y1879" s="1"/>
      <c r="Z1879" s="1"/>
      <c r="AA1879" s="1"/>
      <c r="AB1879" s="1"/>
      <c r="AC1879" s="1"/>
      <c r="AD1879" s="1">
        <f>IF($C1879="",0,SUMPRODUCT((AY_SONU!$O$7:$O$42="Evet")*(AY_SONU!$B$7:$B$42=DATE(YEAR($C1879),MONTH($C1879),1))))</f>
        <v>0</v>
      </c>
      <c r="AE1879" s="1" t="str">
        <f>IF($E1879="","",$E1879&amp;"|"&amp;COUNTIFS($E$7:$E1879,$E1879))</f>
        <v/>
      </c>
    </row>
    <row r="1880" spans="1:31" ht="18" customHeight="1" x14ac:dyDescent="0.3">
      <c r="A1880" s="2"/>
      <c r="B1880" s="65" t="str">
        <f t="shared" si="234"/>
        <v/>
      </c>
      <c r="C1880" s="66"/>
      <c r="D1880" s="60"/>
      <c r="E1880" s="61"/>
      <c r="F1880" s="61"/>
      <c r="G1880" s="67"/>
      <c r="H1880" s="60"/>
      <c r="I1880" s="60"/>
      <c r="J1880" s="61"/>
      <c r="K1880" s="61"/>
      <c r="L1880" s="60"/>
      <c r="M1880" s="74" t="str">
        <f t="shared" si="235"/>
        <v/>
      </c>
      <c r="N1880" s="74" t="str">
        <f t="shared" si="236"/>
        <v/>
      </c>
      <c r="O1880" s="73" t="str">
        <f t="shared" si="237"/>
        <v/>
      </c>
      <c r="P1880" s="65" t="str">
        <f t="shared" ca="1" si="238"/>
        <v/>
      </c>
      <c r="Q1880" s="2"/>
      <c r="R1880" s="2"/>
      <c r="S1880" s="1" t="str">
        <f t="shared" si="239"/>
        <v/>
      </c>
      <c r="T1880" s="1" t="str">
        <f>IF(OR($C1880="",$D1880&lt;&gt;"Gelir",$L1880=""),"",IFERROR(INDEX(MUSTERILER!$B$7:$B$156,MATCH($S1880,MUSTERILER!$T$7:$T$156,0)),""))</f>
        <v/>
      </c>
      <c r="U1880" s="1" t="str">
        <f>IF($T1880="","",$T1880&amp;"|"&amp;COUNTIFS($T$7:$T1880,$T1880))</f>
        <v/>
      </c>
      <c r="V1880" s="1">
        <f t="shared" si="240"/>
        <v>0</v>
      </c>
      <c r="W1880" s="1" t="str">
        <f t="shared" si="241"/>
        <v/>
      </c>
      <c r="X1880" s="1"/>
      <c r="Y1880" s="1"/>
      <c r="Z1880" s="1"/>
      <c r="AA1880" s="1"/>
      <c r="AB1880" s="1"/>
      <c r="AC1880" s="1"/>
      <c r="AD1880" s="1">
        <f>IF($C1880="",0,SUMPRODUCT((AY_SONU!$O$7:$O$42="Evet")*(AY_SONU!$B$7:$B$42=DATE(YEAR($C1880),MONTH($C1880),1))))</f>
        <v>0</v>
      </c>
      <c r="AE1880" s="1" t="str">
        <f>IF($E1880="","",$E1880&amp;"|"&amp;COUNTIFS($E$7:$E1880,$E1880))</f>
        <v/>
      </c>
    </row>
    <row r="1881" spans="1:31" ht="18" customHeight="1" x14ac:dyDescent="0.3">
      <c r="A1881" s="2"/>
      <c r="B1881" s="65" t="str">
        <f t="shared" si="234"/>
        <v/>
      </c>
      <c r="C1881" s="66"/>
      <c r="D1881" s="60"/>
      <c r="E1881" s="61"/>
      <c r="F1881" s="61"/>
      <c r="G1881" s="67"/>
      <c r="H1881" s="60"/>
      <c r="I1881" s="60"/>
      <c r="J1881" s="61"/>
      <c r="K1881" s="61"/>
      <c r="L1881" s="60"/>
      <c r="M1881" s="74" t="str">
        <f t="shared" si="235"/>
        <v/>
      </c>
      <c r="N1881" s="74" t="str">
        <f t="shared" si="236"/>
        <v/>
      </c>
      <c r="O1881" s="73" t="str">
        <f t="shared" si="237"/>
        <v/>
      </c>
      <c r="P1881" s="65" t="str">
        <f t="shared" ca="1" si="238"/>
        <v/>
      </c>
      <c r="Q1881" s="2"/>
      <c r="R1881" s="2"/>
      <c r="S1881" s="1" t="str">
        <f t="shared" si="239"/>
        <v/>
      </c>
      <c r="T1881" s="1" t="str">
        <f>IF(OR($C1881="",$D1881&lt;&gt;"Gelir",$L1881=""),"",IFERROR(INDEX(MUSTERILER!$B$7:$B$156,MATCH($S1881,MUSTERILER!$T$7:$T$156,0)),""))</f>
        <v/>
      </c>
      <c r="U1881" s="1" t="str">
        <f>IF($T1881="","",$T1881&amp;"|"&amp;COUNTIFS($T$7:$T1881,$T1881))</f>
        <v/>
      </c>
      <c r="V1881" s="1">
        <f t="shared" si="240"/>
        <v>0</v>
      </c>
      <c r="W1881" s="1" t="str">
        <f t="shared" si="241"/>
        <v/>
      </c>
      <c r="X1881" s="1"/>
      <c r="Y1881" s="1"/>
      <c r="Z1881" s="1"/>
      <c r="AA1881" s="1"/>
      <c r="AB1881" s="1"/>
      <c r="AC1881" s="1"/>
      <c r="AD1881" s="1">
        <f>IF($C1881="",0,SUMPRODUCT((AY_SONU!$O$7:$O$42="Evet")*(AY_SONU!$B$7:$B$42=DATE(YEAR($C1881),MONTH($C1881),1))))</f>
        <v>0</v>
      </c>
      <c r="AE1881" s="1" t="str">
        <f>IF($E1881="","",$E1881&amp;"|"&amp;COUNTIFS($E$7:$E1881,$E1881))</f>
        <v/>
      </c>
    </row>
    <row r="1882" spans="1:31" ht="18" customHeight="1" x14ac:dyDescent="0.3">
      <c r="A1882" s="2"/>
      <c r="B1882" s="65" t="str">
        <f t="shared" si="234"/>
        <v/>
      </c>
      <c r="C1882" s="66"/>
      <c r="D1882" s="60"/>
      <c r="E1882" s="61"/>
      <c r="F1882" s="61"/>
      <c r="G1882" s="67"/>
      <c r="H1882" s="60"/>
      <c r="I1882" s="60"/>
      <c r="J1882" s="61"/>
      <c r="K1882" s="61"/>
      <c r="L1882" s="60"/>
      <c r="M1882" s="74" t="str">
        <f t="shared" si="235"/>
        <v/>
      </c>
      <c r="N1882" s="74" t="str">
        <f t="shared" si="236"/>
        <v/>
      </c>
      <c r="O1882" s="73" t="str">
        <f t="shared" si="237"/>
        <v/>
      </c>
      <c r="P1882" s="65" t="str">
        <f t="shared" ca="1" si="238"/>
        <v/>
      </c>
      <c r="Q1882" s="2"/>
      <c r="R1882" s="2"/>
      <c r="S1882" s="1" t="str">
        <f t="shared" si="239"/>
        <v/>
      </c>
      <c r="T1882" s="1" t="str">
        <f>IF(OR($C1882="",$D1882&lt;&gt;"Gelir",$L1882=""),"",IFERROR(INDEX(MUSTERILER!$B$7:$B$156,MATCH($S1882,MUSTERILER!$T$7:$T$156,0)),""))</f>
        <v/>
      </c>
      <c r="U1882" s="1" t="str">
        <f>IF($T1882="","",$T1882&amp;"|"&amp;COUNTIFS($T$7:$T1882,$T1882))</f>
        <v/>
      </c>
      <c r="V1882" s="1">
        <f t="shared" si="240"/>
        <v>0</v>
      </c>
      <c r="W1882" s="1" t="str">
        <f t="shared" si="241"/>
        <v/>
      </c>
      <c r="X1882" s="1"/>
      <c r="Y1882" s="1"/>
      <c r="Z1882" s="1"/>
      <c r="AA1882" s="1"/>
      <c r="AB1882" s="1"/>
      <c r="AC1882" s="1"/>
      <c r="AD1882" s="1">
        <f>IF($C1882="",0,SUMPRODUCT((AY_SONU!$O$7:$O$42="Evet")*(AY_SONU!$B$7:$B$42=DATE(YEAR($C1882),MONTH($C1882),1))))</f>
        <v>0</v>
      </c>
      <c r="AE1882" s="1" t="str">
        <f>IF($E1882="","",$E1882&amp;"|"&amp;COUNTIFS($E$7:$E1882,$E1882))</f>
        <v/>
      </c>
    </row>
    <row r="1883" spans="1:31" ht="18" customHeight="1" x14ac:dyDescent="0.3">
      <c r="A1883" s="2"/>
      <c r="B1883" s="65" t="str">
        <f t="shared" si="234"/>
        <v/>
      </c>
      <c r="C1883" s="66"/>
      <c r="D1883" s="60"/>
      <c r="E1883" s="61"/>
      <c r="F1883" s="61"/>
      <c r="G1883" s="67"/>
      <c r="H1883" s="60"/>
      <c r="I1883" s="60"/>
      <c r="J1883" s="61"/>
      <c r="K1883" s="61"/>
      <c r="L1883" s="60"/>
      <c r="M1883" s="74" t="str">
        <f t="shared" si="235"/>
        <v/>
      </c>
      <c r="N1883" s="74" t="str">
        <f t="shared" si="236"/>
        <v/>
      </c>
      <c r="O1883" s="73" t="str">
        <f t="shared" si="237"/>
        <v/>
      </c>
      <c r="P1883" s="65" t="str">
        <f t="shared" ca="1" si="238"/>
        <v/>
      </c>
      <c r="Q1883" s="2"/>
      <c r="R1883" s="2"/>
      <c r="S1883" s="1" t="str">
        <f t="shared" si="239"/>
        <v/>
      </c>
      <c r="T1883" s="1" t="str">
        <f>IF(OR($C1883="",$D1883&lt;&gt;"Gelir",$L1883=""),"",IFERROR(INDEX(MUSTERILER!$B$7:$B$156,MATCH($S1883,MUSTERILER!$T$7:$T$156,0)),""))</f>
        <v/>
      </c>
      <c r="U1883" s="1" t="str">
        <f>IF($T1883="","",$T1883&amp;"|"&amp;COUNTIFS($T$7:$T1883,$T1883))</f>
        <v/>
      </c>
      <c r="V1883" s="1">
        <f t="shared" si="240"/>
        <v>0</v>
      </c>
      <c r="W1883" s="1" t="str">
        <f t="shared" si="241"/>
        <v/>
      </c>
      <c r="X1883" s="1"/>
      <c r="Y1883" s="1"/>
      <c r="Z1883" s="1"/>
      <c r="AA1883" s="1"/>
      <c r="AB1883" s="1"/>
      <c r="AC1883" s="1"/>
      <c r="AD1883" s="1">
        <f>IF($C1883="",0,SUMPRODUCT((AY_SONU!$O$7:$O$42="Evet")*(AY_SONU!$B$7:$B$42=DATE(YEAR($C1883),MONTH($C1883),1))))</f>
        <v>0</v>
      </c>
      <c r="AE1883" s="1" t="str">
        <f>IF($E1883="","",$E1883&amp;"|"&amp;COUNTIFS($E$7:$E1883,$E1883))</f>
        <v/>
      </c>
    </row>
    <row r="1884" spans="1:31" ht="18" customHeight="1" x14ac:dyDescent="0.3">
      <c r="A1884" s="2"/>
      <c r="B1884" s="65" t="str">
        <f t="shared" si="234"/>
        <v/>
      </c>
      <c r="C1884" s="66"/>
      <c r="D1884" s="60"/>
      <c r="E1884" s="61"/>
      <c r="F1884" s="61"/>
      <c r="G1884" s="67"/>
      <c r="H1884" s="60"/>
      <c r="I1884" s="60"/>
      <c r="J1884" s="61"/>
      <c r="K1884" s="61"/>
      <c r="L1884" s="60"/>
      <c r="M1884" s="74" t="str">
        <f t="shared" si="235"/>
        <v/>
      </c>
      <c r="N1884" s="74" t="str">
        <f t="shared" si="236"/>
        <v/>
      </c>
      <c r="O1884" s="73" t="str">
        <f t="shared" si="237"/>
        <v/>
      </c>
      <c r="P1884" s="65" t="str">
        <f t="shared" ca="1" si="238"/>
        <v/>
      </c>
      <c r="Q1884" s="2"/>
      <c r="R1884" s="2"/>
      <c r="S1884" s="1" t="str">
        <f t="shared" si="239"/>
        <v/>
      </c>
      <c r="T1884" s="1" t="str">
        <f>IF(OR($C1884="",$D1884&lt;&gt;"Gelir",$L1884=""),"",IFERROR(INDEX(MUSTERILER!$B$7:$B$156,MATCH($S1884,MUSTERILER!$T$7:$T$156,0)),""))</f>
        <v/>
      </c>
      <c r="U1884" s="1" t="str">
        <f>IF($T1884="","",$T1884&amp;"|"&amp;COUNTIFS($T$7:$T1884,$T1884))</f>
        <v/>
      </c>
      <c r="V1884" s="1">
        <f t="shared" si="240"/>
        <v>0</v>
      </c>
      <c r="W1884" s="1" t="str">
        <f t="shared" si="241"/>
        <v/>
      </c>
      <c r="X1884" s="1"/>
      <c r="Y1884" s="1"/>
      <c r="Z1884" s="1"/>
      <c r="AA1884" s="1"/>
      <c r="AB1884" s="1"/>
      <c r="AC1884" s="1"/>
      <c r="AD1884" s="1">
        <f>IF($C1884="",0,SUMPRODUCT((AY_SONU!$O$7:$O$42="Evet")*(AY_SONU!$B$7:$B$42=DATE(YEAR($C1884),MONTH($C1884),1))))</f>
        <v>0</v>
      </c>
      <c r="AE1884" s="1" t="str">
        <f>IF($E1884="","",$E1884&amp;"|"&amp;COUNTIFS($E$7:$E1884,$E1884))</f>
        <v/>
      </c>
    </row>
    <row r="1885" spans="1:31" ht="18" customHeight="1" x14ac:dyDescent="0.3">
      <c r="A1885" s="2"/>
      <c r="B1885" s="65" t="str">
        <f t="shared" si="234"/>
        <v/>
      </c>
      <c r="C1885" s="66"/>
      <c r="D1885" s="60"/>
      <c r="E1885" s="61"/>
      <c r="F1885" s="61"/>
      <c r="G1885" s="67"/>
      <c r="H1885" s="60"/>
      <c r="I1885" s="60"/>
      <c r="J1885" s="61"/>
      <c r="K1885" s="61"/>
      <c r="L1885" s="60"/>
      <c r="M1885" s="74" t="str">
        <f t="shared" si="235"/>
        <v/>
      </c>
      <c r="N1885" s="74" t="str">
        <f t="shared" si="236"/>
        <v/>
      </c>
      <c r="O1885" s="73" t="str">
        <f t="shared" si="237"/>
        <v/>
      </c>
      <c r="P1885" s="65" t="str">
        <f t="shared" ca="1" si="238"/>
        <v/>
      </c>
      <c r="Q1885" s="2"/>
      <c r="R1885" s="2"/>
      <c r="S1885" s="1" t="str">
        <f t="shared" si="239"/>
        <v/>
      </c>
      <c r="T1885" s="1" t="str">
        <f>IF(OR($C1885="",$D1885&lt;&gt;"Gelir",$L1885=""),"",IFERROR(INDEX(MUSTERILER!$B$7:$B$156,MATCH($S1885,MUSTERILER!$T$7:$T$156,0)),""))</f>
        <v/>
      </c>
      <c r="U1885" s="1" t="str">
        <f>IF($T1885="","",$T1885&amp;"|"&amp;COUNTIFS($T$7:$T1885,$T1885))</f>
        <v/>
      </c>
      <c r="V1885" s="1">
        <f t="shared" si="240"/>
        <v>0</v>
      </c>
      <c r="W1885" s="1" t="str">
        <f t="shared" si="241"/>
        <v/>
      </c>
      <c r="X1885" s="1"/>
      <c r="Y1885" s="1"/>
      <c r="Z1885" s="1"/>
      <c r="AA1885" s="1"/>
      <c r="AB1885" s="1"/>
      <c r="AC1885" s="1"/>
      <c r="AD1885" s="1">
        <f>IF($C1885="",0,SUMPRODUCT((AY_SONU!$O$7:$O$42="Evet")*(AY_SONU!$B$7:$B$42=DATE(YEAR($C1885),MONTH($C1885),1))))</f>
        <v>0</v>
      </c>
      <c r="AE1885" s="1" t="str">
        <f>IF($E1885="","",$E1885&amp;"|"&amp;COUNTIFS($E$7:$E1885,$E1885))</f>
        <v/>
      </c>
    </row>
    <row r="1886" spans="1:31" ht="18" customHeight="1" x14ac:dyDescent="0.3">
      <c r="A1886" s="2"/>
      <c r="B1886" s="65" t="str">
        <f t="shared" si="234"/>
        <v/>
      </c>
      <c r="C1886" s="66"/>
      <c r="D1886" s="60"/>
      <c r="E1886" s="61"/>
      <c r="F1886" s="61"/>
      <c r="G1886" s="67"/>
      <c r="H1886" s="60"/>
      <c r="I1886" s="60"/>
      <c r="J1886" s="61"/>
      <c r="K1886" s="61"/>
      <c r="L1886" s="60"/>
      <c r="M1886" s="74" t="str">
        <f t="shared" si="235"/>
        <v/>
      </c>
      <c r="N1886" s="74" t="str">
        <f t="shared" si="236"/>
        <v/>
      </c>
      <c r="O1886" s="73" t="str">
        <f t="shared" si="237"/>
        <v/>
      </c>
      <c r="P1886" s="65" t="str">
        <f t="shared" ca="1" si="238"/>
        <v/>
      </c>
      <c r="Q1886" s="2"/>
      <c r="R1886" s="2"/>
      <c r="S1886" s="1" t="str">
        <f t="shared" si="239"/>
        <v/>
      </c>
      <c r="T1886" s="1" t="str">
        <f>IF(OR($C1886="",$D1886&lt;&gt;"Gelir",$L1886=""),"",IFERROR(INDEX(MUSTERILER!$B$7:$B$156,MATCH($S1886,MUSTERILER!$T$7:$T$156,0)),""))</f>
        <v/>
      </c>
      <c r="U1886" s="1" t="str">
        <f>IF($T1886="","",$T1886&amp;"|"&amp;COUNTIFS($T$7:$T1886,$T1886))</f>
        <v/>
      </c>
      <c r="V1886" s="1">
        <f t="shared" si="240"/>
        <v>0</v>
      </c>
      <c r="W1886" s="1" t="str">
        <f t="shared" si="241"/>
        <v/>
      </c>
      <c r="X1886" s="1"/>
      <c r="Y1886" s="1"/>
      <c r="Z1886" s="1"/>
      <c r="AA1886" s="1"/>
      <c r="AB1886" s="1"/>
      <c r="AC1886" s="1"/>
      <c r="AD1886" s="1">
        <f>IF($C1886="",0,SUMPRODUCT((AY_SONU!$O$7:$O$42="Evet")*(AY_SONU!$B$7:$B$42=DATE(YEAR($C1886),MONTH($C1886),1))))</f>
        <v>0</v>
      </c>
      <c r="AE1886" s="1" t="str">
        <f>IF($E1886="","",$E1886&amp;"|"&amp;COUNTIFS($E$7:$E1886,$E1886))</f>
        <v/>
      </c>
    </row>
    <row r="1887" spans="1:31" ht="18" customHeight="1" x14ac:dyDescent="0.3">
      <c r="A1887" s="2"/>
      <c r="B1887" s="65" t="str">
        <f t="shared" si="234"/>
        <v/>
      </c>
      <c r="C1887" s="66"/>
      <c r="D1887" s="60"/>
      <c r="E1887" s="61"/>
      <c r="F1887" s="61"/>
      <c r="G1887" s="67"/>
      <c r="H1887" s="60"/>
      <c r="I1887" s="60"/>
      <c r="J1887" s="61"/>
      <c r="K1887" s="61"/>
      <c r="L1887" s="60"/>
      <c r="M1887" s="74" t="str">
        <f t="shared" si="235"/>
        <v/>
      </c>
      <c r="N1887" s="74" t="str">
        <f t="shared" si="236"/>
        <v/>
      </c>
      <c r="O1887" s="73" t="str">
        <f t="shared" si="237"/>
        <v/>
      </c>
      <c r="P1887" s="65" t="str">
        <f t="shared" ca="1" si="238"/>
        <v/>
      </c>
      <c r="Q1887" s="2"/>
      <c r="R1887" s="2"/>
      <c r="S1887" s="1" t="str">
        <f t="shared" si="239"/>
        <v/>
      </c>
      <c r="T1887" s="1" t="str">
        <f>IF(OR($C1887="",$D1887&lt;&gt;"Gelir",$L1887=""),"",IFERROR(INDEX(MUSTERILER!$B$7:$B$156,MATCH($S1887,MUSTERILER!$T$7:$T$156,0)),""))</f>
        <v/>
      </c>
      <c r="U1887" s="1" t="str">
        <f>IF($T1887="","",$T1887&amp;"|"&amp;COUNTIFS($T$7:$T1887,$T1887))</f>
        <v/>
      </c>
      <c r="V1887" s="1">
        <f t="shared" si="240"/>
        <v>0</v>
      </c>
      <c r="W1887" s="1" t="str">
        <f t="shared" si="241"/>
        <v/>
      </c>
      <c r="X1887" s="1"/>
      <c r="Y1887" s="1"/>
      <c r="Z1887" s="1"/>
      <c r="AA1887" s="1"/>
      <c r="AB1887" s="1"/>
      <c r="AC1887" s="1"/>
      <c r="AD1887" s="1">
        <f>IF($C1887="",0,SUMPRODUCT((AY_SONU!$O$7:$O$42="Evet")*(AY_SONU!$B$7:$B$42=DATE(YEAR($C1887),MONTH($C1887),1))))</f>
        <v>0</v>
      </c>
      <c r="AE1887" s="1" t="str">
        <f>IF($E1887="","",$E1887&amp;"|"&amp;COUNTIFS($E$7:$E1887,$E1887))</f>
        <v/>
      </c>
    </row>
    <row r="1888" spans="1:31" ht="18" customHeight="1" x14ac:dyDescent="0.3">
      <c r="A1888" s="2"/>
      <c r="B1888" s="65" t="str">
        <f t="shared" si="234"/>
        <v/>
      </c>
      <c r="C1888" s="66"/>
      <c r="D1888" s="60"/>
      <c r="E1888" s="61"/>
      <c r="F1888" s="61"/>
      <c r="G1888" s="67"/>
      <c r="H1888" s="60"/>
      <c r="I1888" s="60"/>
      <c r="J1888" s="61"/>
      <c r="K1888" s="61"/>
      <c r="L1888" s="60"/>
      <c r="M1888" s="74" t="str">
        <f t="shared" si="235"/>
        <v/>
      </c>
      <c r="N1888" s="74" t="str">
        <f t="shared" si="236"/>
        <v/>
      </c>
      <c r="O1888" s="73" t="str">
        <f t="shared" si="237"/>
        <v/>
      </c>
      <c r="P1888" s="65" t="str">
        <f t="shared" ca="1" si="238"/>
        <v/>
      </c>
      <c r="Q1888" s="2"/>
      <c r="R1888" s="2"/>
      <c r="S1888" s="1" t="str">
        <f t="shared" si="239"/>
        <v/>
      </c>
      <c r="T1888" s="1" t="str">
        <f>IF(OR($C1888="",$D1888&lt;&gt;"Gelir",$L1888=""),"",IFERROR(INDEX(MUSTERILER!$B$7:$B$156,MATCH($S1888,MUSTERILER!$T$7:$T$156,0)),""))</f>
        <v/>
      </c>
      <c r="U1888" s="1" t="str">
        <f>IF($T1888="","",$T1888&amp;"|"&amp;COUNTIFS($T$7:$T1888,$T1888))</f>
        <v/>
      </c>
      <c r="V1888" s="1">
        <f t="shared" si="240"/>
        <v>0</v>
      </c>
      <c r="W1888" s="1" t="str">
        <f t="shared" si="241"/>
        <v/>
      </c>
      <c r="X1888" s="1"/>
      <c r="Y1888" s="1"/>
      <c r="Z1888" s="1"/>
      <c r="AA1888" s="1"/>
      <c r="AB1888" s="1"/>
      <c r="AC1888" s="1"/>
      <c r="AD1888" s="1">
        <f>IF($C1888="",0,SUMPRODUCT((AY_SONU!$O$7:$O$42="Evet")*(AY_SONU!$B$7:$B$42=DATE(YEAR($C1888),MONTH($C1888),1))))</f>
        <v>0</v>
      </c>
      <c r="AE1888" s="1" t="str">
        <f>IF($E1888="","",$E1888&amp;"|"&amp;COUNTIFS($E$7:$E1888,$E1888))</f>
        <v/>
      </c>
    </row>
    <row r="1889" spans="1:31" ht="18" customHeight="1" x14ac:dyDescent="0.3">
      <c r="A1889" s="2"/>
      <c r="B1889" s="65" t="str">
        <f t="shared" si="234"/>
        <v/>
      </c>
      <c r="C1889" s="66"/>
      <c r="D1889" s="60"/>
      <c r="E1889" s="61"/>
      <c r="F1889" s="61"/>
      <c r="G1889" s="67"/>
      <c r="H1889" s="60"/>
      <c r="I1889" s="60"/>
      <c r="J1889" s="61"/>
      <c r="K1889" s="61"/>
      <c r="L1889" s="60"/>
      <c r="M1889" s="74" t="str">
        <f t="shared" si="235"/>
        <v/>
      </c>
      <c r="N1889" s="74" t="str">
        <f t="shared" si="236"/>
        <v/>
      </c>
      <c r="O1889" s="73" t="str">
        <f t="shared" si="237"/>
        <v/>
      </c>
      <c r="P1889" s="65" t="str">
        <f t="shared" ca="1" si="238"/>
        <v/>
      </c>
      <c r="Q1889" s="2"/>
      <c r="R1889" s="2"/>
      <c r="S1889" s="1" t="str">
        <f t="shared" si="239"/>
        <v/>
      </c>
      <c r="T1889" s="1" t="str">
        <f>IF(OR($C1889="",$D1889&lt;&gt;"Gelir",$L1889=""),"",IFERROR(INDEX(MUSTERILER!$B$7:$B$156,MATCH($S1889,MUSTERILER!$T$7:$T$156,0)),""))</f>
        <v/>
      </c>
      <c r="U1889" s="1" t="str">
        <f>IF($T1889="","",$T1889&amp;"|"&amp;COUNTIFS($T$7:$T1889,$T1889))</f>
        <v/>
      </c>
      <c r="V1889" s="1">
        <f t="shared" si="240"/>
        <v>0</v>
      </c>
      <c r="W1889" s="1" t="str">
        <f t="shared" si="241"/>
        <v/>
      </c>
      <c r="X1889" s="1"/>
      <c r="Y1889" s="1"/>
      <c r="Z1889" s="1"/>
      <c r="AA1889" s="1"/>
      <c r="AB1889" s="1"/>
      <c r="AC1889" s="1"/>
      <c r="AD1889" s="1">
        <f>IF($C1889="",0,SUMPRODUCT((AY_SONU!$O$7:$O$42="Evet")*(AY_SONU!$B$7:$B$42=DATE(YEAR($C1889),MONTH($C1889),1))))</f>
        <v>0</v>
      </c>
      <c r="AE1889" s="1" t="str">
        <f>IF($E1889="","",$E1889&amp;"|"&amp;COUNTIFS($E$7:$E1889,$E1889))</f>
        <v/>
      </c>
    </row>
    <row r="1890" spans="1:31" ht="18" customHeight="1" x14ac:dyDescent="0.3">
      <c r="A1890" s="2"/>
      <c r="B1890" s="65" t="str">
        <f t="shared" si="234"/>
        <v/>
      </c>
      <c r="C1890" s="66"/>
      <c r="D1890" s="60"/>
      <c r="E1890" s="61"/>
      <c r="F1890" s="61"/>
      <c r="G1890" s="67"/>
      <c r="H1890" s="60"/>
      <c r="I1890" s="60"/>
      <c r="J1890" s="61"/>
      <c r="K1890" s="61"/>
      <c r="L1890" s="60"/>
      <c r="M1890" s="74" t="str">
        <f t="shared" si="235"/>
        <v/>
      </c>
      <c r="N1890" s="74" t="str">
        <f t="shared" si="236"/>
        <v/>
      </c>
      <c r="O1890" s="73" t="str">
        <f t="shared" si="237"/>
        <v/>
      </c>
      <c r="P1890" s="65" t="str">
        <f t="shared" ca="1" si="238"/>
        <v/>
      </c>
      <c r="Q1890" s="2"/>
      <c r="R1890" s="2"/>
      <c r="S1890" s="1" t="str">
        <f t="shared" si="239"/>
        <v/>
      </c>
      <c r="T1890" s="1" t="str">
        <f>IF(OR($C1890="",$D1890&lt;&gt;"Gelir",$L1890=""),"",IFERROR(INDEX(MUSTERILER!$B$7:$B$156,MATCH($S1890,MUSTERILER!$T$7:$T$156,0)),""))</f>
        <v/>
      </c>
      <c r="U1890" s="1" t="str">
        <f>IF($T1890="","",$T1890&amp;"|"&amp;COUNTIFS($T$7:$T1890,$T1890))</f>
        <v/>
      </c>
      <c r="V1890" s="1">
        <f t="shared" si="240"/>
        <v>0</v>
      </c>
      <c r="W1890" s="1" t="str">
        <f t="shared" si="241"/>
        <v/>
      </c>
      <c r="X1890" s="1"/>
      <c r="Y1890" s="1"/>
      <c r="Z1890" s="1"/>
      <c r="AA1890" s="1"/>
      <c r="AB1890" s="1"/>
      <c r="AC1890" s="1"/>
      <c r="AD1890" s="1">
        <f>IF($C1890="",0,SUMPRODUCT((AY_SONU!$O$7:$O$42="Evet")*(AY_SONU!$B$7:$B$42=DATE(YEAR($C1890),MONTH($C1890),1))))</f>
        <v>0</v>
      </c>
      <c r="AE1890" s="1" t="str">
        <f>IF($E1890="","",$E1890&amp;"|"&amp;COUNTIFS($E$7:$E1890,$E1890))</f>
        <v/>
      </c>
    </row>
    <row r="1891" spans="1:31" ht="18" customHeight="1" x14ac:dyDescent="0.3">
      <c r="A1891" s="2"/>
      <c r="B1891" s="65" t="str">
        <f t="shared" si="234"/>
        <v/>
      </c>
      <c r="C1891" s="66"/>
      <c r="D1891" s="60"/>
      <c r="E1891" s="61"/>
      <c r="F1891" s="61"/>
      <c r="G1891" s="67"/>
      <c r="H1891" s="60"/>
      <c r="I1891" s="60"/>
      <c r="J1891" s="61"/>
      <c r="K1891" s="61"/>
      <c r="L1891" s="60"/>
      <c r="M1891" s="74" t="str">
        <f t="shared" si="235"/>
        <v/>
      </c>
      <c r="N1891" s="74" t="str">
        <f t="shared" si="236"/>
        <v/>
      </c>
      <c r="O1891" s="73" t="str">
        <f t="shared" si="237"/>
        <v/>
      </c>
      <c r="P1891" s="65" t="str">
        <f t="shared" ca="1" si="238"/>
        <v/>
      </c>
      <c r="Q1891" s="2"/>
      <c r="R1891" s="2"/>
      <c r="S1891" s="1" t="str">
        <f t="shared" si="239"/>
        <v/>
      </c>
      <c r="T1891" s="1" t="str">
        <f>IF(OR($C1891="",$D1891&lt;&gt;"Gelir",$L1891=""),"",IFERROR(INDEX(MUSTERILER!$B$7:$B$156,MATCH($S1891,MUSTERILER!$T$7:$T$156,0)),""))</f>
        <v/>
      </c>
      <c r="U1891" s="1" t="str">
        <f>IF($T1891="","",$T1891&amp;"|"&amp;COUNTIFS($T$7:$T1891,$T1891))</f>
        <v/>
      </c>
      <c r="V1891" s="1">
        <f t="shared" si="240"/>
        <v>0</v>
      </c>
      <c r="W1891" s="1" t="str">
        <f t="shared" si="241"/>
        <v/>
      </c>
      <c r="X1891" s="1"/>
      <c r="Y1891" s="1"/>
      <c r="Z1891" s="1"/>
      <c r="AA1891" s="1"/>
      <c r="AB1891" s="1"/>
      <c r="AC1891" s="1"/>
      <c r="AD1891" s="1">
        <f>IF($C1891="",0,SUMPRODUCT((AY_SONU!$O$7:$O$42="Evet")*(AY_SONU!$B$7:$B$42=DATE(YEAR($C1891),MONTH($C1891),1))))</f>
        <v>0</v>
      </c>
      <c r="AE1891" s="1" t="str">
        <f>IF($E1891="","",$E1891&amp;"|"&amp;COUNTIFS($E$7:$E1891,$E1891))</f>
        <v/>
      </c>
    </row>
    <row r="1892" spans="1:31" ht="18" customHeight="1" x14ac:dyDescent="0.3">
      <c r="A1892" s="2"/>
      <c r="B1892" s="65" t="str">
        <f t="shared" si="234"/>
        <v/>
      </c>
      <c r="C1892" s="66"/>
      <c r="D1892" s="60"/>
      <c r="E1892" s="61"/>
      <c r="F1892" s="61"/>
      <c r="G1892" s="67"/>
      <c r="H1892" s="60"/>
      <c r="I1892" s="60"/>
      <c r="J1892" s="61"/>
      <c r="K1892" s="61"/>
      <c r="L1892" s="60"/>
      <c r="M1892" s="74" t="str">
        <f t="shared" si="235"/>
        <v/>
      </c>
      <c r="N1892" s="74" t="str">
        <f t="shared" si="236"/>
        <v/>
      </c>
      <c r="O1892" s="73" t="str">
        <f t="shared" si="237"/>
        <v/>
      </c>
      <c r="P1892" s="65" t="str">
        <f t="shared" ca="1" si="238"/>
        <v/>
      </c>
      <c r="Q1892" s="2"/>
      <c r="R1892" s="2"/>
      <c r="S1892" s="1" t="str">
        <f t="shared" si="239"/>
        <v/>
      </c>
      <c r="T1892" s="1" t="str">
        <f>IF(OR($C1892="",$D1892&lt;&gt;"Gelir",$L1892=""),"",IFERROR(INDEX(MUSTERILER!$B$7:$B$156,MATCH($S1892,MUSTERILER!$T$7:$T$156,0)),""))</f>
        <v/>
      </c>
      <c r="U1892" s="1" t="str">
        <f>IF($T1892="","",$T1892&amp;"|"&amp;COUNTIFS($T$7:$T1892,$T1892))</f>
        <v/>
      </c>
      <c r="V1892" s="1">
        <f t="shared" si="240"/>
        <v>0</v>
      </c>
      <c r="W1892" s="1" t="str">
        <f t="shared" si="241"/>
        <v/>
      </c>
      <c r="X1892" s="1"/>
      <c r="Y1892" s="1"/>
      <c r="Z1892" s="1"/>
      <c r="AA1892" s="1"/>
      <c r="AB1892" s="1"/>
      <c r="AC1892" s="1"/>
      <c r="AD1892" s="1">
        <f>IF($C1892="",0,SUMPRODUCT((AY_SONU!$O$7:$O$42="Evet")*(AY_SONU!$B$7:$B$42=DATE(YEAR($C1892),MONTH($C1892),1))))</f>
        <v>0</v>
      </c>
      <c r="AE1892" s="1" t="str">
        <f>IF($E1892="","",$E1892&amp;"|"&amp;COUNTIFS($E$7:$E1892,$E1892))</f>
        <v/>
      </c>
    </row>
    <row r="1893" spans="1:31" ht="18" customHeight="1" x14ac:dyDescent="0.3">
      <c r="A1893" s="2"/>
      <c r="B1893" s="65" t="str">
        <f t="shared" si="234"/>
        <v/>
      </c>
      <c r="C1893" s="66"/>
      <c r="D1893" s="60"/>
      <c r="E1893" s="61"/>
      <c r="F1893" s="61"/>
      <c r="G1893" s="67"/>
      <c r="H1893" s="60"/>
      <c r="I1893" s="60"/>
      <c r="J1893" s="61"/>
      <c r="K1893" s="61"/>
      <c r="L1893" s="60"/>
      <c r="M1893" s="74" t="str">
        <f t="shared" si="235"/>
        <v/>
      </c>
      <c r="N1893" s="74" t="str">
        <f t="shared" si="236"/>
        <v/>
      </c>
      <c r="O1893" s="73" t="str">
        <f t="shared" si="237"/>
        <v/>
      </c>
      <c r="P1893" s="65" t="str">
        <f t="shared" ca="1" si="238"/>
        <v/>
      </c>
      <c r="Q1893" s="2"/>
      <c r="R1893" s="2"/>
      <c r="S1893" s="1" t="str">
        <f t="shared" si="239"/>
        <v/>
      </c>
      <c r="T1893" s="1" t="str">
        <f>IF(OR($C1893="",$D1893&lt;&gt;"Gelir",$L1893=""),"",IFERROR(INDEX(MUSTERILER!$B$7:$B$156,MATCH($S1893,MUSTERILER!$T$7:$T$156,0)),""))</f>
        <v/>
      </c>
      <c r="U1893" s="1" t="str">
        <f>IF($T1893="","",$T1893&amp;"|"&amp;COUNTIFS($T$7:$T1893,$T1893))</f>
        <v/>
      </c>
      <c r="V1893" s="1">
        <f t="shared" si="240"/>
        <v>0</v>
      </c>
      <c r="W1893" s="1" t="str">
        <f t="shared" si="241"/>
        <v/>
      </c>
      <c r="X1893" s="1"/>
      <c r="Y1893" s="1"/>
      <c r="Z1893" s="1"/>
      <c r="AA1893" s="1"/>
      <c r="AB1893" s="1"/>
      <c r="AC1893" s="1"/>
      <c r="AD1893" s="1">
        <f>IF($C1893="",0,SUMPRODUCT((AY_SONU!$O$7:$O$42="Evet")*(AY_SONU!$B$7:$B$42=DATE(YEAR($C1893),MONTH($C1893),1))))</f>
        <v>0</v>
      </c>
      <c r="AE1893" s="1" t="str">
        <f>IF($E1893="","",$E1893&amp;"|"&amp;COUNTIFS($E$7:$E1893,$E1893))</f>
        <v/>
      </c>
    </row>
    <row r="1894" spans="1:31" ht="18" customHeight="1" x14ac:dyDescent="0.3">
      <c r="A1894" s="2"/>
      <c r="B1894" s="65" t="str">
        <f t="shared" si="234"/>
        <v/>
      </c>
      <c r="C1894" s="66"/>
      <c r="D1894" s="60"/>
      <c r="E1894" s="61"/>
      <c r="F1894" s="61"/>
      <c r="G1894" s="67"/>
      <c r="H1894" s="60"/>
      <c r="I1894" s="60"/>
      <c r="J1894" s="61"/>
      <c r="K1894" s="61"/>
      <c r="L1894" s="60"/>
      <c r="M1894" s="74" t="str">
        <f t="shared" si="235"/>
        <v/>
      </c>
      <c r="N1894" s="74" t="str">
        <f t="shared" si="236"/>
        <v/>
      </c>
      <c r="O1894" s="73" t="str">
        <f t="shared" si="237"/>
        <v/>
      </c>
      <c r="P1894" s="65" t="str">
        <f t="shared" ca="1" si="238"/>
        <v/>
      </c>
      <c r="Q1894" s="2"/>
      <c r="R1894" s="2"/>
      <c r="S1894" s="1" t="str">
        <f t="shared" si="239"/>
        <v/>
      </c>
      <c r="T1894" s="1" t="str">
        <f>IF(OR($C1894="",$D1894&lt;&gt;"Gelir",$L1894=""),"",IFERROR(INDEX(MUSTERILER!$B$7:$B$156,MATCH($S1894,MUSTERILER!$T$7:$T$156,0)),""))</f>
        <v/>
      </c>
      <c r="U1894" s="1" t="str">
        <f>IF($T1894="","",$T1894&amp;"|"&amp;COUNTIFS($T$7:$T1894,$T1894))</f>
        <v/>
      </c>
      <c r="V1894" s="1">
        <f t="shared" si="240"/>
        <v>0</v>
      </c>
      <c r="W1894" s="1" t="str">
        <f t="shared" si="241"/>
        <v/>
      </c>
      <c r="X1894" s="1"/>
      <c r="Y1894" s="1"/>
      <c r="Z1894" s="1"/>
      <c r="AA1894" s="1"/>
      <c r="AB1894" s="1"/>
      <c r="AC1894" s="1"/>
      <c r="AD1894" s="1">
        <f>IF($C1894="",0,SUMPRODUCT((AY_SONU!$O$7:$O$42="Evet")*(AY_SONU!$B$7:$B$42=DATE(YEAR($C1894),MONTH($C1894),1))))</f>
        <v>0</v>
      </c>
      <c r="AE1894" s="1" t="str">
        <f>IF($E1894="","",$E1894&amp;"|"&amp;COUNTIFS($E$7:$E1894,$E1894))</f>
        <v/>
      </c>
    </row>
    <row r="1895" spans="1:31" ht="18" customHeight="1" x14ac:dyDescent="0.3">
      <c r="A1895" s="2"/>
      <c r="B1895" s="65" t="str">
        <f t="shared" si="234"/>
        <v/>
      </c>
      <c r="C1895" s="66"/>
      <c r="D1895" s="60"/>
      <c r="E1895" s="61"/>
      <c r="F1895" s="61"/>
      <c r="G1895" s="67"/>
      <c r="H1895" s="60"/>
      <c r="I1895" s="60"/>
      <c r="J1895" s="61"/>
      <c r="K1895" s="61"/>
      <c r="L1895" s="60"/>
      <c r="M1895" s="74" t="str">
        <f t="shared" si="235"/>
        <v/>
      </c>
      <c r="N1895" s="74" t="str">
        <f t="shared" si="236"/>
        <v/>
      </c>
      <c r="O1895" s="73" t="str">
        <f t="shared" si="237"/>
        <v/>
      </c>
      <c r="P1895" s="65" t="str">
        <f t="shared" ca="1" si="238"/>
        <v/>
      </c>
      <c r="Q1895" s="2"/>
      <c r="R1895" s="2"/>
      <c r="S1895" s="1" t="str">
        <f t="shared" si="239"/>
        <v/>
      </c>
      <c r="T1895" s="1" t="str">
        <f>IF(OR($C1895="",$D1895&lt;&gt;"Gelir",$L1895=""),"",IFERROR(INDEX(MUSTERILER!$B$7:$B$156,MATCH($S1895,MUSTERILER!$T$7:$T$156,0)),""))</f>
        <v/>
      </c>
      <c r="U1895" s="1" t="str">
        <f>IF($T1895="","",$T1895&amp;"|"&amp;COUNTIFS($T$7:$T1895,$T1895))</f>
        <v/>
      </c>
      <c r="V1895" s="1">
        <f t="shared" si="240"/>
        <v>0</v>
      </c>
      <c r="W1895" s="1" t="str">
        <f t="shared" si="241"/>
        <v/>
      </c>
      <c r="X1895" s="1"/>
      <c r="Y1895" s="1"/>
      <c r="Z1895" s="1"/>
      <c r="AA1895" s="1"/>
      <c r="AB1895" s="1"/>
      <c r="AC1895" s="1"/>
      <c r="AD1895" s="1">
        <f>IF($C1895="",0,SUMPRODUCT((AY_SONU!$O$7:$O$42="Evet")*(AY_SONU!$B$7:$B$42=DATE(YEAR($C1895),MONTH($C1895),1))))</f>
        <v>0</v>
      </c>
      <c r="AE1895" s="1" t="str">
        <f>IF($E1895="","",$E1895&amp;"|"&amp;COUNTIFS($E$7:$E1895,$E1895))</f>
        <v/>
      </c>
    </row>
    <row r="1896" spans="1:31" ht="18" customHeight="1" x14ac:dyDescent="0.3">
      <c r="A1896" s="2"/>
      <c r="B1896" s="65" t="str">
        <f t="shared" si="234"/>
        <v/>
      </c>
      <c r="C1896" s="66"/>
      <c r="D1896" s="60"/>
      <c r="E1896" s="61"/>
      <c r="F1896" s="61"/>
      <c r="G1896" s="67"/>
      <c r="H1896" s="60"/>
      <c r="I1896" s="60"/>
      <c r="J1896" s="61"/>
      <c r="K1896" s="61"/>
      <c r="L1896" s="60"/>
      <c r="M1896" s="74" t="str">
        <f t="shared" si="235"/>
        <v/>
      </c>
      <c r="N1896" s="74" t="str">
        <f t="shared" si="236"/>
        <v/>
      </c>
      <c r="O1896" s="73" t="str">
        <f t="shared" si="237"/>
        <v/>
      </c>
      <c r="P1896" s="65" t="str">
        <f t="shared" ca="1" si="238"/>
        <v/>
      </c>
      <c r="Q1896" s="2"/>
      <c r="R1896" s="2"/>
      <c r="S1896" s="1" t="str">
        <f t="shared" si="239"/>
        <v/>
      </c>
      <c r="T1896" s="1" t="str">
        <f>IF(OR($C1896="",$D1896&lt;&gt;"Gelir",$L1896=""),"",IFERROR(INDEX(MUSTERILER!$B$7:$B$156,MATCH($S1896,MUSTERILER!$T$7:$T$156,0)),""))</f>
        <v/>
      </c>
      <c r="U1896" s="1" t="str">
        <f>IF($T1896="","",$T1896&amp;"|"&amp;COUNTIFS($T$7:$T1896,$T1896))</f>
        <v/>
      </c>
      <c r="V1896" s="1">
        <f t="shared" si="240"/>
        <v>0</v>
      </c>
      <c r="W1896" s="1" t="str">
        <f t="shared" si="241"/>
        <v/>
      </c>
      <c r="X1896" s="1"/>
      <c r="Y1896" s="1"/>
      <c r="Z1896" s="1"/>
      <c r="AA1896" s="1"/>
      <c r="AB1896" s="1"/>
      <c r="AC1896" s="1"/>
      <c r="AD1896" s="1">
        <f>IF($C1896="",0,SUMPRODUCT((AY_SONU!$O$7:$O$42="Evet")*(AY_SONU!$B$7:$B$42=DATE(YEAR($C1896),MONTH($C1896),1))))</f>
        <v>0</v>
      </c>
      <c r="AE1896" s="1" t="str">
        <f>IF($E1896="","",$E1896&amp;"|"&amp;COUNTIFS($E$7:$E1896,$E1896))</f>
        <v/>
      </c>
    </row>
    <row r="1897" spans="1:31" ht="18" customHeight="1" x14ac:dyDescent="0.3">
      <c r="A1897" s="2"/>
      <c r="B1897" s="65" t="str">
        <f t="shared" si="234"/>
        <v/>
      </c>
      <c r="C1897" s="66"/>
      <c r="D1897" s="60"/>
      <c r="E1897" s="61"/>
      <c r="F1897" s="61"/>
      <c r="G1897" s="67"/>
      <c r="H1897" s="60"/>
      <c r="I1897" s="60"/>
      <c r="J1897" s="61"/>
      <c r="K1897" s="61"/>
      <c r="L1897" s="60"/>
      <c r="M1897" s="74" t="str">
        <f t="shared" si="235"/>
        <v/>
      </c>
      <c r="N1897" s="74" t="str">
        <f t="shared" si="236"/>
        <v/>
      </c>
      <c r="O1897" s="73" t="str">
        <f t="shared" si="237"/>
        <v/>
      </c>
      <c r="P1897" s="65" t="str">
        <f t="shared" ca="1" si="238"/>
        <v/>
      </c>
      <c r="Q1897" s="2"/>
      <c r="R1897" s="2"/>
      <c r="S1897" s="1" t="str">
        <f t="shared" si="239"/>
        <v/>
      </c>
      <c r="T1897" s="1" t="str">
        <f>IF(OR($C1897="",$D1897&lt;&gt;"Gelir",$L1897=""),"",IFERROR(INDEX(MUSTERILER!$B$7:$B$156,MATCH($S1897,MUSTERILER!$T$7:$T$156,0)),""))</f>
        <v/>
      </c>
      <c r="U1897" s="1" t="str">
        <f>IF($T1897="","",$T1897&amp;"|"&amp;COUNTIFS($T$7:$T1897,$T1897))</f>
        <v/>
      </c>
      <c r="V1897" s="1">
        <f t="shared" si="240"/>
        <v>0</v>
      </c>
      <c r="W1897" s="1" t="str">
        <f t="shared" si="241"/>
        <v/>
      </c>
      <c r="X1897" s="1"/>
      <c r="Y1897" s="1"/>
      <c r="Z1897" s="1"/>
      <c r="AA1897" s="1"/>
      <c r="AB1897" s="1"/>
      <c r="AC1897" s="1"/>
      <c r="AD1897" s="1">
        <f>IF($C1897="",0,SUMPRODUCT((AY_SONU!$O$7:$O$42="Evet")*(AY_SONU!$B$7:$B$42=DATE(YEAR($C1897),MONTH($C1897),1))))</f>
        <v>0</v>
      </c>
      <c r="AE1897" s="1" t="str">
        <f>IF($E1897="","",$E1897&amp;"|"&amp;COUNTIFS($E$7:$E1897,$E1897))</f>
        <v/>
      </c>
    </row>
    <row r="1898" spans="1:31" ht="18" customHeight="1" x14ac:dyDescent="0.3">
      <c r="A1898" s="2"/>
      <c r="B1898" s="65" t="str">
        <f t="shared" si="234"/>
        <v/>
      </c>
      <c r="C1898" s="66"/>
      <c r="D1898" s="60"/>
      <c r="E1898" s="61"/>
      <c r="F1898" s="61"/>
      <c r="G1898" s="67"/>
      <c r="H1898" s="60"/>
      <c r="I1898" s="60"/>
      <c r="J1898" s="61"/>
      <c r="K1898" s="61"/>
      <c r="L1898" s="60"/>
      <c r="M1898" s="74" t="str">
        <f t="shared" si="235"/>
        <v/>
      </c>
      <c r="N1898" s="74" t="str">
        <f t="shared" si="236"/>
        <v/>
      </c>
      <c r="O1898" s="73" t="str">
        <f t="shared" si="237"/>
        <v/>
      </c>
      <c r="P1898" s="65" t="str">
        <f t="shared" ca="1" si="238"/>
        <v/>
      </c>
      <c r="Q1898" s="2"/>
      <c r="R1898" s="2"/>
      <c r="S1898" s="1" t="str">
        <f t="shared" si="239"/>
        <v/>
      </c>
      <c r="T1898" s="1" t="str">
        <f>IF(OR($C1898="",$D1898&lt;&gt;"Gelir",$L1898=""),"",IFERROR(INDEX(MUSTERILER!$B$7:$B$156,MATCH($S1898,MUSTERILER!$T$7:$T$156,0)),""))</f>
        <v/>
      </c>
      <c r="U1898" s="1" t="str">
        <f>IF($T1898="","",$T1898&amp;"|"&amp;COUNTIFS($T$7:$T1898,$T1898))</f>
        <v/>
      </c>
      <c r="V1898" s="1">
        <f t="shared" si="240"/>
        <v>0</v>
      </c>
      <c r="W1898" s="1" t="str">
        <f t="shared" si="241"/>
        <v/>
      </c>
      <c r="X1898" s="1"/>
      <c r="Y1898" s="1"/>
      <c r="Z1898" s="1"/>
      <c r="AA1898" s="1"/>
      <c r="AB1898" s="1"/>
      <c r="AC1898" s="1"/>
      <c r="AD1898" s="1">
        <f>IF($C1898="",0,SUMPRODUCT((AY_SONU!$O$7:$O$42="Evet")*(AY_SONU!$B$7:$B$42=DATE(YEAR($C1898),MONTH($C1898),1))))</f>
        <v>0</v>
      </c>
      <c r="AE1898" s="1" t="str">
        <f>IF($E1898="","",$E1898&amp;"|"&amp;COUNTIFS($E$7:$E1898,$E1898))</f>
        <v/>
      </c>
    </row>
    <row r="1899" spans="1:31" ht="18" customHeight="1" x14ac:dyDescent="0.3">
      <c r="A1899" s="2"/>
      <c r="B1899" s="65" t="str">
        <f t="shared" si="234"/>
        <v/>
      </c>
      <c r="C1899" s="66"/>
      <c r="D1899" s="60"/>
      <c r="E1899" s="61"/>
      <c r="F1899" s="61"/>
      <c r="G1899" s="67"/>
      <c r="H1899" s="60"/>
      <c r="I1899" s="60"/>
      <c r="J1899" s="61"/>
      <c r="K1899" s="61"/>
      <c r="L1899" s="60"/>
      <c r="M1899" s="74" t="str">
        <f t="shared" si="235"/>
        <v/>
      </c>
      <c r="N1899" s="74" t="str">
        <f t="shared" si="236"/>
        <v/>
      </c>
      <c r="O1899" s="73" t="str">
        <f t="shared" si="237"/>
        <v/>
      </c>
      <c r="P1899" s="65" t="str">
        <f t="shared" ca="1" si="238"/>
        <v/>
      </c>
      <c r="Q1899" s="2"/>
      <c r="R1899" s="2"/>
      <c r="S1899" s="1" t="str">
        <f t="shared" si="239"/>
        <v/>
      </c>
      <c r="T1899" s="1" t="str">
        <f>IF(OR($C1899="",$D1899&lt;&gt;"Gelir",$L1899=""),"",IFERROR(INDEX(MUSTERILER!$B$7:$B$156,MATCH($S1899,MUSTERILER!$T$7:$T$156,0)),""))</f>
        <v/>
      </c>
      <c r="U1899" s="1" t="str">
        <f>IF($T1899="","",$T1899&amp;"|"&amp;COUNTIFS($T$7:$T1899,$T1899))</f>
        <v/>
      </c>
      <c r="V1899" s="1">
        <f t="shared" si="240"/>
        <v>0</v>
      </c>
      <c r="W1899" s="1" t="str">
        <f t="shared" si="241"/>
        <v/>
      </c>
      <c r="X1899" s="1"/>
      <c r="Y1899" s="1"/>
      <c r="Z1899" s="1"/>
      <c r="AA1899" s="1"/>
      <c r="AB1899" s="1"/>
      <c r="AC1899" s="1"/>
      <c r="AD1899" s="1">
        <f>IF($C1899="",0,SUMPRODUCT((AY_SONU!$O$7:$O$42="Evet")*(AY_SONU!$B$7:$B$42=DATE(YEAR($C1899),MONTH($C1899),1))))</f>
        <v>0</v>
      </c>
      <c r="AE1899" s="1" t="str">
        <f>IF($E1899="","",$E1899&amp;"|"&amp;COUNTIFS($E$7:$E1899,$E1899))</f>
        <v/>
      </c>
    </row>
    <row r="1900" spans="1:31" ht="18" customHeight="1" x14ac:dyDescent="0.3">
      <c r="A1900" s="2"/>
      <c r="B1900" s="65" t="str">
        <f t="shared" si="234"/>
        <v/>
      </c>
      <c r="C1900" s="66"/>
      <c r="D1900" s="60"/>
      <c r="E1900" s="61"/>
      <c r="F1900" s="61"/>
      <c r="G1900" s="67"/>
      <c r="H1900" s="60"/>
      <c r="I1900" s="60"/>
      <c r="J1900" s="61"/>
      <c r="K1900" s="61"/>
      <c r="L1900" s="60"/>
      <c r="M1900" s="74" t="str">
        <f t="shared" si="235"/>
        <v/>
      </c>
      <c r="N1900" s="74" t="str">
        <f t="shared" si="236"/>
        <v/>
      </c>
      <c r="O1900" s="73" t="str">
        <f t="shared" si="237"/>
        <v/>
      </c>
      <c r="P1900" s="65" t="str">
        <f t="shared" ca="1" si="238"/>
        <v/>
      </c>
      <c r="Q1900" s="2"/>
      <c r="R1900" s="2"/>
      <c r="S1900" s="1" t="str">
        <f t="shared" si="239"/>
        <v/>
      </c>
      <c r="T1900" s="1" t="str">
        <f>IF(OR($C1900="",$D1900&lt;&gt;"Gelir",$L1900=""),"",IFERROR(INDEX(MUSTERILER!$B$7:$B$156,MATCH($S1900,MUSTERILER!$T$7:$T$156,0)),""))</f>
        <v/>
      </c>
      <c r="U1900" s="1" t="str">
        <f>IF($T1900="","",$T1900&amp;"|"&amp;COUNTIFS($T$7:$T1900,$T1900))</f>
        <v/>
      </c>
      <c r="V1900" s="1">
        <f t="shared" si="240"/>
        <v>0</v>
      </c>
      <c r="W1900" s="1" t="str">
        <f t="shared" si="241"/>
        <v/>
      </c>
      <c r="X1900" s="1"/>
      <c r="Y1900" s="1"/>
      <c r="Z1900" s="1"/>
      <c r="AA1900" s="1"/>
      <c r="AB1900" s="1"/>
      <c r="AC1900" s="1"/>
      <c r="AD1900" s="1">
        <f>IF($C1900="",0,SUMPRODUCT((AY_SONU!$O$7:$O$42="Evet")*(AY_SONU!$B$7:$B$42=DATE(YEAR($C1900),MONTH($C1900),1))))</f>
        <v>0</v>
      </c>
      <c r="AE1900" s="1" t="str">
        <f>IF($E1900="","",$E1900&amp;"|"&amp;COUNTIFS($E$7:$E1900,$E1900))</f>
        <v/>
      </c>
    </row>
    <row r="1901" spans="1:31" ht="18" customHeight="1" x14ac:dyDescent="0.3">
      <c r="A1901" s="2"/>
      <c r="B1901" s="65" t="str">
        <f t="shared" si="234"/>
        <v/>
      </c>
      <c r="C1901" s="66"/>
      <c r="D1901" s="60"/>
      <c r="E1901" s="61"/>
      <c r="F1901" s="61"/>
      <c r="G1901" s="67"/>
      <c r="H1901" s="60"/>
      <c r="I1901" s="60"/>
      <c r="J1901" s="61"/>
      <c r="K1901" s="61"/>
      <c r="L1901" s="60"/>
      <c r="M1901" s="74" t="str">
        <f t="shared" si="235"/>
        <v/>
      </c>
      <c r="N1901" s="74" t="str">
        <f t="shared" si="236"/>
        <v/>
      </c>
      <c r="O1901" s="73" t="str">
        <f t="shared" si="237"/>
        <v/>
      </c>
      <c r="P1901" s="65" t="str">
        <f t="shared" ca="1" si="238"/>
        <v/>
      </c>
      <c r="Q1901" s="2"/>
      <c r="R1901" s="2"/>
      <c r="S1901" s="1" t="str">
        <f t="shared" si="239"/>
        <v/>
      </c>
      <c r="T1901" s="1" t="str">
        <f>IF(OR($C1901="",$D1901&lt;&gt;"Gelir",$L1901=""),"",IFERROR(INDEX(MUSTERILER!$B$7:$B$156,MATCH($S1901,MUSTERILER!$T$7:$T$156,0)),""))</f>
        <v/>
      </c>
      <c r="U1901" s="1" t="str">
        <f>IF($T1901="","",$T1901&amp;"|"&amp;COUNTIFS($T$7:$T1901,$T1901))</f>
        <v/>
      </c>
      <c r="V1901" s="1">
        <f t="shared" si="240"/>
        <v>0</v>
      </c>
      <c r="W1901" s="1" t="str">
        <f t="shared" si="241"/>
        <v/>
      </c>
      <c r="X1901" s="1"/>
      <c r="Y1901" s="1"/>
      <c r="Z1901" s="1"/>
      <c r="AA1901" s="1"/>
      <c r="AB1901" s="1"/>
      <c r="AC1901" s="1"/>
      <c r="AD1901" s="1">
        <f>IF($C1901="",0,SUMPRODUCT((AY_SONU!$O$7:$O$42="Evet")*(AY_SONU!$B$7:$B$42=DATE(YEAR($C1901),MONTH($C1901),1))))</f>
        <v>0</v>
      </c>
      <c r="AE1901" s="1" t="str">
        <f>IF($E1901="","",$E1901&amp;"|"&amp;COUNTIFS($E$7:$E1901,$E1901))</f>
        <v/>
      </c>
    </row>
    <row r="1902" spans="1:31" ht="18" customHeight="1" x14ac:dyDescent="0.3">
      <c r="A1902" s="2"/>
      <c r="B1902" s="65" t="str">
        <f t="shared" si="234"/>
        <v/>
      </c>
      <c r="C1902" s="66"/>
      <c r="D1902" s="60"/>
      <c r="E1902" s="61"/>
      <c r="F1902" s="61"/>
      <c r="G1902" s="67"/>
      <c r="H1902" s="60"/>
      <c r="I1902" s="60"/>
      <c r="J1902" s="61"/>
      <c r="K1902" s="61"/>
      <c r="L1902" s="60"/>
      <c r="M1902" s="74" t="str">
        <f t="shared" si="235"/>
        <v/>
      </c>
      <c r="N1902" s="74" t="str">
        <f t="shared" si="236"/>
        <v/>
      </c>
      <c r="O1902" s="73" t="str">
        <f t="shared" si="237"/>
        <v/>
      </c>
      <c r="P1902" s="65" t="str">
        <f t="shared" ca="1" si="238"/>
        <v/>
      </c>
      <c r="Q1902" s="2"/>
      <c r="R1902" s="2"/>
      <c r="S1902" s="1" t="str">
        <f t="shared" si="239"/>
        <v/>
      </c>
      <c r="T1902" s="1" t="str">
        <f>IF(OR($C1902="",$D1902&lt;&gt;"Gelir",$L1902=""),"",IFERROR(INDEX(MUSTERILER!$B$7:$B$156,MATCH($S1902,MUSTERILER!$T$7:$T$156,0)),""))</f>
        <v/>
      </c>
      <c r="U1902" s="1" t="str">
        <f>IF($T1902="","",$T1902&amp;"|"&amp;COUNTIFS($T$7:$T1902,$T1902))</f>
        <v/>
      </c>
      <c r="V1902" s="1">
        <f t="shared" si="240"/>
        <v>0</v>
      </c>
      <c r="W1902" s="1" t="str">
        <f t="shared" si="241"/>
        <v/>
      </c>
      <c r="X1902" s="1"/>
      <c r="Y1902" s="1"/>
      <c r="Z1902" s="1"/>
      <c r="AA1902" s="1"/>
      <c r="AB1902" s="1"/>
      <c r="AC1902" s="1"/>
      <c r="AD1902" s="1">
        <f>IF($C1902="",0,SUMPRODUCT((AY_SONU!$O$7:$O$42="Evet")*(AY_SONU!$B$7:$B$42=DATE(YEAR($C1902),MONTH($C1902),1))))</f>
        <v>0</v>
      </c>
      <c r="AE1902" s="1" t="str">
        <f>IF($E1902="","",$E1902&amp;"|"&amp;COUNTIFS($E$7:$E1902,$E1902))</f>
        <v/>
      </c>
    </row>
    <row r="1903" spans="1:31" ht="18" customHeight="1" x14ac:dyDescent="0.3">
      <c r="A1903" s="2"/>
      <c r="B1903" s="65" t="str">
        <f t="shared" si="234"/>
        <v/>
      </c>
      <c r="C1903" s="66"/>
      <c r="D1903" s="60"/>
      <c r="E1903" s="61"/>
      <c r="F1903" s="61"/>
      <c r="G1903" s="67"/>
      <c r="H1903" s="60"/>
      <c r="I1903" s="60"/>
      <c r="J1903" s="61"/>
      <c r="K1903" s="61"/>
      <c r="L1903" s="60"/>
      <c r="M1903" s="74" t="str">
        <f t="shared" si="235"/>
        <v/>
      </c>
      <c r="N1903" s="74" t="str">
        <f t="shared" si="236"/>
        <v/>
      </c>
      <c r="O1903" s="73" t="str">
        <f t="shared" si="237"/>
        <v/>
      </c>
      <c r="P1903" s="65" t="str">
        <f t="shared" ca="1" si="238"/>
        <v/>
      </c>
      <c r="Q1903" s="2"/>
      <c r="R1903" s="2"/>
      <c r="S1903" s="1" t="str">
        <f t="shared" si="239"/>
        <v/>
      </c>
      <c r="T1903" s="1" t="str">
        <f>IF(OR($C1903="",$D1903&lt;&gt;"Gelir",$L1903=""),"",IFERROR(INDEX(MUSTERILER!$B$7:$B$156,MATCH($S1903,MUSTERILER!$T$7:$T$156,0)),""))</f>
        <v/>
      </c>
      <c r="U1903" s="1" t="str">
        <f>IF($T1903="","",$T1903&amp;"|"&amp;COUNTIFS($T$7:$T1903,$T1903))</f>
        <v/>
      </c>
      <c r="V1903" s="1">
        <f t="shared" si="240"/>
        <v>0</v>
      </c>
      <c r="W1903" s="1" t="str">
        <f t="shared" si="241"/>
        <v/>
      </c>
      <c r="X1903" s="1"/>
      <c r="Y1903" s="1"/>
      <c r="Z1903" s="1"/>
      <c r="AA1903" s="1"/>
      <c r="AB1903" s="1"/>
      <c r="AC1903" s="1"/>
      <c r="AD1903" s="1">
        <f>IF($C1903="",0,SUMPRODUCT((AY_SONU!$O$7:$O$42="Evet")*(AY_SONU!$B$7:$B$42=DATE(YEAR($C1903),MONTH($C1903),1))))</f>
        <v>0</v>
      </c>
      <c r="AE1903" s="1" t="str">
        <f>IF($E1903="","",$E1903&amp;"|"&amp;COUNTIFS($E$7:$E1903,$E1903))</f>
        <v/>
      </c>
    </row>
    <row r="1904" spans="1:31" ht="18" customHeight="1" x14ac:dyDescent="0.3">
      <c r="A1904" s="2"/>
      <c r="B1904" s="65" t="str">
        <f t="shared" si="234"/>
        <v/>
      </c>
      <c r="C1904" s="66"/>
      <c r="D1904" s="60"/>
      <c r="E1904" s="61"/>
      <c r="F1904" s="61"/>
      <c r="G1904" s="67"/>
      <c r="H1904" s="60"/>
      <c r="I1904" s="60"/>
      <c r="J1904" s="61"/>
      <c r="K1904" s="61"/>
      <c r="L1904" s="60"/>
      <c r="M1904" s="74" t="str">
        <f t="shared" si="235"/>
        <v/>
      </c>
      <c r="N1904" s="74" t="str">
        <f t="shared" si="236"/>
        <v/>
      </c>
      <c r="O1904" s="73" t="str">
        <f t="shared" si="237"/>
        <v/>
      </c>
      <c r="P1904" s="65" t="str">
        <f t="shared" ca="1" si="238"/>
        <v/>
      </c>
      <c r="Q1904" s="2"/>
      <c r="R1904" s="2"/>
      <c r="S1904" s="1" t="str">
        <f t="shared" si="239"/>
        <v/>
      </c>
      <c r="T1904" s="1" t="str">
        <f>IF(OR($C1904="",$D1904&lt;&gt;"Gelir",$L1904=""),"",IFERROR(INDEX(MUSTERILER!$B$7:$B$156,MATCH($S1904,MUSTERILER!$T$7:$T$156,0)),""))</f>
        <v/>
      </c>
      <c r="U1904" s="1" t="str">
        <f>IF($T1904="","",$T1904&amp;"|"&amp;COUNTIFS($T$7:$T1904,$T1904))</f>
        <v/>
      </c>
      <c r="V1904" s="1">
        <f t="shared" si="240"/>
        <v>0</v>
      </c>
      <c r="W1904" s="1" t="str">
        <f t="shared" si="241"/>
        <v/>
      </c>
      <c r="X1904" s="1"/>
      <c r="Y1904" s="1"/>
      <c r="Z1904" s="1"/>
      <c r="AA1904" s="1"/>
      <c r="AB1904" s="1"/>
      <c r="AC1904" s="1"/>
      <c r="AD1904" s="1">
        <f>IF($C1904="",0,SUMPRODUCT((AY_SONU!$O$7:$O$42="Evet")*(AY_SONU!$B$7:$B$42=DATE(YEAR($C1904),MONTH($C1904),1))))</f>
        <v>0</v>
      </c>
      <c r="AE1904" s="1" t="str">
        <f>IF($E1904="","",$E1904&amp;"|"&amp;COUNTIFS($E$7:$E1904,$E1904))</f>
        <v/>
      </c>
    </row>
    <row r="1905" spans="1:31" ht="18" customHeight="1" x14ac:dyDescent="0.3">
      <c r="A1905" s="2"/>
      <c r="B1905" s="65" t="str">
        <f t="shared" si="234"/>
        <v/>
      </c>
      <c r="C1905" s="66"/>
      <c r="D1905" s="60"/>
      <c r="E1905" s="61"/>
      <c r="F1905" s="61"/>
      <c r="G1905" s="67"/>
      <c r="H1905" s="60"/>
      <c r="I1905" s="60"/>
      <c r="J1905" s="61"/>
      <c r="K1905" s="61"/>
      <c r="L1905" s="60"/>
      <c r="M1905" s="74" t="str">
        <f t="shared" si="235"/>
        <v/>
      </c>
      <c r="N1905" s="74" t="str">
        <f t="shared" si="236"/>
        <v/>
      </c>
      <c r="O1905" s="73" t="str">
        <f t="shared" si="237"/>
        <v/>
      </c>
      <c r="P1905" s="65" t="str">
        <f t="shared" ca="1" si="238"/>
        <v/>
      </c>
      <c r="Q1905" s="2"/>
      <c r="R1905" s="2"/>
      <c r="S1905" s="1" t="str">
        <f t="shared" si="239"/>
        <v/>
      </c>
      <c r="T1905" s="1" t="str">
        <f>IF(OR($C1905="",$D1905&lt;&gt;"Gelir",$L1905=""),"",IFERROR(INDEX(MUSTERILER!$B$7:$B$156,MATCH($S1905,MUSTERILER!$T$7:$T$156,0)),""))</f>
        <v/>
      </c>
      <c r="U1905" s="1" t="str">
        <f>IF($T1905="","",$T1905&amp;"|"&amp;COUNTIFS($T$7:$T1905,$T1905))</f>
        <v/>
      </c>
      <c r="V1905" s="1">
        <f t="shared" si="240"/>
        <v>0</v>
      </c>
      <c r="W1905" s="1" t="str">
        <f t="shared" si="241"/>
        <v/>
      </c>
      <c r="X1905" s="1"/>
      <c r="Y1905" s="1"/>
      <c r="Z1905" s="1"/>
      <c r="AA1905" s="1"/>
      <c r="AB1905" s="1"/>
      <c r="AC1905" s="1"/>
      <c r="AD1905" s="1">
        <f>IF($C1905="",0,SUMPRODUCT((AY_SONU!$O$7:$O$42="Evet")*(AY_SONU!$B$7:$B$42=DATE(YEAR($C1905),MONTH($C1905),1))))</f>
        <v>0</v>
      </c>
      <c r="AE1905" s="1" t="str">
        <f>IF($E1905="","",$E1905&amp;"|"&amp;COUNTIFS($E$7:$E1905,$E1905))</f>
        <v/>
      </c>
    </row>
    <row r="1906" spans="1:31" ht="18" customHeight="1" x14ac:dyDescent="0.3">
      <c r="A1906" s="2"/>
      <c r="B1906" s="65" t="str">
        <f t="shared" si="234"/>
        <v/>
      </c>
      <c r="C1906" s="66"/>
      <c r="D1906" s="60"/>
      <c r="E1906" s="61"/>
      <c r="F1906" s="61"/>
      <c r="G1906" s="67"/>
      <c r="H1906" s="60"/>
      <c r="I1906" s="60"/>
      <c r="J1906" s="61"/>
      <c r="K1906" s="61"/>
      <c r="L1906" s="60"/>
      <c r="M1906" s="74" t="str">
        <f t="shared" si="235"/>
        <v/>
      </c>
      <c r="N1906" s="74" t="str">
        <f t="shared" si="236"/>
        <v/>
      </c>
      <c r="O1906" s="73" t="str">
        <f t="shared" si="237"/>
        <v/>
      </c>
      <c r="P1906" s="65" t="str">
        <f t="shared" ca="1" si="238"/>
        <v/>
      </c>
      <c r="Q1906" s="2"/>
      <c r="R1906" s="2"/>
      <c r="S1906" s="1" t="str">
        <f t="shared" si="239"/>
        <v/>
      </c>
      <c r="T1906" s="1" t="str">
        <f>IF(OR($C1906="",$D1906&lt;&gt;"Gelir",$L1906=""),"",IFERROR(INDEX(MUSTERILER!$B$7:$B$156,MATCH($S1906,MUSTERILER!$T$7:$T$156,0)),""))</f>
        <v/>
      </c>
      <c r="U1906" s="1" t="str">
        <f>IF($T1906="","",$T1906&amp;"|"&amp;COUNTIFS($T$7:$T1906,$T1906))</f>
        <v/>
      </c>
      <c r="V1906" s="1">
        <f t="shared" si="240"/>
        <v>0</v>
      </c>
      <c r="W1906" s="1" t="str">
        <f t="shared" si="241"/>
        <v/>
      </c>
      <c r="X1906" s="1"/>
      <c r="Y1906" s="1"/>
      <c r="Z1906" s="1"/>
      <c r="AA1906" s="1"/>
      <c r="AB1906" s="1"/>
      <c r="AC1906" s="1"/>
      <c r="AD1906" s="1">
        <f>IF($C1906="",0,SUMPRODUCT((AY_SONU!$O$7:$O$42="Evet")*(AY_SONU!$B$7:$B$42=DATE(YEAR($C1906),MONTH($C1906),1))))</f>
        <v>0</v>
      </c>
      <c r="AE1906" s="1" t="str">
        <f>IF($E1906="","",$E1906&amp;"|"&amp;COUNTIFS($E$7:$E1906,$E1906))</f>
        <v/>
      </c>
    </row>
    <row r="1907" spans="1:31" ht="18" customHeight="1" x14ac:dyDescent="0.3">
      <c r="A1907" s="2"/>
      <c r="B1907" s="65" t="str">
        <f t="shared" si="234"/>
        <v/>
      </c>
      <c r="C1907" s="66"/>
      <c r="D1907" s="60"/>
      <c r="E1907" s="61"/>
      <c r="F1907" s="61"/>
      <c r="G1907" s="67"/>
      <c r="H1907" s="60"/>
      <c r="I1907" s="60"/>
      <c r="J1907" s="61"/>
      <c r="K1907" s="61"/>
      <c r="L1907" s="60"/>
      <c r="M1907" s="74" t="str">
        <f t="shared" si="235"/>
        <v/>
      </c>
      <c r="N1907" s="74" t="str">
        <f t="shared" si="236"/>
        <v/>
      </c>
      <c r="O1907" s="73" t="str">
        <f t="shared" si="237"/>
        <v/>
      </c>
      <c r="P1907" s="65" t="str">
        <f t="shared" ca="1" si="238"/>
        <v/>
      </c>
      <c r="Q1907" s="2"/>
      <c r="R1907" s="2"/>
      <c r="S1907" s="1" t="str">
        <f t="shared" si="239"/>
        <v/>
      </c>
      <c r="T1907" s="1" t="str">
        <f>IF(OR($C1907="",$D1907&lt;&gt;"Gelir",$L1907=""),"",IFERROR(INDEX(MUSTERILER!$B$7:$B$156,MATCH($S1907,MUSTERILER!$T$7:$T$156,0)),""))</f>
        <v/>
      </c>
      <c r="U1907" s="1" t="str">
        <f>IF($T1907="","",$T1907&amp;"|"&amp;COUNTIFS($T$7:$T1907,$T1907))</f>
        <v/>
      </c>
      <c r="V1907" s="1">
        <f t="shared" si="240"/>
        <v>0</v>
      </c>
      <c r="W1907" s="1" t="str">
        <f t="shared" si="241"/>
        <v/>
      </c>
      <c r="X1907" s="1"/>
      <c r="Y1907" s="1"/>
      <c r="Z1907" s="1"/>
      <c r="AA1907" s="1"/>
      <c r="AB1907" s="1"/>
      <c r="AC1907" s="1"/>
      <c r="AD1907" s="1">
        <f>IF($C1907="",0,SUMPRODUCT((AY_SONU!$O$7:$O$42="Evet")*(AY_SONU!$B$7:$B$42=DATE(YEAR($C1907),MONTH($C1907),1))))</f>
        <v>0</v>
      </c>
      <c r="AE1907" s="1" t="str">
        <f>IF($E1907="","",$E1907&amp;"|"&amp;COUNTIFS($E$7:$E1907,$E1907))</f>
        <v/>
      </c>
    </row>
    <row r="1908" spans="1:31" ht="18" customHeight="1" x14ac:dyDescent="0.3">
      <c r="A1908" s="2"/>
      <c r="B1908" s="65" t="str">
        <f t="shared" si="234"/>
        <v/>
      </c>
      <c r="C1908" s="66"/>
      <c r="D1908" s="60"/>
      <c r="E1908" s="61"/>
      <c r="F1908" s="61"/>
      <c r="G1908" s="67"/>
      <c r="H1908" s="60"/>
      <c r="I1908" s="60"/>
      <c r="J1908" s="61"/>
      <c r="K1908" s="61"/>
      <c r="L1908" s="60"/>
      <c r="M1908" s="74" t="str">
        <f t="shared" si="235"/>
        <v/>
      </c>
      <c r="N1908" s="74" t="str">
        <f t="shared" si="236"/>
        <v/>
      </c>
      <c r="O1908" s="73" t="str">
        <f t="shared" si="237"/>
        <v/>
      </c>
      <c r="P1908" s="65" t="str">
        <f t="shared" ca="1" si="238"/>
        <v/>
      </c>
      <c r="Q1908" s="2"/>
      <c r="R1908" s="2"/>
      <c r="S1908" s="1" t="str">
        <f t="shared" si="239"/>
        <v/>
      </c>
      <c r="T1908" s="1" t="str">
        <f>IF(OR($C1908="",$D1908&lt;&gt;"Gelir",$L1908=""),"",IFERROR(INDEX(MUSTERILER!$B$7:$B$156,MATCH($S1908,MUSTERILER!$T$7:$T$156,0)),""))</f>
        <v/>
      </c>
      <c r="U1908" s="1" t="str">
        <f>IF($T1908="","",$T1908&amp;"|"&amp;COUNTIFS($T$7:$T1908,$T1908))</f>
        <v/>
      </c>
      <c r="V1908" s="1">
        <f t="shared" si="240"/>
        <v>0</v>
      </c>
      <c r="W1908" s="1" t="str">
        <f t="shared" si="241"/>
        <v/>
      </c>
      <c r="X1908" s="1"/>
      <c r="Y1908" s="1"/>
      <c r="Z1908" s="1"/>
      <c r="AA1908" s="1"/>
      <c r="AB1908" s="1"/>
      <c r="AC1908" s="1"/>
      <c r="AD1908" s="1">
        <f>IF($C1908="",0,SUMPRODUCT((AY_SONU!$O$7:$O$42="Evet")*(AY_SONU!$B$7:$B$42=DATE(YEAR($C1908),MONTH($C1908),1))))</f>
        <v>0</v>
      </c>
      <c r="AE1908" s="1" t="str">
        <f>IF($E1908="","",$E1908&amp;"|"&amp;COUNTIFS($E$7:$E1908,$E1908))</f>
        <v/>
      </c>
    </row>
    <row r="1909" spans="1:31" ht="18" customHeight="1" x14ac:dyDescent="0.3">
      <c r="A1909" s="2"/>
      <c r="B1909" s="65" t="str">
        <f t="shared" si="234"/>
        <v/>
      </c>
      <c r="C1909" s="66"/>
      <c r="D1909" s="60"/>
      <c r="E1909" s="61"/>
      <c r="F1909" s="61"/>
      <c r="G1909" s="67"/>
      <c r="H1909" s="60"/>
      <c r="I1909" s="60"/>
      <c r="J1909" s="61"/>
      <c r="K1909" s="61"/>
      <c r="L1909" s="60"/>
      <c r="M1909" s="74" t="str">
        <f t="shared" si="235"/>
        <v/>
      </c>
      <c r="N1909" s="74" t="str">
        <f t="shared" si="236"/>
        <v/>
      </c>
      <c r="O1909" s="73" t="str">
        <f t="shared" si="237"/>
        <v/>
      </c>
      <c r="P1909" s="65" t="str">
        <f t="shared" ca="1" si="238"/>
        <v/>
      </c>
      <c r="Q1909" s="2"/>
      <c r="R1909" s="2"/>
      <c r="S1909" s="1" t="str">
        <f t="shared" si="239"/>
        <v/>
      </c>
      <c r="T1909" s="1" t="str">
        <f>IF(OR($C1909="",$D1909&lt;&gt;"Gelir",$L1909=""),"",IFERROR(INDEX(MUSTERILER!$B$7:$B$156,MATCH($S1909,MUSTERILER!$T$7:$T$156,0)),""))</f>
        <v/>
      </c>
      <c r="U1909" s="1" t="str">
        <f>IF($T1909="","",$T1909&amp;"|"&amp;COUNTIFS($T$7:$T1909,$T1909))</f>
        <v/>
      </c>
      <c r="V1909" s="1">
        <f t="shared" si="240"/>
        <v>0</v>
      </c>
      <c r="W1909" s="1" t="str">
        <f t="shared" si="241"/>
        <v/>
      </c>
      <c r="X1909" s="1"/>
      <c r="Y1909" s="1"/>
      <c r="Z1909" s="1"/>
      <c r="AA1909" s="1"/>
      <c r="AB1909" s="1"/>
      <c r="AC1909" s="1"/>
      <c r="AD1909" s="1">
        <f>IF($C1909="",0,SUMPRODUCT((AY_SONU!$O$7:$O$42="Evet")*(AY_SONU!$B$7:$B$42=DATE(YEAR($C1909),MONTH($C1909),1))))</f>
        <v>0</v>
      </c>
      <c r="AE1909" s="1" t="str">
        <f>IF($E1909="","",$E1909&amp;"|"&amp;COUNTIFS($E$7:$E1909,$E1909))</f>
        <v/>
      </c>
    </row>
    <row r="1910" spans="1:31" ht="18" customHeight="1" x14ac:dyDescent="0.3">
      <c r="A1910" s="2"/>
      <c r="B1910" s="65" t="str">
        <f t="shared" si="234"/>
        <v/>
      </c>
      <c r="C1910" s="66"/>
      <c r="D1910" s="60"/>
      <c r="E1910" s="61"/>
      <c r="F1910" s="61"/>
      <c r="G1910" s="67"/>
      <c r="H1910" s="60"/>
      <c r="I1910" s="60"/>
      <c r="J1910" s="61"/>
      <c r="K1910" s="61"/>
      <c r="L1910" s="60"/>
      <c r="M1910" s="74" t="str">
        <f t="shared" si="235"/>
        <v/>
      </c>
      <c r="N1910" s="74" t="str">
        <f t="shared" si="236"/>
        <v/>
      </c>
      <c r="O1910" s="73" t="str">
        <f t="shared" si="237"/>
        <v/>
      </c>
      <c r="P1910" s="65" t="str">
        <f t="shared" ca="1" si="238"/>
        <v/>
      </c>
      <c r="Q1910" s="2"/>
      <c r="R1910" s="2"/>
      <c r="S1910" s="1" t="str">
        <f t="shared" si="239"/>
        <v/>
      </c>
      <c r="T1910" s="1" t="str">
        <f>IF(OR($C1910="",$D1910&lt;&gt;"Gelir",$L1910=""),"",IFERROR(INDEX(MUSTERILER!$B$7:$B$156,MATCH($S1910,MUSTERILER!$T$7:$T$156,0)),""))</f>
        <v/>
      </c>
      <c r="U1910" s="1" t="str">
        <f>IF($T1910="","",$T1910&amp;"|"&amp;COUNTIFS($T$7:$T1910,$T1910))</f>
        <v/>
      </c>
      <c r="V1910" s="1">
        <f t="shared" si="240"/>
        <v>0</v>
      </c>
      <c r="W1910" s="1" t="str">
        <f t="shared" si="241"/>
        <v/>
      </c>
      <c r="X1910" s="1"/>
      <c r="Y1910" s="1"/>
      <c r="Z1910" s="1"/>
      <c r="AA1910" s="1"/>
      <c r="AB1910" s="1"/>
      <c r="AC1910" s="1"/>
      <c r="AD1910" s="1">
        <f>IF($C1910="",0,SUMPRODUCT((AY_SONU!$O$7:$O$42="Evet")*(AY_SONU!$B$7:$B$42=DATE(YEAR($C1910),MONTH($C1910),1))))</f>
        <v>0</v>
      </c>
      <c r="AE1910" s="1" t="str">
        <f>IF($E1910="","",$E1910&amp;"|"&amp;COUNTIFS($E$7:$E1910,$E1910))</f>
        <v/>
      </c>
    </row>
    <row r="1911" spans="1:31" ht="18" customHeight="1" x14ac:dyDescent="0.3">
      <c r="A1911" s="2"/>
      <c r="B1911" s="65" t="str">
        <f t="shared" si="234"/>
        <v/>
      </c>
      <c r="C1911" s="66"/>
      <c r="D1911" s="60"/>
      <c r="E1911" s="61"/>
      <c r="F1911" s="61"/>
      <c r="G1911" s="67"/>
      <c r="H1911" s="60"/>
      <c r="I1911" s="60"/>
      <c r="J1911" s="61"/>
      <c r="K1911" s="61"/>
      <c r="L1911" s="60"/>
      <c r="M1911" s="74" t="str">
        <f t="shared" si="235"/>
        <v/>
      </c>
      <c r="N1911" s="74" t="str">
        <f t="shared" si="236"/>
        <v/>
      </c>
      <c r="O1911" s="73" t="str">
        <f t="shared" si="237"/>
        <v/>
      </c>
      <c r="P1911" s="65" t="str">
        <f t="shared" ca="1" si="238"/>
        <v/>
      </c>
      <c r="Q1911" s="2"/>
      <c r="R1911" s="2"/>
      <c r="S1911" s="1" t="str">
        <f t="shared" si="239"/>
        <v/>
      </c>
      <c r="T1911" s="1" t="str">
        <f>IF(OR($C1911="",$D1911&lt;&gt;"Gelir",$L1911=""),"",IFERROR(INDEX(MUSTERILER!$B$7:$B$156,MATCH($S1911,MUSTERILER!$T$7:$T$156,0)),""))</f>
        <v/>
      </c>
      <c r="U1911" s="1" t="str">
        <f>IF($T1911="","",$T1911&amp;"|"&amp;COUNTIFS($T$7:$T1911,$T1911))</f>
        <v/>
      </c>
      <c r="V1911" s="1">
        <f t="shared" si="240"/>
        <v>0</v>
      </c>
      <c r="W1911" s="1" t="str">
        <f t="shared" si="241"/>
        <v/>
      </c>
      <c r="X1911" s="1"/>
      <c r="Y1911" s="1"/>
      <c r="Z1911" s="1"/>
      <c r="AA1911" s="1"/>
      <c r="AB1911" s="1"/>
      <c r="AC1911" s="1"/>
      <c r="AD1911" s="1">
        <f>IF($C1911="",0,SUMPRODUCT((AY_SONU!$O$7:$O$42="Evet")*(AY_SONU!$B$7:$B$42=DATE(YEAR($C1911),MONTH($C1911),1))))</f>
        <v>0</v>
      </c>
      <c r="AE1911" s="1" t="str">
        <f>IF($E1911="","",$E1911&amp;"|"&amp;COUNTIFS($E$7:$E1911,$E1911))</f>
        <v/>
      </c>
    </row>
    <row r="1912" spans="1:31" ht="18" customHeight="1" x14ac:dyDescent="0.3">
      <c r="A1912" s="2"/>
      <c r="B1912" s="65" t="str">
        <f t="shared" si="234"/>
        <v/>
      </c>
      <c r="C1912" s="66"/>
      <c r="D1912" s="60"/>
      <c r="E1912" s="61"/>
      <c r="F1912" s="61"/>
      <c r="G1912" s="67"/>
      <c r="H1912" s="60"/>
      <c r="I1912" s="60"/>
      <c r="J1912" s="61"/>
      <c r="K1912" s="61"/>
      <c r="L1912" s="60"/>
      <c r="M1912" s="74" t="str">
        <f t="shared" si="235"/>
        <v/>
      </c>
      <c r="N1912" s="74" t="str">
        <f t="shared" si="236"/>
        <v/>
      </c>
      <c r="O1912" s="73" t="str">
        <f t="shared" si="237"/>
        <v/>
      </c>
      <c r="P1912" s="65" t="str">
        <f t="shared" ca="1" si="238"/>
        <v/>
      </c>
      <c r="Q1912" s="2"/>
      <c r="R1912" s="2"/>
      <c r="S1912" s="1" t="str">
        <f t="shared" si="239"/>
        <v/>
      </c>
      <c r="T1912" s="1" t="str">
        <f>IF(OR($C1912="",$D1912&lt;&gt;"Gelir",$L1912=""),"",IFERROR(INDEX(MUSTERILER!$B$7:$B$156,MATCH($S1912,MUSTERILER!$T$7:$T$156,0)),""))</f>
        <v/>
      </c>
      <c r="U1912" s="1" t="str">
        <f>IF($T1912="","",$T1912&amp;"|"&amp;COUNTIFS($T$7:$T1912,$T1912))</f>
        <v/>
      </c>
      <c r="V1912" s="1">
        <f t="shared" si="240"/>
        <v>0</v>
      </c>
      <c r="W1912" s="1" t="str">
        <f t="shared" si="241"/>
        <v/>
      </c>
      <c r="X1912" s="1"/>
      <c r="Y1912" s="1"/>
      <c r="Z1912" s="1"/>
      <c r="AA1912" s="1"/>
      <c r="AB1912" s="1"/>
      <c r="AC1912" s="1"/>
      <c r="AD1912" s="1">
        <f>IF($C1912="",0,SUMPRODUCT((AY_SONU!$O$7:$O$42="Evet")*(AY_SONU!$B$7:$B$42=DATE(YEAR($C1912),MONTH($C1912),1))))</f>
        <v>0</v>
      </c>
      <c r="AE1912" s="1" t="str">
        <f>IF($E1912="","",$E1912&amp;"|"&amp;COUNTIFS($E$7:$E1912,$E1912))</f>
        <v/>
      </c>
    </row>
    <row r="1913" spans="1:31" ht="18" customHeight="1" x14ac:dyDescent="0.3">
      <c r="A1913" s="2"/>
      <c r="B1913" s="65" t="str">
        <f t="shared" si="234"/>
        <v/>
      </c>
      <c r="C1913" s="66"/>
      <c r="D1913" s="60"/>
      <c r="E1913" s="61"/>
      <c r="F1913" s="61"/>
      <c r="G1913" s="67"/>
      <c r="H1913" s="60"/>
      <c r="I1913" s="60"/>
      <c r="J1913" s="61"/>
      <c r="K1913" s="61"/>
      <c r="L1913" s="60"/>
      <c r="M1913" s="74" t="str">
        <f t="shared" si="235"/>
        <v/>
      </c>
      <c r="N1913" s="74" t="str">
        <f t="shared" si="236"/>
        <v/>
      </c>
      <c r="O1913" s="73" t="str">
        <f t="shared" si="237"/>
        <v/>
      </c>
      <c r="P1913" s="65" t="str">
        <f t="shared" ca="1" si="238"/>
        <v/>
      </c>
      <c r="Q1913" s="2"/>
      <c r="R1913" s="2"/>
      <c r="S1913" s="1" t="str">
        <f t="shared" si="239"/>
        <v/>
      </c>
      <c r="T1913" s="1" t="str">
        <f>IF(OR($C1913="",$D1913&lt;&gt;"Gelir",$L1913=""),"",IFERROR(INDEX(MUSTERILER!$B$7:$B$156,MATCH($S1913,MUSTERILER!$T$7:$T$156,0)),""))</f>
        <v/>
      </c>
      <c r="U1913" s="1" t="str">
        <f>IF($T1913="","",$T1913&amp;"|"&amp;COUNTIFS($T$7:$T1913,$T1913))</f>
        <v/>
      </c>
      <c r="V1913" s="1">
        <f t="shared" si="240"/>
        <v>0</v>
      </c>
      <c r="W1913" s="1" t="str">
        <f t="shared" si="241"/>
        <v/>
      </c>
      <c r="X1913" s="1"/>
      <c r="Y1913" s="1"/>
      <c r="Z1913" s="1"/>
      <c r="AA1913" s="1"/>
      <c r="AB1913" s="1"/>
      <c r="AC1913" s="1"/>
      <c r="AD1913" s="1">
        <f>IF($C1913="",0,SUMPRODUCT((AY_SONU!$O$7:$O$42="Evet")*(AY_SONU!$B$7:$B$42=DATE(YEAR($C1913),MONTH($C1913),1))))</f>
        <v>0</v>
      </c>
      <c r="AE1913" s="1" t="str">
        <f>IF($E1913="","",$E1913&amp;"|"&amp;COUNTIFS($E$7:$E1913,$E1913))</f>
        <v/>
      </c>
    </row>
    <row r="1914" spans="1:31" ht="18" customHeight="1" x14ac:dyDescent="0.3">
      <c r="A1914" s="2"/>
      <c r="B1914" s="65" t="str">
        <f t="shared" si="234"/>
        <v/>
      </c>
      <c r="C1914" s="66"/>
      <c r="D1914" s="60"/>
      <c r="E1914" s="61"/>
      <c r="F1914" s="61"/>
      <c r="G1914" s="67"/>
      <c r="H1914" s="60"/>
      <c r="I1914" s="60"/>
      <c r="J1914" s="61"/>
      <c r="K1914" s="61"/>
      <c r="L1914" s="60"/>
      <c r="M1914" s="74" t="str">
        <f t="shared" si="235"/>
        <v/>
      </c>
      <c r="N1914" s="74" t="str">
        <f t="shared" si="236"/>
        <v/>
      </c>
      <c r="O1914" s="73" t="str">
        <f t="shared" si="237"/>
        <v/>
      </c>
      <c r="P1914" s="65" t="str">
        <f t="shared" ca="1" si="238"/>
        <v/>
      </c>
      <c r="Q1914" s="2"/>
      <c r="R1914" s="2"/>
      <c r="S1914" s="1" t="str">
        <f t="shared" si="239"/>
        <v/>
      </c>
      <c r="T1914" s="1" t="str">
        <f>IF(OR($C1914="",$D1914&lt;&gt;"Gelir",$L1914=""),"",IFERROR(INDEX(MUSTERILER!$B$7:$B$156,MATCH($S1914,MUSTERILER!$T$7:$T$156,0)),""))</f>
        <v/>
      </c>
      <c r="U1914" s="1" t="str">
        <f>IF($T1914="","",$T1914&amp;"|"&amp;COUNTIFS($T$7:$T1914,$T1914))</f>
        <v/>
      </c>
      <c r="V1914" s="1">
        <f t="shared" si="240"/>
        <v>0</v>
      </c>
      <c r="W1914" s="1" t="str">
        <f t="shared" si="241"/>
        <v/>
      </c>
      <c r="X1914" s="1"/>
      <c r="Y1914" s="1"/>
      <c r="Z1914" s="1"/>
      <c r="AA1914" s="1"/>
      <c r="AB1914" s="1"/>
      <c r="AC1914" s="1"/>
      <c r="AD1914" s="1">
        <f>IF($C1914="",0,SUMPRODUCT((AY_SONU!$O$7:$O$42="Evet")*(AY_SONU!$B$7:$B$42=DATE(YEAR($C1914),MONTH($C1914),1))))</f>
        <v>0</v>
      </c>
      <c r="AE1914" s="1" t="str">
        <f>IF($E1914="","",$E1914&amp;"|"&amp;COUNTIFS($E$7:$E1914,$E1914))</f>
        <v/>
      </c>
    </row>
    <row r="1915" spans="1:31" ht="18" customHeight="1" x14ac:dyDescent="0.3">
      <c r="A1915" s="2"/>
      <c r="B1915" s="65" t="str">
        <f t="shared" si="234"/>
        <v/>
      </c>
      <c r="C1915" s="66"/>
      <c r="D1915" s="60"/>
      <c r="E1915" s="61"/>
      <c r="F1915" s="61"/>
      <c r="G1915" s="67"/>
      <c r="H1915" s="60"/>
      <c r="I1915" s="60"/>
      <c r="J1915" s="61"/>
      <c r="K1915" s="61"/>
      <c r="L1915" s="60"/>
      <c r="M1915" s="74" t="str">
        <f t="shared" si="235"/>
        <v/>
      </c>
      <c r="N1915" s="74" t="str">
        <f t="shared" si="236"/>
        <v/>
      </c>
      <c r="O1915" s="73" t="str">
        <f t="shared" si="237"/>
        <v/>
      </c>
      <c r="P1915" s="65" t="str">
        <f t="shared" ca="1" si="238"/>
        <v/>
      </c>
      <c r="Q1915" s="2"/>
      <c r="R1915" s="2"/>
      <c r="S1915" s="1" t="str">
        <f t="shared" si="239"/>
        <v/>
      </c>
      <c r="T1915" s="1" t="str">
        <f>IF(OR($C1915="",$D1915&lt;&gt;"Gelir",$L1915=""),"",IFERROR(INDEX(MUSTERILER!$B$7:$B$156,MATCH($S1915,MUSTERILER!$T$7:$T$156,0)),""))</f>
        <v/>
      </c>
      <c r="U1915" s="1" t="str">
        <f>IF($T1915="","",$T1915&amp;"|"&amp;COUNTIFS($T$7:$T1915,$T1915))</f>
        <v/>
      </c>
      <c r="V1915" s="1">
        <f t="shared" si="240"/>
        <v>0</v>
      </c>
      <c r="W1915" s="1" t="str">
        <f t="shared" si="241"/>
        <v/>
      </c>
      <c r="X1915" s="1"/>
      <c r="Y1915" s="1"/>
      <c r="Z1915" s="1"/>
      <c r="AA1915" s="1"/>
      <c r="AB1915" s="1"/>
      <c r="AC1915" s="1"/>
      <c r="AD1915" s="1">
        <f>IF($C1915="",0,SUMPRODUCT((AY_SONU!$O$7:$O$42="Evet")*(AY_SONU!$B$7:$B$42=DATE(YEAR($C1915),MONTH($C1915),1))))</f>
        <v>0</v>
      </c>
      <c r="AE1915" s="1" t="str">
        <f>IF($E1915="","",$E1915&amp;"|"&amp;COUNTIFS($E$7:$E1915,$E1915))</f>
        <v/>
      </c>
    </row>
    <row r="1916" spans="1:31" ht="18" customHeight="1" x14ac:dyDescent="0.3">
      <c r="A1916" s="2"/>
      <c r="B1916" s="65" t="str">
        <f t="shared" si="234"/>
        <v/>
      </c>
      <c r="C1916" s="66"/>
      <c r="D1916" s="60"/>
      <c r="E1916" s="61"/>
      <c r="F1916" s="61"/>
      <c r="G1916" s="67"/>
      <c r="H1916" s="60"/>
      <c r="I1916" s="60"/>
      <c r="J1916" s="61"/>
      <c r="K1916" s="61"/>
      <c r="L1916" s="60"/>
      <c r="M1916" s="74" t="str">
        <f t="shared" si="235"/>
        <v/>
      </c>
      <c r="N1916" s="74" t="str">
        <f t="shared" si="236"/>
        <v/>
      </c>
      <c r="O1916" s="73" t="str">
        <f t="shared" si="237"/>
        <v/>
      </c>
      <c r="P1916" s="65" t="str">
        <f t="shared" ca="1" si="238"/>
        <v/>
      </c>
      <c r="Q1916" s="2"/>
      <c r="R1916" s="2"/>
      <c r="S1916" s="1" t="str">
        <f t="shared" si="239"/>
        <v/>
      </c>
      <c r="T1916" s="1" t="str">
        <f>IF(OR($C1916="",$D1916&lt;&gt;"Gelir",$L1916=""),"",IFERROR(INDEX(MUSTERILER!$B$7:$B$156,MATCH($S1916,MUSTERILER!$T$7:$T$156,0)),""))</f>
        <v/>
      </c>
      <c r="U1916" s="1" t="str">
        <f>IF($T1916="","",$T1916&amp;"|"&amp;COUNTIFS($T$7:$T1916,$T1916))</f>
        <v/>
      </c>
      <c r="V1916" s="1">
        <f t="shared" si="240"/>
        <v>0</v>
      </c>
      <c r="W1916" s="1" t="str">
        <f t="shared" si="241"/>
        <v/>
      </c>
      <c r="X1916" s="1"/>
      <c r="Y1916" s="1"/>
      <c r="Z1916" s="1"/>
      <c r="AA1916" s="1"/>
      <c r="AB1916" s="1"/>
      <c r="AC1916" s="1"/>
      <c r="AD1916" s="1">
        <f>IF($C1916="",0,SUMPRODUCT((AY_SONU!$O$7:$O$42="Evet")*(AY_SONU!$B$7:$B$42=DATE(YEAR($C1916),MONTH($C1916),1))))</f>
        <v>0</v>
      </c>
      <c r="AE1916" s="1" t="str">
        <f>IF($E1916="","",$E1916&amp;"|"&amp;COUNTIFS($E$7:$E1916,$E1916))</f>
        <v/>
      </c>
    </row>
    <row r="1917" spans="1:31" ht="18" customHeight="1" x14ac:dyDescent="0.3">
      <c r="A1917" s="2"/>
      <c r="B1917" s="65" t="str">
        <f t="shared" si="234"/>
        <v/>
      </c>
      <c r="C1917" s="66"/>
      <c r="D1917" s="60"/>
      <c r="E1917" s="61"/>
      <c r="F1917" s="61"/>
      <c r="G1917" s="67"/>
      <c r="H1917" s="60"/>
      <c r="I1917" s="60"/>
      <c r="J1917" s="61"/>
      <c r="K1917" s="61"/>
      <c r="L1917" s="60"/>
      <c r="M1917" s="74" t="str">
        <f t="shared" si="235"/>
        <v/>
      </c>
      <c r="N1917" s="74" t="str">
        <f t="shared" si="236"/>
        <v/>
      </c>
      <c r="O1917" s="73" t="str">
        <f t="shared" si="237"/>
        <v/>
      </c>
      <c r="P1917" s="65" t="str">
        <f t="shared" ca="1" si="238"/>
        <v/>
      </c>
      <c r="Q1917" s="2"/>
      <c r="R1917" s="2"/>
      <c r="S1917" s="1" t="str">
        <f t="shared" si="239"/>
        <v/>
      </c>
      <c r="T1917" s="1" t="str">
        <f>IF(OR($C1917="",$D1917&lt;&gt;"Gelir",$L1917=""),"",IFERROR(INDEX(MUSTERILER!$B$7:$B$156,MATCH($S1917,MUSTERILER!$T$7:$T$156,0)),""))</f>
        <v/>
      </c>
      <c r="U1917" s="1" t="str">
        <f>IF($T1917="","",$T1917&amp;"|"&amp;COUNTIFS($T$7:$T1917,$T1917))</f>
        <v/>
      </c>
      <c r="V1917" s="1">
        <f t="shared" si="240"/>
        <v>0</v>
      </c>
      <c r="W1917" s="1" t="str">
        <f t="shared" si="241"/>
        <v/>
      </c>
      <c r="X1917" s="1"/>
      <c r="Y1917" s="1"/>
      <c r="Z1917" s="1"/>
      <c r="AA1917" s="1"/>
      <c r="AB1917" s="1"/>
      <c r="AC1917" s="1"/>
      <c r="AD1917" s="1">
        <f>IF($C1917="",0,SUMPRODUCT((AY_SONU!$O$7:$O$42="Evet")*(AY_SONU!$B$7:$B$42=DATE(YEAR($C1917),MONTH($C1917),1))))</f>
        <v>0</v>
      </c>
      <c r="AE1917" s="1" t="str">
        <f>IF($E1917="","",$E1917&amp;"|"&amp;COUNTIFS($E$7:$E1917,$E1917))</f>
        <v/>
      </c>
    </row>
    <row r="1918" spans="1:31" ht="18" customHeight="1" x14ac:dyDescent="0.3">
      <c r="A1918" s="2"/>
      <c r="B1918" s="65" t="str">
        <f t="shared" si="234"/>
        <v/>
      </c>
      <c r="C1918" s="66"/>
      <c r="D1918" s="60"/>
      <c r="E1918" s="61"/>
      <c r="F1918" s="61"/>
      <c r="G1918" s="67"/>
      <c r="H1918" s="60"/>
      <c r="I1918" s="60"/>
      <c r="J1918" s="61"/>
      <c r="K1918" s="61"/>
      <c r="L1918" s="60"/>
      <c r="M1918" s="74" t="str">
        <f t="shared" si="235"/>
        <v/>
      </c>
      <c r="N1918" s="74" t="str">
        <f t="shared" si="236"/>
        <v/>
      </c>
      <c r="O1918" s="73" t="str">
        <f t="shared" si="237"/>
        <v/>
      </c>
      <c r="P1918" s="65" t="str">
        <f t="shared" ca="1" si="238"/>
        <v/>
      </c>
      <c r="Q1918" s="2"/>
      <c r="R1918" s="2"/>
      <c r="S1918" s="1" t="str">
        <f t="shared" si="239"/>
        <v/>
      </c>
      <c r="T1918" s="1" t="str">
        <f>IF(OR($C1918="",$D1918&lt;&gt;"Gelir",$L1918=""),"",IFERROR(INDEX(MUSTERILER!$B$7:$B$156,MATCH($S1918,MUSTERILER!$T$7:$T$156,0)),""))</f>
        <v/>
      </c>
      <c r="U1918" s="1" t="str">
        <f>IF($T1918="","",$T1918&amp;"|"&amp;COUNTIFS($T$7:$T1918,$T1918))</f>
        <v/>
      </c>
      <c r="V1918" s="1">
        <f t="shared" si="240"/>
        <v>0</v>
      </c>
      <c r="W1918" s="1" t="str">
        <f t="shared" si="241"/>
        <v/>
      </c>
      <c r="X1918" s="1"/>
      <c r="Y1918" s="1"/>
      <c r="Z1918" s="1"/>
      <c r="AA1918" s="1"/>
      <c r="AB1918" s="1"/>
      <c r="AC1918" s="1"/>
      <c r="AD1918" s="1">
        <f>IF($C1918="",0,SUMPRODUCT((AY_SONU!$O$7:$O$42="Evet")*(AY_SONU!$B$7:$B$42=DATE(YEAR($C1918),MONTH($C1918),1))))</f>
        <v>0</v>
      </c>
      <c r="AE1918" s="1" t="str">
        <f>IF($E1918="","",$E1918&amp;"|"&amp;COUNTIFS($E$7:$E1918,$E1918))</f>
        <v/>
      </c>
    </row>
    <row r="1919" spans="1:31" ht="18" customHeight="1" x14ac:dyDescent="0.3">
      <c r="A1919" s="2"/>
      <c r="B1919" s="65" t="str">
        <f t="shared" si="234"/>
        <v/>
      </c>
      <c r="C1919" s="66"/>
      <c r="D1919" s="60"/>
      <c r="E1919" s="61"/>
      <c r="F1919" s="61"/>
      <c r="G1919" s="67"/>
      <c r="H1919" s="60"/>
      <c r="I1919" s="60"/>
      <c r="J1919" s="61"/>
      <c r="K1919" s="61"/>
      <c r="L1919" s="60"/>
      <c r="M1919" s="74" t="str">
        <f t="shared" si="235"/>
        <v/>
      </c>
      <c r="N1919" s="74" t="str">
        <f t="shared" si="236"/>
        <v/>
      </c>
      <c r="O1919" s="73" t="str">
        <f t="shared" si="237"/>
        <v/>
      </c>
      <c r="P1919" s="65" t="str">
        <f t="shared" ca="1" si="238"/>
        <v/>
      </c>
      <c r="Q1919" s="2"/>
      <c r="R1919" s="2"/>
      <c r="S1919" s="1" t="str">
        <f t="shared" si="239"/>
        <v/>
      </c>
      <c r="T1919" s="1" t="str">
        <f>IF(OR($C1919="",$D1919&lt;&gt;"Gelir",$L1919=""),"",IFERROR(INDEX(MUSTERILER!$B$7:$B$156,MATCH($S1919,MUSTERILER!$T$7:$T$156,0)),""))</f>
        <v/>
      </c>
      <c r="U1919" s="1" t="str">
        <f>IF($T1919="","",$T1919&amp;"|"&amp;COUNTIFS($T$7:$T1919,$T1919))</f>
        <v/>
      </c>
      <c r="V1919" s="1">
        <f t="shared" si="240"/>
        <v>0</v>
      </c>
      <c r="W1919" s="1" t="str">
        <f t="shared" si="241"/>
        <v/>
      </c>
      <c r="X1919" s="1"/>
      <c r="Y1919" s="1"/>
      <c r="Z1919" s="1"/>
      <c r="AA1919" s="1"/>
      <c r="AB1919" s="1"/>
      <c r="AC1919" s="1"/>
      <c r="AD1919" s="1">
        <f>IF($C1919="",0,SUMPRODUCT((AY_SONU!$O$7:$O$42="Evet")*(AY_SONU!$B$7:$B$42=DATE(YEAR($C1919),MONTH($C1919),1))))</f>
        <v>0</v>
      </c>
      <c r="AE1919" s="1" t="str">
        <f>IF($E1919="","",$E1919&amp;"|"&amp;COUNTIFS($E$7:$E1919,$E1919))</f>
        <v/>
      </c>
    </row>
    <row r="1920" spans="1:31" ht="18" customHeight="1" x14ac:dyDescent="0.3">
      <c r="A1920" s="2"/>
      <c r="B1920" s="65" t="str">
        <f t="shared" si="234"/>
        <v/>
      </c>
      <c r="C1920" s="66"/>
      <c r="D1920" s="60"/>
      <c r="E1920" s="61"/>
      <c r="F1920" s="61"/>
      <c r="G1920" s="67"/>
      <c r="H1920" s="60"/>
      <c r="I1920" s="60"/>
      <c r="J1920" s="61"/>
      <c r="K1920" s="61"/>
      <c r="L1920" s="60"/>
      <c r="M1920" s="74" t="str">
        <f t="shared" si="235"/>
        <v/>
      </c>
      <c r="N1920" s="74" t="str">
        <f t="shared" si="236"/>
        <v/>
      </c>
      <c r="O1920" s="73" t="str">
        <f t="shared" si="237"/>
        <v/>
      </c>
      <c r="P1920" s="65" t="str">
        <f t="shared" ca="1" si="238"/>
        <v/>
      </c>
      <c r="Q1920" s="2"/>
      <c r="R1920" s="2"/>
      <c r="S1920" s="1" t="str">
        <f t="shared" si="239"/>
        <v/>
      </c>
      <c r="T1920" s="1" t="str">
        <f>IF(OR($C1920="",$D1920&lt;&gt;"Gelir",$L1920=""),"",IFERROR(INDEX(MUSTERILER!$B$7:$B$156,MATCH($S1920,MUSTERILER!$T$7:$T$156,0)),""))</f>
        <v/>
      </c>
      <c r="U1920" s="1" t="str">
        <f>IF($T1920="","",$T1920&amp;"|"&amp;COUNTIFS($T$7:$T1920,$T1920))</f>
        <v/>
      </c>
      <c r="V1920" s="1">
        <f t="shared" si="240"/>
        <v>0</v>
      </c>
      <c r="W1920" s="1" t="str">
        <f t="shared" si="241"/>
        <v/>
      </c>
      <c r="X1920" s="1"/>
      <c r="Y1920" s="1"/>
      <c r="Z1920" s="1"/>
      <c r="AA1920" s="1"/>
      <c r="AB1920" s="1"/>
      <c r="AC1920" s="1"/>
      <c r="AD1920" s="1">
        <f>IF($C1920="",0,SUMPRODUCT((AY_SONU!$O$7:$O$42="Evet")*(AY_SONU!$B$7:$B$42=DATE(YEAR($C1920),MONTH($C1920),1))))</f>
        <v>0</v>
      </c>
      <c r="AE1920" s="1" t="str">
        <f>IF($E1920="","",$E1920&amp;"|"&amp;COUNTIFS($E$7:$E1920,$E1920))</f>
        <v/>
      </c>
    </row>
    <row r="1921" spans="1:31" ht="18" customHeight="1" x14ac:dyDescent="0.3">
      <c r="A1921" s="2"/>
      <c r="B1921" s="65" t="str">
        <f t="shared" si="234"/>
        <v/>
      </c>
      <c r="C1921" s="66"/>
      <c r="D1921" s="60"/>
      <c r="E1921" s="61"/>
      <c r="F1921" s="61"/>
      <c r="G1921" s="67"/>
      <c r="H1921" s="60"/>
      <c r="I1921" s="60"/>
      <c r="J1921" s="61"/>
      <c r="K1921" s="61"/>
      <c r="L1921" s="60"/>
      <c r="M1921" s="74" t="str">
        <f t="shared" si="235"/>
        <v/>
      </c>
      <c r="N1921" s="74" t="str">
        <f t="shared" si="236"/>
        <v/>
      </c>
      <c r="O1921" s="73" t="str">
        <f t="shared" si="237"/>
        <v/>
      </c>
      <c r="P1921" s="65" t="str">
        <f t="shared" ca="1" si="238"/>
        <v/>
      </c>
      <c r="Q1921" s="2"/>
      <c r="R1921" s="2"/>
      <c r="S1921" s="1" t="str">
        <f t="shared" si="239"/>
        <v/>
      </c>
      <c r="T1921" s="1" t="str">
        <f>IF(OR($C1921="",$D1921&lt;&gt;"Gelir",$L1921=""),"",IFERROR(INDEX(MUSTERILER!$B$7:$B$156,MATCH($S1921,MUSTERILER!$T$7:$T$156,0)),""))</f>
        <v/>
      </c>
      <c r="U1921" s="1" t="str">
        <f>IF($T1921="","",$T1921&amp;"|"&amp;COUNTIFS($T$7:$T1921,$T1921))</f>
        <v/>
      </c>
      <c r="V1921" s="1">
        <f t="shared" si="240"/>
        <v>0</v>
      </c>
      <c r="W1921" s="1" t="str">
        <f t="shared" si="241"/>
        <v/>
      </c>
      <c r="X1921" s="1"/>
      <c r="Y1921" s="1"/>
      <c r="Z1921" s="1"/>
      <c r="AA1921" s="1"/>
      <c r="AB1921" s="1"/>
      <c r="AC1921" s="1"/>
      <c r="AD1921" s="1">
        <f>IF($C1921="",0,SUMPRODUCT((AY_SONU!$O$7:$O$42="Evet")*(AY_SONU!$B$7:$B$42=DATE(YEAR($C1921),MONTH($C1921),1))))</f>
        <v>0</v>
      </c>
      <c r="AE1921" s="1" t="str">
        <f>IF($E1921="","",$E1921&amp;"|"&amp;COUNTIFS($E$7:$E1921,$E1921))</f>
        <v/>
      </c>
    </row>
    <row r="1922" spans="1:31" ht="18" customHeight="1" x14ac:dyDescent="0.3">
      <c r="A1922" s="2"/>
      <c r="B1922" s="65" t="str">
        <f t="shared" si="234"/>
        <v/>
      </c>
      <c r="C1922" s="66"/>
      <c r="D1922" s="60"/>
      <c r="E1922" s="61"/>
      <c r="F1922" s="61"/>
      <c r="G1922" s="67"/>
      <c r="H1922" s="60"/>
      <c r="I1922" s="60"/>
      <c r="J1922" s="61"/>
      <c r="K1922" s="61"/>
      <c r="L1922" s="60"/>
      <c r="M1922" s="74" t="str">
        <f t="shared" si="235"/>
        <v/>
      </c>
      <c r="N1922" s="74" t="str">
        <f t="shared" si="236"/>
        <v/>
      </c>
      <c r="O1922" s="73" t="str">
        <f t="shared" si="237"/>
        <v/>
      </c>
      <c r="P1922" s="65" t="str">
        <f t="shared" ca="1" si="238"/>
        <v/>
      </c>
      <c r="Q1922" s="2"/>
      <c r="R1922" s="2"/>
      <c r="S1922" s="1" t="str">
        <f t="shared" si="239"/>
        <v/>
      </c>
      <c r="T1922" s="1" t="str">
        <f>IF(OR($C1922="",$D1922&lt;&gt;"Gelir",$L1922=""),"",IFERROR(INDEX(MUSTERILER!$B$7:$B$156,MATCH($S1922,MUSTERILER!$T$7:$T$156,0)),""))</f>
        <v/>
      </c>
      <c r="U1922" s="1" t="str">
        <f>IF($T1922="","",$T1922&amp;"|"&amp;COUNTIFS($T$7:$T1922,$T1922))</f>
        <v/>
      </c>
      <c r="V1922" s="1">
        <f t="shared" si="240"/>
        <v>0</v>
      </c>
      <c r="W1922" s="1" t="str">
        <f t="shared" si="241"/>
        <v/>
      </c>
      <c r="X1922" s="1"/>
      <c r="Y1922" s="1"/>
      <c r="Z1922" s="1"/>
      <c r="AA1922" s="1"/>
      <c r="AB1922" s="1"/>
      <c r="AC1922" s="1"/>
      <c r="AD1922" s="1">
        <f>IF($C1922="",0,SUMPRODUCT((AY_SONU!$O$7:$O$42="Evet")*(AY_SONU!$B$7:$B$42=DATE(YEAR($C1922),MONTH($C1922),1))))</f>
        <v>0</v>
      </c>
      <c r="AE1922" s="1" t="str">
        <f>IF($E1922="","",$E1922&amp;"|"&amp;COUNTIFS($E$7:$E1922,$E1922))</f>
        <v/>
      </c>
    </row>
    <row r="1923" spans="1:31" ht="18" customHeight="1" x14ac:dyDescent="0.3">
      <c r="A1923" s="2"/>
      <c r="B1923" s="65" t="str">
        <f t="shared" si="234"/>
        <v/>
      </c>
      <c r="C1923" s="66"/>
      <c r="D1923" s="60"/>
      <c r="E1923" s="61"/>
      <c r="F1923" s="61"/>
      <c r="G1923" s="67"/>
      <c r="H1923" s="60"/>
      <c r="I1923" s="60"/>
      <c r="J1923" s="61"/>
      <c r="K1923" s="61"/>
      <c r="L1923" s="60"/>
      <c r="M1923" s="74" t="str">
        <f t="shared" si="235"/>
        <v/>
      </c>
      <c r="N1923" s="74" t="str">
        <f t="shared" si="236"/>
        <v/>
      </c>
      <c r="O1923" s="73" t="str">
        <f t="shared" si="237"/>
        <v/>
      </c>
      <c r="P1923" s="65" t="str">
        <f t="shared" ca="1" si="238"/>
        <v/>
      </c>
      <c r="Q1923" s="2"/>
      <c r="R1923" s="2"/>
      <c r="S1923" s="1" t="str">
        <f t="shared" si="239"/>
        <v/>
      </c>
      <c r="T1923" s="1" t="str">
        <f>IF(OR($C1923="",$D1923&lt;&gt;"Gelir",$L1923=""),"",IFERROR(INDEX(MUSTERILER!$B$7:$B$156,MATCH($S1923,MUSTERILER!$T$7:$T$156,0)),""))</f>
        <v/>
      </c>
      <c r="U1923" s="1" t="str">
        <f>IF($T1923="","",$T1923&amp;"|"&amp;COUNTIFS($T$7:$T1923,$T1923))</f>
        <v/>
      </c>
      <c r="V1923" s="1">
        <f t="shared" si="240"/>
        <v>0</v>
      </c>
      <c r="W1923" s="1" t="str">
        <f t="shared" si="241"/>
        <v/>
      </c>
      <c r="X1923" s="1"/>
      <c r="Y1923" s="1"/>
      <c r="Z1923" s="1"/>
      <c r="AA1923" s="1"/>
      <c r="AB1923" s="1"/>
      <c r="AC1923" s="1"/>
      <c r="AD1923" s="1">
        <f>IF($C1923="",0,SUMPRODUCT((AY_SONU!$O$7:$O$42="Evet")*(AY_SONU!$B$7:$B$42=DATE(YEAR($C1923),MONTH($C1923),1))))</f>
        <v>0</v>
      </c>
      <c r="AE1923" s="1" t="str">
        <f>IF($E1923="","",$E1923&amp;"|"&amp;COUNTIFS($E$7:$E1923,$E1923))</f>
        <v/>
      </c>
    </row>
    <row r="1924" spans="1:31" ht="18" customHeight="1" x14ac:dyDescent="0.3">
      <c r="A1924" s="2"/>
      <c r="B1924" s="65" t="str">
        <f t="shared" si="234"/>
        <v/>
      </c>
      <c r="C1924" s="66"/>
      <c r="D1924" s="60"/>
      <c r="E1924" s="61"/>
      <c r="F1924" s="61"/>
      <c r="G1924" s="67"/>
      <c r="H1924" s="60"/>
      <c r="I1924" s="60"/>
      <c r="J1924" s="61"/>
      <c r="K1924" s="61"/>
      <c r="L1924" s="60"/>
      <c r="M1924" s="74" t="str">
        <f t="shared" si="235"/>
        <v/>
      </c>
      <c r="N1924" s="74" t="str">
        <f t="shared" si="236"/>
        <v/>
      </c>
      <c r="O1924" s="73" t="str">
        <f t="shared" si="237"/>
        <v/>
      </c>
      <c r="P1924" s="65" t="str">
        <f t="shared" ca="1" si="238"/>
        <v/>
      </c>
      <c r="Q1924" s="2"/>
      <c r="R1924" s="2"/>
      <c r="S1924" s="1" t="str">
        <f t="shared" si="239"/>
        <v/>
      </c>
      <c r="T1924" s="1" t="str">
        <f>IF(OR($C1924="",$D1924&lt;&gt;"Gelir",$L1924=""),"",IFERROR(INDEX(MUSTERILER!$B$7:$B$156,MATCH($S1924,MUSTERILER!$T$7:$T$156,0)),""))</f>
        <v/>
      </c>
      <c r="U1924" s="1" t="str">
        <f>IF($T1924="","",$T1924&amp;"|"&amp;COUNTIFS($T$7:$T1924,$T1924))</f>
        <v/>
      </c>
      <c r="V1924" s="1">
        <f t="shared" si="240"/>
        <v>0</v>
      </c>
      <c r="W1924" s="1" t="str">
        <f t="shared" si="241"/>
        <v/>
      </c>
      <c r="X1924" s="1"/>
      <c r="Y1924" s="1"/>
      <c r="Z1924" s="1"/>
      <c r="AA1924" s="1"/>
      <c r="AB1924" s="1"/>
      <c r="AC1924" s="1"/>
      <c r="AD1924" s="1">
        <f>IF($C1924="",0,SUMPRODUCT((AY_SONU!$O$7:$O$42="Evet")*(AY_SONU!$B$7:$B$42=DATE(YEAR($C1924),MONTH($C1924),1))))</f>
        <v>0</v>
      </c>
      <c r="AE1924" s="1" t="str">
        <f>IF($E1924="","",$E1924&amp;"|"&amp;COUNTIFS($E$7:$E1924,$E1924))</f>
        <v/>
      </c>
    </row>
    <row r="1925" spans="1:31" ht="18" customHeight="1" x14ac:dyDescent="0.3">
      <c r="A1925" s="2"/>
      <c r="B1925" s="65" t="str">
        <f t="shared" si="234"/>
        <v/>
      </c>
      <c r="C1925" s="66"/>
      <c r="D1925" s="60"/>
      <c r="E1925" s="61"/>
      <c r="F1925" s="61"/>
      <c r="G1925" s="67"/>
      <c r="H1925" s="60"/>
      <c r="I1925" s="60"/>
      <c r="J1925" s="61"/>
      <c r="K1925" s="61"/>
      <c r="L1925" s="60"/>
      <c r="M1925" s="74" t="str">
        <f t="shared" si="235"/>
        <v/>
      </c>
      <c r="N1925" s="74" t="str">
        <f t="shared" si="236"/>
        <v/>
      </c>
      <c r="O1925" s="73" t="str">
        <f t="shared" si="237"/>
        <v/>
      </c>
      <c r="P1925" s="65" t="str">
        <f t="shared" ca="1" si="238"/>
        <v/>
      </c>
      <c r="Q1925" s="2"/>
      <c r="R1925" s="2"/>
      <c r="S1925" s="1" t="str">
        <f t="shared" si="239"/>
        <v/>
      </c>
      <c r="T1925" s="1" t="str">
        <f>IF(OR($C1925="",$D1925&lt;&gt;"Gelir",$L1925=""),"",IFERROR(INDEX(MUSTERILER!$B$7:$B$156,MATCH($S1925,MUSTERILER!$T$7:$T$156,0)),""))</f>
        <v/>
      </c>
      <c r="U1925" s="1" t="str">
        <f>IF($T1925="","",$T1925&amp;"|"&amp;COUNTIFS($T$7:$T1925,$T1925))</f>
        <v/>
      </c>
      <c r="V1925" s="1">
        <f t="shared" si="240"/>
        <v>0</v>
      </c>
      <c r="W1925" s="1" t="str">
        <f t="shared" si="241"/>
        <v/>
      </c>
      <c r="X1925" s="1"/>
      <c r="Y1925" s="1"/>
      <c r="Z1925" s="1"/>
      <c r="AA1925" s="1"/>
      <c r="AB1925" s="1"/>
      <c r="AC1925" s="1"/>
      <c r="AD1925" s="1">
        <f>IF($C1925="",0,SUMPRODUCT((AY_SONU!$O$7:$O$42="Evet")*(AY_SONU!$B$7:$B$42=DATE(YEAR($C1925),MONTH($C1925),1))))</f>
        <v>0</v>
      </c>
      <c r="AE1925" s="1" t="str">
        <f>IF($E1925="","",$E1925&amp;"|"&amp;COUNTIFS($E$7:$E1925,$E1925))</f>
        <v/>
      </c>
    </row>
    <row r="1926" spans="1:31" ht="18" customHeight="1" x14ac:dyDescent="0.3">
      <c r="A1926" s="2"/>
      <c r="B1926" s="65" t="str">
        <f t="shared" si="234"/>
        <v/>
      </c>
      <c r="C1926" s="66"/>
      <c r="D1926" s="60"/>
      <c r="E1926" s="61"/>
      <c r="F1926" s="61"/>
      <c r="G1926" s="67"/>
      <c r="H1926" s="60"/>
      <c r="I1926" s="60"/>
      <c r="J1926" s="61"/>
      <c r="K1926" s="61"/>
      <c r="L1926" s="60"/>
      <c r="M1926" s="74" t="str">
        <f t="shared" si="235"/>
        <v/>
      </c>
      <c r="N1926" s="74" t="str">
        <f t="shared" si="236"/>
        <v/>
      </c>
      <c r="O1926" s="73" t="str">
        <f t="shared" si="237"/>
        <v/>
      </c>
      <c r="P1926" s="65" t="str">
        <f t="shared" ca="1" si="238"/>
        <v/>
      </c>
      <c r="Q1926" s="2"/>
      <c r="R1926" s="2"/>
      <c r="S1926" s="1" t="str">
        <f t="shared" si="239"/>
        <v/>
      </c>
      <c r="T1926" s="1" t="str">
        <f>IF(OR($C1926="",$D1926&lt;&gt;"Gelir",$L1926=""),"",IFERROR(INDEX(MUSTERILER!$B$7:$B$156,MATCH($S1926,MUSTERILER!$T$7:$T$156,0)),""))</f>
        <v/>
      </c>
      <c r="U1926" s="1" t="str">
        <f>IF($T1926="","",$T1926&amp;"|"&amp;COUNTIFS($T$7:$T1926,$T1926))</f>
        <v/>
      </c>
      <c r="V1926" s="1">
        <f t="shared" si="240"/>
        <v>0</v>
      </c>
      <c r="W1926" s="1" t="str">
        <f t="shared" si="241"/>
        <v/>
      </c>
      <c r="X1926" s="1"/>
      <c r="Y1926" s="1"/>
      <c r="Z1926" s="1"/>
      <c r="AA1926" s="1"/>
      <c r="AB1926" s="1"/>
      <c r="AC1926" s="1"/>
      <c r="AD1926" s="1">
        <f>IF($C1926="",0,SUMPRODUCT((AY_SONU!$O$7:$O$42="Evet")*(AY_SONU!$B$7:$B$42=DATE(YEAR($C1926),MONTH($C1926),1))))</f>
        <v>0</v>
      </c>
      <c r="AE1926" s="1" t="str">
        <f>IF($E1926="","",$E1926&amp;"|"&amp;COUNTIFS($E$7:$E1926,$E1926))</f>
        <v/>
      </c>
    </row>
    <row r="1927" spans="1:31" ht="18" customHeight="1" x14ac:dyDescent="0.3">
      <c r="A1927" s="2"/>
      <c r="B1927" s="65" t="str">
        <f t="shared" ref="B1927:B1990" si="242">IF($C1927="","","GG"&amp;TEXT(ROW()-6,"00000"))</f>
        <v/>
      </c>
      <c r="C1927" s="66"/>
      <c r="D1927" s="60"/>
      <c r="E1927" s="61"/>
      <c r="F1927" s="61"/>
      <c r="G1927" s="67"/>
      <c r="H1927" s="60"/>
      <c r="I1927" s="60"/>
      <c r="J1927" s="61"/>
      <c r="K1927" s="61"/>
      <c r="L1927" s="60"/>
      <c r="M1927" s="74" t="str">
        <f t="shared" ref="M1927:M1990" si="243">IF($C1927="","",IF($D1927="Gider",$E1927,IF($L1927&lt;&gt;"",$L1927,$H1927)))</f>
        <v/>
      </c>
      <c r="N1927" s="74" t="str">
        <f t="shared" ref="N1927:N1990" si="244">IF($C1927="","",IF($D1927="Gider",$H1927,$E1927))</f>
        <v/>
      </c>
      <c r="O1927" s="73" t="str">
        <f t="shared" ref="O1927:O1990" si="245">IF($C1927="","",DATE(YEAR($C1927),MONTH($C1927),1))</f>
        <v/>
      </c>
      <c r="P1927" s="65" t="str">
        <f t="shared" ref="P1927:P1990" ca="1" si="246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TARİH",IF(COUNTIF($W$7:$W$3006,$W1927)&gt;1,"MÜKERRER?",IF($AD1927&gt;0,"KAPALI DÖNEM",IF($I1927="Hayır","ÖDENECEK","UYGUN")))),"EKSİK"))))</f>
        <v/>
      </c>
      <c r="Q1927" s="2"/>
      <c r="R1927" s="2"/>
      <c r="S1927" s="1" t="str">
        <f t="shared" ref="S1927:S1990" si="247"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1" t="str">
        <f>IF(OR($C1927="",$D1927&lt;&gt;"Gelir",$L1927=""),"",IFERROR(INDEX(MUSTERILER!$B$7:$B$156,MATCH($S1927,MUSTERILER!$T$7:$T$156,0)),""))</f>
        <v/>
      </c>
      <c r="U1927" s="1" t="str">
        <f>IF($T1927="","",$T1927&amp;"|"&amp;COUNTIFS($T$7:$T1927,$T1927))</f>
        <v/>
      </c>
      <c r="V1927" s="1">
        <f t="shared" ref="V1927:V1990" si="248">IF($T1927="",0,1)</f>
        <v>0</v>
      </c>
      <c r="W1927" s="1" t="str">
        <f t="shared" ref="W1927:W1990" si="249">IF($C1927="","",$D1927&amp;"|"&amp;$E1927&amp;"|"&amp;TEXT($C1927,"0")&amp;"|"&amp;TEXT($G1927,"0")&amp;"|"&amp;$J1927)</f>
        <v/>
      </c>
      <c r="X1927" s="1"/>
      <c r="Y1927" s="1"/>
      <c r="Z1927" s="1"/>
      <c r="AA1927" s="1"/>
      <c r="AB1927" s="1"/>
      <c r="AC1927" s="1"/>
      <c r="AD1927" s="1">
        <f>IF($C1927="",0,SUMPRODUCT((AY_SONU!$O$7:$O$42="Evet")*(AY_SONU!$B$7:$B$42=DATE(YEAR($C1927),MONTH($C1927),1))))</f>
        <v>0</v>
      </c>
      <c r="AE1927" s="1" t="str">
        <f>IF($E1927="","",$E1927&amp;"|"&amp;COUNTIFS($E$7:$E1927,$E1927))</f>
        <v/>
      </c>
    </row>
    <row r="1928" spans="1:31" ht="18" customHeight="1" x14ac:dyDescent="0.3">
      <c r="A1928" s="2"/>
      <c r="B1928" s="65" t="str">
        <f t="shared" si="242"/>
        <v/>
      </c>
      <c r="C1928" s="66"/>
      <c r="D1928" s="60"/>
      <c r="E1928" s="61"/>
      <c r="F1928" s="61"/>
      <c r="G1928" s="67"/>
      <c r="H1928" s="60"/>
      <c r="I1928" s="60"/>
      <c r="J1928" s="61"/>
      <c r="K1928" s="61"/>
      <c r="L1928" s="60"/>
      <c r="M1928" s="74" t="str">
        <f t="shared" si="243"/>
        <v/>
      </c>
      <c r="N1928" s="74" t="str">
        <f t="shared" si="244"/>
        <v/>
      </c>
      <c r="O1928" s="73" t="str">
        <f t="shared" si="245"/>
        <v/>
      </c>
      <c r="P1928" s="65" t="str">
        <f t="shared" ca="1" si="246"/>
        <v/>
      </c>
      <c r="Q1928" s="2"/>
      <c r="R1928" s="2"/>
      <c r="S1928" s="1" t="str">
        <f t="shared" si="247"/>
        <v/>
      </c>
      <c r="T1928" s="1" t="str">
        <f>IF(OR($C1928="",$D1928&lt;&gt;"Gelir",$L1928=""),"",IFERROR(INDEX(MUSTERILER!$B$7:$B$156,MATCH($S1928,MUSTERILER!$T$7:$T$156,0)),""))</f>
        <v/>
      </c>
      <c r="U1928" s="1" t="str">
        <f>IF($T1928="","",$T1928&amp;"|"&amp;COUNTIFS($T$7:$T1928,$T1928))</f>
        <v/>
      </c>
      <c r="V1928" s="1">
        <f t="shared" si="248"/>
        <v>0</v>
      </c>
      <c r="W1928" s="1" t="str">
        <f t="shared" si="249"/>
        <v/>
      </c>
      <c r="X1928" s="1"/>
      <c r="Y1928" s="1"/>
      <c r="Z1928" s="1"/>
      <c r="AA1928" s="1"/>
      <c r="AB1928" s="1"/>
      <c r="AC1928" s="1"/>
      <c r="AD1928" s="1">
        <f>IF($C1928="",0,SUMPRODUCT((AY_SONU!$O$7:$O$42="Evet")*(AY_SONU!$B$7:$B$42=DATE(YEAR($C1928),MONTH($C1928),1))))</f>
        <v>0</v>
      </c>
      <c r="AE1928" s="1" t="str">
        <f>IF($E1928="","",$E1928&amp;"|"&amp;COUNTIFS($E$7:$E1928,$E1928))</f>
        <v/>
      </c>
    </row>
    <row r="1929" spans="1:31" ht="18" customHeight="1" x14ac:dyDescent="0.3">
      <c r="A1929" s="2"/>
      <c r="B1929" s="65" t="str">
        <f t="shared" si="242"/>
        <v/>
      </c>
      <c r="C1929" s="66"/>
      <c r="D1929" s="60"/>
      <c r="E1929" s="61"/>
      <c r="F1929" s="61"/>
      <c r="G1929" s="67"/>
      <c r="H1929" s="60"/>
      <c r="I1929" s="60"/>
      <c r="J1929" s="61"/>
      <c r="K1929" s="61"/>
      <c r="L1929" s="60"/>
      <c r="M1929" s="74" t="str">
        <f t="shared" si="243"/>
        <v/>
      </c>
      <c r="N1929" s="74" t="str">
        <f t="shared" si="244"/>
        <v/>
      </c>
      <c r="O1929" s="73" t="str">
        <f t="shared" si="245"/>
        <v/>
      </c>
      <c r="P1929" s="65" t="str">
        <f t="shared" ca="1" si="246"/>
        <v/>
      </c>
      <c r="Q1929" s="2"/>
      <c r="R1929" s="2"/>
      <c r="S1929" s="1" t="str">
        <f t="shared" si="247"/>
        <v/>
      </c>
      <c r="T1929" s="1" t="str">
        <f>IF(OR($C1929="",$D1929&lt;&gt;"Gelir",$L1929=""),"",IFERROR(INDEX(MUSTERILER!$B$7:$B$156,MATCH($S1929,MUSTERILER!$T$7:$T$156,0)),""))</f>
        <v/>
      </c>
      <c r="U1929" s="1" t="str">
        <f>IF($T1929="","",$T1929&amp;"|"&amp;COUNTIFS($T$7:$T1929,$T1929))</f>
        <v/>
      </c>
      <c r="V1929" s="1">
        <f t="shared" si="248"/>
        <v>0</v>
      </c>
      <c r="W1929" s="1" t="str">
        <f t="shared" si="249"/>
        <v/>
      </c>
      <c r="X1929" s="1"/>
      <c r="Y1929" s="1"/>
      <c r="Z1929" s="1"/>
      <c r="AA1929" s="1"/>
      <c r="AB1929" s="1"/>
      <c r="AC1929" s="1"/>
      <c r="AD1929" s="1">
        <f>IF($C1929="",0,SUMPRODUCT((AY_SONU!$O$7:$O$42="Evet")*(AY_SONU!$B$7:$B$42=DATE(YEAR($C1929),MONTH($C1929),1))))</f>
        <v>0</v>
      </c>
      <c r="AE1929" s="1" t="str">
        <f>IF($E1929="","",$E1929&amp;"|"&amp;COUNTIFS($E$7:$E1929,$E1929))</f>
        <v/>
      </c>
    </row>
    <row r="1930" spans="1:31" ht="18" customHeight="1" x14ac:dyDescent="0.3">
      <c r="A1930" s="2"/>
      <c r="B1930" s="65" t="str">
        <f t="shared" si="242"/>
        <v/>
      </c>
      <c r="C1930" s="66"/>
      <c r="D1930" s="60"/>
      <c r="E1930" s="61"/>
      <c r="F1930" s="61"/>
      <c r="G1930" s="67"/>
      <c r="H1930" s="60"/>
      <c r="I1930" s="60"/>
      <c r="J1930" s="61"/>
      <c r="K1930" s="61"/>
      <c r="L1930" s="60"/>
      <c r="M1930" s="74" t="str">
        <f t="shared" si="243"/>
        <v/>
      </c>
      <c r="N1930" s="74" t="str">
        <f t="shared" si="244"/>
        <v/>
      </c>
      <c r="O1930" s="73" t="str">
        <f t="shared" si="245"/>
        <v/>
      </c>
      <c r="P1930" s="65" t="str">
        <f t="shared" ca="1" si="246"/>
        <v/>
      </c>
      <c r="Q1930" s="2"/>
      <c r="R1930" s="2"/>
      <c r="S1930" s="1" t="str">
        <f t="shared" si="247"/>
        <v/>
      </c>
      <c r="T1930" s="1" t="str">
        <f>IF(OR($C1930="",$D1930&lt;&gt;"Gelir",$L1930=""),"",IFERROR(INDEX(MUSTERILER!$B$7:$B$156,MATCH($S1930,MUSTERILER!$T$7:$T$156,0)),""))</f>
        <v/>
      </c>
      <c r="U1930" s="1" t="str">
        <f>IF($T1930="","",$T1930&amp;"|"&amp;COUNTIFS($T$7:$T1930,$T1930))</f>
        <v/>
      </c>
      <c r="V1930" s="1">
        <f t="shared" si="248"/>
        <v>0</v>
      </c>
      <c r="W1930" s="1" t="str">
        <f t="shared" si="249"/>
        <v/>
      </c>
      <c r="X1930" s="1"/>
      <c r="Y1930" s="1"/>
      <c r="Z1930" s="1"/>
      <c r="AA1930" s="1"/>
      <c r="AB1930" s="1"/>
      <c r="AC1930" s="1"/>
      <c r="AD1930" s="1">
        <f>IF($C1930="",0,SUMPRODUCT((AY_SONU!$O$7:$O$42="Evet")*(AY_SONU!$B$7:$B$42=DATE(YEAR($C1930),MONTH($C1930),1))))</f>
        <v>0</v>
      </c>
      <c r="AE1930" s="1" t="str">
        <f>IF($E1930="","",$E1930&amp;"|"&amp;COUNTIFS($E$7:$E1930,$E1930))</f>
        <v/>
      </c>
    </row>
    <row r="1931" spans="1:31" ht="18" customHeight="1" x14ac:dyDescent="0.3">
      <c r="A1931" s="2"/>
      <c r="B1931" s="65" t="str">
        <f t="shared" si="242"/>
        <v/>
      </c>
      <c r="C1931" s="66"/>
      <c r="D1931" s="60"/>
      <c r="E1931" s="61"/>
      <c r="F1931" s="61"/>
      <c r="G1931" s="67"/>
      <c r="H1931" s="60"/>
      <c r="I1931" s="60"/>
      <c r="J1931" s="61"/>
      <c r="K1931" s="61"/>
      <c r="L1931" s="60"/>
      <c r="M1931" s="74" t="str">
        <f t="shared" si="243"/>
        <v/>
      </c>
      <c r="N1931" s="74" t="str">
        <f t="shared" si="244"/>
        <v/>
      </c>
      <c r="O1931" s="73" t="str">
        <f t="shared" si="245"/>
        <v/>
      </c>
      <c r="P1931" s="65" t="str">
        <f t="shared" ca="1" si="246"/>
        <v/>
      </c>
      <c r="Q1931" s="2"/>
      <c r="R1931" s="2"/>
      <c r="S1931" s="1" t="str">
        <f t="shared" si="247"/>
        <v/>
      </c>
      <c r="T1931" s="1" t="str">
        <f>IF(OR($C1931="",$D1931&lt;&gt;"Gelir",$L1931=""),"",IFERROR(INDEX(MUSTERILER!$B$7:$B$156,MATCH($S1931,MUSTERILER!$T$7:$T$156,0)),""))</f>
        <v/>
      </c>
      <c r="U1931" s="1" t="str">
        <f>IF($T1931="","",$T1931&amp;"|"&amp;COUNTIFS($T$7:$T1931,$T1931))</f>
        <v/>
      </c>
      <c r="V1931" s="1">
        <f t="shared" si="248"/>
        <v>0</v>
      </c>
      <c r="W1931" s="1" t="str">
        <f t="shared" si="249"/>
        <v/>
      </c>
      <c r="X1931" s="1"/>
      <c r="Y1931" s="1"/>
      <c r="Z1931" s="1"/>
      <c r="AA1931" s="1"/>
      <c r="AB1931" s="1"/>
      <c r="AC1931" s="1"/>
      <c r="AD1931" s="1">
        <f>IF($C1931="",0,SUMPRODUCT((AY_SONU!$O$7:$O$42="Evet")*(AY_SONU!$B$7:$B$42=DATE(YEAR($C1931),MONTH($C1931),1))))</f>
        <v>0</v>
      </c>
      <c r="AE1931" s="1" t="str">
        <f>IF($E1931="","",$E1931&amp;"|"&amp;COUNTIFS($E$7:$E1931,$E1931))</f>
        <v/>
      </c>
    </row>
    <row r="1932" spans="1:31" ht="18" customHeight="1" x14ac:dyDescent="0.3">
      <c r="A1932" s="2"/>
      <c r="B1932" s="65" t="str">
        <f t="shared" si="242"/>
        <v/>
      </c>
      <c r="C1932" s="66"/>
      <c r="D1932" s="60"/>
      <c r="E1932" s="61"/>
      <c r="F1932" s="61"/>
      <c r="G1932" s="67"/>
      <c r="H1932" s="60"/>
      <c r="I1932" s="60"/>
      <c r="J1932" s="61"/>
      <c r="K1932" s="61"/>
      <c r="L1932" s="60"/>
      <c r="M1932" s="74" t="str">
        <f t="shared" si="243"/>
        <v/>
      </c>
      <c r="N1932" s="74" t="str">
        <f t="shared" si="244"/>
        <v/>
      </c>
      <c r="O1932" s="73" t="str">
        <f t="shared" si="245"/>
        <v/>
      </c>
      <c r="P1932" s="65" t="str">
        <f t="shared" ca="1" si="246"/>
        <v/>
      </c>
      <c r="Q1932" s="2"/>
      <c r="R1932" s="2"/>
      <c r="S1932" s="1" t="str">
        <f t="shared" si="247"/>
        <v/>
      </c>
      <c r="T1932" s="1" t="str">
        <f>IF(OR($C1932="",$D1932&lt;&gt;"Gelir",$L1932=""),"",IFERROR(INDEX(MUSTERILER!$B$7:$B$156,MATCH($S1932,MUSTERILER!$T$7:$T$156,0)),""))</f>
        <v/>
      </c>
      <c r="U1932" s="1" t="str">
        <f>IF($T1932="","",$T1932&amp;"|"&amp;COUNTIFS($T$7:$T1932,$T1932))</f>
        <v/>
      </c>
      <c r="V1932" s="1">
        <f t="shared" si="248"/>
        <v>0</v>
      </c>
      <c r="W1932" s="1" t="str">
        <f t="shared" si="249"/>
        <v/>
      </c>
      <c r="X1932" s="1"/>
      <c r="Y1932" s="1"/>
      <c r="Z1932" s="1"/>
      <c r="AA1932" s="1"/>
      <c r="AB1932" s="1"/>
      <c r="AC1932" s="1"/>
      <c r="AD1932" s="1">
        <f>IF($C1932="",0,SUMPRODUCT((AY_SONU!$O$7:$O$42="Evet")*(AY_SONU!$B$7:$B$42=DATE(YEAR($C1932),MONTH($C1932),1))))</f>
        <v>0</v>
      </c>
      <c r="AE1932" s="1" t="str">
        <f>IF($E1932="","",$E1932&amp;"|"&amp;COUNTIFS($E$7:$E1932,$E1932))</f>
        <v/>
      </c>
    </row>
    <row r="1933" spans="1:31" ht="18" customHeight="1" x14ac:dyDescent="0.3">
      <c r="A1933" s="2"/>
      <c r="B1933" s="65" t="str">
        <f t="shared" si="242"/>
        <v/>
      </c>
      <c r="C1933" s="66"/>
      <c r="D1933" s="60"/>
      <c r="E1933" s="61"/>
      <c r="F1933" s="61"/>
      <c r="G1933" s="67"/>
      <c r="H1933" s="60"/>
      <c r="I1933" s="60"/>
      <c r="J1933" s="61"/>
      <c r="K1933" s="61"/>
      <c r="L1933" s="60"/>
      <c r="M1933" s="74" t="str">
        <f t="shared" si="243"/>
        <v/>
      </c>
      <c r="N1933" s="74" t="str">
        <f t="shared" si="244"/>
        <v/>
      </c>
      <c r="O1933" s="73" t="str">
        <f t="shared" si="245"/>
        <v/>
      </c>
      <c r="P1933" s="65" t="str">
        <f t="shared" ca="1" si="246"/>
        <v/>
      </c>
      <c r="Q1933" s="2"/>
      <c r="R1933" s="2"/>
      <c r="S1933" s="1" t="str">
        <f t="shared" si="247"/>
        <v/>
      </c>
      <c r="T1933" s="1" t="str">
        <f>IF(OR($C1933="",$D1933&lt;&gt;"Gelir",$L1933=""),"",IFERROR(INDEX(MUSTERILER!$B$7:$B$156,MATCH($S1933,MUSTERILER!$T$7:$T$156,0)),""))</f>
        <v/>
      </c>
      <c r="U1933" s="1" t="str">
        <f>IF($T1933="","",$T1933&amp;"|"&amp;COUNTIFS($T$7:$T1933,$T1933))</f>
        <v/>
      </c>
      <c r="V1933" s="1">
        <f t="shared" si="248"/>
        <v>0</v>
      </c>
      <c r="W1933" s="1" t="str">
        <f t="shared" si="249"/>
        <v/>
      </c>
      <c r="X1933" s="1"/>
      <c r="Y1933" s="1"/>
      <c r="Z1933" s="1"/>
      <c r="AA1933" s="1"/>
      <c r="AB1933" s="1"/>
      <c r="AC1933" s="1"/>
      <c r="AD1933" s="1">
        <f>IF($C1933="",0,SUMPRODUCT((AY_SONU!$O$7:$O$42="Evet")*(AY_SONU!$B$7:$B$42=DATE(YEAR($C1933),MONTH($C1933),1))))</f>
        <v>0</v>
      </c>
      <c r="AE1933" s="1" t="str">
        <f>IF($E1933="","",$E1933&amp;"|"&amp;COUNTIFS($E$7:$E1933,$E1933))</f>
        <v/>
      </c>
    </row>
    <row r="1934" spans="1:31" ht="18" customHeight="1" x14ac:dyDescent="0.3">
      <c r="A1934" s="2"/>
      <c r="B1934" s="65" t="str">
        <f t="shared" si="242"/>
        <v/>
      </c>
      <c r="C1934" s="66"/>
      <c r="D1934" s="60"/>
      <c r="E1934" s="61"/>
      <c r="F1934" s="61"/>
      <c r="G1934" s="67"/>
      <c r="H1934" s="60"/>
      <c r="I1934" s="60"/>
      <c r="J1934" s="61"/>
      <c r="K1934" s="61"/>
      <c r="L1934" s="60"/>
      <c r="M1934" s="74" t="str">
        <f t="shared" si="243"/>
        <v/>
      </c>
      <c r="N1934" s="74" t="str">
        <f t="shared" si="244"/>
        <v/>
      </c>
      <c r="O1934" s="73" t="str">
        <f t="shared" si="245"/>
        <v/>
      </c>
      <c r="P1934" s="65" t="str">
        <f t="shared" ca="1" si="246"/>
        <v/>
      </c>
      <c r="Q1934" s="2"/>
      <c r="R1934" s="2"/>
      <c r="S1934" s="1" t="str">
        <f t="shared" si="247"/>
        <v/>
      </c>
      <c r="T1934" s="1" t="str">
        <f>IF(OR($C1934="",$D1934&lt;&gt;"Gelir",$L1934=""),"",IFERROR(INDEX(MUSTERILER!$B$7:$B$156,MATCH($S1934,MUSTERILER!$T$7:$T$156,0)),""))</f>
        <v/>
      </c>
      <c r="U1934" s="1" t="str">
        <f>IF($T1934="","",$T1934&amp;"|"&amp;COUNTIFS($T$7:$T1934,$T1934))</f>
        <v/>
      </c>
      <c r="V1934" s="1">
        <f t="shared" si="248"/>
        <v>0</v>
      </c>
      <c r="W1934" s="1" t="str">
        <f t="shared" si="249"/>
        <v/>
      </c>
      <c r="X1934" s="1"/>
      <c r="Y1934" s="1"/>
      <c r="Z1934" s="1"/>
      <c r="AA1934" s="1"/>
      <c r="AB1934" s="1"/>
      <c r="AC1934" s="1"/>
      <c r="AD1934" s="1">
        <f>IF($C1934="",0,SUMPRODUCT((AY_SONU!$O$7:$O$42="Evet")*(AY_SONU!$B$7:$B$42=DATE(YEAR($C1934),MONTH($C1934),1))))</f>
        <v>0</v>
      </c>
      <c r="AE1934" s="1" t="str">
        <f>IF($E1934="","",$E1934&amp;"|"&amp;COUNTIFS($E$7:$E1934,$E1934))</f>
        <v/>
      </c>
    </row>
    <row r="1935" spans="1:31" ht="18" customHeight="1" x14ac:dyDescent="0.3">
      <c r="A1935" s="2"/>
      <c r="B1935" s="65" t="str">
        <f t="shared" si="242"/>
        <v/>
      </c>
      <c r="C1935" s="66"/>
      <c r="D1935" s="60"/>
      <c r="E1935" s="61"/>
      <c r="F1935" s="61"/>
      <c r="G1935" s="67"/>
      <c r="H1935" s="60"/>
      <c r="I1935" s="60"/>
      <c r="J1935" s="61"/>
      <c r="K1935" s="61"/>
      <c r="L1935" s="60"/>
      <c r="M1935" s="74" t="str">
        <f t="shared" si="243"/>
        <v/>
      </c>
      <c r="N1935" s="74" t="str">
        <f t="shared" si="244"/>
        <v/>
      </c>
      <c r="O1935" s="73" t="str">
        <f t="shared" si="245"/>
        <v/>
      </c>
      <c r="P1935" s="65" t="str">
        <f t="shared" ca="1" si="246"/>
        <v/>
      </c>
      <c r="Q1935" s="2"/>
      <c r="R1935" s="2"/>
      <c r="S1935" s="1" t="str">
        <f t="shared" si="247"/>
        <v/>
      </c>
      <c r="T1935" s="1" t="str">
        <f>IF(OR($C1935="",$D1935&lt;&gt;"Gelir",$L1935=""),"",IFERROR(INDEX(MUSTERILER!$B$7:$B$156,MATCH($S1935,MUSTERILER!$T$7:$T$156,0)),""))</f>
        <v/>
      </c>
      <c r="U1935" s="1" t="str">
        <f>IF($T1935="","",$T1935&amp;"|"&amp;COUNTIFS($T$7:$T1935,$T1935))</f>
        <v/>
      </c>
      <c r="V1935" s="1">
        <f t="shared" si="248"/>
        <v>0</v>
      </c>
      <c r="W1935" s="1" t="str">
        <f t="shared" si="249"/>
        <v/>
      </c>
      <c r="X1935" s="1"/>
      <c r="Y1935" s="1"/>
      <c r="Z1935" s="1"/>
      <c r="AA1935" s="1"/>
      <c r="AB1935" s="1"/>
      <c r="AC1935" s="1"/>
      <c r="AD1935" s="1">
        <f>IF($C1935="",0,SUMPRODUCT((AY_SONU!$O$7:$O$42="Evet")*(AY_SONU!$B$7:$B$42=DATE(YEAR($C1935),MONTH($C1935),1))))</f>
        <v>0</v>
      </c>
      <c r="AE1935" s="1" t="str">
        <f>IF($E1935="","",$E1935&amp;"|"&amp;COUNTIFS($E$7:$E1935,$E1935))</f>
        <v/>
      </c>
    </row>
    <row r="1936" spans="1:31" ht="18" customHeight="1" x14ac:dyDescent="0.3">
      <c r="A1936" s="2"/>
      <c r="B1936" s="65" t="str">
        <f t="shared" si="242"/>
        <v/>
      </c>
      <c r="C1936" s="66"/>
      <c r="D1936" s="60"/>
      <c r="E1936" s="61"/>
      <c r="F1936" s="61"/>
      <c r="G1936" s="67"/>
      <c r="H1936" s="60"/>
      <c r="I1936" s="60"/>
      <c r="J1936" s="61"/>
      <c r="K1936" s="61"/>
      <c r="L1936" s="60"/>
      <c r="M1936" s="74" t="str">
        <f t="shared" si="243"/>
        <v/>
      </c>
      <c r="N1936" s="74" t="str">
        <f t="shared" si="244"/>
        <v/>
      </c>
      <c r="O1936" s="73" t="str">
        <f t="shared" si="245"/>
        <v/>
      </c>
      <c r="P1936" s="65" t="str">
        <f t="shared" ca="1" si="246"/>
        <v/>
      </c>
      <c r="Q1936" s="2"/>
      <c r="R1936" s="2"/>
      <c r="S1936" s="1" t="str">
        <f t="shared" si="247"/>
        <v/>
      </c>
      <c r="T1936" s="1" t="str">
        <f>IF(OR($C1936="",$D1936&lt;&gt;"Gelir",$L1936=""),"",IFERROR(INDEX(MUSTERILER!$B$7:$B$156,MATCH($S1936,MUSTERILER!$T$7:$T$156,0)),""))</f>
        <v/>
      </c>
      <c r="U1936" s="1" t="str">
        <f>IF($T1936="","",$T1936&amp;"|"&amp;COUNTIFS($T$7:$T1936,$T1936))</f>
        <v/>
      </c>
      <c r="V1936" s="1">
        <f t="shared" si="248"/>
        <v>0</v>
      </c>
      <c r="W1936" s="1" t="str">
        <f t="shared" si="249"/>
        <v/>
      </c>
      <c r="X1936" s="1"/>
      <c r="Y1936" s="1"/>
      <c r="Z1936" s="1"/>
      <c r="AA1936" s="1"/>
      <c r="AB1936" s="1"/>
      <c r="AC1936" s="1"/>
      <c r="AD1936" s="1">
        <f>IF($C1936="",0,SUMPRODUCT((AY_SONU!$O$7:$O$42="Evet")*(AY_SONU!$B$7:$B$42=DATE(YEAR($C1936),MONTH($C1936),1))))</f>
        <v>0</v>
      </c>
      <c r="AE1936" s="1" t="str">
        <f>IF($E1936="","",$E1936&amp;"|"&amp;COUNTIFS($E$7:$E1936,$E1936))</f>
        <v/>
      </c>
    </row>
    <row r="1937" spans="1:31" ht="18" customHeight="1" x14ac:dyDescent="0.3">
      <c r="A1937" s="2"/>
      <c r="B1937" s="65" t="str">
        <f t="shared" si="242"/>
        <v/>
      </c>
      <c r="C1937" s="66"/>
      <c r="D1937" s="60"/>
      <c r="E1937" s="61"/>
      <c r="F1937" s="61"/>
      <c r="G1937" s="67"/>
      <c r="H1937" s="60"/>
      <c r="I1937" s="60"/>
      <c r="J1937" s="61"/>
      <c r="K1937" s="61"/>
      <c r="L1937" s="60"/>
      <c r="M1937" s="74" t="str">
        <f t="shared" si="243"/>
        <v/>
      </c>
      <c r="N1937" s="74" t="str">
        <f t="shared" si="244"/>
        <v/>
      </c>
      <c r="O1937" s="73" t="str">
        <f t="shared" si="245"/>
        <v/>
      </c>
      <c r="P1937" s="65" t="str">
        <f t="shared" ca="1" si="246"/>
        <v/>
      </c>
      <c r="Q1937" s="2"/>
      <c r="R1937" s="2"/>
      <c r="S1937" s="1" t="str">
        <f t="shared" si="247"/>
        <v/>
      </c>
      <c r="T1937" s="1" t="str">
        <f>IF(OR($C1937="",$D1937&lt;&gt;"Gelir",$L1937=""),"",IFERROR(INDEX(MUSTERILER!$B$7:$B$156,MATCH($S1937,MUSTERILER!$T$7:$T$156,0)),""))</f>
        <v/>
      </c>
      <c r="U1937" s="1" t="str">
        <f>IF($T1937="","",$T1937&amp;"|"&amp;COUNTIFS($T$7:$T1937,$T1937))</f>
        <v/>
      </c>
      <c r="V1937" s="1">
        <f t="shared" si="248"/>
        <v>0</v>
      </c>
      <c r="W1937" s="1" t="str">
        <f t="shared" si="249"/>
        <v/>
      </c>
      <c r="X1937" s="1"/>
      <c r="Y1937" s="1"/>
      <c r="Z1937" s="1"/>
      <c r="AA1937" s="1"/>
      <c r="AB1937" s="1"/>
      <c r="AC1937" s="1"/>
      <c r="AD1937" s="1">
        <f>IF($C1937="",0,SUMPRODUCT((AY_SONU!$O$7:$O$42="Evet")*(AY_SONU!$B$7:$B$42=DATE(YEAR($C1937),MONTH($C1937),1))))</f>
        <v>0</v>
      </c>
      <c r="AE1937" s="1" t="str">
        <f>IF($E1937="","",$E1937&amp;"|"&amp;COUNTIFS($E$7:$E1937,$E1937))</f>
        <v/>
      </c>
    </row>
    <row r="1938" spans="1:31" ht="18" customHeight="1" x14ac:dyDescent="0.3">
      <c r="A1938" s="2"/>
      <c r="B1938" s="65" t="str">
        <f t="shared" si="242"/>
        <v/>
      </c>
      <c r="C1938" s="66"/>
      <c r="D1938" s="60"/>
      <c r="E1938" s="61"/>
      <c r="F1938" s="61"/>
      <c r="G1938" s="67"/>
      <c r="H1938" s="60"/>
      <c r="I1938" s="60"/>
      <c r="J1938" s="61"/>
      <c r="K1938" s="61"/>
      <c r="L1938" s="60"/>
      <c r="M1938" s="74" t="str">
        <f t="shared" si="243"/>
        <v/>
      </c>
      <c r="N1938" s="74" t="str">
        <f t="shared" si="244"/>
        <v/>
      </c>
      <c r="O1938" s="73" t="str">
        <f t="shared" si="245"/>
        <v/>
      </c>
      <c r="P1938" s="65" t="str">
        <f t="shared" ca="1" si="246"/>
        <v/>
      </c>
      <c r="Q1938" s="2"/>
      <c r="R1938" s="2"/>
      <c r="S1938" s="1" t="str">
        <f t="shared" si="247"/>
        <v/>
      </c>
      <c r="T1938" s="1" t="str">
        <f>IF(OR($C1938="",$D1938&lt;&gt;"Gelir",$L1938=""),"",IFERROR(INDEX(MUSTERILER!$B$7:$B$156,MATCH($S1938,MUSTERILER!$T$7:$T$156,0)),""))</f>
        <v/>
      </c>
      <c r="U1938" s="1" t="str">
        <f>IF($T1938="","",$T1938&amp;"|"&amp;COUNTIFS($T$7:$T1938,$T1938))</f>
        <v/>
      </c>
      <c r="V1938" s="1">
        <f t="shared" si="248"/>
        <v>0</v>
      </c>
      <c r="W1938" s="1" t="str">
        <f t="shared" si="249"/>
        <v/>
      </c>
      <c r="X1938" s="1"/>
      <c r="Y1938" s="1"/>
      <c r="Z1938" s="1"/>
      <c r="AA1938" s="1"/>
      <c r="AB1938" s="1"/>
      <c r="AC1938" s="1"/>
      <c r="AD1938" s="1">
        <f>IF($C1938="",0,SUMPRODUCT((AY_SONU!$O$7:$O$42="Evet")*(AY_SONU!$B$7:$B$42=DATE(YEAR($C1938),MONTH($C1938),1))))</f>
        <v>0</v>
      </c>
      <c r="AE1938" s="1" t="str">
        <f>IF($E1938="","",$E1938&amp;"|"&amp;COUNTIFS($E$7:$E1938,$E1938))</f>
        <v/>
      </c>
    </row>
    <row r="1939" spans="1:31" ht="18" customHeight="1" x14ac:dyDescent="0.3">
      <c r="A1939" s="2"/>
      <c r="B1939" s="65" t="str">
        <f t="shared" si="242"/>
        <v/>
      </c>
      <c r="C1939" s="66"/>
      <c r="D1939" s="60"/>
      <c r="E1939" s="61"/>
      <c r="F1939" s="61"/>
      <c r="G1939" s="67"/>
      <c r="H1939" s="60"/>
      <c r="I1939" s="60"/>
      <c r="J1939" s="61"/>
      <c r="K1939" s="61"/>
      <c r="L1939" s="60"/>
      <c r="M1939" s="74" t="str">
        <f t="shared" si="243"/>
        <v/>
      </c>
      <c r="N1939" s="74" t="str">
        <f t="shared" si="244"/>
        <v/>
      </c>
      <c r="O1939" s="73" t="str">
        <f t="shared" si="245"/>
        <v/>
      </c>
      <c r="P1939" s="65" t="str">
        <f t="shared" ca="1" si="246"/>
        <v/>
      </c>
      <c r="Q1939" s="2"/>
      <c r="R1939" s="2"/>
      <c r="S1939" s="1" t="str">
        <f t="shared" si="247"/>
        <v/>
      </c>
      <c r="T1939" s="1" t="str">
        <f>IF(OR($C1939="",$D1939&lt;&gt;"Gelir",$L1939=""),"",IFERROR(INDEX(MUSTERILER!$B$7:$B$156,MATCH($S1939,MUSTERILER!$T$7:$T$156,0)),""))</f>
        <v/>
      </c>
      <c r="U1939" s="1" t="str">
        <f>IF($T1939="","",$T1939&amp;"|"&amp;COUNTIFS($T$7:$T1939,$T1939))</f>
        <v/>
      </c>
      <c r="V1939" s="1">
        <f t="shared" si="248"/>
        <v>0</v>
      </c>
      <c r="W1939" s="1" t="str">
        <f t="shared" si="249"/>
        <v/>
      </c>
      <c r="X1939" s="1"/>
      <c r="Y1939" s="1"/>
      <c r="Z1939" s="1"/>
      <c r="AA1939" s="1"/>
      <c r="AB1939" s="1"/>
      <c r="AC1939" s="1"/>
      <c r="AD1939" s="1">
        <f>IF($C1939="",0,SUMPRODUCT((AY_SONU!$O$7:$O$42="Evet")*(AY_SONU!$B$7:$B$42=DATE(YEAR($C1939),MONTH($C1939),1))))</f>
        <v>0</v>
      </c>
      <c r="AE1939" s="1" t="str">
        <f>IF($E1939="","",$E1939&amp;"|"&amp;COUNTIFS($E$7:$E1939,$E1939))</f>
        <v/>
      </c>
    </row>
    <row r="1940" spans="1:31" ht="18" customHeight="1" x14ac:dyDescent="0.3">
      <c r="A1940" s="2"/>
      <c r="B1940" s="65" t="str">
        <f t="shared" si="242"/>
        <v/>
      </c>
      <c r="C1940" s="66"/>
      <c r="D1940" s="60"/>
      <c r="E1940" s="61"/>
      <c r="F1940" s="61"/>
      <c r="G1940" s="67"/>
      <c r="H1940" s="60"/>
      <c r="I1940" s="60"/>
      <c r="J1940" s="61"/>
      <c r="K1940" s="61"/>
      <c r="L1940" s="60"/>
      <c r="M1940" s="74" t="str">
        <f t="shared" si="243"/>
        <v/>
      </c>
      <c r="N1940" s="74" t="str">
        <f t="shared" si="244"/>
        <v/>
      </c>
      <c r="O1940" s="73" t="str">
        <f t="shared" si="245"/>
        <v/>
      </c>
      <c r="P1940" s="65" t="str">
        <f t="shared" ca="1" si="246"/>
        <v/>
      </c>
      <c r="Q1940" s="2"/>
      <c r="R1940" s="2"/>
      <c r="S1940" s="1" t="str">
        <f t="shared" si="247"/>
        <v/>
      </c>
      <c r="T1940" s="1" t="str">
        <f>IF(OR($C1940="",$D1940&lt;&gt;"Gelir",$L1940=""),"",IFERROR(INDEX(MUSTERILER!$B$7:$B$156,MATCH($S1940,MUSTERILER!$T$7:$T$156,0)),""))</f>
        <v/>
      </c>
      <c r="U1940" s="1" t="str">
        <f>IF($T1940="","",$T1940&amp;"|"&amp;COUNTIFS($T$7:$T1940,$T1940))</f>
        <v/>
      </c>
      <c r="V1940" s="1">
        <f t="shared" si="248"/>
        <v>0</v>
      </c>
      <c r="W1940" s="1" t="str">
        <f t="shared" si="249"/>
        <v/>
      </c>
      <c r="X1940" s="1"/>
      <c r="Y1940" s="1"/>
      <c r="Z1940" s="1"/>
      <c r="AA1940" s="1"/>
      <c r="AB1940" s="1"/>
      <c r="AC1940" s="1"/>
      <c r="AD1940" s="1">
        <f>IF($C1940="",0,SUMPRODUCT((AY_SONU!$O$7:$O$42="Evet")*(AY_SONU!$B$7:$B$42=DATE(YEAR($C1940),MONTH($C1940),1))))</f>
        <v>0</v>
      </c>
      <c r="AE1940" s="1" t="str">
        <f>IF($E1940="","",$E1940&amp;"|"&amp;COUNTIFS($E$7:$E1940,$E1940))</f>
        <v/>
      </c>
    </row>
    <row r="1941" spans="1:31" ht="18" customHeight="1" x14ac:dyDescent="0.3">
      <c r="A1941" s="2"/>
      <c r="B1941" s="65" t="str">
        <f t="shared" si="242"/>
        <v/>
      </c>
      <c r="C1941" s="66"/>
      <c r="D1941" s="60"/>
      <c r="E1941" s="61"/>
      <c r="F1941" s="61"/>
      <c r="G1941" s="67"/>
      <c r="H1941" s="60"/>
      <c r="I1941" s="60"/>
      <c r="J1941" s="61"/>
      <c r="K1941" s="61"/>
      <c r="L1941" s="60"/>
      <c r="M1941" s="74" t="str">
        <f t="shared" si="243"/>
        <v/>
      </c>
      <c r="N1941" s="74" t="str">
        <f t="shared" si="244"/>
        <v/>
      </c>
      <c r="O1941" s="73" t="str">
        <f t="shared" si="245"/>
        <v/>
      </c>
      <c r="P1941" s="65" t="str">
        <f t="shared" ca="1" si="246"/>
        <v/>
      </c>
      <c r="Q1941" s="2"/>
      <c r="R1941" s="2"/>
      <c r="S1941" s="1" t="str">
        <f t="shared" si="247"/>
        <v/>
      </c>
      <c r="T1941" s="1" t="str">
        <f>IF(OR($C1941="",$D1941&lt;&gt;"Gelir",$L1941=""),"",IFERROR(INDEX(MUSTERILER!$B$7:$B$156,MATCH($S1941,MUSTERILER!$T$7:$T$156,0)),""))</f>
        <v/>
      </c>
      <c r="U1941" s="1" t="str">
        <f>IF($T1941="","",$T1941&amp;"|"&amp;COUNTIFS($T$7:$T1941,$T1941))</f>
        <v/>
      </c>
      <c r="V1941" s="1">
        <f t="shared" si="248"/>
        <v>0</v>
      </c>
      <c r="W1941" s="1" t="str">
        <f t="shared" si="249"/>
        <v/>
      </c>
      <c r="X1941" s="1"/>
      <c r="Y1941" s="1"/>
      <c r="Z1941" s="1"/>
      <c r="AA1941" s="1"/>
      <c r="AB1941" s="1"/>
      <c r="AC1941" s="1"/>
      <c r="AD1941" s="1">
        <f>IF($C1941="",0,SUMPRODUCT((AY_SONU!$O$7:$O$42="Evet")*(AY_SONU!$B$7:$B$42=DATE(YEAR($C1941),MONTH($C1941),1))))</f>
        <v>0</v>
      </c>
      <c r="AE1941" s="1" t="str">
        <f>IF($E1941="","",$E1941&amp;"|"&amp;COUNTIFS($E$7:$E1941,$E1941))</f>
        <v/>
      </c>
    </row>
    <row r="1942" spans="1:31" ht="18" customHeight="1" x14ac:dyDescent="0.3">
      <c r="A1942" s="2"/>
      <c r="B1942" s="65" t="str">
        <f t="shared" si="242"/>
        <v/>
      </c>
      <c r="C1942" s="66"/>
      <c r="D1942" s="60"/>
      <c r="E1942" s="61"/>
      <c r="F1942" s="61"/>
      <c r="G1942" s="67"/>
      <c r="H1942" s="60"/>
      <c r="I1942" s="60"/>
      <c r="J1942" s="61"/>
      <c r="K1942" s="61"/>
      <c r="L1942" s="60"/>
      <c r="M1942" s="74" t="str">
        <f t="shared" si="243"/>
        <v/>
      </c>
      <c r="N1942" s="74" t="str">
        <f t="shared" si="244"/>
        <v/>
      </c>
      <c r="O1942" s="73" t="str">
        <f t="shared" si="245"/>
        <v/>
      </c>
      <c r="P1942" s="65" t="str">
        <f t="shared" ca="1" si="246"/>
        <v/>
      </c>
      <c r="Q1942" s="2"/>
      <c r="R1942" s="2"/>
      <c r="S1942" s="1" t="str">
        <f t="shared" si="247"/>
        <v/>
      </c>
      <c r="T1942" s="1" t="str">
        <f>IF(OR($C1942="",$D1942&lt;&gt;"Gelir",$L1942=""),"",IFERROR(INDEX(MUSTERILER!$B$7:$B$156,MATCH($S1942,MUSTERILER!$T$7:$T$156,0)),""))</f>
        <v/>
      </c>
      <c r="U1942" s="1" t="str">
        <f>IF($T1942="","",$T1942&amp;"|"&amp;COUNTIFS($T$7:$T1942,$T1942))</f>
        <v/>
      </c>
      <c r="V1942" s="1">
        <f t="shared" si="248"/>
        <v>0</v>
      </c>
      <c r="W1942" s="1" t="str">
        <f t="shared" si="249"/>
        <v/>
      </c>
      <c r="X1942" s="1"/>
      <c r="Y1942" s="1"/>
      <c r="Z1942" s="1"/>
      <c r="AA1942" s="1"/>
      <c r="AB1942" s="1"/>
      <c r="AC1942" s="1"/>
      <c r="AD1942" s="1">
        <f>IF($C1942="",0,SUMPRODUCT((AY_SONU!$O$7:$O$42="Evet")*(AY_SONU!$B$7:$B$42=DATE(YEAR($C1942),MONTH($C1942),1))))</f>
        <v>0</v>
      </c>
      <c r="AE1942" s="1" t="str">
        <f>IF($E1942="","",$E1942&amp;"|"&amp;COUNTIFS($E$7:$E1942,$E1942))</f>
        <v/>
      </c>
    </row>
    <row r="1943" spans="1:31" ht="18" customHeight="1" x14ac:dyDescent="0.3">
      <c r="A1943" s="2"/>
      <c r="B1943" s="65" t="str">
        <f t="shared" si="242"/>
        <v/>
      </c>
      <c r="C1943" s="66"/>
      <c r="D1943" s="60"/>
      <c r="E1943" s="61"/>
      <c r="F1943" s="61"/>
      <c r="G1943" s="67"/>
      <c r="H1943" s="60"/>
      <c r="I1943" s="60"/>
      <c r="J1943" s="61"/>
      <c r="K1943" s="61"/>
      <c r="L1943" s="60"/>
      <c r="M1943" s="74" t="str">
        <f t="shared" si="243"/>
        <v/>
      </c>
      <c r="N1943" s="74" t="str">
        <f t="shared" si="244"/>
        <v/>
      </c>
      <c r="O1943" s="73" t="str">
        <f t="shared" si="245"/>
        <v/>
      </c>
      <c r="P1943" s="65" t="str">
        <f t="shared" ca="1" si="246"/>
        <v/>
      </c>
      <c r="Q1943" s="2"/>
      <c r="R1943" s="2"/>
      <c r="S1943" s="1" t="str">
        <f t="shared" si="247"/>
        <v/>
      </c>
      <c r="T1943" s="1" t="str">
        <f>IF(OR($C1943="",$D1943&lt;&gt;"Gelir",$L1943=""),"",IFERROR(INDEX(MUSTERILER!$B$7:$B$156,MATCH($S1943,MUSTERILER!$T$7:$T$156,0)),""))</f>
        <v/>
      </c>
      <c r="U1943" s="1" t="str">
        <f>IF($T1943="","",$T1943&amp;"|"&amp;COUNTIFS($T$7:$T1943,$T1943))</f>
        <v/>
      </c>
      <c r="V1943" s="1">
        <f t="shared" si="248"/>
        <v>0</v>
      </c>
      <c r="W1943" s="1" t="str">
        <f t="shared" si="249"/>
        <v/>
      </c>
      <c r="X1943" s="1"/>
      <c r="Y1943" s="1"/>
      <c r="Z1943" s="1"/>
      <c r="AA1943" s="1"/>
      <c r="AB1943" s="1"/>
      <c r="AC1943" s="1"/>
      <c r="AD1943" s="1">
        <f>IF($C1943="",0,SUMPRODUCT((AY_SONU!$O$7:$O$42="Evet")*(AY_SONU!$B$7:$B$42=DATE(YEAR($C1943),MONTH($C1943),1))))</f>
        <v>0</v>
      </c>
      <c r="AE1943" s="1" t="str">
        <f>IF($E1943="","",$E1943&amp;"|"&amp;COUNTIFS($E$7:$E1943,$E1943))</f>
        <v/>
      </c>
    </row>
    <row r="1944" spans="1:31" ht="18" customHeight="1" x14ac:dyDescent="0.3">
      <c r="A1944" s="2"/>
      <c r="B1944" s="65" t="str">
        <f t="shared" si="242"/>
        <v/>
      </c>
      <c r="C1944" s="66"/>
      <c r="D1944" s="60"/>
      <c r="E1944" s="61"/>
      <c r="F1944" s="61"/>
      <c r="G1944" s="67"/>
      <c r="H1944" s="60"/>
      <c r="I1944" s="60"/>
      <c r="J1944" s="61"/>
      <c r="K1944" s="61"/>
      <c r="L1944" s="60"/>
      <c r="M1944" s="74" t="str">
        <f t="shared" si="243"/>
        <v/>
      </c>
      <c r="N1944" s="74" t="str">
        <f t="shared" si="244"/>
        <v/>
      </c>
      <c r="O1944" s="73" t="str">
        <f t="shared" si="245"/>
        <v/>
      </c>
      <c r="P1944" s="65" t="str">
        <f t="shared" ca="1" si="246"/>
        <v/>
      </c>
      <c r="Q1944" s="2"/>
      <c r="R1944" s="2"/>
      <c r="S1944" s="1" t="str">
        <f t="shared" si="247"/>
        <v/>
      </c>
      <c r="T1944" s="1" t="str">
        <f>IF(OR($C1944="",$D1944&lt;&gt;"Gelir",$L1944=""),"",IFERROR(INDEX(MUSTERILER!$B$7:$B$156,MATCH($S1944,MUSTERILER!$T$7:$T$156,0)),""))</f>
        <v/>
      </c>
      <c r="U1944" s="1" t="str">
        <f>IF($T1944="","",$T1944&amp;"|"&amp;COUNTIFS($T$7:$T1944,$T1944))</f>
        <v/>
      </c>
      <c r="V1944" s="1">
        <f t="shared" si="248"/>
        <v>0</v>
      </c>
      <c r="W1944" s="1" t="str">
        <f t="shared" si="249"/>
        <v/>
      </c>
      <c r="X1944" s="1"/>
      <c r="Y1944" s="1"/>
      <c r="Z1944" s="1"/>
      <c r="AA1944" s="1"/>
      <c r="AB1944" s="1"/>
      <c r="AC1944" s="1"/>
      <c r="AD1944" s="1">
        <f>IF($C1944="",0,SUMPRODUCT((AY_SONU!$O$7:$O$42="Evet")*(AY_SONU!$B$7:$B$42=DATE(YEAR($C1944),MONTH($C1944),1))))</f>
        <v>0</v>
      </c>
      <c r="AE1944" s="1" t="str">
        <f>IF($E1944="","",$E1944&amp;"|"&amp;COUNTIFS($E$7:$E1944,$E1944))</f>
        <v/>
      </c>
    </row>
    <row r="1945" spans="1:31" ht="18" customHeight="1" x14ac:dyDescent="0.3">
      <c r="A1945" s="2"/>
      <c r="B1945" s="65" t="str">
        <f t="shared" si="242"/>
        <v/>
      </c>
      <c r="C1945" s="66"/>
      <c r="D1945" s="60"/>
      <c r="E1945" s="61"/>
      <c r="F1945" s="61"/>
      <c r="G1945" s="67"/>
      <c r="H1945" s="60"/>
      <c r="I1945" s="60"/>
      <c r="J1945" s="61"/>
      <c r="K1945" s="61"/>
      <c r="L1945" s="60"/>
      <c r="M1945" s="74" t="str">
        <f t="shared" si="243"/>
        <v/>
      </c>
      <c r="N1945" s="74" t="str">
        <f t="shared" si="244"/>
        <v/>
      </c>
      <c r="O1945" s="73" t="str">
        <f t="shared" si="245"/>
        <v/>
      </c>
      <c r="P1945" s="65" t="str">
        <f t="shared" ca="1" si="246"/>
        <v/>
      </c>
      <c r="Q1945" s="2"/>
      <c r="R1945" s="2"/>
      <c r="S1945" s="1" t="str">
        <f t="shared" si="247"/>
        <v/>
      </c>
      <c r="T1945" s="1" t="str">
        <f>IF(OR($C1945="",$D1945&lt;&gt;"Gelir",$L1945=""),"",IFERROR(INDEX(MUSTERILER!$B$7:$B$156,MATCH($S1945,MUSTERILER!$T$7:$T$156,0)),""))</f>
        <v/>
      </c>
      <c r="U1945" s="1" t="str">
        <f>IF($T1945="","",$T1945&amp;"|"&amp;COUNTIFS($T$7:$T1945,$T1945))</f>
        <v/>
      </c>
      <c r="V1945" s="1">
        <f t="shared" si="248"/>
        <v>0</v>
      </c>
      <c r="W1945" s="1" t="str">
        <f t="shared" si="249"/>
        <v/>
      </c>
      <c r="X1945" s="1"/>
      <c r="Y1945" s="1"/>
      <c r="Z1945" s="1"/>
      <c r="AA1945" s="1"/>
      <c r="AB1945" s="1"/>
      <c r="AC1945" s="1"/>
      <c r="AD1945" s="1">
        <f>IF($C1945="",0,SUMPRODUCT((AY_SONU!$O$7:$O$42="Evet")*(AY_SONU!$B$7:$B$42=DATE(YEAR($C1945),MONTH($C1945),1))))</f>
        <v>0</v>
      </c>
      <c r="AE1945" s="1" t="str">
        <f>IF($E1945="","",$E1945&amp;"|"&amp;COUNTIFS($E$7:$E1945,$E1945))</f>
        <v/>
      </c>
    </row>
    <row r="1946" spans="1:31" ht="18" customHeight="1" x14ac:dyDescent="0.3">
      <c r="A1946" s="2"/>
      <c r="B1946" s="65" t="str">
        <f t="shared" si="242"/>
        <v/>
      </c>
      <c r="C1946" s="66"/>
      <c r="D1946" s="60"/>
      <c r="E1946" s="61"/>
      <c r="F1946" s="61"/>
      <c r="G1946" s="67"/>
      <c r="H1946" s="60"/>
      <c r="I1946" s="60"/>
      <c r="J1946" s="61"/>
      <c r="K1946" s="61"/>
      <c r="L1946" s="60"/>
      <c r="M1946" s="74" t="str">
        <f t="shared" si="243"/>
        <v/>
      </c>
      <c r="N1946" s="74" t="str">
        <f t="shared" si="244"/>
        <v/>
      </c>
      <c r="O1946" s="73" t="str">
        <f t="shared" si="245"/>
        <v/>
      </c>
      <c r="P1946" s="65" t="str">
        <f t="shared" ca="1" si="246"/>
        <v/>
      </c>
      <c r="Q1946" s="2"/>
      <c r="R1946" s="2"/>
      <c r="S1946" s="1" t="str">
        <f t="shared" si="247"/>
        <v/>
      </c>
      <c r="T1946" s="1" t="str">
        <f>IF(OR($C1946="",$D1946&lt;&gt;"Gelir",$L1946=""),"",IFERROR(INDEX(MUSTERILER!$B$7:$B$156,MATCH($S1946,MUSTERILER!$T$7:$T$156,0)),""))</f>
        <v/>
      </c>
      <c r="U1946" s="1" t="str">
        <f>IF($T1946="","",$T1946&amp;"|"&amp;COUNTIFS($T$7:$T1946,$T1946))</f>
        <v/>
      </c>
      <c r="V1946" s="1">
        <f t="shared" si="248"/>
        <v>0</v>
      </c>
      <c r="W1946" s="1" t="str">
        <f t="shared" si="249"/>
        <v/>
      </c>
      <c r="X1946" s="1"/>
      <c r="Y1946" s="1"/>
      <c r="Z1946" s="1"/>
      <c r="AA1946" s="1"/>
      <c r="AB1946" s="1"/>
      <c r="AC1946" s="1"/>
      <c r="AD1946" s="1">
        <f>IF($C1946="",0,SUMPRODUCT((AY_SONU!$O$7:$O$42="Evet")*(AY_SONU!$B$7:$B$42=DATE(YEAR($C1946),MONTH($C1946),1))))</f>
        <v>0</v>
      </c>
      <c r="AE1946" s="1" t="str">
        <f>IF($E1946="","",$E1946&amp;"|"&amp;COUNTIFS($E$7:$E1946,$E1946))</f>
        <v/>
      </c>
    </row>
    <row r="1947" spans="1:31" ht="18" customHeight="1" x14ac:dyDescent="0.3">
      <c r="A1947" s="2"/>
      <c r="B1947" s="65" t="str">
        <f t="shared" si="242"/>
        <v/>
      </c>
      <c r="C1947" s="66"/>
      <c r="D1947" s="60"/>
      <c r="E1947" s="61"/>
      <c r="F1947" s="61"/>
      <c r="G1947" s="67"/>
      <c r="H1947" s="60"/>
      <c r="I1947" s="60"/>
      <c r="J1947" s="61"/>
      <c r="K1947" s="61"/>
      <c r="L1947" s="60"/>
      <c r="M1947" s="74" t="str">
        <f t="shared" si="243"/>
        <v/>
      </c>
      <c r="N1947" s="74" t="str">
        <f t="shared" si="244"/>
        <v/>
      </c>
      <c r="O1947" s="73" t="str">
        <f t="shared" si="245"/>
        <v/>
      </c>
      <c r="P1947" s="65" t="str">
        <f t="shared" ca="1" si="246"/>
        <v/>
      </c>
      <c r="Q1947" s="2"/>
      <c r="R1947" s="2"/>
      <c r="S1947" s="1" t="str">
        <f t="shared" si="247"/>
        <v/>
      </c>
      <c r="T1947" s="1" t="str">
        <f>IF(OR($C1947="",$D1947&lt;&gt;"Gelir",$L1947=""),"",IFERROR(INDEX(MUSTERILER!$B$7:$B$156,MATCH($S1947,MUSTERILER!$T$7:$T$156,0)),""))</f>
        <v/>
      </c>
      <c r="U1947" s="1" t="str">
        <f>IF($T1947="","",$T1947&amp;"|"&amp;COUNTIFS($T$7:$T1947,$T1947))</f>
        <v/>
      </c>
      <c r="V1947" s="1">
        <f t="shared" si="248"/>
        <v>0</v>
      </c>
      <c r="W1947" s="1" t="str">
        <f t="shared" si="249"/>
        <v/>
      </c>
      <c r="X1947" s="1"/>
      <c r="Y1947" s="1"/>
      <c r="Z1947" s="1"/>
      <c r="AA1947" s="1"/>
      <c r="AB1947" s="1"/>
      <c r="AC1947" s="1"/>
      <c r="AD1947" s="1">
        <f>IF($C1947="",0,SUMPRODUCT((AY_SONU!$O$7:$O$42="Evet")*(AY_SONU!$B$7:$B$42=DATE(YEAR($C1947),MONTH($C1947),1))))</f>
        <v>0</v>
      </c>
      <c r="AE1947" s="1" t="str">
        <f>IF($E1947="","",$E1947&amp;"|"&amp;COUNTIFS($E$7:$E1947,$E1947))</f>
        <v/>
      </c>
    </row>
    <row r="1948" spans="1:31" ht="18" customHeight="1" x14ac:dyDescent="0.3">
      <c r="A1948" s="2"/>
      <c r="B1948" s="65" t="str">
        <f t="shared" si="242"/>
        <v/>
      </c>
      <c r="C1948" s="66"/>
      <c r="D1948" s="60"/>
      <c r="E1948" s="61"/>
      <c r="F1948" s="61"/>
      <c r="G1948" s="67"/>
      <c r="H1948" s="60"/>
      <c r="I1948" s="60"/>
      <c r="J1948" s="61"/>
      <c r="K1948" s="61"/>
      <c r="L1948" s="60"/>
      <c r="M1948" s="74" t="str">
        <f t="shared" si="243"/>
        <v/>
      </c>
      <c r="N1948" s="74" t="str">
        <f t="shared" si="244"/>
        <v/>
      </c>
      <c r="O1948" s="73" t="str">
        <f t="shared" si="245"/>
        <v/>
      </c>
      <c r="P1948" s="65" t="str">
        <f t="shared" ca="1" si="246"/>
        <v/>
      </c>
      <c r="Q1948" s="2"/>
      <c r="R1948" s="2"/>
      <c r="S1948" s="1" t="str">
        <f t="shared" si="247"/>
        <v/>
      </c>
      <c r="T1948" s="1" t="str">
        <f>IF(OR($C1948="",$D1948&lt;&gt;"Gelir",$L1948=""),"",IFERROR(INDEX(MUSTERILER!$B$7:$B$156,MATCH($S1948,MUSTERILER!$T$7:$T$156,0)),""))</f>
        <v/>
      </c>
      <c r="U1948" s="1" t="str">
        <f>IF($T1948="","",$T1948&amp;"|"&amp;COUNTIFS($T$7:$T1948,$T1948))</f>
        <v/>
      </c>
      <c r="V1948" s="1">
        <f t="shared" si="248"/>
        <v>0</v>
      </c>
      <c r="W1948" s="1" t="str">
        <f t="shared" si="249"/>
        <v/>
      </c>
      <c r="X1948" s="1"/>
      <c r="Y1948" s="1"/>
      <c r="Z1948" s="1"/>
      <c r="AA1948" s="1"/>
      <c r="AB1948" s="1"/>
      <c r="AC1948" s="1"/>
      <c r="AD1948" s="1">
        <f>IF($C1948="",0,SUMPRODUCT((AY_SONU!$O$7:$O$42="Evet")*(AY_SONU!$B$7:$B$42=DATE(YEAR($C1948),MONTH($C1948),1))))</f>
        <v>0</v>
      </c>
      <c r="AE1948" s="1" t="str">
        <f>IF($E1948="","",$E1948&amp;"|"&amp;COUNTIFS($E$7:$E1948,$E1948))</f>
        <v/>
      </c>
    </row>
    <row r="1949" spans="1:31" ht="18" customHeight="1" x14ac:dyDescent="0.3">
      <c r="A1949" s="2"/>
      <c r="B1949" s="65" t="str">
        <f t="shared" si="242"/>
        <v/>
      </c>
      <c r="C1949" s="66"/>
      <c r="D1949" s="60"/>
      <c r="E1949" s="61"/>
      <c r="F1949" s="61"/>
      <c r="G1949" s="67"/>
      <c r="H1949" s="60"/>
      <c r="I1949" s="60"/>
      <c r="J1949" s="61"/>
      <c r="K1949" s="61"/>
      <c r="L1949" s="60"/>
      <c r="M1949" s="74" t="str">
        <f t="shared" si="243"/>
        <v/>
      </c>
      <c r="N1949" s="74" t="str">
        <f t="shared" si="244"/>
        <v/>
      </c>
      <c r="O1949" s="73" t="str">
        <f t="shared" si="245"/>
        <v/>
      </c>
      <c r="P1949" s="65" t="str">
        <f t="shared" ca="1" si="246"/>
        <v/>
      </c>
      <c r="Q1949" s="2"/>
      <c r="R1949" s="2"/>
      <c r="S1949" s="1" t="str">
        <f t="shared" si="247"/>
        <v/>
      </c>
      <c r="T1949" s="1" t="str">
        <f>IF(OR($C1949="",$D1949&lt;&gt;"Gelir",$L1949=""),"",IFERROR(INDEX(MUSTERILER!$B$7:$B$156,MATCH($S1949,MUSTERILER!$T$7:$T$156,0)),""))</f>
        <v/>
      </c>
      <c r="U1949" s="1" t="str">
        <f>IF($T1949="","",$T1949&amp;"|"&amp;COUNTIFS($T$7:$T1949,$T1949))</f>
        <v/>
      </c>
      <c r="V1949" s="1">
        <f t="shared" si="248"/>
        <v>0</v>
      </c>
      <c r="W1949" s="1" t="str">
        <f t="shared" si="249"/>
        <v/>
      </c>
      <c r="X1949" s="1"/>
      <c r="Y1949" s="1"/>
      <c r="Z1949" s="1"/>
      <c r="AA1949" s="1"/>
      <c r="AB1949" s="1"/>
      <c r="AC1949" s="1"/>
      <c r="AD1949" s="1">
        <f>IF($C1949="",0,SUMPRODUCT((AY_SONU!$O$7:$O$42="Evet")*(AY_SONU!$B$7:$B$42=DATE(YEAR($C1949),MONTH($C1949),1))))</f>
        <v>0</v>
      </c>
      <c r="AE1949" s="1" t="str">
        <f>IF($E1949="","",$E1949&amp;"|"&amp;COUNTIFS($E$7:$E1949,$E1949))</f>
        <v/>
      </c>
    </row>
    <row r="1950" spans="1:31" ht="18" customHeight="1" x14ac:dyDescent="0.3">
      <c r="A1950" s="2"/>
      <c r="B1950" s="65" t="str">
        <f t="shared" si="242"/>
        <v/>
      </c>
      <c r="C1950" s="66"/>
      <c r="D1950" s="60"/>
      <c r="E1950" s="61"/>
      <c r="F1950" s="61"/>
      <c r="G1950" s="67"/>
      <c r="H1950" s="60"/>
      <c r="I1950" s="60"/>
      <c r="J1950" s="61"/>
      <c r="K1950" s="61"/>
      <c r="L1950" s="60"/>
      <c r="M1950" s="74" t="str">
        <f t="shared" si="243"/>
        <v/>
      </c>
      <c r="N1950" s="74" t="str">
        <f t="shared" si="244"/>
        <v/>
      </c>
      <c r="O1950" s="73" t="str">
        <f t="shared" si="245"/>
        <v/>
      </c>
      <c r="P1950" s="65" t="str">
        <f t="shared" ca="1" si="246"/>
        <v/>
      </c>
      <c r="Q1950" s="2"/>
      <c r="R1950" s="2"/>
      <c r="S1950" s="1" t="str">
        <f t="shared" si="247"/>
        <v/>
      </c>
      <c r="T1950" s="1" t="str">
        <f>IF(OR($C1950="",$D1950&lt;&gt;"Gelir",$L1950=""),"",IFERROR(INDEX(MUSTERILER!$B$7:$B$156,MATCH($S1950,MUSTERILER!$T$7:$T$156,0)),""))</f>
        <v/>
      </c>
      <c r="U1950" s="1" t="str">
        <f>IF($T1950="","",$T1950&amp;"|"&amp;COUNTIFS($T$7:$T1950,$T1950))</f>
        <v/>
      </c>
      <c r="V1950" s="1">
        <f t="shared" si="248"/>
        <v>0</v>
      </c>
      <c r="W1950" s="1" t="str">
        <f t="shared" si="249"/>
        <v/>
      </c>
      <c r="X1950" s="1"/>
      <c r="Y1950" s="1"/>
      <c r="Z1950" s="1"/>
      <c r="AA1950" s="1"/>
      <c r="AB1950" s="1"/>
      <c r="AC1950" s="1"/>
      <c r="AD1950" s="1">
        <f>IF($C1950="",0,SUMPRODUCT((AY_SONU!$O$7:$O$42="Evet")*(AY_SONU!$B$7:$B$42=DATE(YEAR($C1950),MONTH($C1950),1))))</f>
        <v>0</v>
      </c>
      <c r="AE1950" s="1" t="str">
        <f>IF($E1950="","",$E1950&amp;"|"&amp;COUNTIFS($E$7:$E1950,$E1950))</f>
        <v/>
      </c>
    </row>
    <row r="1951" spans="1:31" ht="18" customHeight="1" x14ac:dyDescent="0.3">
      <c r="A1951" s="2"/>
      <c r="B1951" s="65" t="str">
        <f t="shared" si="242"/>
        <v/>
      </c>
      <c r="C1951" s="66"/>
      <c r="D1951" s="60"/>
      <c r="E1951" s="61"/>
      <c r="F1951" s="61"/>
      <c r="G1951" s="67"/>
      <c r="H1951" s="60"/>
      <c r="I1951" s="60"/>
      <c r="J1951" s="61"/>
      <c r="K1951" s="61"/>
      <c r="L1951" s="60"/>
      <c r="M1951" s="74" t="str">
        <f t="shared" si="243"/>
        <v/>
      </c>
      <c r="N1951" s="74" t="str">
        <f t="shared" si="244"/>
        <v/>
      </c>
      <c r="O1951" s="73" t="str">
        <f t="shared" si="245"/>
        <v/>
      </c>
      <c r="P1951" s="65" t="str">
        <f t="shared" ca="1" si="246"/>
        <v/>
      </c>
      <c r="Q1951" s="2"/>
      <c r="R1951" s="2"/>
      <c r="S1951" s="1" t="str">
        <f t="shared" si="247"/>
        <v/>
      </c>
      <c r="T1951" s="1" t="str">
        <f>IF(OR($C1951="",$D1951&lt;&gt;"Gelir",$L1951=""),"",IFERROR(INDEX(MUSTERILER!$B$7:$B$156,MATCH($S1951,MUSTERILER!$T$7:$T$156,0)),""))</f>
        <v/>
      </c>
      <c r="U1951" s="1" t="str">
        <f>IF($T1951="","",$T1951&amp;"|"&amp;COUNTIFS($T$7:$T1951,$T1951))</f>
        <v/>
      </c>
      <c r="V1951" s="1">
        <f t="shared" si="248"/>
        <v>0</v>
      </c>
      <c r="W1951" s="1" t="str">
        <f t="shared" si="249"/>
        <v/>
      </c>
      <c r="X1951" s="1"/>
      <c r="Y1951" s="1"/>
      <c r="Z1951" s="1"/>
      <c r="AA1951" s="1"/>
      <c r="AB1951" s="1"/>
      <c r="AC1951" s="1"/>
      <c r="AD1951" s="1">
        <f>IF($C1951="",0,SUMPRODUCT((AY_SONU!$O$7:$O$42="Evet")*(AY_SONU!$B$7:$B$42=DATE(YEAR($C1951),MONTH($C1951),1))))</f>
        <v>0</v>
      </c>
      <c r="AE1951" s="1" t="str">
        <f>IF($E1951="","",$E1951&amp;"|"&amp;COUNTIFS($E$7:$E1951,$E1951))</f>
        <v/>
      </c>
    </row>
    <row r="1952" spans="1:31" ht="18" customHeight="1" x14ac:dyDescent="0.3">
      <c r="A1952" s="2"/>
      <c r="B1952" s="65" t="str">
        <f t="shared" si="242"/>
        <v/>
      </c>
      <c r="C1952" s="66"/>
      <c r="D1952" s="60"/>
      <c r="E1952" s="61"/>
      <c r="F1952" s="61"/>
      <c r="G1952" s="67"/>
      <c r="H1952" s="60"/>
      <c r="I1952" s="60"/>
      <c r="J1952" s="61"/>
      <c r="K1952" s="61"/>
      <c r="L1952" s="60"/>
      <c r="M1952" s="74" t="str">
        <f t="shared" si="243"/>
        <v/>
      </c>
      <c r="N1952" s="74" t="str">
        <f t="shared" si="244"/>
        <v/>
      </c>
      <c r="O1952" s="73" t="str">
        <f t="shared" si="245"/>
        <v/>
      </c>
      <c r="P1952" s="65" t="str">
        <f t="shared" ca="1" si="246"/>
        <v/>
      </c>
      <c r="Q1952" s="2"/>
      <c r="R1952" s="2"/>
      <c r="S1952" s="1" t="str">
        <f t="shared" si="247"/>
        <v/>
      </c>
      <c r="T1952" s="1" t="str">
        <f>IF(OR($C1952="",$D1952&lt;&gt;"Gelir",$L1952=""),"",IFERROR(INDEX(MUSTERILER!$B$7:$B$156,MATCH($S1952,MUSTERILER!$T$7:$T$156,0)),""))</f>
        <v/>
      </c>
      <c r="U1952" s="1" t="str">
        <f>IF($T1952="","",$T1952&amp;"|"&amp;COUNTIFS($T$7:$T1952,$T1952))</f>
        <v/>
      </c>
      <c r="V1952" s="1">
        <f t="shared" si="248"/>
        <v>0</v>
      </c>
      <c r="W1952" s="1" t="str">
        <f t="shared" si="249"/>
        <v/>
      </c>
      <c r="X1952" s="1"/>
      <c r="Y1952" s="1"/>
      <c r="Z1952" s="1"/>
      <c r="AA1952" s="1"/>
      <c r="AB1952" s="1"/>
      <c r="AC1952" s="1"/>
      <c r="AD1952" s="1">
        <f>IF($C1952="",0,SUMPRODUCT((AY_SONU!$O$7:$O$42="Evet")*(AY_SONU!$B$7:$B$42=DATE(YEAR($C1952),MONTH($C1952),1))))</f>
        <v>0</v>
      </c>
      <c r="AE1952" s="1" t="str">
        <f>IF($E1952="","",$E1952&amp;"|"&amp;COUNTIFS($E$7:$E1952,$E1952))</f>
        <v/>
      </c>
    </row>
    <row r="1953" spans="1:31" ht="18" customHeight="1" x14ac:dyDescent="0.3">
      <c r="A1953" s="2"/>
      <c r="B1953" s="65" t="str">
        <f t="shared" si="242"/>
        <v/>
      </c>
      <c r="C1953" s="66"/>
      <c r="D1953" s="60"/>
      <c r="E1953" s="61"/>
      <c r="F1953" s="61"/>
      <c r="G1953" s="67"/>
      <c r="H1953" s="60"/>
      <c r="I1953" s="60"/>
      <c r="J1953" s="61"/>
      <c r="K1953" s="61"/>
      <c r="L1953" s="60"/>
      <c r="M1953" s="74" t="str">
        <f t="shared" si="243"/>
        <v/>
      </c>
      <c r="N1953" s="74" t="str">
        <f t="shared" si="244"/>
        <v/>
      </c>
      <c r="O1953" s="73" t="str">
        <f t="shared" si="245"/>
        <v/>
      </c>
      <c r="P1953" s="65" t="str">
        <f t="shared" ca="1" si="246"/>
        <v/>
      </c>
      <c r="Q1953" s="2"/>
      <c r="R1953" s="2"/>
      <c r="S1953" s="1" t="str">
        <f t="shared" si="247"/>
        <v/>
      </c>
      <c r="T1953" s="1" t="str">
        <f>IF(OR($C1953="",$D1953&lt;&gt;"Gelir",$L1953=""),"",IFERROR(INDEX(MUSTERILER!$B$7:$B$156,MATCH($S1953,MUSTERILER!$T$7:$T$156,0)),""))</f>
        <v/>
      </c>
      <c r="U1953" s="1" t="str">
        <f>IF($T1953="","",$T1953&amp;"|"&amp;COUNTIFS($T$7:$T1953,$T1953))</f>
        <v/>
      </c>
      <c r="V1953" s="1">
        <f t="shared" si="248"/>
        <v>0</v>
      </c>
      <c r="W1953" s="1" t="str">
        <f t="shared" si="249"/>
        <v/>
      </c>
      <c r="X1953" s="1"/>
      <c r="Y1953" s="1"/>
      <c r="Z1953" s="1"/>
      <c r="AA1953" s="1"/>
      <c r="AB1953" s="1"/>
      <c r="AC1953" s="1"/>
      <c r="AD1953" s="1">
        <f>IF($C1953="",0,SUMPRODUCT((AY_SONU!$O$7:$O$42="Evet")*(AY_SONU!$B$7:$B$42=DATE(YEAR($C1953),MONTH($C1953),1))))</f>
        <v>0</v>
      </c>
      <c r="AE1953" s="1" t="str">
        <f>IF($E1953="","",$E1953&amp;"|"&amp;COUNTIFS($E$7:$E1953,$E1953))</f>
        <v/>
      </c>
    </row>
    <row r="1954" spans="1:31" ht="18" customHeight="1" x14ac:dyDescent="0.3">
      <c r="A1954" s="2"/>
      <c r="B1954" s="65" t="str">
        <f t="shared" si="242"/>
        <v/>
      </c>
      <c r="C1954" s="66"/>
      <c r="D1954" s="60"/>
      <c r="E1954" s="61"/>
      <c r="F1954" s="61"/>
      <c r="G1954" s="67"/>
      <c r="H1954" s="60"/>
      <c r="I1954" s="60"/>
      <c r="J1954" s="61"/>
      <c r="K1954" s="61"/>
      <c r="L1954" s="60"/>
      <c r="M1954" s="74" t="str">
        <f t="shared" si="243"/>
        <v/>
      </c>
      <c r="N1954" s="74" t="str">
        <f t="shared" si="244"/>
        <v/>
      </c>
      <c r="O1954" s="73" t="str">
        <f t="shared" si="245"/>
        <v/>
      </c>
      <c r="P1954" s="65" t="str">
        <f t="shared" ca="1" si="246"/>
        <v/>
      </c>
      <c r="Q1954" s="2"/>
      <c r="R1954" s="2"/>
      <c r="S1954" s="1" t="str">
        <f t="shared" si="247"/>
        <v/>
      </c>
      <c r="T1954" s="1" t="str">
        <f>IF(OR($C1954="",$D1954&lt;&gt;"Gelir",$L1954=""),"",IFERROR(INDEX(MUSTERILER!$B$7:$B$156,MATCH($S1954,MUSTERILER!$T$7:$T$156,0)),""))</f>
        <v/>
      </c>
      <c r="U1954" s="1" t="str">
        <f>IF($T1954="","",$T1954&amp;"|"&amp;COUNTIFS($T$7:$T1954,$T1954))</f>
        <v/>
      </c>
      <c r="V1954" s="1">
        <f t="shared" si="248"/>
        <v>0</v>
      </c>
      <c r="W1954" s="1" t="str">
        <f t="shared" si="249"/>
        <v/>
      </c>
      <c r="X1954" s="1"/>
      <c r="Y1954" s="1"/>
      <c r="Z1954" s="1"/>
      <c r="AA1954" s="1"/>
      <c r="AB1954" s="1"/>
      <c r="AC1954" s="1"/>
      <c r="AD1954" s="1">
        <f>IF($C1954="",0,SUMPRODUCT((AY_SONU!$O$7:$O$42="Evet")*(AY_SONU!$B$7:$B$42=DATE(YEAR($C1954),MONTH($C1954),1))))</f>
        <v>0</v>
      </c>
      <c r="AE1954" s="1" t="str">
        <f>IF($E1954="","",$E1954&amp;"|"&amp;COUNTIFS($E$7:$E1954,$E1954))</f>
        <v/>
      </c>
    </row>
    <row r="1955" spans="1:31" ht="18" customHeight="1" x14ac:dyDescent="0.3">
      <c r="A1955" s="2"/>
      <c r="B1955" s="65" t="str">
        <f t="shared" si="242"/>
        <v/>
      </c>
      <c r="C1955" s="66"/>
      <c r="D1955" s="60"/>
      <c r="E1955" s="61"/>
      <c r="F1955" s="61"/>
      <c r="G1955" s="67"/>
      <c r="H1955" s="60"/>
      <c r="I1955" s="60"/>
      <c r="J1955" s="61"/>
      <c r="K1955" s="61"/>
      <c r="L1955" s="60"/>
      <c r="M1955" s="74" t="str">
        <f t="shared" si="243"/>
        <v/>
      </c>
      <c r="N1955" s="74" t="str">
        <f t="shared" si="244"/>
        <v/>
      </c>
      <c r="O1955" s="73" t="str">
        <f t="shared" si="245"/>
        <v/>
      </c>
      <c r="P1955" s="65" t="str">
        <f t="shared" ca="1" si="246"/>
        <v/>
      </c>
      <c r="Q1955" s="2"/>
      <c r="R1955" s="2"/>
      <c r="S1955" s="1" t="str">
        <f t="shared" si="247"/>
        <v/>
      </c>
      <c r="T1955" s="1" t="str">
        <f>IF(OR($C1955="",$D1955&lt;&gt;"Gelir",$L1955=""),"",IFERROR(INDEX(MUSTERILER!$B$7:$B$156,MATCH($S1955,MUSTERILER!$T$7:$T$156,0)),""))</f>
        <v/>
      </c>
      <c r="U1955" s="1" t="str">
        <f>IF($T1955="","",$T1955&amp;"|"&amp;COUNTIFS($T$7:$T1955,$T1955))</f>
        <v/>
      </c>
      <c r="V1955" s="1">
        <f t="shared" si="248"/>
        <v>0</v>
      </c>
      <c r="W1955" s="1" t="str">
        <f t="shared" si="249"/>
        <v/>
      </c>
      <c r="X1955" s="1"/>
      <c r="Y1955" s="1"/>
      <c r="Z1955" s="1"/>
      <c r="AA1955" s="1"/>
      <c r="AB1955" s="1"/>
      <c r="AC1955" s="1"/>
      <c r="AD1955" s="1">
        <f>IF($C1955="",0,SUMPRODUCT((AY_SONU!$O$7:$O$42="Evet")*(AY_SONU!$B$7:$B$42=DATE(YEAR($C1955),MONTH($C1955),1))))</f>
        <v>0</v>
      </c>
      <c r="AE1955" s="1" t="str">
        <f>IF($E1955="","",$E1955&amp;"|"&amp;COUNTIFS($E$7:$E1955,$E1955))</f>
        <v/>
      </c>
    </row>
    <row r="1956" spans="1:31" ht="18" customHeight="1" x14ac:dyDescent="0.3">
      <c r="A1956" s="2"/>
      <c r="B1956" s="65" t="str">
        <f t="shared" si="242"/>
        <v/>
      </c>
      <c r="C1956" s="66"/>
      <c r="D1956" s="60"/>
      <c r="E1956" s="61"/>
      <c r="F1956" s="61"/>
      <c r="G1956" s="67"/>
      <c r="H1956" s="60"/>
      <c r="I1956" s="60"/>
      <c r="J1956" s="61"/>
      <c r="K1956" s="61"/>
      <c r="L1956" s="60"/>
      <c r="M1956" s="74" t="str">
        <f t="shared" si="243"/>
        <v/>
      </c>
      <c r="N1956" s="74" t="str">
        <f t="shared" si="244"/>
        <v/>
      </c>
      <c r="O1956" s="73" t="str">
        <f t="shared" si="245"/>
        <v/>
      </c>
      <c r="P1956" s="65" t="str">
        <f t="shared" ca="1" si="246"/>
        <v/>
      </c>
      <c r="Q1956" s="2"/>
      <c r="R1956" s="2"/>
      <c r="S1956" s="1" t="str">
        <f t="shared" si="247"/>
        <v/>
      </c>
      <c r="T1956" s="1" t="str">
        <f>IF(OR($C1956="",$D1956&lt;&gt;"Gelir",$L1956=""),"",IFERROR(INDEX(MUSTERILER!$B$7:$B$156,MATCH($S1956,MUSTERILER!$T$7:$T$156,0)),""))</f>
        <v/>
      </c>
      <c r="U1956" s="1" t="str">
        <f>IF($T1956="","",$T1956&amp;"|"&amp;COUNTIFS($T$7:$T1956,$T1956))</f>
        <v/>
      </c>
      <c r="V1956" s="1">
        <f t="shared" si="248"/>
        <v>0</v>
      </c>
      <c r="W1956" s="1" t="str">
        <f t="shared" si="249"/>
        <v/>
      </c>
      <c r="X1956" s="1"/>
      <c r="Y1956" s="1"/>
      <c r="Z1956" s="1"/>
      <c r="AA1956" s="1"/>
      <c r="AB1956" s="1"/>
      <c r="AC1956" s="1"/>
      <c r="AD1956" s="1">
        <f>IF($C1956="",0,SUMPRODUCT((AY_SONU!$O$7:$O$42="Evet")*(AY_SONU!$B$7:$B$42=DATE(YEAR($C1956),MONTH($C1956),1))))</f>
        <v>0</v>
      </c>
      <c r="AE1956" s="1" t="str">
        <f>IF($E1956="","",$E1956&amp;"|"&amp;COUNTIFS($E$7:$E1956,$E1956))</f>
        <v/>
      </c>
    </row>
    <row r="1957" spans="1:31" ht="18" customHeight="1" x14ac:dyDescent="0.3">
      <c r="A1957" s="2"/>
      <c r="B1957" s="65" t="str">
        <f t="shared" si="242"/>
        <v/>
      </c>
      <c r="C1957" s="66"/>
      <c r="D1957" s="60"/>
      <c r="E1957" s="61"/>
      <c r="F1957" s="61"/>
      <c r="G1957" s="67"/>
      <c r="H1957" s="60"/>
      <c r="I1957" s="60"/>
      <c r="J1957" s="61"/>
      <c r="K1957" s="61"/>
      <c r="L1957" s="60"/>
      <c r="M1957" s="74" t="str">
        <f t="shared" si="243"/>
        <v/>
      </c>
      <c r="N1957" s="74" t="str">
        <f t="shared" si="244"/>
        <v/>
      </c>
      <c r="O1957" s="73" t="str">
        <f t="shared" si="245"/>
        <v/>
      </c>
      <c r="P1957" s="65" t="str">
        <f t="shared" ca="1" si="246"/>
        <v/>
      </c>
      <c r="Q1957" s="2"/>
      <c r="R1957" s="2"/>
      <c r="S1957" s="1" t="str">
        <f t="shared" si="247"/>
        <v/>
      </c>
      <c r="T1957" s="1" t="str">
        <f>IF(OR($C1957="",$D1957&lt;&gt;"Gelir",$L1957=""),"",IFERROR(INDEX(MUSTERILER!$B$7:$B$156,MATCH($S1957,MUSTERILER!$T$7:$T$156,0)),""))</f>
        <v/>
      </c>
      <c r="U1957" s="1" t="str">
        <f>IF($T1957="","",$T1957&amp;"|"&amp;COUNTIFS($T$7:$T1957,$T1957))</f>
        <v/>
      </c>
      <c r="V1957" s="1">
        <f t="shared" si="248"/>
        <v>0</v>
      </c>
      <c r="W1957" s="1" t="str">
        <f t="shared" si="249"/>
        <v/>
      </c>
      <c r="X1957" s="1"/>
      <c r="Y1957" s="1"/>
      <c r="Z1957" s="1"/>
      <c r="AA1957" s="1"/>
      <c r="AB1957" s="1"/>
      <c r="AC1957" s="1"/>
      <c r="AD1957" s="1">
        <f>IF($C1957="",0,SUMPRODUCT((AY_SONU!$O$7:$O$42="Evet")*(AY_SONU!$B$7:$B$42=DATE(YEAR($C1957),MONTH($C1957),1))))</f>
        <v>0</v>
      </c>
      <c r="AE1957" s="1" t="str">
        <f>IF($E1957="","",$E1957&amp;"|"&amp;COUNTIFS($E$7:$E1957,$E1957))</f>
        <v/>
      </c>
    </row>
    <row r="1958" spans="1:31" ht="18" customHeight="1" x14ac:dyDescent="0.3">
      <c r="A1958" s="2"/>
      <c r="B1958" s="65" t="str">
        <f t="shared" si="242"/>
        <v/>
      </c>
      <c r="C1958" s="66"/>
      <c r="D1958" s="60"/>
      <c r="E1958" s="61"/>
      <c r="F1958" s="61"/>
      <c r="G1958" s="67"/>
      <c r="H1958" s="60"/>
      <c r="I1958" s="60"/>
      <c r="J1958" s="61"/>
      <c r="K1958" s="61"/>
      <c r="L1958" s="60"/>
      <c r="M1958" s="74" t="str">
        <f t="shared" si="243"/>
        <v/>
      </c>
      <c r="N1958" s="74" t="str">
        <f t="shared" si="244"/>
        <v/>
      </c>
      <c r="O1958" s="73" t="str">
        <f t="shared" si="245"/>
        <v/>
      </c>
      <c r="P1958" s="65" t="str">
        <f t="shared" ca="1" si="246"/>
        <v/>
      </c>
      <c r="Q1958" s="2"/>
      <c r="R1958" s="2"/>
      <c r="S1958" s="1" t="str">
        <f t="shared" si="247"/>
        <v/>
      </c>
      <c r="T1958" s="1" t="str">
        <f>IF(OR($C1958="",$D1958&lt;&gt;"Gelir",$L1958=""),"",IFERROR(INDEX(MUSTERILER!$B$7:$B$156,MATCH($S1958,MUSTERILER!$T$7:$T$156,0)),""))</f>
        <v/>
      </c>
      <c r="U1958" s="1" t="str">
        <f>IF($T1958="","",$T1958&amp;"|"&amp;COUNTIFS($T$7:$T1958,$T1958))</f>
        <v/>
      </c>
      <c r="V1958" s="1">
        <f t="shared" si="248"/>
        <v>0</v>
      </c>
      <c r="W1958" s="1" t="str">
        <f t="shared" si="249"/>
        <v/>
      </c>
      <c r="X1958" s="1"/>
      <c r="Y1958" s="1"/>
      <c r="Z1958" s="1"/>
      <c r="AA1958" s="1"/>
      <c r="AB1958" s="1"/>
      <c r="AC1958" s="1"/>
      <c r="AD1958" s="1">
        <f>IF($C1958="",0,SUMPRODUCT((AY_SONU!$O$7:$O$42="Evet")*(AY_SONU!$B$7:$B$42=DATE(YEAR($C1958),MONTH($C1958),1))))</f>
        <v>0</v>
      </c>
      <c r="AE1958" s="1" t="str">
        <f>IF($E1958="","",$E1958&amp;"|"&amp;COUNTIFS($E$7:$E1958,$E1958))</f>
        <v/>
      </c>
    </row>
    <row r="1959" spans="1:31" ht="18" customHeight="1" x14ac:dyDescent="0.3">
      <c r="A1959" s="2"/>
      <c r="B1959" s="65" t="str">
        <f t="shared" si="242"/>
        <v/>
      </c>
      <c r="C1959" s="66"/>
      <c r="D1959" s="60"/>
      <c r="E1959" s="61"/>
      <c r="F1959" s="61"/>
      <c r="G1959" s="67"/>
      <c r="H1959" s="60"/>
      <c r="I1959" s="60"/>
      <c r="J1959" s="61"/>
      <c r="K1959" s="61"/>
      <c r="L1959" s="60"/>
      <c r="M1959" s="74" t="str">
        <f t="shared" si="243"/>
        <v/>
      </c>
      <c r="N1959" s="74" t="str">
        <f t="shared" si="244"/>
        <v/>
      </c>
      <c r="O1959" s="73" t="str">
        <f t="shared" si="245"/>
        <v/>
      </c>
      <c r="P1959" s="65" t="str">
        <f t="shared" ca="1" si="246"/>
        <v/>
      </c>
      <c r="Q1959" s="2"/>
      <c r="R1959" s="2"/>
      <c r="S1959" s="1" t="str">
        <f t="shared" si="247"/>
        <v/>
      </c>
      <c r="T1959" s="1" t="str">
        <f>IF(OR($C1959="",$D1959&lt;&gt;"Gelir",$L1959=""),"",IFERROR(INDEX(MUSTERILER!$B$7:$B$156,MATCH($S1959,MUSTERILER!$T$7:$T$156,0)),""))</f>
        <v/>
      </c>
      <c r="U1959" s="1" t="str">
        <f>IF($T1959="","",$T1959&amp;"|"&amp;COUNTIFS($T$7:$T1959,$T1959))</f>
        <v/>
      </c>
      <c r="V1959" s="1">
        <f t="shared" si="248"/>
        <v>0</v>
      </c>
      <c r="W1959" s="1" t="str">
        <f t="shared" si="249"/>
        <v/>
      </c>
      <c r="X1959" s="1"/>
      <c r="Y1959" s="1"/>
      <c r="Z1959" s="1"/>
      <c r="AA1959" s="1"/>
      <c r="AB1959" s="1"/>
      <c r="AC1959" s="1"/>
      <c r="AD1959" s="1">
        <f>IF($C1959="",0,SUMPRODUCT((AY_SONU!$O$7:$O$42="Evet")*(AY_SONU!$B$7:$B$42=DATE(YEAR($C1959),MONTH($C1959),1))))</f>
        <v>0</v>
      </c>
      <c r="AE1959" s="1" t="str">
        <f>IF($E1959="","",$E1959&amp;"|"&amp;COUNTIFS($E$7:$E1959,$E1959))</f>
        <v/>
      </c>
    </row>
    <row r="1960" spans="1:31" ht="18" customHeight="1" x14ac:dyDescent="0.3">
      <c r="A1960" s="2"/>
      <c r="B1960" s="65" t="str">
        <f t="shared" si="242"/>
        <v/>
      </c>
      <c r="C1960" s="66"/>
      <c r="D1960" s="60"/>
      <c r="E1960" s="61"/>
      <c r="F1960" s="61"/>
      <c r="G1960" s="67"/>
      <c r="H1960" s="60"/>
      <c r="I1960" s="60"/>
      <c r="J1960" s="61"/>
      <c r="K1960" s="61"/>
      <c r="L1960" s="60"/>
      <c r="M1960" s="74" t="str">
        <f t="shared" si="243"/>
        <v/>
      </c>
      <c r="N1960" s="74" t="str">
        <f t="shared" si="244"/>
        <v/>
      </c>
      <c r="O1960" s="73" t="str">
        <f t="shared" si="245"/>
        <v/>
      </c>
      <c r="P1960" s="65" t="str">
        <f t="shared" ca="1" si="246"/>
        <v/>
      </c>
      <c r="Q1960" s="2"/>
      <c r="R1960" s="2"/>
      <c r="S1960" s="1" t="str">
        <f t="shared" si="247"/>
        <v/>
      </c>
      <c r="T1960" s="1" t="str">
        <f>IF(OR($C1960="",$D1960&lt;&gt;"Gelir",$L1960=""),"",IFERROR(INDEX(MUSTERILER!$B$7:$B$156,MATCH($S1960,MUSTERILER!$T$7:$T$156,0)),""))</f>
        <v/>
      </c>
      <c r="U1960" s="1" t="str">
        <f>IF($T1960="","",$T1960&amp;"|"&amp;COUNTIFS($T$7:$T1960,$T1960))</f>
        <v/>
      </c>
      <c r="V1960" s="1">
        <f t="shared" si="248"/>
        <v>0</v>
      </c>
      <c r="W1960" s="1" t="str">
        <f t="shared" si="249"/>
        <v/>
      </c>
      <c r="X1960" s="1"/>
      <c r="Y1960" s="1"/>
      <c r="Z1960" s="1"/>
      <c r="AA1960" s="1"/>
      <c r="AB1960" s="1"/>
      <c r="AC1960" s="1"/>
      <c r="AD1960" s="1">
        <f>IF($C1960="",0,SUMPRODUCT((AY_SONU!$O$7:$O$42="Evet")*(AY_SONU!$B$7:$B$42=DATE(YEAR($C1960),MONTH($C1960),1))))</f>
        <v>0</v>
      </c>
      <c r="AE1960" s="1" t="str">
        <f>IF($E1960="","",$E1960&amp;"|"&amp;COUNTIFS($E$7:$E1960,$E1960))</f>
        <v/>
      </c>
    </row>
    <row r="1961" spans="1:31" ht="18" customHeight="1" x14ac:dyDescent="0.3">
      <c r="A1961" s="2"/>
      <c r="B1961" s="65" t="str">
        <f t="shared" si="242"/>
        <v/>
      </c>
      <c r="C1961" s="66"/>
      <c r="D1961" s="60"/>
      <c r="E1961" s="61"/>
      <c r="F1961" s="61"/>
      <c r="G1961" s="67"/>
      <c r="H1961" s="60"/>
      <c r="I1961" s="60"/>
      <c r="J1961" s="61"/>
      <c r="K1961" s="61"/>
      <c r="L1961" s="60"/>
      <c r="M1961" s="74" t="str">
        <f t="shared" si="243"/>
        <v/>
      </c>
      <c r="N1961" s="74" t="str">
        <f t="shared" si="244"/>
        <v/>
      </c>
      <c r="O1961" s="73" t="str">
        <f t="shared" si="245"/>
        <v/>
      </c>
      <c r="P1961" s="65" t="str">
        <f t="shared" ca="1" si="246"/>
        <v/>
      </c>
      <c r="Q1961" s="2"/>
      <c r="R1961" s="2"/>
      <c r="S1961" s="1" t="str">
        <f t="shared" si="247"/>
        <v/>
      </c>
      <c r="T1961" s="1" t="str">
        <f>IF(OR($C1961="",$D1961&lt;&gt;"Gelir",$L1961=""),"",IFERROR(INDEX(MUSTERILER!$B$7:$B$156,MATCH($S1961,MUSTERILER!$T$7:$T$156,0)),""))</f>
        <v/>
      </c>
      <c r="U1961" s="1" t="str">
        <f>IF($T1961="","",$T1961&amp;"|"&amp;COUNTIFS($T$7:$T1961,$T1961))</f>
        <v/>
      </c>
      <c r="V1961" s="1">
        <f t="shared" si="248"/>
        <v>0</v>
      </c>
      <c r="W1961" s="1" t="str">
        <f t="shared" si="249"/>
        <v/>
      </c>
      <c r="X1961" s="1"/>
      <c r="Y1961" s="1"/>
      <c r="Z1961" s="1"/>
      <c r="AA1961" s="1"/>
      <c r="AB1961" s="1"/>
      <c r="AC1961" s="1"/>
      <c r="AD1961" s="1">
        <f>IF($C1961="",0,SUMPRODUCT((AY_SONU!$O$7:$O$42="Evet")*(AY_SONU!$B$7:$B$42=DATE(YEAR($C1961),MONTH($C1961),1))))</f>
        <v>0</v>
      </c>
      <c r="AE1961" s="1" t="str">
        <f>IF($E1961="","",$E1961&amp;"|"&amp;COUNTIFS($E$7:$E1961,$E1961))</f>
        <v/>
      </c>
    </row>
    <row r="1962" spans="1:31" ht="18" customHeight="1" x14ac:dyDescent="0.3">
      <c r="A1962" s="2"/>
      <c r="B1962" s="65" t="str">
        <f t="shared" si="242"/>
        <v/>
      </c>
      <c r="C1962" s="66"/>
      <c r="D1962" s="60"/>
      <c r="E1962" s="61"/>
      <c r="F1962" s="61"/>
      <c r="G1962" s="67"/>
      <c r="H1962" s="60"/>
      <c r="I1962" s="60"/>
      <c r="J1962" s="61"/>
      <c r="K1962" s="61"/>
      <c r="L1962" s="60"/>
      <c r="M1962" s="74" t="str">
        <f t="shared" si="243"/>
        <v/>
      </c>
      <c r="N1962" s="74" t="str">
        <f t="shared" si="244"/>
        <v/>
      </c>
      <c r="O1962" s="73" t="str">
        <f t="shared" si="245"/>
        <v/>
      </c>
      <c r="P1962" s="65" t="str">
        <f t="shared" ca="1" si="246"/>
        <v/>
      </c>
      <c r="Q1962" s="2"/>
      <c r="R1962" s="2"/>
      <c r="S1962" s="1" t="str">
        <f t="shared" si="247"/>
        <v/>
      </c>
      <c r="T1962" s="1" t="str">
        <f>IF(OR($C1962="",$D1962&lt;&gt;"Gelir",$L1962=""),"",IFERROR(INDEX(MUSTERILER!$B$7:$B$156,MATCH($S1962,MUSTERILER!$T$7:$T$156,0)),""))</f>
        <v/>
      </c>
      <c r="U1962" s="1" t="str">
        <f>IF($T1962="","",$T1962&amp;"|"&amp;COUNTIFS($T$7:$T1962,$T1962))</f>
        <v/>
      </c>
      <c r="V1962" s="1">
        <f t="shared" si="248"/>
        <v>0</v>
      </c>
      <c r="W1962" s="1" t="str">
        <f t="shared" si="249"/>
        <v/>
      </c>
      <c r="X1962" s="1"/>
      <c r="Y1962" s="1"/>
      <c r="Z1962" s="1"/>
      <c r="AA1962" s="1"/>
      <c r="AB1962" s="1"/>
      <c r="AC1962" s="1"/>
      <c r="AD1962" s="1">
        <f>IF($C1962="",0,SUMPRODUCT((AY_SONU!$O$7:$O$42="Evet")*(AY_SONU!$B$7:$B$42=DATE(YEAR($C1962),MONTH($C1962),1))))</f>
        <v>0</v>
      </c>
      <c r="AE1962" s="1" t="str">
        <f>IF($E1962="","",$E1962&amp;"|"&amp;COUNTIFS($E$7:$E1962,$E1962))</f>
        <v/>
      </c>
    </row>
    <row r="1963" spans="1:31" ht="18" customHeight="1" x14ac:dyDescent="0.3">
      <c r="A1963" s="2"/>
      <c r="B1963" s="65" t="str">
        <f t="shared" si="242"/>
        <v/>
      </c>
      <c r="C1963" s="66"/>
      <c r="D1963" s="60"/>
      <c r="E1963" s="61"/>
      <c r="F1963" s="61"/>
      <c r="G1963" s="67"/>
      <c r="H1963" s="60"/>
      <c r="I1963" s="60"/>
      <c r="J1963" s="61"/>
      <c r="K1963" s="61"/>
      <c r="L1963" s="60"/>
      <c r="M1963" s="74" t="str">
        <f t="shared" si="243"/>
        <v/>
      </c>
      <c r="N1963" s="74" t="str">
        <f t="shared" si="244"/>
        <v/>
      </c>
      <c r="O1963" s="73" t="str">
        <f t="shared" si="245"/>
        <v/>
      </c>
      <c r="P1963" s="65" t="str">
        <f t="shared" ca="1" si="246"/>
        <v/>
      </c>
      <c r="Q1963" s="2"/>
      <c r="R1963" s="2"/>
      <c r="S1963" s="1" t="str">
        <f t="shared" si="247"/>
        <v/>
      </c>
      <c r="T1963" s="1" t="str">
        <f>IF(OR($C1963="",$D1963&lt;&gt;"Gelir",$L1963=""),"",IFERROR(INDEX(MUSTERILER!$B$7:$B$156,MATCH($S1963,MUSTERILER!$T$7:$T$156,0)),""))</f>
        <v/>
      </c>
      <c r="U1963" s="1" t="str">
        <f>IF($T1963="","",$T1963&amp;"|"&amp;COUNTIFS($T$7:$T1963,$T1963))</f>
        <v/>
      </c>
      <c r="V1963" s="1">
        <f t="shared" si="248"/>
        <v>0</v>
      </c>
      <c r="W1963" s="1" t="str">
        <f t="shared" si="249"/>
        <v/>
      </c>
      <c r="X1963" s="1"/>
      <c r="Y1963" s="1"/>
      <c r="Z1963" s="1"/>
      <c r="AA1963" s="1"/>
      <c r="AB1963" s="1"/>
      <c r="AC1963" s="1"/>
      <c r="AD1963" s="1">
        <f>IF($C1963="",0,SUMPRODUCT((AY_SONU!$O$7:$O$42="Evet")*(AY_SONU!$B$7:$B$42=DATE(YEAR($C1963),MONTH($C1963),1))))</f>
        <v>0</v>
      </c>
      <c r="AE1963" s="1" t="str">
        <f>IF($E1963="","",$E1963&amp;"|"&amp;COUNTIFS($E$7:$E1963,$E1963))</f>
        <v/>
      </c>
    </row>
    <row r="1964" spans="1:31" ht="18" customHeight="1" x14ac:dyDescent="0.3">
      <c r="A1964" s="2"/>
      <c r="B1964" s="65" t="str">
        <f t="shared" si="242"/>
        <v/>
      </c>
      <c r="C1964" s="66"/>
      <c r="D1964" s="60"/>
      <c r="E1964" s="61"/>
      <c r="F1964" s="61"/>
      <c r="G1964" s="67"/>
      <c r="H1964" s="60"/>
      <c r="I1964" s="60"/>
      <c r="J1964" s="61"/>
      <c r="K1964" s="61"/>
      <c r="L1964" s="60"/>
      <c r="M1964" s="74" t="str">
        <f t="shared" si="243"/>
        <v/>
      </c>
      <c r="N1964" s="74" t="str">
        <f t="shared" si="244"/>
        <v/>
      </c>
      <c r="O1964" s="73" t="str">
        <f t="shared" si="245"/>
        <v/>
      </c>
      <c r="P1964" s="65" t="str">
        <f t="shared" ca="1" si="246"/>
        <v/>
      </c>
      <c r="Q1964" s="2"/>
      <c r="R1964" s="2"/>
      <c r="S1964" s="1" t="str">
        <f t="shared" si="247"/>
        <v/>
      </c>
      <c r="T1964" s="1" t="str">
        <f>IF(OR($C1964="",$D1964&lt;&gt;"Gelir",$L1964=""),"",IFERROR(INDEX(MUSTERILER!$B$7:$B$156,MATCH($S1964,MUSTERILER!$T$7:$T$156,0)),""))</f>
        <v/>
      </c>
      <c r="U1964" s="1" t="str">
        <f>IF($T1964="","",$T1964&amp;"|"&amp;COUNTIFS($T$7:$T1964,$T1964))</f>
        <v/>
      </c>
      <c r="V1964" s="1">
        <f t="shared" si="248"/>
        <v>0</v>
      </c>
      <c r="W1964" s="1" t="str">
        <f t="shared" si="249"/>
        <v/>
      </c>
      <c r="X1964" s="1"/>
      <c r="Y1964" s="1"/>
      <c r="Z1964" s="1"/>
      <c r="AA1964" s="1"/>
      <c r="AB1964" s="1"/>
      <c r="AC1964" s="1"/>
      <c r="AD1964" s="1">
        <f>IF($C1964="",0,SUMPRODUCT((AY_SONU!$O$7:$O$42="Evet")*(AY_SONU!$B$7:$B$42=DATE(YEAR($C1964),MONTH($C1964),1))))</f>
        <v>0</v>
      </c>
      <c r="AE1964" s="1" t="str">
        <f>IF($E1964="","",$E1964&amp;"|"&amp;COUNTIFS($E$7:$E1964,$E1964))</f>
        <v/>
      </c>
    </row>
    <row r="1965" spans="1:31" ht="18" customHeight="1" x14ac:dyDescent="0.3">
      <c r="A1965" s="2"/>
      <c r="B1965" s="65" t="str">
        <f t="shared" si="242"/>
        <v/>
      </c>
      <c r="C1965" s="66"/>
      <c r="D1965" s="60"/>
      <c r="E1965" s="61"/>
      <c r="F1965" s="61"/>
      <c r="G1965" s="67"/>
      <c r="H1965" s="60"/>
      <c r="I1965" s="60"/>
      <c r="J1965" s="61"/>
      <c r="K1965" s="61"/>
      <c r="L1965" s="60"/>
      <c r="M1965" s="74" t="str">
        <f t="shared" si="243"/>
        <v/>
      </c>
      <c r="N1965" s="74" t="str">
        <f t="shared" si="244"/>
        <v/>
      </c>
      <c r="O1965" s="73" t="str">
        <f t="shared" si="245"/>
        <v/>
      </c>
      <c r="P1965" s="65" t="str">
        <f t="shared" ca="1" si="246"/>
        <v/>
      </c>
      <c r="Q1965" s="2"/>
      <c r="R1965" s="2"/>
      <c r="S1965" s="1" t="str">
        <f t="shared" si="247"/>
        <v/>
      </c>
      <c r="T1965" s="1" t="str">
        <f>IF(OR($C1965="",$D1965&lt;&gt;"Gelir",$L1965=""),"",IFERROR(INDEX(MUSTERILER!$B$7:$B$156,MATCH($S1965,MUSTERILER!$T$7:$T$156,0)),""))</f>
        <v/>
      </c>
      <c r="U1965" s="1" t="str">
        <f>IF($T1965="","",$T1965&amp;"|"&amp;COUNTIFS($T$7:$T1965,$T1965))</f>
        <v/>
      </c>
      <c r="V1965" s="1">
        <f t="shared" si="248"/>
        <v>0</v>
      </c>
      <c r="W1965" s="1" t="str">
        <f t="shared" si="249"/>
        <v/>
      </c>
      <c r="X1965" s="1"/>
      <c r="Y1965" s="1"/>
      <c r="Z1965" s="1"/>
      <c r="AA1965" s="1"/>
      <c r="AB1965" s="1"/>
      <c r="AC1965" s="1"/>
      <c r="AD1965" s="1">
        <f>IF($C1965="",0,SUMPRODUCT((AY_SONU!$O$7:$O$42="Evet")*(AY_SONU!$B$7:$B$42=DATE(YEAR($C1965),MONTH($C1965),1))))</f>
        <v>0</v>
      </c>
      <c r="AE1965" s="1" t="str">
        <f>IF($E1965="","",$E1965&amp;"|"&amp;COUNTIFS($E$7:$E1965,$E1965))</f>
        <v/>
      </c>
    </row>
    <row r="1966" spans="1:31" ht="18" customHeight="1" x14ac:dyDescent="0.3">
      <c r="A1966" s="2"/>
      <c r="B1966" s="65" t="str">
        <f t="shared" si="242"/>
        <v/>
      </c>
      <c r="C1966" s="66"/>
      <c r="D1966" s="60"/>
      <c r="E1966" s="61"/>
      <c r="F1966" s="61"/>
      <c r="G1966" s="67"/>
      <c r="H1966" s="60"/>
      <c r="I1966" s="60"/>
      <c r="J1966" s="61"/>
      <c r="K1966" s="61"/>
      <c r="L1966" s="60"/>
      <c r="M1966" s="74" t="str">
        <f t="shared" si="243"/>
        <v/>
      </c>
      <c r="N1966" s="74" t="str">
        <f t="shared" si="244"/>
        <v/>
      </c>
      <c r="O1966" s="73" t="str">
        <f t="shared" si="245"/>
        <v/>
      </c>
      <c r="P1966" s="65" t="str">
        <f t="shared" ca="1" si="246"/>
        <v/>
      </c>
      <c r="Q1966" s="2"/>
      <c r="R1966" s="2"/>
      <c r="S1966" s="1" t="str">
        <f t="shared" si="247"/>
        <v/>
      </c>
      <c r="T1966" s="1" t="str">
        <f>IF(OR($C1966="",$D1966&lt;&gt;"Gelir",$L1966=""),"",IFERROR(INDEX(MUSTERILER!$B$7:$B$156,MATCH($S1966,MUSTERILER!$T$7:$T$156,0)),""))</f>
        <v/>
      </c>
      <c r="U1966" s="1" t="str">
        <f>IF($T1966="","",$T1966&amp;"|"&amp;COUNTIFS($T$7:$T1966,$T1966))</f>
        <v/>
      </c>
      <c r="V1966" s="1">
        <f t="shared" si="248"/>
        <v>0</v>
      </c>
      <c r="W1966" s="1" t="str">
        <f t="shared" si="249"/>
        <v/>
      </c>
      <c r="X1966" s="1"/>
      <c r="Y1966" s="1"/>
      <c r="Z1966" s="1"/>
      <c r="AA1966" s="1"/>
      <c r="AB1966" s="1"/>
      <c r="AC1966" s="1"/>
      <c r="AD1966" s="1">
        <f>IF($C1966="",0,SUMPRODUCT((AY_SONU!$O$7:$O$42="Evet")*(AY_SONU!$B$7:$B$42=DATE(YEAR($C1966),MONTH($C1966),1))))</f>
        <v>0</v>
      </c>
      <c r="AE1966" s="1" t="str">
        <f>IF($E1966="","",$E1966&amp;"|"&amp;COUNTIFS($E$7:$E1966,$E1966))</f>
        <v/>
      </c>
    </row>
    <row r="1967" spans="1:31" ht="18" customHeight="1" x14ac:dyDescent="0.3">
      <c r="A1967" s="2"/>
      <c r="B1967" s="65" t="str">
        <f t="shared" si="242"/>
        <v/>
      </c>
      <c r="C1967" s="66"/>
      <c r="D1967" s="60"/>
      <c r="E1967" s="61"/>
      <c r="F1967" s="61"/>
      <c r="G1967" s="67"/>
      <c r="H1967" s="60"/>
      <c r="I1967" s="60"/>
      <c r="J1967" s="61"/>
      <c r="K1967" s="61"/>
      <c r="L1967" s="60"/>
      <c r="M1967" s="74" t="str">
        <f t="shared" si="243"/>
        <v/>
      </c>
      <c r="N1967" s="74" t="str">
        <f t="shared" si="244"/>
        <v/>
      </c>
      <c r="O1967" s="73" t="str">
        <f t="shared" si="245"/>
        <v/>
      </c>
      <c r="P1967" s="65" t="str">
        <f t="shared" ca="1" si="246"/>
        <v/>
      </c>
      <c r="Q1967" s="2"/>
      <c r="R1967" s="2"/>
      <c r="S1967" s="1" t="str">
        <f t="shared" si="247"/>
        <v/>
      </c>
      <c r="T1967" s="1" t="str">
        <f>IF(OR($C1967="",$D1967&lt;&gt;"Gelir",$L1967=""),"",IFERROR(INDEX(MUSTERILER!$B$7:$B$156,MATCH($S1967,MUSTERILER!$T$7:$T$156,0)),""))</f>
        <v/>
      </c>
      <c r="U1967" s="1" t="str">
        <f>IF($T1967="","",$T1967&amp;"|"&amp;COUNTIFS($T$7:$T1967,$T1967))</f>
        <v/>
      </c>
      <c r="V1967" s="1">
        <f t="shared" si="248"/>
        <v>0</v>
      </c>
      <c r="W1967" s="1" t="str">
        <f t="shared" si="249"/>
        <v/>
      </c>
      <c r="X1967" s="1"/>
      <c r="Y1967" s="1"/>
      <c r="Z1967" s="1"/>
      <c r="AA1967" s="1"/>
      <c r="AB1967" s="1"/>
      <c r="AC1967" s="1"/>
      <c r="AD1967" s="1">
        <f>IF($C1967="",0,SUMPRODUCT((AY_SONU!$O$7:$O$42="Evet")*(AY_SONU!$B$7:$B$42=DATE(YEAR($C1967),MONTH($C1967),1))))</f>
        <v>0</v>
      </c>
      <c r="AE1967" s="1" t="str">
        <f>IF($E1967="","",$E1967&amp;"|"&amp;COUNTIFS($E$7:$E1967,$E1967))</f>
        <v/>
      </c>
    </row>
    <row r="1968" spans="1:31" ht="18" customHeight="1" x14ac:dyDescent="0.3">
      <c r="A1968" s="2"/>
      <c r="B1968" s="65" t="str">
        <f t="shared" si="242"/>
        <v/>
      </c>
      <c r="C1968" s="66"/>
      <c r="D1968" s="60"/>
      <c r="E1968" s="61"/>
      <c r="F1968" s="61"/>
      <c r="G1968" s="67"/>
      <c r="H1968" s="60"/>
      <c r="I1968" s="60"/>
      <c r="J1968" s="61"/>
      <c r="K1968" s="61"/>
      <c r="L1968" s="60"/>
      <c r="M1968" s="74" t="str">
        <f t="shared" si="243"/>
        <v/>
      </c>
      <c r="N1968" s="74" t="str">
        <f t="shared" si="244"/>
        <v/>
      </c>
      <c r="O1968" s="73" t="str">
        <f t="shared" si="245"/>
        <v/>
      </c>
      <c r="P1968" s="65" t="str">
        <f t="shared" ca="1" si="246"/>
        <v/>
      </c>
      <c r="Q1968" s="2"/>
      <c r="R1968" s="2"/>
      <c r="S1968" s="1" t="str">
        <f t="shared" si="247"/>
        <v/>
      </c>
      <c r="T1968" s="1" t="str">
        <f>IF(OR($C1968="",$D1968&lt;&gt;"Gelir",$L1968=""),"",IFERROR(INDEX(MUSTERILER!$B$7:$B$156,MATCH($S1968,MUSTERILER!$T$7:$T$156,0)),""))</f>
        <v/>
      </c>
      <c r="U1968" s="1" t="str">
        <f>IF($T1968="","",$T1968&amp;"|"&amp;COUNTIFS($T$7:$T1968,$T1968))</f>
        <v/>
      </c>
      <c r="V1968" s="1">
        <f t="shared" si="248"/>
        <v>0</v>
      </c>
      <c r="W1968" s="1" t="str">
        <f t="shared" si="249"/>
        <v/>
      </c>
      <c r="X1968" s="1"/>
      <c r="Y1968" s="1"/>
      <c r="Z1968" s="1"/>
      <c r="AA1968" s="1"/>
      <c r="AB1968" s="1"/>
      <c r="AC1968" s="1"/>
      <c r="AD1968" s="1">
        <f>IF($C1968="",0,SUMPRODUCT((AY_SONU!$O$7:$O$42="Evet")*(AY_SONU!$B$7:$B$42=DATE(YEAR($C1968),MONTH($C1968),1))))</f>
        <v>0</v>
      </c>
      <c r="AE1968" s="1" t="str">
        <f>IF($E1968="","",$E1968&amp;"|"&amp;COUNTIFS($E$7:$E1968,$E1968))</f>
        <v/>
      </c>
    </row>
    <row r="1969" spans="1:31" ht="18" customHeight="1" x14ac:dyDescent="0.3">
      <c r="A1969" s="2"/>
      <c r="B1969" s="65" t="str">
        <f t="shared" si="242"/>
        <v/>
      </c>
      <c r="C1969" s="66"/>
      <c r="D1969" s="60"/>
      <c r="E1969" s="61"/>
      <c r="F1969" s="61"/>
      <c r="G1969" s="67"/>
      <c r="H1969" s="60"/>
      <c r="I1969" s="60"/>
      <c r="J1969" s="61"/>
      <c r="K1969" s="61"/>
      <c r="L1969" s="60"/>
      <c r="M1969" s="74" t="str">
        <f t="shared" si="243"/>
        <v/>
      </c>
      <c r="N1969" s="74" t="str">
        <f t="shared" si="244"/>
        <v/>
      </c>
      <c r="O1969" s="73" t="str">
        <f t="shared" si="245"/>
        <v/>
      </c>
      <c r="P1969" s="65" t="str">
        <f t="shared" ca="1" si="246"/>
        <v/>
      </c>
      <c r="Q1969" s="2"/>
      <c r="R1969" s="2"/>
      <c r="S1969" s="1" t="str">
        <f t="shared" si="247"/>
        <v/>
      </c>
      <c r="T1969" s="1" t="str">
        <f>IF(OR($C1969="",$D1969&lt;&gt;"Gelir",$L1969=""),"",IFERROR(INDEX(MUSTERILER!$B$7:$B$156,MATCH($S1969,MUSTERILER!$T$7:$T$156,0)),""))</f>
        <v/>
      </c>
      <c r="U1969" s="1" t="str">
        <f>IF($T1969="","",$T1969&amp;"|"&amp;COUNTIFS($T$7:$T1969,$T1969))</f>
        <v/>
      </c>
      <c r="V1969" s="1">
        <f t="shared" si="248"/>
        <v>0</v>
      </c>
      <c r="W1969" s="1" t="str">
        <f t="shared" si="249"/>
        <v/>
      </c>
      <c r="X1969" s="1"/>
      <c r="Y1969" s="1"/>
      <c r="Z1969" s="1"/>
      <c r="AA1969" s="1"/>
      <c r="AB1969" s="1"/>
      <c r="AC1969" s="1"/>
      <c r="AD1969" s="1">
        <f>IF($C1969="",0,SUMPRODUCT((AY_SONU!$O$7:$O$42="Evet")*(AY_SONU!$B$7:$B$42=DATE(YEAR($C1969),MONTH($C1969),1))))</f>
        <v>0</v>
      </c>
      <c r="AE1969" s="1" t="str">
        <f>IF($E1969="","",$E1969&amp;"|"&amp;COUNTIFS($E$7:$E1969,$E1969))</f>
        <v/>
      </c>
    </row>
    <row r="1970" spans="1:31" ht="18" customHeight="1" x14ac:dyDescent="0.3">
      <c r="A1970" s="2"/>
      <c r="B1970" s="65" t="str">
        <f t="shared" si="242"/>
        <v/>
      </c>
      <c r="C1970" s="66"/>
      <c r="D1970" s="60"/>
      <c r="E1970" s="61"/>
      <c r="F1970" s="61"/>
      <c r="G1970" s="67"/>
      <c r="H1970" s="60"/>
      <c r="I1970" s="60"/>
      <c r="J1970" s="61"/>
      <c r="K1970" s="61"/>
      <c r="L1970" s="60"/>
      <c r="M1970" s="74" t="str">
        <f t="shared" si="243"/>
        <v/>
      </c>
      <c r="N1970" s="74" t="str">
        <f t="shared" si="244"/>
        <v/>
      </c>
      <c r="O1970" s="73" t="str">
        <f t="shared" si="245"/>
        <v/>
      </c>
      <c r="P1970" s="65" t="str">
        <f t="shared" ca="1" si="246"/>
        <v/>
      </c>
      <c r="Q1970" s="2"/>
      <c r="R1970" s="2"/>
      <c r="S1970" s="1" t="str">
        <f t="shared" si="247"/>
        <v/>
      </c>
      <c r="T1970" s="1" t="str">
        <f>IF(OR($C1970="",$D1970&lt;&gt;"Gelir",$L1970=""),"",IFERROR(INDEX(MUSTERILER!$B$7:$B$156,MATCH($S1970,MUSTERILER!$T$7:$T$156,0)),""))</f>
        <v/>
      </c>
      <c r="U1970" s="1" t="str">
        <f>IF($T1970="","",$T1970&amp;"|"&amp;COUNTIFS($T$7:$T1970,$T1970))</f>
        <v/>
      </c>
      <c r="V1970" s="1">
        <f t="shared" si="248"/>
        <v>0</v>
      </c>
      <c r="W1970" s="1" t="str">
        <f t="shared" si="249"/>
        <v/>
      </c>
      <c r="X1970" s="1"/>
      <c r="Y1970" s="1"/>
      <c r="Z1970" s="1"/>
      <c r="AA1970" s="1"/>
      <c r="AB1970" s="1"/>
      <c r="AC1970" s="1"/>
      <c r="AD1970" s="1">
        <f>IF($C1970="",0,SUMPRODUCT((AY_SONU!$O$7:$O$42="Evet")*(AY_SONU!$B$7:$B$42=DATE(YEAR($C1970),MONTH($C1970),1))))</f>
        <v>0</v>
      </c>
      <c r="AE1970" s="1" t="str">
        <f>IF($E1970="","",$E1970&amp;"|"&amp;COUNTIFS($E$7:$E1970,$E1970))</f>
        <v/>
      </c>
    </row>
    <row r="1971" spans="1:31" ht="18" customHeight="1" x14ac:dyDescent="0.3">
      <c r="A1971" s="2"/>
      <c r="B1971" s="65" t="str">
        <f t="shared" si="242"/>
        <v/>
      </c>
      <c r="C1971" s="66"/>
      <c r="D1971" s="60"/>
      <c r="E1971" s="61"/>
      <c r="F1971" s="61"/>
      <c r="G1971" s="67"/>
      <c r="H1971" s="60"/>
      <c r="I1971" s="60"/>
      <c r="J1971" s="61"/>
      <c r="K1971" s="61"/>
      <c r="L1971" s="60"/>
      <c r="M1971" s="74" t="str">
        <f t="shared" si="243"/>
        <v/>
      </c>
      <c r="N1971" s="74" t="str">
        <f t="shared" si="244"/>
        <v/>
      </c>
      <c r="O1971" s="73" t="str">
        <f t="shared" si="245"/>
        <v/>
      </c>
      <c r="P1971" s="65" t="str">
        <f t="shared" ca="1" si="246"/>
        <v/>
      </c>
      <c r="Q1971" s="2"/>
      <c r="R1971" s="2"/>
      <c r="S1971" s="1" t="str">
        <f t="shared" si="247"/>
        <v/>
      </c>
      <c r="T1971" s="1" t="str">
        <f>IF(OR($C1971="",$D1971&lt;&gt;"Gelir",$L1971=""),"",IFERROR(INDEX(MUSTERILER!$B$7:$B$156,MATCH($S1971,MUSTERILER!$T$7:$T$156,0)),""))</f>
        <v/>
      </c>
      <c r="U1971" s="1" t="str">
        <f>IF($T1971="","",$T1971&amp;"|"&amp;COUNTIFS($T$7:$T1971,$T1971))</f>
        <v/>
      </c>
      <c r="V1971" s="1">
        <f t="shared" si="248"/>
        <v>0</v>
      </c>
      <c r="W1971" s="1" t="str">
        <f t="shared" si="249"/>
        <v/>
      </c>
      <c r="X1971" s="1"/>
      <c r="Y1971" s="1"/>
      <c r="Z1971" s="1"/>
      <c r="AA1971" s="1"/>
      <c r="AB1971" s="1"/>
      <c r="AC1971" s="1"/>
      <c r="AD1971" s="1">
        <f>IF($C1971="",0,SUMPRODUCT((AY_SONU!$O$7:$O$42="Evet")*(AY_SONU!$B$7:$B$42=DATE(YEAR($C1971),MONTH($C1971),1))))</f>
        <v>0</v>
      </c>
      <c r="AE1971" s="1" t="str">
        <f>IF($E1971="","",$E1971&amp;"|"&amp;COUNTIFS($E$7:$E1971,$E1971))</f>
        <v/>
      </c>
    </row>
    <row r="1972" spans="1:31" ht="18" customHeight="1" x14ac:dyDescent="0.3">
      <c r="A1972" s="2"/>
      <c r="B1972" s="65" t="str">
        <f t="shared" si="242"/>
        <v/>
      </c>
      <c r="C1972" s="66"/>
      <c r="D1972" s="60"/>
      <c r="E1972" s="61"/>
      <c r="F1972" s="61"/>
      <c r="G1972" s="67"/>
      <c r="H1972" s="60"/>
      <c r="I1972" s="60"/>
      <c r="J1972" s="61"/>
      <c r="K1972" s="61"/>
      <c r="L1972" s="60"/>
      <c r="M1972" s="74" t="str">
        <f t="shared" si="243"/>
        <v/>
      </c>
      <c r="N1972" s="74" t="str">
        <f t="shared" si="244"/>
        <v/>
      </c>
      <c r="O1972" s="73" t="str">
        <f t="shared" si="245"/>
        <v/>
      </c>
      <c r="P1972" s="65" t="str">
        <f t="shared" ca="1" si="246"/>
        <v/>
      </c>
      <c r="Q1972" s="2"/>
      <c r="R1972" s="2"/>
      <c r="S1972" s="1" t="str">
        <f t="shared" si="247"/>
        <v/>
      </c>
      <c r="T1972" s="1" t="str">
        <f>IF(OR($C1972="",$D1972&lt;&gt;"Gelir",$L1972=""),"",IFERROR(INDEX(MUSTERILER!$B$7:$B$156,MATCH($S1972,MUSTERILER!$T$7:$T$156,0)),""))</f>
        <v/>
      </c>
      <c r="U1972" s="1" t="str">
        <f>IF($T1972="","",$T1972&amp;"|"&amp;COUNTIFS($T$7:$T1972,$T1972))</f>
        <v/>
      </c>
      <c r="V1972" s="1">
        <f t="shared" si="248"/>
        <v>0</v>
      </c>
      <c r="W1972" s="1" t="str">
        <f t="shared" si="249"/>
        <v/>
      </c>
      <c r="X1972" s="1"/>
      <c r="Y1972" s="1"/>
      <c r="Z1972" s="1"/>
      <c r="AA1972" s="1"/>
      <c r="AB1972" s="1"/>
      <c r="AC1972" s="1"/>
      <c r="AD1972" s="1">
        <f>IF($C1972="",0,SUMPRODUCT((AY_SONU!$O$7:$O$42="Evet")*(AY_SONU!$B$7:$B$42=DATE(YEAR($C1972),MONTH($C1972),1))))</f>
        <v>0</v>
      </c>
      <c r="AE1972" s="1" t="str">
        <f>IF($E1972="","",$E1972&amp;"|"&amp;COUNTIFS($E$7:$E1972,$E1972))</f>
        <v/>
      </c>
    </row>
    <row r="1973" spans="1:31" ht="18" customHeight="1" x14ac:dyDescent="0.3">
      <c r="A1973" s="2"/>
      <c r="B1973" s="65" t="str">
        <f t="shared" si="242"/>
        <v/>
      </c>
      <c r="C1973" s="66"/>
      <c r="D1973" s="60"/>
      <c r="E1973" s="61"/>
      <c r="F1973" s="61"/>
      <c r="G1973" s="67"/>
      <c r="H1973" s="60"/>
      <c r="I1973" s="60"/>
      <c r="J1973" s="61"/>
      <c r="K1973" s="61"/>
      <c r="L1973" s="60"/>
      <c r="M1973" s="74" t="str">
        <f t="shared" si="243"/>
        <v/>
      </c>
      <c r="N1973" s="74" t="str">
        <f t="shared" si="244"/>
        <v/>
      </c>
      <c r="O1973" s="73" t="str">
        <f t="shared" si="245"/>
        <v/>
      </c>
      <c r="P1973" s="65" t="str">
        <f t="shared" ca="1" si="246"/>
        <v/>
      </c>
      <c r="Q1973" s="2"/>
      <c r="R1973" s="2"/>
      <c r="S1973" s="1" t="str">
        <f t="shared" si="247"/>
        <v/>
      </c>
      <c r="T1973" s="1" t="str">
        <f>IF(OR($C1973="",$D1973&lt;&gt;"Gelir",$L1973=""),"",IFERROR(INDEX(MUSTERILER!$B$7:$B$156,MATCH($S1973,MUSTERILER!$T$7:$T$156,0)),""))</f>
        <v/>
      </c>
      <c r="U1973" s="1" t="str">
        <f>IF($T1973="","",$T1973&amp;"|"&amp;COUNTIFS($T$7:$T1973,$T1973))</f>
        <v/>
      </c>
      <c r="V1973" s="1">
        <f t="shared" si="248"/>
        <v>0</v>
      </c>
      <c r="W1973" s="1" t="str">
        <f t="shared" si="249"/>
        <v/>
      </c>
      <c r="X1973" s="1"/>
      <c r="Y1973" s="1"/>
      <c r="Z1973" s="1"/>
      <c r="AA1973" s="1"/>
      <c r="AB1973" s="1"/>
      <c r="AC1973" s="1"/>
      <c r="AD1973" s="1">
        <f>IF($C1973="",0,SUMPRODUCT((AY_SONU!$O$7:$O$42="Evet")*(AY_SONU!$B$7:$B$42=DATE(YEAR($C1973),MONTH($C1973),1))))</f>
        <v>0</v>
      </c>
      <c r="AE1973" s="1" t="str">
        <f>IF($E1973="","",$E1973&amp;"|"&amp;COUNTIFS($E$7:$E1973,$E1973))</f>
        <v/>
      </c>
    </row>
    <row r="1974" spans="1:31" ht="18" customHeight="1" x14ac:dyDescent="0.3">
      <c r="A1974" s="2"/>
      <c r="B1974" s="65" t="str">
        <f t="shared" si="242"/>
        <v/>
      </c>
      <c r="C1974" s="66"/>
      <c r="D1974" s="60"/>
      <c r="E1974" s="61"/>
      <c r="F1974" s="61"/>
      <c r="G1974" s="67"/>
      <c r="H1974" s="60"/>
      <c r="I1974" s="60"/>
      <c r="J1974" s="61"/>
      <c r="K1974" s="61"/>
      <c r="L1974" s="60"/>
      <c r="M1974" s="74" t="str">
        <f t="shared" si="243"/>
        <v/>
      </c>
      <c r="N1974" s="74" t="str">
        <f t="shared" si="244"/>
        <v/>
      </c>
      <c r="O1974" s="73" t="str">
        <f t="shared" si="245"/>
        <v/>
      </c>
      <c r="P1974" s="65" t="str">
        <f t="shared" ca="1" si="246"/>
        <v/>
      </c>
      <c r="Q1974" s="2"/>
      <c r="R1974" s="2"/>
      <c r="S1974" s="1" t="str">
        <f t="shared" si="247"/>
        <v/>
      </c>
      <c r="T1974" s="1" t="str">
        <f>IF(OR($C1974="",$D1974&lt;&gt;"Gelir",$L1974=""),"",IFERROR(INDEX(MUSTERILER!$B$7:$B$156,MATCH($S1974,MUSTERILER!$T$7:$T$156,0)),""))</f>
        <v/>
      </c>
      <c r="U1974" s="1" t="str">
        <f>IF($T1974="","",$T1974&amp;"|"&amp;COUNTIFS($T$7:$T1974,$T1974))</f>
        <v/>
      </c>
      <c r="V1974" s="1">
        <f t="shared" si="248"/>
        <v>0</v>
      </c>
      <c r="W1974" s="1" t="str">
        <f t="shared" si="249"/>
        <v/>
      </c>
      <c r="X1974" s="1"/>
      <c r="Y1974" s="1"/>
      <c r="Z1974" s="1"/>
      <c r="AA1974" s="1"/>
      <c r="AB1974" s="1"/>
      <c r="AC1974" s="1"/>
      <c r="AD1974" s="1">
        <f>IF($C1974="",0,SUMPRODUCT((AY_SONU!$O$7:$O$42="Evet")*(AY_SONU!$B$7:$B$42=DATE(YEAR($C1974),MONTH($C1974),1))))</f>
        <v>0</v>
      </c>
      <c r="AE1974" s="1" t="str">
        <f>IF($E1974="","",$E1974&amp;"|"&amp;COUNTIFS($E$7:$E1974,$E1974))</f>
        <v/>
      </c>
    </row>
    <row r="1975" spans="1:31" ht="18" customHeight="1" x14ac:dyDescent="0.3">
      <c r="A1975" s="2"/>
      <c r="B1975" s="65" t="str">
        <f t="shared" si="242"/>
        <v/>
      </c>
      <c r="C1975" s="66"/>
      <c r="D1975" s="60"/>
      <c r="E1975" s="61"/>
      <c r="F1975" s="61"/>
      <c r="G1975" s="67"/>
      <c r="H1975" s="60"/>
      <c r="I1975" s="60"/>
      <c r="J1975" s="61"/>
      <c r="K1975" s="61"/>
      <c r="L1975" s="60"/>
      <c r="M1975" s="74" t="str">
        <f t="shared" si="243"/>
        <v/>
      </c>
      <c r="N1975" s="74" t="str">
        <f t="shared" si="244"/>
        <v/>
      </c>
      <c r="O1975" s="73" t="str">
        <f t="shared" si="245"/>
        <v/>
      </c>
      <c r="P1975" s="65" t="str">
        <f t="shared" ca="1" si="246"/>
        <v/>
      </c>
      <c r="Q1975" s="2"/>
      <c r="R1975" s="2"/>
      <c r="S1975" s="1" t="str">
        <f t="shared" si="247"/>
        <v/>
      </c>
      <c r="T1975" s="1" t="str">
        <f>IF(OR($C1975="",$D1975&lt;&gt;"Gelir",$L1975=""),"",IFERROR(INDEX(MUSTERILER!$B$7:$B$156,MATCH($S1975,MUSTERILER!$T$7:$T$156,0)),""))</f>
        <v/>
      </c>
      <c r="U1975" s="1" t="str">
        <f>IF($T1975="","",$T1975&amp;"|"&amp;COUNTIFS($T$7:$T1975,$T1975))</f>
        <v/>
      </c>
      <c r="V1975" s="1">
        <f t="shared" si="248"/>
        <v>0</v>
      </c>
      <c r="W1975" s="1" t="str">
        <f t="shared" si="249"/>
        <v/>
      </c>
      <c r="X1975" s="1"/>
      <c r="Y1975" s="1"/>
      <c r="Z1975" s="1"/>
      <c r="AA1975" s="1"/>
      <c r="AB1975" s="1"/>
      <c r="AC1975" s="1"/>
      <c r="AD1975" s="1">
        <f>IF($C1975="",0,SUMPRODUCT((AY_SONU!$O$7:$O$42="Evet")*(AY_SONU!$B$7:$B$42=DATE(YEAR($C1975),MONTH($C1975),1))))</f>
        <v>0</v>
      </c>
      <c r="AE1975" s="1" t="str">
        <f>IF($E1975="","",$E1975&amp;"|"&amp;COUNTIFS($E$7:$E1975,$E1975))</f>
        <v/>
      </c>
    </row>
    <row r="1976" spans="1:31" ht="18" customHeight="1" x14ac:dyDescent="0.3">
      <c r="A1976" s="2"/>
      <c r="B1976" s="65" t="str">
        <f t="shared" si="242"/>
        <v/>
      </c>
      <c r="C1976" s="66"/>
      <c r="D1976" s="60"/>
      <c r="E1976" s="61"/>
      <c r="F1976" s="61"/>
      <c r="G1976" s="67"/>
      <c r="H1976" s="60"/>
      <c r="I1976" s="60"/>
      <c r="J1976" s="61"/>
      <c r="K1976" s="61"/>
      <c r="L1976" s="60"/>
      <c r="M1976" s="74" t="str">
        <f t="shared" si="243"/>
        <v/>
      </c>
      <c r="N1976" s="74" t="str">
        <f t="shared" si="244"/>
        <v/>
      </c>
      <c r="O1976" s="73" t="str">
        <f t="shared" si="245"/>
        <v/>
      </c>
      <c r="P1976" s="65" t="str">
        <f t="shared" ca="1" si="246"/>
        <v/>
      </c>
      <c r="Q1976" s="2"/>
      <c r="R1976" s="2"/>
      <c r="S1976" s="1" t="str">
        <f t="shared" si="247"/>
        <v/>
      </c>
      <c r="T1976" s="1" t="str">
        <f>IF(OR($C1976="",$D1976&lt;&gt;"Gelir",$L1976=""),"",IFERROR(INDEX(MUSTERILER!$B$7:$B$156,MATCH($S1976,MUSTERILER!$T$7:$T$156,0)),""))</f>
        <v/>
      </c>
      <c r="U1976" s="1" t="str">
        <f>IF($T1976="","",$T1976&amp;"|"&amp;COUNTIFS($T$7:$T1976,$T1976))</f>
        <v/>
      </c>
      <c r="V1976" s="1">
        <f t="shared" si="248"/>
        <v>0</v>
      </c>
      <c r="W1976" s="1" t="str">
        <f t="shared" si="249"/>
        <v/>
      </c>
      <c r="X1976" s="1"/>
      <c r="Y1976" s="1"/>
      <c r="Z1976" s="1"/>
      <c r="AA1976" s="1"/>
      <c r="AB1976" s="1"/>
      <c r="AC1976" s="1"/>
      <c r="AD1976" s="1">
        <f>IF($C1976="",0,SUMPRODUCT((AY_SONU!$O$7:$O$42="Evet")*(AY_SONU!$B$7:$B$42=DATE(YEAR($C1976),MONTH($C1976),1))))</f>
        <v>0</v>
      </c>
      <c r="AE1976" s="1" t="str">
        <f>IF($E1976="","",$E1976&amp;"|"&amp;COUNTIFS($E$7:$E1976,$E1976))</f>
        <v/>
      </c>
    </row>
    <row r="1977" spans="1:31" ht="18" customHeight="1" x14ac:dyDescent="0.3">
      <c r="A1977" s="2"/>
      <c r="B1977" s="65" t="str">
        <f t="shared" si="242"/>
        <v/>
      </c>
      <c r="C1977" s="66"/>
      <c r="D1977" s="60"/>
      <c r="E1977" s="61"/>
      <c r="F1977" s="61"/>
      <c r="G1977" s="67"/>
      <c r="H1977" s="60"/>
      <c r="I1977" s="60"/>
      <c r="J1977" s="61"/>
      <c r="K1977" s="61"/>
      <c r="L1977" s="60"/>
      <c r="M1977" s="74" t="str">
        <f t="shared" si="243"/>
        <v/>
      </c>
      <c r="N1977" s="74" t="str">
        <f t="shared" si="244"/>
        <v/>
      </c>
      <c r="O1977" s="73" t="str">
        <f t="shared" si="245"/>
        <v/>
      </c>
      <c r="P1977" s="65" t="str">
        <f t="shared" ca="1" si="246"/>
        <v/>
      </c>
      <c r="Q1977" s="2"/>
      <c r="R1977" s="2"/>
      <c r="S1977" s="1" t="str">
        <f t="shared" si="247"/>
        <v/>
      </c>
      <c r="T1977" s="1" t="str">
        <f>IF(OR($C1977="",$D1977&lt;&gt;"Gelir",$L1977=""),"",IFERROR(INDEX(MUSTERILER!$B$7:$B$156,MATCH($S1977,MUSTERILER!$T$7:$T$156,0)),""))</f>
        <v/>
      </c>
      <c r="U1977" s="1" t="str">
        <f>IF($T1977="","",$T1977&amp;"|"&amp;COUNTIFS($T$7:$T1977,$T1977))</f>
        <v/>
      </c>
      <c r="V1977" s="1">
        <f t="shared" si="248"/>
        <v>0</v>
      </c>
      <c r="W1977" s="1" t="str">
        <f t="shared" si="249"/>
        <v/>
      </c>
      <c r="X1977" s="1"/>
      <c r="Y1977" s="1"/>
      <c r="Z1977" s="1"/>
      <c r="AA1977" s="1"/>
      <c r="AB1977" s="1"/>
      <c r="AC1977" s="1"/>
      <c r="AD1977" s="1">
        <f>IF($C1977="",0,SUMPRODUCT((AY_SONU!$O$7:$O$42="Evet")*(AY_SONU!$B$7:$B$42=DATE(YEAR($C1977),MONTH($C1977),1))))</f>
        <v>0</v>
      </c>
      <c r="AE1977" s="1" t="str">
        <f>IF($E1977="","",$E1977&amp;"|"&amp;COUNTIFS($E$7:$E1977,$E1977))</f>
        <v/>
      </c>
    </row>
    <row r="1978" spans="1:31" ht="18" customHeight="1" x14ac:dyDescent="0.3">
      <c r="A1978" s="2"/>
      <c r="B1978" s="65" t="str">
        <f t="shared" si="242"/>
        <v/>
      </c>
      <c r="C1978" s="66"/>
      <c r="D1978" s="60"/>
      <c r="E1978" s="61"/>
      <c r="F1978" s="61"/>
      <c r="G1978" s="67"/>
      <c r="H1978" s="60"/>
      <c r="I1978" s="60"/>
      <c r="J1978" s="61"/>
      <c r="K1978" s="61"/>
      <c r="L1978" s="60"/>
      <c r="M1978" s="74" t="str">
        <f t="shared" si="243"/>
        <v/>
      </c>
      <c r="N1978" s="74" t="str">
        <f t="shared" si="244"/>
        <v/>
      </c>
      <c r="O1978" s="73" t="str">
        <f t="shared" si="245"/>
        <v/>
      </c>
      <c r="P1978" s="65" t="str">
        <f t="shared" ca="1" si="246"/>
        <v/>
      </c>
      <c r="Q1978" s="2"/>
      <c r="R1978" s="2"/>
      <c r="S1978" s="1" t="str">
        <f t="shared" si="247"/>
        <v/>
      </c>
      <c r="T1978" s="1" t="str">
        <f>IF(OR($C1978="",$D1978&lt;&gt;"Gelir",$L1978=""),"",IFERROR(INDEX(MUSTERILER!$B$7:$B$156,MATCH($S1978,MUSTERILER!$T$7:$T$156,0)),""))</f>
        <v/>
      </c>
      <c r="U1978" s="1" t="str">
        <f>IF($T1978="","",$T1978&amp;"|"&amp;COUNTIFS($T$7:$T1978,$T1978))</f>
        <v/>
      </c>
      <c r="V1978" s="1">
        <f t="shared" si="248"/>
        <v>0</v>
      </c>
      <c r="W1978" s="1" t="str">
        <f t="shared" si="249"/>
        <v/>
      </c>
      <c r="X1978" s="1"/>
      <c r="Y1978" s="1"/>
      <c r="Z1978" s="1"/>
      <c r="AA1978" s="1"/>
      <c r="AB1978" s="1"/>
      <c r="AC1978" s="1"/>
      <c r="AD1978" s="1">
        <f>IF($C1978="",0,SUMPRODUCT((AY_SONU!$O$7:$O$42="Evet")*(AY_SONU!$B$7:$B$42=DATE(YEAR($C1978),MONTH($C1978),1))))</f>
        <v>0</v>
      </c>
      <c r="AE1978" s="1" t="str">
        <f>IF($E1978="","",$E1978&amp;"|"&amp;COUNTIFS($E$7:$E1978,$E1978))</f>
        <v/>
      </c>
    </row>
    <row r="1979" spans="1:31" ht="18" customHeight="1" x14ac:dyDescent="0.3">
      <c r="A1979" s="2"/>
      <c r="B1979" s="65" t="str">
        <f t="shared" si="242"/>
        <v/>
      </c>
      <c r="C1979" s="66"/>
      <c r="D1979" s="60"/>
      <c r="E1979" s="61"/>
      <c r="F1979" s="61"/>
      <c r="G1979" s="67"/>
      <c r="H1979" s="60"/>
      <c r="I1979" s="60"/>
      <c r="J1979" s="61"/>
      <c r="K1979" s="61"/>
      <c r="L1979" s="60"/>
      <c r="M1979" s="74" t="str">
        <f t="shared" si="243"/>
        <v/>
      </c>
      <c r="N1979" s="74" t="str">
        <f t="shared" si="244"/>
        <v/>
      </c>
      <c r="O1979" s="73" t="str">
        <f t="shared" si="245"/>
        <v/>
      </c>
      <c r="P1979" s="65" t="str">
        <f t="shared" ca="1" si="246"/>
        <v/>
      </c>
      <c r="Q1979" s="2"/>
      <c r="R1979" s="2"/>
      <c r="S1979" s="1" t="str">
        <f t="shared" si="247"/>
        <v/>
      </c>
      <c r="T1979" s="1" t="str">
        <f>IF(OR($C1979="",$D1979&lt;&gt;"Gelir",$L1979=""),"",IFERROR(INDEX(MUSTERILER!$B$7:$B$156,MATCH($S1979,MUSTERILER!$T$7:$T$156,0)),""))</f>
        <v/>
      </c>
      <c r="U1979" s="1" t="str">
        <f>IF($T1979="","",$T1979&amp;"|"&amp;COUNTIFS($T$7:$T1979,$T1979))</f>
        <v/>
      </c>
      <c r="V1979" s="1">
        <f t="shared" si="248"/>
        <v>0</v>
      </c>
      <c r="W1979" s="1" t="str">
        <f t="shared" si="249"/>
        <v/>
      </c>
      <c r="X1979" s="1"/>
      <c r="Y1979" s="1"/>
      <c r="Z1979" s="1"/>
      <c r="AA1979" s="1"/>
      <c r="AB1979" s="1"/>
      <c r="AC1979" s="1"/>
      <c r="AD1979" s="1">
        <f>IF($C1979="",0,SUMPRODUCT((AY_SONU!$O$7:$O$42="Evet")*(AY_SONU!$B$7:$B$42=DATE(YEAR($C1979),MONTH($C1979),1))))</f>
        <v>0</v>
      </c>
      <c r="AE1979" s="1" t="str">
        <f>IF($E1979="","",$E1979&amp;"|"&amp;COUNTIFS($E$7:$E1979,$E1979))</f>
        <v/>
      </c>
    </row>
    <row r="1980" spans="1:31" ht="18" customHeight="1" x14ac:dyDescent="0.3">
      <c r="A1980" s="2"/>
      <c r="B1980" s="65" t="str">
        <f t="shared" si="242"/>
        <v/>
      </c>
      <c r="C1980" s="66"/>
      <c r="D1980" s="60"/>
      <c r="E1980" s="61"/>
      <c r="F1980" s="61"/>
      <c r="G1980" s="67"/>
      <c r="H1980" s="60"/>
      <c r="I1980" s="60"/>
      <c r="J1980" s="61"/>
      <c r="K1980" s="61"/>
      <c r="L1980" s="60"/>
      <c r="M1980" s="74" t="str">
        <f t="shared" si="243"/>
        <v/>
      </c>
      <c r="N1980" s="74" t="str">
        <f t="shared" si="244"/>
        <v/>
      </c>
      <c r="O1980" s="73" t="str">
        <f t="shared" si="245"/>
        <v/>
      </c>
      <c r="P1980" s="65" t="str">
        <f t="shared" ca="1" si="246"/>
        <v/>
      </c>
      <c r="Q1980" s="2"/>
      <c r="R1980" s="2"/>
      <c r="S1980" s="1" t="str">
        <f t="shared" si="247"/>
        <v/>
      </c>
      <c r="T1980" s="1" t="str">
        <f>IF(OR($C1980="",$D1980&lt;&gt;"Gelir",$L1980=""),"",IFERROR(INDEX(MUSTERILER!$B$7:$B$156,MATCH($S1980,MUSTERILER!$T$7:$T$156,0)),""))</f>
        <v/>
      </c>
      <c r="U1980" s="1" t="str">
        <f>IF($T1980="","",$T1980&amp;"|"&amp;COUNTIFS($T$7:$T1980,$T1980))</f>
        <v/>
      </c>
      <c r="V1980" s="1">
        <f t="shared" si="248"/>
        <v>0</v>
      </c>
      <c r="W1980" s="1" t="str">
        <f t="shared" si="249"/>
        <v/>
      </c>
      <c r="X1980" s="1"/>
      <c r="Y1980" s="1"/>
      <c r="Z1980" s="1"/>
      <c r="AA1980" s="1"/>
      <c r="AB1980" s="1"/>
      <c r="AC1980" s="1"/>
      <c r="AD1980" s="1">
        <f>IF($C1980="",0,SUMPRODUCT((AY_SONU!$O$7:$O$42="Evet")*(AY_SONU!$B$7:$B$42=DATE(YEAR($C1980),MONTH($C1980),1))))</f>
        <v>0</v>
      </c>
      <c r="AE1980" s="1" t="str">
        <f>IF($E1980="","",$E1980&amp;"|"&amp;COUNTIFS($E$7:$E1980,$E1980))</f>
        <v/>
      </c>
    </row>
    <row r="1981" spans="1:31" ht="18" customHeight="1" x14ac:dyDescent="0.3">
      <c r="A1981" s="2"/>
      <c r="B1981" s="65" t="str">
        <f t="shared" si="242"/>
        <v/>
      </c>
      <c r="C1981" s="66"/>
      <c r="D1981" s="60"/>
      <c r="E1981" s="61"/>
      <c r="F1981" s="61"/>
      <c r="G1981" s="67"/>
      <c r="H1981" s="60"/>
      <c r="I1981" s="60"/>
      <c r="J1981" s="61"/>
      <c r="K1981" s="61"/>
      <c r="L1981" s="60"/>
      <c r="M1981" s="74" t="str">
        <f t="shared" si="243"/>
        <v/>
      </c>
      <c r="N1981" s="74" t="str">
        <f t="shared" si="244"/>
        <v/>
      </c>
      <c r="O1981" s="73" t="str">
        <f t="shared" si="245"/>
        <v/>
      </c>
      <c r="P1981" s="65" t="str">
        <f t="shared" ca="1" si="246"/>
        <v/>
      </c>
      <c r="Q1981" s="2"/>
      <c r="R1981" s="2"/>
      <c r="S1981" s="1" t="str">
        <f t="shared" si="247"/>
        <v/>
      </c>
      <c r="T1981" s="1" t="str">
        <f>IF(OR($C1981="",$D1981&lt;&gt;"Gelir",$L1981=""),"",IFERROR(INDEX(MUSTERILER!$B$7:$B$156,MATCH($S1981,MUSTERILER!$T$7:$T$156,0)),""))</f>
        <v/>
      </c>
      <c r="U1981" s="1" t="str">
        <f>IF($T1981="","",$T1981&amp;"|"&amp;COUNTIFS($T$7:$T1981,$T1981))</f>
        <v/>
      </c>
      <c r="V1981" s="1">
        <f t="shared" si="248"/>
        <v>0</v>
      </c>
      <c r="W1981" s="1" t="str">
        <f t="shared" si="249"/>
        <v/>
      </c>
      <c r="X1981" s="1"/>
      <c r="Y1981" s="1"/>
      <c r="Z1981" s="1"/>
      <c r="AA1981" s="1"/>
      <c r="AB1981" s="1"/>
      <c r="AC1981" s="1"/>
      <c r="AD1981" s="1">
        <f>IF($C1981="",0,SUMPRODUCT((AY_SONU!$O$7:$O$42="Evet")*(AY_SONU!$B$7:$B$42=DATE(YEAR($C1981),MONTH($C1981),1))))</f>
        <v>0</v>
      </c>
      <c r="AE1981" s="1" t="str">
        <f>IF($E1981="","",$E1981&amp;"|"&amp;COUNTIFS($E$7:$E1981,$E1981))</f>
        <v/>
      </c>
    </row>
    <row r="1982" spans="1:31" ht="18" customHeight="1" x14ac:dyDescent="0.3">
      <c r="A1982" s="2"/>
      <c r="B1982" s="65" t="str">
        <f t="shared" si="242"/>
        <v/>
      </c>
      <c r="C1982" s="66"/>
      <c r="D1982" s="60"/>
      <c r="E1982" s="61"/>
      <c r="F1982" s="61"/>
      <c r="G1982" s="67"/>
      <c r="H1982" s="60"/>
      <c r="I1982" s="60"/>
      <c r="J1982" s="61"/>
      <c r="K1982" s="61"/>
      <c r="L1982" s="60"/>
      <c r="M1982" s="74" t="str">
        <f t="shared" si="243"/>
        <v/>
      </c>
      <c r="N1982" s="74" t="str">
        <f t="shared" si="244"/>
        <v/>
      </c>
      <c r="O1982" s="73" t="str">
        <f t="shared" si="245"/>
        <v/>
      </c>
      <c r="P1982" s="65" t="str">
        <f t="shared" ca="1" si="246"/>
        <v/>
      </c>
      <c r="Q1982" s="2"/>
      <c r="R1982" s="2"/>
      <c r="S1982" s="1" t="str">
        <f t="shared" si="247"/>
        <v/>
      </c>
      <c r="T1982" s="1" t="str">
        <f>IF(OR($C1982="",$D1982&lt;&gt;"Gelir",$L1982=""),"",IFERROR(INDEX(MUSTERILER!$B$7:$B$156,MATCH($S1982,MUSTERILER!$T$7:$T$156,0)),""))</f>
        <v/>
      </c>
      <c r="U1982" s="1" t="str">
        <f>IF($T1982="","",$T1982&amp;"|"&amp;COUNTIFS($T$7:$T1982,$T1982))</f>
        <v/>
      </c>
      <c r="V1982" s="1">
        <f t="shared" si="248"/>
        <v>0</v>
      </c>
      <c r="W1982" s="1" t="str">
        <f t="shared" si="249"/>
        <v/>
      </c>
      <c r="X1982" s="1"/>
      <c r="Y1982" s="1"/>
      <c r="Z1982" s="1"/>
      <c r="AA1982" s="1"/>
      <c r="AB1982" s="1"/>
      <c r="AC1982" s="1"/>
      <c r="AD1982" s="1">
        <f>IF($C1982="",0,SUMPRODUCT((AY_SONU!$O$7:$O$42="Evet")*(AY_SONU!$B$7:$B$42=DATE(YEAR($C1982),MONTH($C1982),1))))</f>
        <v>0</v>
      </c>
      <c r="AE1982" s="1" t="str">
        <f>IF($E1982="","",$E1982&amp;"|"&amp;COUNTIFS($E$7:$E1982,$E1982))</f>
        <v/>
      </c>
    </row>
    <row r="1983" spans="1:31" ht="18" customHeight="1" x14ac:dyDescent="0.3">
      <c r="A1983" s="2"/>
      <c r="B1983" s="65" t="str">
        <f t="shared" si="242"/>
        <v/>
      </c>
      <c r="C1983" s="66"/>
      <c r="D1983" s="60"/>
      <c r="E1983" s="61"/>
      <c r="F1983" s="61"/>
      <c r="G1983" s="67"/>
      <c r="H1983" s="60"/>
      <c r="I1983" s="60"/>
      <c r="J1983" s="61"/>
      <c r="K1983" s="61"/>
      <c r="L1983" s="60"/>
      <c r="M1983" s="74" t="str">
        <f t="shared" si="243"/>
        <v/>
      </c>
      <c r="N1983" s="74" t="str">
        <f t="shared" si="244"/>
        <v/>
      </c>
      <c r="O1983" s="73" t="str">
        <f t="shared" si="245"/>
        <v/>
      </c>
      <c r="P1983" s="65" t="str">
        <f t="shared" ca="1" si="246"/>
        <v/>
      </c>
      <c r="Q1983" s="2"/>
      <c r="R1983" s="2"/>
      <c r="S1983" s="1" t="str">
        <f t="shared" si="247"/>
        <v/>
      </c>
      <c r="T1983" s="1" t="str">
        <f>IF(OR($C1983="",$D1983&lt;&gt;"Gelir",$L1983=""),"",IFERROR(INDEX(MUSTERILER!$B$7:$B$156,MATCH($S1983,MUSTERILER!$T$7:$T$156,0)),""))</f>
        <v/>
      </c>
      <c r="U1983" s="1" t="str">
        <f>IF($T1983="","",$T1983&amp;"|"&amp;COUNTIFS($T$7:$T1983,$T1983))</f>
        <v/>
      </c>
      <c r="V1983" s="1">
        <f t="shared" si="248"/>
        <v>0</v>
      </c>
      <c r="W1983" s="1" t="str">
        <f t="shared" si="249"/>
        <v/>
      </c>
      <c r="X1983" s="1"/>
      <c r="Y1983" s="1"/>
      <c r="Z1983" s="1"/>
      <c r="AA1983" s="1"/>
      <c r="AB1983" s="1"/>
      <c r="AC1983" s="1"/>
      <c r="AD1983" s="1">
        <f>IF($C1983="",0,SUMPRODUCT((AY_SONU!$O$7:$O$42="Evet")*(AY_SONU!$B$7:$B$42=DATE(YEAR($C1983),MONTH($C1983),1))))</f>
        <v>0</v>
      </c>
      <c r="AE1983" s="1" t="str">
        <f>IF($E1983="","",$E1983&amp;"|"&amp;COUNTIFS($E$7:$E1983,$E1983))</f>
        <v/>
      </c>
    </row>
    <row r="1984" spans="1:31" ht="18" customHeight="1" x14ac:dyDescent="0.3">
      <c r="A1984" s="2"/>
      <c r="B1984" s="65" t="str">
        <f t="shared" si="242"/>
        <v/>
      </c>
      <c r="C1984" s="66"/>
      <c r="D1984" s="60"/>
      <c r="E1984" s="61"/>
      <c r="F1984" s="61"/>
      <c r="G1984" s="67"/>
      <c r="H1984" s="60"/>
      <c r="I1984" s="60"/>
      <c r="J1984" s="61"/>
      <c r="K1984" s="61"/>
      <c r="L1984" s="60"/>
      <c r="M1984" s="74" t="str">
        <f t="shared" si="243"/>
        <v/>
      </c>
      <c r="N1984" s="74" t="str">
        <f t="shared" si="244"/>
        <v/>
      </c>
      <c r="O1984" s="73" t="str">
        <f t="shared" si="245"/>
        <v/>
      </c>
      <c r="P1984" s="65" t="str">
        <f t="shared" ca="1" si="246"/>
        <v/>
      </c>
      <c r="Q1984" s="2"/>
      <c r="R1984" s="2"/>
      <c r="S1984" s="1" t="str">
        <f t="shared" si="247"/>
        <v/>
      </c>
      <c r="T1984" s="1" t="str">
        <f>IF(OR($C1984="",$D1984&lt;&gt;"Gelir",$L1984=""),"",IFERROR(INDEX(MUSTERILER!$B$7:$B$156,MATCH($S1984,MUSTERILER!$T$7:$T$156,0)),""))</f>
        <v/>
      </c>
      <c r="U1984" s="1" t="str">
        <f>IF($T1984="","",$T1984&amp;"|"&amp;COUNTIFS($T$7:$T1984,$T1984))</f>
        <v/>
      </c>
      <c r="V1984" s="1">
        <f t="shared" si="248"/>
        <v>0</v>
      </c>
      <c r="W1984" s="1" t="str">
        <f t="shared" si="249"/>
        <v/>
      </c>
      <c r="X1984" s="1"/>
      <c r="Y1984" s="1"/>
      <c r="Z1984" s="1"/>
      <c r="AA1984" s="1"/>
      <c r="AB1984" s="1"/>
      <c r="AC1984" s="1"/>
      <c r="AD1984" s="1">
        <f>IF($C1984="",0,SUMPRODUCT((AY_SONU!$O$7:$O$42="Evet")*(AY_SONU!$B$7:$B$42=DATE(YEAR($C1984),MONTH($C1984),1))))</f>
        <v>0</v>
      </c>
      <c r="AE1984" s="1" t="str">
        <f>IF($E1984="","",$E1984&amp;"|"&amp;COUNTIFS($E$7:$E1984,$E1984))</f>
        <v/>
      </c>
    </row>
    <row r="1985" spans="1:31" ht="18" customHeight="1" x14ac:dyDescent="0.3">
      <c r="A1985" s="2"/>
      <c r="B1985" s="65" t="str">
        <f t="shared" si="242"/>
        <v/>
      </c>
      <c r="C1985" s="66"/>
      <c r="D1985" s="60"/>
      <c r="E1985" s="61"/>
      <c r="F1985" s="61"/>
      <c r="G1985" s="67"/>
      <c r="H1985" s="60"/>
      <c r="I1985" s="60"/>
      <c r="J1985" s="61"/>
      <c r="K1985" s="61"/>
      <c r="L1985" s="60"/>
      <c r="M1985" s="74" t="str">
        <f t="shared" si="243"/>
        <v/>
      </c>
      <c r="N1985" s="74" t="str">
        <f t="shared" si="244"/>
        <v/>
      </c>
      <c r="O1985" s="73" t="str">
        <f t="shared" si="245"/>
        <v/>
      </c>
      <c r="P1985" s="65" t="str">
        <f t="shared" ca="1" si="246"/>
        <v/>
      </c>
      <c r="Q1985" s="2"/>
      <c r="R1985" s="2"/>
      <c r="S1985" s="1" t="str">
        <f t="shared" si="247"/>
        <v/>
      </c>
      <c r="T1985" s="1" t="str">
        <f>IF(OR($C1985="",$D1985&lt;&gt;"Gelir",$L1985=""),"",IFERROR(INDEX(MUSTERILER!$B$7:$B$156,MATCH($S1985,MUSTERILER!$T$7:$T$156,0)),""))</f>
        <v/>
      </c>
      <c r="U1985" s="1" t="str">
        <f>IF($T1985="","",$T1985&amp;"|"&amp;COUNTIFS($T$7:$T1985,$T1985))</f>
        <v/>
      </c>
      <c r="V1985" s="1">
        <f t="shared" si="248"/>
        <v>0</v>
      </c>
      <c r="W1985" s="1" t="str">
        <f t="shared" si="249"/>
        <v/>
      </c>
      <c r="X1985" s="1"/>
      <c r="Y1985" s="1"/>
      <c r="Z1985" s="1"/>
      <c r="AA1985" s="1"/>
      <c r="AB1985" s="1"/>
      <c r="AC1985" s="1"/>
      <c r="AD1985" s="1">
        <f>IF($C1985="",0,SUMPRODUCT((AY_SONU!$O$7:$O$42="Evet")*(AY_SONU!$B$7:$B$42=DATE(YEAR($C1985),MONTH($C1985),1))))</f>
        <v>0</v>
      </c>
      <c r="AE1985" s="1" t="str">
        <f>IF($E1985="","",$E1985&amp;"|"&amp;COUNTIFS($E$7:$E1985,$E1985))</f>
        <v/>
      </c>
    </row>
    <row r="1986" spans="1:31" ht="18" customHeight="1" x14ac:dyDescent="0.3">
      <c r="A1986" s="2"/>
      <c r="B1986" s="65" t="str">
        <f t="shared" si="242"/>
        <v/>
      </c>
      <c r="C1986" s="66"/>
      <c r="D1986" s="60"/>
      <c r="E1986" s="61"/>
      <c r="F1986" s="61"/>
      <c r="G1986" s="67"/>
      <c r="H1986" s="60"/>
      <c r="I1986" s="60"/>
      <c r="J1986" s="61"/>
      <c r="K1986" s="61"/>
      <c r="L1986" s="60"/>
      <c r="M1986" s="74" t="str">
        <f t="shared" si="243"/>
        <v/>
      </c>
      <c r="N1986" s="74" t="str">
        <f t="shared" si="244"/>
        <v/>
      </c>
      <c r="O1986" s="73" t="str">
        <f t="shared" si="245"/>
        <v/>
      </c>
      <c r="P1986" s="65" t="str">
        <f t="shared" ca="1" si="246"/>
        <v/>
      </c>
      <c r="Q1986" s="2"/>
      <c r="R1986" s="2"/>
      <c r="S1986" s="1" t="str">
        <f t="shared" si="247"/>
        <v/>
      </c>
      <c r="T1986" s="1" t="str">
        <f>IF(OR($C1986="",$D1986&lt;&gt;"Gelir",$L1986=""),"",IFERROR(INDEX(MUSTERILER!$B$7:$B$156,MATCH($S1986,MUSTERILER!$T$7:$T$156,0)),""))</f>
        <v/>
      </c>
      <c r="U1986" s="1" t="str">
        <f>IF($T1986="","",$T1986&amp;"|"&amp;COUNTIFS($T$7:$T1986,$T1986))</f>
        <v/>
      </c>
      <c r="V1986" s="1">
        <f t="shared" si="248"/>
        <v>0</v>
      </c>
      <c r="W1986" s="1" t="str">
        <f t="shared" si="249"/>
        <v/>
      </c>
      <c r="X1986" s="1"/>
      <c r="Y1986" s="1"/>
      <c r="Z1986" s="1"/>
      <c r="AA1986" s="1"/>
      <c r="AB1986" s="1"/>
      <c r="AC1986" s="1"/>
      <c r="AD1986" s="1">
        <f>IF($C1986="",0,SUMPRODUCT((AY_SONU!$O$7:$O$42="Evet")*(AY_SONU!$B$7:$B$42=DATE(YEAR($C1986),MONTH($C1986),1))))</f>
        <v>0</v>
      </c>
      <c r="AE1986" s="1" t="str">
        <f>IF($E1986="","",$E1986&amp;"|"&amp;COUNTIFS($E$7:$E1986,$E1986))</f>
        <v/>
      </c>
    </row>
    <row r="1987" spans="1:31" ht="18" customHeight="1" x14ac:dyDescent="0.3">
      <c r="A1987" s="2"/>
      <c r="B1987" s="65" t="str">
        <f t="shared" si="242"/>
        <v/>
      </c>
      <c r="C1987" s="66"/>
      <c r="D1987" s="60"/>
      <c r="E1987" s="61"/>
      <c r="F1987" s="61"/>
      <c r="G1987" s="67"/>
      <c r="H1987" s="60"/>
      <c r="I1987" s="60"/>
      <c r="J1987" s="61"/>
      <c r="K1987" s="61"/>
      <c r="L1987" s="60"/>
      <c r="M1987" s="74" t="str">
        <f t="shared" si="243"/>
        <v/>
      </c>
      <c r="N1987" s="74" t="str">
        <f t="shared" si="244"/>
        <v/>
      </c>
      <c r="O1987" s="73" t="str">
        <f t="shared" si="245"/>
        <v/>
      </c>
      <c r="P1987" s="65" t="str">
        <f t="shared" ca="1" si="246"/>
        <v/>
      </c>
      <c r="Q1987" s="2"/>
      <c r="R1987" s="2"/>
      <c r="S1987" s="1" t="str">
        <f t="shared" si="247"/>
        <v/>
      </c>
      <c r="T1987" s="1" t="str">
        <f>IF(OR($C1987="",$D1987&lt;&gt;"Gelir",$L1987=""),"",IFERROR(INDEX(MUSTERILER!$B$7:$B$156,MATCH($S1987,MUSTERILER!$T$7:$T$156,0)),""))</f>
        <v/>
      </c>
      <c r="U1987" s="1" t="str">
        <f>IF($T1987="","",$T1987&amp;"|"&amp;COUNTIFS($T$7:$T1987,$T1987))</f>
        <v/>
      </c>
      <c r="V1987" s="1">
        <f t="shared" si="248"/>
        <v>0</v>
      </c>
      <c r="W1987" s="1" t="str">
        <f t="shared" si="249"/>
        <v/>
      </c>
      <c r="X1987" s="1"/>
      <c r="Y1987" s="1"/>
      <c r="Z1987" s="1"/>
      <c r="AA1987" s="1"/>
      <c r="AB1987" s="1"/>
      <c r="AC1987" s="1"/>
      <c r="AD1987" s="1">
        <f>IF($C1987="",0,SUMPRODUCT((AY_SONU!$O$7:$O$42="Evet")*(AY_SONU!$B$7:$B$42=DATE(YEAR($C1987),MONTH($C1987),1))))</f>
        <v>0</v>
      </c>
      <c r="AE1987" s="1" t="str">
        <f>IF($E1987="","",$E1987&amp;"|"&amp;COUNTIFS($E$7:$E1987,$E1987))</f>
        <v/>
      </c>
    </row>
    <row r="1988" spans="1:31" ht="18" customHeight="1" x14ac:dyDescent="0.3">
      <c r="A1988" s="2"/>
      <c r="B1988" s="65" t="str">
        <f t="shared" si="242"/>
        <v/>
      </c>
      <c r="C1988" s="66"/>
      <c r="D1988" s="60"/>
      <c r="E1988" s="61"/>
      <c r="F1988" s="61"/>
      <c r="G1988" s="67"/>
      <c r="H1988" s="60"/>
      <c r="I1988" s="60"/>
      <c r="J1988" s="61"/>
      <c r="K1988" s="61"/>
      <c r="L1988" s="60"/>
      <c r="M1988" s="74" t="str">
        <f t="shared" si="243"/>
        <v/>
      </c>
      <c r="N1988" s="74" t="str">
        <f t="shared" si="244"/>
        <v/>
      </c>
      <c r="O1988" s="73" t="str">
        <f t="shared" si="245"/>
        <v/>
      </c>
      <c r="P1988" s="65" t="str">
        <f t="shared" ca="1" si="246"/>
        <v/>
      </c>
      <c r="Q1988" s="2"/>
      <c r="R1988" s="2"/>
      <c r="S1988" s="1" t="str">
        <f t="shared" si="247"/>
        <v/>
      </c>
      <c r="T1988" s="1" t="str">
        <f>IF(OR($C1988="",$D1988&lt;&gt;"Gelir",$L1988=""),"",IFERROR(INDEX(MUSTERILER!$B$7:$B$156,MATCH($S1988,MUSTERILER!$T$7:$T$156,0)),""))</f>
        <v/>
      </c>
      <c r="U1988" s="1" t="str">
        <f>IF($T1988="","",$T1988&amp;"|"&amp;COUNTIFS($T$7:$T1988,$T1988))</f>
        <v/>
      </c>
      <c r="V1988" s="1">
        <f t="shared" si="248"/>
        <v>0</v>
      </c>
      <c r="W1988" s="1" t="str">
        <f t="shared" si="249"/>
        <v/>
      </c>
      <c r="X1988" s="1"/>
      <c r="Y1988" s="1"/>
      <c r="Z1988" s="1"/>
      <c r="AA1988" s="1"/>
      <c r="AB1988" s="1"/>
      <c r="AC1988" s="1"/>
      <c r="AD1988" s="1">
        <f>IF($C1988="",0,SUMPRODUCT((AY_SONU!$O$7:$O$42="Evet")*(AY_SONU!$B$7:$B$42=DATE(YEAR($C1988),MONTH($C1988),1))))</f>
        <v>0</v>
      </c>
      <c r="AE1988" s="1" t="str">
        <f>IF($E1988="","",$E1988&amp;"|"&amp;COUNTIFS($E$7:$E1988,$E1988))</f>
        <v/>
      </c>
    </row>
    <row r="1989" spans="1:31" ht="18" customHeight="1" x14ac:dyDescent="0.3">
      <c r="A1989" s="2"/>
      <c r="B1989" s="65" t="str">
        <f t="shared" si="242"/>
        <v/>
      </c>
      <c r="C1989" s="66"/>
      <c r="D1989" s="60"/>
      <c r="E1989" s="61"/>
      <c r="F1989" s="61"/>
      <c r="G1989" s="67"/>
      <c r="H1989" s="60"/>
      <c r="I1989" s="60"/>
      <c r="J1989" s="61"/>
      <c r="K1989" s="61"/>
      <c r="L1989" s="60"/>
      <c r="M1989" s="74" t="str">
        <f t="shared" si="243"/>
        <v/>
      </c>
      <c r="N1989" s="74" t="str">
        <f t="shared" si="244"/>
        <v/>
      </c>
      <c r="O1989" s="73" t="str">
        <f t="shared" si="245"/>
        <v/>
      </c>
      <c r="P1989" s="65" t="str">
        <f t="shared" ca="1" si="246"/>
        <v/>
      </c>
      <c r="Q1989" s="2"/>
      <c r="R1989" s="2"/>
      <c r="S1989" s="1" t="str">
        <f t="shared" si="247"/>
        <v/>
      </c>
      <c r="T1989" s="1" t="str">
        <f>IF(OR($C1989="",$D1989&lt;&gt;"Gelir",$L1989=""),"",IFERROR(INDEX(MUSTERILER!$B$7:$B$156,MATCH($S1989,MUSTERILER!$T$7:$T$156,0)),""))</f>
        <v/>
      </c>
      <c r="U1989" s="1" t="str">
        <f>IF($T1989="","",$T1989&amp;"|"&amp;COUNTIFS($T$7:$T1989,$T1989))</f>
        <v/>
      </c>
      <c r="V1989" s="1">
        <f t="shared" si="248"/>
        <v>0</v>
      </c>
      <c r="W1989" s="1" t="str">
        <f t="shared" si="249"/>
        <v/>
      </c>
      <c r="X1989" s="1"/>
      <c r="Y1989" s="1"/>
      <c r="Z1989" s="1"/>
      <c r="AA1989" s="1"/>
      <c r="AB1989" s="1"/>
      <c r="AC1989" s="1"/>
      <c r="AD1989" s="1">
        <f>IF($C1989="",0,SUMPRODUCT((AY_SONU!$O$7:$O$42="Evet")*(AY_SONU!$B$7:$B$42=DATE(YEAR($C1989),MONTH($C1989),1))))</f>
        <v>0</v>
      </c>
      <c r="AE1989" s="1" t="str">
        <f>IF($E1989="","",$E1989&amp;"|"&amp;COUNTIFS($E$7:$E1989,$E1989))</f>
        <v/>
      </c>
    </row>
    <row r="1990" spans="1:31" ht="18" customHeight="1" x14ac:dyDescent="0.3">
      <c r="A1990" s="2"/>
      <c r="B1990" s="65" t="str">
        <f t="shared" si="242"/>
        <v/>
      </c>
      <c r="C1990" s="66"/>
      <c r="D1990" s="60"/>
      <c r="E1990" s="61"/>
      <c r="F1990" s="61"/>
      <c r="G1990" s="67"/>
      <c r="H1990" s="60"/>
      <c r="I1990" s="60"/>
      <c r="J1990" s="61"/>
      <c r="K1990" s="61"/>
      <c r="L1990" s="60"/>
      <c r="M1990" s="74" t="str">
        <f t="shared" si="243"/>
        <v/>
      </c>
      <c r="N1990" s="74" t="str">
        <f t="shared" si="244"/>
        <v/>
      </c>
      <c r="O1990" s="73" t="str">
        <f t="shared" si="245"/>
        <v/>
      </c>
      <c r="P1990" s="65" t="str">
        <f t="shared" ca="1" si="246"/>
        <v/>
      </c>
      <c r="Q1990" s="2"/>
      <c r="R1990" s="2"/>
      <c r="S1990" s="1" t="str">
        <f t="shared" si="247"/>
        <v/>
      </c>
      <c r="T1990" s="1" t="str">
        <f>IF(OR($C1990="",$D1990&lt;&gt;"Gelir",$L1990=""),"",IFERROR(INDEX(MUSTERILER!$B$7:$B$156,MATCH($S1990,MUSTERILER!$T$7:$T$156,0)),""))</f>
        <v/>
      </c>
      <c r="U1990" s="1" t="str">
        <f>IF($T1990="","",$T1990&amp;"|"&amp;COUNTIFS($T$7:$T1990,$T1990))</f>
        <v/>
      </c>
      <c r="V1990" s="1">
        <f t="shared" si="248"/>
        <v>0</v>
      </c>
      <c r="W1990" s="1" t="str">
        <f t="shared" si="249"/>
        <v/>
      </c>
      <c r="X1990" s="1"/>
      <c r="Y1990" s="1"/>
      <c r="Z1990" s="1"/>
      <c r="AA1990" s="1"/>
      <c r="AB1990" s="1"/>
      <c r="AC1990" s="1"/>
      <c r="AD1990" s="1">
        <f>IF($C1990="",0,SUMPRODUCT((AY_SONU!$O$7:$O$42="Evet")*(AY_SONU!$B$7:$B$42=DATE(YEAR($C1990),MONTH($C1990),1))))</f>
        <v>0</v>
      </c>
      <c r="AE1990" s="1" t="str">
        <f>IF($E1990="","",$E1990&amp;"|"&amp;COUNTIFS($E$7:$E1990,$E1990))</f>
        <v/>
      </c>
    </row>
    <row r="1991" spans="1:31" ht="18" customHeight="1" x14ac:dyDescent="0.3">
      <c r="A1991" s="2"/>
      <c r="B1991" s="65" t="str">
        <f t="shared" ref="B1991:B2054" si="250">IF($C1991="","","GG"&amp;TEXT(ROW()-6,"00000"))</f>
        <v/>
      </c>
      <c r="C1991" s="66"/>
      <c r="D1991" s="60"/>
      <c r="E1991" s="61"/>
      <c r="F1991" s="61"/>
      <c r="G1991" s="67"/>
      <c r="H1991" s="60"/>
      <c r="I1991" s="60"/>
      <c r="J1991" s="61"/>
      <c r="K1991" s="61"/>
      <c r="L1991" s="60"/>
      <c r="M1991" s="74" t="str">
        <f t="shared" ref="M1991:M2054" si="251">IF($C1991="","",IF($D1991="Gider",$E1991,IF($L1991&lt;&gt;"",$L1991,$H1991)))</f>
        <v/>
      </c>
      <c r="N1991" s="74" t="str">
        <f t="shared" ref="N1991:N2054" si="252">IF($C1991="","",IF($D1991="Gider",$H1991,$E1991))</f>
        <v/>
      </c>
      <c r="O1991" s="73" t="str">
        <f t="shared" ref="O1991:O2054" si="253">IF($C1991="","",DATE(YEAR($C1991),MONTH($C1991),1))</f>
        <v/>
      </c>
      <c r="P1991" s="65" t="str">
        <f t="shared" ref="P1991:P2054" ca="1" si="254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TARİH",IF(COUNTIF($W$7:$W$3006,$W1991)&gt;1,"MÜKERRER?",IF($AD1991&gt;0,"KAPALI DÖNEM",IF($I1991="Hayır","ÖDENECEK","UYGUN")))),"EKSİK"))))</f>
        <v/>
      </c>
      <c r="Q1991" s="2"/>
      <c r="R1991" s="2"/>
      <c r="S1991" s="1" t="str">
        <f t="shared" ref="S1991:S2054" si="255"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1" t="str">
        <f>IF(OR($C1991="",$D1991&lt;&gt;"Gelir",$L1991=""),"",IFERROR(INDEX(MUSTERILER!$B$7:$B$156,MATCH($S1991,MUSTERILER!$T$7:$T$156,0)),""))</f>
        <v/>
      </c>
      <c r="U1991" s="1" t="str">
        <f>IF($T1991="","",$T1991&amp;"|"&amp;COUNTIFS($T$7:$T1991,$T1991))</f>
        <v/>
      </c>
      <c r="V1991" s="1">
        <f t="shared" ref="V1991:V2054" si="256">IF($T1991="",0,1)</f>
        <v>0</v>
      </c>
      <c r="W1991" s="1" t="str">
        <f t="shared" ref="W1991:W2054" si="257">IF($C1991="","",$D1991&amp;"|"&amp;$E1991&amp;"|"&amp;TEXT($C1991,"0")&amp;"|"&amp;TEXT($G1991,"0")&amp;"|"&amp;$J1991)</f>
        <v/>
      </c>
      <c r="X1991" s="1"/>
      <c r="Y1991" s="1"/>
      <c r="Z1991" s="1"/>
      <c r="AA1991" s="1"/>
      <c r="AB1991" s="1"/>
      <c r="AC1991" s="1"/>
      <c r="AD1991" s="1">
        <f>IF($C1991="",0,SUMPRODUCT((AY_SONU!$O$7:$O$42="Evet")*(AY_SONU!$B$7:$B$42=DATE(YEAR($C1991),MONTH($C1991),1))))</f>
        <v>0</v>
      </c>
      <c r="AE1991" s="1" t="str">
        <f>IF($E1991="","",$E1991&amp;"|"&amp;COUNTIFS($E$7:$E1991,$E1991))</f>
        <v/>
      </c>
    </row>
    <row r="1992" spans="1:31" ht="18" customHeight="1" x14ac:dyDescent="0.3">
      <c r="A1992" s="2"/>
      <c r="B1992" s="65" t="str">
        <f t="shared" si="250"/>
        <v/>
      </c>
      <c r="C1992" s="66"/>
      <c r="D1992" s="60"/>
      <c r="E1992" s="61"/>
      <c r="F1992" s="61"/>
      <c r="G1992" s="67"/>
      <c r="H1992" s="60"/>
      <c r="I1992" s="60"/>
      <c r="J1992" s="61"/>
      <c r="K1992" s="61"/>
      <c r="L1992" s="60"/>
      <c r="M1992" s="74" t="str">
        <f t="shared" si="251"/>
        <v/>
      </c>
      <c r="N1992" s="74" t="str">
        <f t="shared" si="252"/>
        <v/>
      </c>
      <c r="O1992" s="73" t="str">
        <f t="shared" si="253"/>
        <v/>
      </c>
      <c r="P1992" s="65" t="str">
        <f t="shared" ca="1" si="254"/>
        <v/>
      </c>
      <c r="Q1992" s="2"/>
      <c r="R1992" s="2"/>
      <c r="S1992" s="1" t="str">
        <f t="shared" si="255"/>
        <v/>
      </c>
      <c r="T1992" s="1" t="str">
        <f>IF(OR($C1992="",$D1992&lt;&gt;"Gelir",$L1992=""),"",IFERROR(INDEX(MUSTERILER!$B$7:$B$156,MATCH($S1992,MUSTERILER!$T$7:$T$156,0)),""))</f>
        <v/>
      </c>
      <c r="U1992" s="1" t="str">
        <f>IF($T1992="","",$T1992&amp;"|"&amp;COUNTIFS($T$7:$T1992,$T1992))</f>
        <v/>
      </c>
      <c r="V1992" s="1">
        <f t="shared" si="256"/>
        <v>0</v>
      </c>
      <c r="W1992" s="1" t="str">
        <f t="shared" si="257"/>
        <v/>
      </c>
      <c r="X1992" s="1"/>
      <c r="Y1992" s="1"/>
      <c r="Z1992" s="1"/>
      <c r="AA1992" s="1"/>
      <c r="AB1992" s="1"/>
      <c r="AC1992" s="1"/>
      <c r="AD1992" s="1">
        <f>IF($C1992="",0,SUMPRODUCT((AY_SONU!$O$7:$O$42="Evet")*(AY_SONU!$B$7:$B$42=DATE(YEAR($C1992),MONTH($C1992),1))))</f>
        <v>0</v>
      </c>
      <c r="AE1992" s="1" t="str">
        <f>IF($E1992="","",$E1992&amp;"|"&amp;COUNTIFS($E$7:$E1992,$E1992))</f>
        <v/>
      </c>
    </row>
    <row r="1993" spans="1:31" ht="18" customHeight="1" x14ac:dyDescent="0.3">
      <c r="A1993" s="2"/>
      <c r="B1993" s="65" t="str">
        <f t="shared" si="250"/>
        <v/>
      </c>
      <c r="C1993" s="66"/>
      <c r="D1993" s="60"/>
      <c r="E1993" s="61"/>
      <c r="F1993" s="61"/>
      <c r="G1993" s="67"/>
      <c r="H1993" s="60"/>
      <c r="I1993" s="60"/>
      <c r="J1993" s="61"/>
      <c r="K1993" s="61"/>
      <c r="L1993" s="60"/>
      <c r="M1993" s="74" t="str">
        <f t="shared" si="251"/>
        <v/>
      </c>
      <c r="N1993" s="74" t="str">
        <f t="shared" si="252"/>
        <v/>
      </c>
      <c r="O1993" s="73" t="str">
        <f t="shared" si="253"/>
        <v/>
      </c>
      <c r="P1993" s="65" t="str">
        <f t="shared" ca="1" si="254"/>
        <v/>
      </c>
      <c r="Q1993" s="2"/>
      <c r="R1993" s="2"/>
      <c r="S1993" s="1" t="str">
        <f t="shared" si="255"/>
        <v/>
      </c>
      <c r="T1993" s="1" t="str">
        <f>IF(OR($C1993="",$D1993&lt;&gt;"Gelir",$L1993=""),"",IFERROR(INDEX(MUSTERILER!$B$7:$B$156,MATCH($S1993,MUSTERILER!$T$7:$T$156,0)),""))</f>
        <v/>
      </c>
      <c r="U1993" s="1" t="str">
        <f>IF($T1993="","",$T1993&amp;"|"&amp;COUNTIFS($T$7:$T1993,$T1993))</f>
        <v/>
      </c>
      <c r="V1993" s="1">
        <f t="shared" si="256"/>
        <v>0</v>
      </c>
      <c r="W1993" s="1" t="str">
        <f t="shared" si="257"/>
        <v/>
      </c>
      <c r="X1993" s="1"/>
      <c r="Y1993" s="1"/>
      <c r="Z1993" s="1"/>
      <c r="AA1993" s="1"/>
      <c r="AB1993" s="1"/>
      <c r="AC1993" s="1"/>
      <c r="AD1993" s="1">
        <f>IF($C1993="",0,SUMPRODUCT((AY_SONU!$O$7:$O$42="Evet")*(AY_SONU!$B$7:$B$42=DATE(YEAR($C1993),MONTH($C1993),1))))</f>
        <v>0</v>
      </c>
      <c r="AE1993" s="1" t="str">
        <f>IF($E1993="","",$E1993&amp;"|"&amp;COUNTIFS($E$7:$E1993,$E1993))</f>
        <v/>
      </c>
    </row>
    <row r="1994" spans="1:31" ht="18" customHeight="1" x14ac:dyDescent="0.3">
      <c r="A1994" s="2"/>
      <c r="B1994" s="65" t="str">
        <f t="shared" si="250"/>
        <v/>
      </c>
      <c r="C1994" s="66"/>
      <c r="D1994" s="60"/>
      <c r="E1994" s="61"/>
      <c r="F1994" s="61"/>
      <c r="G1994" s="67"/>
      <c r="H1994" s="60"/>
      <c r="I1994" s="60"/>
      <c r="J1994" s="61"/>
      <c r="K1994" s="61"/>
      <c r="L1994" s="60"/>
      <c r="M1994" s="74" t="str">
        <f t="shared" si="251"/>
        <v/>
      </c>
      <c r="N1994" s="74" t="str">
        <f t="shared" si="252"/>
        <v/>
      </c>
      <c r="O1994" s="73" t="str">
        <f t="shared" si="253"/>
        <v/>
      </c>
      <c r="P1994" s="65" t="str">
        <f t="shared" ca="1" si="254"/>
        <v/>
      </c>
      <c r="Q1994" s="2"/>
      <c r="R1994" s="2"/>
      <c r="S1994" s="1" t="str">
        <f t="shared" si="255"/>
        <v/>
      </c>
      <c r="T1994" s="1" t="str">
        <f>IF(OR($C1994="",$D1994&lt;&gt;"Gelir",$L1994=""),"",IFERROR(INDEX(MUSTERILER!$B$7:$B$156,MATCH($S1994,MUSTERILER!$T$7:$T$156,0)),""))</f>
        <v/>
      </c>
      <c r="U1994" s="1" t="str">
        <f>IF($T1994="","",$T1994&amp;"|"&amp;COUNTIFS($T$7:$T1994,$T1994))</f>
        <v/>
      </c>
      <c r="V1994" s="1">
        <f t="shared" si="256"/>
        <v>0</v>
      </c>
      <c r="W1994" s="1" t="str">
        <f t="shared" si="257"/>
        <v/>
      </c>
      <c r="X1994" s="1"/>
      <c r="Y1994" s="1"/>
      <c r="Z1994" s="1"/>
      <c r="AA1994" s="1"/>
      <c r="AB1994" s="1"/>
      <c r="AC1994" s="1"/>
      <c r="AD1994" s="1">
        <f>IF($C1994="",0,SUMPRODUCT((AY_SONU!$O$7:$O$42="Evet")*(AY_SONU!$B$7:$B$42=DATE(YEAR($C1994),MONTH($C1994),1))))</f>
        <v>0</v>
      </c>
      <c r="AE1994" s="1" t="str">
        <f>IF($E1994="","",$E1994&amp;"|"&amp;COUNTIFS($E$7:$E1994,$E1994))</f>
        <v/>
      </c>
    </row>
    <row r="1995" spans="1:31" ht="18" customHeight="1" x14ac:dyDescent="0.3">
      <c r="A1995" s="2"/>
      <c r="B1995" s="65" t="str">
        <f t="shared" si="250"/>
        <v/>
      </c>
      <c r="C1995" s="66"/>
      <c r="D1995" s="60"/>
      <c r="E1995" s="61"/>
      <c r="F1995" s="61"/>
      <c r="G1995" s="67"/>
      <c r="H1995" s="60"/>
      <c r="I1995" s="60"/>
      <c r="J1995" s="61"/>
      <c r="K1995" s="61"/>
      <c r="L1995" s="60"/>
      <c r="M1995" s="74" t="str">
        <f t="shared" si="251"/>
        <v/>
      </c>
      <c r="N1995" s="74" t="str">
        <f t="shared" si="252"/>
        <v/>
      </c>
      <c r="O1995" s="73" t="str">
        <f t="shared" si="253"/>
        <v/>
      </c>
      <c r="P1995" s="65" t="str">
        <f t="shared" ca="1" si="254"/>
        <v/>
      </c>
      <c r="Q1995" s="2"/>
      <c r="R1995" s="2"/>
      <c r="S1995" s="1" t="str">
        <f t="shared" si="255"/>
        <v/>
      </c>
      <c r="T1995" s="1" t="str">
        <f>IF(OR($C1995="",$D1995&lt;&gt;"Gelir",$L1995=""),"",IFERROR(INDEX(MUSTERILER!$B$7:$B$156,MATCH($S1995,MUSTERILER!$T$7:$T$156,0)),""))</f>
        <v/>
      </c>
      <c r="U1995" s="1" t="str">
        <f>IF($T1995="","",$T1995&amp;"|"&amp;COUNTIFS($T$7:$T1995,$T1995))</f>
        <v/>
      </c>
      <c r="V1995" s="1">
        <f t="shared" si="256"/>
        <v>0</v>
      </c>
      <c r="W1995" s="1" t="str">
        <f t="shared" si="257"/>
        <v/>
      </c>
      <c r="X1995" s="1"/>
      <c r="Y1995" s="1"/>
      <c r="Z1995" s="1"/>
      <c r="AA1995" s="1"/>
      <c r="AB1995" s="1"/>
      <c r="AC1995" s="1"/>
      <c r="AD1995" s="1">
        <f>IF($C1995="",0,SUMPRODUCT((AY_SONU!$O$7:$O$42="Evet")*(AY_SONU!$B$7:$B$42=DATE(YEAR($C1995),MONTH($C1995),1))))</f>
        <v>0</v>
      </c>
      <c r="AE1995" s="1" t="str">
        <f>IF($E1995="","",$E1995&amp;"|"&amp;COUNTIFS($E$7:$E1995,$E1995))</f>
        <v/>
      </c>
    </row>
    <row r="1996" spans="1:31" ht="18" customHeight="1" x14ac:dyDescent="0.3">
      <c r="A1996" s="2"/>
      <c r="B1996" s="65" t="str">
        <f t="shared" si="250"/>
        <v/>
      </c>
      <c r="C1996" s="66"/>
      <c r="D1996" s="60"/>
      <c r="E1996" s="61"/>
      <c r="F1996" s="61"/>
      <c r="G1996" s="67"/>
      <c r="H1996" s="60"/>
      <c r="I1996" s="60"/>
      <c r="J1996" s="61"/>
      <c r="K1996" s="61"/>
      <c r="L1996" s="60"/>
      <c r="M1996" s="74" t="str">
        <f t="shared" si="251"/>
        <v/>
      </c>
      <c r="N1996" s="74" t="str">
        <f t="shared" si="252"/>
        <v/>
      </c>
      <c r="O1996" s="73" t="str">
        <f t="shared" si="253"/>
        <v/>
      </c>
      <c r="P1996" s="65" t="str">
        <f t="shared" ca="1" si="254"/>
        <v/>
      </c>
      <c r="Q1996" s="2"/>
      <c r="R1996" s="2"/>
      <c r="S1996" s="1" t="str">
        <f t="shared" si="255"/>
        <v/>
      </c>
      <c r="T1996" s="1" t="str">
        <f>IF(OR($C1996="",$D1996&lt;&gt;"Gelir",$L1996=""),"",IFERROR(INDEX(MUSTERILER!$B$7:$B$156,MATCH($S1996,MUSTERILER!$T$7:$T$156,0)),""))</f>
        <v/>
      </c>
      <c r="U1996" s="1" t="str">
        <f>IF($T1996="","",$T1996&amp;"|"&amp;COUNTIFS($T$7:$T1996,$T1996))</f>
        <v/>
      </c>
      <c r="V1996" s="1">
        <f t="shared" si="256"/>
        <v>0</v>
      </c>
      <c r="W1996" s="1" t="str">
        <f t="shared" si="257"/>
        <v/>
      </c>
      <c r="X1996" s="1"/>
      <c r="Y1996" s="1"/>
      <c r="Z1996" s="1"/>
      <c r="AA1996" s="1"/>
      <c r="AB1996" s="1"/>
      <c r="AC1996" s="1"/>
      <c r="AD1996" s="1">
        <f>IF($C1996="",0,SUMPRODUCT((AY_SONU!$O$7:$O$42="Evet")*(AY_SONU!$B$7:$B$42=DATE(YEAR($C1996),MONTH($C1996),1))))</f>
        <v>0</v>
      </c>
      <c r="AE1996" s="1" t="str">
        <f>IF($E1996="","",$E1996&amp;"|"&amp;COUNTIFS($E$7:$E1996,$E1996))</f>
        <v/>
      </c>
    </row>
    <row r="1997" spans="1:31" ht="18" customHeight="1" x14ac:dyDescent="0.3">
      <c r="A1997" s="2"/>
      <c r="B1997" s="65" t="str">
        <f t="shared" si="250"/>
        <v/>
      </c>
      <c r="C1997" s="66"/>
      <c r="D1997" s="60"/>
      <c r="E1997" s="61"/>
      <c r="F1997" s="61"/>
      <c r="G1997" s="67"/>
      <c r="H1997" s="60"/>
      <c r="I1997" s="60"/>
      <c r="J1997" s="61"/>
      <c r="K1997" s="61"/>
      <c r="L1997" s="60"/>
      <c r="M1997" s="74" t="str">
        <f t="shared" si="251"/>
        <v/>
      </c>
      <c r="N1997" s="74" t="str">
        <f t="shared" si="252"/>
        <v/>
      </c>
      <c r="O1997" s="73" t="str">
        <f t="shared" si="253"/>
        <v/>
      </c>
      <c r="P1997" s="65" t="str">
        <f t="shared" ca="1" si="254"/>
        <v/>
      </c>
      <c r="Q1997" s="2"/>
      <c r="R1997" s="2"/>
      <c r="S1997" s="1" t="str">
        <f t="shared" si="255"/>
        <v/>
      </c>
      <c r="T1997" s="1" t="str">
        <f>IF(OR($C1997="",$D1997&lt;&gt;"Gelir",$L1997=""),"",IFERROR(INDEX(MUSTERILER!$B$7:$B$156,MATCH($S1997,MUSTERILER!$T$7:$T$156,0)),""))</f>
        <v/>
      </c>
      <c r="U1997" s="1" t="str">
        <f>IF($T1997="","",$T1997&amp;"|"&amp;COUNTIFS($T$7:$T1997,$T1997))</f>
        <v/>
      </c>
      <c r="V1997" s="1">
        <f t="shared" si="256"/>
        <v>0</v>
      </c>
      <c r="W1997" s="1" t="str">
        <f t="shared" si="257"/>
        <v/>
      </c>
      <c r="X1997" s="1"/>
      <c r="Y1997" s="1"/>
      <c r="Z1997" s="1"/>
      <c r="AA1997" s="1"/>
      <c r="AB1997" s="1"/>
      <c r="AC1997" s="1"/>
      <c r="AD1997" s="1">
        <f>IF($C1997="",0,SUMPRODUCT((AY_SONU!$O$7:$O$42="Evet")*(AY_SONU!$B$7:$B$42=DATE(YEAR($C1997),MONTH($C1997),1))))</f>
        <v>0</v>
      </c>
      <c r="AE1997" s="1" t="str">
        <f>IF($E1997="","",$E1997&amp;"|"&amp;COUNTIFS($E$7:$E1997,$E1997))</f>
        <v/>
      </c>
    </row>
    <row r="1998" spans="1:31" ht="18" customHeight="1" x14ac:dyDescent="0.3">
      <c r="A1998" s="2"/>
      <c r="B1998" s="65" t="str">
        <f t="shared" si="250"/>
        <v/>
      </c>
      <c r="C1998" s="66"/>
      <c r="D1998" s="60"/>
      <c r="E1998" s="61"/>
      <c r="F1998" s="61"/>
      <c r="G1998" s="67"/>
      <c r="H1998" s="60"/>
      <c r="I1998" s="60"/>
      <c r="J1998" s="61"/>
      <c r="K1998" s="61"/>
      <c r="L1998" s="60"/>
      <c r="M1998" s="74" t="str">
        <f t="shared" si="251"/>
        <v/>
      </c>
      <c r="N1998" s="74" t="str">
        <f t="shared" si="252"/>
        <v/>
      </c>
      <c r="O1998" s="73" t="str">
        <f t="shared" si="253"/>
        <v/>
      </c>
      <c r="P1998" s="65" t="str">
        <f t="shared" ca="1" si="254"/>
        <v/>
      </c>
      <c r="Q1998" s="2"/>
      <c r="R1998" s="2"/>
      <c r="S1998" s="1" t="str">
        <f t="shared" si="255"/>
        <v/>
      </c>
      <c r="T1998" s="1" t="str">
        <f>IF(OR($C1998="",$D1998&lt;&gt;"Gelir",$L1998=""),"",IFERROR(INDEX(MUSTERILER!$B$7:$B$156,MATCH($S1998,MUSTERILER!$T$7:$T$156,0)),""))</f>
        <v/>
      </c>
      <c r="U1998" s="1" t="str">
        <f>IF($T1998="","",$T1998&amp;"|"&amp;COUNTIFS($T$7:$T1998,$T1998))</f>
        <v/>
      </c>
      <c r="V1998" s="1">
        <f t="shared" si="256"/>
        <v>0</v>
      </c>
      <c r="W1998" s="1" t="str">
        <f t="shared" si="257"/>
        <v/>
      </c>
      <c r="X1998" s="1"/>
      <c r="Y1998" s="1"/>
      <c r="Z1998" s="1"/>
      <c r="AA1998" s="1"/>
      <c r="AB1998" s="1"/>
      <c r="AC1998" s="1"/>
      <c r="AD1998" s="1">
        <f>IF($C1998="",0,SUMPRODUCT((AY_SONU!$O$7:$O$42="Evet")*(AY_SONU!$B$7:$B$42=DATE(YEAR($C1998),MONTH($C1998),1))))</f>
        <v>0</v>
      </c>
      <c r="AE1998" s="1" t="str">
        <f>IF($E1998="","",$E1998&amp;"|"&amp;COUNTIFS($E$7:$E1998,$E1998))</f>
        <v/>
      </c>
    </row>
    <row r="1999" spans="1:31" ht="18" customHeight="1" x14ac:dyDescent="0.3">
      <c r="A1999" s="2"/>
      <c r="B1999" s="65" t="str">
        <f t="shared" si="250"/>
        <v/>
      </c>
      <c r="C1999" s="66"/>
      <c r="D1999" s="60"/>
      <c r="E1999" s="61"/>
      <c r="F1999" s="61"/>
      <c r="G1999" s="67"/>
      <c r="H1999" s="60"/>
      <c r="I1999" s="60"/>
      <c r="J1999" s="61"/>
      <c r="K1999" s="61"/>
      <c r="L1999" s="60"/>
      <c r="M1999" s="74" t="str">
        <f t="shared" si="251"/>
        <v/>
      </c>
      <c r="N1999" s="74" t="str">
        <f t="shared" si="252"/>
        <v/>
      </c>
      <c r="O1999" s="73" t="str">
        <f t="shared" si="253"/>
        <v/>
      </c>
      <c r="P1999" s="65" t="str">
        <f t="shared" ca="1" si="254"/>
        <v/>
      </c>
      <c r="Q1999" s="2"/>
      <c r="R1999" s="2"/>
      <c r="S1999" s="1" t="str">
        <f t="shared" si="255"/>
        <v/>
      </c>
      <c r="T1999" s="1" t="str">
        <f>IF(OR($C1999="",$D1999&lt;&gt;"Gelir",$L1999=""),"",IFERROR(INDEX(MUSTERILER!$B$7:$B$156,MATCH($S1999,MUSTERILER!$T$7:$T$156,0)),""))</f>
        <v/>
      </c>
      <c r="U1999" s="1" t="str">
        <f>IF($T1999="","",$T1999&amp;"|"&amp;COUNTIFS($T$7:$T1999,$T1999))</f>
        <v/>
      </c>
      <c r="V1999" s="1">
        <f t="shared" si="256"/>
        <v>0</v>
      </c>
      <c r="W1999" s="1" t="str">
        <f t="shared" si="257"/>
        <v/>
      </c>
      <c r="X1999" s="1"/>
      <c r="Y1999" s="1"/>
      <c r="Z1999" s="1"/>
      <c r="AA1999" s="1"/>
      <c r="AB1999" s="1"/>
      <c r="AC1999" s="1"/>
      <c r="AD1999" s="1">
        <f>IF($C1999="",0,SUMPRODUCT((AY_SONU!$O$7:$O$42="Evet")*(AY_SONU!$B$7:$B$42=DATE(YEAR($C1999),MONTH($C1999),1))))</f>
        <v>0</v>
      </c>
      <c r="AE1999" s="1" t="str">
        <f>IF($E1999="","",$E1999&amp;"|"&amp;COUNTIFS($E$7:$E1999,$E1999))</f>
        <v/>
      </c>
    </row>
    <row r="2000" spans="1:31" ht="18" customHeight="1" x14ac:dyDescent="0.3">
      <c r="A2000" s="2"/>
      <c r="B2000" s="65" t="str">
        <f t="shared" si="250"/>
        <v/>
      </c>
      <c r="C2000" s="66"/>
      <c r="D2000" s="60"/>
      <c r="E2000" s="61"/>
      <c r="F2000" s="61"/>
      <c r="G2000" s="67"/>
      <c r="H2000" s="60"/>
      <c r="I2000" s="60"/>
      <c r="J2000" s="61"/>
      <c r="K2000" s="61"/>
      <c r="L2000" s="60"/>
      <c r="M2000" s="74" t="str">
        <f t="shared" si="251"/>
        <v/>
      </c>
      <c r="N2000" s="74" t="str">
        <f t="shared" si="252"/>
        <v/>
      </c>
      <c r="O2000" s="73" t="str">
        <f t="shared" si="253"/>
        <v/>
      </c>
      <c r="P2000" s="65" t="str">
        <f t="shared" ca="1" si="254"/>
        <v/>
      </c>
      <c r="Q2000" s="2"/>
      <c r="R2000" s="2"/>
      <c r="S2000" s="1" t="str">
        <f t="shared" si="255"/>
        <v/>
      </c>
      <c r="T2000" s="1" t="str">
        <f>IF(OR($C2000="",$D2000&lt;&gt;"Gelir",$L2000=""),"",IFERROR(INDEX(MUSTERILER!$B$7:$B$156,MATCH($S2000,MUSTERILER!$T$7:$T$156,0)),""))</f>
        <v/>
      </c>
      <c r="U2000" s="1" t="str">
        <f>IF($T2000="","",$T2000&amp;"|"&amp;COUNTIFS($T$7:$T2000,$T2000))</f>
        <v/>
      </c>
      <c r="V2000" s="1">
        <f t="shared" si="256"/>
        <v>0</v>
      </c>
      <c r="W2000" s="1" t="str">
        <f t="shared" si="257"/>
        <v/>
      </c>
      <c r="X2000" s="1"/>
      <c r="Y2000" s="1"/>
      <c r="Z2000" s="1"/>
      <c r="AA2000" s="1"/>
      <c r="AB2000" s="1"/>
      <c r="AC2000" s="1"/>
      <c r="AD2000" s="1">
        <f>IF($C2000="",0,SUMPRODUCT((AY_SONU!$O$7:$O$42="Evet")*(AY_SONU!$B$7:$B$42=DATE(YEAR($C2000),MONTH($C2000),1))))</f>
        <v>0</v>
      </c>
      <c r="AE2000" s="1" t="str">
        <f>IF($E2000="","",$E2000&amp;"|"&amp;COUNTIFS($E$7:$E2000,$E2000))</f>
        <v/>
      </c>
    </row>
    <row r="2001" spans="1:31" ht="18" customHeight="1" x14ac:dyDescent="0.3">
      <c r="A2001" s="2"/>
      <c r="B2001" s="65" t="str">
        <f t="shared" si="250"/>
        <v/>
      </c>
      <c r="C2001" s="66"/>
      <c r="D2001" s="60"/>
      <c r="E2001" s="61"/>
      <c r="F2001" s="61"/>
      <c r="G2001" s="67"/>
      <c r="H2001" s="60"/>
      <c r="I2001" s="60"/>
      <c r="J2001" s="61"/>
      <c r="K2001" s="61"/>
      <c r="L2001" s="60"/>
      <c r="M2001" s="74" t="str">
        <f t="shared" si="251"/>
        <v/>
      </c>
      <c r="N2001" s="74" t="str">
        <f t="shared" si="252"/>
        <v/>
      </c>
      <c r="O2001" s="73" t="str">
        <f t="shared" si="253"/>
        <v/>
      </c>
      <c r="P2001" s="65" t="str">
        <f t="shared" ca="1" si="254"/>
        <v/>
      </c>
      <c r="Q2001" s="2"/>
      <c r="R2001" s="2"/>
      <c r="S2001" s="1" t="str">
        <f t="shared" si="255"/>
        <v/>
      </c>
      <c r="T2001" s="1" t="str">
        <f>IF(OR($C2001="",$D2001&lt;&gt;"Gelir",$L2001=""),"",IFERROR(INDEX(MUSTERILER!$B$7:$B$156,MATCH($S2001,MUSTERILER!$T$7:$T$156,0)),""))</f>
        <v/>
      </c>
      <c r="U2001" s="1" t="str">
        <f>IF($T2001="","",$T2001&amp;"|"&amp;COUNTIFS($T$7:$T2001,$T2001))</f>
        <v/>
      </c>
      <c r="V2001" s="1">
        <f t="shared" si="256"/>
        <v>0</v>
      </c>
      <c r="W2001" s="1" t="str">
        <f t="shared" si="257"/>
        <v/>
      </c>
      <c r="X2001" s="1"/>
      <c r="Y2001" s="1"/>
      <c r="Z2001" s="1"/>
      <c r="AA2001" s="1"/>
      <c r="AB2001" s="1"/>
      <c r="AC2001" s="1"/>
      <c r="AD2001" s="1">
        <f>IF($C2001="",0,SUMPRODUCT((AY_SONU!$O$7:$O$42="Evet")*(AY_SONU!$B$7:$B$42=DATE(YEAR($C2001),MONTH($C2001),1))))</f>
        <v>0</v>
      </c>
      <c r="AE2001" s="1" t="str">
        <f>IF($E2001="","",$E2001&amp;"|"&amp;COUNTIFS($E$7:$E2001,$E2001))</f>
        <v/>
      </c>
    </row>
    <row r="2002" spans="1:31" ht="18" customHeight="1" x14ac:dyDescent="0.3">
      <c r="A2002" s="2"/>
      <c r="B2002" s="65" t="str">
        <f t="shared" si="250"/>
        <v/>
      </c>
      <c r="C2002" s="66"/>
      <c r="D2002" s="60"/>
      <c r="E2002" s="61"/>
      <c r="F2002" s="61"/>
      <c r="G2002" s="67"/>
      <c r="H2002" s="60"/>
      <c r="I2002" s="60"/>
      <c r="J2002" s="61"/>
      <c r="K2002" s="61"/>
      <c r="L2002" s="60"/>
      <c r="M2002" s="74" t="str">
        <f t="shared" si="251"/>
        <v/>
      </c>
      <c r="N2002" s="74" t="str">
        <f t="shared" si="252"/>
        <v/>
      </c>
      <c r="O2002" s="73" t="str">
        <f t="shared" si="253"/>
        <v/>
      </c>
      <c r="P2002" s="65" t="str">
        <f t="shared" ca="1" si="254"/>
        <v/>
      </c>
      <c r="Q2002" s="2"/>
      <c r="R2002" s="2"/>
      <c r="S2002" s="1" t="str">
        <f t="shared" si="255"/>
        <v/>
      </c>
      <c r="T2002" s="1" t="str">
        <f>IF(OR($C2002="",$D2002&lt;&gt;"Gelir",$L2002=""),"",IFERROR(INDEX(MUSTERILER!$B$7:$B$156,MATCH($S2002,MUSTERILER!$T$7:$T$156,0)),""))</f>
        <v/>
      </c>
      <c r="U2002" s="1" t="str">
        <f>IF($T2002="","",$T2002&amp;"|"&amp;COUNTIFS($T$7:$T2002,$T2002))</f>
        <v/>
      </c>
      <c r="V2002" s="1">
        <f t="shared" si="256"/>
        <v>0</v>
      </c>
      <c r="W2002" s="1" t="str">
        <f t="shared" si="257"/>
        <v/>
      </c>
      <c r="X2002" s="1"/>
      <c r="Y2002" s="1"/>
      <c r="Z2002" s="1"/>
      <c r="AA2002" s="1"/>
      <c r="AB2002" s="1"/>
      <c r="AC2002" s="1"/>
      <c r="AD2002" s="1">
        <f>IF($C2002="",0,SUMPRODUCT((AY_SONU!$O$7:$O$42="Evet")*(AY_SONU!$B$7:$B$42=DATE(YEAR($C2002),MONTH($C2002),1))))</f>
        <v>0</v>
      </c>
      <c r="AE2002" s="1" t="str">
        <f>IF($E2002="","",$E2002&amp;"|"&amp;COUNTIFS($E$7:$E2002,$E2002))</f>
        <v/>
      </c>
    </row>
    <row r="2003" spans="1:31" ht="18" customHeight="1" x14ac:dyDescent="0.3">
      <c r="A2003" s="2"/>
      <c r="B2003" s="65" t="str">
        <f t="shared" si="250"/>
        <v/>
      </c>
      <c r="C2003" s="66"/>
      <c r="D2003" s="60"/>
      <c r="E2003" s="61"/>
      <c r="F2003" s="61"/>
      <c r="G2003" s="67"/>
      <c r="H2003" s="60"/>
      <c r="I2003" s="60"/>
      <c r="J2003" s="61"/>
      <c r="K2003" s="61"/>
      <c r="L2003" s="60"/>
      <c r="M2003" s="74" t="str">
        <f t="shared" si="251"/>
        <v/>
      </c>
      <c r="N2003" s="74" t="str">
        <f t="shared" si="252"/>
        <v/>
      </c>
      <c r="O2003" s="73" t="str">
        <f t="shared" si="253"/>
        <v/>
      </c>
      <c r="P2003" s="65" t="str">
        <f t="shared" ca="1" si="254"/>
        <v/>
      </c>
      <c r="Q2003" s="2"/>
      <c r="R2003" s="2"/>
      <c r="S2003" s="1" t="str">
        <f t="shared" si="255"/>
        <v/>
      </c>
      <c r="T2003" s="1" t="str">
        <f>IF(OR($C2003="",$D2003&lt;&gt;"Gelir",$L2003=""),"",IFERROR(INDEX(MUSTERILER!$B$7:$B$156,MATCH($S2003,MUSTERILER!$T$7:$T$156,0)),""))</f>
        <v/>
      </c>
      <c r="U2003" s="1" t="str">
        <f>IF($T2003="","",$T2003&amp;"|"&amp;COUNTIFS($T$7:$T2003,$T2003))</f>
        <v/>
      </c>
      <c r="V2003" s="1">
        <f t="shared" si="256"/>
        <v>0</v>
      </c>
      <c r="W2003" s="1" t="str">
        <f t="shared" si="257"/>
        <v/>
      </c>
      <c r="X2003" s="1"/>
      <c r="Y2003" s="1"/>
      <c r="Z2003" s="1"/>
      <c r="AA2003" s="1"/>
      <c r="AB2003" s="1"/>
      <c r="AC2003" s="1"/>
      <c r="AD2003" s="1">
        <f>IF($C2003="",0,SUMPRODUCT((AY_SONU!$O$7:$O$42="Evet")*(AY_SONU!$B$7:$B$42=DATE(YEAR($C2003),MONTH($C2003),1))))</f>
        <v>0</v>
      </c>
      <c r="AE2003" s="1" t="str">
        <f>IF($E2003="","",$E2003&amp;"|"&amp;COUNTIFS($E$7:$E2003,$E2003))</f>
        <v/>
      </c>
    </row>
    <row r="2004" spans="1:31" ht="18" customHeight="1" x14ac:dyDescent="0.3">
      <c r="A2004" s="2"/>
      <c r="B2004" s="65" t="str">
        <f t="shared" si="250"/>
        <v/>
      </c>
      <c r="C2004" s="66"/>
      <c r="D2004" s="60"/>
      <c r="E2004" s="61"/>
      <c r="F2004" s="61"/>
      <c r="G2004" s="67"/>
      <c r="H2004" s="60"/>
      <c r="I2004" s="60"/>
      <c r="J2004" s="61"/>
      <c r="K2004" s="61"/>
      <c r="L2004" s="60"/>
      <c r="M2004" s="74" t="str">
        <f t="shared" si="251"/>
        <v/>
      </c>
      <c r="N2004" s="74" t="str">
        <f t="shared" si="252"/>
        <v/>
      </c>
      <c r="O2004" s="73" t="str">
        <f t="shared" si="253"/>
        <v/>
      </c>
      <c r="P2004" s="65" t="str">
        <f t="shared" ca="1" si="254"/>
        <v/>
      </c>
      <c r="Q2004" s="2"/>
      <c r="R2004" s="2"/>
      <c r="S2004" s="1" t="str">
        <f t="shared" si="255"/>
        <v/>
      </c>
      <c r="T2004" s="1" t="str">
        <f>IF(OR($C2004="",$D2004&lt;&gt;"Gelir",$L2004=""),"",IFERROR(INDEX(MUSTERILER!$B$7:$B$156,MATCH($S2004,MUSTERILER!$T$7:$T$156,0)),""))</f>
        <v/>
      </c>
      <c r="U2004" s="1" t="str">
        <f>IF($T2004="","",$T2004&amp;"|"&amp;COUNTIFS($T$7:$T2004,$T2004))</f>
        <v/>
      </c>
      <c r="V2004" s="1">
        <f t="shared" si="256"/>
        <v>0</v>
      </c>
      <c r="W2004" s="1" t="str">
        <f t="shared" si="257"/>
        <v/>
      </c>
      <c r="X2004" s="1"/>
      <c r="Y2004" s="1"/>
      <c r="Z2004" s="1"/>
      <c r="AA2004" s="1"/>
      <c r="AB2004" s="1"/>
      <c r="AC2004" s="1"/>
      <c r="AD2004" s="1">
        <f>IF($C2004="",0,SUMPRODUCT((AY_SONU!$O$7:$O$42="Evet")*(AY_SONU!$B$7:$B$42=DATE(YEAR($C2004),MONTH($C2004),1))))</f>
        <v>0</v>
      </c>
      <c r="AE2004" s="1" t="str">
        <f>IF($E2004="","",$E2004&amp;"|"&amp;COUNTIFS($E$7:$E2004,$E2004))</f>
        <v/>
      </c>
    </row>
    <row r="2005" spans="1:31" ht="18" customHeight="1" x14ac:dyDescent="0.3">
      <c r="A2005" s="2"/>
      <c r="B2005" s="65" t="str">
        <f t="shared" si="250"/>
        <v/>
      </c>
      <c r="C2005" s="66"/>
      <c r="D2005" s="60"/>
      <c r="E2005" s="61"/>
      <c r="F2005" s="61"/>
      <c r="G2005" s="67"/>
      <c r="H2005" s="60"/>
      <c r="I2005" s="60"/>
      <c r="J2005" s="61"/>
      <c r="K2005" s="61"/>
      <c r="L2005" s="60"/>
      <c r="M2005" s="74" t="str">
        <f t="shared" si="251"/>
        <v/>
      </c>
      <c r="N2005" s="74" t="str">
        <f t="shared" si="252"/>
        <v/>
      </c>
      <c r="O2005" s="73" t="str">
        <f t="shared" si="253"/>
        <v/>
      </c>
      <c r="P2005" s="65" t="str">
        <f t="shared" ca="1" si="254"/>
        <v/>
      </c>
      <c r="Q2005" s="2"/>
      <c r="R2005" s="2"/>
      <c r="S2005" s="1" t="str">
        <f t="shared" si="255"/>
        <v/>
      </c>
      <c r="T2005" s="1" t="str">
        <f>IF(OR($C2005="",$D2005&lt;&gt;"Gelir",$L2005=""),"",IFERROR(INDEX(MUSTERILER!$B$7:$B$156,MATCH($S2005,MUSTERILER!$T$7:$T$156,0)),""))</f>
        <v/>
      </c>
      <c r="U2005" s="1" t="str">
        <f>IF($T2005="","",$T2005&amp;"|"&amp;COUNTIFS($T$7:$T2005,$T2005))</f>
        <v/>
      </c>
      <c r="V2005" s="1">
        <f t="shared" si="256"/>
        <v>0</v>
      </c>
      <c r="W2005" s="1" t="str">
        <f t="shared" si="257"/>
        <v/>
      </c>
      <c r="X2005" s="1"/>
      <c r="Y2005" s="1"/>
      <c r="Z2005" s="1"/>
      <c r="AA2005" s="1"/>
      <c r="AB2005" s="1"/>
      <c r="AC2005" s="1"/>
      <c r="AD2005" s="1">
        <f>IF($C2005="",0,SUMPRODUCT((AY_SONU!$O$7:$O$42="Evet")*(AY_SONU!$B$7:$B$42=DATE(YEAR($C2005),MONTH($C2005),1))))</f>
        <v>0</v>
      </c>
      <c r="AE2005" s="1" t="str">
        <f>IF($E2005="","",$E2005&amp;"|"&amp;COUNTIFS($E$7:$E2005,$E2005))</f>
        <v/>
      </c>
    </row>
    <row r="2006" spans="1:31" ht="18" customHeight="1" x14ac:dyDescent="0.3">
      <c r="A2006" s="2"/>
      <c r="B2006" s="65" t="str">
        <f t="shared" si="250"/>
        <v/>
      </c>
      <c r="C2006" s="66"/>
      <c r="D2006" s="60"/>
      <c r="E2006" s="61"/>
      <c r="F2006" s="61"/>
      <c r="G2006" s="67"/>
      <c r="H2006" s="60"/>
      <c r="I2006" s="60"/>
      <c r="J2006" s="61"/>
      <c r="K2006" s="61"/>
      <c r="L2006" s="60"/>
      <c r="M2006" s="74" t="str">
        <f t="shared" si="251"/>
        <v/>
      </c>
      <c r="N2006" s="74" t="str">
        <f t="shared" si="252"/>
        <v/>
      </c>
      <c r="O2006" s="73" t="str">
        <f t="shared" si="253"/>
        <v/>
      </c>
      <c r="P2006" s="65" t="str">
        <f t="shared" ca="1" si="254"/>
        <v/>
      </c>
      <c r="Q2006" s="2"/>
      <c r="R2006" s="2"/>
      <c r="S2006" s="1" t="str">
        <f t="shared" si="255"/>
        <v/>
      </c>
      <c r="T2006" s="1" t="str">
        <f>IF(OR($C2006="",$D2006&lt;&gt;"Gelir",$L2006=""),"",IFERROR(INDEX(MUSTERILER!$B$7:$B$156,MATCH($S2006,MUSTERILER!$T$7:$T$156,0)),""))</f>
        <v/>
      </c>
      <c r="U2006" s="1" t="str">
        <f>IF($T2006="","",$T2006&amp;"|"&amp;COUNTIFS($T$7:$T2006,$T2006))</f>
        <v/>
      </c>
      <c r="V2006" s="1">
        <f t="shared" si="256"/>
        <v>0</v>
      </c>
      <c r="W2006" s="1" t="str">
        <f t="shared" si="257"/>
        <v/>
      </c>
      <c r="X2006" s="1"/>
      <c r="Y2006" s="1"/>
      <c r="Z2006" s="1"/>
      <c r="AA2006" s="1"/>
      <c r="AB2006" s="1"/>
      <c r="AC2006" s="1"/>
      <c r="AD2006" s="1">
        <f>IF($C2006="",0,SUMPRODUCT((AY_SONU!$O$7:$O$42="Evet")*(AY_SONU!$B$7:$B$42=DATE(YEAR($C2006),MONTH($C2006),1))))</f>
        <v>0</v>
      </c>
      <c r="AE2006" s="1" t="str">
        <f>IF($E2006="","",$E2006&amp;"|"&amp;COUNTIFS($E$7:$E2006,$E2006))</f>
        <v/>
      </c>
    </row>
    <row r="2007" spans="1:31" ht="18" customHeight="1" x14ac:dyDescent="0.3">
      <c r="A2007" s="2"/>
      <c r="B2007" s="65" t="str">
        <f t="shared" si="250"/>
        <v/>
      </c>
      <c r="C2007" s="66"/>
      <c r="D2007" s="60"/>
      <c r="E2007" s="61"/>
      <c r="F2007" s="61"/>
      <c r="G2007" s="67"/>
      <c r="H2007" s="60"/>
      <c r="I2007" s="60"/>
      <c r="J2007" s="61"/>
      <c r="K2007" s="61"/>
      <c r="L2007" s="60"/>
      <c r="M2007" s="74" t="str">
        <f t="shared" si="251"/>
        <v/>
      </c>
      <c r="N2007" s="74" t="str">
        <f t="shared" si="252"/>
        <v/>
      </c>
      <c r="O2007" s="73" t="str">
        <f t="shared" si="253"/>
        <v/>
      </c>
      <c r="P2007" s="65" t="str">
        <f t="shared" ca="1" si="254"/>
        <v/>
      </c>
      <c r="Q2007" s="2"/>
      <c r="R2007" s="2"/>
      <c r="S2007" s="1" t="str">
        <f t="shared" si="255"/>
        <v/>
      </c>
      <c r="T2007" s="1" t="str">
        <f>IF(OR($C2007="",$D2007&lt;&gt;"Gelir",$L2007=""),"",IFERROR(INDEX(MUSTERILER!$B$7:$B$156,MATCH($S2007,MUSTERILER!$T$7:$T$156,0)),""))</f>
        <v/>
      </c>
      <c r="U2007" s="1" t="str">
        <f>IF($T2007="","",$T2007&amp;"|"&amp;COUNTIFS($T$7:$T2007,$T2007))</f>
        <v/>
      </c>
      <c r="V2007" s="1">
        <f t="shared" si="256"/>
        <v>0</v>
      </c>
      <c r="W2007" s="1" t="str">
        <f t="shared" si="257"/>
        <v/>
      </c>
      <c r="X2007" s="1"/>
      <c r="Y2007" s="1"/>
      <c r="Z2007" s="1"/>
      <c r="AA2007" s="1"/>
      <c r="AB2007" s="1"/>
      <c r="AC2007" s="1"/>
      <c r="AD2007" s="1">
        <f>IF($C2007="",0,SUMPRODUCT((AY_SONU!$O$7:$O$42="Evet")*(AY_SONU!$B$7:$B$42=DATE(YEAR($C2007),MONTH($C2007),1))))</f>
        <v>0</v>
      </c>
      <c r="AE2007" s="1" t="str">
        <f>IF($E2007="","",$E2007&amp;"|"&amp;COUNTIFS($E$7:$E2007,$E2007))</f>
        <v/>
      </c>
    </row>
    <row r="2008" spans="1:31" ht="18" customHeight="1" x14ac:dyDescent="0.3">
      <c r="A2008" s="2"/>
      <c r="B2008" s="65" t="str">
        <f t="shared" si="250"/>
        <v/>
      </c>
      <c r="C2008" s="66"/>
      <c r="D2008" s="60"/>
      <c r="E2008" s="61"/>
      <c r="F2008" s="61"/>
      <c r="G2008" s="67"/>
      <c r="H2008" s="60"/>
      <c r="I2008" s="60"/>
      <c r="J2008" s="61"/>
      <c r="K2008" s="61"/>
      <c r="L2008" s="60"/>
      <c r="M2008" s="74" t="str">
        <f t="shared" si="251"/>
        <v/>
      </c>
      <c r="N2008" s="74" t="str">
        <f t="shared" si="252"/>
        <v/>
      </c>
      <c r="O2008" s="73" t="str">
        <f t="shared" si="253"/>
        <v/>
      </c>
      <c r="P2008" s="65" t="str">
        <f t="shared" ca="1" si="254"/>
        <v/>
      </c>
      <c r="Q2008" s="2"/>
      <c r="R2008" s="2"/>
      <c r="S2008" s="1" t="str">
        <f t="shared" si="255"/>
        <v/>
      </c>
      <c r="T2008" s="1" t="str">
        <f>IF(OR($C2008="",$D2008&lt;&gt;"Gelir",$L2008=""),"",IFERROR(INDEX(MUSTERILER!$B$7:$B$156,MATCH($S2008,MUSTERILER!$T$7:$T$156,0)),""))</f>
        <v/>
      </c>
      <c r="U2008" s="1" t="str">
        <f>IF($T2008="","",$T2008&amp;"|"&amp;COUNTIFS($T$7:$T2008,$T2008))</f>
        <v/>
      </c>
      <c r="V2008" s="1">
        <f t="shared" si="256"/>
        <v>0</v>
      </c>
      <c r="W2008" s="1" t="str">
        <f t="shared" si="257"/>
        <v/>
      </c>
      <c r="X2008" s="1"/>
      <c r="Y2008" s="1"/>
      <c r="Z2008" s="1"/>
      <c r="AA2008" s="1"/>
      <c r="AB2008" s="1"/>
      <c r="AC2008" s="1"/>
      <c r="AD2008" s="1">
        <f>IF($C2008="",0,SUMPRODUCT((AY_SONU!$O$7:$O$42="Evet")*(AY_SONU!$B$7:$B$42=DATE(YEAR($C2008),MONTH($C2008),1))))</f>
        <v>0</v>
      </c>
      <c r="AE2008" s="1" t="str">
        <f>IF($E2008="","",$E2008&amp;"|"&amp;COUNTIFS($E$7:$E2008,$E2008))</f>
        <v/>
      </c>
    </row>
    <row r="2009" spans="1:31" ht="18" customHeight="1" x14ac:dyDescent="0.3">
      <c r="A2009" s="2"/>
      <c r="B2009" s="65" t="str">
        <f t="shared" si="250"/>
        <v/>
      </c>
      <c r="C2009" s="66"/>
      <c r="D2009" s="60"/>
      <c r="E2009" s="61"/>
      <c r="F2009" s="61"/>
      <c r="G2009" s="67"/>
      <c r="H2009" s="60"/>
      <c r="I2009" s="60"/>
      <c r="J2009" s="61"/>
      <c r="K2009" s="61"/>
      <c r="L2009" s="60"/>
      <c r="M2009" s="74" t="str">
        <f t="shared" si="251"/>
        <v/>
      </c>
      <c r="N2009" s="74" t="str">
        <f t="shared" si="252"/>
        <v/>
      </c>
      <c r="O2009" s="73" t="str">
        <f t="shared" si="253"/>
        <v/>
      </c>
      <c r="P2009" s="65" t="str">
        <f t="shared" ca="1" si="254"/>
        <v/>
      </c>
      <c r="Q2009" s="2"/>
      <c r="R2009" s="2"/>
      <c r="S2009" s="1" t="str">
        <f t="shared" si="255"/>
        <v/>
      </c>
      <c r="T2009" s="1" t="str">
        <f>IF(OR($C2009="",$D2009&lt;&gt;"Gelir",$L2009=""),"",IFERROR(INDEX(MUSTERILER!$B$7:$B$156,MATCH($S2009,MUSTERILER!$T$7:$T$156,0)),""))</f>
        <v/>
      </c>
      <c r="U2009" s="1" t="str">
        <f>IF($T2009="","",$T2009&amp;"|"&amp;COUNTIFS($T$7:$T2009,$T2009))</f>
        <v/>
      </c>
      <c r="V2009" s="1">
        <f t="shared" si="256"/>
        <v>0</v>
      </c>
      <c r="W2009" s="1" t="str">
        <f t="shared" si="257"/>
        <v/>
      </c>
      <c r="X2009" s="1"/>
      <c r="Y2009" s="1"/>
      <c r="Z2009" s="1"/>
      <c r="AA2009" s="1"/>
      <c r="AB2009" s="1"/>
      <c r="AC2009" s="1"/>
      <c r="AD2009" s="1">
        <f>IF($C2009="",0,SUMPRODUCT((AY_SONU!$O$7:$O$42="Evet")*(AY_SONU!$B$7:$B$42=DATE(YEAR($C2009),MONTH($C2009),1))))</f>
        <v>0</v>
      </c>
      <c r="AE2009" s="1" t="str">
        <f>IF($E2009="","",$E2009&amp;"|"&amp;COUNTIFS($E$7:$E2009,$E2009))</f>
        <v/>
      </c>
    </row>
    <row r="2010" spans="1:31" ht="18" customHeight="1" x14ac:dyDescent="0.3">
      <c r="A2010" s="2"/>
      <c r="B2010" s="65" t="str">
        <f t="shared" si="250"/>
        <v/>
      </c>
      <c r="C2010" s="66"/>
      <c r="D2010" s="60"/>
      <c r="E2010" s="61"/>
      <c r="F2010" s="61"/>
      <c r="G2010" s="67"/>
      <c r="H2010" s="60"/>
      <c r="I2010" s="60"/>
      <c r="J2010" s="61"/>
      <c r="K2010" s="61"/>
      <c r="L2010" s="60"/>
      <c r="M2010" s="74" t="str">
        <f t="shared" si="251"/>
        <v/>
      </c>
      <c r="N2010" s="74" t="str">
        <f t="shared" si="252"/>
        <v/>
      </c>
      <c r="O2010" s="73" t="str">
        <f t="shared" si="253"/>
        <v/>
      </c>
      <c r="P2010" s="65" t="str">
        <f t="shared" ca="1" si="254"/>
        <v/>
      </c>
      <c r="Q2010" s="2"/>
      <c r="R2010" s="2"/>
      <c r="S2010" s="1" t="str">
        <f t="shared" si="255"/>
        <v/>
      </c>
      <c r="T2010" s="1" t="str">
        <f>IF(OR($C2010="",$D2010&lt;&gt;"Gelir",$L2010=""),"",IFERROR(INDEX(MUSTERILER!$B$7:$B$156,MATCH($S2010,MUSTERILER!$T$7:$T$156,0)),""))</f>
        <v/>
      </c>
      <c r="U2010" s="1" t="str">
        <f>IF($T2010="","",$T2010&amp;"|"&amp;COUNTIFS($T$7:$T2010,$T2010))</f>
        <v/>
      </c>
      <c r="V2010" s="1">
        <f t="shared" si="256"/>
        <v>0</v>
      </c>
      <c r="W2010" s="1" t="str">
        <f t="shared" si="257"/>
        <v/>
      </c>
      <c r="X2010" s="1"/>
      <c r="Y2010" s="1"/>
      <c r="Z2010" s="1"/>
      <c r="AA2010" s="1"/>
      <c r="AB2010" s="1"/>
      <c r="AC2010" s="1"/>
      <c r="AD2010" s="1">
        <f>IF($C2010="",0,SUMPRODUCT((AY_SONU!$O$7:$O$42="Evet")*(AY_SONU!$B$7:$B$42=DATE(YEAR($C2010),MONTH($C2010),1))))</f>
        <v>0</v>
      </c>
      <c r="AE2010" s="1" t="str">
        <f>IF($E2010="","",$E2010&amp;"|"&amp;COUNTIFS($E$7:$E2010,$E2010))</f>
        <v/>
      </c>
    </row>
    <row r="2011" spans="1:31" ht="18" customHeight="1" x14ac:dyDescent="0.3">
      <c r="A2011" s="2"/>
      <c r="B2011" s="65" t="str">
        <f t="shared" si="250"/>
        <v/>
      </c>
      <c r="C2011" s="66"/>
      <c r="D2011" s="60"/>
      <c r="E2011" s="61"/>
      <c r="F2011" s="61"/>
      <c r="G2011" s="67"/>
      <c r="H2011" s="60"/>
      <c r="I2011" s="60"/>
      <c r="J2011" s="61"/>
      <c r="K2011" s="61"/>
      <c r="L2011" s="60"/>
      <c r="M2011" s="74" t="str">
        <f t="shared" si="251"/>
        <v/>
      </c>
      <c r="N2011" s="74" t="str">
        <f t="shared" si="252"/>
        <v/>
      </c>
      <c r="O2011" s="73" t="str">
        <f t="shared" si="253"/>
        <v/>
      </c>
      <c r="P2011" s="65" t="str">
        <f t="shared" ca="1" si="254"/>
        <v/>
      </c>
      <c r="Q2011" s="2"/>
      <c r="R2011" s="2"/>
      <c r="S2011" s="1" t="str">
        <f t="shared" si="255"/>
        <v/>
      </c>
      <c r="T2011" s="1" t="str">
        <f>IF(OR($C2011="",$D2011&lt;&gt;"Gelir",$L2011=""),"",IFERROR(INDEX(MUSTERILER!$B$7:$B$156,MATCH($S2011,MUSTERILER!$T$7:$T$156,0)),""))</f>
        <v/>
      </c>
      <c r="U2011" s="1" t="str">
        <f>IF($T2011="","",$T2011&amp;"|"&amp;COUNTIFS($T$7:$T2011,$T2011))</f>
        <v/>
      </c>
      <c r="V2011" s="1">
        <f t="shared" si="256"/>
        <v>0</v>
      </c>
      <c r="W2011" s="1" t="str">
        <f t="shared" si="257"/>
        <v/>
      </c>
      <c r="X2011" s="1"/>
      <c r="Y2011" s="1"/>
      <c r="Z2011" s="1"/>
      <c r="AA2011" s="1"/>
      <c r="AB2011" s="1"/>
      <c r="AC2011" s="1"/>
      <c r="AD2011" s="1">
        <f>IF($C2011="",0,SUMPRODUCT((AY_SONU!$O$7:$O$42="Evet")*(AY_SONU!$B$7:$B$42=DATE(YEAR($C2011),MONTH($C2011),1))))</f>
        <v>0</v>
      </c>
      <c r="AE2011" s="1" t="str">
        <f>IF($E2011="","",$E2011&amp;"|"&amp;COUNTIFS($E$7:$E2011,$E2011))</f>
        <v/>
      </c>
    </row>
    <row r="2012" spans="1:31" ht="18" customHeight="1" x14ac:dyDescent="0.3">
      <c r="A2012" s="2"/>
      <c r="B2012" s="65" t="str">
        <f t="shared" si="250"/>
        <v/>
      </c>
      <c r="C2012" s="66"/>
      <c r="D2012" s="60"/>
      <c r="E2012" s="61"/>
      <c r="F2012" s="61"/>
      <c r="G2012" s="67"/>
      <c r="H2012" s="60"/>
      <c r="I2012" s="60"/>
      <c r="J2012" s="61"/>
      <c r="K2012" s="61"/>
      <c r="L2012" s="60"/>
      <c r="M2012" s="74" t="str">
        <f t="shared" si="251"/>
        <v/>
      </c>
      <c r="N2012" s="74" t="str">
        <f t="shared" si="252"/>
        <v/>
      </c>
      <c r="O2012" s="73" t="str">
        <f t="shared" si="253"/>
        <v/>
      </c>
      <c r="P2012" s="65" t="str">
        <f t="shared" ca="1" si="254"/>
        <v/>
      </c>
      <c r="Q2012" s="2"/>
      <c r="R2012" s="2"/>
      <c r="S2012" s="1" t="str">
        <f t="shared" si="255"/>
        <v/>
      </c>
      <c r="T2012" s="1" t="str">
        <f>IF(OR($C2012="",$D2012&lt;&gt;"Gelir",$L2012=""),"",IFERROR(INDEX(MUSTERILER!$B$7:$B$156,MATCH($S2012,MUSTERILER!$T$7:$T$156,0)),""))</f>
        <v/>
      </c>
      <c r="U2012" s="1" t="str">
        <f>IF($T2012="","",$T2012&amp;"|"&amp;COUNTIFS($T$7:$T2012,$T2012))</f>
        <v/>
      </c>
      <c r="V2012" s="1">
        <f t="shared" si="256"/>
        <v>0</v>
      </c>
      <c r="W2012" s="1" t="str">
        <f t="shared" si="257"/>
        <v/>
      </c>
      <c r="X2012" s="1"/>
      <c r="Y2012" s="1"/>
      <c r="Z2012" s="1"/>
      <c r="AA2012" s="1"/>
      <c r="AB2012" s="1"/>
      <c r="AC2012" s="1"/>
      <c r="AD2012" s="1">
        <f>IF($C2012="",0,SUMPRODUCT((AY_SONU!$O$7:$O$42="Evet")*(AY_SONU!$B$7:$B$42=DATE(YEAR($C2012),MONTH($C2012),1))))</f>
        <v>0</v>
      </c>
      <c r="AE2012" s="1" t="str">
        <f>IF($E2012="","",$E2012&amp;"|"&amp;COUNTIFS($E$7:$E2012,$E2012))</f>
        <v/>
      </c>
    </row>
    <row r="2013" spans="1:31" ht="18" customHeight="1" x14ac:dyDescent="0.3">
      <c r="A2013" s="2"/>
      <c r="B2013" s="65" t="str">
        <f t="shared" si="250"/>
        <v/>
      </c>
      <c r="C2013" s="66"/>
      <c r="D2013" s="60"/>
      <c r="E2013" s="61"/>
      <c r="F2013" s="61"/>
      <c r="G2013" s="67"/>
      <c r="H2013" s="60"/>
      <c r="I2013" s="60"/>
      <c r="J2013" s="61"/>
      <c r="K2013" s="61"/>
      <c r="L2013" s="60"/>
      <c r="M2013" s="74" t="str">
        <f t="shared" si="251"/>
        <v/>
      </c>
      <c r="N2013" s="74" t="str">
        <f t="shared" si="252"/>
        <v/>
      </c>
      <c r="O2013" s="73" t="str">
        <f t="shared" si="253"/>
        <v/>
      </c>
      <c r="P2013" s="65" t="str">
        <f t="shared" ca="1" si="254"/>
        <v/>
      </c>
      <c r="Q2013" s="2"/>
      <c r="R2013" s="2"/>
      <c r="S2013" s="1" t="str">
        <f t="shared" si="255"/>
        <v/>
      </c>
      <c r="T2013" s="1" t="str">
        <f>IF(OR($C2013="",$D2013&lt;&gt;"Gelir",$L2013=""),"",IFERROR(INDEX(MUSTERILER!$B$7:$B$156,MATCH($S2013,MUSTERILER!$T$7:$T$156,0)),""))</f>
        <v/>
      </c>
      <c r="U2013" s="1" t="str">
        <f>IF($T2013="","",$T2013&amp;"|"&amp;COUNTIFS($T$7:$T2013,$T2013))</f>
        <v/>
      </c>
      <c r="V2013" s="1">
        <f t="shared" si="256"/>
        <v>0</v>
      </c>
      <c r="W2013" s="1" t="str">
        <f t="shared" si="257"/>
        <v/>
      </c>
      <c r="X2013" s="1"/>
      <c r="Y2013" s="1"/>
      <c r="Z2013" s="1"/>
      <c r="AA2013" s="1"/>
      <c r="AB2013" s="1"/>
      <c r="AC2013" s="1"/>
      <c r="AD2013" s="1">
        <f>IF($C2013="",0,SUMPRODUCT((AY_SONU!$O$7:$O$42="Evet")*(AY_SONU!$B$7:$B$42=DATE(YEAR($C2013),MONTH($C2013),1))))</f>
        <v>0</v>
      </c>
      <c r="AE2013" s="1" t="str">
        <f>IF($E2013="","",$E2013&amp;"|"&amp;COUNTIFS($E$7:$E2013,$E2013))</f>
        <v/>
      </c>
    </row>
    <row r="2014" spans="1:31" ht="18" customHeight="1" x14ac:dyDescent="0.3">
      <c r="A2014" s="2"/>
      <c r="B2014" s="65" t="str">
        <f t="shared" si="250"/>
        <v/>
      </c>
      <c r="C2014" s="66"/>
      <c r="D2014" s="60"/>
      <c r="E2014" s="61"/>
      <c r="F2014" s="61"/>
      <c r="G2014" s="67"/>
      <c r="H2014" s="60"/>
      <c r="I2014" s="60"/>
      <c r="J2014" s="61"/>
      <c r="K2014" s="61"/>
      <c r="L2014" s="60"/>
      <c r="M2014" s="74" t="str">
        <f t="shared" si="251"/>
        <v/>
      </c>
      <c r="N2014" s="74" t="str">
        <f t="shared" si="252"/>
        <v/>
      </c>
      <c r="O2014" s="73" t="str">
        <f t="shared" si="253"/>
        <v/>
      </c>
      <c r="P2014" s="65" t="str">
        <f t="shared" ca="1" si="254"/>
        <v/>
      </c>
      <c r="Q2014" s="2"/>
      <c r="R2014" s="2"/>
      <c r="S2014" s="1" t="str">
        <f t="shared" si="255"/>
        <v/>
      </c>
      <c r="T2014" s="1" t="str">
        <f>IF(OR($C2014="",$D2014&lt;&gt;"Gelir",$L2014=""),"",IFERROR(INDEX(MUSTERILER!$B$7:$B$156,MATCH($S2014,MUSTERILER!$T$7:$T$156,0)),""))</f>
        <v/>
      </c>
      <c r="U2014" s="1" t="str">
        <f>IF($T2014="","",$T2014&amp;"|"&amp;COUNTIFS($T$7:$T2014,$T2014))</f>
        <v/>
      </c>
      <c r="V2014" s="1">
        <f t="shared" si="256"/>
        <v>0</v>
      </c>
      <c r="W2014" s="1" t="str">
        <f t="shared" si="257"/>
        <v/>
      </c>
      <c r="X2014" s="1"/>
      <c r="Y2014" s="1"/>
      <c r="Z2014" s="1"/>
      <c r="AA2014" s="1"/>
      <c r="AB2014" s="1"/>
      <c r="AC2014" s="1"/>
      <c r="AD2014" s="1">
        <f>IF($C2014="",0,SUMPRODUCT((AY_SONU!$O$7:$O$42="Evet")*(AY_SONU!$B$7:$B$42=DATE(YEAR($C2014),MONTH($C2014),1))))</f>
        <v>0</v>
      </c>
      <c r="AE2014" s="1" t="str">
        <f>IF($E2014="","",$E2014&amp;"|"&amp;COUNTIFS($E$7:$E2014,$E2014))</f>
        <v/>
      </c>
    </row>
    <row r="2015" spans="1:31" ht="18" customHeight="1" x14ac:dyDescent="0.3">
      <c r="A2015" s="2"/>
      <c r="B2015" s="65" t="str">
        <f t="shared" si="250"/>
        <v/>
      </c>
      <c r="C2015" s="66"/>
      <c r="D2015" s="60"/>
      <c r="E2015" s="61"/>
      <c r="F2015" s="61"/>
      <c r="G2015" s="67"/>
      <c r="H2015" s="60"/>
      <c r="I2015" s="60"/>
      <c r="J2015" s="61"/>
      <c r="K2015" s="61"/>
      <c r="L2015" s="60"/>
      <c r="M2015" s="74" t="str">
        <f t="shared" si="251"/>
        <v/>
      </c>
      <c r="N2015" s="74" t="str">
        <f t="shared" si="252"/>
        <v/>
      </c>
      <c r="O2015" s="73" t="str">
        <f t="shared" si="253"/>
        <v/>
      </c>
      <c r="P2015" s="65" t="str">
        <f t="shared" ca="1" si="254"/>
        <v/>
      </c>
      <c r="Q2015" s="2"/>
      <c r="R2015" s="2"/>
      <c r="S2015" s="1" t="str">
        <f t="shared" si="255"/>
        <v/>
      </c>
      <c r="T2015" s="1" t="str">
        <f>IF(OR($C2015="",$D2015&lt;&gt;"Gelir",$L2015=""),"",IFERROR(INDEX(MUSTERILER!$B$7:$B$156,MATCH($S2015,MUSTERILER!$T$7:$T$156,0)),""))</f>
        <v/>
      </c>
      <c r="U2015" s="1" t="str">
        <f>IF($T2015="","",$T2015&amp;"|"&amp;COUNTIFS($T$7:$T2015,$T2015))</f>
        <v/>
      </c>
      <c r="V2015" s="1">
        <f t="shared" si="256"/>
        <v>0</v>
      </c>
      <c r="W2015" s="1" t="str">
        <f t="shared" si="257"/>
        <v/>
      </c>
      <c r="X2015" s="1"/>
      <c r="Y2015" s="1"/>
      <c r="Z2015" s="1"/>
      <c r="AA2015" s="1"/>
      <c r="AB2015" s="1"/>
      <c r="AC2015" s="1"/>
      <c r="AD2015" s="1">
        <f>IF($C2015="",0,SUMPRODUCT((AY_SONU!$O$7:$O$42="Evet")*(AY_SONU!$B$7:$B$42=DATE(YEAR($C2015),MONTH($C2015),1))))</f>
        <v>0</v>
      </c>
      <c r="AE2015" s="1" t="str">
        <f>IF($E2015="","",$E2015&amp;"|"&amp;COUNTIFS($E$7:$E2015,$E2015))</f>
        <v/>
      </c>
    </row>
    <row r="2016" spans="1:31" ht="18" customHeight="1" x14ac:dyDescent="0.3">
      <c r="A2016" s="2"/>
      <c r="B2016" s="65" t="str">
        <f t="shared" si="250"/>
        <v/>
      </c>
      <c r="C2016" s="66"/>
      <c r="D2016" s="60"/>
      <c r="E2016" s="61"/>
      <c r="F2016" s="61"/>
      <c r="G2016" s="67"/>
      <c r="H2016" s="60"/>
      <c r="I2016" s="60"/>
      <c r="J2016" s="61"/>
      <c r="K2016" s="61"/>
      <c r="L2016" s="60"/>
      <c r="M2016" s="74" t="str">
        <f t="shared" si="251"/>
        <v/>
      </c>
      <c r="N2016" s="74" t="str">
        <f t="shared" si="252"/>
        <v/>
      </c>
      <c r="O2016" s="73" t="str">
        <f t="shared" si="253"/>
        <v/>
      </c>
      <c r="P2016" s="65" t="str">
        <f t="shared" ca="1" si="254"/>
        <v/>
      </c>
      <c r="Q2016" s="2"/>
      <c r="R2016" s="2"/>
      <c r="S2016" s="1" t="str">
        <f t="shared" si="255"/>
        <v/>
      </c>
      <c r="T2016" s="1" t="str">
        <f>IF(OR($C2016="",$D2016&lt;&gt;"Gelir",$L2016=""),"",IFERROR(INDEX(MUSTERILER!$B$7:$B$156,MATCH($S2016,MUSTERILER!$T$7:$T$156,0)),""))</f>
        <v/>
      </c>
      <c r="U2016" s="1" t="str">
        <f>IF($T2016="","",$T2016&amp;"|"&amp;COUNTIFS($T$7:$T2016,$T2016))</f>
        <v/>
      </c>
      <c r="V2016" s="1">
        <f t="shared" si="256"/>
        <v>0</v>
      </c>
      <c r="W2016" s="1" t="str">
        <f t="shared" si="257"/>
        <v/>
      </c>
      <c r="X2016" s="1"/>
      <c r="Y2016" s="1"/>
      <c r="Z2016" s="1"/>
      <c r="AA2016" s="1"/>
      <c r="AB2016" s="1"/>
      <c r="AC2016" s="1"/>
      <c r="AD2016" s="1">
        <f>IF($C2016="",0,SUMPRODUCT((AY_SONU!$O$7:$O$42="Evet")*(AY_SONU!$B$7:$B$42=DATE(YEAR($C2016),MONTH($C2016),1))))</f>
        <v>0</v>
      </c>
      <c r="AE2016" s="1" t="str">
        <f>IF($E2016="","",$E2016&amp;"|"&amp;COUNTIFS($E$7:$E2016,$E2016))</f>
        <v/>
      </c>
    </row>
    <row r="2017" spans="1:31" ht="18" customHeight="1" x14ac:dyDescent="0.3">
      <c r="A2017" s="2"/>
      <c r="B2017" s="65" t="str">
        <f t="shared" si="250"/>
        <v/>
      </c>
      <c r="C2017" s="66"/>
      <c r="D2017" s="60"/>
      <c r="E2017" s="61"/>
      <c r="F2017" s="61"/>
      <c r="G2017" s="67"/>
      <c r="H2017" s="60"/>
      <c r="I2017" s="60"/>
      <c r="J2017" s="61"/>
      <c r="K2017" s="61"/>
      <c r="L2017" s="60"/>
      <c r="M2017" s="74" t="str">
        <f t="shared" si="251"/>
        <v/>
      </c>
      <c r="N2017" s="74" t="str">
        <f t="shared" si="252"/>
        <v/>
      </c>
      <c r="O2017" s="73" t="str">
        <f t="shared" si="253"/>
        <v/>
      </c>
      <c r="P2017" s="65" t="str">
        <f t="shared" ca="1" si="254"/>
        <v/>
      </c>
      <c r="Q2017" s="2"/>
      <c r="R2017" s="2"/>
      <c r="S2017" s="1" t="str">
        <f t="shared" si="255"/>
        <v/>
      </c>
      <c r="T2017" s="1" t="str">
        <f>IF(OR($C2017="",$D2017&lt;&gt;"Gelir",$L2017=""),"",IFERROR(INDEX(MUSTERILER!$B$7:$B$156,MATCH($S2017,MUSTERILER!$T$7:$T$156,0)),""))</f>
        <v/>
      </c>
      <c r="U2017" s="1" t="str">
        <f>IF($T2017="","",$T2017&amp;"|"&amp;COUNTIFS($T$7:$T2017,$T2017))</f>
        <v/>
      </c>
      <c r="V2017" s="1">
        <f t="shared" si="256"/>
        <v>0</v>
      </c>
      <c r="W2017" s="1" t="str">
        <f t="shared" si="257"/>
        <v/>
      </c>
      <c r="X2017" s="1"/>
      <c r="Y2017" s="1"/>
      <c r="Z2017" s="1"/>
      <c r="AA2017" s="1"/>
      <c r="AB2017" s="1"/>
      <c r="AC2017" s="1"/>
      <c r="AD2017" s="1">
        <f>IF($C2017="",0,SUMPRODUCT((AY_SONU!$O$7:$O$42="Evet")*(AY_SONU!$B$7:$B$42=DATE(YEAR($C2017),MONTH($C2017),1))))</f>
        <v>0</v>
      </c>
      <c r="AE2017" s="1" t="str">
        <f>IF($E2017="","",$E2017&amp;"|"&amp;COUNTIFS($E$7:$E2017,$E2017))</f>
        <v/>
      </c>
    </row>
    <row r="2018" spans="1:31" ht="18" customHeight="1" x14ac:dyDescent="0.3">
      <c r="A2018" s="2"/>
      <c r="B2018" s="65" t="str">
        <f t="shared" si="250"/>
        <v/>
      </c>
      <c r="C2018" s="66"/>
      <c r="D2018" s="60"/>
      <c r="E2018" s="61"/>
      <c r="F2018" s="61"/>
      <c r="G2018" s="67"/>
      <c r="H2018" s="60"/>
      <c r="I2018" s="60"/>
      <c r="J2018" s="61"/>
      <c r="K2018" s="61"/>
      <c r="L2018" s="60"/>
      <c r="M2018" s="74" t="str">
        <f t="shared" si="251"/>
        <v/>
      </c>
      <c r="N2018" s="74" t="str">
        <f t="shared" si="252"/>
        <v/>
      </c>
      <c r="O2018" s="73" t="str">
        <f t="shared" si="253"/>
        <v/>
      </c>
      <c r="P2018" s="65" t="str">
        <f t="shared" ca="1" si="254"/>
        <v/>
      </c>
      <c r="Q2018" s="2"/>
      <c r="R2018" s="2"/>
      <c r="S2018" s="1" t="str">
        <f t="shared" si="255"/>
        <v/>
      </c>
      <c r="T2018" s="1" t="str">
        <f>IF(OR($C2018="",$D2018&lt;&gt;"Gelir",$L2018=""),"",IFERROR(INDEX(MUSTERILER!$B$7:$B$156,MATCH($S2018,MUSTERILER!$T$7:$T$156,0)),""))</f>
        <v/>
      </c>
      <c r="U2018" s="1" t="str">
        <f>IF($T2018="","",$T2018&amp;"|"&amp;COUNTIFS($T$7:$T2018,$T2018))</f>
        <v/>
      </c>
      <c r="V2018" s="1">
        <f t="shared" si="256"/>
        <v>0</v>
      </c>
      <c r="W2018" s="1" t="str">
        <f t="shared" si="257"/>
        <v/>
      </c>
      <c r="X2018" s="1"/>
      <c r="Y2018" s="1"/>
      <c r="Z2018" s="1"/>
      <c r="AA2018" s="1"/>
      <c r="AB2018" s="1"/>
      <c r="AC2018" s="1"/>
      <c r="AD2018" s="1">
        <f>IF($C2018="",0,SUMPRODUCT((AY_SONU!$O$7:$O$42="Evet")*(AY_SONU!$B$7:$B$42=DATE(YEAR($C2018),MONTH($C2018),1))))</f>
        <v>0</v>
      </c>
      <c r="AE2018" s="1" t="str">
        <f>IF($E2018="","",$E2018&amp;"|"&amp;COUNTIFS($E$7:$E2018,$E2018))</f>
        <v/>
      </c>
    </row>
    <row r="2019" spans="1:31" ht="18" customHeight="1" x14ac:dyDescent="0.3">
      <c r="A2019" s="2"/>
      <c r="B2019" s="65" t="str">
        <f t="shared" si="250"/>
        <v/>
      </c>
      <c r="C2019" s="66"/>
      <c r="D2019" s="60"/>
      <c r="E2019" s="61"/>
      <c r="F2019" s="61"/>
      <c r="G2019" s="67"/>
      <c r="H2019" s="60"/>
      <c r="I2019" s="60"/>
      <c r="J2019" s="61"/>
      <c r="K2019" s="61"/>
      <c r="L2019" s="60"/>
      <c r="M2019" s="74" t="str">
        <f t="shared" si="251"/>
        <v/>
      </c>
      <c r="N2019" s="74" t="str">
        <f t="shared" si="252"/>
        <v/>
      </c>
      <c r="O2019" s="73" t="str">
        <f t="shared" si="253"/>
        <v/>
      </c>
      <c r="P2019" s="65" t="str">
        <f t="shared" ca="1" si="254"/>
        <v/>
      </c>
      <c r="Q2019" s="2"/>
      <c r="R2019" s="2"/>
      <c r="S2019" s="1" t="str">
        <f t="shared" si="255"/>
        <v/>
      </c>
      <c r="T2019" s="1" t="str">
        <f>IF(OR($C2019="",$D2019&lt;&gt;"Gelir",$L2019=""),"",IFERROR(INDEX(MUSTERILER!$B$7:$B$156,MATCH($S2019,MUSTERILER!$T$7:$T$156,0)),""))</f>
        <v/>
      </c>
      <c r="U2019" s="1" t="str">
        <f>IF($T2019="","",$T2019&amp;"|"&amp;COUNTIFS($T$7:$T2019,$T2019))</f>
        <v/>
      </c>
      <c r="V2019" s="1">
        <f t="shared" si="256"/>
        <v>0</v>
      </c>
      <c r="W2019" s="1" t="str">
        <f t="shared" si="257"/>
        <v/>
      </c>
      <c r="X2019" s="1"/>
      <c r="Y2019" s="1"/>
      <c r="Z2019" s="1"/>
      <c r="AA2019" s="1"/>
      <c r="AB2019" s="1"/>
      <c r="AC2019" s="1"/>
      <c r="AD2019" s="1">
        <f>IF($C2019="",0,SUMPRODUCT((AY_SONU!$O$7:$O$42="Evet")*(AY_SONU!$B$7:$B$42=DATE(YEAR($C2019),MONTH($C2019),1))))</f>
        <v>0</v>
      </c>
      <c r="AE2019" s="1" t="str">
        <f>IF($E2019="","",$E2019&amp;"|"&amp;COUNTIFS($E$7:$E2019,$E2019))</f>
        <v/>
      </c>
    </row>
    <row r="2020" spans="1:31" ht="18" customHeight="1" x14ac:dyDescent="0.3">
      <c r="A2020" s="2"/>
      <c r="B2020" s="65" t="str">
        <f t="shared" si="250"/>
        <v/>
      </c>
      <c r="C2020" s="66"/>
      <c r="D2020" s="60"/>
      <c r="E2020" s="61"/>
      <c r="F2020" s="61"/>
      <c r="G2020" s="67"/>
      <c r="H2020" s="60"/>
      <c r="I2020" s="60"/>
      <c r="J2020" s="61"/>
      <c r="K2020" s="61"/>
      <c r="L2020" s="60"/>
      <c r="M2020" s="74" t="str">
        <f t="shared" si="251"/>
        <v/>
      </c>
      <c r="N2020" s="74" t="str">
        <f t="shared" si="252"/>
        <v/>
      </c>
      <c r="O2020" s="73" t="str">
        <f t="shared" si="253"/>
        <v/>
      </c>
      <c r="P2020" s="65" t="str">
        <f t="shared" ca="1" si="254"/>
        <v/>
      </c>
      <c r="Q2020" s="2"/>
      <c r="R2020" s="2"/>
      <c r="S2020" s="1" t="str">
        <f t="shared" si="255"/>
        <v/>
      </c>
      <c r="T2020" s="1" t="str">
        <f>IF(OR($C2020="",$D2020&lt;&gt;"Gelir",$L2020=""),"",IFERROR(INDEX(MUSTERILER!$B$7:$B$156,MATCH($S2020,MUSTERILER!$T$7:$T$156,0)),""))</f>
        <v/>
      </c>
      <c r="U2020" s="1" t="str">
        <f>IF($T2020="","",$T2020&amp;"|"&amp;COUNTIFS($T$7:$T2020,$T2020))</f>
        <v/>
      </c>
      <c r="V2020" s="1">
        <f t="shared" si="256"/>
        <v>0</v>
      </c>
      <c r="W2020" s="1" t="str">
        <f t="shared" si="257"/>
        <v/>
      </c>
      <c r="X2020" s="1"/>
      <c r="Y2020" s="1"/>
      <c r="Z2020" s="1"/>
      <c r="AA2020" s="1"/>
      <c r="AB2020" s="1"/>
      <c r="AC2020" s="1"/>
      <c r="AD2020" s="1">
        <f>IF($C2020="",0,SUMPRODUCT((AY_SONU!$O$7:$O$42="Evet")*(AY_SONU!$B$7:$B$42=DATE(YEAR($C2020),MONTH($C2020),1))))</f>
        <v>0</v>
      </c>
      <c r="AE2020" s="1" t="str">
        <f>IF($E2020="","",$E2020&amp;"|"&amp;COUNTIFS($E$7:$E2020,$E2020))</f>
        <v/>
      </c>
    </row>
    <row r="2021" spans="1:31" ht="18" customHeight="1" x14ac:dyDescent="0.3">
      <c r="A2021" s="2"/>
      <c r="B2021" s="65" t="str">
        <f t="shared" si="250"/>
        <v/>
      </c>
      <c r="C2021" s="66"/>
      <c r="D2021" s="60"/>
      <c r="E2021" s="61"/>
      <c r="F2021" s="61"/>
      <c r="G2021" s="67"/>
      <c r="H2021" s="60"/>
      <c r="I2021" s="60"/>
      <c r="J2021" s="61"/>
      <c r="K2021" s="61"/>
      <c r="L2021" s="60"/>
      <c r="M2021" s="74" t="str">
        <f t="shared" si="251"/>
        <v/>
      </c>
      <c r="N2021" s="74" t="str">
        <f t="shared" si="252"/>
        <v/>
      </c>
      <c r="O2021" s="73" t="str">
        <f t="shared" si="253"/>
        <v/>
      </c>
      <c r="P2021" s="65" t="str">
        <f t="shared" ca="1" si="254"/>
        <v/>
      </c>
      <c r="Q2021" s="2"/>
      <c r="R2021" s="2"/>
      <c r="S2021" s="1" t="str">
        <f t="shared" si="255"/>
        <v/>
      </c>
      <c r="T2021" s="1" t="str">
        <f>IF(OR($C2021="",$D2021&lt;&gt;"Gelir",$L2021=""),"",IFERROR(INDEX(MUSTERILER!$B$7:$B$156,MATCH($S2021,MUSTERILER!$T$7:$T$156,0)),""))</f>
        <v/>
      </c>
      <c r="U2021" s="1" t="str">
        <f>IF($T2021="","",$T2021&amp;"|"&amp;COUNTIFS($T$7:$T2021,$T2021))</f>
        <v/>
      </c>
      <c r="V2021" s="1">
        <f t="shared" si="256"/>
        <v>0</v>
      </c>
      <c r="W2021" s="1" t="str">
        <f t="shared" si="257"/>
        <v/>
      </c>
      <c r="X2021" s="1"/>
      <c r="Y2021" s="1"/>
      <c r="Z2021" s="1"/>
      <c r="AA2021" s="1"/>
      <c r="AB2021" s="1"/>
      <c r="AC2021" s="1"/>
      <c r="AD2021" s="1">
        <f>IF($C2021="",0,SUMPRODUCT((AY_SONU!$O$7:$O$42="Evet")*(AY_SONU!$B$7:$B$42=DATE(YEAR($C2021),MONTH($C2021),1))))</f>
        <v>0</v>
      </c>
      <c r="AE2021" s="1" t="str">
        <f>IF($E2021="","",$E2021&amp;"|"&amp;COUNTIFS($E$7:$E2021,$E2021))</f>
        <v/>
      </c>
    </row>
    <row r="2022" spans="1:31" ht="18" customHeight="1" x14ac:dyDescent="0.3">
      <c r="A2022" s="2"/>
      <c r="B2022" s="65" t="str">
        <f t="shared" si="250"/>
        <v/>
      </c>
      <c r="C2022" s="66"/>
      <c r="D2022" s="60"/>
      <c r="E2022" s="61"/>
      <c r="F2022" s="61"/>
      <c r="G2022" s="67"/>
      <c r="H2022" s="60"/>
      <c r="I2022" s="60"/>
      <c r="J2022" s="61"/>
      <c r="K2022" s="61"/>
      <c r="L2022" s="60"/>
      <c r="M2022" s="74" t="str">
        <f t="shared" si="251"/>
        <v/>
      </c>
      <c r="N2022" s="74" t="str">
        <f t="shared" si="252"/>
        <v/>
      </c>
      <c r="O2022" s="73" t="str">
        <f t="shared" si="253"/>
        <v/>
      </c>
      <c r="P2022" s="65" t="str">
        <f t="shared" ca="1" si="254"/>
        <v/>
      </c>
      <c r="Q2022" s="2"/>
      <c r="R2022" s="2"/>
      <c r="S2022" s="1" t="str">
        <f t="shared" si="255"/>
        <v/>
      </c>
      <c r="T2022" s="1" t="str">
        <f>IF(OR($C2022="",$D2022&lt;&gt;"Gelir",$L2022=""),"",IFERROR(INDEX(MUSTERILER!$B$7:$B$156,MATCH($S2022,MUSTERILER!$T$7:$T$156,0)),""))</f>
        <v/>
      </c>
      <c r="U2022" s="1" t="str">
        <f>IF($T2022="","",$T2022&amp;"|"&amp;COUNTIFS($T$7:$T2022,$T2022))</f>
        <v/>
      </c>
      <c r="V2022" s="1">
        <f t="shared" si="256"/>
        <v>0</v>
      </c>
      <c r="W2022" s="1" t="str">
        <f t="shared" si="257"/>
        <v/>
      </c>
      <c r="X2022" s="1"/>
      <c r="Y2022" s="1"/>
      <c r="Z2022" s="1"/>
      <c r="AA2022" s="1"/>
      <c r="AB2022" s="1"/>
      <c r="AC2022" s="1"/>
      <c r="AD2022" s="1">
        <f>IF($C2022="",0,SUMPRODUCT((AY_SONU!$O$7:$O$42="Evet")*(AY_SONU!$B$7:$B$42=DATE(YEAR($C2022),MONTH($C2022),1))))</f>
        <v>0</v>
      </c>
      <c r="AE2022" s="1" t="str">
        <f>IF($E2022="","",$E2022&amp;"|"&amp;COUNTIFS($E$7:$E2022,$E2022))</f>
        <v/>
      </c>
    </row>
    <row r="2023" spans="1:31" ht="18" customHeight="1" x14ac:dyDescent="0.3">
      <c r="A2023" s="2"/>
      <c r="B2023" s="65" t="str">
        <f t="shared" si="250"/>
        <v/>
      </c>
      <c r="C2023" s="66"/>
      <c r="D2023" s="60"/>
      <c r="E2023" s="61"/>
      <c r="F2023" s="61"/>
      <c r="G2023" s="67"/>
      <c r="H2023" s="60"/>
      <c r="I2023" s="60"/>
      <c r="J2023" s="61"/>
      <c r="K2023" s="61"/>
      <c r="L2023" s="60"/>
      <c r="M2023" s="74" t="str">
        <f t="shared" si="251"/>
        <v/>
      </c>
      <c r="N2023" s="74" t="str">
        <f t="shared" si="252"/>
        <v/>
      </c>
      <c r="O2023" s="73" t="str">
        <f t="shared" si="253"/>
        <v/>
      </c>
      <c r="P2023" s="65" t="str">
        <f t="shared" ca="1" si="254"/>
        <v/>
      </c>
      <c r="Q2023" s="2"/>
      <c r="R2023" s="2"/>
      <c r="S2023" s="1" t="str">
        <f t="shared" si="255"/>
        <v/>
      </c>
      <c r="T2023" s="1" t="str">
        <f>IF(OR($C2023="",$D2023&lt;&gt;"Gelir",$L2023=""),"",IFERROR(INDEX(MUSTERILER!$B$7:$B$156,MATCH($S2023,MUSTERILER!$T$7:$T$156,0)),""))</f>
        <v/>
      </c>
      <c r="U2023" s="1" t="str">
        <f>IF($T2023="","",$T2023&amp;"|"&amp;COUNTIFS($T$7:$T2023,$T2023))</f>
        <v/>
      </c>
      <c r="V2023" s="1">
        <f t="shared" si="256"/>
        <v>0</v>
      </c>
      <c r="W2023" s="1" t="str">
        <f t="shared" si="257"/>
        <v/>
      </c>
      <c r="X2023" s="1"/>
      <c r="Y2023" s="1"/>
      <c r="Z2023" s="1"/>
      <c r="AA2023" s="1"/>
      <c r="AB2023" s="1"/>
      <c r="AC2023" s="1"/>
      <c r="AD2023" s="1">
        <f>IF($C2023="",0,SUMPRODUCT((AY_SONU!$O$7:$O$42="Evet")*(AY_SONU!$B$7:$B$42=DATE(YEAR($C2023),MONTH($C2023),1))))</f>
        <v>0</v>
      </c>
      <c r="AE2023" s="1" t="str">
        <f>IF($E2023="","",$E2023&amp;"|"&amp;COUNTIFS($E$7:$E2023,$E2023))</f>
        <v/>
      </c>
    </row>
    <row r="2024" spans="1:31" ht="18" customHeight="1" x14ac:dyDescent="0.3">
      <c r="A2024" s="2"/>
      <c r="B2024" s="65" t="str">
        <f t="shared" si="250"/>
        <v/>
      </c>
      <c r="C2024" s="66"/>
      <c r="D2024" s="60"/>
      <c r="E2024" s="61"/>
      <c r="F2024" s="61"/>
      <c r="G2024" s="67"/>
      <c r="H2024" s="60"/>
      <c r="I2024" s="60"/>
      <c r="J2024" s="61"/>
      <c r="K2024" s="61"/>
      <c r="L2024" s="60"/>
      <c r="M2024" s="74" t="str">
        <f t="shared" si="251"/>
        <v/>
      </c>
      <c r="N2024" s="74" t="str">
        <f t="shared" si="252"/>
        <v/>
      </c>
      <c r="O2024" s="73" t="str">
        <f t="shared" si="253"/>
        <v/>
      </c>
      <c r="P2024" s="65" t="str">
        <f t="shared" ca="1" si="254"/>
        <v/>
      </c>
      <c r="Q2024" s="2"/>
      <c r="R2024" s="2"/>
      <c r="S2024" s="1" t="str">
        <f t="shared" si="255"/>
        <v/>
      </c>
      <c r="T2024" s="1" t="str">
        <f>IF(OR($C2024="",$D2024&lt;&gt;"Gelir",$L2024=""),"",IFERROR(INDEX(MUSTERILER!$B$7:$B$156,MATCH($S2024,MUSTERILER!$T$7:$T$156,0)),""))</f>
        <v/>
      </c>
      <c r="U2024" s="1" t="str">
        <f>IF($T2024="","",$T2024&amp;"|"&amp;COUNTIFS($T$7:$T2024,$T2024))</f>
        <v/>
      </c>
      <c r="V2024" s="1">
        <f t="shared" si="256"/>
        <v>0</v>
      </c>
      <c r="W2024" s="1" t="str">
        <f t="shared" si="257"/>
        <v/>
      </c>
      <c r="X2024" s="1"/>
      <c r="Y2024" s="1"/>
      <c r="Z2024" s="1"/>
      <c r="AA2024" s="1"/>
      <c r="AB2024" s="1"/>
      <c r="AC2024" s="1"/>
      <c r="AD2024" s="1">
        <f>IF($C2024="",0,SUMPRODUCT((AY_SONU!$O$7:$O$42="Evet")*(AY_SONU!$B$7:$B$42=DATE(YEAR($C2024),MONTH($C2024),1))))</f>
        <v>0</v>
      </c>
      <c r="AE2024" s="1" t="str">
        <f>IF($E2024="","",$E2024&amp;"|"&amp;COUNTIFS($E$7:$E2024,$E2024))</f>
        <v/>
      </c>
    </row>
    <row r="2025" spans="1:31" ht="18" customHeight="1" x14ac:dyDescent="0.3">
      <c r="A2025" s="2"/>
      <c r="B2025" s="65" t="str">
        <f t="shared" si="250"/>
        <v/>
      </c>
      <c r="C2025" s="66"/>
      <c r="D2025" s="60"/>
      <c r="E2025" s="61"/>
      <c r="F2025" s="61"/>
      <c r="G2025" s="67"/>
      <c r="H2025" s="60"/>
      <c r="I2025" s="60"/>
      <c r="J2025" s="61"/>
      <c r="K2025" s="61"/>
      <c r="L2025" s="60"/>
      <c r="M2025" s="74" t="str">
        <f t="shared" si="251"/>
        <v/>
      </c>
      <c r="N2025" s="74" t="str">
        <f t="shared" si="252"/>
        <v/>
      </c>
      <c r="O2025" s="73" t="str">
        <f t="shared" si="253"/>
        <v/>
      </c>
      <c r="P2025" s="65" t="str">
        <f t="shared" ca="1" si="254"/>
        <v/>
      </c>
      <c r="Q2025" s="2"/>
      <c r="R2025" s="2"/>
      <c r="S2025" s="1" t="str">
        <f t="shared" si="255"/>
        <v/>
      </c>
      <c r="T2025" s="1" t="str">
        <f>IF(OR($C2025="",$D2025&lt;&gt;"Gelir",$L2025=""),"",IFERROR(INDEX(MUSTERILER!$B$7:$B$156,MATCH($S2025,MUSTERILER!$T$7:$T$156,0)),""))</f>
        <v/>
      </c>
      <c r="U2025" s="1" t="str">
        <f>IF($T2025="","",$T2025&amp;"|"&amp;COUNTIFS($T$7:$T2025,$T2025))</f>
        <v/>
      </c>
      <c r="V2025" s="1">
        <f t="shared" si="256"/>
        <v>0</v>
      </c>
      <c r="W2025" s="1" t="str">
        <f t="shared" si="257"/>
        <v/>
      </c>
      <c r="X2025" s="1"/>
      <c r="Y2025" s="1"/>
      <c r="Z2025" s="1"/>
      <c r="AA2025" s="1"/>
      <c r="AB2025" s="1"/>
      <c r="AC2025" s="1"/>
      <c r="AD2025" s="1">
        <f>IF($C2025="",0,SUMPRODUCT((AY_SONU!$O$7:$O$42="Evet")*(AY_SONU!$B$7:$B$42=DATE(YEAR($C2025),MONTH($C2025),1))))</f>
        <v>0</v>
      </c>
      <c r="AE2025" s="1" t="str">
        <f>IF($E2025="","",$E2025&amp;"|"&amp;COUNTIFS($E$7:$E2025,$E2025))</f>
        <v/>
      </c>
    </row>
    <row r="2026" spans="1:31" ht="18" customHeight="1" x14ac:dyDescent="0.3">
      <c r="A2026" s="2"/>
      <c r="B2026" s="65" t="str">
        <f t="shared" si="250"/>
        <v/>
      </c>
      <c r="C2026" s="66"/>
      <c r="D2026" s="60"/>
      <c r="E2026" s="61"/>
      <c r="F2026" s="61"/>
      <c r="G2026" s="67"/>
      <c r="H2026" s="60"/>
      <c r="I2026" s="60"/>
      <c r="J2026" s="61"/>
      <c r="K2026" s="61"/>
      <c r="L2026" s="60"/>
      <c r="M2026" s="74" t="str">
        <f t="shared" si="251"/>
        <v/>
      </c>
      <c r="N2026" s="74" t="str">
        <f t="shared" si="252"/>
        <v/>
      </c>
      <c r="O2026" s="73" t="str">
        <f t="shared" si="253"/>
        <v/>
      </c>
      <c r="P2026" s="65" t="str">
        <f t="shared" ca="1" si="254"/>
        <v/>
      </c>
      <c r="Q2026" s="2"/>
      <c r="R2026" s="2"/>
      <c r="S2026" s="1" t="str">
        <f t="shared" si="255"/>
        <v/>
      </c>
      <c r="T2026" s="1" t="str">
        <f>IF(OR($C2026="",$D2026&lt;&gt;"Gelir",$L2026=""),"",IFERROR(INDEX(MUSTERILER!$B$7:$B$156,MATCH($S2026,MUSTERILER!$T$7:$T$156,0)),""))</f>
        <v/>
      </c>
      <c r="U2026" s="1" t="str">
        <f>IF($T2026="","",$T2026&amp;"|"&amp;COUNTIFS($T$7:$T2026,$T2026))</f>
        <v/>
      </c>
      <c r="V2026" s="1">
        <f t="shared" si="256"/>
        <v>0</v>
      </c>
      <c r="W2026" s="1" t="str">
        <f t="shared" si="257"/>
        <v/>
      </c>
      <c r="X2026" s="1"/>
      <c r="Y2026" s="1"/>
      <c r="Z2026" s="1"/>
      <c r="AA2026" s="1"/>
      <c r="AB2026" s="1"/>
      <c r="AC2026" s="1"/>
      <c r="AD2026" s="1">
        <f>IF($C2026="",0,SUMPRODUCT((AY_SONU!$O$7:$O$42="Evet")*(AY_SONU!$B$7:$B$42=DATE(YEAR($C2026),MONTH($C2026),1))))</f>
        <v>0</v>
      </c>
      <c r="AE2026" s="1" t="str">
        <f>IF($E2026="","",$E2026&amp;"|"&amp;COUNTIFS($E$7:$E2026,$E2026))</f>
        <v/>
      </c>
    </row>
    <row r="2027" spans="1:31" ht="18" customHeight="1" x14ac:dyDescent="0.3">
      <c r="A2027" s="2"/>
      <c r="B2027" s="65" t="str">
        <f t="shared" si="250"/>
        <v/>
      </c>
      <c r="C2027" s="66"/>
      <c r="D2027" s="60"/>
      <c r="E2027" s="61"/>
      <c r="F2027" s="61"/>
      <c r="G2027" s="67"/>
      <c r="H2027" s="60"/>
      <c r="I2027" s="60"/>
      <c r="J2027" s="61"/>
      <c r="K2027" s="61"/>
      <c r="L2027" s="60"/>
      <c r="M2027" s="74" t="str">
        <f t="shared" si="251"/>
        <v/>
      </c>
      <c r="N2027" s="74" t="str">
        <f t="shared" si="252"/>
        <v/>
      </c>
      <c r="O2027" s="73" t="str">
        <f t="shared" si="253"/>
        <v/>
      </c>
      <c r="P2027" s="65" t="str">
        <f t="shared" ca="1" si="254"/>
        <v/>
      </c>
      <c r="Q2027" s="2"/>
      <c r="R2027" s="2"/>
      <c r="S2027" s="1" t="str">
        <f t="shared" si="255"/>
        <v/>
      </c>
      <c r="T2027" s="1" t="str">
        <f>IF(OR($C2027="",$D2027&lt;&gt;"Gelir",$L2027=""),"",IFERROR(INDEX(MUSTERILER!$B$7:$B$156,MATCH($S2027,MUSTERILER!$T$7:$T$156,0)),""))</f>
        <v/>
      </c>
      <c r="U2027" s="1" t="str">
        <f>IF($T2027="","",$T2027&amp;"|"&amp;COUNTIFS($T$7:$T2027,$T2027))</f>
        <v/>
      </c>
      <c r="V2027" s="1">
        <f t="shared" si="256"/>
        <v>0</v>
      </c>
      <c r="W2027" s="1" t="str">
        <f t="shared" si="257"/>
        <v/>
      </c>
      <c r="X2027" s="1"/>
      <c r="Y2027" s="1"/>
      <c r="Z2027" s="1"/>
      <c r="AA2027" s="1"/>
      <c r="AB2027" s="1"/>
      <c r="AC2027" s="1"/>
      <c r="AD2027" s="1">
        <f>IF($C2027="",0,SUMPRODUCT((AY_SONU!$O$7:$O$42="Evet")*(AY_SONU!$B$7:$B$42=DATE(YEAR($C2027),MONTH($C2027),1))))</f>
        <v>0</v>
      </c>
      <c r="AE2027" s="1" t="str">
        <f>IF($E2027="","",$E2027&amp;"|"&amp;COUNTIFS($E$7:$E2027,$E2027))</f>
        <v/>
      </c>
    </row>
    <row r="2028" spans="1:31" ht="18" customHeight="1" x14ac:dyDescent="0.3">
      <c r="A2028" s="2"/>
      <c r="B2028" s="65" t="str">
        <f t="shared" si="250"/>
        <v/>
      </c>
      <c r="C2028" s="66"/>
      <c r="D2028" s="60"/>
      <c r="E2028" s="61"/>
      <c r="F2028" s="61"/>
      <c r="G2028" s="67"/>
      <c r="H2028" s="60"/>
      <c r="I2028" s="60"/>
      <c r="J2028" s="61"/>
      <c r="K2028" s="61"/>
      <c r="L2028" s="60"/>
      <c r="M2028" s="74" t="str">
        <f t="shared" si="251"/>
        <v/>
      </c>
      <c r="N2028" s="74" t="str">
        <f t="shared" si="252"/>
        <v/>
      </c>
      <c r="O2028" s="73" t="str">
        <f t="shared" si="253"/>
        <v/>
      </c>
      <c r="P2028" s="65" t="str">
        <f t="shared" ca="1" si="254"/>
        <v/>
      </c>
      <c r="Q2028" s="2"/>
      <c r="R2028" s="2"/>
      <c r="S2028" s="1" t="str">
        <f t="shared" si="255"/>
        <v/>
      </c>
      <c r="T2028" s="1" t="str">
        <f>IF(OR($C2028="",$D2028&lt;&gt;"Gelir",$L2028=""),"",IFERROR(INDEX(MUSTERILER!$B$7:$B$156,MATCH($S2028,MUSTERILER!$T$7:$T$156,0)),""))</f>
        <v/>
      </c>
      <c r="U2028" s="1" t="str">
        <f>IF($T2028="","",$T2028&amp;"|"&amp;COUNTIFS($T$7:$T2028,$T2028))</f>
        <v/>
      </c>
      <c r="V2028" s="1">
        <f t="shared" si="256"/>
        <v>0</v>
      </c>
      <c r="W2028" s="1" t="str">
        <f t="shared" si="257"/>
        <v/>
      </c>
      <c r="X2028" s="1"/>
      <c r="Y2028" s="1"/>
      <c r="Z2028" s="1"/>
      <c r="AA2028" s="1"/>
      <c r="AB2028" s="1"/>
      <c r="AC2028" s="1"/>
      <c r="AD2028" s="1">
        <f>IF($C2028="",0,SUMPRODUCT((AY_SONU!$O$7:$O$42="Evet")*(AY_SONU!$B$7:$B$42=DATE(YEAR($C2028),MONTH($C2028),1))))</f>
        <v>0</v>
      </c>
      <c r="AE2028" s="1" t="str">
        <f>IF($E2028="","",$E2028&amp;"|"&amp;COUNTIFS($E$7:$E2028,$E2028))</f>
        <v/>
      </c>
    </row>
    <row r="2029" spans="1:31" ht="18" customHeight="1" x14ac:dyDescent="0.3">
      <c r="A2029" s="2"/>
      <c r="B2029" s="65" t="str">
        <f t="shared" si="250"/>
        <v/>
      </c>
      <c r="C2029" s="66"/>
      <c r="D2029" s="60"/>
      <c r="E2029" s="61"/>
      <c r="F2029" s="61"/>
      <c r="G2029" s="67"/>
      <c r="H2029" s="60"/>
      <c r="I2029" s="60"/>
      <c r="J2029" s="61"/>
      <c r="K2029" s="61"/>
      <c r="L2029" s="60"/>
      <c r="M2029" s="74" t="str">
        <f t="shared" si="251"/>
        <v/>
      </c>
      <c r="N2029" s="74" t="str">
        <f t="shared" si="252"/>
        <v/>
      </c>
      <c r="O2029" s="73" t="str">
        <f t="shared" si="253"/>
        <v/>
      </c>
      <c r="P2029" s="65" t="str">
        <f t="shared" ca="1" si="254"/>
        <v/>
      </c>
      <c r="Q2029" s="2"/>
      <c r="R2029" s="2"/>
      <c r="S2029" s="1" t="str">
        <f t="shared" si="255"/>
        <v/>
      </c>
      <c r="T2029" s="1" t="str">
        <f>IF(OR($C2029="",$D2029&lt;&gt;"Gelir",$L2029=""),"",IFERROR(INDEX(MUSTERILER!$B$7:$B$156,MATCH($S2029,MUSTERILER!$T$7:$T$156,0)),""))</f>
        <v/>
      </c>
      <c r="U2029" s="1" t="str">
        <f>IF($T2029="","",$T2029&amp;"|"&amp;COUNTIFS($T$7:$T2029,$T2029))</f>
        <v/>
      </c>
      <c r="V2029" s="1">
        <f t="shared" si="256"/>
        <v>0</v>
      </c>
      <c r="W2029" s="1" t="str">
        <f t="shared" si="257"/>
        <v/>
      </c>
      <c r="X2029" s="1"/>
      <c r="Y2029" s="1"/>
      <c r="Z2029" s="1"/>
      <c r="AA2029" s="1"/>
      <c r="AB2029" s="1"/>
      <c r="AC2029" s="1"/>
      <c r="AD2029" s="1">
        <f>IF($C2029="",0,SUMPRODUCT((AY_SONU!$O$7:$O$42="Evet")*(AY_SONU!$B$7:$B$42=DATE(YEAR($C2029),MONTH($C2029),1))))</f>
        <v>0</v>
      </c>
      <c r="AE2029" s="1" t="str">
        <f>IF($E2029="","",$E2029&amp;"|"&amp;COUNTIFS($E$7:$E2029,$E2029))</f>
        <v/>
      </c>
    </row>
    <row r="2030" spans="1:31" ht="18" customHeight="1" x14ac:dyDescent="0.3">
      <c r="A2030" s="2"/>
      <c r="B2030" s="65" t="str">
        <f t="shared" si="250"/>
        <v/>
      </c>
      <c r="C2030" s="66"/>
      <c r="D2030" s="60"/>
      <c r="E2030" s="61"/>
      <c r="F2030" s="61"/>
      <c r="G2030" s="67"/>
      <c r="H2030" s="60"/>
      <c r="I2030" s="60"/>
      <c r="J2030" s="61"/>
      <c r="K2030" s="61"/>
      <c r="L2030" s="60"/>
      <c r="M2030" s="74" t="str">
        <f t="shared" si="251"/>
        <v/>
      </c>
      <c r="N2030" s="74" t="str">
        <f t="shared" si="252"/>
        <v/>
      </c>
      <c r="O2030" s="73" t="str">
        <f t="shared" si="253"/>
        <v/>
      </c>
      <c r="P2030" s="65" t="str">
        <f t="shared" ca="1" si="254"/>
        <v/>
      </c>
      <c r="Q2030" s="2"/>
      <c r="R2030" s="2"/>
      <c r="S2030" s="1" t="str">
        <f t="shared" si="255"/>
        <v/>
      </c>
      <c r="T2030" s="1" t="str">
        <f>IF(OR($C2030="",$D2030&lt;&gt;"Gelir",$L2030=""),"",IFERROR(INDEX(MUSTERILER!$B$7:$B$156,MATCH($S2030,MUSTERILER!$T$7:$T$156,0)),""))</f>
        <v/>
      </c>
      <c r="U2030" s="1" t="str">
        <f>IF($T2030="","",$T2030&amp;"|"&amp;COUNTIFS($T$7:$T2030,$T2030))</f>
        <v/>
      </c>
      <c r="V2030" s="1">
        <f t="shared" si="256"/>
        <v>0</v>
      </c>
      <c r="W2030" s="1" t="str">
        <f t="shared" si="257"/>
        <v/>
      </c>
      <c r="X2030" s="1"/>
      <c r="Y2030" s="1"/>
      <c r="Z2030" s="1"/>
      <c r="AA2030" s="1"/>
      <c r="AB2030" s="1"/>
      <c r="AC2030" s="1"/>
      <c r="AD2030" s="1">
        <f>IF($C2030="",0,SUMPRODUCT((AY_SONU!$O$7:$O$42="Evet")*(AY_SONU!$B$7:$B$42=DATE(YEAR($C2030),MONTH($C2030),1))))</f>
        <v>0</v>
      </c>
      <c r="AE2030" s="1" t="str">
        <f>IF($E2030="","",$E2030&amp;"|"&amp;COUNTIFS($E$7:$E2030,$E2030))</f>
        <v/>
      </c>
    </row>
    <row r="2031" spans="1:31" ht="18" customHeight="1" x14ac:dyDescent="0.3">
      <c r="A2031" s="2"/>
      <c r="B2031" s="65" t="str">
        <f t="shared" si="250"/>
        <v/>
      </c>
      <c r="C2031" s="66"/>
      <c r="D2031" s="60"/>
      <c r="E2031" s="61"/>
      <c r="F2031" s="61"/>
      <c r="G2031" s="67"/>
      <c r="H2031" s="60"/>
      <c r="I2031" s="60"/>
      <c r="J2031" s="61"/>
      <c r="K2031" s="61"/>
      <c r="L2031" s="60"/>
      <c r="M2031" s="74" t="str">
        <f t="shared" si="251"/>
        <v/>
      </c>
      <c r="N2031" s="74" t="str">
        <f t="shared" si="252"/>
        <v/>
      </c>
      <c r="O2031" s="73" t="str">
        <f t="shared" si="253"/>
        <v/>
      </c>
      <c r="P2031" s="65" t="str">
        <f t="shared" ca="1" si="254"/>
        <v/>
      </c>
      <c r="Q2031" s="2"/>
      <c r="R2031" s="2"/>
      <c r="S2031" s="1" t="str">
        <f t="shared" si="255"/>
        <v/>
      </c>
      <c r="T2031" s="1" t="str">
        <f>IF(OR($C2031="",$D2031&lt;&gt;"Gelir",$L2031=""),"",IFERROR(INDEX(MUSTERILER!$B$7:$B$156,MATCH($S2031,MUSTERILER!$T$7:$T$156,0)),""))</f>
        <v/>
      </c>
      <c r="U2031" s="1" t="str">
        <f>IF($T2031="","",$T2031&amp;"|"&amp;COUNTIFS($T$7:$T2031,$T2031))</f>
        <v/>
      </c>
      <c r="V2031" s="1">
        <f t="shared" si="256"/>
        <v>0</v>
      </c>
      <c r="W2031" s="1" t="str">
        <f t="shared" si="257"/>
        <v/>
      </c>
      <c r="X2031" s="1"/>
      <c r="Y2031" s="1"/>
      <c r="Z2031" s="1"/>
      <c r="AA2031" s="1"/>
      <c r="AB2031" s="1"/>
      <c r="AC2031" s="1"/>
      <c r="AD2031" s="1">
        <f>IF($C2031="",0,SUMPRODUCT((AY_SONU!$O$7:$O$42="Evet")*(AY_SONU!$B$7:$B$42=DATE(YEAR($C2031),MONTH($C2031),1))))</f>
        <v>0</v>
      </c>
      <c r="AE2031" s="1" t="str">
        <f>IF($E2031="","",$E2031&amp;"|"&amp;COUNTIFS($E$7:$E2031,$E2031))</f>
        <v/>
      </c>
    </row>
    <row r="2032" spans="1:31" ht="18" customHeight="1" x14ac:dyDescent="0.3">
      <c r="A2032" s="2"/>
      <c r="B2032" s="65" t="str">
        <f t="shared" si="250"/>
        <v/>
      </c>
      <c r="C2032" s="66"/>
      <c r="D2032" s="60"/>
      <c r="E2032" s="61"/>
      <c r="F2032" s="61"/>
      <c r="G2032" s="67"/>
      <c r="H2032" s="60"/>
      <c r="I2032" s="60"/>
      <c r="J2032" s="61"/>
      <c r="K2032" s="61"/>
      <c r="L2032" s="60"/>
      <c r="M2032" s="74" t="str">
        <f t="shared" si="251"/>
        <v/>
      </c>
      <c r="N2032" s="74" t="str">
        <f t="shared" si="252"/>
        <v/>
      </c>
      <c r="O2032" s="73" t="str">
        <f t="shared" si="253"/>
        <v/>
      </c>
      <c r="P2032" s="65" t="str">
        <f t="shared" ca="1" si="254"/>
        <v/>
      </c>
      <c r="Q2032" s="2"/>
      <c r="R2032" s="2"/>
      <c r="S2032" s="1" t="str">
        <f t="shared" si="255"/>
        <v/>
      </c>
      <c r="T2032" s="1" t="str">
        <f>IF(OR($C2032="",$D2032&lt;&gt;"Gelir",$L2032=""),"",IFERROR(INDEX(MUSTERILER!$B$7:$B$156,MATCH($S2032,MUSTERILER!$T$7:$T$156,0)),""))</f>
        <v/>
      </c>
      <c r="U2032" s="1" t="str">
        <f>IF($T2032="","",$T2032&amp;"|"&amp;COUNTIFS($T$7:$T2032,$T2032))</f>
        <v/>
      </c>
      <c r="V2032" s="1">
        <f t="shared" si="256"/>
        <v>0</v>
      </c>
      <c r="W2032" s="1" t="str">
        <f t="shared" si="257"/>
        <v/>
      </c>
      <c r="X2032" s="1"/>
      <c r="Y2032" s="1"/>
      <c r="Z2032" s="1"/>
      <c r="AA2032" s="1"/>
      <c r="AB2032" s="1"/>
      <c r="AC2032" s="1"/>
      <c r="AD2032" s="1">
        <f>IF($C2032="",0,SUMPRODUCT((AY_SONU!$O$7:$O$42="Evet")*(AY_SONU!$B$7:$B$42=DATE(YEAR($C2032),MONTH($C2032),1))))</f>
        <v>0</v>
      </c>
      <c r="AE2032" s="1" t="str">
        <f>IF($E2032="","",$E2032&amp;"|"&amp;COUNTIFS($E$7:$E2032,$E2032))</f>
        <v/>
      </c>
    </row>
    <row r="2033" spans="1:31" ht="18" customHeight="1" x14ac:dyDescent="0.3">
      <c r="A2033" s="2"/>
      <c r="B2033" s="65" t="str">
        <f t="shared" si="250"/>
        <v/>
      </c>
      <c r="C2033" s="66"/>
      <c r="D2033" s="60"/>
      <c r="E2033" s="61"/>
      <c r="F2033" s="61"/>
      <c r="G2033" s="67"/>
      <c r="H2033" s="60"/>
      <c r="I2033" s="60"/>
      <c r="J2033" s="61"/>
      <c r="K2033" s="61"/>
      <c r="L2033" s="60"/>
      <c r="M2033" s="74" t="str">
        <f t="shared" si="251"/>
        <v/>
      </c>
      <c r="N2033" s="74" t="str">
        <f t="shared" si="252"/>
        <v/>
      </c>
      <c r="O2033" s="73" t="str">
        <f t="shared" si="253"/>
        <v/>
      </c>
      <c r="P2033" s="65" t="str">
        <f t="shared" ca="1" si="254"/>
        <v/>
      </c>
      <c r="Q2033" s="2"/>
      <c r="R2033" s="2"/>
      <c r="S2033" s="1" t="str">
        <f t="shared" si="255"/>
        <v/>
      </c>
      <c r="T2033" s="1" t="str">
        <f>IF(OR($C2033="",$D2033&lt;&gt;"Gelir",$L2033=""),"",IFERROR(INDEX(MUSTERILER!$B$7:$B$156,MATCH($S2033,MUSTERILER!$T$7:$T$156,0)),""))</f>
        <v/>
      </c>
      <c r="U2033" s="1" t="str">
        <f>IF($T2033="","",$T2033&amp;"|"&amp;COUNTIFS($T$7:$T2033,$T2033))</f>
        <v/>
      </c>
      <c r="V2033" s="1">
        <f t="shared" si="256"/>
        <v>0</v>
      </c>
      <c r="W2033" s="1" t="str">
        <f t="shared" si="257"/>
        <v/>
      </c>
      <c r="X2033" s="1"/>
      <c r="Y2033" s="1"/>
      <c r="Z2033" s="1"/>
      <c r="AA2033" s="1"/>
      <c r="AB2033" s="1"/>
      <c r="AC2033" s="1"/>
      <c r="AD2033" s="1">
        <f>IF($C2033="",0,SUMPRODUCT((AY_SONU!$O$7:$O$42="Evet")*(AY_SONU!$B$7:$B$42=DATE(YEAR($C2033),MONTH($C2033),1))))</f>
        <v>0</v>
      </c>
      <c r="AE2033" s="1" t="str">
        <f>IF($E2033="","",$E2033&amp;"|"&amp;COUNTIFS($E$7:$E2033,$E2033))</f>
        <v/>
      </c>
    </row>
    <row r="2034" spans="1:31" ht="18" customHeight="1" x14ac:dyDescent="0.3">
      <c r="A2034" s="2"/>
      <c r="B2034" s="65" t="str">
        <f t="shared" si="250"/>
        <v/>
      </c>
      <c r="C2034" s="66"/>
      <c r="D2034" s="60"/>
      <c r="E2034" s="61"/>
      <c r="F2034" s="61"/>
      <c r="G2034" s="67"/>
      <c r="H2034" s="60"/>
      <c r="I2034" s="60"/>
      <c r="J2034" s="61"/>
      <c r="K2034" s="61"/>
      <c r="L2034" s="60"/>
      <c r="M2034" s="74" t="str">
        <f t="shared" si="251"/>
        <v/>
      </c>
      <c r="N2034" s="74" t="str">
        <f t="shared" si="252"/>
        <v/>
      </c>
      <c r="O2034" s="73" t="str">
        <f t="shared" si="253"/>
        <v/>
      </c>
      <c r="P2034" s="65" t="str">
        <f t="shared" ca="1" si="254"/>
        <v/>
      </c>
      <c r="Q2034" s="2"/>
      <c r="R2034" s="2"/>
      <c r="S2034" s="1" t="str">
        <f t="shared" si="255"/>
        <v/>
      </c>
      <c r="T2034" s="1" t="str">
        <f>IF(OR($C2034="",$D2034&lt;&gt;"Gelir",$L2034=""),"",IFERROR(INDEX(MUSTERILER!$B$7:$B$156,MATCH($S2034,MUSTERILER!$T$7:$T$156,0)),""))</f>
        <v/>
      </c>
      <c r="U2034" s="1" t="str">
        <f>IF($T2034="","",$T2034&amp;"|"&amp;COUNTIFS($T$7:$T2034,$T2034))</f>
        <v/>
      </c>
      <c r="V2034" s="1">
        <f t="shared" si="256"/>
        <v>0</v>
      </c>
      <c r="W2034" s="1" t="str">
        <f t="shared" si="257"/>
        <v/>
      </c>
      <c r="X2034" s="1"/>
      <c r="Y2034" s="1"/>
      <c r="Z2034" s="1"/>
      <c r="AA2034" s="1"/>
      <c r="AB2034" s="1"/>
      <c r="AC2034" s="1"/>
      <c r="AD2034" s="1">
        <f>IF($C2034="",0,SUMPRODUCT((AY_SONU!$O$7:$O$42="Evet")*(AY_SONU!$B$7:$B$42=DATE(YEAR($C2034),MONTH($C2034),1))))</f>
        <v>0</v>
      </c>
      <c r="AE2034" s="1" t="str">
        <f>IF($E2034="","",$E2034&amp;"|"&amp;COUNTIFS($E$7:$E2034,$E2034))</f>
        <v/>
      </c>
    </row>
    <row r="2035" spans="1:31" ht="18" customHeight="1" x14ac:dyDescent="0.3">
      <c r="A2035" s="2"/>
      <c r="B2035" s="65" t="str">
        <f t="shared" si="250"/>
        <v/>
      </c>
      <c r="C2035" s="66"/>
      <c r="D2035" s="60"/>
      <c r="E2035" s="61"/>
      <c r="F2035" s="61"/>
      <c r="G2035" s="67"/>
      <c r="H2035" s="60"/>
      <c r="I2035" s="60"/>
      <c r="J2035" s="61"/>
      <c r="K2035" s="61"/>
      <c r="L2035" s="60"/>
      <c r="M2035" s="74" t="str">
        <f t="shared" si="251"/>
        <v/>
      </c>
      <c r="N2035" s="74" t="str">
        <f t="shared" si="252"/>
        <v/>
      </c>
      <c r="O2035" s="73" t="str">
        <f t="shared" si="253"/>
        <v/>
      </c>
      <c r="P2035" s="65" t="str">
        <f t="shared" ca="1" si="254"/>
        <v/>
      </c>
      <c r="Q2035" s="2"/>
      <c r="R2035" s="2"/>
      <c r="S2035" s="1" t="str">
        <f t="shared" si="255"/>
        <v/>
      </c>
      <c r="T2035" s="1" t="str">
        <f>IF(OR($C2035="",$D2035&lt;&gt;"Gelir",$L2035=""),"",IFERROR(INDEX(MUSTERILER!$B$7:$B$156,MATCH($S2035,MUSTERILER!$T$7:$T$156,0)),""))</f>
        <v/>
      </c>
      <c r="U2035" s="1" t="str">
        <f>IF($T2035="","",$T2035&amp;"|"&amp;COUNTIFS($T$7:$T2035,$T2035))</f>
        <v/>
      </c>
      <c r="V2035" s="1">
        <f t="shared" si="256"/>
        <v>0</v>
      </c>
      <c r="W2035" s="1" t="str">
        <f t="shared" si="257"/>
        <v/>
      </c>
      <c r="X2035" s="1"/>
      <c r="Y2035" s="1"/>
      <c r="Z2035" s="1"/>
      <c r="AA2035" s="1"/>
      <c r="AB2035" s="1"/>
      <c r="AC2035" s="1"/>
      <c r="AD2035" s="1">
        <f>IF($C2035="",0,SUMPRODUCT((AY_SONU!$O$7:$O$42="Evet")*(AY_SONU!$B$7:$B$42=DATE(YEAR($C2035),MONTH($C2035),1))))</f>
        <v>0</v>
      </c>
      <c r="AE2035" s="1" t="str">
        <f>IF($E2035="","",$E2035&amp;"|"&amp;COUNTIFS($E$7:$E2035,$E2035))</f>
        <v/>
      </c>
    </row>
    <row r="2036" spans="1:31" ht="18" customHeight="1" x14ac:dyDescent="0.3">
      <c r="A2036" s="2"/>
      <c r="B2036" s="65" t="str">
        <f t="shared" si="250"/>
        <v/>
      </c>
      <c r="C2036" s="66"/>
      <c r="D2036" s="60"/>
      <c r="E2036" s="61"/>
      <c r="F2036" s="61"/>
      <c r="G2036" s="67"/>
      <c r="H2036" s="60"/>
      <c r="I2036" s="60"/>
      <c r="J2036" s="61"/>
      <c r="K2036" s="61"/>
      <c r="L2036" s="60"/>
      <c r="M2036" s="74" t="str">
        <f t="shared" si="251"/>
        <v/>
      </c>
      <c r="N2036" s="74" t="str">
        <f t="shared" si="252"/>
        <v/>
      </c>
      <c r="O2036" s="73" t="str">
        <f t="shared" si="253"/>
        <v/>
      </c>
      <c r="P2036" s="65" t="str">
        <f t="shared" ca="1" si="254"/>
        <v/>
      </c>
      <c r="Q2036" s="2"/>
      <c r="R2036" s="2"/>
      <c r="S2036" s="1" t="str">
        <f t="shared" si="255"/>
        <v/>
      </c>
      <c r="T2036" s="1" t="str">
        <f>IF(OR($C2036="",$D2036&lt;&gt;"Gelir",$L2036=""),"",IFERROR(INDEX(MUSTERILER!$B$7:$B$156,MATCH($S2036,MUSTERILER!$T$7:$T$156,0)),""))</f>
        <v/>
      </c>
      <c r="U2036" s="1" t="str">
        <f>IF($T2036="","",$T2036&amp;"|"&amp;COUNTIFS($T$7:$T2036,$T2036))</f>
        <v/>
      </c>
      <c r="V2036" s="1">
        <f t="shared" si="256"/>
        <v>0</v>
      </c>
      <c r="W2036" s="1" t="str">
        <f t="shared" si="257"/>
        <v/>
      </c>
      <c r="X2036" s="1"/>
      <c r="Y2036" s="1"/>
      <c r="Z2036" s="1"/>
      <c r="AA2036" s="1"/>
      <c r="AB2036" s="1"/>
      <c r="AC2036" s="1"/>
      <c r="AD2036" s="1">
        <f>IF($C2036="",0,SUMPRODUCT((AY_SONU!$O$7:$O$42="Evet")*(AY_SONU!$B$7:$B$42=DATE(YEAR($C2036),MONTH($C2036),1))))</f>
        <v>0</v>
      </c>
      <c r="AE2036" s="1" t="str">
        <f>IF($E2036="","",$E2036&amp;"|"&amp;COUNTIFS($E$7:$E2036,$E2036))</f>
        <v/>
      </c>
    </row>
    <row r="2037" spans="1:31" ht="18" customHeight="1" x14ac:dyDescent="0.3">
      <c r="A2037" s="2"/>
      <c r="B2037" s="65" t="str">
        <f t="shared" si="250"/>
        <v/>
      </c>
      <c r="C2037" s="66"/>
      <c r="D2037" s="60"/>
      <c r="E2037" s="61"/>
      <c r="F2037" s="61"/>
      <c r="G2037" s="67"/>
      <c r="H2037" s="60"/>
      <c r="I2037" s="60"/>
      <c r="J2037" s="61"/>
      <c r="K2037" s="61"/>
      <c r="L2037" s="60"/>
      <c r="M2037" s="74" t="str">
        <f t="shared" si="251"/>
        <v/>
      </c>
      <c r="N2037" s="74" t="str">
        <f t="shared" si="252"/>
        <v/>
      </c>
      <c r="O2037" s="73" t="str">
        <f t="shared" si="253"/>
        <v/>
      </c>
      <c r="P2037" s="65" t="str">
        <f t="shared" ca="1" si="254"/>
        <v/>
      </c>
      <c r="Q2037" s="2"/>
      <c r="R2037" s="2"/>
      <c r="S2037" s="1" t="str">
        <f t="shared" si="255"/>
        <v/>
      </c>
      <c r="T2037" s="1" t="str">
        <f>IF(OR($C2037="",$D2037&lt;&gt;"Gelir",$L2037=""),"",IFERROR(INDEX(MUSTERILER!$B$7:$B$156,MATCH($S2037,MUSTERILER!$T$7:$T$156,0)),""))</f>
        <v/>
      </c>
      <c r="U2037" s="1" t="str">
        <f>IF($T2037="","",$T2037&amp;"|"&amp;COUNTIFS($T$7:$T2037,$T2037))</f>
        <v/>
      </c>
      <c r="V2037" s="1">
        <f t="shared" si="256"/>
        <v>0</v>
      </c>
      <c r="W2037" s="1" t="str">
        <f t="shared" si="257"/>
        <v/>
      </c>
      <c r="X2037" s="1"/>
      <c r="Y2037" s="1"/>
      <c r="Z2037" s="1"/>
      <c r="AA2037" s="1"/>
      <c r="AB2037" s="1"/>
      <c r="AC2037" s="1"/>
      <c r="AD2037" s="1">
        <f>IF($C2037="",0,SUMPRODUCT((AY_SONU!$O$7:$O$42="Evet")*(AY_SONU!$B$7:$B$42=DATE(YEAR($C2037),MONTH($C2037),1))))</f>
        <v>0</v>
      </c>
      <c r="AE2037" s="1" t="str">
        <f>IF($E2037="","",$E2037&amp;"|"&amp;COUNTIFS($E$7:$E2037,$E2037))</f>
        <v/>
      </c>
    </row>
    <row r="2038" spans="1:31" ht="18" customHeight="1" x14ac:dyDescent="0.3">
      <c r="A2038" s="2"/>
      <c r="B2038" s="65" t="str">
        <f t="shared" si="250"/>
        <v/>
      </c>
      <c r="C2038" s="66"/>
      <c r="D2038" s="60"/>
      <c r="E2038" s="61"/>
      <c r="F2038" s="61"/>
      <c r="G2038" s="67"/>
      <c r="H2038" s="60"/>
      <c r="I2038" s="60"/>
      <c r="J2038" s="61"/>
      <c r="K2038" s="61"/>
      <c r="L2038" s="60"/>
      <c r="M2038" s="74" t="str">
        <f t="shared" si="251"/>
        <v/>
      </c>
      <c r="N2038" s="74" t="str">
        <f t="shared" si="252"/>
        <v/>
      </c>
      <c r="O2038" s="73" t="str">
        <f t="shared" si="253"/>
        <v/>
      </c>
      <c r="P2038" s="65" t="str">
        <f t="shared" ca="1" si="254"/>
        <v/>
      </c>
      <c r="Q2038" s="2"/>
      <c r="R2038" s="2"/>
      <c r="S2038" s="1" t="str">
        <f t="shared" si="255"/>
        <v/>
      </c>
      <c r="T2038" s="1" t="str">
        <f>IF(OR($C2038="",$D2038&lt;&gt;"Gelir",$L2038=""),"",IFERROR(INDEX(MUSTERILER!$B$7:$B$156,MATCH($S2038,MUSTERILER!$T$7:$T$156,0)),""))</f>
        <v/>
      </c>
      <c r="U2038" s="1" t="str">
        <f>IF($T2038="","",$T2038&amp;"|"&amp;COUNTIFS($T$7:$T2038,$T2038))</f>
        <v/>
      </c>
      <c r="V2038" s="1">
        <f t="shared" si="256"/>
        <v>0</v>
      </c>
      <c r="W2038" s="1" t="str">
        <f t="shared" si="257"/>
        <v/>
      </c>
      <c r="X2038" s="1"/>
      <c r="Y2038" s="1"/>
      <c r="Z2038" s="1"/>
      <c r="AA2038" s="1"/>
      <c r="AB2038" s="1"/>
      <c r="AC2038" s="1"/>
      <c r="AD2038" s="1">
        <f>IF($C2038="",0,SUMPRODUCT((AY_SONU!$O$7:$O$42="Evet")*(AY_SONU!$B$7:$B$42=DATE(YEAR($C2038),MONTH($C2038),1))))</f>
        <v>0</v>
      </c>
      <c r="AE2038" s="1" t="str">
        <f>IF($E2038="","",$E2038&amp;"|"&amp;COUNTIFS($E$7:$E2038,$E2038))</f>
        <v/>
      </c>
    </row>
    <row r="2039" spans="1:31" ht="18" customHeight="1" x14ac:dyDescent="0.3">
      <c r="A2039" s="2"/>
      <c r="B2039" s="65" t="str">
        <f t="shared" si="250"/>
        <v/>
      </c>
      <c r="C2039" s="66"/>
      <c r="D2039" s="60"/>
      <c r="E2039" s="61"/>
      <c r="F2039" s="61"/>
      <c r="G2039" s="67"/>
      <c r="H2039" s="60"/>
      <c r="I2039" s="60"/>
      <c r="J2039" s="61"/>
      <c r="K2039" s="61"/>
      <c r="L2039" s="60"/>
      <c r="M2039" s="74" t="str">
        <f t="shared" si="251"/>
        <v/>
      </c>
      <c r="N2039" s="74" t="str">
        <f t="shared" si="252"/>
        <v/>
      </c>
      <c r="O2039" s="73" t="str">
        <f t="shared" si="253"/>
        <v/>
      </c>
      <c r="P2039" s="65" t="str">
        <f t="shared" ca="1" si="254"/>
        <v/>
      </c>
      <c r="Q2039" s="2"/>
      <c r="R2039" s="2"/>
      <c r="S2039" s="1" t="str">
        <f t="shared" si="255"/>
        <v/>
      </c>
      <c r="T2039" s="1" t="str">
        <f>IF(OR($C2039="",$D2039&lt;&gt;"Gelir",$L2039=""),"",IFERROR(INDEX(MUSTERILER!$B$7:$B$156,MATCH($S2039,MUSTERILER!$T$7:$T$156,0)),""))</f>
        <v/>
      </c>
      <c r="U2039" s="1" t="str">
        <f>IF($T2039="","",$T2039&amp;"|"&amp;COUNTIFS($T$7:$T2039,$T2039))</f>
        <v/>
      </c>
      <c r="V2039" s="1">
        <f t="shared" si="256"/>
        <v>0</v>
      </c>
      <c r="W2039" s="1" t="str">
        <f t="shared" si="257"/>
        <v/>
      </c>
      <c r="X2039" s="1"/>
      <c r="Y2039" s="1"/>
      <c r="Z2039" s="1"/>
      <c r="AA2039" s="1"/>
      <c r="AB2039" s="1"/>
      <c r="AC2039" s="1"/>
      <c r="AD2039" s="1">
        <f>IF($C2039="",0,SUMPRODUCT((AY_SONU!$O$7:$O$42="Evet")*(AY_SONU!$B$7:$B$42=DATE(YEAR($C2039),MONTH($C2039),1))))</f>
        <v>0</v>
      </c>
      <c r="AE2039" s="1" t="str">
        <f>IF($E2039="","",$E2039&amp;"|"&amp;COUNTIFS($E$7:$E2039,$E2039))</f>
        <v/>
      </c>
    </row>
    <row r="2040" spans="1:31" ht="18" customHeight="1" x14ac:dyDescent="0.3">
      <c r="A2040" s="2"/>
      <c r="B2040" s="65" t="str">
        <f t="shared" si="250"/>
        <v/>
      </c>
      <c r="C2040" s="66"/>
      <c r="D2040" s="60"/>
      <c r="E2040" s="61"/>
      <c r="F2040" s="61"/>
      <c r="G2040" s="67"/>
      <c r="H2040" s="60"/>
      <c r="I2040" s="60"/>
      <c r="J2040" s="61"/>
      <c r="K2040" s="61"/>
      <c r="L2040" s="60"/>
      <c r="M2040" s="74" t="str">
        <f t="shared" si="251"/>
        <v/>
      </c>
      <c r="N2040" s="74" t="str">
        <f t="shared" si="252"/>
        <v/>
      </c>
      <c r="O2040" s="73" t="str">
        <f t="shared" si="253"/>
        <v/>
      </c>
      <c r="P2040" s="65" t="str">
        <f t="shared" ca="1" si="254"/>
        <v/>
      </c>
      <c r="Q2040" s="2"/>
      <c r="R2040" s="2"/>
      <c r="S2040" s="1" t="str">
        <f t="shared" si="255"/>
        <v/>
      </c>
      <c r="T2040" s="1" t="str">
        <f>IF(OR($C2040="",$D2040&lt;&gt;"Gelir",$L2040=""),"",IFERROR(INDEX(MUSTERILER!$B$7:$B$156,MATCH($S2040,MUSTERILER!$T$7:$T$156,0)),""))</f>
        <v/>
      </c>
      <c r="U2040" s="1" t="str">
        <f>IF($T2040="","",$T2040&amp;"|"&amp;COUNTIFS($T$7:$T2040,$T2040))</f>
        <v/>
      </c>
      <c r="V2040" s="1">
        <f t="shared" si="256"/>
        <v>0</v>
      </c>
      <c r="W2040" s="1" t="str">
        <f t="shared" si="257"/>
        <v/>
      </c>
      <c r="X2040" s="1"/>
      <c r="Y2040" s="1"/>
      <c r="Z2040" s="1"/>
      <c r="AA2040" s="1"/>
      <c r="AB2040" s="1"/>
      <c r="AC2040" s="1"/>
      <c r="AD2040" s="1">
        <f>IF($C2040="",0,SUMPRODUCT((AY_SONU!$O$7:$O$42="Evet")*(AY_SONU!$B$7:$B$42=DATE(YEAR($C2040),MONTH($C2040),1))))</f>
        <v>0</v>
      </c>
      <c r="AE2040" s="1" t="str">
        <f>IF($E2040="","",$E2040&amp;"|"&amp;COUNTIFS($E$7:$E2040,$E2040))</f>
        <v/>
      </c>
    </row>
    <row r="2041" spans="1:31" ht="18" customHeight="1" x14ac:dyDescent="0.3">
      <c r="A2041" s="2"/>
      <c r="B2041" s="65" t="str">
        <f t="shared" si="250"/>
        <v/>
      </c>
      <c r="C2041" s="66"/>
      <c r="D2041" s="60"/>
      <c r="E2041" s="61"/>
      <c r="F2041" s="61"/>
      <c r="G2041" s="67"/>
      <c r="H2041" s="60"/>
      <c r="I2041" s="60"/>
      <c r="J2041" s="61"/>
      <c r="K2041" s="61"/>
      <c r="L2041" s="60"/>
      <c r="M2041" s="74" t="str">
        <f t="shared" si="251"/>
        <v/>
      </c>
      <c r="N2041" s="74" t="str">
        <f t="shared" si="252"/>
        <v/>
      </c>
      <c r="O2041" s="73" t="str">
        <f t="shared" si="253"/>
        <v/>
      </c>
      <c r="P2041" s="65" t="str">
        <f t="shared" ca="1" si="254"/>
        <v/>
      </c>
      <c r="Q2041" s="2"/>
      <c r="R2041" s="2"/>
      <c r="S2041" s="1" t="str">
        <f t="shared" si="255"/>
        <v/>
      </c>
      <c r="T2041" s="1" t="str">
        <f>IF(OR($C2041="",$D2041&lt;&gt;"Gelir",$L2041=""),"",IFERROR(INDEX(MUSTERILER!$B$7:$B$156,MATCH($S2041,MUSTERILER!$T$7:$T$156,0)),""))</f>
        <v/>
      </c>
      <c r="U2041" s="1" t="str">
        <f>IF($T2041="","",$T2041&amp;"|"&amp;COUNTIFS($T$7:$T2041,$T2041))</f>
        <v/>
      </c>
      <c r="V2041" s="1">
        <f t="shared" si="256"/>
        <v>0</v>
      </c>
      <c r="W2041" s="1" t="str">
        <f t="shared" si="257"/>
        <v/>
      </c>
      <c r="X2041" s="1"/>
      <c r="Y2041" s="1"/>
      <c r="Z2041" s="1"/>
      <c r="AA2041" s="1"/>
      <c r="AB2041" s="1"/>
      <c r="AC2041" s="1"/>
      <c r="AD2041" s="1">
        <f>IF($C2041="",0,SUMPRODUCT((AY_SONU!$O$7:$O$42="Evet")*(AY_SONU!$B$7:$B$42=DATE(YEAR($C2041),MONTH($C2041),1))))</f>
        <v>0</v>
      </c>
      <c r="AE2041" s="1" t="str">
        <f>IF($E2041="","",$E2041&amp;"|"&amp;COUNTIFS($E$7:$E2041,$E2041))</f>
        <v/>
      </c>
    </row>
    <row r="2042" spans="1:31" ht="18" customHeight="1" x14ac:dyDescent="0.3">
      <c r="A2042" s="2"/>
      <c r="B2042" s="65" t="str">
        <f t="shared" si="250"/>
        <v/>
      </c>
      <c r="C2042" s="66"/>
      <c r="D2042" s="60"/>
      <c r="E2042" s="61"/>
      <c r="F2042" s="61"/>
      <c r="G2042" s="67"/>
      <c r="H2042" s="60"/>
      <c r="I2042" s="60"/>
      <c r="J2042" s="61"/>
      <c r="K2042" s="61"/>
      <c r="L2042" s="60"/>
      <c r="M2042" s="74" t="str">
        <f t="shared" si="251"/>
        <v/>
      </c>
      <c r="N2042" s="74" t="str">
        <f t="shared" si="252"/>
        <v/>
      </c>
      <c r="O2042" s="73" t="str">
        <f t="shared" si="253"/>
        <v/>
      </c>
      <c r="P2042" s="65" t="str">
        <f t="shared" ca="1" si="254"/>
        <v/>
      </c>
      <c r="Q2042" s="2"/>
      <c r="R2042" s="2"/>
      <c r="S2042" s="1" t="str">
        <f t="shared" si="255"/>
        <v/>
      </c>
      <c r="T2042" s="1" t="str">
        <f>IF(OR($C2042="",$D2042&lt;&gt;"Gelir",$L2042=""),"",IFERROR(INDEX(MUSTERILER!$B$7:$B$156,MATCH($S2042,MUSTERILER!$T$7:$T$156,0)),""))</f>
        <v/>
      </c>
      <c r="U2042" s="1" t="str">
        <f>IF($T2042="","",$T2042&amp;"|"&amp;COUNTIFS($T$7:$T2042,$T2042))</f>
        <v/>
      </c>
      <c r="V2042" s="1">
        <f t="shared" si="256"/>
        <v>0</v>
      </c>
      <c r="W2042" s="1" t="str">
        <f t="shared" si="257"/>
        <v/>
      </c>
      <c r="X2042" s="1"/>
      <c r="Y2042" s="1"/>
      <c r="Z2042" s="1"/>
      <c r="AA2042" s="1"/>
      <c r="AB2042" s="1"/>
      <c r="AC2042" s="1"/>
      <c r="AD2042" s="1">
        <f>IF($C2042="",0,SUMPRODUCT((AY_SONU!$O$7:$O$42="Evet")*(AY_SONU!$B$7:$B$42=DATE(YEAR($C2042),MONTH($C2042),1))))</f>
        <v>0</v>
      </c>
      <c r="AE2042" s="1" t="str">
        <f>IF($E2042="","",$E2042&amp;"|"&amp;COUNTIFS($E$7:$E2042,$E2042))</f>
        <v/>
      </c>
    </row>
    <row r="2043" spans="1:31" ht="18" customHeight="1" x14ac:dyDescent="0.3">
      <c r="A2043" s="2"/>
      <c r="B2043" s="65" t="str">
        <f t="shared" si="250"/>
        <v/>
      </c>
      <c r="C2043" s="66"/>
      <c r="D2043" s="60"/>
      <c r="E2043" s="61"/>
      <c r="F2043" s="61"/>
      <c r="G2043" s="67"/>
      <c r="H2043" s="60"/>
      <c r="I2043" s="60"/>
      <c r="J2043" s="61"/>
      <c r="K2043" s="61"/>
      <c r="L2043" s="60"/>
      <c r="M2043" s="74" t="str">
        <f t="shared" si="251"/>
        <v/>
      </c>
      <c r="N2043" s="74" t="str">
        <f t="shared" si="252"/>
        <v/>
      </c>
      <c r="O2043" s="73" t="str">
        <f t="shared" si="253"/>
        <v/>
      </c>
      <c r="P2043" s="65" t="str">
        <f t="shared" ca="1" si="254"/>
        <v/>
      </c>
      <c r="Q2043" s="2"/>
      <c r="R2043" s="2"/>
      <c r="S2043" s="1" t="str">
        <f t="shared" si="255"/>
        <v/>
      </c>
      <c r="T2043" s="1" t="str">
        <f>IF(OR($C2043="",$D2043&lt;&gt;"Gelir",$L2043=""),"",IFERROR(INDEX(MUSTERILER!$B$7:$B$156,MATCH($S2043,MUSTERILER!$T$7:$T$156,0)),""))</f>
        <v/>
      </c>
      <c r="U2043" s="1" t="str">
        <f>IF($T2043="","",$T2043&amp;"|"&amp;COUNTIFS($T$7:$T2043,$T2043))</f>
        <v/>
      </c>
      <c r="V2043" s="1">
        <f t="shared" si="256"/>
        <v>0</v>
      </c>
      <c r="W2043" s="1" t="str">
        <f t="shared" si="257"/>
        <v/>
      </c>
      <c r="X2043" s="1"/>
      <c r="Y2043" s="1"/>
      <c r="Z2043" s="1"/>
      <c r="AA2043" s="1"/>
      <c r="AB2043" s="1"/>
      <c r="AC2043" s="1"/>
      <c r="AD2043" s="1">
        <f>IF($C2043="",0,SUMPRODUCT((AY_SONU!$O$7:$O$42="Evet")*(AY_SONU!$B$7:$B$42=DATE(YEAR($C2043),MONTH($C2043),1))))</f>
        <v>0</v>
      </c>
      <c r="AE2043" s="1" t="str">
        <f>IF($E2043="","",$E2043&amp;"|"&amp;COUNTIFS($E$7:$E2043,$E2043))</f>
        <v/>
      </c>
    </row>
    <row r="2044" spans="1:31" ht="18" customHeight="1" x14ac:dyDescent="0.3">
      <c r="A2044" s="2"/>
      <c r="B2044" s="65" t="str">
        <f t="shared" si="250"/>
        <v/>
      </c>
      <c r="C2044" s="66"/>
      <c r="D2044" s="60"/>
      <c r="E2044" s="61"/>
      <c r="F2044" s="61"/>
      <c r="G2044" s="67"/>
      <c r="H2044" s="60"/>
      <c r="I2044" s="60"/>
      <c r="J2044" s="61"/>
      <c r="K2044" s="61"/>
      <c r="L2044" s="60"/>
      <c r="M2044" s="74" t="str">
        <f t="shared" si="251"/>
        <v/>
      </c>
      <c r="N2044" s="74" t="str">
        <f t="shared" si="252"/>
        <v/>
      </c>
      <c r="O2044" s="73" t="str">
        <f t="shared" si="253"/>
        <v/>
      </c>
      <c r="P2044" s="65" t="str">
        <f t="shared" ca="1" si="254"/>
        <v/>
      </c>
      <c r="Q2044" s="2"/>
      <c r="R2044" s="2"/>
      <c r="S2044" s="1" t="str">
        <f t="shared" si="255"/>
        <v/>
      </c>
      <c r="T2044" s="1" t="str">
        <f>IF(OR($C2044="",$D2044&lt;&gt;"Gelir",$L2044=""),"",IFERROR(INDEX(MUSTERILER!$B$7:$B$156,MATCH($S2044,MUSTERILER!$T$7:$T$156,0)),""))</f>
        <v/>
      </c>
      <c r="U2044" s="1" t="str">
        <f>IF($T2044="","",$T2044&amp;"|"&amp;COUNTIFS($T$7:$T2044,$T2044))</f>
        <v/>
      </c>
      <c r="V2044" s="1">
        <f t="shared" si="256"/>
        <v>0</v>
      </c>
      <c r="W2044" s="1" t="str">
        <f t="shared" si="257"/>
        <v/>
      </c>
      <c r="X2044" s="1"/>
      <c r="Y2044" s="1"/>
      <c r="Z2044" s="1"/>
      <c r="AA2044" s="1"/>
      <c r="AB2044" s="1"/>
      <c r="AC2044" s="1"/>
      <c r="AD2044" s="1">
        <f>IF($C2044="",0,SUMPRODUCT((AY_SONU!$O$7:$O$42="Evet")*(AY_SONU!$B$7:$B$42=DATE(YEAR($C2044),MONTH($C2044),1))))</f>
        <v>0</v>
      </c>
      <c r="AE2044" s="1" t="str">
        <f>IF($E2044="","",$E2044&amp;"|"&amp;COUNTIFS($E$7:$E2044,$E2044))</f>
        <v/>
      </c>
    </row>
    <row r="2045" spans="1:31" ht="18" customHeight="1" x14ac:dyDescent="0.3">
      <c r="A2045" s="2"/>
      <c r="B2045" s="65" t="str">
        <f t="shared" si="250"/>
        <v/>
      </c>
      <c r="C2045" s="66"/>
      <c r="D2045" s="60"/>
      <c r="E2045" s="61"/>
      <c r="F2045" s="61"/>
      <c r="G2045" s="67"/>
      <c r="H2045" s="60"/>
      <c r="I2045" s="60"/>
      <c r="J2045" s="61"/>
      <c r="K2045" s="61"/>
      <c r="L2045" s="60"/>
      <c r="M2045" s="74" t="str">
        <f t="shared" si="251"/>
        <v/>
      </c>
      <c r="N2045" s="74" t="str">
        <f t="shared" si="252"/>
        <v/>
      </c>
      <c r="O2045" s="73" t="str">
        <f t="shared" si="253"/>
        <v/>
      </c>
      <c r="P2045" s="65" t="str">
        <f t="shared" ca="1" si="254"/>
        <v/>
      </c>
      <c r="Q2045" s="2"/>
      <c r="R2045" s="2"/>
      <c r="S2045" s="1" t="str">
        <f t="shared" si="255"/>
        <v/>
      </c>
      <c r="T2045" s="1" t="str">
        <f>IF(OR($C2045="",$D2045&lt;&gt;"Gelir",$L2045=""),"",IFERROR(INDEX(MUSTERILER!$B$7:$B$156,MATCH($S2045,MUSTERILER!$T$7:$T$156,0)),""))</f>
        <v/>
      </c>
      <c r="U2045" s="1" t="str">
        <f>IF($T2045="","",$T2045&amp;"|"&amp;COUNTIFS($T$7:$T2045,$T2045))</f>
        <v/>
      </c>
      <c r="V2045" s="1">
        <f t="shared" si="256"/>
        <v>0</v>
      </c>
      <c r="W2045" s="1" t="str">
        <f t="shared" si="257"/>
        <v/>
      </c>
      <c r="X2045" s="1"/>
      <c r="Y2045" s="1"/>
      <c r="Z2045" s="1"/>
      <c r="AA2045" s="1"/>
      <c r="AB2045" s="1"/>
      <c r="AC2045" s="1"/>
      <c r="AD2045" s="1">
        <f>IF($C2045="",0,SUMPRODUCT((AY_SONU!$O$7:$O$42="Evet")*(AY_SONU!$B$7:$B$42=DATE(YEAR($C2045),MONTH($C2045),1))))</f>
        <v>0</v>
      </c>
      <c r="AE2045" s="1" t="str">
        <f>IF($E2045="","",$E2045&amp;"|"&amp;COUNTIFS($E$7:$E2045,$E2045))</f>
        <v/>
      </c>
    </row>
    <row r="2046" spans="1:31" ht="18" customHeight="1" x14ac:dyDescent="0.3">
      <c r="A2046" s="2"/>
      <c r="B2046" s="65" t="str">
        <f t="shared" si="250"/>
        <v/>
      </c>
      <c r="C2046" s="66"/>
      <c r="D2046" s="60"/>
      <c r="E2046" s="61"/>
      <c r="F2046" s="61"/>
      <c r="G2046" s="67"/>
      <c r="H2046" s="60"/>
      <c r="I2046" s="60"/>
      <c r="J2046" s="61"/>
      <c r="K2046" s="61"/>
      <c r="L2046" s="60"/>
      <c r="M2046" s="74" t="str">
        <f t="shared" si="251"/>
        <v/>
      </c>
      <c r="N2046" s="74" t="str">
        <f t="shared" si="252"/>
        <v/>
      </c>
      <c r="O2046" s="73" t="str">
        <f t="shared" si="253"/>
        <v/>
      </c>
      <c r="P2046" s="65" t="str">
        <f t="shared" ca="1" si="254"/>
        <v/>
      </c>
      <c r="Q2046" s="2"/>
      <c r="R2046" s="2"/>
      <c r="S2046" s="1" t="str">
        <f t="shared" si="255"/>
        <v/>
      </c>
      <c r="T2046" s="1" t="str">
        <f>IF(OR($C2046="",$D2046&lt;&gt;"Gelir",$L2046=""),"",IFERROR(INDEX(MUSTERILER!$B$7:$B$156,MATCH($S2046,MUSTERILER!$T$7:$T$156,0)),""))</f>
        <v/>
      </c>
      <c r="U2046" s="1" t="str">
        <f>IF($T2046="","",$T2046&amp;"|"&amp;COUNTIFS($T$7:$T2046,$T2046))</f>
        <v/>
      </c>
      <c r="V2046" s="1">
        <f t="shared" si="256"/>
        <v>0</v>
      </c>
      <c r="W2046" s="1" t="str">
        <f t="shared" si="257"/>
        <v/>
      </c>
      <c r="X2046" s="1"/>
      <c r="Y2046" s="1"/>
      <c r="Z2046" s="1"/>
      <c r="AA2046" s="1"/>
      <c r="AB2046" s="1"/>
      <c r="AC2046" s="1"/>
      <c r="AD2046" s="1">
        <f>IF($C2046="",0,SUMPRODUCT((AY_SONU!$O$7:$O$42="Evet")*(AY_SONU!$B$7:$B$42=DATE(YEAR($C2046),MONTH($C2046),1))))</f>
        <v>0</v>
      </c>
      <c r="AE2046" s="1" t="str">
        <f>IF($E2046="","",$E2046&amp;"|"&amp;COUNTIFS($E$7:$E2046,$E2046))</f>
        <v/>
      </c>
    </row>
    <row r="2047" spans="1:31" ht="18" customHeight="1" x14ac:dyDescent="0.3">
      <c r="A2047" s="2"/>
      <c r="B2047" s="65" t="str">
        <f t="shared" si="250"/>
        <v/>
      </c>
      <c r="C2047" s="66"/>
      <c r="D2047" s="60"/>
      <c r="E2047" s="61"/>
      <c r="F2047" s="61"/>
      <c r="G2047" s="67"/>
      <c r="H2047" s="60"/>
      <c r="I2047" s="60"/>
      <c r="J2047" s="61"/>
      <c r="K2047" s="61"/>
      <c r="L2047" s="60"/>
      <c r="M2047" s="74" t="str">
        <f t="shared" si="251"/>
        <v/>
      </c>
      <c r="N2047" s="74" t="str">
        <f t="shared" si="252"/>
        <v/>
      </c>
      <c r="O2047" s="73" t="str">
        <f t="shared" si="253"/>
        <v/>
      </c>
      <c r="P2047" s="65" t="str">
        <f t="shared" ca="1" si="254"/>
        <v/>
      </c>
      <c r="Q2047" s="2"/>
      <c r="R2047" s="2"/>
      <c r="S2047" s="1" t="str">
        <f t="shared" si="255"/>
        <v/>
      </c>
      <c r="T2047" s="1" t="str">
        <f>IF(OR($C2047="",$D2047&lt;&gt;"Gelir",$L2047=""),"",IFERROR(INDEX(MUSTERILER!$B$7:$B$156,MATCH($S2047,MUSTERILER!$T$7:$T$156,0)),""))</f>
        <v/>
      </c>
      <c r="U2047" s="1" t="str">
        <f>IF($T2047="","",$T2047&amp;"|"&amp;COUNTIFS($T$7:$T2047,$T2047))</f>
        <v/>
      </c>
      <c r="V2047" s="1">
        <f t="shared" si="256"/>
        <v>0</v>
      </c>
      <c r="W2047" s="1" t="str">
        <f t="shared" si="257"/>
        <v/>
      </c>
      <c r="X2047" s="1"/>
      <c r="Y2047" s="1"/>
      <c r="Z2047" s="1"/>
      <c r="AA2047" s="1"/>
      <c r="AB2047" s="1"/>
      <c r="AC2047" s="1"/>
      <c r="AD2047" s="1">
        <f>IF($C2047="",0,SUMPRODUCT((AY_SONU!$O$7:$O$42="Evet")*(AY_SONU!$B$7:$B$42=DATE(YEAR($C2047),MONTH($C2047),1))))</f>
        <v>0</v>
      </c>
      <c r="AE2047" s="1" t="str">
        <f>IF($E2047="","",$E2047&amp;"|"&amp;COUNTIFS($E$7:$E2047,$E2047))</f>
        <v/>
      </c>
    </row>
    <row r="2048" spans="1:31" ht="18" customHeight="1" x14ac:dyDescent="0.3">
      <c r="A2048" s="2"/>
      <c r="B2048" s="65" t="str">
        <f t="shared" si="250"/>
        <v/>
      </c>
      <c r="C2048" s="66"/>
      <c r="D2048" s="60"/>
      <c r="E2048" s="61"/>
      <c r="F2048" s="61"/>
      <c r="G2048" s="67"/>
      <c r="H2048" s="60"/>
      <c r="I2048" s="60"/>
      <c r="J2048" s="61"/>
      <c r="K2048" s="61"/>
      <c r="L2048" s="60"/>
      <c r="M2048" s="74" t="str">
        <f t="shared" si="251"/>
        <v/>
      </c>
      <c r="N2048" s="74" t="str">
        <f t="shared" si="252"/>
        <v/>
      </c>
      <c r="O2048" s="73" t="str">
        <f t="shared" si="253"/>
        <v/>
      </c>
      <c r="P2048" s="65" t="str">
        <f t="shared" ca="1" si="254"/>
        <v/>
      </c>
      <c r="Q2048" s="2"/>
      <c r="R2048" s="2"/>
      <c r="S2048" s="1" t="str">
        <f t="shared" si="255"/>
        <v/>
      </c>
      <c r="T2048" s="1" t="str">
        <f>IF(OR($C2048="",$D2048&lt;&gt;"Gelir",$L2048=""),"",IFERROR(INDEX(MUSTERILER!$B$7:$B$156,MATCH($S2048,MUSTERILER!$T$7:$T$156,0)),""))</f>
        <v/>
      </c>
      <c r="U2048" s="1" t="str">
        <f>IF($T2048="","",$T2048&amp;"|"&amp;COUNTIFS($T$7:$T2048,$T2048))</f>
        <v/>
      </c>
      <c r="V2048" s="1">
        <f t="shared" si="256"/>
        <v>0</v>
      </c>
      <c r="W2048" s="1" t="str">
        <f t="shared" si="257"/>
        <v/>
      </c>
      <c r="X2048" s="1"/>
      <c r="Y2048" s="1"/>
      <c r="Z2048" s="1"/>
      <c r="AA2048" s="1"/>
      <c r="AB2048" s="1"/>
      <c r="AC2048" s="1"/>
      <c r="AD2048" s="1">
        <f>IF($C2048="",0,SUMPRODUCT((AY_SONU!$O$7:$O$42="Evet")*(AY_SONU!$B$7:$B$42=DATE(YEAR($C2048),MONTH($C2048),1))))</f>
        <v>0</v>
      </c>
      <c r="AE2048" s="1" t="str">
        <f>IF($E2048="","",$E2048&amp;"|"&amp;COUNTIFS($E$7:$E2048,$E2048))</f>
        <v/>
      </c>
    </row>
    <row r="2049" spans="1:31" ht="18" customHeight="1" x14ac:dyDescent="0.3">
      <c r="A2049" s="2"/>
      <c r="B2049" s="65" t="str">
        <f t="shared" si="250"/>
        <v/>
      </c>
      <c r="C2049" s="66"/>
      <c r="D2049" s="60"/>
      <c r="E2049" s="61"/>
      <c r="F2049" s="61"/>
      <c r="G2049" s="67"/>
      <c r="H2049" s="60"/>
      <c r="I2049" s="60"/>
      <c r="J2049" s="61"/>
      <c r="K2049" s="61"/>
      <c r="L2049" s="60"/>
      <c r="M2049" s="74" t="str">
        <f t="shared" si="251"/>
        <v/>
      </c>
      <c r="N2049" s="74" t="str">
        <f t="shared" si="252"/>
        <v/>
      </c>
      <c r="O2049" s="73" t="str">
        <f t="shared" si="253"/>
        <v/>
      </c>
      <c r="P2049" s="65" t="str">
        <f t="shared" ca="1" si="254"/>
        <v/>
      </c>
      <c r="Q2049" s="2"/>
      <c r="R2049" s="2"/>
      <c r="S2049" s="1" t="str">
        <f t="shared" si="255"/>
        <v/>
      </c>
      <c r="T2049" s="1" t="str">
        <f>IF(OR($C2049="",$D2049&lt;&gt;"Gelir",$L2049=""),"",IFERROR(INDEX(MUSTERILER!$B$7:$B$156,MATCH($S2049,MUSTERILER!$T$7:$T$156,0)),""))</f>
        <v/>
      </c>
      <c r="U2049" s="1" t="str">
        <f>IF($T2049="","",$T2049&amp;"|"&amp;COUNTIFS($T$7:$T2049,$T2049))</f>
        <v/>
      </c>
      <c r="V2049" s="1">
        <f t="shared" si="256"/>
        <v>0</v>
      </c>
      <c r="W2049" s="1" t="str">
        <f t="shared" si="257"/>
        <v/>
      </c>
      <c r="X2049" s="1"/>
      <c r="Y2049" s="1"/>
      <c r="Z2049" s="1"/>
      <c r="AA2049" s="1"/>
      <c r="AB2049" s="1"/>
      <c r="AC2049" s="1"/>
      <c r="AD2049" s="1">
        <f>IF($C2049="",0,SUMPRODUCT((AY_SONU!$O$7:$O$42="Evet")*(AY_SONU!$B$7:$B$42=DATE(YEAR($C2049),MONTH($C2049),1))))</f>
        <v>0</v>
      </c>
      <c r="AE2049" s="1" t="str">
        <f>IF($E2049="","",$E2049&amp;"|"&amp;COUNTIFS($E$7:$E2049,$E2049))</f>
        <v/>
      </c>
    </row>
    <row r="2050" spans="1:31" ht="18" customHeight="1" x14ac:dyDescent="0.3">
      <c r="A2050" s="2"/>
      <c r="B2050" s="65" t="str">
        <f t="shared" si="250"/>
        <v/>
      </c>
      <c r="C2050" s="66"/>
      <c r="D2050" s="60"/>
      <c r="E2050" s="61"/>
      <c r="F2050" s="61"/>
      <c r="G2050" s="67"/>
      <c r="H2050" s="60"/>
      <c r="I2050" s="60"/>
      <c r="J2050" s="61"/>
      <c r="K2050" s="61"/>
      <c r="L2050" s="60"/>
      <c r="M2050" s="74" t="str">
        <f t="shared" si="251"/>
        <v/>
      </c>
      <c r="N2050" s="74" t="str">
        <f t="shared" si="252"/>
        <v/>
      </c>
      <c r="O2050" s="73" t="str">
        <f t="shared" si="253"/>
        <v/>
      </c>
      <c r="P2050" s="65" t="str">
        <f t="shared" ca="1" si="254"/>
        <v/>
      </c>
      <c r="Q2050" s="2"/>
      <c r="R2050" s="2"/>
      <c r="S2050" s="1" t="str">
        <f t="shared" si="255"/>
        <v/>
      </c>
      <c r="T2050" s="1" t="str">
        <f>IF(OR($C2050="",$D2050&lt;&gt;"Gelir",$L2050=""),"",IFERROR(INDEX(MUSTERILER!$B$7:$B$156,MATCH($S2050,MUSTERILER!$T$7:$T$156,0)),""))</f>
        <v/>
      </c>
      <c r="U2050" s="1" t="str">
        <f>IF($T2050="","",$T2050&amp;"|"&amp;COUNTIFS($T$7:$T2050,$T2050))</f>
        <v/>
      </c>
      <c r="V2050" s="1">
        <f t="shared" si="256"/>
        <v>0</v>
      </c>
      <c r="W2050" s="1" t="str">
        <f t="shared" si="257"/>
        <v/>
      </c>
      <c r="X2050" s="1"/>
      <c r="Y2050" s="1"/>
      <c r="Z2050" s="1"/>
      <c r="AA2050" s="1"/>
      <c r="AB2050" s="1"/>
      <c r="AC2050" s="1"/>
      <c r="AD2050" s="1">
        <f>IF($C2050="",0,SUMPRODUCT((AY_SONU!$O$7:$O$42="Evet")*(AY_SONU!$B$7:$B$42=DATE(YEAR($C2050),MONTH($C2050),1))))</f>
        <v>0</v>
      </c>
      <c r="AE2050" s="1" t="str">
        <f>IF($E2050="","",$E2050&amp;"|"&amp;COUNTIFS($E$7:$E2050,$E2050))</f>
        <v/>
      </c>
    </row>
    <row r="2051" spans="1:31" ht="18" customHeight="1" x14ac:dyDescent="0.3">
      <c r="A2051" s="2"/>
      <c r="B2051" s="65" t="str">
        <f t="shared" si="250"/>
        <v/>
      </c>
      <c r="C2051" s="66"/>
      <c r="D2051" s="60"/>
      <c r="E2051" s="61"/>
      <c r="F2051" s="61"/>
      <c r="G2051" s="67"/>
      <c r="H2051" s="60"/>
      <c r="I2051" s="60"/>
      <c r="J2051" s="61"/>
      <c r="K2051" s="61"/>
      <c r="L2051" s="60"/>
      <c r="M2051" s="74" t="str">
        <f t="shared" si="251"/>
        <v/>
      </c>
      <c r="N2051" s="74" t="str">
        <f t="shared" si="252"/>
        <v/>
      </c>
      <c r="O2051" s="73" t="str">
        <f t="shared" si="253"/>
        <v/>
      </c>
      <c r="P2051" s="65" t="str">
        <f t="shared" ca="1" si="254"/>
        <v/>
      </c>
      <c r="Q2051" s="2"/>
      <c r="R2051" s="2"/>
      <c r="S2051" s="1" t="str">
        <f t="shared" si="255"/>
        <v/>
      </c>
      <c r="T2051" s="1" t="str">
        <f>IF(OR($C2051="",$D2051&lt;&gt;"Gelir",$L2051=""),"",IFERROR(INDEX(MUSTERILER!$B$7:$B$156,MATCH($S2051,MUSTERILER!$T$7:$T$156,0)),""))</f>
        <v/>
      </c>
      <c r="U2051" s="1" t="str">
        <f>IF($T2051="","",$T2051&amp;"|"&amp;COUNTIFS($T$7:$T2051,$T2051))</f>
        <v/>
      </c>
      <c r="V2051" s="1">
        <f t="shared" si="256"/>
        <v>0</v>
      </c>
      <c r="W2051" s="1" t="str">
        <f t="shared" si="257"/>
        <v/>
      </c>
      <c r="X2051" s="1"/>
      <c r="Y2051" s="1"/>
      <c r="Z2051" s="1"/>
      <c r="AA2051" s="1"/>
      <c r="AB2051" s="1"/>
      <c r="AC2051" s="1"/>
      <c r="AD2051" s="1">
        <f>IF($C2051="",0,SUMPRODUCT((AY_SONU!$O$7:$O$42="Evet")*(AY_SONU!$B$7:$B$42=DATE(YEAR($C2051),MONTH($C2051),1))))</f>
        <v>0</v>
      </c>
      <c r="AE2051" s="1" t="str">
        <f>IF($E2051="","",$E2051&amp;"|"&amp;COUNTIFS($E$7:$E2051,$E2051))</f>
        <v/>
      </c>
    </row>
    <row r="2052" spans="1:31" ht="18" customHeight="1" x14ac:dyDescent="0.3">
      <c r="A2052" s="2"/>
      <c r="B2052" s="65" t="str">
        <f t="shared" si="250"/>
        <v/>
      </c>
      <c r="C2052" s="66"/>
      <c r="D2052" s="60"/>
      <c r="E2052" s="61"/>
      <c r="F2052" s="61"/>
      <c r="G2052" s="67"/>
      <c r="H2052" s="60"/>
      <c r="I2052" s="60"/>
      <c r="J2052" s="61"/>
      <c r="K2052" s="61"/>
      <c r="L2052" s="60"/>
      <c r="M2052" s="74" t="str">
        <f t="shared" si="251"/>
        <v/>
      </c>
      <c r="N2052" s="74" t="str">
        <f t="shared" si="252"/>
        <v/>
      </c>
      <c r="O2052" s="73" t="str">
        <f t="shared" si="253"/>
        <v/>
      </c>
      <c r="P2052" s="65" t="str">
        <f t="shared" ca="1" si="254"/>
        <v/>
      </c>
      <c r="Q2052" s="2"/>
      <c r="R2052" s="2"/>
      <c r="S2052" s="1" t="str">
        <f t="shared" si="255"/>
        <v/>
      </c>
      <c r="T2052" s="1" t="str">
        <f>IF(OR($C2052="",$D2052&lt;&gt;"Gelir",$L2052=""),"",IFERROR(INDEX(MUSTERILER!$B$7:$B$156,MATCH($S2052,MUSTERILER!$T$7:$T$156,0)),""))</f>
        <v/>
      </c>
      <c r="U2052" s="1" t="str">
        <f>IF($T2052="","",$T2052&amp;"|"&amp;COUNTIFS($T$7:$T2052,$T2052))</f>
        <v/>
      </c>
      <c r="V2052" s="1">
        <f t="shared" si="256"/>
        <v>0</v>
      </c>
      <c r="W2052" s="1" t="str">
        <f t="shared" si="257"/>
        <v/>
      </c>
      <c r="X2052" s="1"/>
      <c r="Y2052" s="1"/>
      <c r="Z2052" s="1"/>
      <c r="AA2052" s="1"/>
      <c r="AB2052" s="1"/>
      <c r="AC2052" s="1"/>
      <c r="AD2052" s="1">
        <f>IF($C2052="",0,SUMPRODUCT((AY_SONU!$O$7:$O$42="Evet")*(AY_SONU!$B$7:$B$42=DATE(YEAR($C2052),MONTH($C2052),1))))</f>
        <v>0</v>
      </c>
      <c r="AE2052" s="1" t="str">
        <f>IF($E2052="","",$E2052&amp;"|"&amp;COUNTIFS($E$7:$E2052,$E2052))</f>
        <v/>
      </c>
    </row>
    <row r="2053" spans="1:31" ht="18" customHeight="1" x14ac:dyDescent="0.3">
      <c r="A2053" s="2"/>
      <c r="B2053" s="65" t="str">
        <f t="shared" si="250"/>
        <v/>
      </c>
      <c r="C2053" s="66"/>
      <c r="D2053" s="60"/>
      <c r="E2053" s="61"/>
      <c r="F2053" s="61"/>
      <c r="G2053" s="67"/>
      <c r="H2053" s="60"/>
      <c r="I2053" s="60"/>
      <c r="J2053" s="61"/>
      <c r="K2053" s="61"/>
      <c r="L2053" s="60"/>
      <c r="M2053" s="74" t="str">
        <f t="shared" si="251"/>
        <v/>
      </c>
      <c r="N2053" s="74" t="str">
        <f t="shared" si="252"/>
        <v/>
      </c>
      <c r="O2053" s="73" t="str">
        <f t="shared" si="253"/>
        <v/>
      </c>
      <c r="P2053" s="65" t="str">
        <f t="shared" ca="1" si="254"/>
        <v/>
      </c>
      <c r="Q2053" s="2"/>
      <c r="R2053" s="2"/>
      <c r="S2053" s="1" t="str">
        <f t="shared" si="255"/>
        <v/>
      </c>
      <c r="T2053" s="1" t="str">
        <f>IF(OR($C2053="",$D2053&lt;&gt;"Gelir",$L2053=""),"",IFERROR(INDEX(MUSTERILER!$B$7:$B$156,MATCH($S2053,MUSTERILER!$T$7:$T$156,0)),""))</f>
        <v/>
      </c>
      <c r="U2053" s="1" t="str">
        <f>IF($T2053="","",$T2053&amp;"|"&amp;COUNTIFS($T$7:$T2053,$T2053))</f>
        <v/>
      </c>
      <c r="V2053" s="1">
        <f t="shared" si="256"/>
        <v>0</v>
      </c>
      <c r="W2053" s="1" t="str">
        <f t="shared" si="257"/>
        <v/>
      </c>
      <c r="X2053" s="1"/>
      <c r="Y2053" s="1"/>
      <c r="Z2053" s="1"/>
      <c r="AA2053" s="1"/>
      <c r="AB2053" s="1"/>
      <c r="AC2053" s="1"/>
      <c r="AD2053" s="1">
        <f>IF($C2053="",0,SUMPRODUCT((AY_SONU!$O$7:$O$42="Evet")*(AY_SONU!$B$7:$B$42=DATE(YEAR($C2053),MONTH($C2053),1))))</f>
        <v>0</v>
      </c>
      <c r="AE2053" s="1" t="str">
        <f>IF($E2053="","",$E2053&amp;"|"&amp;COUNTIFS($E$7:$E2053,$E2053))</f>
        <v/>
      </c>
    </row>
    <row r="2054" spans="1:31" ht="18" customHeight="1" x14ac:dyDescent="0.3">
      <c r="A2054" s="2"/>
      <c r="B2054" s="65" t="str">
        <f t="shared" si="250"/>
        <v/>
      </c>
      <c r="C2054" s="66"/>
      <c r="D2054" s="60"/>
      <c r="E2054" s="61"/>
      <c r="F2054" s="61"/>
      <c r="G2054" s="67"/>
      <c r="H2054" s="60"/>
      <c r="I2054" s="60"/>
      <c r="J2054" s="61"/>
      <c r="K2054" s="61"/>
      <c r="L2054" s="60"/>
      <c r="M2054" s="74" t="str">
        <f t="shared" si="251"/>
        <v/>
      </c>
      <c r="N2054" s="74" t="str">
        <f t="shared" si="252"/>
        <v/>
      </c>
      <c r="O2054" s="73" t="str">
        <f t="shared" si="253"/>
        <v/>
      </c>
      <c r="P2054" s="65" t="str">
        <f t="shared" ca="1" si="254"/>
        <v/>
      </c>
      <c r="Q2054" s="2"/>
      <c r="R2054" s="2"/>
      <c r="S2054" s="1" t="str">
        <f t="shared" si="255"/>
        <v/>
      </c>
      <c r="T2054" s="1" t="str">
        <f>IF(OR($C2054="",$D2054&lt;&gt;"Gelir",$L2054=""),"",IFERROR(INDEX(MUSTERILER!$B$7:$B$156,MATCH($S2054,MUSTERILER!$T$7:$T$156,0)),""))</f>
        <v/>
      </c>
      <c r="U2054" s="1" t="str">
        <f>IF($T2054="","",$T2054&amp;"|"&amp;COUNTIFS($T$7:$T2054,$T2054))</f>
        <v/>
      </c>
      <c r="V2054" s="1">
        <f t="shared" si="256"/>
        <v>0</v>
      </c>
      <c r="W2054" s="1" t="str">
        <f t="shared" si="257"/>
        <v/>
      </c>
      <c r="X2054" s="1"/>
      <c r="Y2054" s="1"/>
      <c r="Z2054" s="1"/>
      <c r="AA2054" s="1"/>
      <c r="AB2054" s="1"/>
      <c r="AC2054" s="1"/>
      <c r="AD2054" s="1">
        <f>IF($C2054="",0,SUMPRODUCT((AY_SONU!$O$7:$O$42="Evet")*(AY_SONU!$B$7:$B$42=DATE(YEAR($C2054),MONTH($C2054),1))))</f>
        <v>0</v>
      </c>
      <c r="AE2054" s="1" t="str">
        <f>IF($E2054="","",$E2054&amp;"|"&amp;COUNTIFS($E$7:$E2054,$E2054))</f>
        <v/>
      </c>
    </row>
    <row r="2055" spans="1:31" ht="18" customHeight="1" x14ac:dyDescent="0.3">
      <c r="A2055" s="2"/>
      <c r="B2055" s="65" t="str">
        <f t="shared" ref="B2055:B2118" si="258">IF($C2055="","","GG"&amp;TEXT(ROW()-6,"00000"))</f>
        <v/>
      </c>
      <c r="C2055" s="66"/>
      <c r="D2055" s="60"/>
      <c r="E2055" s="61"/>
      <c r="F2055" s="61"/>
      <c r="G2055" s="67"/>
      <c r="H2055" s="60"/>
      <c r="I2055" s="60"/>
      <c r="J2055" s="61"/>
      <c r="K2055" s="61"/>
      <c r="L2055" s="60"/>
      <c r="M2055" s="74" t="str">
        <f t="shared" ref="M2055:M2118" si="259">IF($C2055="","",IF($D2055="Gider",$E2055,IF($L2055&lt;&gt;"",$L2055,$H2055)))</f>
        <v/>
      </c>
      <c r="N2055" s="74" t="str">
        <f t="shared" ref="N2055:N2118" si="260">IF($C2055="","",IF($D2055="Gider",$H2055,$E2055))</f>
        <v/>
      </c>
      <c r="O2055" s="73" t="str">
        <f t="shared" ref="O2055:O2118" si="261">IF($C2055="","",DATE(YEAR($C2055),MONTH($C2055),1))</f>
        <v/>
      </c>
      <c r="P2055" s="65" t="str">
        <f t="shared" ref="P2055:P2118" ca="1" si="262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TARİH",IF(COUNTIF($W$7:$W$3006,$W2055)&gt;1,"MÜKERRER?",IF($AD2055&gt;0,"KAPALI DÖNEM",IF($I2055="Hayır","ÖDENECEK","UYGUN")))),"EKSİK"))))</f>
        <v/>
      </c>
      <c r="Q2055" s="2"/>
      <c r="R2055" s="2"/>
      <c r="S2055" s="1" t="str">
        <f t="shared" ref="S2055:S2118" si="263"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1" t="str">
        <f>IF(OR($C2055="",$D2055&lt;&gt;"Gelir",$L2055=""),"",IFERROR(INDEX(MUSTERILER!$B$7:$B$156,MATCH($S2055,MUSTERILER!$T$7:$T$156,0)),""))</f>
        <v/>
      </c>
      <c r="U2055" s="1" t="str">
        <f>IF($T2055="","",$T2055&amp;"|"&amp;COUNTIFS($T$7:$T2055,$T2055))</f>
        <v/>
      </c>
      <c r="V2055" s="1">
        <f t="shared" ref="V2055:V2118" si="264">IF($T2055="",0,1)</f>
        <v>0</v>
      </c>
      <c r="W2055" s="1" t="str">
        <f t="shared" ref="W2055:W2118" si="265">IF($C2055="","",$D2055&amp;"|"&amp;$E2055&amp;"|"&amp;TEXT($C2055,"0")&amp;"|"&amp;TEXT($G2055,"0")&amp;"|"&amp;$J2055)</f>
        <v/>
      </c>
      <c r="X2055" s="1"/>
      <c r="Y2055" s="1"/>
      <c r="Z2055" s="1"/>
      <c r="AA2055" s="1"/>
      <c r="AB2055" s="1"/>
      <c r="AC2055" s="1"/>
      <c r="AD2055" s="1">
        <f>IF($C2055="",0,SUMPRODUCT((AY_SONU!$O$7:$O$42="Evet")*(AY_SONU!$B$7:$B$42=DATE(YEAR($C2055),MONTH($C2055),1))))</f>
        <v>0</v>
      </c>
      <c r="AE2055" s="1" t="str">
        <f>IF($E2055="","",$E2055&amp;"|"&amp;COUNTIFS($E$7:$E2055,$E2055))</f>
        <v/>
      </c>
    </row>
    <row r="2056" spans="1:31" ht="18" customHeight="1" x14ac:dyDescent="0.3">
      <c r="A2056" s="2"/>
      <c r="B2056" s="65" t="str">
        <f t="shared" si="258"/>
        <v/>
      </c>
      <c r="C2056" s="66"/>
      <c r="D2056" s="60"/>
      <c r="E2056" s="61"/>
      <c r="F2056" s="61"/>
      <c r="G2056" s="67"/>
      <c r="H2056" s="60"/>
      <c r="I2056" s="60"/>
      <c r="J2056" s="61"/>
      <c r="K2056" s="61"/>
      <c r="L2056" s="60"/>
      <c r="M2056" s="74" t="str">
        <f t="shared" si="259"/>
        <v/>
      </c>
      <c r="N2056" s="74" t="str">
        <f t="shared" si="260"/>
        <v/>
      </c>
      <c r="O2056" s="73" t="str">
        <f t="shared" si="261"/>
        <v/>
      </c>
      <c r="P2056" s="65" t="str">
        <f t="shared" ca="1" si="262"/>
        <v/>
      </c>
      <c r="Q2056" s="2"/>
      <c r="R2056" s="2"/>
      <c r="S2056" s="1" t="str">
        <f t="shared" si="263"/>
        <v/>
      </c>
      <c r="T2056" s="1" t="str">
        <f>IF(OR($C2056="",$D2056&lt;&gt;"Gelir",$L2056=""),"",IFERROR(INDEX(MUSTERILER!$B$7:$B$156,MATCH($S2056,MUSTERILER!$T$7:$T$156,0)),""))</f>
        <v/>
      </c>
      <c r="U2056" s="1" t="str">
        <f>IF($T2056="","",$T2056&amp;"|"&amp;COUNTIFS($T$7:$T2056,$T2056))</f>
        <v/>
      </c>
      <c r="V2056" s="1">
        <f t="shared" si="264"/>
        <v>0</v>
      </c>
      <c r="W2056" s="1" t="str">
        <f t="shared" si="265"/>
        <v/>
      </c>
      <c r="X2056" s="1"/>
      <c r="Y2056" s="1"/>
      <c r="Z2056" s="1"/>
      <c r="AA2056" s="1"/>
      <c r="AB2056" s="1"/>
      <c r="AC2056" s="1"/>
      <c r="AD2056" s="1">
        <f>IF($C2056="",0,SUMPRODUCT((AY_SONU!$O$7:$O$42="Evet")*(AY_SONU!$B$7:$B$42=DATE(YEAR($C2056),MONTH($C2056),1))))</f>
        <v>0</v>
      </c>
      <c r="AE2056" s="1" t="str">
        <f>IF($E2056="","",$E2056&amp;"|"&amp;COUNTIFS($E$7:$E2056,$E2056))</f>
        <v/>
      </c>
    </row>
    <row r="2057" spans="1:31" ht="18" customHeight="1" x14ac:dyDescent="0.3">
      <c r="A2057" s="2"/>
      <c r="B2057" s="65" t="str">
        <f t="shared" si="258"/>
        <v/>
      </c>
      <c r="C2057" s="66"/>
      <c r="D2057" s="60"/>
      <c r="E2057" s="61"/>
      <c r="F2057" s="61"/>
      <c r="G2057" s="67"/>
      <c r="H2057" s="60"/>
      <c r="I2057" s="60"/>
      <c r="J2057" s="61"/>
      <c r="K2057" s="61"/>
      <c r="L2057" s="60"/>
      <c r="M2057" s="74" t="str">
        <f t="shared" si="259"/>
        <v/>
      </c>
      <c r="N2057" s="74" t="str">
        <f t="shared" si="260"/>
        <v/>
      </c>
      <c r="O2057" s="73" t="str">
        <f t="shared" si="261"/>
        <v/>
      </c>
      <c r="P2057" s="65" t="str">
        <f t="shared" ca="1" si="262"/>
        <v/>
      </c>
      <c r="Q2057" s="2"/>
      <c r="R2057" s="2"/>
      <c r="S2057" s="1" t="str">
        <f t="shared" si="263"/>
        <v/>
      </c>
      <c r="T2057" s="1" t="str">
        <f>IF(OR($C2057="",$D2057&lt;&gt;"Gelir",$L2057=""),"",IFERROR(INDEX(MUSTERILER!$B$7:$B$156,MATCH($S2057,MUSTERILER!$T$7:$T$156,0)),""))</f>
        <v/>
      </c>
      <c r="U2057" s="1" t="str">
        <f>IF($T2057="","",$T2057&amp;"|"&amp;COUNTIFS($T$7:$T2057,$T2057))</f>
        <v/>
      </c>
      <c r="V2057" s="1">
        <f t="shared" si="264"/>
        <v>0</v>
      </c>
      <c r="W2057" s="1" t="str">
        <f t="shared" si="265"/>
        <v/>
      </c>
      <c r="X2057" s="1"/>
      <c r="Y2057" s="1"/>
      <c r="Z2057" s="1"/>
      <c r="AA2057" s="1"/>
      <c r="AB2057" s="1"/>
      <c r="AC2057" s="1"/>
      <c r="AD2057" s="1">
        <f>IF($C2057="",0,SUMPRODUCT((AY_SONU!$O$7:$O$42="Evet")*(AY_SONU!$B$7:$B$42=DATE(YEAR($C2057),MONTH($C2057),1))))</f>
        <v>0</v>
      </c>
      <c r="AE2057" s="1" t="str">
        <f>IF($E2057="","",$E2057&amp;"|"&amp;COUNTIFS($E$7:$E2057,$E2057))</f>
        <v/>
      </c>
    </row>
    <row r="2058" spans="1:31" ht="18" customHeight="1" x14ac:dyDescent="0.3">
      <c r="A2058" s="2"/>
      <c r="B2058" s="65" t="str">
        <f t="shared" si="258"/>
        <v/>
      </c>
      <c r="C2058" s="66"/>
      <c r="D2058" s="60"/>
      <c r="E2058" s="61"/>
      <c r="F2058" s="61"/>
      <c r="G2058" s="67"/>
      <c r="H2058" s="60"/>
      <c r="I2058" s="60"/>
      <c r="J2058" s="61"/>
      <c r="K2058" s="61"/>
      <c r="L2058" s="60"/>
      <c r="M2058" s="74" t="str">
        <f t="shared" si="259"/>
        <v/>
      </c>
      <c r="N2058" s="74" t="str">
        <f t="shared" si="260"/>
        <v/>
      </c>
      <c r="O2058" s="73" t="str">
        <f t="shared" si="261"/>
        <v/>
      </c>
      <c r="P2058" s="65" t="str">
        <f t="shared" ca="1" si="262"/>
        <v/>
      </c>
      <c r="Q2058" s="2"/>
      <c r="R2058" s="2"/>
      <c r="S2058" s="1" t="str">
        <f t="shared" si="263"/>
        <v/>
      </c>
      <c r="T2058" s="1" t="str">
        <f>IF(OR($C2058="",$D2058&lt;&gt;"Gelir",$L2058=""),"",IFERROR(INDEX(MUSTERILER!$B$7:$B$156,MATCH($S2058,MUSTERILER!$T$7:$T$156,0)),""))</f>
        <v/>
      </c>
      <c r="U2058" s="1" t="str">
        <f>IF($T2058="","",$T2058&amp;"|"&amp;COUNTIFS($T$7:$T2058,$T2058))</f>
        <v/>
      </c>
      <c r="V2058" s="1">
        <f t="shared" si="264"/>
        <v>0</v>
      </c>
      <c r="W2058" s="1" t="str">
        <f t="shared" si="265"/>
        <v/>
      </c>
      <c r="X2058" s="1"/>
      <c r="Y2058" s="1"/>
      <c r="Z2058" s="1"/>
      <c r="AA2058" s="1"/>
      <c r="AB2058" s="1"/>
      <c r="AC2058" s="1"/>
      <c r="AD2058" s="1">
        <f>IF($C2058="",0,SUMPRODUCT((AY_SONU!$O$7:$O$42="Evet")*(AY_SONU!$B$7:$B$42=DATE(YEAR($C2058),MONTH($C2058),1))))</f>
        <v>0</v>
      </c>
      <c r="AE2058" s="1" t="str">
        <f>IF($E2058="","",$E2058&amp;"|"&amp;COUNTIFS($E$7:$E2058,$E2058))</f>
        <v/>
      </c>
    </row>
    <row r="2059" spans="1:31" ht="18" customHeight="1" x14ac:dyDescent="0.3">
      <c r="A2059" s="2"/>
      <c r="B2059" s="65" t="str">
        <f t="shared" si="258"/>
        <v/>
      </c>
      <c r="C2059" s="66"/>
      <c r="D2059" s="60"/>
      <c r="E2059" s="61"/>
      <c r="F2059" s="61"/>
      <c r="G2059" s="67"/>
      <c r="H2059" s="60"/>
      <c r="I2059" s="60"/>
      <c r="J2059" s="61"/>
      <c r="K2059" s="61"/>
      <c r="L2059" s="60"/>
      <c r="M2059" s="74" t="str">
        <f t="shared" si="259"/>
        <v/>
      </c>
      <c r="N2059" s="74" t="str">
        <f t="shared" si="260"/>
        <v/>
      </c>
      <c r="O2059" s="73" t="str">
        <f t="shared" si="261"/>
        <v/>
      </c>
      <c r="P2059" s="65" t="str">
        <f t="shared" ca="1" si="262"/>
        <v/>
      </c>
      <c r="Q2059" s="2"/>
      <c r="R2059" s="2"/>
      <c r="S2059" s="1" t="str">
        <f t="shared" si="263"/>
        <v/>
      </c>
      <c r="T2059" s="1" t="str">
        <f>IF(OR($C2059="",$D2059&lt;&gt;"Gelir",$L2059=""),"",IFERROR(INDEX(MUSTERILER!$B$7:$B$156,MATCH($S2059,MUSTERILER!$T$7:$T$156,0)),""))</f>
        <v/>
      </c>
      <c r="U2059" s="1" t="str">
        <f>IF($T2059="","",$T2059&amp;"|"&amp;COUNTIFS($T$7:$T2059,$T2059))</f>
        <v/>
      </c>
      <c r="V2059" s="1">
        <f t="shared" si="264"/>
        <v>0</v>
      </c>
      <c r="W2059" s="1" t="str">
        <f t="shared" si="265"/>
        <v/>
      </c>
      <c r="X2059" s="1"/>
      <c r="Y2059" s="1"/>
      <c r="Z2059" s="1"/>
      <c r="AA2059" s="1"/>
      <c r="AB2059" s="1"/>
      <c r="AC2059" s="1"/>
      <c r="AD2059" s="1">
        <f>IF($C2059="",0,SUMPRODUCT((AY_SONU!$O$7:$O$42="Evet")*(AY_SONU!$B$7:$B$42=DATE(YEAR($C2059),MONTH($C2059),1))))</f>
        <v>0</v>
      </c>
      <c r="AE2059" s="1" t="str">
        <f>IF($E2059="","",$E2059&amp;"|"&amp;COUNTIFS($E$7:$E2059,$E2059))</f>
        <v/>
      </c>
    </row>
    <row r="2060" spans="1:31" ht="18" customHeight="1" x14ac:dyDescent="0.3">
      <c r="A2060" s="2"/>
      <c r="B2060" s="65" t="str">
        <f t="shared" si="258"/>
        <v/>
      </c>
      <c r="C2060" s="66"/>
      <c r="D2060" s="60"/>
      <c r="E2060" s="61"/>
      <c r="F2060" s="61"/>
      <c r="G2060" s="67"/>
      <c r="H2060" s="60"/>
      <c r="I2060" s="60"/>
      <c r="J2060" s="61"/>
      <c r="K2060" s="61"/>
      <c r="L2060" s="60"/>
      <c r="M2060" s="74" t="str">
        <f t="shared" si="259"/>
        <v/>
      </c>
      <c r="N2060" s="74" t="str">
        <f t="shared" si="260"/>
        <v/>
      </c>
      <c r="O2060" s="73" t="str">
        <f t="shared" si="261"/>
        <v/>
      </c>
      <c r="P2060" s="65" t="str">
        <f t="shared" ca="1" si="262"/>
        <v/>
      </c>
      <c r="Q2060" s="2"/>
      <c r="R2060" s="2"/>
      <c r="S2060" s="1" t="str">
        <f t="shared" si="263"/>
        <v/>
      </c>
      <c r="T2060" s="1" t="str">
        <f>IF(OR($C2060="",$D2060&lt;&gt;"Gelir",$L2060=""),"",IFERROR(INDEX(MUSTERILER!$B$7:$B$156,MATCH($S2060,MUSTERILER!$T$7:$T$156,0)),""))</f>
        <v/>
      </c>
      <c r="U2060" s="1" t="str">
        <f>IF($T2060="","",$T2060&amp;"|"&amp;COUNTIFS($T$7:$T2060,$T2060))</f>
        <v/>
      </c>
      <c r="V2060" s="1">
        <f t="shared" si="264"/>
        <v>0</v>
      </c>
      <c r="W2060" s="1" t="str">
        <f t="shared" si="265"/>
        <v/>
      </c>
      <c r="X2060" s="1"/>
      <c r="Y2060" s="1"/>
      <c r="Z2060" s="1"/>
      <c r="AA2060" s="1"/>
      <c r="AB2060" s="1"/>
      <c r="AC2060" s="1"/>
      <c r="AD2060" s="1">
        <f>IF($C2060="",0,SUMPRODUCT((AY_SONU!$O$7:$O$42="Evet")*(AY_SONU!$B$7:$B$42=DATE(YEAR($C2060),MONTH($C2060),1))))</f>
        <v>0</v>
      </c>
      <c r="AE2060" s="1" t="str">
        <f>IF($E2060="","",$E2060&amp;"|"&amp;COUNTIFS($E$7:$E2060,$E2060))</f>
        <v/>
      </c>
    </row>
    <row r="2061" spans="1:31" ht="18" customHeight="1" x14ac:dyDescent="0.3">
      <c r="A2061" s="2"/>
      <c r="B2061" s="65" t="str">
        <f t="shared" si="258"/>
        <v/>
      </c>
      <c r="C2061" s="66"/>
      <c r="D2061" s="60"/>
      <c r="E2061" s="61"/>
      <c r="F2061" s="61"/>
      <c r="G2061" s="67"/>
      <c r="H2061" s="60"/>
      <c r="I2061" s="60"/>
      <c r="J2061" s="61"/>
      <c r="K2061" s="61"/>
      <c r="L2061" s="60"/>
      <c r="M2061" s="74" t="str">
        <f t="shared" si="259"/>
        <v/>
      </c>
      <c r="N2061" s="74" t="str">
        <f t="shared" si="260"/>
        <v/>
      </c>
      <c r="O2061" s="73" t="str">
        <f t="shared" si="261"/>
        <v/>
      </c>
      <c r="P2061" s="65" t="str">
        <f t="shared" ca="1" si="262"/>
        <v/>
      </c>
      <c r="Q2061" s="2"/>
      <c r="R2061" s="2"/>
      <c r="S2061" s="1" t="str">
        <f t="shared" si="263"/>
        <v/>
      </c>
      <c r="T2061" s="1" t="str">
        <f>IF(OR($C2061="",$D2061&lt;&gt;"Gelir",$L2061=""),"",IFERROR(INDEX(MUSTERILER!$B$7:$B$156,MATCH($S2061,MUSTERILER!$T$7:$T$156,0)),""))</f>
        <v/>
      </c>
      <c r="U2061" s="1" t="str">
        <f>IF($T2061="","",$T2061&amp;"|"&amp;COUNTIFS($T$7:$T2061,$T2061))</f>
        <v/>
      </c>
      <c r="V2061" s="1">
        <f t="shared" si="264"/>
        <v>0</v>
      </c>
      <c r="W2061" s="1" t="str">
        <f t="shared" si="265"/>
        <v/>
      </c>
      <c r="X2061" s="1"/>
      <c r="Y2061" s="1"/>
      <c r="Z2061" s="1"/>
      <c r="AA2061" s="1"/>
      <c r="AB2061" s="1"/>
      <c r="AC2061" s="1"/>
      <c r="AD2061" s="1">
        <f>IF($C2061="",0,SUMPRODUCT((AY_SONU!$O$7:$O$42="Evet")*(AY_SONU!$B$7:$B$42=DATE(YEAR($C2061),MONTH($C2061),1))))</f>
        <v>0</v>
      </c>
      <c r="AE2061" s="1" t="str">
        <f>IF($E2061="","",$E2061&amp;"|"&amp;COUNTIFS($E$7:$E2061,$E2061))</f>
        <v/>
      </c>
    </row>
    <row r="2062" spans="1:31" ht="18" customHeight="1" x14ac:dyDescent="0.3">
      <c r="A2062" s="2"/>
      <c r="B2062" s="65" t="str">
        <f t="shared" si="258"/>
        <v/>
      </c>
      <c r="C2062" s="66"/>
      <c r="D2062" s="60"/>
      <c r="E2062" s="61"/>
      <c r="F2062" s="61"/>
      <c r="G2062" s="67"/>
      <c r="H2062" s="60"/>
      <c r="I2062" s="60"/>
      <c r="J2062" s="61"/>
      <c r="K2062" s="61"/>
      <c r="L2062" s="60"/>
      <c r="M2062" s="74" t="str">
        <f t="shared" si="259"/>
        <v/>
      </c>
      <c r="N2062" s="74" t="str">
        <f t="shared" si="260"/>
        <v/>
      </c>
      <c r="O2062" s="73" t="str">
        <f t="shared" si="261"/>
        <v/>
      </c>
      <c r="P2062" s="65" t="str">
        <f t="shared" ca="1" si="262"/>
        <v/>
      </c>
      <c r="Q2062" s="2"/>
      <c r="R2062" s="2"/>
      <c r="S2062" s="1" t="str">
        <f t="shared" si="263"/>
        <v/>
      </c>
      <c r="T2062" s="1" t="str">
        <f>IF(OR($C2062="",$D2062&lt;&gt;"Gelir",$L2062=""),"",IFERROR(INDEX(MUSTERILER!$B$7:$B$156,MATCH($S2062,MUSTERILER!$T$7:$T$156,0)),""))</f>
        <v/>
      </c>
      <c r="U2062" s="1" t="str">
        <f>IF($T2062="","",$T2062&amp;"|"&amp;COUNTIFS($T$7:$T2062,$T2062))</f>
        <v/>
      </c>
      <c r="V2062" s="1">
        <f t="shared" si="264"/>
        <v>0</v>
      </c>
      <c r="W2062" s="1" t="str">
        <f t="shared" si="265"/>
        <v/>
      </c>
      <c r="X2062" s="1"/>
      <c r="Y2062" s="1"/>
      <c r="Z2062" s="1"/>
      <c r="AA2062" s="1"/>
      <c r="AB2062" s="1"/>
      <c r="AC2062" s="1"/>
      <c r="AD2062" s="1">
        <f>IF($C2062="",0,SUMPRODUCT((AY_SONU!$O$7:$O$42="Evet")*(AY_SONU!$B$7:$B$42=DATE(YEAR($C2062),MONTH($C2062),1))))</f>
        <v>0</v>
      </c>
      <c r="AE2062" s="1" t="str">
        <f>IF($E2062="","",$E2062&amp;"|"&amp;COUNTIFS($E$7:$E2062,$E2062))</f>
        <v/>
      </c>
    </row>
    <row r="2063" spans="1:31" ht="18" customHeight="1" x14ac:dyDescent="0.3">
      <c r="A2063" s="2"/>
      <c r="B2063" s="65" t="str">
        <f t="shared" si="258"/>
        <v/>
      </c>
      <c r="C2063" s="66"/>
      <c r="D2063" s="60"/>
      <c r="E2063" s="61"/>
      <c r="F2063" s="61"/>
      <c r="G2063" s="67"/>
      <c r="H2063" s="60"/>
      <c r="I2063" s="60"/>
      <c r="J2063" s="61"/>
      <c r="K2063" s="61"/>
      <c r="L2063" s="60"/>
      <c r="M2063" s="74" t="str">
        <f t="shared" si="259"/>
        <v/>
      </c>
      <c r="N2063" s="74" t="str">
        <f t="shared" si="260"/>
        <v/>
      </c>
      <c r="O2063" s="73" t="str">
        <f t="shared" si="261"/>
        <v/>
      </c>
      <c r="P2063" s="65" t="str">
        <f t="shared" ca="1" si="262"/>
        <v/>
      </c>
      <c r="Q2063" s="2"/>
      <c r="R2063" s="2"/>
      <c r="S2063" s="1" t="str">
        <f t="shared" si="263"/>
        <v/>
      </c>
      <c r="T2063" s="1" t="str">
        <f>IF(OR($C2063="",$D2063&lt;&gt;"Gelir",$L2063=""),"",IFERROR(INDEX(MUSTERILER!$B$7:$B$156,MATCH($S2063,MUSTERILER!$T$7:$T$156,0)),""))</f>
        <v/>
      </c>
      <c r="U2063" s="1" t="str">
        <f>IF($T2063="","",$T2063&amp;"|"&amp;COUNTIFS($T$7:$T2063,$T2063))</f>
        <v/>
      </c>
      <c r="V2063" s="1">
        <f t="shared" si="264"/>
        <v>0</v>
      </c>
      <c r="W2063" s="1" t="str">
        <f t="shared" si="265"/>
        <v/>
      </c>
      <c r="X2063" s="1"/>
      <c r="Y2063" s="1"/>
      <c r="Z2063" s="1"/>
      <c r="AA2063" s="1"/>
      <c r="AB2063" s="1"/>
      <c r="AC2063" s="1"/>
      <c r="AD2063" s="1">
        <f>IF($C2063="",0,SUMPRODUCT((AY_SONU!$O$7:$O$42="Evet")*(AY_SONU!$B$7:$B$42=DATE(YEAR($C2063),MONTH($C2063),1))))</f>
        <v>0</v>
      </c>
      <c r="AE2063" s="1" t="str">
        <f>IF($E2063="","",$E2063&amp;"|"&amp;COUNTIFS($E$7:$E2063,$E2063))</f>
        <v/>
      </c>
    </row>
    <row r="2064" spans="1:31" ht="18" customHeight="1" x14ac:dyDescent="0.3">
      <c r="A2064" s="2"/>
      <c r="B2064" s="65" t="str">
        <f t="shared" si="258"/>
        <v/>
      </c>
      <c r="C2064" s="66"/>
      <c r="D2064" s="60"/>
      <c r="E2064" s="61"/>
      <c r="F2064" s="61"/>
      <c r="G2064" s="67"/>
      <c r="H2064" s="60"/>
      <c r="I2064" s="60"/>
      <c r="J2064" s="61"/>
      <c r="K2064" s="61"/>
      <c r="L2064" s="60"/>
      <c r="M2064" s="74" t="str">
        <f t="shared" si="259"/>
        <v/>
      </c>
      <c r="N2064" s="74" t="str">
        <f t="shared" si="260"/>
        <v/>
      </c>
      <c r="O2064" s="73" t="str">
        <f t="shared" si="261"/>
        <v/>
      </c>
      <c r="P2064" s="65" t="str">
        <f t="shared" ca="1" si="262"/>
        <v/>
      </c>
      <c r="Q2064" s="2"/>
      <c r="R2064" s="2"/>
      <c r="S2064" s="1" t="str">
        <f t="shared" si="263"/>
        <v/>
      </c>
      <c r="T2064" s="1" t="str">
        <f>IF(OR($C2064="",$D2064&lt;&gt;"Gelir",$L2064=""),"",IFERROR(INDEX(MUSTERILER!$B$7:$B$156,MATCH($S2064,MUSTERILER!$T$7:$T$156,0)),""))</f>
        <v/>
      </c>
      <c r="U2064" s="1" t="str">
        <f>IF($T2064="","",$T2064&amp;"|"&amp;COUNTIFS($T$7:$T2064,$T2064))</f>
        <v/>
      </c>
      <c r="V2064" s="1">
        <f t="shared" si="264"/>
        <v>0</v>
      </c>
      <c r="W2064" s="1" t="str">
        <f t="shared" si="265"/>
        <v/>
      </c>
      <c r="X2064" s="1"/>
      <c r="Y2064" s="1"/>
      <c r="Z2064" s="1"/>
      <c r="AA2064" s="1"/>
      <c r="AB2064" s="1"/>
      <c r="AC2064" s="1"/>
      <c r="AD2064" s="1">
        <f>IF($C2064="",0,SUMPRODUCT((AY_SONU!$O$7:$O$42="Evet")*(AY_SONU!$B$7:$B$42=DATE(YEAR($C2064),MONTH($C2064),1))))</f>
        <v>0</v>
      </c>
      <c r="AE2064" s="1" t="str">
        <f>IF($E2064="","",$E2064&amp;"|"&amp;COUNTIFS($E$7:$E2064,$E2064))</f>
        <v/>
      </c>
    </row>
    <row r="2065" spans="1:31" ht="18" customHeight="1" x14ac:dyDescent="0.3">
      <c r="A2065" s="2"/>
      <c r="B2065" s="65" t="str">
        <f t="shared" si="258"/>
        <v/>
      </c>
      <c r="C2065" s="66"/>
      <c r="D2065" s="60"/>
      <c r="E2065" s="61"/>
      <c r="F2065" s="61"/>
      <c r="G2065" s="67"/>
      <c r="H2065" s="60"/>
      <c r="I2065" s="60"/>
      <c r="J2065" s="61"/>
      <c r="K2065" s="61"/>
      <c r="L2065" s="60"/>
      <c r="M2065" s="74" t="str">
        <f t="shared" si="259"/>
        <v/>
      </c>
      <c r="N2065" s="74" t="str">
        <f t="shared" si="260"/>
        <v/>
      </c>
      <c r="O2065" s="73" t="str">
        <f t="shared" si="261"/>
        <v/>
      </c>
      <c r="P2065" s="65" t="str">
        <f t="shared" ca="1" si="262"/>
        <v/>
      </c>
      <c r="Q2065" s="2"/>
      <c r="R2065" s="2"/>
      <c r="S2065" s="1" t="str">
        <f t="shared" si="263"/>
        <v/>
      </c>
      <c r="T2065" s="1" t="str">
        <f>IF(OR($C2065="",$D2065&lt;&gt;"Gelir",$L2065=""),"",IFERROR(INDEX(MUSTERILER!$B$7:$B$156,MATCH($S2065,MUSTERILER!$T$7:$T$156,0)),""))</f>
        <v/>
      </c>
      <c r="U2065" s="1" t="str">
        <f>IF($T2065="","",$T2065&amp;"|"&amp;COUNTIFS($T$7:$T2065,$T2065))</f>
        <v/>
      </c>
      <c r="V2065" s="1">
        <f t="shared" si="264"/>
        <v>0</v>
      </c>
      <c r="W2065" s="1" t="str">
        <f t="shared" si="265"/>
        <v/>
      </c>
      <c r="X2065" s="1"/>
      <c r="Y2065" s="1"/>
      <c r="Z2065" s="1"/>
      <c r="AA2065" s="1"/>
      <c r="AB2065" s="1"/>
      <c r="AC2065" s="1"/>
      <c r="AD2065" s="1">
        <f>IF($C2065="",0,SUMPRODUCT((AY_SONU!$O$7:$O$42="Evet")*(AY_SONU!$B$7:$B$42=DATE(YEAR($C2065),MONTH($C2065),1))))</f>
        <v>0</v>
      </c>
      <c r="AE2065" s="1" t="str">
        <f>IF($E2065="","",$E2065&amp;"|"&amp;COUNTIFS($E$7:$E2065,$E2065))</f>
        <v/>
      </c>
    </row>
    <row r="2066" spans="1:31" ht="18" customHeight="1" x14ac:dyDescent="0.3">
      <c r="A2066" s="2"/>
      <c r="B2066" s="65" t="str">
        <f t="shared" si="258"/>
        <v/>
      </c>
      <c r="C2066" s="66"/>
      <c r="D2066" s="60"/>
      <c r="E2066" s="61"/>
      <c r="F2066" s="61"/>
      <c r="G2066" s="67"/>
      <c r="H2066" s="60"/>
      <c r="I2066" s="60"/>
      <c r="J2066" s="61"/>
      <c r="K2066" s="61"/>
      <c r="L2066" s="60"/>
      <c r="M2066" s="74" t="str">
        <f t="shared" si="259"/>
        <v/>
      </c>
      <c r="N2066" s="74" t="str">
        <f t="shared" si="260"/>
        <v/>
      </c>
      <c r="O2066" s="73" t="str">
        <f t="shared" si="261"/>
        <v/>
      </c>
      <c r="P2066" s="65" t="str">
        <f t="shared" ca="1" si="262"/>
        <v/>
      </c>
      <c r="Q2066" s="2"/>
      <c r="R2066" s="2"/>
      <c r="S2066" s="1" t="str">
        <f t="shared" si="263"/>
        <v/>
      </c>
      <c r="T2066" s="1" t="str">
        <f>IF(OR($C2066="",$D2066&lt;&gt;"Gelir",$L2066=""),"",IFERROR(INDEX(MUSTERILER!$B$7:$B$156,MATCH($S2066,MUSTERILER!$T$7:$T$156,0)),""))</f>
        <v/>
      </c>
      <c r="U2066" s="1" t="str">
        <f>IF($T2066="","",$T2066&amp;"|"&amp;COUNTIFS($T$7:$T2066,$T2066))</f>
        <v/>
      </c>
      <c r="V2066" s="1">
        <f t="shared" si="264"/>
        <v>0</v>
      </c>
      <c r="W2066" s="1" t="str">
        <f t="shared" si="265"/>
        <v/>
      </c>
      <c r="X2066" s="1"/>
      <c r="Y2066" s="1"/>
      <c r="Z2066" s="1"/>
      <c r="AA2066" s="1"/>
      <c r="AB2066" s="1"/>
      <c r="AC2066" s="1"/>
      <c r="AD2066" s="1">
        <f>IF($C2066="",0,SUMPRODUCT((AY_SONU!$O$7:$O$42="Evet")*(AY_SONU!$B$7:$B$42=DATE(YEAR($C2066),MONTH($C2066),1))))</f>
        <v>0</v>
      </c>
      <c r="AE2066" s="1" t="str">
        <f>IF($E2066="","",$E2066&amp;"|"&amp;COUNTIFS($E$7:$E2066,$E2066))</f>
        <v/>
      </c>
    </row>
    <row r="2067" spans="1:31" ht="18" customHeight="1" x14ac:dyDescent="0.3">
      <c r="A2067" s="2"/>
      <c r="B2067" s="65" t="str">
        <f t="shared" si="258"/>
        <v/>
      </c>
      <c r="C2067" s="66"/>
      <c r="D2067" s="60"/>
      <c r="E2067" s="61"/>
      <c r="F2067" s="61"/>
      <c r="G2067" s="67"/>
      <c r="H2067" s="60"/>
      <c r="I2067" s="60"/>
      <c r="J2067" s="61"/>
      <c r="K2067" s="61"/>
      <c r="L2067" s="60"/>
      <c r="M2067" s="74" t="str">
        <f t="shared" si="259"/>
        <v/>
      </c>
      <c r="N2067" s="74" t="str">
        <f t="shared" si="260"/>
        <v/>
      </c>
      <c r="O2067" s="73" t="str">
        <f t="shared" si="261"/>
        <v/>
      </c>
      <c r="P2067" s="65" t="str">
        <f t="shared" ca="1" si="262"/>
        <v/>
      </c>
      <c r="Q2067" s="2"/>
      <c r="R2067" s="2"/>
      <c r="S2067" s="1" t="str">
        <f t="shared" si="263"/>
        <v/>
      </c>
      <c r="T2067" s="1" t="str">
        <f>IF(OR($C2067="",$D2067&lt;&gt;"Gelir",$L2067=""),"",IFERROR(INDEX(MUSTERILER!$B$7:$B$156,MATCH($S2067,MUSTERILER!$T$7:$T$156,0)),""))</f>
        <v/>
      </c>
      <c r="U2067" s="1" t="str">
        <f>IF($T2067="","",$T2067&amp;"|"&amp;COUNTIFS($T$7:$T2067,$T2067))</f>
        <v/>
      </c>
      <c r="V2067" s="1">
        <f t="shared" si="264"/>
        <v>0</v>
      </c>
      <c r="W2067" s="1" t="str">
        <f t="shared" si="265"/>
        <v/>
      </c>
      <c r="X2067" s="1"/>
      <c r="Y2067" s="1"/>
      <c r="Z2067" s="1"/>
      <c r="AA2067" s="1"/>
      <c r="AB2067" s="1"/>
      <c r="AC2067" s="1"/>
      <c r="AD2067" s="1">
        <f>IF($C2067="",0,SUMPRODUCT((AY_SONU!$O$7:$O$42="Evet")*(AY_SONU!$B$7:$B$42=DATE(YEAR($C2067),MONTH($C2067),1))))</f>
        <v>0</v>
      </c>
      <c r="AE2067" s="1" t="str">
        <f>IF($E2067="","",$E2067&amp;"|"&amp;COUNTIFS($E$7:$E2067,$E2067))</f>
        <v/>
      </c>
    </row>
    <row r="2068" spans="1:31" ht="18" customHeight="1" x14ac:dyDescent="0.3">
      <c r="A2068" s="2"/>
      <c r="B2068" s="65" t="str">
        <f t="shared" si="258"/>
        <v/>
      </c>
      <c r="C2068" s="66"/>
      <c r="D2068" s="60"/>
      <c r="E2068" s="61"/>
      <c r="F2068" s="61"/>
      <c r="G2068" s="67"/>
      <c r="H2068" s="60"/>
      <c r="I2068" s="60"/>
      <c r="J2068" s="61"/>
      <c r="K2068" s="61"/>
      <c r="L2068" s="60"/>
      <c r="M2068" s="74" t="str">
        <f t="shared" si="259"/>
        <v/>
      </c>
      <c r="N2068" s="74" t="str">
        <f t="shared" si="260"/>
        <v/>
      </c>
      <c r="O2068" s="73" t="str">
        <f t="shared" si="261"/>
        <v/>
      </c>
      <c r="P2068" s="65" t="str">
        <f t="shared" ca="1" si="262"/>
        <v/>
      </c>
      <c r="Q2068" s="2"/>
      <c r="R2068" s="2"/>
      <c r="S2068" s="1" t="str">
        <f t="shared" si="263"/>
        <v/>
      </c>
      <c r="T2068" s="1" t="str">
        <f>IF(OR($C2068="",$D2068&lt;&gt;"Gelir",$L2068=""),"",IFERROR(INDEX(MUSTERILER!$B$7:$B$156,MATCH($S2068,MUSTERILER!$T$7:$T$156,0)),""))</f>
        <v/>
      </c>
      <c r="U2068" s="1" t="str">
        <f>IF($T2068="","",$T2068&amp;"|"&amp;COUNTIFS($T$7:$T2068,$T2068))</f>
        <v/>
      </c>
      <c r="V2068" s="1">
        <f t="shared" si="264"/>
        <v>0</v>
      </c>
      <c r="W2068" s="1" t="str">
        <f t="shared" si="265"/>
        <v/>
      </c>
      <c r="X2068" s="1"/>
      <c r="Y2068" s="1"/>
      <c r="Z2068" s="1"/>
      <c r="AA2068" s="1"/>
      <c r="AB2068" s="1"/>
      <c r="AC2068" s="1"/>
      <c r="AD2068" s="1">
        <f>IF($C2068="",0,SUMPRODUCT((AY_SONU!$O$7:$O$42="Evet")*(AY_SONU!$B$7:$B$42=DATE(YEAR($C2068),MONTH($C2068),1))))</f>
        <v>0</v>
      </c>
      <c r="AE2068" s="1" t="str">
        <f>IF($E2068="","",$E2068&amp;"|"&amp;COUNTIFS($E$7:$E2068,$E2068))</f>
        <v/>
      </c>
    </row>
    <row r="2069" spans="1:31" ht="18" customHeight="1" x14ac:dyDescent="0.3">
      <c r="A2069" s="2"/>
      <c r="B2069" s="65" t="str">
        <f t="shared" si="258"/>
        <v/>
      </c>
      <c r="C2069" s="66"/>
      <c r="D2069" s="60"/>
      <c r="E2069" s="61"/>
      <c r="F2069" s="61"/>
      <c r="G2069" s="67"/>
      <c r="H2069" s="60"/>
      <c r="I2069" s="60"/>
      <c r="J2069" s="61"/>
      <c r="K2069" s="61"/>
      <c r="L2069" s="60"/>
      <c r="M2069" s="74" t="str">
        <f t="shared" si="259"/>
        <v/>
      </c>
      <c r="N2069" s="74" t="str">
        <f t="shared" si="260"/>
        <v/>
      </c>
      <c r="O2069" s="73" t="str">
        <f t="shared" si="261"/>
        <v/>
      </c>
      <c r="P2069" s="65" t="str">
        <f t="shared" ca="1" si="262"/>
        <v/>
      </c>
      <c r="Q2069" s="2"/>
      <c r="R2069" s="2"/>
      <c r="S2069" s="1" t="str">
        <f t="shared" si="263"/>
        <v/>
      </c>
      <c r="T2069" s="1" t="str">
        <f>IF(OR($C2069="",$D2069&lt;&gt;"Gelir",$L2069=""),"",IFERROR(INDEX(MUSTERILER!$B$7:$B$156,MATCH($S2069,MUSTERILER!$T$7:$T$156,0)),""))</f>
        <v/>
      </c>
      <c r="U2069" s="1" t="str">
        <f>IF($T2069="","",$T2069&amp;"|"&amp;COUNTIFS($T$7:$T2069,$T2069))</f>
        <v/>
      </c>
      <c r="V2069" s="1">
        <f t="shared" si="264"/>
        <v>0</v>
      </c>
      <c r="W2069" s="1" t="str">
        <f t="shared" si="265"/>
        <v/>
      </c>
      <c r="X2069" s="1"/>
      <c r="Y2069" s="1"/>
      <c r="Z2069" s="1"/>
      <c r="AA2069" s="1"/>
      <c r="AB2069" s="1"/>
      <c r="AC2069" s="1"/>
      <c r="AD2069" s="1">
        <f>IF($C2069="",0,SUMPRODUCT((AY_SONU!$O$7:$O$42="Evet")*(AY_SONU!$B$7:$B$42=DATE(YEAR($C2069),MONTH($C2069),1))))</f>
        <v>0</v>
      </c>
      <c r="AE2069" s="1" t="str">
        <f>IF($E2069="","",$E2069&amp;"|"&amp;COUNTIFS($E$7:$E2069,$E2069))</f>
        <v/>
      </c>
    </row>
    <row r="2070" spans="1:31" ht="18" customHeight="1" x14ac:dyDescent="0.3">
      <c r="A2070" s="2"/>
      <c r="B2070" s="65" t="str">
        <f t="shared" si="258"/>
        <v/>
      </c>
      <c r="C2070" s="66"/>
      <c r="D2070" s="60"/>
      <c r="E2070" s="61"/>
      <c r="F2070" s="61"/>
      <c r="G2070" s="67"/>
      <c r="H2070" s="60"/>
      <c r="I2070" s="60"/>
      <c r="J2070" s="61"/>
      <c r="K2070" s="61"/>
      <c r="L2070" s="60"/>
      <c r="M2070" s="74" t="str">
        <f t="shared" si="259"/>
        <v/>
      </c>
      <c r="N2070" s="74" t="str">
        <f t="shared" si="260"/>
        <v/>
      </c>
      <c r="O2070" s="73" t="str">
        <f t="shared" si="261"/>
        <v/>
      </c>
      <c r="P2070" s="65" t="str">
        <f t="shared" ca="1" si="262"/>
        <v/>
      </c>
      <c r="Q2070" s="2"/>
      <c r="R2070" s="2"/>
      <c r="S2070" s="1" t="str">
        <f t="shared" si="263"/>
        <v/>
      </c>
      <c r="T2070" s="1" t="str">
        <f>IF(OR($C2070="",$D2070&lt;&gt;"Gelir",$L2070=""),"",IFERROR(INDEX(MUSTERILER!$B$7:$B$156,MATCH($S2070,MUSTERILER!$T$7:$T$156,0)),""))</f>
        <v/>
      </c>
      <c r="U2070" s="1" t="str">
        <f>IF($T2070="","",$T2070&amp;"|"&amp;COUNTIFS($T$7:$T2070,$T2070))</f>
        <v/>
      </c>
      <c r="V2070" s="1">
        <f t="shared" si="264"/>
        <v>0</v>
      </c>
      <c r="W2070" s="1" t="str">
        <f t="shared" si="265"/>
        <v/>
      </c>
      <c r="X2070" s="1"/>
      <c r="Y2070" s="1"/>
      <c r="Z2070" s="1"/>
      <c r="AA2070" s="1"/>
      <c r="AB2070" s="1"/>
      <c r="AC2070" s="1"/>
      <c r="AD2070" s="1">
        <f>IF($C2070="",0,SUMPRODUCT((AY_SONU!$O$7:$O$42="Evet")*(AY_SONU!$B$7:$B$42=DATE(YEAR($C2070),MONTH($C2070),1))))</f>
        <v>0</v>
      </c>
      <c r="AE2070" s="1" t="str">
        <f>IF($E2070="","",$E2070&amp;"|"&amp;COUNTIFS($E$7:$E2070,$E2070))</f>
        <v/>
      </c>
    </row>
    <row r="2071" spans="1:31" ht="18" customHeight="1" x14ac:dyDescent="0.3">
      <c r="A2071" s="2"/>
      <c r="B2071" s="65" t="str">
        <f t="shared" si="258"/>
        <v/>
      </c>
      <c r="C2071" s="66"/>
      <c r="D2071" s="60"/>
      <c r="E2071" s="61"/>
      <c r="F2071" s="61"/>
      <c r="G2071" s="67"/>
      <c r="H2071" s="60"/>
      <c r="I2071" s="60"/>
      <c r="J2071" s="61"/>
      <c r="K2071" s="61"/>
      <c r="L2071" s="60"/>
      <c r="M2071" s="74" t="str">
        <f t="shared" si="259"/>
        <v/>
      </c>
      <c r="N2071" s="74" t="str">
        <f t="shared" si="260"/>
        <v/>
      </c>
      <c r="O2071" s="73" t="str">
        <f t="shared" si="261"/>
        <v/>
      </c>
      <c r="P2071" s="65" t="str">
        <f t="shared" ca="1" si="262"/>
        <v/>
      </c>
      <c r="Q2071" s="2"/>
      <c r="R2071" s="2"/>
      <c r="S2071" s="1" t="str">
        <f t="shared" si="263"/>
        <v/>
      </c>
      <c r="T2071" s="1" t="str">
        <f>IF(OR($C2071="",$D2071&lt;&gt;"Gelir",$L2071=""),"",IFERROR(INDEX(MUSTERILER!$B$7:$B$156,MATCH($S2071,MUSTERILER!$T$7:$T$156,0)),""))</f>
        <v/>
      </c>
      <c r="U2071" s="1" t="str">
        <f>IF($T2071="","",$T2071&amp;"|"&amp;COUNTIFS($T$7:$T2071,$T2071))</f>
        <v/>
      </c>
      <c r="V2071" s="1">
        <f t="shared" si="264"/>
        <v>0</v>
      </c>
      <c r="W2071" s="1" t="str">
        <f t="shared" si="265"/>
        <v/>
      </c>
      <c r="X2071" s="1"/>
      <c r="Y2071" s="1"/>
      <c r="Z2071" s="1"/>
      <c r="AA2071" s="1"/>
      <c r="AB2071" s="1"/>
      <c r="AC2071" s="1"/>
      <c r="AD2071" s="1">
        <f>IF($C2071="",0,SUMPRODUCT((AY_SONU!$O$7:$O$42="Evet")*(AY_SONU!$B$7:$B$42=DATE(YEAR($C2071),MONTH($C2071),1))))</f>
        <v>0</v>
      </c>
      <c r="AE2071" s="1" t="str">
        <f>IF($E2071="","",$E2071&amp;"|"&amp;COUNTIFS($E$7:$E2071,$E2071))</f>
        <v/>
      </c>
    </row>
    <row r="2072" spans="1:31" ht="18" customHeight="1" x14ac:dyDescent="0.3">
      <c r="A2072" s="2"/>
      <c r="B2072" s="65" t="str">
        <f t="shared" si="258"/>
        <v/>
      </c>
      <c r="C2072" s="66"/>
      <c r="D2072" s="60"/>
      <c r="E2072" s="61"/>
      <c r="F2072" s="61"/>
      <c r="G2072" s="67"/>
      <c r="H2072" s="60"/>
      <c r="I2072" s="60"/>
      <c r="J2072" s="61"/>
      <c r="K2072" s="61"/>
      <c r="L2072" s="60"/>
      <c r="M2072" s="74" t="str">
        <f t="shared" si="259"/>
        <v/>
      </c>
      <c r="N2072" s="74" t="str">
        <f t="shared" si="260"/>
        <v/>
      </c>
      <c r="O2072" s="73" t="str">
        <f t="shared" si="261"/>
        <v/>
      </c>
      <c r="P2072" s="65" t="str">
        <f t="shared" ca="1" si="262"/>
        <v/>
      </c>
      <c r="Q2072" s="2"/>
      <c r="R2072" s="2"/>
      <c r="S2072" s="1" t="str">
        <f t="shared" si="263"/>
        <v/>
      </c>
      <c r="T2072" s="1" t="str">
        <f>IF(OR($C2072="",$D2072&lt;&gt;"Gelir",$L2072=""),"",IFERROR(INDEX(MUSTERILER!$B$7:$B$156,MATCH($S2072,MUSTERILER!$T$7:$T$156,0)),""))</f>
        <v/>
      </c>
      <c r="U2072" s="1" t="str">
        <f>IF($T2072="","",$T2072&amp;"|"&amp;COUNTIFS($T$7:$T2072,$T2072))</f>
        <v/>
      </c>
      <c r="V2072" s="1">
        <f t="shared" si="264"/>
        <v>0</v>
      </c>
      <c r="W2072" s="1" t="str">
        <f t="shared" si="265"/>
        <v/>
      </c>
      <c r="X2072" s="1"/>
      <c r="Y2072" s="1"/>
      <c r="Z2072" s="1"/>
      <c r="AA2072" s="1"/>
      <c r="AB2072" s="1"/>
      <c r="AC2072" s="1"/>
      <c r="AD2072" s="1">
        <f>IF($C2072="",0,SUMPRODUCT((AY_SONU!$O$7:$O$42="Evet")*(AY_SONU!$B$7:$B$42=DATE(YEAR($C2072),MONTH($C2072),1))))</f>
        <v>0</v>
      </c>
      <c r="AE2072" s="1" t="str">
        <f>IF($E2072="","",$E2072&amp;"|"&amp;COUNTIFS($E$7:$E2072,$E2072))</f>
        <v/>
      </c>
    </row>
    <row r="2073" spans="1:31" ht="18" customHeight="1" x14ac:dyDescent="0.3">
      <c r="A2073" s="2"/>
      <c r="B2073" s="65" t="str">
        <f t="shared" si="258"/>
        <v/>
      </c>
      <c r="C2073" s="66"/>
      <c r="D2073" s="60"/>
      <c r="E2073" s="61"/>
      <c r="F2073" s="61"/>
      <c r="G2073" s="67"/>
      <c r="H2073" s="60"/>
      <c r="I2073" s="60"/>
      <c r="J2073" s="61"/>
      <c r="K2073" s="61"/>
      <c r="L2073" s="60"/>
      <c r="M2073" s="74" t="str">
        <f t="shared" si="259"/>
        <v/>
      </c>
      <c r="N2073" s="74" t="str">
        <f t="shared" si="260"/>
        <v/>
      </c>
      <c r="O2073" s="73" t="str">
        <f t="shared" si="261"/>
        <v/>
      </c>
      <c r="P2073" s="65" t="str">
        <f t="shared" ca="1" si="262"/>
        <v/>
      </c>
      <c r="Q2073" s="2"/>
      <c r="R2073" s="2"/>
      <c r="S2073" s="1" t="str">
        <f t="shared" si="263"/>
        <v/>
      </c>
      <c r="T2073" s="1" t="str">
        <f>IF(OR($C2073="",$D2073&lt;&gt;"Gelir",$L2073=""),"",IFERROR(INDEX(MUSTERILER!$B$7:$B$156,MATCH($S2073,MUSTERILER!$T$7:$T$156,0)),""))</f>
        <v/>
      </c>
      <c r="U2073" s="1" t="str">
        <f>IF($T2073="","",$T2073&amp;"|"&amp;COUNTIFS($T$7:$T2073,$T2073))</f>
        <v/>
      </c>
      <c r="V2073" s="1">
        <f t="shared" si="264"/>
        <v>0</v>
      </c>
      <c r="W2073" s="1" t="str">
        <f t="shared" si="265"/>
        <v/>
      </c>
      <c r="X2073" s="1"/>
      <c r="Y2073" s="1"/>
      <c r="Z2073" s="1"/>
      <c r="AA2073" s="1"/>
      <c r="AB2073" s="1"/>
      <c r="AC2073" s="1"/>
      <c r="AD2073" s="1">
        <f>IF($C2073="",0,SUMPRODUCT((AY_SONU!$O$7:$O$42="Evet")*(AY_SONU!$B$7:$B$42=DATE(YEAR($C2073),MONTH($C2073),1))))</f>
        <v>0</v>
      </c>
      <c r="AE2073" s="1" t="str">
        <f>IF($E2073="","",$E2073&amp;"|"&amp;COUNTIFS($E$7:$E2073,$E2073))</f>
        <v/>
      </c>
    </row>
    <row r="2074" spans="1:31" ht="18" customHeight="1" x14ac:dyDescent="0.3">
      <c r="A2074" s="2"/>
      <c r="B2074" s="65" t="str">
        <f t="shared" si="258"/>
        <v/>
      </c>
      <c r="C2074" s="66"/>
      <c r="D2074" s="60"/>
      <c r="E2074" s="61"/>
      <c r="F2074" s="61"/>
      <c r="G2074" s="67"/>
      <c r="H2074" s="60"/>
      <c r="I2074" s="60"/>
      <c r="J2074" s="61"/>
      <c r="K2074" s="61"/>
      <c r="L2074" s="60"/>
      <c r="M2074" s="74" t="str">
        <f t="shared" si="259"/>
        <v/>
      </c>
      <c r="N2074" s="74" t="str">
        <f t="shared" si="260"/>
        <v/>
      </c>
      <c r="O2074" s="73" t="str">
        <f t="shared" si="261"/>
        <v/>
      </c>
      <c r="P2074" s="65" t="str">
        <f t="shared" ca="1" si="262"/>
        <v/>
      </c>
      <c r="Q2074" s="2"/>
      <c r="R2074" s="2"/>
      <c r="S2074" s="1" t="str">
        <f t="shared" si="263"/>
        <v/>
      </c>
      <c r="T2074" s="1" t="str">
        <f>IF(OR($C2074="",$D2074&lt;&gt;"Gelir",$L2074=""),"",IFERROR(INDEX(MUSTERILER!$B$7:$B$156,MATCH($S2074,MUSTERILER!$T$7:$T$156,0)),""))</f>
        <v/>
      </c>
      <c r="U2074" s="1" t="str">
        <f>IF($T2074="","",$T2074&amp;"|"&amp;COUNTIFS($T$7:$T2074,$T2074))</f>
        <v/>
      </c>
      <c r="V2074" s="1">
        <f t="shared" si="264"/>
        <v>0</v>
      </c>
      <c r="W2074" s="1" t="str">
        <f t="shared" si="265"/>
        <v/>
      </c>
      <c r="X2074" s="1"/>
      <c r="Y2074" s="1"/>
      <c r="Z2074" s="1"/>
      <c r="AA2074" s="1"/>
      <c r="AB2074" s="1"/>
      <c r="AC2074" s="1"/>
      <c r="AD2074" s="1">
        <f>IF($C2074="",0,SUMPRODUCT((AY_SONU!$O$7:$O$42="Evet")*(AY_SONU!$B$7:$B$42=DATE(YEAR($C2074),MONTH($C2074),1))))</f>
        <v>0</v>
      </c>
      <c r="AE2074" s="1" t="str">
        <f>IF($E2074="","",$E2074&amp;"|"&amp;COUNTIFS($E$7:$E2074,$E2074))</f>
        <v/>
      </c>
    </row>
    <row r="2075" spans="1:31" ht="18" customHeight="1" x14ac:dyDescent="0.3">
      <c r="A2075" s="2"/>
      <c r="B2075" s="65" t="str">
        <f t="shared" si="258"/>
        <v/>
      </c>
      <c r="C2075" s="66"/>
      <c r="D2075" s="60"/>
      <c r="E2075" s="61"/>
      <c r="F2075" s="61"/>
      <c r="G2075" s="67"/>
      <c r="H2075" s="60"/>
      <c r="I2075" s="60"/>
      <c r="J2075" s="61"/>
      <c r="K2075" s="61"/>
      <c r="L2075" s="60"/>
      <c r="M2075" s="74" t="str">
        <f t="shared" si="259"/>
        <v/>
      </c>
      <c r="N2075" s="74" t="str">
        <f t="shared" si="260"/>
        <v/>
      </c>
      <c r="O2075" s="73" t="str">
        <f t="shared" si="261"/>
        <v/>
      </c>
      <c r="P2075" s="65" t="str">
        <f t="shared" ca="1" si="262"/>
        <v/>
      </c>
      <c r="Q2075" s="2"/>
      <c r="R2075" s="2"/>
      <c r="S2075" s="1" t="str">
        <f t="shared" si="263"/>
        <v/>
      </c>
      <c r="T2075" s="1" t="str">
        <f>IF(OR($C2075="",$D2075&lt;&gt;"Gelir",$L2075=""),"",IFERROR(INDEX(MUSTERILER!$B$7:$B$156,MATCH($S2075,MUSTERILER!$T$7:$T$156,0)),""))</f>
        <v/>
      </c>
      <c r="U2075" s="1" t="str">
        <f>IF($T2075="","",$T2075&amp;"|"&amp;COUNTIFS($T$7:$T2075,$T2075))</f>
        <v/>
      </c>
      <c r="V2075" s="1">
        <f t="shared" si="264"/>
        <v>0</v>
      </c>
      <c r="W2075" s="1" t="str">
        <f t="shared" si="265"/>
        <v/>
      </c>
      <c r="X2075" s="1"/>
      <c r="Y2075" s="1"/>
      <c r="Z2075" s="1"/>
      <c r="AA2075" s="1"/>
      <c r="AB2075" s="1"/>
      <c r="AC2075" s="1"/>
      <c r="AD2075" s="1">
        <f>IF($C2075="",0,SUMPRODUCT((AY_SONU!$O$7:$O$42="Evet")*(AY_SONU!$B$7:$B$42=DATE(YEAR($C2075),MONTH($C2075),1))))</f>
        <v>0</v>
      </c>
      <c r="AE2075" s="1" t="str">
        <f>IF($E2075="","",$E2075&amp;"|"&amp;COUNTIFS($E$7:$E2075,$E2075))</f>
        <v/>
      </c>
    </row>
    <row r="2076" spans="1:31" ht="18" customHeight="1" x14ac:dyDescent="0.3">
      <c r="A2076" s="2"/>
      <c r="B2076" s="65" t="str">
        <f t="shared" si="258"/>
        <v/>
      </c>
      <c r="C2076" s="66"/>
      <c r="D2076" s="60"/>
      <c r="E2076" s="61"/>
      <c r="F2076" s="61"/>
      <c r="G2076" s="67"/>
      <c r="H2076" s="60"/>
      <c r="I2076" s="60"/>
      <c r="J2076" s="61"/>
      <c r="K2076" s="61"/>
      <c r="L2076" s="60"/>
      <c r="M2076" s="74" t="str">
        <f t="shared" si="259"/>
        <v/>
      </c>
      <c r="N2076" s="74" t="str">
        <f t="shared" si="260"/>
        <v/>
      </c>
      <c r="O2076" s="73" t="str">
        <f t="shared" si="261"/>
        <v/>
      </c>
      <c r="P2076" s="65" t="str">
        <f t="shared" ca="1" si="262"/>
        <v/>
      </c>
      <c r="Q2076" s="2"/>
      <c r="R2076" s="2"/>
      <c r="S2076" s="1" t="str">
        <f t="shared" si="263"/>
        <v/>
      </c>
      <c r="T2076" s="1" t="str">
        <f>IF(OR($C2076="",$D2076&lt;&gt;"Gelir",$L2076=""),"",IFERROR(INDEX(MUSTERILER!$B$7:$B$156,MATCH($S2076,MUSTERILER!$T$7:$T$156,0)),""))</f>
        <v/>
      </c>
      <c r="U2076" s="1" t="str">
        <f>IF($T2076="","",$T2076&amp;"|"&amp;COUNTIFS($T$7:$T2076,$T2076))</f>
        <v/>
      </c>
      <c r="V2076" s="1">
        <f t="shared" si="264"/>
        <v>0</v>
      </c>
      <c r="W2076" s="1" t="str">
        <f t="shared" si="265"/>
        <v/>
      </c>
      <c r="X2076" s="1"/>
      <c r="Y2076" s="1"/>
      <c r="Z2076" s="1"/>
      <c r="AA2076" s="1"/>
      <c r="AB2076" s="1"/>
      <c r="AC2076" s="1"/>
      <c r="AD2076" s="1">
        <f>IF($C2076="",0,SUMPRODUCT((AY_SONU!$O$7:$O$42="Evet")*(AY_SONU!$B$7:$B$42=DATE(YEAR($C2076),MONTH($C2076),1))))</f>
        <v>0</v>
      </c>
      <c r="AE2076" s="1" t="str">
        <f>IF($E2076="","",$E2076&amp;"|"&amp;COUNTIFS($E$7:$E2076,$E2076))</f>
        <v/>
      </c>
    </row>
    <row r="2077" spans="1:31" ht="18" customHeight="1" x14ac:dyDescent="0.3">
      <c r="A2077" s="2"/>
      <c r="B2077" s="65" t="str">
        <f t="shared" si="258"/>
        <v/>
      </c>
      <c r="C2077" s="66"/>
      <c r="D2077" s="60"/>
      <c r="E2077" s="61"/>
      <c r="F2077" s="61"/>
      <c r="G2077" s="67"/>
      <c r="H2077" s="60"/>
      <c r="I2077" s="60"/>
      <c r="J2077" s="61"/>
      <c r="K2077" s="61"/>
      <c r="L2077" s="60"/>
      <c r="M2077" s="74" t="str">
        <f t="shared" si="259"/>
        <v/>
      </c>
      <c r="N2077" s="74" t="str">
        <f t="shared" si="260"/>
        <v/>
      </c>
      <c r="O2077" s="73" t="str">
        <f t="shared" si="261"/>
        <v/>
      </c>
      <c r="P2077" s="65" t="str">
        <f t="shared" ca="1" si="262"/>
        <v/>
      </c>
      <c r="Q2077" s="2"/>
      <c r="R2077" s="2"/>
      <c r="S2077" s="1" t="str">
        <f t="shared" si="263"/>
        <v/>
      </c>
      <c r="T2077" s="1" t="str">
        <f>IF(OR($C2077="",$D2077&lt;&gt;"Gelir",$L2077=""),"",IFERROR(INDEX(MUSTERILER!$B$7:$B$156,MATCH($S2077,MUSTERILER!$T$7:$T$156,0)),""))</f>
        <v/>
      </c>
      <c r="U2077" s="1" t="str">
        <f>IF($T2077="","",$T2077&amp;"|"&amp;COUNTIFS($T$7:$T2077,$T2077))</f>
        <v/>
      </c>
      <c r="V2077" s="1">
        <f t="shared" si="264"/>
        <v>0</v>
      </c>
      <c r="W2077" s="1" t="str">
        <f t="shared" si="265"/>
        <v/>
      </c>
      <c r="X2077" s="1"/>
      <c r="Y2077" s="1"/>
      <c r="Z2077" s="1"/>
      <c r="AA2077" s="1"/>
      <c r="AB2077" s="1"/>
      <c r="AC2077" s="1"/>
      <c r="AD2077" s="1">
        <f>IF($C2077="",0,SUMPRODUCT((AY_SONU!$O$7:$O$42="Evet")*(AY_SONU!$B$7:$B$42=DATE(YEAR($C2077),MONTH($C2077),1))))</f>
        <v>0</v>
      </c>
      <c r="AE2077" s="1" t="str">
        <f>IF($E2077="","",$E2077&amp;"|"&amp;COUNTIFS($E$7:$E2077,$E2077))</f>
        <v/>
      </c>
    </row>
    <row r="2078" spans="1:31" ht="18" customHeight="1" x14ac:dyDescent="0.3">
      <c r="A2078" s="2"/>
      <c r="B2078" s="65" t="str">
        <f t="shared" si="258"/>
        <v/>
      </c>
      <c r="C2078" s="66"/>
      <c r="D2078" s="60"/>
      <c r="E2078" s="61"/>
      <c r="F2078" s="61"/>
      <c r="G2078" s="67"/>
      <c r="H2078" s="60"/>
      <c r="I2078" s="60"/>
      <c r="J2078" s="61"/>
      <c r="K2078" s="61"/>
      <c r="L2078" s="60"/>
      <c r="M2078" s="74" t="str">
        <f t="shared" si="259"/>
        <v/>
      </c>
      <c r="N2078" s="74" t="str">
        <f t="shared" si="260"/>
        <v/>
      </c>
      <c r="O2078" s="73" t="str">
        <f t="shared" si="261"/>
        <v/>
      </c>
      <c r="P2078" s="65" t="str">
        <f t="shared" ca="1" si="262"/>
        <v/>
      </c>
      <c r="Q2078" s="2"/>
      <c r="R2078" s="2"/>
      <c r="S2078" s="1" t="str">
        <f t="shared" si="263"/>
        <v/>
      </c>
      <c r="T2078" s="1" t="str">
        <f>IF(OR($C2078="",$D2078&lt;&gt;"Gelir",$L2078=""),"",IFERROR(INDEX(MUSTERILER!$B$7:$B$156,MATCH($S2078,MUSTERILER!$T$7:$T$156,0)),""))</f>
        <v/>
      </c>
      <c r="U2078" s="1" t="str">
        <f>IF($T2078="","",$T2078&amp;"|"&amp;COUNTIFS($T$7:$T2078,$T2078))</f>
        <v/>
      </c>
      <c r="V2078" s="1">
        <f t="shared" si="264"/>
        <v>0</v>
      </c>
      <c r="W2078" s="1" t="str">
        <f t="shared" si="265"/>
        <v/>
      </c>
      <c r="X2078" s="1"/>
      <c r="Y2078" s="1"/>
      <c r="Z2078" s="1"/>
      <c r="AA2078" s="1"/>
      <c r="AB2078" s="1"/>
      <c r="AC2078" s="1"/>
      <c r="AD2078" s="1">
        <f>IF($C2078="",0,SUMPRODUCT((AY_SONU!$O$7:$O$42="Evet")*(AY_SONU!$B$7:$B$42=DATE(YEAR($C2078),MONTH($C2078),1))))</f>
        <v>0</v>
      </c>
      <c r="AE2078" s="1" t="str">
        <f>IF($E2078="","",$E2078&amp;"|"&amp;COUNTIFS($E$7:$E2078,$E2078))</f>
        <v/>
      </c>
    </row>
    <row r="2079" spans="1:31" ht="18" customHeight="1" x14ac:dyDescent="0.3">
      <c r="A2079" s="2"/>
      <c r="B2079" s="65" t="str">
        <f t="shared" si="258"/>
        <v/>
      </c>
      <c r="C2079" s="66"/>
      <c r="D2079" s="60"/>
      <c r="E2079" s="61"/>
      <c r="F2079" s="61"/>
      <c r="G2079" s="67"/>
      <c r="H2079" s="60"/>
      <c r="I2079" s="60"/>
      <c r="J2079" s="61"/>
      <c r="K2079" s="61"/>
      <c r="L2079" s="60"/>
      <c r="M2079" s="74" t="str">
        <f t="shared" si="259"/>
        <v/>
      </c>
      <c r="N2079" s="74" t="str">
        <f t="shared" si="260"/>
        <v/>
      </c>
      <c r="O2079" s="73" t="str">
        <f t="shared" si="261"/>
        <v/>
      </c>
      <c r="P2079" s="65" t="str">
        <f t="shared" ca="1" si="262"/>
        <v/>
      </c>
      <c r="Q2079" s="2"/>
      <c r="R2079" s="2"/>
      <c r="S2079" s="1" t="str">
        <f t="shared" si="263"/>
        <v/>
      </c>
      <c r="T2079" s="1" t="str">
        <f>IF(OR($C2079="",$D2079&lt;&gt;"Gelir",$L2079=""),"",IFERROR(INDEX(MUSTERILER!$B$7:$B$156,MATCH($S2079,MUSTERILER!$T$7:$T$156,0)),""))</f>
        <v/>
      </c>
      <c r="U2079" s="1" t="str">
        <f>IF($T2079="","",$T2079&amp;"|"&amp;COUNTIFS($T$7:$T2079,$T2079))</f>
        <v/>
      </c>
      <c r="V2079" s="1">
        <f t="shared" si="264"/>
        <v>0</v>
      </c>
      <c r="W2079" s="1" t="str">
        <f t="shared" si="265"/>
        <v/>
      </c>
      <c r="X2079" s="1"/>
      <c r="Y2079" s="1"/>
      <c r="Z2079" s="1"/>
      <c r="AA2079" s="1"/>
      <c r="AB2079" s="1"/>
      <c r="AC2079" s="1"/>
      <c r="AD2079" s="1">
        <f>IF($C2079="",0,SUMPRODUCT((AY_SONU!$O$7:$O$42="Evet")*(AY_SONU!$B$7:$B$42=DATE(YEAR($C2079),MONTH($C2079),1))))</f>
        <v>0</v>
      </c>
      <c r="AE2079" s="1" t="str">
        <f>IF($E2079="","",$E2079&amp;"|"&amp;COUNTIFS($E$7:$E2079,$E2079))</f>
        <v/>
      </c>
    </row>
    <row r="2080" spans="1:31" ht="18" customHeight="1" x14ac:dyDescent="0.3">
      <c r="A2080" s="2"/>
      <c r="B2080" s="65" t="str">
        <f t="shared" si="258"/>
        <v/>
      </c>
      <c r="C2080" s="66"/>
      <c r="D2080" s="60"/>
      <c r="E2080" s="61"/>
      <c r="F2080" s="61"/>
      <c r="G2080" s="67"/>
      <c r="H2080" s="60"/>
      <c r="I2080" s="60"/>
      <c r="J2080" s="61"/>
      <c r="K2080" s="61"/>
      <c r="L2080" s="60"/>
      <c r="M2080" s="74" t="str">
        <f t="shared" si="259"/>
        <v/>
      </c>
      <c r="N2080" s="74" t="str">
        <f t="shared" si="260"/>
        <v/>
      </c>
      <c r="O2080" s="73" t="str">
        <f t="shared" si="261"/>
        <v/>
      </c>
      <c r="P2080" s="65" t="str">
        <f t="shared" ca="1" si="262"/>
        <v/>
      </c>
      <c r="Q2080" s="2"/>
      <c r="R2080" s="2"/>
      <c r="S2080" s="1" t="str">
        <f t="shared" si="263"/>
        <v/>
      </c>
      <c r="T2080" s="1" t="str">
        <f>IF(OR($C2080="",$D2080&lt;&gt;"Gelir",$L2080=""),"",IFERROR(INDEX(MUSTERILER!$B$7:$B$156,MATCH($S2080,MUSTERILER!$T$7:$T$156,0)),""))</f>
        <v/>
      </c>
      <c r="U2080" s="1" t="str">
        <f>IF($T2080="","",$T2080&amp;"|"&amp;COUNTIFS($T$7:$T2080,$T2080))</f>
        <v/>
      </c>
      <c r="V2080" s="1">
        <f t="shared" si="264"/>
        <v>0</v>
      </c>
      <c r="W2080" s="1" t="str">
        <f t="shared" si="265"/>
        <v/>
      </c>
      <c r="X2080" s="1"/>
      <c r="Y2080" s="1"/>
      <c r="Z2080" s="1"/>
      <c r="AA2080" s="1"/>
      <c r="AB2080" s="1"/>
      <c r="AC2080" s="1"/>
      <c r="AD2080" s="1">
        <f>IF($C2080="",0,SUMPRODUCT((AY_SONU!$O$7:$O$42="Evet")*(AY_SONU!$B$7:$B$42=DATE(YEAR($C2080),MONTH($C2080),1))))</f>
        <v>0</v>
      </c>
      <c r="AE2080" s="1" t="str">
        <f>IF($E2080="","",$E2080&amp;"|"&amp;COUNTIFS($E$7:$E2080,$E2080))</f>
        <v/>
      </c>
    </row>
    <row r="2081" spans="1:31" ht="18" customHeight="1" x14ac:dyDescent="0.3">
      <c r="A2081" s="2"/>
      <c r="B2081" s="65" t="str">
        <f t="shared" si="258"/>
        <v/>
      </c>
      <c r="C2081" s="66"/>
      <c r="D2081" s="60"/>
      <c r="E2081" s="61"/>
      <c r="F2081" s="61"/>
      <c r="G2081" s="67"/>
      <c r="H2081" s="60"/>
      <c r="I2081" s="60"/>
      <c r="J2081" s="61"/>
      <c r="K2081" s="61"/>
      <c r="L2081" s="60"/>
      <c r="M2081" s="74" t="str">
        <f t="shared" si="259"/>
        <v/>
      </c>
      <c r="N2081" s="74" t="str">
        <f t="shared" si="260"/>
        <v/>
      </c>
      <c r="O2081" s="73" t="str">
        <f t="shared" si="261"/>
        <v/>
      </c>
      <c r="P2081" s="65" t="str">
        <f t="shared" ca="1" si="262"/>
        <v/>
      </c>
      <c r="Q2081" s="2"/>
      <c r="R2081" s="2"/>
      <c r="S2081" s="1" t="str">
        <f t="shared" si="263"/>
        <v/>
      </c>
      <c r="T2081" s="1" t="str">
        <f>IF(OR($C2081="",$D2081&lt;&gt;"Gelir",$L2081=""),"",IFERROR(INDEX(MUSTERILER!$B$7:$B$156,MATCH($S2081,MUSTERILER!$T$7:$T$156,0)),""))</f>
        <v/>
      </c>
      <c r="U2081" s="1" t="str">
        <f>IF($T2081="","",$T2081&amp;"|"&amp;COUNTIFS($T$7:$T2081,$T2081))</f>
        <v/>
      </c>
      <c r="V2081" s="1">
        <f t="shared" si="264"/>
        <v>0</v>
      </c>
      <c r="W2081" s="1" t="str">
        <f t="shared" si="265"/>
        <v/>
      </c>
      <c r="X2081" s="1"/>
      <c r="Y2081" s="1"/>
      <c r="Z2081" s="1"/>
      <c r="AA2081" s="1"/>
      <c r="AB2081" s="1"/>
      <c r="AC2081" s="1"/>
      <c r="AD2081" s="1">
        <f>IF($C2081="",0,SUMPRODUCT((AY_SONU!$O$7:$O$42="Evet")*(AY_SONU!$B$7:$B$42=DATE(YEAR($C2081),MONTH($C2081),1))))</f>
        <v>0</v>
      </c>
      <c r="AE2081" s="1" t="str">
        <f>IF($E2081="","",$E2081&amp;"|"&amp;COUNTIFS($E$7:$E2081,$E2081))</f>
        <v/>
      </c>
    </row>
    <row r="2082" spans="1:31" ht="18" customHeight="1" x14ac:dyDescent="0.3">
      <c r="A2082" s="2"/>
      <c r="B2082" s="65" t="str">
        <f t="shared" si="258"/>
        <v/>
      </c>
      <c r="C2082" s="66"/>
      <c r="D2082" s="60"/>
      <c r="E2082" s="61"/>
      <c r="F2082" s="61"/>
      <c r="G2082" s="67"/>
      <c r="H2082" s="60"/>
      <c r="I2082" s="60"/>
      <c r="J2082" s="61"/>
      <c r="K2082" s="61"/>
      <c r="L2082" s="60"/>
      <c r="M2082" s="74" t="str">
        <f t="shared" si="259"/>
        <v/>
      </c>
      <c r="N2082" s="74" t="str">
        <f t="shared" si="260"/>
        <v/>
      </c>
      <c r="O2082" s="73" t="str">
        <f t="shared" si="261"/>
        <v/>
      </c>
      <c r="P2082" s="65" t="str">
        <f t="shared" ca="1" si="262"/>
        <v/>
      </c>
      <c r="Q2082" s="2"/>
      <c r="R2082" s="2"/>
      <c r="S2082" s="1" t="str">
        <f t="shared" si="263"/>
        <v/>
      </c>
      <c r="T2082" s="1" t="str">
        <f>IF(OR($C2082="",$D2082&lt;&gt;"Gelir",$L2082=""),"",IFERROR(INDEX(MUSTERILER!$B$7:$B$156,MATCH($S2082,MUSTERILER!$T$7:$T$156,0)),""))</f>
        <v/>
      </c>
      <c r="U2082" s="1" t="str">
        <f>IF($T2082="","",$T2082&amp;"|"&amp;COUNTIFS($T$7:$T2082,$T2082))</f>
        <v/>
      </c>
      <c r="V2082" s="1">
        <f t="shared" si="264"/>
        <v>0</v>
      </c>
      <c r="W2082" s="1" t="str">
        <f t="shared" si="265"/>
        <v/>
      </c>
      <c r="X2082" s="1"/>
      <c r="Y2082" s="1"/>
      <c r="Z2082" s="1"/>
      <c r="AA2082" s="1"/>
      <c r="AB2082" s="1"/>
      <c r="AC2082" s="1"/>
      <c r="AD2082" s="1">
        <f>IF($C2082="",0,SUMPRODUCT((AY_SONU!$O$7:$O$42="Evet")*(AY_SONU!$B$7:$B$42=DATE(YEAR($C2082),MONTH($C2082),1))))</f>
        <v>0</v>
      </c>
      <c r="AE2082" s="1" t="str">
        <f>IF($E2082="","",$E2082&amp;"|"&amp;COUNTIFS($E$7:$E2082,$E2082))</f>
        <v/>
      </c>
    </row>
    <row r="2083" spans="1:31" ht="18" customHeight="1" x14ac:dyDescent="0.3">
      <c r="A2083" s="2"/>
      <c r="B2083" s="65" t="str">
        <f t="shared" si="258"/>
        <v/>
      </c>
      <c r="C2083" s="66"/>
      <c r="D2083" s="60"/>
      <c r="E2083" s="61"/>
      <c r="F2083" s="61"/>
      <c r="G2083" s="67"/>
      <c r="H2083" s="60"/>
      <c r="I2083" s="60"/>
      <c r="J2083" s="61"/>
      <c r="K2083" s="61"/>
      <c r="L2083" s="60"/>
      <c r="M2083" s="74" t="str">
        <f t="shared" si="259"/>
        <v/>
      </c>
      <c r="N2083" s="74" t="str">
        <f t="shared" si="260"/>
        <v/>
      </c>
      <c r="O2083" s="73" t="str">
        <f t="shared" si="261"/>
        <v/>
      </c>
      <c r="P2083" s="65" t="str">
        <f t="shared" ca="1" si="262"/>
        <v/>
      </c>
      <c r="Q2083" s="2"/>
      <c r="R2083" s="2"/>
      <c r="S2083" s="1" t="str">
        <f t="shared" si="263"/>
        <v/>
      </c>
      <c r="T2083" s="1" t="str">
        <f>IF(OR($C2083="",$D2083&lt;&gt;"Gelir",$L2083=""),"",IFERROR(INDEX(MUSTERILER!$B$7:$B$156,MATCH($S2083,MUSTERILER!$T$7:$T$156,0)),""))</f>
        <v/>
      </c>
      <c r="U2083" s="1" t="str">
        <f>IF($T2083="","",$T2083&amp;"|"&amp;COUNTIFS($T$7:$T2083,$T2083))</f>
        <v/>
      </c>
      <c r="V2083" s="1">
        <f t="shared" si="264"/>
        <v>0</v>
      </c>
      <c r="W2083" s="1" t="str">
        <f t="shared" si="265"/>
        <v/>
      </c>
      <c r="X2083" s="1"/>
      <c r="Y2083" s="1"/>
      <c r="Z2083" s="1"/>
      <c r="AA2083" s="1"/>
      <c r="AB2083" s="1"/>
      <c r="AC2083" s="1"/>
      <c r="AD2083" s="1">
        <f>IF($C2083="",0,SUMPRODUCT((AY_SONU!$O$7:$O$42="Evet")*(AY_SONU!$B$7:$B$42=DATE(YEAR($C2083),MONTH($C2083),1))))</f>
        <v>0</v>
      </c>
      <c r="AE2083" s="1" t="str">
        <f>IF($E2083="","",$E2083&amp;"|"&amp;COUNTIFS($E$7:$E2083,$E2083))</f>
        <v/>
      </c>
    </row>
    <row r="2084" spans="1:31" ht="18" customHeight="1" x14ac:dyDescent="0.3">
      <c r="A2084" s="2"/>
      <c r="B2084" s="65" t="str">
        <f t="shared" si="258"/>
        <v/>
      </c>
      <c r="C2084" s="66"/>
      <c r="D2084" s="60"/>
      <c r="E2084" s="61"/>
      <c r="F2084" s="61"/>
      <c r="G2084" s="67"/>
      <c r="H2084" s="60"/>
      <c r="I2084" s="60"/>
      <c r="J2084" s="61"/>
      <c r="K2084" s="61"/>
      <c r="L2084" s="60"/>
      <c r="M2084" s="74" t="str">
        <f t="shared" si="259"/>
        <v/>
      </c>
      <c r="N2084" s="74" t="str">
        <f t="shared" si="260"/>
        <v/>
      </c>
      <c r="O2084" s="73" t="str">
        <f t="shared" si="261"/>
        <v/>
      </c>
      <c r="P2084" s="65" t="str">
        <f t="shared" ca="1" si="262"/>
        <v/>
      </c>
      <c r="Q2084" s="2"/>
      <c r="R2084" s="2"/>
      <c r="S2084" s="1" t="str">
        <f t="shared" si="263"/>
        <v/>
      </c>
      <c r="T2084" s="1" t="str">
        <f>IF(OR($C2084="",$D2084&lt;&gt;"Gelir",$L2084=""),"",IFERROR(INDEX(MUSTERILER!$B$7:$B$156,MATCH($S2084,MUSTERILER!$T$7:$T$156,0)),""))</f>
        <v/>
      </c>
      <c r="U2084" s="1" t="str">
        <f>IF($T2084="","",$T2084&amp;"|"&amp;COUNTIFS($T$7:$T2084,$T2084))</f>
        <v/>
      </c>
      <c r="V2084" s="1">
        <f t="shared" si="264"/>
        <v>0</v>
      </c>
      <c r="W2084" s="1" t="str">
        <f t="shared" si="265"/>
        <v/>
      </c>
      <c r="X2084" s="1"/>
      <c r="Y2084" s="1"/>
      <c r="Z2084" s="1"/>
      <c r="AA2084" s="1"/>
      <c r="AB2084" s="1"/>
      <c r="AC2084" s="1"/>
      <c r="AD2084" s="1">
        <f>IF($C2084="",0,SUMPRODUCT((AY_SONU!$O$7:$O$42="Evet")*(AY_SONU!$B$7:$B$42=DATE(YEAR($C2084),MONTH($C2084),1))))</f>
        <v>0</v>
      </c>
      <c r="AE2084" s="1" t="str">
        <f>IF($E2084="","",$E2084&amp;"|"&amp;COUNTIFS($E$7:$E2084,$E2084))</f>
        <v/>
      </c>
    </row>
    <row r="2085" spans="1:31" ht="18" customHeight="1" x14ac:dyDescent="0.3">
      <c r="A2085" s="2"/>
      <c r="B2085" s="65" t="str">
        <f t="shared" si="258"/>
        <v/>
      </c>
      <c r="C2085" s="66"/>
      <c r="D2085" s="60"/>
      <c r="E2085" s="61"/>
      <c r="F2085" s="61"/>
      <c r="G2085" s="67"/>
      <c r="H2085" s="60"/>
      <c r="I2085" s="60"/>
      <c r="J2085" s="61"/>
      <c r="K2085" s="61"/>
      <c r="L2085" s="60"/>
      <c r="M2085" s="74" t="str">
        <f t="shared" si="259"/>
        <v/>
      </c>
      <c r="N2085" s="74" t="str">
        <f t="shared" si="260"/>
        <v/>
      </c>
      <c r="O2085" s="73" t="str">
        <f t="shared" si="261"/>
        <v/>
      </c>
      <c r="P2085" s="65" t="str">
        <f t="shared" ca="1" si="262"/>
        <v/>
      </c>
      <c r="Q2085" s="2"/>
      <c r="R2085" s="2"/>
      <c r="S2085" s="1" t="str">
        <f t="shared" si="263"/>
        <v/>
      </c>
      <c r="T2085" s="1" t="str">
        <f>IF(OR($C2085="",$D2085&lt;&gt;"Gelir",$L2085=""),"",IFERROR(INDEX(MUSTERILER!$B$7:$B$156,MATCH($S2085,MUSTERILER!$T$7:$T$156,0)),""))</f>
        <v/>
      </c>
      <c r="U2085" s="1" t="str">
        <f>IF($T2085="","",$T2085&amp;"|"&amp;COUNTIFS($T$7:$T2085,$T2085))</f>
        <v/>
      </c>
      <c r="V2085" s="1">
        <f t="shared" si="264"/>
        <v>0</v>
      </c>
      <c r="W2085" s="1" t="str">
        <f t="shared" si="265"/>
        <v/>
      </c>
      <c r="X2085" s="1"/>
      <c r="Y2085" s="1"/>
      <c r="Z2085" s="1"/>
      <c r="AA2085" s="1"/>
      <c r="AB2085" s="1"/>
      <c r="AC2085" s="1"/>
      <c r="AD2085" s="1">
        <f>IF($C2085="",0,SUMPRODUCT((AY_SONU!$O$7:$O$42="Evet")*(AY_SONU!$B$7:$B$42=DATE(YEAR($C2085),MONTH($C2085),1))))</f>
        <v>0</v>
      </c>
      <c r="AE2085" s="1" t="str">
        <f>IF($E2085="","",$E2085&amp;"|"&amp;COUNTIFS($E$7:$E2085,$E2085))</f>
        <v/>
      </c>
    </row>
    <row r="2086" spans="1:31" ht="18" customHeight="1" x14ac:dyDescent="0.3">
      <c r="A2086" s="2"/>
      <c r="B2086" s="65" t="str">
        <f t="shared" si="258"/>
        <v/>
      </c>
      <c r="C2086" s="66"/>
      <c r="D2086" s="60"/>
      <c r="E2086" s="61"/>
      <c r="F2086" s="61"/>
      <c r="G2086" s="67"/>
      <c r="H2086" s="60"/>
      <c r="I2086" s="60"/>
      <c r="J2086" s="61"/>
      <c r="K2086" s="61"/>
      <c r="L2086" s="60"/>
      <c r="M2086" s="74" t="str">
        <f t="shared" si="259"/>
        <v/>
      </c>
      <c r="N2086" s="74" t="str">
        <f t="shared" si="260"/>
        <v/>
      </c>
      <c r="O2086" s="73" t="str">
        <f t="shared" si="261"/>
        <v/>
      </c>
      <c r="P2086" s="65" t="str">
        <f t="shared" ca="1" si="262"/>
        <v/>
      </c>
      <c r="Q2086" s="2"/>
      <c r="R2086" s="2"/>
      <c r="S2086" s="1" t="str">
        <f t="shared" si="263"/>
        <v/>
      </c>
      <c r="T2086" s="1" t="str">
        <f>IF(OR($C2086="",$D2086&lt;&gt;"Gelir",$L2086=""),"",IFERROR(INDEX(MUSTERILER!$B$7:$B$156,MATCH($S2086,MUSTERILER!$T$7:$T$156,0)),""))</f>
        <v/>
      </c>
      <c r="U2086" s="1" t="str">
        <f>IF($T2086="","",$T2086&amp;"|"&amp;COUNTIFS($T$7:$T2086,$T2086))</f>
        <v/>
      </c>
      <c r="V2086" s="1">
        <f t="shared" si="264"/>
        <v>0</v>
      </c>
      <c r="W2086" s="1" t="str">
        <f t="shared" si="265"/>
        <v/>
      </c>
      <c r="X2086" s="1"/>
      <c r="Y2086" s="1"/>
      <c r="Z2086" s="1"/>
      <c r="AA2086" s="1"/>
      <c r="AB2086" s="1"/>
      <c r="AC2086" s="1"/>
      <c r="AD2086" s="1">
        <f>IF($C2086="",0,SUMPRODUCT((AY_SONU!$O$7:$O$42="Evet")*(AY_SONU!$B$7:$B$42=DATE(YEAR($C2086),MONTH($C2086),1))))</f>
        <v>0</v>
      </c>
      <c r="AE2086" s="1" t="str">
        <f>IF($E2086="","",$E2086&amp;"|"&amp;COUNTIFS($E$7:$E2086,$E2086))</f>
        <v/>
      </c>
    </row>
    <row r="2087" spans="1:31" ht="18" customHeight="1" x14ac:dyDescent="0.3">
      <c r="A2087" s="2"/>
      <c r="B2087" s="65" t="str">
        <f t="shared" si="258"/>
        <v/>
      </c>
      <c r="C2087" s="66"/>
      <c r="D2087" s="60"/>
      <c r="E2087" s="61"/>
      <c r="F2087" s="61"/>
      <c r="G2087" s="67"/>
      <c r="H2087" s="60"/>
      <c r="I2087" s="60"/>
      <c r="J2087" s="61"/>
      <c r="K2087" s="61"/>
      <c r="L2087" s="60"/>
      <c r="M2087" s="74" t="str">
        <f t="shared" si="259"/>
        <v/>
      </c>
      <c r="N2087" s="74" t="str">
        <f t="shared" si="260"/>
        <v/>
      </c>
      <c r="O2087" s="73" t="str">
        <f t="shared" si="261"/>
        <v/>
      </c>
      <c r="P2087" s="65" t="str">
        <f t="shared" ca="1" si="262"/>
        <v/>
      </c>
      <c r="Q2087" s="2"/>
      <c r="R2087" s="2"/>
      <c r="S2087" s="1" t="str">
        <f t="shared" si="263"/>
        <v/>
      </c>
      <c r="T2087" s="1" t="str">
        <f>IF(OR($C2087="",$D2087&lt;&gt;"Gelir",$L2087=""),"",IFERROR(INDEX(MUSTERILER!$B$7:$B$156,MATCH($S2087,MUSTERILER!$T$7:$T$156,0)),""))</f>
        <v/>
      </c>
      <c r="U2087" s="1" t="str">
        <f>IF($T2087="","",$T2087&amp;"|"&amp;COUNTIFS($T$7:$T2087,$T2087))</f>
        <v/>
      </c>
      <c r="V2087" s="1">
        <f t="shared" si="264"/>
        <v>0</v>
      </c>
      <c r="W2087" s="1" t="str">
        <f t="shared" si="265"/>
        <v/>
      </c>
      <c r="X2087" s="1"/>
      <c r="Y2087" s="1"/>
      <c r="Z2087" s="1"/>
      <c r="AA2087" s="1"/>
      <c r="AB2087" s="1"/>
      <c r="AC2087" s="1"/>
      <c r="AD2087" s="1">
        <f>IF($C2087="",0,SUMPRODUCT((AY_SONU!$O$7:$O$42="Evet")*(AY_SONU!$B$7:$B$42=DATE(YEAR($C2087),MONTH($C2087),1))))</f>
        <v>0</v>
      </c>
      <c r="AE2087" s="1" t="str">
        <f>IF($E2087="","",$E2087&amp;"|"&amp;COUNTIFS($E$7:$E2087,$E2087))</f>
        <v/>
      </c>
    </row>
    <row r="2088" spans="1:31" ht="18" customHeight="1" x14ac:dyDescent="0.3">
      <c r="A2088" s="2"/>
      <c r="B2088" s="65" t="str">
        <f t="shared" si="258"/>
        <v/>
      </c>
      <c r="C2088" s="66"/>
      <c r="D2088" s="60"/>
      <c r="E2088" s="61"/>
      <c r="F2088" s="61"/>
      <c r="G2088" s="67"/>
      <c r="H2088" s="60"/>
      <c r="I2088" s="60"/>
      <c r="J2088" s="61"/>
      <c r="K2088" s="61"/>
      <c r="L2088" s="60"/>
      <c r="M2088" s="74" t="str">
        <f t="shared" si="259"/>
        <v/>
      </c>
      <c r="N2088" s="74" t="str">
        <f t="shared" si="260"/>
        <v/>
      </c>
      <c r="O2088" s="73" t="str">
        <f t="shared" si="261"/>
        <v/>
      </c>
      <c r="P2088" s="65" t="str">
        <f t="shared" ca="1" si="262"/>
        <v/>
      </c>
      <c r="Q2088" s="2"/>
      <c r="R2088" s="2"/>
      <c r="S2088" s="1" t="str">
        <f t="shared" si="263"/>
        <v/>
      </c>
      <c r="T2088" s="1" t="str">
        <f>IF(OR($C2088="",$D2088&lt;&gt;"Gelir",$L2088=""),"",IFERROR(INDEX(MUSTERILER!$B$7:$B$156,MATCH($S2088,MUSTERILER!$T$7:$T$156,0)),""))</f>
        <v/>
      </c>
      <c r="U2088" s="1" t="str">
        <f>IF($T2088="","",$T2088&amp;"|"&amp;COUNTIFS($T$7:$T2088,$T2088))</f>
        <v/>
      </c>
      <c r="V2088" s="1">
        <f t="shared" si="264"/>
        <v>0</v>
      </c>
      <c r="W2088" s="1" t="str">
        <f t="shared" si="265"/>
        <v/>
      </c>
      <c r="X2088" s="1"/>
      <c r="Y2088" s="1"/>
      <c r="Z2088" s="1"/>
      <c r="AA2088" s="1"/>
      <c r="AB2088" s="1"/>
      <c r="AC2088" s="1"/>
      <c r="AD2088" s="1">
        <f>IF($C2088="",0,SUMPRODUCT((AY_SONU!$O$7:$O$42="Evet")*(AY_SONU!$B$7:$B$42=DATE(YEAR($C2088),MONTH($C2088),1))))</f>
        <v>0</v>
      </c>
      <c r="AE2088" s="1" t="str">
        <f>IF($E2088="","",$E2088&amp;"|"&amp;COUNTIFS($E$7:$E2088,$E2088))</f>
        <v/>
      </c>
    </row>
    <row r="2089" spans="1:31" ht="18" customHeight="1" x14ac:dyDescent="0.3">
      <c r="A2089" s="2"/>
      <c r="B2089" s="65" t="str">
        <f t="shared" si="258"/>
        <v/>
      </c>
      <c r="C2089" s="66"/>
      <c r="D2089" s="60"/>
      <c r="E2089" s="61"/>
      <c r="F2089" s="61"/>
      <c r="G2089" s="67"/>
      <c r="H2089" s="60"/>
      <c r="I2089" s="60"/>
      <c r="J2089" s="61"/>
      <c r="K2089" s="61"/>
      <c r="L2089" s="60"/>
      <c r="M2089" s="74" t="str">
        <f t="shared" si="259"/>
        <v/>
      </c>
      <c r="N2089" s="74" t="str">
        <f t="shared" si="260"/>
        <v/>
      </c>
      <c r="O2089" s="73" t="str">
        <f t="shared" si="261"/>
        <v/>
      </c>
      <c r="P2089" s="65" t="str">
        <f t="shared" ca="1" si="262"/>
        <v/>
      </c>
      <c r="Q2089" s="2"/>
      <c r="R2089" s="2"/>
      <c r="S2089" s="1" t="str">
        <f t="shared" si="263"/>
        <v/>
      </c>
      <c r="T2089" s="1" t="str">
        <f>IF(OR($C2089="",$D2089&lt;&gt;"Gelir",$L2089=""),"",IFERROR(INDEX(MUSTERILER!$B$7:$B$156,MATCH($S2089,MUSTERILER!$T$7:$T$156,0)),""))</f>
        <v/>
      </c>
      <c r="U2089" s="1" t="str">
        <f>IF($T2089="","",$T2089&amp;"|"&amp;COUNTIFS($T$7:$T2089,$T2089))</f>
        <v/>
      </c>
      <c r="V2089" s="1">
        <f t="shared" si="264"/>
        <v>0</v>
      </c>
      <c r="W2089" s="1" t="str">
        <f t="shared" si="265"/>
        <v/>
      </c>
      <c r="X2089" s="1"/>
      <c r="Y2089" s="1"/>
      <c r="Z2089" s="1"/>
      <c r="AA2089" s="1"/>
      <c r="AB2089" s="1"/>
      <c r="AC2089" s="1"/>
      <c r="AD2089" s="1">
        <f>IF($C2089="",0,SUMPRODUCT((AY_SONU!$O$7:$O$42="Evet")*(AY_SONU!$B$7:$B$42=DATE(YEAR($C2089),MONTH($C2089),1))))</f>
        <v>0</v>
      </c>
      <c r="AE2089" s="1" t="str">
        <f>IF($E2089="","",$E2089&amp;"|"&amp;COUNTIFS($E$7:$E2089,$E2089))</f>
        <v/>
      </c>
    </row>
    <row r="2090" spans="1:31" ht="18" customHeight="1" x14ac:dyDescent="0.3">
      <c r="A2090" s="2"/>
      <c r="B2090" s="65" t="str">
        <f t="shared" si="258"/>
        <v/>
      </c>
      <c r="C2090" s="66"/>
      <c r="D2090" s="60"/>
      <c r="E2090" s="61"/>
      <c r="F2090" s="61"/>
      <c r="G2090" s="67"/>
      <c r="H2090" s="60"/>
      <c r="I2090" s="60"/>
      <c r="J2090" s="61"/>
      <c r="K2090" s="61"/>
      <c r="L2090" s="60"/>
      <c r="M2090" s="74" t="str">
        <f t="shared" si="259"/>
        <v/>
      </c>
      <c r="N2090" s="74" t="str">
        <f t="shared" si="260"/>
        <v/>
      </c>
      <c r="O2090" s="73" t="str">
        <f t="shared" si="261"/>
        <v/>
      </c>
      <c r="P2090" s="65" t="str">
        <f t="shared" ca="1" si="262"/>
        <v/>
      </c>
      <c r="Q2090" s="2"/>
      <c r="R2090" s="2"/>
      <c r="S2090" s="1" t="str">
        <f t="shared" si="263"/>
        <v/>
      </c>
      <c r="T2090" s="1" t="str">
        <f>IF(OR($C2090="",$D2090&lt;&gt;"Gelir",$L2090=""),"",IFERROR(INDEX(MUSTERILER!$B$7:$B$156,MATCH($S2090,MUSTERILER!$T$7:$T$156,0)),""))</f>
        <v/>
      </c>
      <c r="U2090" s="1" t="str">
        <f>IF($T2090="","",$T2090&amp;"|"&amp;COUNTIFS($T$7:$T2090,$T2090))</f>
        <v/>
      </c>
      <c r="V2090" s="1">
        <f t="shared" si="264"/>
        <v>0</v>
      </c>
      <c r="W2090" s="1" t="str">
        <f t="shared" si="265"/>
        <v/>
      </c>
      <c r="X2090" s="1"/>
      <c r="Y2090" s="1"/>
      <c r="Z2090" s="1"/>
      <c r="AA2090" s="1"/>
      <c r="AB2090" s="1"/>
      <c r="AC2090" s="1"/>
      <c r="AD2090" s="1">
        <f>IF($C2090="",0,SUMPRODUCT((AY_SONU!$O$7:$O$42="Evet")*(AY_SONU!$B$7:$B$42=DATE(YEAR($C2090),MONTH($C2090),1))))</f>
        <v>0</v>
      </c>
      <c r="AE2090" s="1" t="str">
        <f>IF($E2090="","",$E2090&amp;"|"&amp;COUNTIFS($E$7:$E2090,$E2090))</f>
        <v/>
      </c>
    </row>
    <row r="2091" spans="1:31" ht="18" customHeight="1" x14ac:dyDescent="0.3">
      <c r="A2091" s="2"/>
      <c r="B2091" s="65" t="str">
        <f t="shared" si="258"/>
        <v/>
      </c>
      <c r="C2091" s="66"/>
      <c r="D2091" s="60"/>
      <c r="E2091" s="61"/>
      <c r="F2091" s="61"/>
      <c r="G2091" s="67"/>
      <c r="H2091" s="60"/>
      <c r="I2091" s="60"/>
      <c r="J2091" s="61"/>
      <c r="K2091" s="61"/>
      <c r="L2091" s="60"/>
      <c r="M2091" s="74" t="str">
        <f t="shared" si="259"/>
        <v/>
      </c>
      <c r="N2091" s="74" t="str">
        <f t="shared" si="260"/>
        <v/>
      </c>
      <c r="O2091" s="73" t="str">
        <f t="shared" si="261"/>
        <v/>
      </c>
      <c r="P2091" s="65" t="str">
        <f t="shared" ca="1" si="262"/>
        <v/>
      </c>
      <c r="Q2091" s="2"/>
      <c r="R2091" s="2"/>
      <c r="S2091" s="1" t="str">
        <f t="shared" si="263"/>
        <v/>
      </c>
      <c r="T2091" s="1" t="str">
        <f>IF(OR($C2091="",$D2091&lt;&gt;"Gelir",$L2091=""),"",IFERROR(INDEX(MUSTERILER!$B$7:$B$156,MATCH($S2091,MUSTERILER!$T$7:$T$156,0)),""))</f>
        <v/>
      </c>
      <c r="U2091" s="1" t="str">
        <f>IF($T2091="","",$T2091&amp;"|"&amp;COUNTIFS($T$7:$T2091,$T2091))</f>
        <v/>
      </c>
      <c r="V2091" s="1">
        <f t="shared" si="264"/>
        <v>0</v>
      </c>
      <c r="W2091" s="1" t="str">
        <f t="shared" si="265"/>
        <v/>
      </c>
      <c r="X2091" s="1"/>
      <c r="Y2091" s="1"/>
      <c r="Z2091" s="1"/>
      <c r="AA2091" s="1"/>
      <c r="AB2091" s="1"/>
      <c r="AC2091" s="1"/>
      <c r="AD2091" s="1">
        <f>IF($C2091="",0,SUMPRODUCT((AY_SONU!$O$7:$O$42="Evet")*(AY_SONU!$B$7:$B$42=DATE(YEAR($C2091),MONTH($C2091),1))))</f>
        <v>0</v>
      </c>
      <c r="AE2091" s="1" t="str">
        <f>IF($E2091="","",$E2091&amp;"|"&amp;COUNTIFS($E$7:$E2091,$E2091))</f>
        <v/>
      </c>
    </row>
    <row r="2092" spans="1:31" ht="18" customHeight="1" x14ac:dyDescent="0.3">
      <c r="A2092" s="2"/>
      <c r="B2092" s="65" t="str">
        <f t="shared" si="258"/>
        <v/>
      </c>
      <c r="C2092" s="66"/>
      <c r="D2092" s="60"/>
      <c r="E2092" s="61"/>
      <c r="F2092" s="61"/>
      <c r="G2092" s="67"/>
      <c r="H2092" s="60"/>
      <c r="I2092" s="60"/>
      <c r="J2092" s="61"/>
      <c r="K2092" s="61"/>
      <c r="L2092" s="60"/>
      <c r="M2092" s="74" t="str">
        <f t="shared" si="259"/>
        <v/>
      </c>
      <c r="N2092" s="74" t="str">
        <f t="shared" si="260"/>
        <v/>
      </c>
      <c r="O2092" s="73" t="str">
        <f t="shared" si="261"/>
        <v/>
      </c>
      <c r="P2092" s="65" t="str">
        <f t="shared" ca="1" si="262"/>
        <v/>
      </c>
      <c r="Q2092" s="2"/>
      <c r="R2092" s="2"/>
      <c r="S2092" s="1" t="str">
        <f t="shared" si="263"/>
        <v/>
      </c>
      <c r="T2092" s="1" t="str">
        <f>IF(OR($C2092="",$D2092&lt;&gt;"Gelir",$L2092=""),"",IFERROR(INDEX(MUSTERILER!$B$7:$B$156,MATCH($S2092,MUSTERILER!$T$7:$T$156,0)),""))</f>
        <v/>
      </c>
      <c r="U2092" s="1" t="str">
        <f>IF($T2092="","",$T2092&amp;"|"&amp;COUNTIFS($T$7:$T2092,$T2092))</f>
        <v/>
      </c>
      <c r="V2092" s="1">
        <f t="shared" si="264"/>
        <v>0</v>
      </c>
      <c r="W2092" s="1" t="str">
        <f t="shared" si="265"/>
        <v/>
      </c>
      <c r="X2092" s="1"/>
      <c r="Y2092" s="1"/>
      <c r="Z2092" s="1"/>
      <c r="AA2092" s="1"/>
      <c r="AB2092" s="1"/>
      <c r="AC2092" s="1"/>
      <c r="AD2092" s="1">
        <f>IF($C2092="",0,SUMPRODUCT((AY_SONU!$O$7:$O$42="Evet")*(AY_SONU!$B$7:$B$42=DATE(YEAR($C2092),MONTH($C2092),1))))</f>
        <v>0</v>
      </c>
      <c r="AE2092" s="1" t="str">
        <f>IF($E2092="","",$E2092&amp;"|"&amp;COUNTIFS($E$7:$E2092,$E2092))</f>
        <v/>
      </c>
    </row>
    <row r="2093" spans="1:31" ht="18" customHeight="1" x14ac:dyDescent="0.3">
      <c r="A2093" s="2"/>
      <c r="B2093" s="65" t="str">
        <f t="shared" si="258"/>
        <v/>
      </c>
      <c r="C2093" s="66"/>
      <c r="D2093" s="60"/>
      <c r="E2093" s="61"/>
      <c r="F2093" s="61"/>
      <c r="G2093" s="67"/>
      <c r="H2093" s="60"/>
      <c r="I2093" s="60"/>
      <c r="J2093" s="61"/>
      <c r="K2093" s="61"/>
      <c r="L2093" s="60"/>
      <c r="M2093" s="74" t="str">
        <f t="shared" si="259"/>
        <v/>
      </c>
      <c r="N2093" s="74" t="str">
        <f t="shared" si="260"/>
        <v/>
      </c>
      <c r="O2093" s="73" t="str">
        <f t="shared" si="261"/>
        <v/>
      </c>
      <c r="P2093" s="65" t="str">
        <f t="shared" ca="1" si="262"/>
        <v/>
      </c>
      <c r="Q2093" s="2"/>
      <c r="R2093" s="2"/>
      <c r="S2093" s="1" t="str">
        <f t="shared" si="263"/>
        <v/>
      </c>
      <c r="T2093" s="1" t="str">
        <f>IF(OR($C2093="",$D2093&lt;&gt;"Gelir",$L2093=""),"",IFERROR(INDEX(MUSTERILER!$B$7:$B$156,MATCH($S2093,MUSTERILER!$T$7:$T$156,0)),""))</f>
        <v/>
      </c>
      <c r="U2093" s="1" t="str">
        <f>IF($T2093="","",$T2093&amp;"|"&amp;COUNTIFS($T$7:$T2093,$T2093))</f>
        <v/>
      </c>
      <c r="V2093" s="1">
        <f t="shared" si="264"/>
        <v>0</v>
      </c>
      <c r="W2093" s="1" t="str">
        <f t="shared" si="265"/>
        <v/>
      </c>
      <c r="X2093" s="1"/>
      <c r="Y2093" s="1"/>
      <c r="Z2093" s="1"/>
      <c r="AA2093" s="1"/>
      <c r="AB2093" s="1"/>
      <c r="AC2093" s="1"/>
      <c r="AD2093" s="1">
        <f>IF($C2093="",0,SUMPRODUCT((AY_SONU!$O$7:$O$42="Evet")*(AY_SONU!$B$7:$B$42=DATE(YEAR($C2093),MONTH($C2093),1))))</f>
        <v>0</v>
      </c>
      <c r="AE2093" s="1" t="str">
        <f>IF($E2093="","",$E2093&amp;"|"&amp;COUNTIFS($E$7:$E2093,$E2093))</f>
        <v/>
      </c>
    </row>
    <row r="2094" spans="1:31" ht="18" customHeight="1" x14ac:dyDescent="0.3">
      <c r="A2094" s="2"/>
      <c r="B2094" s="65" t="str">
        <f t="shared" si="258"/>
        <v/>
      </c>
      <c r="C2094" s="66"/>
      <c r="D2094" s="60"/>
      <c r="E2094" s="61"/>
      <c r="F2094" s="61"/>
      <c r="G2094" s="67"/>
      <c r="H2094" s="60"/>
      <c r="I2094" s="60"/>
      <c r="J2094" s="61"/>
      <c r="K2094" s="61"/>
      <c r="L2094" s="60"/>
      <c r="M2094" s="74" t="str">
        <f t="shared" si="259"/>
        <v/>
      </c>
      <c r="N2094" s="74" t="str">
        <f t="shared" si="260"/>
        <v/>
      </c>
      <c r="O2094" s="73" t="str">
        <f t="shared" si="261"/>
        <v/>
      </c>
      <c r="P2094" s="65" t="str">
        <f t="shared" ca="1" si="262"/>
        <v/>
      </c>
      <c r="Q2094" s="2"/>
      <c r="R2094" s="2"/>
      <c r="S2094" s="1" t="str">
        <f t="shared" si="263"/>
        <v/>
      </c>
      <c r="T2094" s="1" t="str">
        <f>IF(OR($C2094="",$D2094&lt;&gt;"Gelir",$L2094=""),"",IFERROR(INDEX(MUSTERILER!$B$7:$B$156,MATCH($S2094,MUSTERILER!$T$7:$T$156,0)),""))</f>
        <v/>
      </c>
      <c r="U2094" s="1" t="str">
        <f>IF($T2094="","",$T2094&amp;"|"&amp;COUNTIFS($T$7:$T2094,$T2094))</f>
        <v/>
      </c>
      <c r="V2094" s="1">
        <f t="shared" si="264"/>
        <v>0</v>
      </c>
      <c r="W2094" s="1" t="str">
        <f t="shared" si="265"/>
        <v/>
      </c>
      <c r="X2094" s="1"/>
      <c r="Y2094" s="1"/>
      <c r="Z2094" s="1"/>
      <c r="AA2094" s="1"/>
      <c r="AB2094" s="1"/>
      <c r="AC2094" s="1"/>
      <c r="AD2094" s="1">
        <f>IF($C2094="",0,SUMPRODUCT((AY_SONU!$O$7:$O$42="Evet")*(AY_SONU!$B$7:$B$42=DATE(YEAR($C2094),MONTH($C2094),1))))</f>
        <v>0</v>
      </c>
      <c r="AE2094" s="1" t="str">
        <f>IF($E2094="","",$E2094&amp;"|"&amp;COUNTIFS($E$7:$E2094,$E2094))</f>
        <v/>
      </c>
    </row>
    <row r="2095" spans="1:31" ht="18" customHeight="1" x14ac:dyDescent="0.3">
      <c r="A2095" s="2"/>
      <c r="B2095" s="65" t="str">
        <f t="shared" si="258"/>
        <v/>
      </c>
      <c r="C2095" s="66"/>
      <c r="D2095" s="60"/>
      <c r="E2095" s="61"/>
      <c r="F2095" s="61"/>
      <c r="G2095" s="67"/>
      <c r="H2095" s="60"/>
      <c r="I2095" s="60"/>
      <c r="J2095" s="61"/>
      <c r="K2095" s="61"/>
      <c r="L2095" s="60"/>
      <c r="M2095" s="74" t="str">
        <f t="shared" si="259"/>
        <v/>
      </c>
      <c r="N2095" s="74" t="str">
        <f t="shared" si="260"/>
        <v/>
      </c>
      <c r="O2095" s="73" t="str">
        <f t="shared" si="261"/>
        <v/>
      </c>
      <c r="P2095" s="65" t="str">
        <f t="shared" ca="1" si="262"/>
        <v/>
      </c>
      <c r="Q2095" s="2"/>
      <c r="R2095" s="2"/>
      <c r="S2095" s="1" t="str">
        <f t="shared" si="263"/>
        <v/>
      </c>
      <c r="T2095" s="1" t="str">
        <f>IF(OR($C2095="",$D2095&lt;&gt;"Gelir",$L2095=""),"",IFERROR(INDEX(MUSTERILER!$B$7:$B$156,MATCH($S2095,MUSTERILER!$T$7:$T$156,0)),""))</f>
        <v/>
      </c>
      <c r="U2095" s="1" t="str">
        <f>IF($T2095="","",$T2095&amp;"|"&amp;COUNTIFS($T$7:$T2095,$T2095))</f>
        <v/>
      </c>
      <c r="V2095" s="1">
        <f t="shared" si="264"/>
        <v>0</v>
      </c>
      <c r="W2095" s="1" t="str">
        <f t="shared" si="265"/>
        <v/>
      </c>
      <c r="X2095" s="1"/>
      <c r="Y2095" s="1"/>
      <c r="Z2095" s="1"/>
      <c r="AA2095" s="1"/>
      <c r="AB2095" s="1"/>
      <c r="AC2095" s="1"/>
      <c r="AD2095" s="1">
        <f>IF($C2095="",0,SUMPRODUCT((AY_SONU!$O$7:$O$42="Evet")*(AY_SONU!$B$7:$B$42=DATE(YEAR($C2095),MONTH($C2095),1))))</f>
        <v>0</v>
      </c>
      <c r="AE2095" s="1" t="str">
        <f>IF($E2095="","",$E2095&amp;"|"&amp;COUNTIFS($E$7:$E2095,$E2095))</f>
        <v/>
      </c>
    </row>
    <row r="2096" spans="1:31" ht="18" customHeight="1" x14ac:dyDescent="0.3">
      <c r="A2096" s="2"/>
      <c r="B2096" s="65" t="str">
        <f t="shared" si="258"/>
        <v/>
      </c>
      <c r="C2096" s="66"/>
      <c r="D2096" s="60"/>
      <c r="E2096" s="61"/>
      <c r="F2096" s="61"/>
      <c r="G2096" s="67"/>
      <c r="H2096" s="60"/>
      <c r="I2096" s="60"/>
      <c r="J2096" s="61"/>
      <c r="K2096" s="61"/>
      <c r="L2096" s="60"/>
      <c r="M2096" s="74" t="str">
        <f t="shared" si="259"/>
        <v/>
      </c>
      <c r="N2096" s="74" t="str">
        <f t="shared" si="260"/>
        <v/>
      </c>
      <c r="O2096" s="73" t="str">
        <f t="shared" si="261"/>
        <v/>
      </c>
      <c r="P2096" s="65" t="str">
        <f t="shared" ca="1" si="262"/>
        <v/>
      </c>
      <c r="Q2096" s="2"/>
      <c r="R2096" s="2"/>
      <c r="S2096" s="1" t="str">
        <f t="shared" si="263"/>
        <v/>
      </c>
      <c r="T2096" s="1" t="str">
        <f>IF(OR($C2096="",$D2096&lt;&gt;"Gelir",$L2096=""),"",IFERROR(INDEX(MUSTERILER!$B$7:$B$156,MATCH($S2096,MUSTERILER!$T$7:$T$156,0)),""))</f>
        <v/>
      </c>
      <c r="U2096" s="1" t="str">
        <f>IF($T2096="","",$T2096&amp;"|"&amp;COUNTIFS($T$7:$T2096,$T2096))</f>
        <v/>
      </c>
      <c r="V2096" s="1">
        <f t="shared" si="264"/>
        <v>0</v>
      </c>
      <c r="W2096" s="1" t="str">
        <f t="shared" si="265"/>
        <v/>
      </c>
      <c r="X2096" s="1"/>
      <c r="Y2096" s="1"/>
      <c r="Z2096" s="1"/>
      <c r="AA2096" s="1"/>
      <c r="AB2096" s="1"/>
      <c r="AC2096" s="1"/>
      <c r="AD2096" s="1">
        <f>IF($C2096="",0,SUMPRODUCT((AY_SONU!$O$7:$O$42="Evet")*(AY_SONU!$B$7:$B$42=DATE(YEAR($C2096),MONTH($C2096),1))))</f>
        <v>0</v>
      </c>
      <c r="AE2096" s="1" t="str">
        <f>IF($E2096="","",$E2096&amp;"|"&amp;COUNTIFS($E$7:$E2096,$E2096))</f>
        <v/>
      </c>
    </row>
    <row r="2097" spans="1:31" ht="18" customHeight="1" x14ac:dyDescent="0.3">
      <c r="A2097" s="2"/>
      <c r="B2097" s="65" t="str">
        <f t="shared" si="258"/>
        <v/>
      </c>
      <c r="C2097" s="66"/>
      <c r="D2097" s="60"/>
      <c r="E2097" s="61"/>
      <c r="F2097" s="61"/>
      <c r="G2097" s="67"/>
      <c r="H2097" s="60"/>
      <c r="I2097" s="60"/>
      <c r="J2097" s="61"/>
      <c r="K2097" s="61"/>
      <c r="L2097" s="60"/>
      <c r="M2097" s="74" t="str">
        <f t="shared" si="259"/>
        <v/>
      </c>
      <c r="N2097" s="74" t="str">
        <f t="shared" si="260"/>
        <v/>
      </c>
      <c r="O2097" s="73" t="str">
        <f t="shared" si="261"/>
        <v/>
      </c>
      <c r="P2097" s="65" t="str">
        <f t="shared" ca="1" si="262"/>
        <v/>
      </c>
      <c r="Q2097" s="2"/>
      <c r="R2097" s="2"/>
      <c r="S2097" s="1" t="str">
        <f t="shared" si="263"/>
        <v/>
      </c>
      <c r="T2097" s="1" t="str">
        <f>IF(OR($C2097="",$D2097&lt;&gt;"Gelir",$L2097=""),"",IFERROR(INDEX(MUSTERILER!$B$7:$B$156,MATCH($S2097,MUSTERILER!$T$7:$T$156,0)),""))</f>
        <v/>
      </c>
      <c r="U2097" s="1" t="str">
        <f>IF($T2097="","",$T2097&amp;"|"&amp;COUNTIFS($T$7:$T2097,$T2097))</f>
        <v/>
      </c>
      <c r="V2097" s="1">
        <f t="shared" si="264"/>
        <v>0</v>
      </c>
      <c r="W2097" s="1" t="str">
        <f t="shared" si="265"/>
        <v/>
      </c>
      <c r="X2097" s="1"/>
      <c r="Y2097" s="1"/>
      <c r="Z2097" s="1"/>
      <c r="AA2097" s="1"/>
      <c r="AB2097" s="1"/>
      <c r="AC2097" s="1"/>
      <c r="AD2097" s="1">
        <f>IF($C2097="",0,SUMPRODUCT((AY_SONU!$O$7:$O$42="Evet")*(AY_SONU!$B$7:$B$42=DATE(YEAR($C2097),MONTH($C2097),1))))</f>
        <v>0</v>
      </c>
      <c r="AE2097" s="1" t="str">
        <f>IF($E2097="","",$E2097&amp;"|"&amp;COUNTIFS($E$7:$E2097,$E2097))</f>
        <v/>
      </c>
    </row>
    <row r="2098" spans="1:31" ht="18" customHeight="1" x14ac:dyDescent="0.3">
      <c r="A2098" s="2"/>
      <c r="B2098" s="65" t="str">
        <f t="shared" si="258"/>
        <v/>
      </c>
      <c r="C2098" s="66"/>
      <c r="D2098" s="60"/>
      <c r="E2098" s="61"/>
      <c r="F2098" s="61"/>
      <c r="G2098" s="67"/>
      <c r="H2098" s="60"/>
      <c r="I2098" s="60"/>
      <c r="J2098" s="61"/>
      <c r="K2098" s="61"/>
      <c r="L2098" s="60"/>
      <c r="M2098" s="74" t="str">
        <f t="shared" si="259"/>
        <v/>
      </c>
      <c r="N2098" s="74" t="str">
        <f t="shared" si="260"/>
        <v/>
      </c>
      <c r="O2098" s="73" t="str">
        <f t="shared" si="261"/>
        <v/>
      </c>
      <c r="P2098" s="65" t="str">
        <f t="shared" ca="1" si="262"/>
        <v/>
      </c>
      <c r="Q2098" s="2"/>
      <c r="R2098" s="2"/>
      <c r="S2098" s="1" t="str">
        <f t="shared" si="263"/>
        <v/>
      </c>
      <c r="T2098" s="1" t="str">
        <f>IF(OR($C2098="",$D2098&lt;&gt;"Gelir",$L2098=""),"",IFERROR(INDEX(MUSTERILER!$B$7:$B$156,MATCH($S2098,MUSTERILER!$T$7:$T$156,0)),""))</f>
        <v/>
      </c>
      <c r="U2098" s="1" t="str">
        <f>IF($T2098="","",$T2098&amp;"|"&amp;COUNTIFS($T$7:$T2098,$T2098))</f>
        <v/>
      </c>
      <c r="V2098" s="1">
        <f t="shared" si="264"/>
        <v>0</v>
      </c>
      <c r="W2098" s="1" t="str">
        <f t="shared" si="265"/>
        <v/>
      </c>
      <c r="X2098" s="1"/>
      <c r="Y2098" s="1"/>
      <c r="Z2098" s="1"/>
      <c r="AA2098" s="1"/>
      <c r="AB2098" s="1"/>
      <c r="AC2098" s="1"/>
      <c r="AD2098" s="1">
        <f>IF($C2098="",0,SUMPRODUCT((AY_SONU!$O$7:$O$42="Evet")*(AY_SONU!$B$7:$B$42=DATE(YEAR($C2098),MONTH($C2098),1))))</f>
        <v>0</v>
      </c>
      <c r="AE2098" s="1" t="str">
        <f>IF($E2098="","",$E2098&amp;"|"&amp;COUNTIFS($E$7:$E2098,$E2098))</f>
        <v/>
      </c>
    </row>
    <row r="2099" spans="1:31" ht="18" customHeight="1" x14ac:dyDescent="0.3">
      <c r="A2099" s="2"/>
      <c r="B2099" s="65" t="str">
        <f t="shared" si="258"/>
        <v/>
      </c>
      <c r="C2099" s="66"/>
      <c r="D2099" s="60"/>
      <c r="E2099" s="61"/>
      <c r="F2099" s="61"/>
      <c r="G2099" s="67"/>
      <c r="H2099" s="60"/>
      <c r="I2099" s="60"/>
      <c r="J2099" s="61"/>
      <c r="K2099" s="61"/>
      <c r="L2099" s="60"/>
      <c r="M2099" s="74" t="str">
        <f t="shared" si="259"/>
        <v/>
      </c>
      <c r="N2099" s="74" t="str">
        <f t="shared" si="260"/>
        <v/>
      </c>
      <c r="O2099" s="73" t="str">
        <f t="shared" si="261"/>
        <v/>
      </c>
      <c r="P2099" s="65" t="str">
        <f t="shared" ca="1" si="262"/>
        <v/>
      </c>
      <c r="Q2099" s="2"/>
      <c r="R2099" s="2"/>
      <c r="S2099" s="1" t="str">
        <f t="shared" si="263"/>
        <v/>
      </c>
      <c r="T2099" s="1" t="str">
        <f>IF(OR($C2099="",$D2099&lt;&gt;"Gelir",$L2099=""),"",IFERROR(INDEX(MUSTERILER!$B$7:$B$156,MATCH($S2099,MUSTERILER!$T$7:$T$156,0)),""))</f>
        <v/>
      </c>
      <c r="U2099" s="1" t="str">
        <f>IF($T2099="","",$T2099&amp;"|"&amp;COUNTIFS($T$7:$T2099,$T2099))</f>
        <v/>
      </c>
      <c r="V2099" s="1">
        <f t="shared" si="264"/>
        <v>0</v>
      </c>
      <c r="W2099" s="1" t="str">
        <f t="shared" si="265"/>
        <v/>
      </c>
      <c r="X2099" s="1"/>
      <c r="Y2099" s="1"/>
      <c r="Z2099" s="1"/>
      <c r="AA2099" s="1"/>
      <c r="AB2099" s="1"/>
      <c r="AC2099" s="1"/>
      <c r="AD2099" s="1">
        <f>IF($C2099="",0,SUMPRODUCT((AY_SONU!$O$7:$O$42="Evet")*(AY_SONU!$B$7:$B$42=DATE(YEAR($C2099),MONTH($C2099),1))))</f>
        <v>0</v>
      </c>
      <c r="AE2099" s="1" t="str">
        <f>IF($E2099="","",$E2099&amp;"|"&amp;COUNTIFS($E$7:$E2099,$E2099))</f>
        <v/>
      </c>
    </row>
    <row r="2100" spans="1:31" ht="18" customHeight="1" x14ac:dyDescent="0.3">
      <c r="A2100" s="2"/>
      <c r="B2100" s="65" t="str">
        <f t="shared" si="258"/>
        <v/>
      </c>
      <c r="C2100" s="66"/>
      <c r="D2100" s="60"/>
      <c r="E2100" s="61"/>
      <c r="F2100" s="61"/>
      <c r="G2100" s="67"/>
      <c r="H2100" s="60"/>
      <c r="I2100" s="60"/>
      <c r="J2100" s="61"/>
      <c r="K2100" s="61"/>
      <c r="L2100" s="60"/>
      <c r="M2100" s="74" t="str">
        <f t="shared" si="259"/>
        <v/>
      </c>
      <c r="N2100" s="74" t="str">
        <f t="shared" si="260"/>
        <v/>
      </c>
      <c r="O2100" s="73" t="str">
        <f t="shared" si="261"/>
        <v/>
      </c>
      <c r="P2100" s="65" t="str">
        <f t="shared" ca="1" si="262"/>
        <v/>
      </c>
      <c r="Q2100" s="2"/>
      <c r="R2100" s="2"/>
      <c r="S2100" s="1" t="str">
        <f t="shared" si="263"/>
        <v/>
      </c>
      <c r="T2100" s="1" t="str">
        <f>IF(OR($C2100="",$D2100&lt;&gt;"Gelir",$L2100=""),"",IFERROR(INDEX(MUSTERILER!$B$7:$B$156,MATCH($S2100,MUSTERILER!$T$7:$T$156,0)),""))</f>
        <v/>
      </c>
      <c r="U2100" s="1" t="str">
        <f>IF($T2100="","",$T2100&amp;"|"&amp;COUNTIFS($T$7:$T2100,$T2100))</f>
        <v/>
      </c>
      <c r="V2100" s="1">
        <f t="shared" si="264"/>
        <v>0</v>
      </c>
      <c r="W2100" s="1" t="str">
        <f t="shared" si="265"/>
        <v/>
      </c>
      <c r="X2100" s="1"/>
      <c r="Y2100" s="1"/>
      <c r="Z2100" s="1"/>
      <c r="AA2100" s="1"/>
      <c r="AB2100" s="1"/>
      <c r="AC2100" s="1"/>
      <c r="AD2100" s="1">
        <f>IF($C2100="",0,SUMPRODUCT((AY_SONU!$O$7:$O$42="Evet")*(AY_SONU!$B$7:$B$42=DATE(YEAR($C2100),MONTH($C2100),1))))</f>
        <v>0</v>
      </c>
      <c r="AE2100" s="1" t="str">
        <f>IF($E2100="","",$E2100&amp;"|"&amp;COUNTIFS($E$7:$E2100,$E2100))</f>
        <v/>
      </c>
    </row>
    <row r="2101" spans="1:31" ht="18" customHeight="1" x14ac:dyDescent="0.3">
      <c r="A2101" s="2"/>
      <c r="B2101" s="65" t="str">
        <f t="shared" si="258"/>
        <v/>
      </c>
      <c r="C2101" s="66"/>
      <c r="D2101" s="60"/>
      <c r="E2101" s="61"/>
      <c r="F2101" s="61"/>
      <c r="G2101" s="67"/>
      <c r="H2101" s="60"/>
      <c r="I2101" s="60"/>
      <c r="J2101" s="61"/>
      <c r="K2101" s="61"/>
      <c r="L2101" s="60"/>
      <c r="M2101" s="74" t="str">
        <f t="shared" si="259"/>
        <v/>
      </c>
      <c r="N2101" s="74" t="str">
        <f t="shared" si="260"/>
        <v/>
      </c>
      <c r="O2101" s="73" t="str">
        <f t="shared" si="261"/>
        <v/>
      </c>
      <c r="P2101" s="65" t="str">
        <f t="shared" ca="1" si="262"/>
        <v/>
      </c>
      <c r="Q2101" s="2"/>
      <c r="R2101" s="2"/>
      <c r="S2101" s="1" t="str">
        <f t="shared" si="263"/>
        <v/>
      </c>
      <c r="T2101" s="1" t="str">
        <f>IF(OR($C2101="",$D2101&lt;&gt;"Gelir",$L2101=""),"",IFERROR(INDEX(MUSTERILER!$B$7:$B$156,MATCH($S2101,MUSTERILER!$T$7:$T$156,0)),""))</f>
        <v/>
      </c>
      <c r="U2101" s="1" t="str">
        <f>IF($T2101="","",$T2101&amp;"|"&amp;COUNTIFS($T$7:$T2101,$T2101))</f>
        <v/>
      </c>
      <c r="V2101" s="1">
        <f t="shared" si="264"/>
        <v>0</v>
      </c>
      <c r="W2101" s="1" t="str">
        <f t="shared" si="265"/>
        <v/>
      </c>
      <c r="X2101" s="1"/>
      <c r="Y2101" s="1"/>
      <c r="Z2101" s="1"/>
      <c r="AA2101" s="1"/>
      <c r="AB2101" s="1"/>
      <c r="AC2101" s="1"/>
      <c r="AD2101" s="1">
        <f>IF($C2101="",0,SUMPRODUCT((AY_SONU!$O$7:$O$42="Evet")*(AY_SONU!$B$7:$B$42=DATE(YEAR($C2101),MONTH($C2101),1))))</f>
        <v>0</v>
      </c>
      <c r="AE2101" s="1" t="str">
        <f>IF($E2101="","",$E2101&amp;"|"&amp;COUNTIFS($E$7:$E2101,$E2101))</f>
        <v/>
      </c>
    </row>
    <row r="2102" spans="1:31" ht="18" customHeight="1" x14ac:dyDescent="0.3">
      <c r="A2102" s="2"/>
      <c r="B2102" s="65" t="str">
        <f t="shared" si="258"/>
        <v/>
      </c>
      <c r="C2102" s="66"/>
      <c r="D2102" s="60"/>
      <c r="E2102" s="61"/>
      <c r="F2102" s="61"/>
      <c r="G2102" s="67"/>
      <c r="H2102" s="60"/>
      <c r="I2102" s="60"/>
      <c r="J2102" s="61"/>
      <c r="K2102" s="61"/>
      <c r="L2102" s="60"/>
      <c r="M2102" s="74" t="str">
        <f t="shared" si="259"/>
        <v/>
      </c>
      <c r="N2102" s="74" t="str">
        <f t="shared" si="260"/>
        <v/>
      </c>
      <c r="O2102" s="73" t="str">
        <f t="shared" si="261"/>
        <v/>
      </c>
      <c r="P2102" s="65" t="str">
        <f t="shared" ca="1" si="262"/>
        <v/>
      </c>
      <c r="Q2102" s="2"/>
      <c r="R2102" s="2"/>
      <c r="S2102" s="1" t="str">
        <f t="shared" si="263"/>
        <v/>
      </c>
      <c r="T2102" s="1" t="str">
        <f>IF(OR($C2102="",$D2102&lt;&gt;"Gelir",$L2102=""),"",IFERROR(INDEX(MUSTERILER!$B$7:$B$156,MATCH($S2102,MUSTERILER!$T$7:$T$156,0)),""))</f>
        <v/>
      </c>
      <c r="U2102" s="1" t="str">
        <f>IF($T2102="","",$T2102&amp;"|"&amp;COUNTIFS($T$7:$T2102,$T2102))</f>
        <v/>
      </c>
      <c r="V2102" s="1">
        <f t="shared" si="264"/>
        <v>0</v>
      </c>
      <c r="W2102" s="1" t="str">
        <f t="shared" si="265"/>
        <v/>
      </c>
      <c r="X2102" s="1"/>
      <c r="Y2102" s="1"/>
      <c r="Z2102" s="1"/>
      <c r="AA2102" s="1"/>
      <c r="AB2102" s="1"/>
      <c r="AC2102" s="1"/>
      <c r="AD2102" s="1">
        <f>IF($C2102="",0,SUMPRODUCT((AY_SONU!$O$7:$O$42="Evet")*(AY_SONU!$B$7:$B$42=DATE(YEAR($C2102),MONTH($C2102),1))))</f>
        <v>0</v>
      </c>
      <c r="AE2102" s="1" t="str">
        <f>IF($E2102="","",$E2102&amp;"|"&amp;COUNTIFS($E$7:$E2102,$E2102))</f>
        <v/>
      </c>
    </row>
    <row r="2103" spans="1:31" ht="18" customHeight="1" x14ac:dyDescent="0.3">
      <c r="A2103" s="2"/>
      <c r="B2103" s="65" t="str">
        <f t="shared" si="258"/>
        <v/>
      </c>
      <c r="C2103" s="66"/>
      <c r="D2103" s="60"/>
      <c r="E2103" s="61"/>
      <c r="F2103" s="61"/>
      <c r="G2103" s="67"/>
      <c r="H2103" s="60"/>
      <c r="I2103" s="60"/>
      <c r="J2103" s="61"/>
      <c r="K2103" s="61"/>
      <c r="L2103" s="60"/>
      <c r="M2103" s="74" t="str">
        <f t="shared" si="259"/>
        <v/>
      </c>
      <c r="N2103" s="74" t="str">
        <f t="shared" si="260"/>
        <v/>
      </c>
      <c r="O2103" s="73" t="str">
        <f t="shared" si="261"/>
        <v/>
      </c>
      <c r="P2103" s="65" t="str">
        <f t="shared" ca="1" si="262"/>
        <v/>
      </c>
      <c r="Q2103" s="2"/>
      <c r="R2103" s="2"/>
      <c r="S2103" s="1" t="str">
        <f t="shared" si="263"/>
        <v/>
      </c>
      <c r="T2103" s="1" t="str">
        <f>IF(OR($C2103="",$D2103&lt;&gt;"Gelir",$L2103=""),"",IFERROR(INDEX(MUSTERILER!$B$7:$B$156,MATCH($S2103,MUSTERILER!$T$7:$T$156,0)),""))</f>
        <v/>
      </c>
      <c r="U2103" s="1" t="str">
        <f>IF($T2103="","",$T2103&amp;"|"&amp;COUNTIFS($T$7:$T2103,$T2103))</f>
        <v/>
      </c>
      <c r="V2103" s="1">
        <f t="shared" si="264"/>
        <v>0</v>
      </c>
      <c r="W2103" s="1" t="str">
        <f t="shared" si="265"/>
        <v/>
      </c>
      <c r="X2103" s="1"/>
      <c r="Y2103" s="1"/>
      <c r="Z2103" s="1"/>
      <c r="AA2103" s="1"/>
      <c r="AB2103" s="1"/>
      <c r="AC2103" s="1"/>
      <c r="AD2103" s="1">
        <f>IF($C2103="",0,SUMPRODUCT((AY_SONU!$O$7:$O$42="Evet")*(AY_SONU!$B$7:$B$42=DATE(YEAR($C2103),MONTH($C2103),1))))</f>
        <v>0</v>
      </c>
      <c r="AE2103" s="1" t="str">
        <f>IF($E2103="","",$E2103&amp;"|"&amp;COUNTIFS($E$7:$E2103,$E2103))</f>
        <v/>
      </c>
    </row>
    <row r="2104" spans="1:31" ht="18" customHeight="1" x14ac:dyDescent="0.3">
      <c r="A2104" s="2"/>
      <c r="B2104" s="65" t="str">
        <f t="shared" si="258"/>
        <v/>
      </c>
      <c r="C2104" s="66"/>
      <c r="D2104" s="60"/>
      <c r="E2104" s="61"/>
      <c r="F2104" s="61"/>
      <c r="G2104" s="67"/>
      <c r="H2104" s="60"/>
      <c r="I2104" s="60"/>
      <c r="J2104" s="61"/>
      <c r="K2104" s="61"/>
      <c r="L2104" s="60"/>
      <c r="M2104" s="74" t="str">
        <f t="shared" si="259"/>
        <v/>
      </c>
      <c r="N2104" s="74" t="str">
        <f t="shared" si="260"/>
        <v/>
      </c>
      <c r="O2104" s="73" t="str">
        <f t="shared" si="261"/>
        <v/>
      </c>
      <c r="P2104" s="65" t="str">
        <f t="shared" ca="1" si="262"/>
        <v/>
      </c>
      <c r="Q2104" s="2"/>
      <c r="R2104" s="2"/>
      <c r="S2104" s="1" t="str">
        <f t="shared" si="263"/>
        <v/>
      </c>
      <c r="T2104" s="1" t="str">
        <f>IF(OR($C2104="",$D2104&lt;&gt;"Gelir",$L2104=""),"",IFERROR(INDEX(MUSTERILER!$B$7:$B$156,MATCH($S2104,MUSTERILER!$T$7:$T$156,0)),""))</f>
        <v/>
      </c>
      <c r="U2104" s="1" t="str">
        <f>IF($T2104="","",$T2104&amp;"|"&amp;COUNTIFS($T$7:$T2104,$T2104))</f>
        <v/>
      </c>
      <c r="V2104" s="1">
        <f t="shared" si="264"/>
        <v>0</v>
      </c>
      <c r="W2104" s="1" t="str">
        <f t="shared" si="265"/>
        <v/>
      </c>
      <c r="X2104" s="1"/>
      <c r="Y2104" s="1"/>
      <c r="Z2104" s="1"/>
      <c r="AA2104" s="1"/>
      <c r="AB2104" s="1"/>
      <c r="AC2104" s="1"/>
      <c r="AD2104" s="1">
        <f>IF($C2104="",0,SUMPRODUCT((AY_SONU!$O$7:$O$42="Evet")*(AY_SONU!$B$7:$B$42=DATE(YEAR($C2104),MONTH($C2104),1))))</f>
        <v>0</v>
      </c>
      <c r="AE2104" s="1" t="str">
        <f>IF($E2104="","",$E2104&amp;"|"&amp;COUNTIFS($E$7:$E2104,$E2104))</f>
        <v/>
      </c>
    </row>
    <row r="2105" spans="1:31" ht="18" customHeight="1" x14ac:dyDescent="0.3">
      <c r="A2105" s="2"/>
      <c r="B2105" s="65" t="str">
        <f t="shared" si="258"/>
        <v/>
      </c>
      <c r="C2105" s="66"/>
      <c r="D2105" s="60"/>
      <c r="E2105" s="61"/>
      <c r="F2105" s="61"/>
      <c r="G2105" s="67"/>
      <c r="H2105" s="60"/>
      <c r="I2105" s="60"/>
      <c r="J2105" s="61"/>
      <c r="K2105" s="61"/>
      <c r="L2105" s="60"/>
      <c r="M2105" s="74" t="str">
        <f t="shared" si="259"/>
        <v/>
      </c>
      <c r="N2105" s="74" t="str">
        <f t="shared" si="260"/>
        <v/>
      </c>
      <c r="O2105" s="73" t="str">
        <f t="shared" si="261"/>
        <v/>
      </c>
      <c r="P2105" s="65" t="str">
        <f t="shared" ca="1" si="262"/>
        <v/>
      </c>
      <c r="Q2105" s="2"/>
      <c r="R2105" s="2"/>
      <c r="S2105" s="1" t="str">
        <f t="shared" si="263"/>
        <v/>
      </c>
      <c r="T2105" s="1" t="str">
        <f>IF(OR($C2105="",$D2105&lt;&gt;"Gelir",$L2105=""),"",IFERROR(INDEX(MUSTERILER!$B$7:$B$156,MATCH($S2105,MUSTERILER!$T$7:$T$156,0)),""))</f>
        <v/>
      </c>
      <c r="U2105" s="1" t="str">
        <f>IF($T2105="","",$T2105&amp;"|"&amp;COUNTIFS($T$7:$T2105,$T2105))</f>
        <v/>
      </c>
      <c r="V2105" s="1">
        <f t="shared" si="264"/>
        <v>0</v>
      </c>
      <c r="W2105" s="1" t="str">
        <f t="shared" si="265"/>
        <v/>
      </c>
      <c r="X2105" s="1"/>
      <c r="Y2105" s="1"/>
      <c r="Z2105" s="1"/>
      <c r="AA2105" s="1"/>
      <c r="AB2105" s="1"/>
      <c r="AC2105" s="1"/>
      <c r="AD2105" s="1">
        <f>IF($C2105="",0,SUMPRODUCT((AY_SONU!$O$7:$O$42="Evet")*(AY_SONU!$B$7:$B$42=DATE(YEAR($C2105),MONTH($C2105),1))))</f>
        <v>0</v>
      </c>
      <c r="AE2105" s="1" t="str">
        <f>IF($E2105="","",$E2105&amp;"|"&amp;COUNTIFS($E$7:$E2105,$E2105))</f>
        <v/>
      </c>
    </row>
    <row r="2106" spans="1:31" ht="18" customHeight="1" x14ac:dyDescent="0.3">
      <c r="A2106" s="2"/>
      <c r="B2106" s="65" t="str">
        <f t="shared" si="258"/>
        <v/>
      </c>
      <c r="C2106" s="66"/>
      <c r="D2106" s="60"/>
      <c r="E2106" s="61"/>
      <c r="F2106" s="61"/>
      <c r="G2106" s="67"/>
      <c r="H2106" s="60"/>
      <c r="I2106" s="60"/>
      <c r="J2106" s="61"/>
      <c r="K2106" s="61"/>
      <c r="L2106" s="60"/>
      <c r="M2106" s="74" t="str">
        <f t="shared" si="259"/>
        <v/>
      </c>
      <c r="N2106" s="74" t="str">
        <f t="shared" si="260"/>
        <v/>
      </c>
      <c r="O2106" s="73" t="str">
        <f t="shared" si="261"/>
        <v/>
      </c>
      <c r="P2106" s="65" t="str">
        <f t="shared" ca="1" si="262"/>
        <v/>
      </c>
      <c r="Q2106" s="2"/>
      <c r="R2106" s="2"/>
      <c r="S2106" s="1" t="str">
        <f t="shared" si="263"/>
        <v/>
      </c>
      <c r="T2106" s="1" t="str">
        <f>IF(OR($C2106="",$D2106&lt;&gt;"Gelir",$L2106=""),"",IFERROR(INDEX(MUSTERILER!$B$7:$B$156,MATCH($S2106,MUSTERILER!$T$7:$T$156,0)),""))</f>
        <v/>
      </c>
      <c r="U2106" s="1" t="str">
        <f>IF($T2106="","",$T2106&amp;"|"&amp;COUNTIFS($T$7:$T2106,$T2106))</f>
        <v/>
      </c>
      <c r="V2106" s="1">
        <f t="shared" si="264"/>
        <v>0</v>
      </c>
      <c r="W2106" s="1" t="str">
        <f t="shared" si="265"/>
        <v/>
      </c>
      <c r="X2106" s="1"/>
      <c r="Y2106" s="1"/>
      <c r="Z2106" s="1"/>
      <c r="AA2106" s="1"/>
      <c r="AB2106" s="1"/>
      <c r="AC2106" s="1"/>
      <c r="AD2106" s="1">
        <f>IF($C2106="",0,SUMPRODUCT((AY_SONU!$O$7:$O$42="Evet")*(AY_SONU!$B$7:$B$42=DATE(YEAR($C2106),MONTH($C2106),1))))</f>
        <v>0</v>
      </c>
      <c r="AE2106" s="1" t="str">
        <f>IF($E2106="","",$E2106&amp;"|"&amp;COUNTIFS($E$7:$E2106,$E2106))</f>
        <v/>
      </c>
    </row>
    <row r="2107" spans="1:31" ht="18" customHeight="1" x14ac:dyDescent="0.3">
      <c r="A2107" s="2"/>
      <c r="B2107" s="65" t="str">
        <f t="shared" si="258"/>
        <v/>
      </c>
      <c r="C2107" s="66"/>
      <c r="D2107" s="60"/>
      <c r="E2107" s="61"/>
      <c r="F2107" s="61"/>
      <c r="G2107" s="67"/>
      <c r="H2107" s="60"/>
      <c r="I2107" s="60"/>
      <c r="J2107" s="61"/>
      <c r="K2107" s="61"/>
      <c r="L2107" s="60"/>
      <c r="M2107" s="74" t="str">
        <f t="shared" si="259"/>
        <v/>
      </c>
      <c r="N2107" s="74" t="str">
        <f t="shared" si="260"/>
        <v/>
      </c>
      <c r="O2107" s="73" t="str">
        <f t="shared" si="261"/>
        <v/>
      </c>
      <c r="P2107" s="65" t="str">
        <f t="shared" ca="1" si="262"/>
        <v/>
      </c>
      <c r="Q2107" s="2"/>
      <c r="R2107" s="2"/>
      <c r="S2107" s="1" t="str">
        <f t="shared" si="263"/>
        <v/>
      </c>
      <c r="T2107" s="1" t="str">
        <f>IF(OR($C2107="",$D2107&lt;&gt;"Gelir",$L2107=""),"",IFERROR(INDEX(MUSTERILER!$B$7:$B$156,MATCH($S2107,MUSTERILER!$T$7:$T$156,0)),""))</f>
        <v/>
      </c>
      <c r="U2107" s="1" t="str">
        <f>IF($T2107="","",$T2107&amp;"|"&amp;COUNTIFS($T$7:$T2107,$T2107))</f>
        <v/>
      </c>
      <c r="V2107" s="1">
        <f t="shared" si="264"/>
        <v>0</v>
      </c>
      <c r="W2107" s="1" t="str">
        <f t="shared" si="265"/>
        <v/>
      </c>
      <c r="X2107" s="1"/>
      <c r="Y2107" s="1"/>
      <c r="Z2107" s="1"/>
      <c r="AA2107" s="1"/>
      <c r="AB2107" s="1"/>
      <c r="AC2107" s="1"/>
      <c r="AD2107" s="1">
        <f>IF($C2107="",0,SUMPRODUCT((AY_SONU!$O$7:$O$42="Evet")*(AY_SONU!$B$7:$B$42=DATE(YEAR($C2107),MONTH($C2107),1))))</f>
        <v>0</v>
      </c>
      <c r="AE2107" s="1" t="str">
        <f>IF($E2107="","",$E2107&amp;"|"&amp;COUNTIFS($E$7:$E2107,$E2107))</f>
        <v/>
      </c>
    </row>
    <row r="2108" spans="1:31" ht="18" customHeight="1" x14ac:dyDescent="0.3">
      <c r="A2108" s="2"/>
      <c r="B2108" s="65" t="str">
        <f t="shared" si="258"/>
        <v/>
      </c>
      <c r="C2108" s="66"/>
      <c r="D2108" s="60"/>
      <c r="E2108" s="61"/>
      <c r="F2108" s="61"/>
      <c r="G2108" s="67"/>
      <c r="H2108" s="60"/>
      <c r="I2108" s="60"/>
      <c r="J2108" s="61"/>
      <c r="K2108" s="61"/>
      <c r="L2108" s="60"/>
      <c r="M2108" s="74" t="str">
        <f t="shared" si="259"/>
        <v/>
      </c>
      <c r="N2108" s="74" t="str">
        <f t="shared" si="260"/>
        <v/>
      </c>
      <c r="O2108" s="73" t="str">
        <f t="shared" si="261"/>
        <v/>
      </c>
      <c r="P2108" s="65" t="str">
        <f t="shared" ca="1" si="262"/>
        <v/>
      </c>
      <c r="Q2108" s="2"/>
      <c r="R2108" s="2"/>
      <c r="S2108" s="1" t="str">
        <f t="shared" si="263"/>
        <v/>
      </c>
      <c r="T2108" s="1" t="str">
        <f>IF(OR($C2108="",$D2108&lt;&gt;"Gelir",$L2108=""),"",IFERROR(INDEX(MUSTERILER!$B$7:$B$156,MATCH($S2108,MUSTERILER!$T$7:$T$156,0)),""))</f>
        <v/>
      </c>
      <c r="U2108" s="1" t="str">
        <f>IF($T2108="","",$T2108&amp;"|"&amp;COUNTIFS($T$7:$T2108,$T2108))</f>
        <v/>
      </c>
      <c r="V2108" s="1">
        <f t="shared" si="264"/>
        <v>0</v>
      </c>
      <c r="W2108" s="1" t="str">
        <f t="shared" si="265"/>
        <v/>
      </c>
      <c r="X2108" s="1"/>
      <c r="Y2108" s="1"/>
      <c r="Z2108" s="1"/>
      <c r="AA2108" s="1"/>
      <c r="AB2108" s="1"/>
      <c r="AC2108" s="1"/>
      <c r="AD2108" s="1">
        <f>IF($C2108="",0,SUMPRODUCT((AY_SONU!$O$7:$O$42="Evet")*(AY_SONU!$B$7:$B$42=DATE(YEAR($C2108),MONTH($C2108),1))))</f>
        <v>0</v>
      </c>
      <c r="AE2108" s="1" t="str">
        <f>IF($E2108="","",$E2108&amp;"|"&amp;COUNTIFS($E$7:$E2108,$E2108))</f>
        <v/>
      </c>
    </row>
    <row r="2109" spans="1:31" ht="18" customHeight="1" x14ac:dyDescent="0.3">
      <c r="A2109" s="2"/>
      <c r="B2109" s="65" t="str">
        <f t="shared" si="258"/>
        <v/>
      </c>
      <c r="C2109" s="66"/>
      <c r="D2109" s="60"/>
      <c r="E2109" s="61"/>
      <c r="F2109" s="61"/>
      <c r="G2109" s="67"/>
      <c r="H2109" s="60"/>
      <c r="I2109" s="60"/>
      <c r="J2109" s="61"/>
      <c r="K2109" s="61"/>
      <c r="L2109" s="60"/>
      <c r="M2109" s="74" t="str">
        <f t="shared" si="259"/>
        <v/>
      </c>
      <c r="N2109" s="74" t="str">
        <f t="shared" si="260"/>
        <v/>
      </c>
      <c r="O2109" s="73" t="str">
        <f t="shared" si="261"/>
        <v/>
      </c>
      <c r="P2109" s="65" t="str">
        <f t="shared" ca="1" si="262"/>
        <v/>
      </c>
      <c r="Q2109" s="2"/>
      <c r="R2109" s="2"/>
      <c r="S2109" s="1" t="str">
        <f t="shared" si="263"/>
        <v/>
      </c>
      <c r="T2109" s="1" t="str">
        <f>IF(OR($C2109="",$D2109&lt;&gt;"Gelir",$L2109=""),"",IFERROR(INDEX(MUSTERILER!$B$7:$B$156,MATCH($S2109,MUSTERILER!$T$7:$T$156,0)),""))</f>
        <v/>
      </c>
      <c r="U2109" s="1" t="str">
        <f>IF($T2109="","",$T2109&amp;"|"&amp;COUNTIFS($T$7:$T2109,$T2109))</f>
        <v/>
      </c>
      <c r="V2109" s="1">
        <f t="shared" si="264"/>
        <v>0</v>
      </c>
      <c r="W2109" s="1" t="str">
        <f t="shared" si="265"/>
        <v/>
      </c>
      <c r="X2109" s="1"/>
      <c r="Y2109" s="1"/>
      <c r="Z2109" s="1"/>
      <c r="AA2109" s="1"/>
      <c r="AB2109" s="1"/>
      <c r="AC2109" s="1"/>
      <c r="AD2109" s="1">
        <f>IF($C2109="",0,SUMPRODUCT((AY_SONU!$O$7:$O$42="Evet")*(AY_SONU!$B$7:$B$42=DATE(YEAR($C2109),MONTH($C2109),1))))</f>
        <v>0</v>
      </c>
      <c r="AE2109" s="1" t="str">
        <f>IF($E2109="","",$E2109&amp;"|"&amp;COUNTIFS($E$7:$E2109,$E2109))</f>
        <v/>
      </c>
    </row>
    <row r="2110" spans="1:31" ht="18" customHeight="1" x14ac:dyDescent="0.3">
      <c r="A2110" s="2"/>
      <c r="B2110" s="65" t="str">
        <f t="shared" si="258"/>
        <v/>
      </c>
      <c r="C2110" s="66"/>
      <c r="D2110" s="60"/>
      <c r="E2110" s="61"/>
      <c r="F2110" s="61"/>
      <c r="G2110" s="67"/>
      <c r="H2110" s="60"/>
      <c r="I2110" s="60"/>
      <c r="J2110" s="61"/>
      <c r="K2110" s="61"/>
      <c r="L2110" s="60"/>
      <c r="M2110" s="74" t="str">
        <f t="shared" si="259"/>
        <v/>
      </c>
      <c r="N2110" s="74" t="str">
        <f t="shared" si="260"/>
        <v/>
      </c>
      <c r="O2110" s="73" t="str">
        <f t="shared" si="261"/>
        <v/>
      </c>
      <c r="P2110" s="65" t="str">
        <f t="shared" ca="1" si="262"/>
        <v/>
      </c>
      <c r="Q2110" s="2"/>
      <c r="R2110" s="2"/>
      <c r="S2110" s="1" t="str">
        <f t="shared" si="263"/>
        <v/>
      </c>
      <c r="T2110" s="1" t="str">
        <f>IF(OR($C2110="",$D2110&lt;&gt;"Gelir",$L2110=""),"",IFERROR(INDEX(MUSTERILER!$B$7:$B$156,MATCH($S2110,MUSTERILER!$T$7:$T$156,0)),""))</f>
        <v/>
      </c>
      <c r="U2110" s="1" t="str">
        <f>IF($T2110="","",$T2110&amp;"|"&amp;COUNTIFS($T$7:$T2110,$T2110))</f>
        <v/>
      </c>
      <c r="V2110" s="1">
        <f t="shared" si="264"/>
        <v>0</v>
      </c>
      <c r="W2110" s="1" t="str">
        <f t="shared" si="265"/>
        <v/>
      </c>
      <c r="X2110" s="1"/>
      <c r="Y2110" s="1"/>
      <c r="Z2110" s="1"/>
      <c r="AA2110" s="1"/>
      <c r="AB2110" s="1"/>
      <c r="AC2110" s="1"/>
      <c r="AD2110" s="1">
        <f>IF($C2110="",0,SUMPRODUCT((AY_SONU!$O$7:$O$42="Evet")*(AY_SONU!$B$7:$B$42=DATE(YEAR($C2110),MONTH($C2110),1))))</f>
        <v>0</v>
      </c>
      <c r="AE2110" s="1" t="str">
        <f>IF($E2110="","",$E2110&amp;"|"&amp;COUNTIFS($E$7:$E2110,$E2110))</f>
        <v/>
      </c>
    </row>
    <row r="2111" spans="1:31" ht="18" customHeight="1" x14ac:dyDescent="0.3">
      <c r="A2111" s="2"/>
      <c r="B2111" s="65" t="str">
        <f t="shared" si="258"/>
        <v/>
      </c>
      <c r="C2111" s="66"/>
      <c r="D2111" s="60"/>
      <c r="E2111" s="61"/>
      <c r="F2111" s="61"/>
      <c r="G2111" s="67"/>
      <c r="H2111" s="60"/>
      <c r="I2111" s="60"/>
      <c r="J2111" s="61"/>
      <c r="K2111" s="61"/>
      <c r="L2111" s="60"/>
      <c r="M2111" s="74" t="str">
        <f t="shared" si="259"/>
        <v/>
      </c>
      <c r="N2111" s="74" t="str">
        <f t="shared" si="260"/>
        <v/>
      </c>
      <c r="O2111" s="73" t="str">
        <f t="shared" si="261"/>
        <v/>
      </c>
      <c r="P2111" s="65" t="str">
        <f t="shared" ca="1" si="262"/>
        <v/>
      </c>
      <c r="Q2111" s="2"/>
      <c r="R2111" s="2"/>
      <c r="S2111" s="1" t="str">
        <f t="shared" si="263"/>
        <v/>
      </c>
      <c r="T2111" s="1" t="str">
        <f>IF(OR($C2111="",$D2111&lt;&gt;"Gelir",$L2111=""),"",IFERROR(INDEX(MUSTERILER!$B$7:$B$156,MATCH($S2111,MUSTERILER!$T$7:$T$156,0)),""))</f>
        <v/>
      </c>
      <c r="U2111" s="1" t="str">
        <f>IF($T2111="","",$T2111&amp;"|"&amp;COUNTIFS($T$7:$T2111,$T2111))</f>
        <v/>
      </c>
      <c r="V2111" s="1">
        <f t="shared" si="264"/>
        <v>0</v>
      </c>
      <c r="W2111" s="1" t="str">
        <f t="shared" si="265"/>
        <v/>
      </c>
      <c r="X2111" s="1"/>
      <c r="Y2111" s="1"/>
      <c r="Z2111" s="1"/>
      <c r="AA2111" s="1"/>
      <c r="AB2111" s="1"/>
      <c r="AC2111" s="1"/>
      <c r="AD2111" s="1">
        <f>IF($C2111="",0,SUMPRODUCT((AY_SONU!$O$7:$O$42="Evet")*(AY_SONU!$B$7:$B$42=DATE(YEAR($C2111),MONTH($C2111),1))))</f>
        <v>0</v>
      </c>
      <c r="AE2111" s="1" t="str">
        <f>IF($E2111="","",$E2111&amp;"|"&amp;COUNTIFS($E$7:$E2111,$E2111))</f>
        <v/>
      </c>
    </row>
    <row r="2112" spans="1:31" ht="18" customHeight="1" x14ac:dyDescent="0.3">
      <c r="A2112" s="2"/>
      <c r="B2112" s="65" t="str">
        <f t="shared" si="258"/>
        <v/>
      </c>
      <c r="C2112" s="66"/>
      <c r="D2112" s="60"/>
      <c r="E2112" s="61"/>
      <c r="F2112" s="61"/>
      <c r="G2112" s="67"/>
      <c r="H2112" s="60"/>
      <c r="I2112" s="60"/>
      <c r="J2112" s="61"/>
      <c r="K2112" s="61"/>
      <c r="L2112" s="60"/>
      <c r="M2112" s="74" t="str">
        <f t="shared" si="259"/>
        <v/>
      </c>
      <c r="N2112" s="74" t="str">
        <f t="shared" si="260"/>
        <v/>
      </c>
      <c r="O2112" s="73" t="str">
        <f t="shared" si="261"/>
        <v/>
      </c>
      <c r="P2112" s="65" t="str">
        <f t="shared" ca="1" si="262"/>
        <v/>
      </c>
      <c r="Q2112" s="2"/>
      <c r="R2112" s="2"/>
      <c r="S2112" s="1" t="str">
        <f t="shared" si="263"/>
        <v/>
      </c>
      <c r="T2112" s="1" t="str">
        <f>IF(OR($C2112="",$D2112&lt;&gt;"Gelir",$L2112=""),"",IFERROR(INDEX(MUSTERILER!$B$7:$B$156,MATCH($S2112,MUSTERILER!$T$7:$T$156,0)),""))</f>
        <v/>
      </c>
      <c r="U2112" s="1" t="str">
        <f>IF($T2112="","",$T2112&amp;"|"&amp;COUNTIFS($T$7:$T2112,$T2112))</f>
        <v/>
      </c>
      <c r="V2112" s="1">
        <f t="shared" si="264"/>
        <v>0</v>
      </c>
      <c r="W2112" s="1" t="str">
        <f t="shared" si="265"/>
        <v/>
      </c>
      <c r="X2112" s="1"/>
      <c r="Y2112" s="1"/>
      <c r="Z2112" s="1"/>
      <c r="AA2112" s="1"/>
      <c r="AB2112" s="1"/>
      <c r="AC2112" s="1"/>
      <c r="AD2112" s="1">
        <f>IF($C2112="",0,SUMPRODUCT((AY_SONU!$O$7:$O$42="Evet")*(AY_SONU!$B$7:$B$42=DATE(YEAR($C2112),MONTH($C2112),1))))</f>
        <v>0</v>
      </c>
      <c r="AE2112" s="1" t="str">
        <f>IF($E2112="","",$E2112&amp;"|"&amp;COUNTIFS($E$7:$E2112,$E2112))</f>
        <v/>
      </c>
    </row>
    <row r="2113" spans="1:31" ht="18" customHeight="1" x14ac:dyDescent="0.3">
      <c r="A2113" s="2"/>
      <c r="B2113" s="65" t="str">
        <f t="shared" si="258"/>
        <v/>
      </c>
      <c r="C2113" s="66"/>
      <c r="D2113" s="60"/>
      <c r="E2113" s="61"/>
      <c r="F2113" s="61"/>
      <c r="G2113" s="67"/>
      <c r="H2113" s="60"/>
      <c r="I2113" s="60"/>
      <c r="J2113" s="61"/>
      <c r="K2113" s="61"/>
      <c r="L2113" s="60"/>
      <c r="M2113" s="74" t="str">
        <f t="shared" si="259"/>
        <v/>
      </c>
      <c r="N2113" s="74" t="str">
        <f t="shared" si="260"/>
        <v/>
      </c>
      <c r="O2113" s="73" t="str">
        <f t="shared" si="261"/>
        <v/>
      </c>
      <c r="P2113" s="65" t="str">
        <f t="shared" ca="1" si="262"/>
        <v/>
      </c>
      <c r="Q2113" s="2"/>
      <c r="R2113" s="2"/>
      <c r="S2113" s="1" t="str">
        <f t="shared" si="263"/>
        <v/>
      </c>
      <c r="T2113" s="1" t="str">
        <f>IF(OR($C2113="",$D2113&lt;&gt;"Gelir",$L2113=""),"",IFERROR(INDEX(MUSTERILER!$B$7:$B$156,MATCH($S2113,MUSTERILER!$T$7:$T$156,0)),""))</f>
        <v/>
      </c>
      <c r="U2113" s="1" t="str">
        <f>IF($T2113="","",$T2113&amp;"|"&amp;COUNTIFS($T$7:$T2113,$T2113))</f>
        <v/>
      </c>
      <c r="V2113" s="1">
        <f t="shared" si="264"/>
        <v>0</v>
      </c>
      <c r="W2113" s="1" t="str">
        <f t="shared" si="265"/>
        <v/>
      </c>
      <c r="X2113" s="1"/>
      <c r="Y2113" s="1"/>
      <c r="Z2113" s="1"/>
      <c r="AA2113" s="1"/>
      <c r="AB2113" s="1"/>
      <c r="AC2113" s="1"/>
      <c r="AD2113" s="1">
        <f>IF($C2113="",0,SUMPRODUCT((AY_SONU!$O$7:$O$42="Evet")*(AY_SONU!$B$7:$B$42=DATE(YEAR($C2113),MONTH($C2113),1))))</f>
        <v>0</v>
      </c>
      <c r="AE2113" s="1" t="str">
        <f>IF($E2113="","",$E2113&amp;"|"&amp;COUNTIFS($E$7:$E2113,$E2113))</f>
        <v/>
      </c>
    </row>
    <row r="2114" spans="1:31" ht="18" customHeight="1" x14ac:dyDescent="0.3">
      <c r="A2114" s="2"/>
      <c r="B2114" s="65" t="str">
        <f t="shared" si="258"/>
        <v/>
      </c>
      <c r="C2114" s="66"/>
      <c r="D2114" s="60"/>
      <c r="E2114" s="61"/>
      <c r="F2114" s="61"/>
      <c r="G2114" s="67"/>
      <c r="H2114" s="60"/>
      <c r="I2114" s="60"/>
      <c r="J2114" s="61"/>
      <c r="K2114" s="61"/>
      <c r="L2114" s="60"/>
      <c r="M2114" s="74" t="str">
        <f t="shared" si="259"/>
        <v/>
      </c>
      <c r="N2114" s="74" t="str">
        <f t="shared" si="260"/>
        <v/>
      </c>
      <c r="O2114" s="73" t="str">
        <f t="shared" si="261"/>
        <v/>
      </c>
      <c r="P2114" s="65" t="str">
        <f t="shared" ca="1" si="262"/>
        <v/>
      </c>
      <c r="Q2114" s="2"/>
      <c r="R2114" s="2"/>
      <c r="S2114" s="1" t="str">
        <f t="shared" si="263"/>
        <v/>
      </c>
      <c r="T2114" s="1" t="str">
        <f>IF(OR($C2114="",$D2114&lt;&gt;"Gelir",$L2114=""),"",IFERROR(INDEX(MUSTERILER!$B$7:$B$156,MATCH($S2114,MUSTERILER!$T$7:$T$156,0)),""))</f>
        <v/>
      </c>
      <c r="U2114" s="1" t="str">
        <f>IF($T2114="","",$T2114&amp;"|"&amp;COUNTIFS($T$7:$T2114,$T2114))</f>
        <v/>
      </c>
      <c r="V2114" s="1">
        <f t="shared" si="264"/>
        <v>0</v>
      </c>
      <c r="W2114" s="1" t="str">
        <f t="shared" si="265"/>
        <v/>
      </c>
      <c r="X2114" s="1"/>
      <c r="Y2114" s="1"/>
      <c r="Z2114" s="1"/>
      <c r="AA2114" s="1"/>
      <c r="AB2114" s="1"/>
      <c r="AC2114" s="1"/>
      <c r="AD2114" s="1">
        <f>IF($C2114="",0,SUMPRODUCT((AY_SONU!$O$7:$O$42="Evet")*(AY_SONU!$B$7:$B$42=DATE(YEAR($C2114),MONTH($C2114),1))))</f>
        <v>0</v>
      </c>
      <c r="AE2114" s="1" t="str">
        <f>IF($E2114="","",$E2114&amp;"|"&amp;COUNTIFS($E$7:$E2114,$E2114))</f>
        <v/>
      </c>
    </row>
    <row r="2115" spans="1:31" ht="18" customHeight="1" x14ac:dyDescent="0.3">
      <c r="A2115" s="2"/>
      <c r="B2115" s="65" t="str">
        <f t="shared" si="258"/>
        <v/>
      </c>
      <c r="C2115" s="66"/>
      <c r="D2115" s="60"/>
      <c r="E2115" s="61"/>
      <c r="F2115" s="61"/>
      <c r="G2115" s="67"/>
      <c r="H2115" s="60"/>
      <c r="I2115" s="60"/>
      <c r="J2115" s="61"/>
      <c r="K2115" s="61"/>
      <c r="L2115" s="60"/>
      <c r="M2115" s="74" t="str">
        <f t="shared" si="259"/>
        <v/>
      </c>
      <c r="N2115" s="74" t="str">
        <f t="shared" si="260"/>
        <v/>
      </c>
      <c r="O2115" s="73" t="str">
        <f t="shared" si="261"/>
        <v/>
      </c>
      <c r="P2115" s="65" t="str">
        <f t="shared" ca="1" si="262"/>
        <v/>
      </c>
      <c r="Q2115" s="2"/>
      <c r="R2115" s="2"/>
      <c r="S2115" s="1" t="str">
        <f t="shared" si="263"/>
        <v/>
      </c>
      <c r="T2115" s="1" t="str">
        <f>IF(OR($C2115="",$D2115&lt;&gt;"Gelir",$L2115=""),"",IFERROR(INDEX(MUSTERILER!$B$7:$B$156,MATCH($S2115,MUSTERILER!$T$7:$T$156,0)),""))</f>
        <v/>
      </c>
      <c r="U2115" s="1" t="str">
        <f>IF($T2115="","",$T2115&amp;"|"&amp;COUNTIFS($T$7:$T2115,$T2115))</f>
        <v/>
      </c>
      <c r="V2115" s="1">
        <f t="shared" si="264"/>
        <v>0</v>
      </c>
      <c r="W2115" s="1" t="str">
        <f t="shared" si="265"/>
        <v/>
      </c>
      <c r="X2115" s="1"/>
      <c r="Y2115" s="1"/>
      <c r="Z2115" s="1"/>
      <c r="AA2115" s="1"/>
      <c r="AB2115" s="1"/>
      <c r="AC2115" s="1"/>
      <c r="AD2115" s="1">
        <f>IF($C2115="",0,SUMPRODUCT((AY_SONU!$O$7:$O$42="Evet")*(AY_SONU!$B$7:$B$42=DATE(YEAR($C2115),MONTH($C2115),1))))</f>
        <v>0</v>
      </c>
      <c r="AE2115" s="1" t="str">
        <f>IF($E2115="","",$E2115&amp;"|"&amp;COUNTIFS($E$7:$E2115,$E2115))</f>
        <v/>
      </c>
    </row>
    <row r="2116" spans="1:31" ht="18" customHeight="1" x14ac:dyDescent="0.3">
      <c r="A2116" s="2"/>
      <c r="B2116" s="65" t="str">
        <f t="shared" si="258"/>
        <v/>
      </c>
      <c r="C2116" s="66"/>
      <c r="D2116" s="60"/>
      <c r="E2116" s="61"/>
      <c r="F2116" s="61"/>
      <c r="G2116" s="67"/>
      <c r="H2116" s="60"/>
      <c r="I2116" s="60"/>
      <c r="J2116" s="61"/>
      <c r="K2116" s="61"/>
      <c r="L2116" s="60"/>
      <c r="M2116" s="74" t="str">
        <f t="shared" si="259"/>
        <v/>
      </c>
      <c r="N2116" s="74" t="str">
        <f t="shared" si="260"/>
        <v/>
      </c>
      <c r="O2116" s="73" t="str">
        <f t="shared" si="261"/>
        <v/>
      </c>
      <c r="P2116" s="65" t="str">
        <f t="shared" ca="1" si="262"/>
        <v/>
      </c>
      <c r="Q2116" s="2"/>
      <c r="R2116" s="2"/>
      <c r="S2116" s="1" t="str">
        <f t="shared" si="263"/>
        <v/>
      </c>
      <c r="T2116" s="1" t="str">
        <f>IF(OR($C2116="",$D2116&lt;&gt;"Gelir",$L2116=""),"",IFERROR(INDEX(MUSTERILER!$B$7:$B$156,MATCH($S2116,MUSTERILER!$T$7:$T$156,0)),""))</f>
        <v/>
      </c>
      <c r="U2116" s="1" t="str">
        <f>IF($T2116="","",$T2116&amp;"|"&amp;COUNTIFS($T$7:$T2116,$T2116))</f>
        <v/>
      </c>
      <c r="V2116" s="1">
        <f t="shared" si="264"/>
        <v>0</v>
      </c>
      <c r="W2116" s="1" t="str">
        <f t="shared" si="265"/>
        <v/>
      </c>
      <c r="X2116" s="1"/>
      <c r="Y2116" s="1"/>
      <c r="Z2116" s="1"/>
      <c r="AA2116" s="1"/>
      <c r="AB2116" s="1"/>
      <c r="AC2116" s="1"/>
      <c r="AD2116" s="1">
        <f>IF($C2116="",0,SUMPRODUCT((AY_SONU!$O$7:$O$42="Evet")*(AY_SONU!$B$7:$B$42=DATE(YEAR($C2116),MONTH($C2116),1))))</f>
        <v>0</v>
      </c>
      <c r="AE2116" s="1" t="str">
        <f>IF($E2116="","",$E2116&amp;"|"&amp;COUNTIFS($E$7:$E2116,$E2116))</f>
        <v/>
      </c>
    </row>
    <row r="2117" spans="1:31" ht="18" customHeight="1" x14ac:dyDescent="0.3">
      <c r="A2117" s="2"/>
      <c r="B2117" s="65" t="str">
        <f t="shared" si="258"/>
        <v/>
      </c>
      <c r="C2117" s="66"/>
      <c r="D2117" s="60"/>
      <c r="E2117" s="61"/>
      <c r="F2117" s="61"/>
      <c r="G2117" s="67"/>
      <c r="H2117" s="60"/>
      <c r="I2117" s="60"/>
      <c r="J2117" s="61"/>
      <c r="K2117" s="61"/>
      <c r="L2117" s="60"/>
      <c r="M2117" s="74" t="str">
        <f t="shared" si="259"/>
        <v/>
      </c>
      <c r="N2117" s="74" t="str">
        <f t="shared" si="260"/>
        <v/>
      </c>
      <c r="O2117" s="73" t="str">
        <f t="shared" si="261"/>
        <v/>
      </c>
      <c r="P2117" s="65" t="str">
        <f t="shared" ca="1" si="262"/>
        <v/>
      </c>
      <c r="Q2117" s="2"/>
      <c r="R2117" s="2"/>
      <c r="S2117" s="1" t="str">
        <f t="shared" si="263"/>
        <v/>
      </c>
      <c r="T2117" s="1" t="str">
        <f>IF(OR($C2117="",$D2117&lt;&gt;"Gelir",$L2117=""),"",IFERROR(INDEX(MUSTERILER!$B$7:$B$156,MATCH($S2117,MUSTERILER!$T$7:$T$156,0)),""))</f>
        <v/>
      </c>
      <c r="U2117" s="1" t="str">
        <f>IF($T2117="","",$T2117&amp;"|"&amp;COUNTIFS($T$7:$T2117,$T2117))</f>
        <v/>
      </c>
      <c r="V2117" s="1">
        <f t="shared" si="264"/>
        <v>0</v>
      </c>
      <c r="W2117" s="1" t="str">
        <f t="shared" si="265"/>
        <v/>
      </c>
      <c r="X2117" s="1"/>
      <c r="Y2117" s="1"/>
      <c r="Z2117" s="1"/>
      <c r="AA2117" s="1"/>
      <c r="AB2117" s="1"/>
      <c r="AC2117" s="1"/>
      <c r="AD2117" s="1">
        <f>IF($C2117="",0,SUMPRODUCT((AY_SONU!$O$7:$O$42="Evet")*(AY_SONU!$B$7:$B$42=DATE(YEAR($C2117),MONTH($C2117),1))))</f>
        <v>0</v>
      </c>
      <c r="AE2117" s="1" t="str">
        <f>IF($E2117="","",$E2117&amp;"|"&amp;COUNTIFS($E$7:$E2117,$E2117))</f>
        <v/>
      </c>
    </row>
    <row r="2118" spans="1:31" ht="18" customHeight="1" x14ac:dyDescent="0.3">
      <c r="A2118" s="2"/>
      <c r="B2118" s="65" t="str">
        <f t="shared" si="258"/>
        <v/>
      </c>
      <c r="C2118" s="66"/>
      <c r="D2118" s="60"/>
      <c r="E2118" s="61"/>
      <c r="F2118" s="61"/>
      <c r="G2118" s="67"/>
      <c r="H2118" s="60"/>
      <c r="I2118" s="60"/>
      <c r="J2118" s="61"/>
      <c r="K2118" s="61"/>
      <c r="L2118" s="60"/>
      <c r="M2118" s="74" t="str">
        <f t="shared" si="259"/>
        <v/>
      </c>
      <c r="N2118" s="74" t="str">
        <f t="shared" si="260"/>
        <v/>
      </c>
      <c r="O2118" s="73" t="str">
        <f t="shared" si="261"/>
        <v/>
      </c>
      <c r="P2118" s="65" t="str">
        <f t="shared" ca="1" si="262"/>
        <v/>
      </c>
      <c r="Q2118" s="2"/>
      <c r="R2118" s="2"/>
      <c r="S2118" s="1" t="str">
        <f t="shared" si="263"/>
        <v/>
      </c>
      <c r="T2118" s="1" t="str">
        <f>IF(OR($C2118="",$D2118&lt;&gt;"Gelir",$L2118=""),"",IFERROR(INDEX(MUSTERILER!$B$7:$B$156,MATCH($S2118,MUSTERILER!$T$7:$T$156,0)),""))</f>
        <v/>
      </c>
      <c r="U2118" s="1" t="str">
        <f>IF($T2118="","",$T2118&amp;"|"&amp;COUNTIFS($T$7:$T2118,$T2118))</f>
        <v/>
      </c>
      <c r="V2118" s="1">
        <f t="shared" si="264"/>
        <v>0</v>
      </c>
      <c r="W2118" s="1" t="str">
        <f t="shared" si="265"/>
        <v/>
      </c>
      <c r="X2118" s="1"/>
      <c r="Y2118" s="1"/>
      <c r="Z2118" s="1"/>
      <c r="AA2118" s="1"/>
      <c r="AB2118" s="1"/>
      <c r="AC2118" s="1"/>
      <c r="AD2118" s="1">
        <f>IF($C2118="",0,SUMPRODUCT((AY_SONU!$O$7:$O$42="Evet")*(AY_SONU!$B$7:$B$42=DATE(YEAR($C2118),MONTH($C2118),1))))</f>
        <v>0</v>
      </c>
      <c r="AE2118" s="1" t="str">
        <f>IF($E2118="","",$E2118&amp;"|"&amp;COUNTIFS($E$7:$E2118,$E2118))</f>
        <v/>
      </c>
    </row>
    <row r="2119" spans="1:31" ht="18" customHeight="1" x14ac:dyDescent="0.3">
      <c r="A2119" s="2"/>
      <c r="B2119" s="65" t="str">
        <f t="shared" ref="B2119:B2182" si="266">IF($C2119="","","GG"&amp;TEXT(ROW()-6,"00000"))</f>
        <v/>
      </c>
      <c r="C2119" s="66"/>
      <c r="D2119" s="60"/>
      <c r="E2119" s="61"/>
      <c r="F2119" s="61"/>
      <c r="G2119" s="67"/>
      <c r="H2119" s="60"/>
      <c r="I2119" s="60"/>
      <c r="J2119" s="61"/>
      <c r="K2119" s="61"/>
      <c r="L2119" s="60"/>
      <c r="M2119" s="74" t="str">
        <f t="shared" ref="M2119:M2182" si="267">IF($C2119="","",IF($D2119="Gider",$E2119,IF($L2119&lt;&gt;"",$L2119,$H2119)))</f>
        <v/>
      </c>
      <c r="N2119" s="74" t="str">
        <f t="shared" ref="N2119:N2182" si="268">IF($C2119="","",IF($D2119="Gider",$H2119,$E2119))</f>
        <v/>
      </c>
      <c r="O2119" s="73" t="str">
        <f t="shared" ref="O2119:O2182" si="269">IF($C2119="","",DATE(YEAR($C2119),MONTH($C2119),1))</f>
        <v/>
      </c>
      <c r="P2119" s="65" t="str">
        <f t="shared" ref="P2119:P2182" ca="1" si="270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TARİH",IF(COUNTIF($W$7:$W$3006,$W2119)&gt;1,"MÜKERRER?",IF($AD2119&gt;0,"KAPALI DÖNEM",IF($I2119="Hayır","ÖDENECEK","UYGUN")))),"EKSİK"))))</f>
        <v/>
      </c>
      <c r="Q2119" s="2"/>
      <c r="R2119" s="2"/>
      <c r="S2119" s="1" t="str">
        <f t="shared" ref="S2119:S2182" si="271"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1" t="str">
        <f>IF(OR($C2119="",$D2119&lt;&gt;"Gelir",$L2119=""),"",IFERROR(INDEX(MUSTERILER!$B$7:$B$156,MATCH($S2119,MUSTERILER!$T$7:$T$156,0)),""))</f>
        <v/>
      </c>
      <c r="U2119" s="1" t="str">
        <f>IF($T2119="","",$T2119&amp;"|"&amp;COUNTIFS($T$7:$T2119,$T2119))</f>
        <v/>
      </c>
      <c r="V2119" s="1">
        <f t="shared" ref="V2119:V2182" si="272">IF($T2119="",0,1)</f>
        <v>0</v>
      </c>
      <c r="W2119" s="1" t="str">
        <f t="shared" ref="W2119:W2182" si="273">IF($C2119="","",$D2119&amp;"|"&amp;$E2119&amp;"|"&amp;TEXT($C2119,"0")&amp;"|"&amp;TEXT($G2119,"0")&amp;"|"&amp;$J2119)</f>
        <v/>
      </c>
      <c r="X2119" s="1"/>
      <c r="Y2119" s="1"/>
      <c r="Z2119" s="1"/>
      <c r="AA2119" s="1"/>
      <c r="AB2119" s="1"/>
      <c r="AC2119" s="1"/>
      <c r="AD2119" s="1">
        <f>IF($C2119="",0,SUMPRODUCT((AY_SONU!$O$7:$O$42="Evet")*(AY_SONU!$B$7:$B$42=DATE(YEAR($C2119),MONTH($C2119),1))))</f>
        <v>0</v>
      </c>
      <c r="AE2119" s="1" t="str">
        <f>IF($E2119="","",$E2119&amp;"|"&amp;COUNTIFS($E$7:$E2119,$E2119))</f>
        <v/>
      </c>
    </row>
    <row r="2120" spans="1:31" ht="18" customHeight="1" x14ac:dyDescent="0.3">
      <c r="A2120" s="2"/>
      <c r="B2120" s="65" t="str">
        <f t="shared" si="266"/>
        <v/>
      </c>
      <c r="C2120" s="66"/>
      <c r="D2120" s="60"/>
      <c r="E2120" s="61"/>
      <c r="F2120" s="61"/>
      <c r="G2120" s="67"/>
      <c r="H2120" s="60"/>
      <c r="I2120" s="60"/>
      <c r="J2120" s="61"/>
      <c r="K2120" s="61"/>
      <c r="L2120" s="60"/>
      <c r="M2120" s="74" t="str">
        <f t="shared" si="267"/>
        <v/>
      </c>
      <c r="N2120" s="74" t="str">
        <f t="shared" si="268"/>
        <v/>
      </c>
      <c r="O2120" s="73" t="str">
        <f t="shared" si="269"/>
        <v/>
      </c>
      <c r="P2120" s="65" t="str">
        <f t="shared" ca="1" si="270"/>
        <v/>
      </c>
      <c r="Q2120" s="2"/>
      <c r="R2120" s="2"/>
      <c r="S2120" s="1" t="str">
        <f t="shared" si="271"/>
        <v/>
      </c>
      <c r="T2120" s="1" t="str">
        <f>IF(OR($C2120="",$D2120&lt;&gt;"Gelir",$L2120=""),"",IFERROR(INDEX(MUSTERILER!$B$7:$B$156,MATCH($S2120,MUSTERILER!$T$7:$T$156,0)),""))</f>
        <v/>
      </c>
      <c r="U2120" s="1" t="str">
        <f>IF($T2120="","",$T2120&amp;"|"&amp;COUNTIFS($T$7:$T2120,$T2120))</f>
        <v/>
      </c>
      <c r="V2120" s="1">
        <f t="shared" si="272"/>
        <v>0</v>
      </c>
      <c r="W2120" s="1" t="str">
        <f t="shared" si="273"/>
        <v/>
      </c>
      <c r="X2120" s="1"/>
      <c r="Y2120" s="1"/>
      <c r="Z2120" s="1"/>
      <c r="AA2120" s="1"/>
      <c r="AB2120" s="1"/>
      <c r="AC2120" s="1"/>
      <c r="AD2120" s="1">
        <f>IF($C2120="",0,SUMPRODUCT((AY_SONU!$O$7:$O$42="Evet")*(AY_SONU!$B$7:$B$42=DATE(YEAR($C2120),MONTH($C2120),1))))</f>
        <v>0</v>
      </c>
      <c r="AE2120" s="1" t="str">
        <f>IF($E2120="","",$E2120&amp;"|"&amp;COUNTIFS($E$7:$E2120,$E2120))</f>
        <v/>
      </c>
    </row>
    <row r="2121" spans="1:31" ht="18" customHeight="1" x14ac:dyDescent="0.3">
      <c r="A2121" s="2"/>
      <c r="B2121" s="65" t="str">
        <f t="shared" si="266"/>
        <v/>
      </c>
      <c r="C2121" s="66"/>
      <c r="D2121" s="60"/>
      <c r="E2121" s="61"/>
      <c r="F2121" s="61"/>
      <c r="G2121" s="67"/>
      <c r="H2121" s="60"/>
      <c r="I2121" s="60"/>
      <c r="J2121" s="61"/>
      <c r="K2121" s="61"/>
      <c r="L2121" s="60"/>
      <c r="M2121" s="74" t="str">
        <f t="shared" si="267"/>
        <v/>
      </c>
      <c r="N2121" s="74" t="str">
        <f t="shared" si="268"/>
        <v/>
      </c>
      <c r="O2121" s="73" t="str">
        <f t="shared" si="269"/>
        <v/>
      </c>
      <c r="P2121" s="65" t="str">
        <f t="shared" ca="1" si="270"/>
        <v/>
      </c>
      <c r="Q2121" s="2"/>
      <c r="R2121" s="2"/>
      <c r="S2121" s="1" t="str">
        <f t="shared" si="271"/>
        <v/>
      </c>
      <c r="T2121" s="1" t="str">
        <f>IF(OR($C2121="",$D2121&lt;&gt;"Gelir",$L2121=""),"",IFERROR(INDEX(MUSTERILER!$B$7:$B$156,MATCH($S2121,MUSTERILER!$T$7:$T$156,0)),""))</f>
        <v/>
      </c>
      <c r="U2121" s="1" t="str">
        <f>IF($T2121="","",$T2121&amp;"|"&amp;COUNTIFS($T$7:$T2121,$T2121))</f>
        <v/>
      </c>
      <c r="V2121" s="1">
        <f t="shared" si="272"/>
        <v>0</v>
      </c>
      <c r="W2121" s="1" t="str">
        <f t="shared" si="273"/>
        <v/>
      </c>
      <c r="X2121" s="1"/>
      <c r="Y2121" s="1"/>
      <c r="Z2121" s="1"/>
      <c r="AA2121" s="1"/>
      <c r="AB2121" s="1"/>
      <c r="AC2121" s="1"/>
      <c r="AD2121" s="1">
        <f>IF($C2121="",0,SUMPRODUCT((AY_SONU!$O$7:$O$42="Evet")*(AY_SONU!$B$7:$B$42=DATE(YEAR($C2121),MONTH($C2121),1))))</f>
        <v>0</v>
      </c>
      <c r="AE2121" s="1" t="str">
        <f>IF($E2121="","",$E2121&amp;"|"&amp;COUNTIFS($E$7:$E2121,$E2121))</f>
        <v/>
      </c>
    </row>
    <row r="2122" spans="1:31" ht="18" customHeight="1" x14ac:dyDescent="0.3">
      <c r="A2122" s="2"/>
      <c r="B2122" s="65" t="str">
        <f t="shared" si="266"/>
        <v/>
      </c>
      <c r="C2122" s="66"/>
      <c r="D2122" s="60"/>
      <c r="E2122" s="61"/>
      <c r="F2122" s="61"/>
      <c r="G2122" s="67"/>
      <c r="H2122" s="60"/>
      <c r="I2122" s="60"/>
      <c r="J2122" s="61"/>
      <c r="K2122" s="61"/>
      <c r="L2122" s="60"/>
      <c r="M2122" s="74" t="str">
        <f t="shared" si="267"/>
        <v/>
      </c>
      <c r="N2122" s="74" t="str">
        <f t="shared" si="268"/>
        <v/>
      </c>
      <c r="O2122" s="73" t="str">
        <f t="shared" si="269"/>
        <v/>
      </c>
      <c r="P2122" s="65" t="str">
        <f t="shared" ca="1" si="270"/>
        <v/>
      </c>
      <c r="Q2122" s="2"/>
      <c r="R2122" s="2"/>
      <c r="S2122" s="1" t="str">
        <f t="shared" si="271"/>
        <v/>
      </c>
      <c r="T2122" s="1" t="str">
        <f>IF(OR($C2122="",$D2122&lt;&gt;"Gelir",$L2122=""),"",IFERROR(INDEX(MUSTERILER!$B$7:$B$156,MATCH($S2122,MUSTERILER!$T$7:$T$156,0)),""))</f>
        <v/>
      </c>
      <c r="U2122" s="1" t="str">
        <f>IF($T2122="","",$T2122&amp;"|"&amp;COUNTIFS($T$7:$T2122,$T2122))</f>
        <v/>
      </c>
      <c r="V2122" s="1">
        <f t="shared" si="272"/>
        <v>0</v>
      </c>
      <c r="W2122" s="1" t="str">
        <f t="shared" si="273"/>
        <v/>
      </c>
      <c r="X2122" s="1"/>
      <c r="Y2122" s="1"/>
      <c r="Z2122" s="1"/>
      <c r="AA2122" s="1"/>
      <c r="AB2122" s="1"/>
      <c r="AC2122" s="1"/>
      <c r="AD2122" s="1">
        <f>IF($C2122="",0,SUMPRODUCT((AY_SONU!$O$7:$O$42="Evet")*(AY_SONU!$B$7:$B$42=DATE(YEAR($C2122),MONTH($C2122),1))))</f>
        <v>0</v>
      </c>
      <c r="AE2122" s="1" t="str">
        <f>IF($E2122="","",$E2122&amp;"|"&amp;COUNTIFS($E$7:$E2122,$E2122))</f>
        <v/>
      </c>
    </row>
    <row r="2123" spans="1:31" ht="18" customHeight="1" x14ac:dyDescent="0.3">
      <c r="A2123" s="2"/>
      <c r="B2123" s="65" t="str">
        <f t="shared" si="266"/>
        <v/>
      </c>
      <c r="C2123" s="66"/>
      <c r="D2123" s="60"/>
      <c r="E2123" s="61"/>
      <c r="F2123" s="61"/>
      <c r="G2123" s="67"/>
      <c r="H2123" s="60"/>
      <c r="I2123" s="60"/>
      <c r="J2123" s="61"/>
      <c r="K2123" s="61"/>
      <c r="L2123" s="60"/>
      <c r="M2123" s="74" t="str">
        <f t="shared" si="267"/>
        <v/>
      </c>
      <c r="N2123" s="74" t="str">
        <f t="shared" si="268"/>
        <v/>
      </c>
      <c r="O2123" s="73" t="str">
        <f t="shared" si="269"/>
        <v/>
      </c>
      <c r="P2123" s="65" t="str">
        <f t="shared" ca="1" si="270"/>
        <v/>
      </c>
      <c r="Q2123" s="2"/>
      <c r="R2123" s="2"/>
      <c r="S2123" s="1" t="str">
        <f t="shared" si="271"/>
        <v/>
      </c>
      <c r="T2123" s="1" t="str">
        <f>IF(OR($C2123="",$D2123&lt;&gt;"Gelir",$L2123=""),"",IFERROR(INDEX(MUSTERILER!$B$7:$B$156,MATCH($S2123,MUSTERILER!$T$7:$T$156,0)),""))</f>
        <v/>
      </c>
      <c r="U2123" s="1" t="str">
        <f>IF($T2123="","",$T2123&amp;"|"&amp;COUNTIFS($T$7:$T2123,$T2123))</f>
        <v/>
      </c>
      <c r="V2123" s="1">
        <f t="shared" si="272"/>
        <v>0</v>
      </c>
      <c r="W2123" s="1" t="str">
        <f t="shared" si="273"/>
        <v/>
      </c>
      <c r="X2123" s="1"/>
      <c r="Y2123" s="1"/>
      <c r="Z2123" s="1"/>
      <c r="AA2123" s="1"/>
      <c r="AB2123" s="1"/>
      <c r="AC2123" s="1"/>
      <c r="AD2123" s="1">
        <f>IF($C2123="",0,SUMPRODUCT((AY_SONU!$O$7:$O$42="Evet")*(AY_SONU!$B$7:$B$42=DATE(YEAR($C2123),MONTH($C2123),1))))</f>
        <v>0</v>
      </c>
      <c r="AE2123" s="1" t="str">
        <f>IF($E2123="","",$E2123&amp;"|"&amp;COUNTIFS($E$7:$E2123,$E2123))</f>
        <v/>
      </c>
    </row>
    <row r="2124" spans="1:31" ht="18" customHeight="1" x14ac:dyDescent="0.3">
      <c r="A2124" s="2"/>
      <c r="B2124" s="65" t="str">
        <f t="shared" si="266"/>
        <v/>
      </c>
      <c r="C2124" s="66"/>
      <c r="D2124" s="60"/>
      <c r="E2124" s="61"/>
      <c r="F2124" s="61"/>
      <c r="G2124" s="67"/>
      <c r="H2124" s="60"/>
      <c r="I2124" s="60"/>
      <c r="J2124" s="61"/>
      <c r="K2124" s="61"/>
      <c r="L2124" s="60"/>
      <c r="M2124" s="74" t="str">
        <f t="shared" si="267"/>
        <v/>
      </c>
      <c r="N2124" s="74" t="str">
        <f t="shared" si="268"/>
        <v/>
      </c>
      <c r="O2124" s="73" t="str">
        <f t="shared" si="269"/>
        <v/>
      </c>
      <c r="P2124" s="65" t="str">
        <f t="shared" ca="1" si="270"/>
        <v/>
      </c>
      <c r="Q2124" s="2"/>
      <c r="R2124" s="2"/>
      <c r="S2124" s="1" t="str">
        <f t="shared" si="271"/>
        <v/>
      </c>
      <c r="T2124" s="1" t="str">
        <f>IF(OR($C2124="",$D2124&lt;&gt;"Gelir",$L2124=""),"",IFERROR(INDEX(MUSTERILER!$B$7:$B$156,MATCH($S2124,MUSTERILER!$T$7:$T$156,0)),""))</f>
        <v/>
      </c>
      <c r="U2124" s="1" t="str">
        <f>IF($T2124="","",$T2124&amp;"|"&amp;COUNTIFS($T$7:$T2124,$T2124))</f>
        <v/>
      </c>
      <c r="V2124" s="1">
        <f t="shared" si="272"/>
        <v>0</v>
      </c>
      <c r="W2124" s="1" t="str">
        <f t="shared" si="273"/>
        <v/>
      </c>
      <c r="X2124" s="1"/>
      <c r="Y2124" s="1"/>
      <c r="Z2124" s="1"/>
      <c r="AA2124" s="1"/>
      <c r="AB2124" s="1"/>
      <c r="AC2124" s="1"/>
      <c r="AD2124" s="1">
        <f>IF($C2124="",0,SUMPRODUCT((AY_SONU!$O$7:$O$42="Evet")*(AY_SONU!$B$7:$B$42=DATE(YEAR($C2124),MONTH($C2124),1))))</f>
        <v>0</v>
      </c>
      <c r="AE2124" s="1" t="str">
        <f>IF($E2124="","",$E2124&amp;"|"&amp;COUNTIFS($E$7:$E2124,$E2124))</f>
        <v/>
      </c>
    </row>
    <row r="2125" spans="1:31" ht="18" customHeight="1" x14ac:dyDescent="0.3">
      <c r="A2125" s="2"/>
      <c r="B2125" s="65" t="str">
        <f t="shared" si="266"/>
        <v/>
      </c>
      <c r="C2125" s="66"/>
      <c r="D2125" s="60"/>
      <c r="E2125" s="61"/>
      <c r="F2125" s="61"/>
      <c r="G2125" s="67"/>
      <c r="H2125" s="60"/>
      <c r="I2125" s="60"/>
      <c r="J2125" s="61"/>
      <c r="K2125" s="61"/>
      <c r="L2125" s="60"/>
      <c r="M2125" s="74" t="str">
        <f t="shared" si="267"/>
        <v/>
      </c>
      <c r="N2125" s="74" t="str">
        <f t="shared" si="268"/>
        <v/>
      </c>
      <c r="O2125" s="73" t="str">
        <f t="shared" si="269"/>
        <v/>
      </c>
      <c r="P2125" s="65" t="str">
        <f t="shared" ca="1" si="270"/>
        <v/>
      </c>
      <c r="Q2125" s="2"/>
      <c r="R2125" s="2"/>
      <c r="S2125" s="1" t="str">
        <f t="shared" si="271"/>
        <v/>
      </c>
      <c r="T2125" s="1" t="str">
        <f>IF(OR($C2125="",$D2125&lt;&gt;"Gelir",$L2125=""),"",IFERROR(INDEX(MUSTERILER!$B$7:$B$156,MATCH($S2125,MUSTERILER!$T$7:$T$156,0)),""))</f>
        <v/>
      </c>
      <c r="U2125" s="1" t="str">
        <f>IF($T2125="","",$T2125&amp;"|"&amp;COUNTIFS($T$7:$T2125,$T2125))</f>
        <v/>
      </c>
      <c r="V2125" s="1">
        <f t="shared" si="272"/>
        <v>0</v>
      </c>
      <c r="W2125" s="1" t="str">
        <f t="shared" si="273"/>
        <v/>
      </c>
      <c r="X2125" s="1"/>
      <c r="Y2125" s="1"/>
      <c r="Z2125" s="1"/>
      <c r="AA2125" s="1"/>
      <c r="AB2125" s="1"/>
      <c r="AC2125" s="1"/>
      <c r="AD2125" s="1">
        <f>IF($C2125="",0,SUMPRODUCT((AY_SONU!$O$7:$O$42="Evet")*(AY_SONU!$B$7:$B$42=DATE(YEAR($C2125),MONTH($C2125),1))))</f>
        <v>0</v>
      </c>
      <c r="AE2125" s="1" t="str">
        <f>IF($E2125="","",$E2125&amp;"|"&amp;COUNTIFS($E$7:$E2125,$E2125))</f>
        <v/>
      </c>
    </row>
    <row r="2126" spans="1:31" ht="18" customHeight="1" x14ac:dyDescent="0.3">
      <c r="A2126" s="2"/>
      <c r="B2126" s="65" t="str">
        <f t="shared" si="266"/>
        <v/>
      </c>
      <c r="C2126" s="66"/>
      <c r="D2126" s="60"/>
      <c r="E2126" s="61"/>
      <c r="F2126" s="61"/>
      <c r="G2126" s="67"/>
      <c r="H2126" s="60"/>
      <c r="I2126" s="60"/>
      <c r="J2126" s="61"/>
      <c r="K2126" s="61"/>
      <c r="L2126" s="60"/>
      <c r="M2126" s="74" t="str">
        <f t="shared" si="267"/>
        <v/>
      </c>
      <c r="N2126" s="74" t="str">
        <f t="shared" si="268"/>
        <v/>
      </c>
      <c r="O2126" s="73" t="str">
        <f t="shared" si="269"/>
        <v/>
      </c>
      <c r="P2126" s="65" t="str">
        <f t="shared" ca="1" si="270"/>
        <v/>
      </c>
      <c r="Q2126" s="2"/>
      <c r="R2126" s="2"/>
      <c r="S2126" s="1" t="str">
        <f t="shared" si="271"/>
        <v/>
      </c>
      <c r="T2126" s="1" t="str">
        <f>IF(OR($C2126="",$D2126&lt;&gt;"Gelir",$L2126=""),"",IFERROR(INDEX(MUSTERILER!$B$7:$B$156,MATCH($S2126,MUSTERILER!$T$7:$T$156,0)),""))</f>
        <v/>
      </c>
      <c r="U2126" s="1" t="str">
        <f>IF($T2126="","",$T2126&amp;"|"&amp;COUNTIFS($T$7:$T2126,$T2126))</f>
        <v/>
      </c>
      <c r="V2126" s="1">
        <f t="shared" si="272"/>
        <v>0</v>
      </c>
      <c r="W2126" s="1" t="str">
        <f t="shared" si="273"/>
        <v/>
      </c>
      <c r="X2126" s="1"/>
      <c r="Y2126" s="1"/>
      <c r="Z2126" s="1"/>
      <c r="AA2126" s="1"/>
      <c r="AB2126" s="1"/>
      <c r="AC2126" s="1"/>
      <c r="AD2126" s="1">
        <f>IF($C2126="",0,SUMPRODUCT((AY_SONU!$O$7:$O$42="Evet")*(AY_SONU!$B$7:$B$42=DATE(YEAR($C2126),MONTH($C2126),1))))</f>
        <v>0</v>
      </c>
      <c r="AE2126" s="1" t="str">
        <f>IF($E2126="","",$E2126&amp;"|"&amp;COUNTIFS($E$7:$E2126,$E2126))</f>
        <v/>
      </c>
    </row>
    <row r="2127" spans="1:31" ht="18" customHeight="1" x14ac:dyDescent="0.3">
      <c r="A2127" s="2"/>
      <c r="B2127" s="65" t="str">
        <f t="shared" si="266"/>
        <v/>
      </c>
      <c r="C2127" s="66"/>
      <c r="D2127" s="60"/>
      <c r="E2127" s="61"/>
      <c r="F2127" s="61"/>
      <c r="G2127" s="67"/>
      <c r="H2127" s="60"/>
      <c r="I2127" s="60"/>
      <c r="J2127" s="61"/>
      <c r="K2127" s="61"/>
      <c r="L2127" s="60"/>
      <c r="M2127" s="74" t="str">
        <f t="shared" si="267"/>
        <v/>
      </c>
      <c r="N2127" s="74" t="str">
        <f t="shared" si="268"/>
        <v/>
      </c>
      <c r="O2127" s="73" t="str">
        <f t="shared" si="269"/>
        <v/>
      </c>
      <c r="P2127" s="65" t="str">
        <f t="shared" ca="1" si="270"/>
        <v/>
      </c>
      <c r="Q2127" s="2"/>
      <c r="R2127" s="2"/>
      <c r="S2127" s="1" t="str">
        <f t="shared" si="271"/>
        <v/>
      </c>
      <c r="T2127" s="1" t="str">
        <f>IF(OR($C2127="",$D2127&lt;&gt;"Gelir",$L2127=""),"",IFERROR(INDEX(MUSTERILER!$B$7:$B$156,MATCH($S2127,MUSTERILER!$T$7:$T$156,0)),""))</f>
        <v/>
      </c>
      <c r="U2127" s="1" t="str">
        <f>IF($T2127="","",$T2127&amp;"|"&amp;COUNTIFS($T$7:$T2127,$T2127))</f>
        <v/>
      </c>
      <c r="V2127" s="1">
        <f t="shared" si="272"/>
        <v>0</v>
      </c>
      <c r="W2127" s="1" t="str">
        <f t="shared" si="273"/>
        <v/>
      </c>
      <c r="X2127" s="1"/>
      <c r="Y2127" s="1"/>
      <c r="Z2127" s="1"/>
      <c r="AA2127" s="1"/>
      <c r="AB2127" s="1"/>
      <c r="AC2127" s="1"/>
      <c r="AD2127" s="1">
        <f>IF($C2127="",0,SUMPRODUCT((AY_SONU!$O$7:$O$42="Evet")*(AY_SONU!$B$7:$B$42=DATE(YEAR($C2127),MONTH($C2127),1))))</f>
        <v>0</v>
      </c>
      <c r="AE2127" s="1" t="str">
        <f>IF($E2127="","",$E2127&amp;"|"&amp;COUNTIFS($E$7:$E2127,$E2127))</f>
        <v/>
      </c>
    </row>
    <row r="2128" spans="1:31" ht="18" customHeight="1" x14ac:dyDescent="0.3">
      <c r="A2128" s="2"/>
      <c r="B2128" s="65" t="str">
        <f t="shared" si="266"/>
        <v/>
      </c>
      <c r="C2128" s="66"/>
      <c r="D2128" s="60"/>
      <c r="E2128" s="61"/>
      <c r="F2128" s="61"/>
      <c r="G2128" s="67"/>
      <c r="H2128" s="60"/>
      <c r="I2128" s="60"/>
      <c r="J2128" s="61"/>
      <c r="K2128" s="61"/>
      <c r="L2128" s="60"/>
      <c r="M2128" s="74" t="str">
        <f t="shared" si="267"/>
        <v/>
      </c>
      <c r="N2128" s="74" t="str">
        <f t="shared" si="268"/>
        <v/>
      </c>
      <c r="O2128" s="73" t="str">
        <f t="shared" si="269"/>
        <v/>
      </c>
      <c r="P2128" s="65" t="str">
        <f t="shared" ca="1" si="270"/>
        <v/>
      </c>
      <c r="Q2128" s="2"/>
      <c r="R2128" s="2"/>
      <c r="S2128" s="1" t="str">
        <f t="shared" si="271"/>
        <v/>
      </c>
      <c r="T2128" s="1" t="str">
        <f>IF(OR($C2128="",$D2128&lt;&gt;"Gelir",$L2128=""),"",IFERROR(INDEX(MUSTERILER!$B$7:$B$156,MATCH($S2128,MUSTERILER!$T$7:$T$156,0)),""))</f>
        <v/>
      </c>
      <c r="U2128" s="1" t="str">
        <f>IF($T2128="","",$T2128&amp;"|"&amp;COUNTIFS($T$7:$T2128,$T2128))</f>
        <v/>
      </c>
      <c r="V2128" s="1">
        <f t="shared" si="272"/>
        <v>0</v>
      </c>
      <c r="W2128" s="1" t="str">
        <f t="shared" si="273"/>
        <v/>
      </c>
      <c r="X2128" s="1"/>
      <c r="Y2128" s="1"/>
      <c r="Z2128" s="1"/>
      <c r="AA2128" s="1"/>
      <c r="AB2128" s="1"/>
      <c r="AC2128" s="1"/>
      <c r="AD2128" s="1">
        <f>IF($C2128="",0,SUMPRODUCT((AY_SONU!$O$7:$O$42="Evet")*(AY_SONU!$B$7:$B$42=DATE(YEAR($C2128),MONTH($C2128),1))))</f>
        <v>0</v>
      </c>
      <c r="AE2128" s="1" t="str">
        <f>IF($E2128="","",$E2128&amp;"|"&amp;COUNTIFS($E$7:$E2128,$E2128))</f>
        <v/>
      </c>
    </row>
    <row r="2129" spans="1:31" ht="18" customHeight="1" x14ac:dyDescent="0.3">
      <c r="A2129" s="2"/>
      <c r="B2129" s="65" t="str">
        <f t="shared" si="266"/>
        <v/>
      </c>
      <c r="C2129" s="66"/>
      <c r="D2129" s="60"/>
      <c r="E2129" s="61"/>
      <c r="F2129" s="61"/>
      <c r="G2129" s="67"/>
      <c r="H2129" s="60"/>
      <c r="I2129" s="60"/>
      <c r="J2129" s="61"/>
      <c r="K2129" s="61"/>
      <c r="L2129" s="60"/>
      <c r="M2129" s="74" t="str">
        <f t="shared" si="267"/>
        <v/>
      </c>
      <c r="N2129" s="74" t="str">
        <f t="shared" si="268"/>
        <v/>
      </c>
      <c r="O2129" s="73" t="str">
        <f t="shared" si="269"/>
        <v/>
      </c>
      <c r="P2129" s="65" t="str">
        <f t="shared" ca="1" si="270"/>
        <v/>
      </c>
      <c r="Q2129" s="2"/>
      <c r="R2129" s="2"/>
      <c r="S2129" s="1" t="str">
        <f t="shared" si="271"/>
        <v/>
      </c>
      <c r="T2129" s="1" t="str">
        <f>IF(OR($C2129="",$D2129&lt;&gt;"Gelir",$L2129=""),"",IFERROR(INDEX(MUSTERILER!$B$7:$B$156,MATCH($S2129,MUSTERILER!$T$7:$T$156,0)),""))</f>
        <v/>
      </c>
      <c r="U2129" s="1" t="str">
        <f>IF($T2129="","",$T2129&amp;"|"&amp;COUNTIFS($T$7:$T2129,$T2129))</f>
        <v/>
      </c>
      <c r="V2129" s="1">
        <f t="shared" si="272"/>
        <v>0</v>
      </c>
      <c r="W2129" s="1" t="str">
        <f t="shared" si="273"/>
        <v/>
      </c>
      <c r="X2129" s="1"/>
      <c r="Y2129" s="1"/>
      <c r="Z2129" s="1"/>
      <c r="AA2129" s="1"/>
      <c r="AB2129" s="1"/>
      <c r="AC2129" s="1"/>
      <c r="AD2129" s="1">
        <f>IF($C2129="",0,SUMPRODUCT((AY_SONU!$O$7:$O$42="Evet")*(AY_SONU!$B$7:$B$42=DATE(YEAR($C2129),MONTH($C2129),1))))</f>
        <v>0</v>
      </c>
      <c r="AE2129" s="1" t="str">
        <f>IF($E2129="","",$E2129&amp;"|"&amp;COUNTIFS($E$7:$E2129,$E2129))</f>
        <v/>
      </c>
    </row>
    <row r="2130" spans="1:31" ht="18" customHeight="1" x14ac:dyDescent="0.3">
      <c r="A2130" s="2"/>
      <c r="B2130" s="65" t="str">
        <f t="shared" si="266"/>
        <v/>
      </c>
      <c r="C2130" s="66"/>
      <c r="D2130" s="60"/>
      <c r="E2130" s="61"/>
      <c r="F2130" s="61"/>
      <c r="G2130" s="67"/>
      <c r="H2130" s="60"/>
      <c r="I2130" s="60"/>
      <c r="J2130" s="61"/>
      <c r="K2130" s="61"/>
      <c r="L2130" s="60"/>
      <c r="M2130" s="74" t="str">
        <f t="shared" si="267"/>
        <v/>
      </c>
      <c r="N2130" s="74" t="str">
        <f t="shared" si="268"/>
        <v/>
      </c>
      <c r="O2130" s="73" t="str">
        <f t="shared" si="269"/>
        <v/>
      </c>
      <c r="P2130" s="65" t="str">
        <f t="shared" ca="1" si="270"/>
        <v/>
      </c>
      <c r="Q2130" s="2"/>
      <c r="R2130" s="2"/>
      <c r="S2130" s="1" t="str">
        <f t="shared" si="271"/>
        <v/>
      </c>
      <c r="T2130" s="1" t="str">
        <f>IF(OR($C2130="",$D2130&lt;&gt;"Gelir",$L2130=""),"",IFERROR(INDEX(MUSTERILER!$B$7:$B$156,MATCH($S2130,MUSTERILER!$T$7:$T$156,0)),""))</f>
        <v/>
      </c>
      <c r="U2130" s="1" t="str">
        <f>IF($T2130="","",$T2130&amp;"|"&amp;COUNTIFS($T$7:$T2130,$T2130))</f>
        <v/>
      </c>
      <c r="V2130" s="1">
        <f t="shared" si="272"/>
        <v>0</v>
      </c>
      <c r="W2130" s="1" t="str">
        <f t="shared" si="273"/>
        <v/>
      </c>
      <c r="X2130" s="1"/>
      <c r="Y2130" s="1"/>
      <c r="Z2130" s="1"/>
      <c r="AA2130" s="1"/>
      <c r="AB2130" s="1"/>
      <c r="AC2130" s="1"/>
      <c r="AD2130" s="1">
        <f>IF($C2130="",0,SUMPRODUCT((AY_SONU!$O$7:$O$42="Evet")*(AY_SONU!$B$7:$B$42=DATE(YEAR($C2130),MONTH($C2130),1))))</f>
        <v>0</v>
      </c>
      <c r="AE2130" s="1" t="str">
        <f>IF($E2130="","",$E2130&amp;"|"&amp;COUNTIFS($E$7:$E2130,$E2130))</f>
        <v/>
      </c>
    </row>
    <row r="2131" spans="1:31" ht="18" customHeight="1" x14ac:dyDescent="0.3">
      <c r="A2131" s="2"/>
      <c r="B2131" s="65" t="str">
        <f t="shared" si="266"/>
        <v/>
      </c>
      <c r="C2131" s="66"/>
      <c r="D2131" s="60"/>
      <c r="E2131" s="61"/>
      <c r="F2131" s="61"/>
      <c r="G2131" s="67"/>
      <c r="H2131" s="60"/>
      <c r="I2131" s="60"/>
      <c r="J2131" s="61"/>
      <c r="K2131" s="61"/>
      <c r="L2131" s="60"/>
      <c r="M2131" s="74" t="str">
        <f t="shared" si="267"/>
        <v/>
      </c>
      <c r="N2131" s="74" t="str">
        <f t="shared" si="268"/>
        <v/>
      </c>
      <c r="O2131" s="73" t="str">
        <f t="shared" si="269"/>
        <v/>
      </c>
      <c r="P2131" s="65" t="str">
        <f t="shared" ca="1" si="270"/>
        <v/>
      </c>
      <c r="Q2131" s="2"/>
      <c r="R2131" s="2"/>
      <c r="S2131" s="1" t="str">
        <f t="shared" si="271"/>
        <v/>
      </c>
      <c r="T2131" s="1" t="str">
        <f>IF(OR($C2131="",$D2131&lt;&gt;"Gelir",$L2131=""),"",IFERROR(INDEX(MUSTERILER!$B$7:$B$156,MATCH($S2131,MUSTERILER!$T$7:$T$156,0)),""))</f>
        <v/>
      </c>
      <c r="U2131" s="1" t="str">
        <f>IF($T2131="","",$T2131&amp;"|"&amp;COUNTIFS($T$7:$T2131,$T2131))</f>
        <v/>
      </c>
      <c r="V2131" s="1">
        <f t="shared" si="272"/>
        <v>0</v>
      </c>
      <c r="W2131" s="1" t="str">
        <f t="shared" si="273"/>
        <v/>
      </c>
      <c r="X2131" s="1"/>
      <c r="Y2131" s="1"/>
      <c r="Z2131" s="1"/>
      <c r="AA2131" s="1"/>
      <c r="AB2131" s="1"/>
      <c r="AC2131" s="1"/>
      <c r="AD2131" s="1">
        <f>IF($C2131="",0,SUMPRODUCT((AY_SONU!$O$7:$O$42="Evet")*(AY_SONU!$B$7:$B$42=DATE(YEAR($C2131),MONTH($C2131),1))))</f>
        <v>0</v>
      </c>
      <c r="AE2131" s="1" t="str">
        <f>IF($E2131="","",$E2131&amp;"|"&amp;COUNTIFS($E$7:$E2131,$E2131))</f>
        <v/>
      </c>
    </row>
    <row r="2132" spans="1:31" ht="18" customHeight="1" x14ac:dyDescent="0.3">
      <c r="A2132" s="2"/>
      <c r="B2132" s="65" t="str">
        <f t="shared" si="266"/>
        <v/>
      </c>
      <c r="C2132" s="66"/>
      <c r="D2132" s="60"/>
      <c r="E2132" s="61"/>
      <c r="F2132" s="61"/>
      <c r="G2132" s="67"/>
      <c r="H2132" s="60"/>
      <c r="I2132" s="60"/>
      <c r="J2132" s="61"/>
      <c r="K2132" s="61"/>
      <c r="L2132" s="60"/>
      <c r="M2132" s="74" t="str">
        <f t="shared" si="267"/>
        <v/>
      </c>
      <c r="N2132" s="74" t="str">
        <f t="shared" si="268"/>
        <v/>
      </c>
      <c r="O2132" s="73" t="str">
        <f t="shared" si="269"/>
        <v/>
      </c>
      <c r="P2132" s="65" t="str">
        <f t="shared" ca="1" si="270"/>
        <v/>
      </c>
      <c r="Q2132" s="2"/>
      <c r="R2132" s="2"/>
      <c r="S2132" s="1" t="str">
        <f t="shared" si="271"/>
        <v/>
      </c>
      <c r="T2132" s="1" t="str">
        <f>IF(OR($C2132="",$D2132&lt;&gt;"Gelir",$L2132=""),"",IFERROR(INDEX(MUSTERILER!$B$7:$B$156,MATCH($S2132,MUSTERILER!$T$7:$T$156,0)),""))</f>
        <v/>
      </c>
      <c r="U2132" s="1" t="str">
        <f>IF($T2132="","",$T2132&amp;"|"&amp;COUNTIFS($T$7:$T2132,$T2132))</f>
        <v/>
      </c>
      <c r="V2132" s="1">
        <f t="shared" si="272"/>
        <v>0</v>
      </c>
      <c r="W2132" s="1" t="str">
        <f t="shared" si="273"/>
        <v/>
      </c>
      <c r="X2132" s="1"/>
      <c r="Y2132" s="1"/>
      <c r="Z2132" s="1"/>
      <c r="AA2132" s="1"/>
      <c r="AB2132" s="1"/>
      <c r="AC2132" s="1"/>
      <c r="AD2132" s="1">
        <f>IF($C2132="",0,SUMPRODUCT((AY_SONU!$O$7:$O$42="Evet")*(AY_SONU!$B$7:$B$42=DATE(YEAR($C2132),MONTH($C2132),1))))</f>
        <v>0</v>
      </c>
      <c r="AE2132" s="1" t="str">
        <f>IF($E2132="","",$E2132&amp;"|"&amp;COUNTIFS($E$7:$E2132,$E2132))</f>
        <v/>
      </c>
    </row>
    <row r="2133" spans="1:31" ht="18" customHeight="1" x14ac:dyDescent="0.3">
      <c r="A2133" s="2"/>
      <c r="B2133" s="65" t="str">
        <f t="shared" si="266"/>
        <v/>
      </c>
      <c r="C2133" s="66"/>
      <c r="D2133" s="60"/>
      <c r="E2133" s="61"/>
      <c r="F2133" s="61"/>
      <c r="G2133" s="67"/>
      <c r="H2133" s="60"/>
      <c r="I2133" s="60"/>
      <c r="J2133" s="61"/>
      <c r="K2133" s="61"/>
      <c r="L2133" s="60"/>
      <c r="M2133" s="74" t="str">
        <f t="shared" si="267"/>
        <v/>
      </c>
      <c r="N2133" s="74" t="str">
        <f t="shared" si="268"/>
        <v/>
      </c>
      <c r="O2133" s="73" t="str">
        <f t="shared" si="269"/>
        <v/>
      </c>
      <c r="P2133" s="65" t="str">
        <f t="shared" ca="1" si="270"/>
        <v/>
      </c>
      <c r="Q2133" s="2"/>
      <c r="R2133" s="2"/>
      <c r="S2133" s="1" t="str">
        <f t="shared" si="271"/>
        <v/>
      </c>
      <c r="T2133" s="1" t="str">
        <f>IF(OR($C2133="",$D2133&lt;&gt;"Gelir",$L2133=""),"",IFERROR(INDEX(MUSTERILER!$B$7:$B$156,MATCH($S2133,MUSTERILER!$T$7:$T$156,0)),""))</f>
        <v/>
      </c>
      <c r="U2133" s="1" t="str">
        <f>IF($T2133="","",$T2133&amp;"|"&amp;COUNTIFS($T$7:$T2133,$T2133))</f>
        <v/>
      </c>
      <c r="V2133" s="1">
        <f t="shared" si="272"/>
        <v>0</v>
      </c>
      <c r="W2133" s="1" t="str">
        <f t="shared" si="273"/>
        <v/>
      </c>
      <c r="X2133" s="1"/>
      <c r="Y2133" s="1"/>
      <c r="Z2133" s="1"/>
      <c r="AA2133" s="1"/>
      <c r="AB2133" s="1"/>
      <c r="AC2133" s="1"/>
      <c r="AD2133" s="1">
        <f>IF($C2133="",0,SUMPRODUCT((AY_SONU!$O$7:$O$42="Evet")*(AY_SONU!$B$7:$B$42=DATE(YEAR($C2133),MONTH($C2133),1))))</f>
        <v>0</v>
      </c>
      <c r="AE2133" s="1" t="str">
        <f>IF($E2133="","",$E2133&amp;"|"&amp;COUNTIFS($E$7:$E2133,$E2133))</f>
        <v/>
      </c>
    </row>
    <row r="2134" spans="1:31" ht="18" customHeight="1" x14ac:dyDescent="0.3">
      <c r="A2134" s="2"/>
      <c r="B2134" s="65" t="str">
        <f t="shared" si="266"/>
        <v/>
      </c>
      <c r="C2134" s="66"/>
      <c r="D2134" s="60"/>
      <c r="E2134" s="61"/>
      <c r="F2134" s="61"/>
      <c r="G2134" s="67"/>
      <c r="H2134" s="60"/>
      <c r="I2134" s="60"/>
      <c r="J2134" s="61"/>
      <c r="K2134" s="61"/>
      <c r="L2134" s="60"/>
      <c r="M2134" s="74" t="str">
        <f t="shared" si="267"/>
        <v/>
      </c>
      <c r="N2134" s="74" t="str">
        <f t="shared" si="268"/>
        <v/>
      </c>
      <c r="O2134" s="73" t="str">
        <f t="shared" si="269"/>
        <v/>
      </c>
      <c r="P2134" s="65" t="str">
        <f t="shared" ca="1" si="270"/>
        <v/>
      </c>
      <c r="Q2134" s="2"/>
      <c r="R2134" s="2"/>
      <c r="S2134" s="1" t="str">
        <f t="shared" si="271"/>
        <v/>
      </c>
      <c r="T2134" s="1" t="str">
        <f>IF(OR($C2134="",$D2134&lt;&gt;"Gelir",$L2134=""),"",IFERROR(INDEX(MUSTERILER!$B$7:$B$156,MATCH($S2134,MUSTERILER!$T$7:$T$156,0)),""))</f>
        <v/>
      </c>
      <c r="U2134" s="1" t="str">
        <f>IF($T2134="","",$T2134&amp;"|"&amp;COUNTIFS($T$7:$T2134,$T2134))</f>
        <v/>
      </c>
      <c r="V2134" s="1">
        <f t="shared" si="272"/>
        <v>0</v>
      </c>
      <c r="W2134" s="1" t="str">
        <f t="shared" si="273"/>
        <v/>
      </c>
      <c r="X2134" s="1"/>
      <c r="Y2134" s="1"/>
      <c r="Z2134" s="1"/>
      <c r="AA2134" s="1"/>
      <c r="AB2134" s="1"/>
      <c r="AC2134" s="1"/>
      <c r="AD2134" s="1">
        <f>IF($C2134="",0,SUMPRODUCT((AY_SONU!$O$7:$O$42="Evet")*(AY_SONU!$B$7:$B$42=DATE(YEAR($C2134),MONTH($C2134),1))))</f>
        <v>0</v>
      </c>
      <c r="AE2134" s="1" t="str">
        <f>IF($E2134="","",$E2134&amp;"|"&amp;COUNTIFS($E$7:$E2134,$E2134))</f>
        <v/>
      </c>
    </row>
    <row r="2135" spans="1:31" ht="18" customHeight="1" x14ac:dyDescent="0.3">
      <c r="A2135" s="2"/>
      <c r="B2135" s="65" t="str">
        <f t="shared" si="266"/>
        <v/>
      </c>
      <c r="C2135" s="66"/>
      <c r="D2135" s="60"/>
      <c r="E2135" s="61"/>
      <c r="F2135" s="61"/>
      <c r="G2135" s="67"/>
      <c r="H2135" s="60"/>
      <c r="I2135" s="60"/>
      <c r="J2135" s="61"/>
      <c r="K2135" s="61"/>
      <c r="L2135" s="60"/>
      <c r="M2135" s="74" t="str">
        <f t="shared" si="267"/>
        <v/>
      </c>
      <c r="N2135" s="74" t="str">
        <f t="shared" si="268"/>
        <v/>
      </c>
      <c r="O2135" s="73" t="str">
        <f t="shared" si="269"/>
        <v/>
      </c>
      <c r="P2135" s="65" t="str">
        <f t="shared" ca="1" si="270"/>
        <v/>
      </c>
      <c r="Q2135" s="2"/>
      <c r="R2135" s="2"/>
      <c r="S2135" s="1" t="str">
        <f t="shared" si="271"/>
        <v/>
      </c>
      <c r="T2135" s="1" t="str">
        <f>IF(OR($C2135="",$D2135&lt;&gt;"Gelir",$L2135=""),"",IFERROR(INDEX(MUSTERILER!$B$7:$B$156,MATCH($S2135,MUSTERILER!$T$7:$T$156,0)),""))</f>
        <v/>
      </c>
      <c r="U2135" s="1" t="str">
        <f>IF($T2135="","",$T2135&amp;"|"&amp;COUNTIFS($T$7:$T2135,$T2135))</f>
        <v/>
      </c>
      <c r="V2135" s="1">
        <f t="shared" si="272"/>
        <v>0</v>
      </c>
      <c r="W2135" s="1" t="str">
        <f t="shared" si="273"/>
        <v/>
      </c>
      <c r="X2135" s="1"/>
      <c r="Y2135" s="1"/>
      <c r="Z2135" s="1"/>
      <c r="AA2135" s="1"/>
      <c r="AB2135" s="1"/>
      <c r="AC2135" s="1"/>
      <c r="AD2135" s="1">
        <f>IF($C2135="",0,SUMPRODUCT((AY_SONU!$O$7:$O$42="Evet")*(AY_SONU!$B$7:$B$42=DATE(YEAR($C2135),MONTH($C2135),1))))</f>
        <v>0</v>
      </c>
      <c r="AE2135" s="1" t="str">
        <f>IF($E2135="","",$E2135&amp;"|"&amp;COUNTIFS($E$7:$E2135,$E2135))</f>
        <v/>
      </c>
    </row>
    <row r="2136" spans="1:31" ht="18" customHeight="1" x14ac:dyDescent="0.3">
      <c r="A2136" s="2"/>
      <c r="B2136" s="65" t="str">
        <f t="shared" si="266"/>
        <v/>
      </c>
      <c r="C2136" s="66"/>
      <c r="D2136" s="60"/>
      <c r="E2136" s="61"/>
      <c r="F2136" s="61"/>
      <c r="G2136" s="67"/>
      <c r="H2136" s="60"/>
      <c r="I2136" s="60"/>
      <c r="J2136" s="61"/>
      <c r="K2136" s="61"/>
      <c r="L2136" s="60"/>
      <c r="M2136" s="74" t="str">
        <f t="shared" si="267"/>
        <v/>
      </c>
      <c r="N2136" s="74" t="str">
        <f t="shared" si="268"/>
        <v/>
      </c>
      <c r="O2136" s="73" t="str">
        <f t="shared" si="269"/>
        <v/>
      </c>
      <c r="P2136" s="65" t="str">
        <f t="shared" ca="1" si="270"/>
        <v/>
      </c>
      <c r="Q2136" s="2"/>
      <c r="R2136" s="2"/>
      <c r="S2136" s="1" t="str">
        <f t="shared" si="271"/>
        <v/>
      </c>
      <c r="T2136" s="1" t="str">
        <f>IF(OR($C2136="",$D2136&lt;&gt;"Gelir",$L2136=""),"",IFERROR(INDEX(MUSTERILER!$B$7:$B$156,MATCH($S2136,MUSTERILER!$T$7:$T$156,0)),""))</f>
        <v/>
      </c>
      <c r="U2136" s="1" t="str">
        <f>IF($T2136="","",$T2136&amp;"|"&amp;COUNTIFS($T$7:$T2136,$T2136))</f>
        <v/>
      </c>
      <c r="V2136" s="1">
        <f t="shared" si="272"/>
        <v>0</v>
      </c>
      <c r="W2136" s="1" t="str">
        <f t="shared" si="273"/>
        <v/>
      </c>
      <c r="X2136" s="1"/>
      <c r="Y2136" s="1"/>
      <c r="Z2136" s="1"/>
      <c r="AA2136" s="1"/>
      <c r="AB2136" s="1"/>
      <c r="AC2136" s="1"/>
      <c r="AD2136" s="1">
        <f>IF($C2136="",0,SUMPRODUCT((AY_SONU!$O$7:$O$42="Evet")*(AY_SONU!$B$7:$B$42=DATE(YEAR($C2136),MONTH($C2136),1))))</f>
        <v>0</v>
      </c>
      <c r="AE2136" s="1" t="str">
        <f>IF($E2136="","",$E2136&amp;"|"&amp;COUNTIFS($E$7:$E2136,$E2136))</f>
        <v/>
      </c>
    </row>
    <row r="2137" spans="1:31" ht="18" customHeight="1" x14ac:dyDescent="0.3">
      <c r="A2137" s="2"/>
      <c r="B2137" s="65" t="str">
        <f t="shared" si="266"/>
        <v/>
      </c>
      <c r="C2137" s="66"/>
      <c r="D2137" s="60"/>
      <c r="E2137" s="61"/>
      <c r="F2137" s="61"/>
      <c r="G2137" s="67"/>
      <c r="H2137" s="60"/>
      <c r="I2137" s="60"/>
      <c r="J2137" s="61"/>
      <c r="K2137" s="61"/>
      <c r="L2137" s="60"/>
      <c r="M2137" s="74" t="str">
        <f t="shared" si="267"/>
        <v/>
      </c>
      <c r="N2137" s="74" t="str">
        <f t="shared" si="268"/>
        <v/>
      </c>
      <c r="O2137" s="73" t="str">
        <f t="shared" si="269"/>
        <v/>
      </c>
      <c r="P2137" s="65" t="str">
        <f t="shared" ca="1" si="270"/>
        <v/>
      </c>
      <c r="Q2137" s="2"/>
      <c r="R2137" s="2"/>
      <c r="S2137" s="1" t="str">
        <f t="shared" si="271"/>
        <v/>
      </c>
      <c r="T2137" s="1" t="str">
        <f>IF(OR($C2137="",$D2137&lt;&gt;"Gelir",$L2137=""),"",IFERROR(INDEX(MUSTERILER!$B$7:$B$156,MATCH($S2137,MUSTERILER!$T$7:$T$156,0)),""))</f>
        <v/>
      </c>
      <c r="U2137" s="1" t="str">
        <f>IF($T2137="","",$T2137&amp;"|"&amp;COUNTIFS($T$7:$T2137,$T2137))</f>
        <v/>
      </c>
      <c r="V2137" s="1">
        <f t="shared" si="272"/>
        <v>0</v>
      </c>
      <c r="W2137" s="1" t="str">
        <f t="shared" si="273"/>
        <v/>
      </c>
      <c r="X2137" s="1"/>
      <c r="Y2137" s="1"/>
      <c r="Z2137" s="1"/>
      <c r="AA2137" s="1"/>
      <c r="AB2137" s="1"/>
      <c r="AC2137" s="1"/>
      <c r="AD2137" s="1">
        <f>IF($C2137="",0,SUMPRODUCT((AY_SONU!$O$7:$O$42="Evet")*(AY_SONU!$B$7:$B$42=DATE(YEAR($C2137),MONTH($C2137),1))))</f>
        <v>0</v>
      </c>
      <c r="AE2137" s="1" t="str">
        <f>IF($E2137="","",$E2137&amp;"|"&amp;COUNTIFS($E$7:$E2137,$E2137))</f>
        <v/>
      </c>
    </row>
    <row r="2138" spans="1:31" ht="18" customHeight="1" x14ac:dyDescent="0.3">
      <c r="A2138" s="2"/>
      <c r="B2138" s="65" t="str">
        <f t="shared" si="266"/>
        <v/>
      </c>
      <c r="C2138" s="66"/>
      <c r="D2138" s="60"/>
      <c r="E2138" s="61"/>
      <c r="F2138" s="61"/>
      <c r="G2138" s="67"/>
      <c r="H2138" s="60"/>
      <c r="I2138" s="60"/>
      <c r="J2138" s="61"/>
      <c r="K2138" s="61"/>
      <c r="L2138" s="60"/>
      <c r="M2138" s="74" t="str">
        <f t="shared" si="267"/>
        <v/>
      </c>
      <c r="N2138" s="74" t="str">
        <f t="shared" si="268"/>
        <v/>
      </c>
      <c r="O2138" s="73" t="str">
        <f t="shared" si="269"/>
        <v/>
      </c>
      <c r="P2138" s="65" t="str">
        <f t="shared" ca="1" si="270"/>
        <v/>
      </c>
      <c r="Q2138" s="2"/>
      <c r="R2138" s="2"/>
      <c r="S2138" s="1" t="str">
        <f t="shared" si="271"/>
        <v/>
      </c>
      <c r="T2138" s="1" t="str">
        <f>IF(OR($C2138="",$D2138&lt;&gt;"Gelir",$L2138=""),"",IFERROR(INDEX(MUSTERILER!$B$7:$B$156,MATCH($S2138,MUSTERILER!$T$7:$T$156,0)),""))</f>
        <v/>
      </c>
      <c r="U2138" s="1" t="str">
        <f>IF($T2138="","",$T2138&amp;"|"&amp;COUNTIFS($T$7:$T2138,$T2138))</f>
        <v/>
      </c>
      <c r="V2138" s="1">
        <f t="shared" si="272"/>
        <v>0</v>
      </c>
      <c r="W2138" s="1" t="str">
        <f t="shared" si="273"/>
        <v/>
      </c>
      <c r="X2138" s="1"/>
      <c r="Y2138" s="1"/>
      <c r="Z2138" s="1"/>
      <c r="AA2138" s="1"/>
      <c r="AB2138" s="1"/>
      <c r="AC2138" s="1"/>
      <c r="AD2138" s="1">
        <f>IF($C2138="",0,SUMPRODUCT((AY_SONU!$O$7:$O$42="Evet")*(AY_SONU!$B$7:$B$42=DATE(YEAR($C2138),MONTH($C2138),1))))</f>
        <v>0</v>
      </c>
      <c r="AE2138" s="1" t="str">
        <f>IF($E2138="","",$E2138&amp;"|"&amp;COUNTIFS($E$7:$E2138,$E2138))</f>
        <v/>
      </c>
    </row>
    <row r="2139" spans="1:31" ht="18" customHeight="1" x14ac:dyDescent="0.3">
      <c r="A2139" s="2"/>
      <c r="B2139" s="65" t="str">
        <f t="shared" si="266"/>
        <v/>
      </c>
      <c r="C2139" s="66"/>
      <c r="D2139" s="60"/>
      <c r="E2139" s="61"/>
      <c r="F2139" s="61"/>
      <c r="G2139" s="67"/>
      <c r="H2139" s="60"/>
      <c r="I2139" s="60"/>
      <c r="J2139" s="61"/>
      <c r="K2139" s="61"/>
      <c r="L2139" s="60"/>
      <c r="M2139" s="74" t="str">
        <f t="shared" si="267"/>
        <v/>
      </c>
      <c r="N2139" s="74" t="str">
        <f t="shared" si="268"/>
        <v/>
      </c>
      <c r="O2139" s="73" t="str">
        <f t="shared" si="269"/>
        <v/>
      </c>
      <c r="P2139" s="65" t="str">
        <f t="shared" ca="1" si="270"/>
        <v/>
      </c>
      <c r="Q2139" s="2"/>
      <c r="R2139" s="2"/>
      <c r="S2139" s="1" t="str">
        <f t="shared" si="271"/>
        <v/>
      </c>
      <c r="T2139" s="1" t="str">
        <f>IF(OR($C2139="",$D2139&lt;&gt;"Gelir",$L2139=""),"",IFERROR(INDEX(MUSTERILER!$B$7:$B$156,MATCH($S2139,MUSTERILER!$T$7:$T$156,0)),""))</f>
        <v/>
      </c>
      <c r="U2139" s="1" t="str">
        <f>IF($T2139="","",$T2139&amp;"|"&amp;COUNTIFS($T$7:$T2139,$T2139))</f>
        <v/>
      </c>
      <c r="V2139" s="1">
        <f t="shared" si="272"/>
        <v>0</v>
      </c>
      <c r="W2139" s="1" t="str">
        <f t="shared" si="273"/>
        <v/>
      </c>
      <c r="X2139" s="1"/>
      <c r="Y2139" s="1"/>
      <c r="Z2139" s="1"/>
      <c r="AA2139" s="1"/>
      <c r="AB2139" s="1"/>
      <c r="AC2139" s="1"/>
      <c r="AD2139" s="1">
        <f>IF($C2139="",0,SUMPRODUCT((AY_SONU!$O$7:$O$42="Evet")*(AY_SONU!$B$7:$B$42=DATE(YEAR($C2139),MONTH($C2139),1))))</f>
        <v>0</v>
      </c>
      <c r="AE2139" s="1" t="str">
        <f>IF($E2139="","",$E2139&amp;"|"&amp;COUNTIFS($E$7:$E2139,$E2139))</f>
        <v/>
      </c>
    </row>
    <row r="2140" spans="1:31" ht="18" customHeight="1" x14ac:dyDescent="0.3">
      <c r="A2140" s="2"/>
      <c r="B2140" s="65" t="str">
        <f t="shared" si="266"/>
        <v/>
      </c>
      <c r="C2140" s="66"/>
      <c r="D2140" s="60"/>
      <c r="E2140" s="61"/>
      <c r="F2140" s="61"/>
      <c r="G2140" s="67"/>
      <c r="H2140" s="60"/>
      <c r="I2140" s="60"/>
      <c r="J2140" s="61"/>
      <c r="K2140" s="61"/>
      <c r="L2140" s="60"/>
      <c r="M2140" s="74" t="str">
        <f t="shared" si="267"/>
        <v/>
      </c>
      <c r="N2140" s="74" t="str">
        <f t="shared" si="268"/>
        <v/>
      </c>
      <c r="O2140" s="73" t="str">
        <f t="shared" si="269"/>
        <v/>
      </c>
      <c r="P2140" s="65" t="str">
        <f t="shared" ca="1" si="270"/>
        <v/>
      </c>
      <c r="Q2140" s="2"/>
      <c r="R2140" s="2"/>
      <c r="S2140" s="1" t="str">
        <f t="shared" si="271"/>
        <v/>
      </c>
      <c r="T2140" s="1" t="str">
        <f>IF(OR($C2140="",$D2140&lt;&gt;"Gelir",$L2140=""),"",IFERROR(INDEX(MUSTERILER!$B$7:$B$156,MATCH($S2140,MUSTERILER!$T$7:$T$156,0)),""))</f>
        <v/>
      </c>
      <c r="U2140" s="1" t="str">
        <f>IF($T2140="","",$T2140&amp;"|"&amp;COUNTIFS($T$7:$T2140,$T2140))</f>
        <v/>
      </c>
      <c r="V2140" s="1">
        <f t="shared" si="272"/>
        <v>0</v>
      </c>
      <c r="W2140" s="1" t="str">
        <f t="shared" si="273"/>
        <v/>
      </c>
      <c r="X2140" s="1"/>
      <c r="Y2140" s="1"/>
      <c r="Z2140" s="1"/>
      <c r="AA2140" s="1"/>
      <c r="AB2140" s="1"/>
      <c r="AC2140" s="1"/>
      <c r="AD2140" s="1">
        <f>IF($C2140="",0,SUMPRODUCT((AY_SONU!$O$7:$O$42="Evet")*(AY_SONU!$B$7:$B$42=DATE(YEAR($C2140),MONTH($C2140),1))))</f>
        <v>0</v>
      </c>
      <c r="AE2140" s="1" t="str">
        <f>IF($E2140="","",$E2140&amp;"|"&amp;COUNTIFS($E$7:$E2140,$E2140))</f>
        <v/>
      </c>
    </row>
    <row r="2141" spans="1:31" ht="18" customHeight="1" x14ac:dyDescent="0.3">
      <c r="A2141" s="2"/>
      <c r="B2141" s="65" t="str">
        <f t="shared" si="266"/>
        <v/>
      </c>
      <c r="C2141" s="66"/>
      <c r="D2141" s="60"/>
      <c r="E2141" s="61"/>
      <c r="F2141" s="61"/>
      <c r="G2141" s="67"/>
      <c r="H2141" s="60"/>
      <c r="I2141" s="60"/>
      <c r="J2141" s="61"/>
      <c r="K2141" s="61"/>
      <c r="L2141" s="60"/>
      <c r="M2141" s="74" t="str">
        <f t="shared" si="267"/>
        <v/>
      </c>
      <c r="N2141" s="74" t="str">
        <f t="shared" si="268"/>
        <v/>
      </c>
      <c r="O2141" s="73" t="str">
        <f t="shared" si="269"/>
        <v/>
      </c>
      <c r="P2141" s="65" t="str">
        <f t="shared" ca="1" si="270"/>
        <v/>
      </c>
      <c r="Q2141" s="2"/>
      <c r="R2141" s="2"/>
      <c r="S2141" s="1" t="str">
        <f t="shared" si="271"/>
        <v/>
      </c>
      <c r="T2141" s="1" t="str">
        <f>IF(OR($C2141="",$D2141&lt;&gt;"Gelir",$L2141=""),"",IFERROR(INDEX(MUSTERILER!$B$7:$B$156,MATCH($S2141,MUSTERILER!$T$7:$T$156,0)),""))</f>
        <v/>
      </c>
      <c r="U2141" s="1" t="str">
        <f>IF($T2141="","",$T2141&amp;"|"&amp;COUNTIFS($T$7:$T2141,$T2141))</f>
        <v/>
      </c>
      <c r="V2141" s="1">
        <f t="shared" si="272"/>
        <v>0</v>
      </c>
      <c r="W2141" s="1" t="str">
        <f t="shared" si="273"/>
        <v/>
      </c>
      <c r="X2141" s="1"/>
      <c r="Y2141" s="1"/>
      <c r="Z2141" s="1"/>
      <c r="AA2141" s="1"/>
      <c r="AB2141" s="1"/>
      <c r="AC2141" s="1"/>
      <c r="AD2141" s="1">
        <f>IF($C2141="",0,SUMPRODUCT((AY_SONU!$O$7:$O$42="Evet")*(AY_SONU!$B$7:$B$42=DATE(YEAR($C2141),MONTH($C2141),1))))</f>
        <v>0</v>
      </c>
      <c r="AE2141" s="1" t="str">
        <f>IF($E2141="","",$E2141&amp;"|"&amp;COUNTIFS($E$7:$E2141,$E2141))</f>
        <v/>
      </c>
    </row>
    <row r="2142" spans="1:31" ht="18" customHeight="1" x14ac:dyDescent="0.3">
      <c r="A2142" s="2"/>
      <c r="B2142" s="65" t="str">
        <f t="shared" si="266"/>
        <v/>
      </c>
      <c r="C2142" s="66"/>
      <c r="D2142" s="60"/>
      <c r="E2142" s="61"/>
      <c r="F2142" s="61"/>
      <c r="G2142" s="67"/>
      <c r="H2142" s="60"/>
      <c r="I2142" s="60"/>
      <c r="J2142" s="61"/>
      <c r="K2142" s="61"/>
      <c r="L2142" s="60"/>
      <c r="M2142" s="74" t="str">
        <f t="shared" si="267"/>
        <v/>
      </c>
      <c r="N2142" s="74" t="str">
        <f t="shared" si="268"/>
        <v/>
      </c>
      <c r="O2142" s="73" t="str">
        <f t="shared" si="269"/>
        <v/>
      </c>
      <c r="P2142" s="65" t="str">
        <f t="shared" ca="1" si="270"/>
        <v/>
      </c>
      <c r="Q2142" s="2"/>
      <c r="R2142" s="2"/>
      <c r="S2142" s="1" t="str">
        <f t="shared" si="271"/>
        <v/>
      </c>
      <c r="T2142" s="1" t="str">
        <f>IF(OR($C2142="",$D2142&lt;&gt;"Gelir",$L2142=""),"",IFERROR(INDEX(MUSTERILER!$B$7:$B$156,MATCH($S2142,MUSTERILER!$T$7:$T$156,0)),""))</f>
        <v/>
      </c>
      <c r="U2142" s="1" t="str">
        <f>IF($T2142="","",$T2142&amp;"|"&amp;COUNTIFS($T$7:$T2142,$T2142))</f>
        <v/>
      </c>
      <c r="V2142" s="1">
        <f t="shared" si="272"/>
        <v>0</v>
      </c>
      <c r="W2142" s="1" t="str">
        <f t="shared" si="273"/>
        <v/>
      </c>
      <c r="X2142" s="1"/>
      <c r="Y2142" s="1"/>
      <c r="Z2142" s="1"/>
      <c r="AA2142" s="1"/>
      <c r="AB2142" s="1"/>
      <c r="AC2142" s="1"/>
      <c r="AD2142" s="1">
        <f>IF($C2142="",0,SUMPRODUCT((AY_SONU!$O$7:$O$42="Evet")*(AY_SONU!$B$7:$B$42=DATE(YEAR($C2142),MONTH($C2142),1))))</f>
        <v>0</v>
      </c>
      <c r="AE2142" s="1" t="str">
        <f>IF($E2142="","",$E2142&amp;"|"&amp;COUNTIFS($E$7:$E2142,$E2142))</f>
        <v/>
      </c>
    </row>
    <row r="2143" spans="1:31" ht="18" customHeight="1" x14ac:dyDescent="0.3">
      <c r="A2143" s="2"/>
      <c r="B2143" s="65" t="str">
        <f t="shared" si="266"/>
        <v/>
      </c>
      <c r="C2143" s="66"/>
      <c r="D2143" s="60"/>
      <c r="E2143" s="61"/>
      <c r="F2143" s="61"/>
      <c r="G2143" s="67"/>
      <c r="H2143" s="60"/>
      <c r="I2143" s="60"/>
      <c r="J2143" s="61"/>
      <c r="K2143" s="61"/>
      <c r="L2143" s="60"/>
      <c r="M2143" s="74" t="str">
        <f t="shared" si="267"/>
        <v/>
      </c>
      <c r="N2143" s="74" t="str">
        <f t="shared" si="268"/>
        <v/>
      </c>
      <c r="O2143" s="73" t="str">
        <f t="shared" si="269"/>
        <v/>
      </c>
      <c r="P2143" s="65" t="str">
        <f t="shared" ca="1" si="270"/>
        <v/>
      </c>
      <c r="Q2143" s="2"/>
      <c r="R2143" s="2"/>
      <c r="S2143" s="1" t="str">
        <f t="shared" si="271"/>
        <v/>
      </c>
      <c r="T2143" s="1" t="str">
        <f>IF(OR($C2143="",$D2143&lt;&gt;"Gelir",$L2143=""),"",IFERROR(INDEX(MUSTERILER!$B$7:$B$156,MATCH($S2143,MUSTERILER!$T$7:$T$156,0)),""))</f>
        <v/>
      </c>
      <c r="U2143" s="1" t="str">
        <f>IF($T2143="","",$T2143&amp;"|"&amp;COUNTIFS($T$7:$T2143,$T2143))</f>
        <v/>
      </c>
      <c r="V2143" s="1">
        <f t="shared" si="272"/>
        <v>0</v>
      </c>
      <c r="W2143" s="1" t="str">
        <f t="shared" si="273"/>
        <v/>
      </c>
      <c r="X2143" s="1"/>
      <c r="Y2143" s="1"/>
      <c r="Z2143" s="1"/>
      <c r="AA2143" s="1"/>
      <c r="AB2143" s="1"/>
      <c r="AC2143" s="1"/>
      <c r="AD2143" s="1">
        <f>IF($C2143="",0,SUMPRODUCT((AY_SONU!$O$7:$O$42="Evet")*(AY_SONU!$B$7:$B$42=DATE(YEAR($C2143),MONTH($C2143),1))))</f>
        <v>0</v>
      </c>
      <c r="AE2143" s="1" t="str">
        <f>IF($E2143="","",$E2143&amp;"|"&amp;COUNTIFS($E$7:$E2143,$E2143))</f>
        <v/>
      </c>
    </row>
    <row r="2144" spans="1:31" ht="18" customHeight="1" x14ac:dyDescent="0.3">
      <c r="A2144" s="2"/>
      <c r="B2144" s="65" t="str">
        <f t="shared" si="266"/>
        <v/>
      </c>
      <c r="C2144" s="66"/>
      <c r="D2144" s="60"/>
      <c r="E2144" s="61"/>
      <c r="F2144" s="61"/>
      <c r="G2144" s="67"/>
      <c r="H2144" s="60"/>
      <c r="I2144" s="60"/>
      <c r="J2144" s="61"/>
      <c r="K2144" s="61"/>
      <c r="L2144" s="60"/>
      <c r="M2144" s="74" t="str">
        <f t="shared" si="267"/>
        <v/>
      </c>
      <c r="N2144" s="74" t="str">
        <f t="shared" si="268"/>
        <v/>
      </c>
      <c r="O2144" s="73" t="str">
        <f t="shared" si="269"/>
        <v/>
      </c>
      <c r="P2144" s="65" t="str">
        <f t="shared" ca="1" si="270"/>
        <v/>
      </c>
      <c r="Q2144" s="2"/>
      <c r="R2144" s="2"/>
      <c r="S2144" s="1" t="str">
        <f t="shared" si="271"/>
        <v/>
      </c>
      <c r="T2144" s="1" t="str">
        <f>IF(OR($C2144="",$D2144&lt;&gt;"Gelir",$L2144=""),"",IFERROR(INDEX(MUSTERILER!$B$7:$B$156,MATCH($S2144,MUSTERILER!$T$7:$T$156,0)),""))</f>
        <v/>
      </c>
      <c r="U2144" s="1" t="str">
        <f>IF($T2144="","",$T2144&amp;"|"&amp;COUNTIFS($T$7:$T2144,$T2144))</f>
        <v/>
      </c>
      <c r="V2144" s="1">
        <f t="shared" si="272"/>
        <v>0</v>
      </c>
      <c r="W2144" s="1" t="str">
        <f t="shared" si="273"/>
        <v/>
      </c>
      <c r="X2144" s="1"/>
      <c r="Y2144" s="1"/>
      <c r="Z2144" s="1"/>
      <c r="AA2144" s="1"/>
      <c r="AB2144" s="1"/>
      <c r="AC2144" s="1"/>
      <c r="AD2144" s="1">
        <f>IF($C2144="",0,SUMPRODUCT((AY_SONU!$O$7:$O$42="Evet")*(AY_SONU!$B$7:$B$42=DATE(YEAR($C2144),MONTH($C2144),1))))</f>
        <v>0</v>
      </c>
      <c r="AE2144" s="1" t="str">
        <f>IF($E2144="","",$E2144&amp;"|"&amp;COUNTIFS($E$7:$E2144,$E2144))</f>
        <v/>
      </c>
    </row>
    <row r="2145" spans="1:31" ht="18" customHeight="1" x14ac:dyDescent="0.3">
      <c r="A2145" s="2"/>
      <c r="B2145" s="65" t="str">
        <f t="shared" si="266"/>
        <v/>
      </c>
      <c r="C2145" s="66"/>
      <c r="D2145" s="60"/>
      <c r="E2145" s="61"/>
      <c r="F2145" s="61"/>
      <c r="G2145" s="67"/>
      <c r="H2145" s="60"/>
      <c r="I2145" s="60"/>
      <c r="J2145" s="61"/>
      <c r="K2145" s="61"/>
      <c r="L2145" s="60"/>
      <c r="M2145" s="74" t="str">
        <f t="shared" si="267"/>
        <v/>
      </c>
      <c r="N2145" s="74" t="str">
        <f t="shared" si="268"/>
        <v/>
      </c>
      <c r="O2145" s="73" t="str">
        <f t="shared" si="269"/>
        <v/>
      </c>
      <c r="P2145" s="65" t="str">
        <f t="shared" ca="1" si="270"/>
        <v/>
      </c>
      <c r="Q2145" s="2"/>
      <c r="R2145" s="2"/>
      <c r="S2145" s="1" t="str">
        <f t="shared" si="271"/>
        <v/>
      </c>
      <c r="T2145" s="1" t="str">
        <f>IF(OR($C2145="",$D2145&lt;&gt;"Gelir",$L2145=""),"",IFERROR(INDEX(MUSTERILER!$B$7:$B$156,MATCH($S2145,MUSTERILER!$T$7:$T$156,0)),""))</f>
        <v/>
      </c>
      <c r="U2145" s="1" t="str">
        <f>IF($T2145="","",$T2145&amp;"|"&amp;COUNTIFS($T$7:$T2145,$T2145))</f>
        <v/>
      </c>
      <c r="V2145" s="1">
        <f t="shared" si="272"/>
        <v>0</v>
      </c>
      <c r="W2145" s="1" t="str">
        <f t="shared" si="273"/>
        <v/>
      </c>
      <c r="X2145" s="1"/>
      <c r="Y2145" s="1"/>
      <c r="Z2145" s="1"/>
      <c r="AA2145" s="1"/>
      <c r="AB2145" s="1"/>
      <c r="AC2145" s="1"/>
      <c r="AD2145" s="1">
        <f>IF($C2145="",0,SUMPRODUCT((AY_SONU!$O$7:$O$42="Evet")*(AY_SONU!$B$7:$B$42=DATE(YEAR($C2145),MONTH($C2145),1))))</f>
        <v>0</v>
      </c>
      <c r="AE2145" s="1" t="str">
        <f>IF($E2145="","",$E2145&amp;"|"&amp;COUNTIFS($E$7:$E2145,$E2145))</f>
        <v/>
      </c>
    </row>
    <row r="2146" spans="1:31" ht="18" customHeight="1" x14ac:dyDescent="0.3">
      <c r="A2146" s="2"/>
      <c r="B2146" s="65" t="str">
        <f t="shared" si="266"/>
        <v/>
      </c>
      <c r="C2146" s="66"/>
      <c r="D2146" s="60"/>
      <c r="E2146" s="61"/>
      <c r="F2146" s="61"/>
      <c r="G2146" s="67"/>
      <c r="H2146" s="60"/>
      <c r="I2146" s="60"/>
      <c r="J2146" s="61"/>
      <c r="K2146" s="61"/>
      <c r="L2146" s="60"/>
      <c r="M2146" s="74" t="str">
        <f t="shared" si="267"/>
        <v/>
      </c>
      <c r="N2146" s="74" t="str">
        <f t="shared" si="268"/>
        <v/>
      </c>
      <c r="O2146" s="73" t="str">
        <f t="shared" si="269"/>
        <v/>
      </c>
      <c r="P2146" s="65" t="str">
        <f t="shared" ca="1" si="270"/>
        <v/>
      </c>
      <c r="Q2146" s="2"/>
      <c r="R2146" s="2"/>
      <c r="S2146" s="1" t="str">
        <f t="shared" si="271"/>
        <v/>
      </c>
      <c r="T2146" s="1" t="str">
        <f>IF(OR($C2146="",$D2146&lt;&gt;"Gelir",$L2146=""),"",IFERROR(INDEX(MUSTERILER!$B$7:$B$156,MATCH($S2146,MUSTERILER!$T$7:$T$156,0)),""))</f>
        <v/>
      </c>
      <c r="U2146" s="1" t="str">
        <f>IF($T2146="","",$T2146&amp;"|"&amp;COUNTIFS($T$7:$T2146,$T2146))</f>
        <v/>
      </c>
      <c r="V2146" s="1">
        <f t="shared" si="272"/>
        <v>0</v>
      </c>
      <c r="W2146" s="1" t="str">
        <f t="shared" si="273"/>
        <v/>
      </c>
      <c r="X2146" s="1"/>
      <c r="Y2146" s="1"/>
      <c r="Z2146" s="1"/>
      <c r="AA2146" s="1"/>
      <c r="AB2146" s="1"/>
      <c r="AC2146" s="1"/>
      <c r="AD2146" s="1">
        <f>IF($C2146="",0,SUMPRODUCT((AY_SONU!$O$7:$O$42="Evet")*(AY_SONU!$B$7:$B$42=DATE(YEAR($C2146),MONTH($C2146),1))))</f>
        <v>0</v>
      </c>
      <c r="AE2146" s="1" t="str">
        <f>IF($E2146="","",$E2146&amp;"|"&amp;COUNTIFS($E$7:$E2146,$E2146))</f>
        <v/>
      </c>
    </row>
    <row r="2147" spans="1:31" ht="18" customHeight="1" x14ac:dyDescent="0.3">
      <c r="A2147" s="2"/>
      <c r="B2147" s="65" t="str">
        <f t="shared" si="266"/>
        <v/>
      </c>
      <c r="C2147" s="66"/>
      <c r="D2147" s="60"/>
      <c r="E2147" s="61"/>
      <c r="F2147" s="61"/>
      <c r="G2147" s="67"/>
      <c r="H2147" s="60"/>
      <c r="I2147" s="60"/>
      <c r="J2147" s="61"/>
      <c r="K2147" s="61"/>
      <c r="L2147" s="60"/>
      <c r="M2147" s="74" t="str">
        <f t="shared" si="267"/>
        <v/>
      </c>
      <c r="N2147" s="74" t="str">
        <f t="shared" si="268"/>
        <v/>
      </c>
      <c r="O2147" s="73" t="str">
        <f t="shared" si="269"/>
        <v/>
      </c>
      <c r="P2147" s="65" t="str">
        <f t="shared" ca="1" si="270"/>
        <v/>
      </c>
      <c r="Q2147" s="2"/>
      <c r="R2147" s="2"/>
      <c r="S2147" s="1" t="str">
        <f t="shared" si="271"/>
        <v/>
      </c>
      <c r="T2147" s="1" t="str">
        <f>IF(OR($C2147="",$D2147&lt;&gt;"Gelir",$L2147=""),"",IFERROR(INDEX(MUSTERILER!$B$7:$B$156,MATCH($S2147,MUSTERILER!$T$7:$T$156,0)),""))</f>
        <v/>
      </c>
      <c r="U2147" s="1" t="str">
        <f>IF($T2147="","",$T2147&amp;"|"&amp;COUNTIFS($T$7:$T2147,$T2147))</f>
        <v/>
      </c>
      <c r="V2147" s="1">
        <f t="shared" si="272"/>
        <v>0</v>
      </c>
      <c r="W2147" s="1" t="str">
        <f t="shared" si="273"/>
        <v/>
      </c>
      <c r="X2147" s="1"/>
      <c r="Y2147" s="1"/>
      <c r="Z2147" s="1"/>
      <c r="AA2147" s="1"/>
      <c r="AB2147" s="1"/>
      <c r="AC2147" s="1"/>
      <c r="AD2147" s="1">
        <f>IF($C2147="",0,SUMPRODUCT((AY_SONU!$O$7:$O$42="Evet")*(AY_SONU!$B$7:$B$42=DATE(YEAR($C2147),MONTH($C2147),1))))</f>
        <v>0</v>
      </c>
      <c r="AE2147" s="1" t="str">
        <f>IF($E2147="","",$E2147&amp;"|"&amp;COUNTIFS($E$7:$E2147,$E2147))</f>
        <v/>
      </c>
    </row>
    <row r="2148" spans="1:31" ht="18" customHeight="1" x14ac:dyDescent="0.3">
      <c r="A2148" s="2"/>
      <c r="B2148" s="65" t="str">
        <f t="shared" si="266"/>
        <v/>
      </c>
      <c r="C2148" s="66"/>
      <c r="D2148" s="60"/>
      <c r="E2148" s="61"/>
      <c r="F2148" s="61"/>
      <c r="G2148" s="67"/>
      <c r="H2148" s="60"/>
      <c r="I2148" s="60"/>
      <c r="J2148" s="61"/>
      <c r="K2148" s="61"/>
      <c r="L2148" s="60"/>
      <c r="M2148" s="74" t="str">
        <f t="shared" si="267"/>
        <v/>
      </c>
      <c r="N2148" s="74" t="str">
        <f t="shared" si="268"/>
        <v/>
      </c>
      <c r="O2148" s="73" t="str">
        <f t="shared" si="269"/>
        <v/>
      </c>
      <c r="P2148" s="65" t="str">
        <f t="shared" ca="1" si="270"/>
        <v/>
      </c>
      <c r="Q2148" s="2"/>
      <c r="R2148" s="2"/>
      <c r="S2148" s="1" t="str">
        <f t="shared" si="271"/>
        <v/>
      </c>
      <c r="T2148" s="1" t="str">
        <f>IF(OR($C2148="",$D2148&lt;&gt;"Gelir",$L2148=""),"",IFERROR(INDEX(MUSTERILER!$B$7:$B$156,MATCH($S2148,MUSTERILER!$T$7:$T$156,0)),""))</f>
        <v/>
      </c>
      <c r="U2148" s="1" t="str">
        <f>IF($T2148="","",$T2148&amp;"|"&amp;COUNTIFS($T$7:$T2148,$T2148))</f>
        <v/>
      </c>
      <c r="V2148" s="1">
        <f t="shared" si="272"/>
        <v>0</v>
      </c>
      <c r="W2148" s="1" t="str">
        <f t="shared" si="273"/>
        <v/>
      </c>
      <c r="X2148" s="1"/>
      <c r="Y2148" s="1"/>
      <c r="Z2148" s="1"/>
      <c r="AA2148" s="1"/>
      <c r="AB2148" s="1"/>
      <c r="AC2148" s="1"/>
      <c r="AD2148" s="1">
        <f>IF($C2148="",0,SUMPRODUCT((AY_SONU!$O$7:$O$42="Evet")*(AY_SONU!$B$7:$B$42=DATE(YEAR($C2148),MONTH($C2148),1))))</f>
        <v>0</v>
      </c>
      <c r="AE2148" s="1" t="str">
        <f>IF($E2148="","",$E2148&amp;"|"&amp;COUNTIFS($E$7:$E2148,$E2148))</f>
        <v/>
      </c>
    </row>
    <row r="2149" spans="1:31" ht="18" customHeight="1" x14ac:dyDescent="0.3">
      <c r="A2149" s="2"/>
      <c r="B2149" s="65" t="str">
        <f t="shared" si="266"/>
        <v/>
      </c>
      <c r="C2149" s="66"/>
      <c r="D2149" s="60"/>
      <c r="E2149" s="61"/>
      <c r="F2149" s="61"/>
      <c r="G2149" s="67"/>
      <c r="H2149" s="60"/>
      <c r="I2149" s="60"/>
      <c r="J2149" s="61"/>
      <c r="K2149" s="61"/>
      <c r="L2149" s="60"/>
      <c r="M2149" s="74" t="str">
        <f t="shared" si="267"/>
        <v/>
      </c>
      <c r="N2149" s="74" t="str">
        <f t="shared" si="268"/>
        <v/>
      </c>
      <c r="O2149" s="73" t="str">
        <f t="shared" si="269"/>
        <v/>
      </c>
      <c r="P2149" s="65" t="str">
        <f t="shared" ca="1" si="270"/>
        <v/>
      </c>
      <c r="Q2149" s="2"/>
      <c r="R2149" s="2"/>
      <c r="S2149" s="1" t="str">
        <f t="shared" si="271"/>
        <v/>
      </c>
      <c r="T2149" s="1" t="str">
        <f>IF(OR($C2149="",$D2149&lt;&gt;"Gelir",$L2149=""),"",IFERROR(INDEX(MUSTERILER!$B$7:$B$156,MATCH($S2149,MUSTERILER!$T$7:$T$156,0)),""))</f>
        <v/>
      </c>
      <c r="U2149" s="1" t="str">
        <f>IF($T2149="","",$T2149&amp;"|"&amp;COUNTIFS($T$7:$T2149,$T2149))</f>
        <v/>
      </c>
      <c r="V2149" s="1">
        <f t="shared" si="272"/>
        <v>0</v>
      </c>
      <c r="W2149" s="1" t="str">
        <f t="shared" si="273"/>
        <v/>
      </c>
      <c r="X2149" s="1"/>
      <c r="Y2149" s="1"/>
      <c r="Z2149" s="1"/>
      <c r="AA2149" s="1"/>
      <c r="AB2149" s="1"/>
      <c r="AC2149" s="1"/>
      <c r="AD2149" s="1">
        <f>IF($C2149="",0,SUMPRODUCT((AY_SONU!$O$7:$O$42="Evet")*(AY_SONU!$B$7:$B$42=DATE(YEAR($C2149),MONTH($C2149),1))))</f>
        <v>0</v>
      </c>
      <c r="AE2149" s="1" t="str">
        <f>IF($E2149="","",$E2149&amp;"|"&amp;COUNTIFS($E$7:$E2149,$E2149))</f>
        <v/>
      </c>
    </row>
    <row r="2150" spans="1:31" ht="18" customHeight="1" x14ac:dyDescent="0.3">
      <c r="A2150" s="2"/>
      <c r="B2150" s="65" t="str">
        <f t="shared" si="266"/>
        <v/>
      </c>
      <c r="C2150" s="66"/>
      <c r="D2150" s="60"/>
      <c r="E2150" s="61"/>
      <c r="F2150" s="61"/>
      <c r="G2150" s="67"/>
      <c r="H2150" s="60"/>
      <c r="I2150" s="60"/>
      <c r="J2150" s="61"/>
      <c r="K2150" s="61"/>
      <c r="L2150" s="60"/>
      <c r="M2150" s="74" t="str">
        <f t="shared" si="267"/>
        <v/>
      </c>
      <c r="N2150" s="74" t="str">
        <f t="shared" si="268"/>
        <v/>
      </c>
      <c r="O2150" s="73" t="str">
        <f t="shared" si="269"/>
        <v/>
      </c>
      <c r="P2150" s="65" t="str">
        <f t="shared" ca="1" si="270"/>
        <v/>
      </c>
      <c r="Q2150" s="2"/>
      <c r="R2150" s="2"/>
      <c r="S2150" s="1" t="str">
        <f t="shared" si="271"/>
        <v/>
      </c>
      <c r="T2150" s="1" t="str">
        <f>IF(OR($C2150="",$D2150&lt;&gt;"Gelir",$L2150=""),"",IFERROR(INDEX(MUSTERILER!$B$7:$B$156,MATCH($S2150,MUSTERILER!$T$7:$T$156,0)),""))</f>
        <v/>
      </c>
      <c r="U2150" s="1" t="str">
        <f>IF($T2150="","",$T2150&amp;"|"&amp;COUNTIFS($T$7:$T2150,$T2150))</f>
        <v/>
      </c>
      <c r="V2150" s="1">
        <f t="shared" si="272"/>
        <v>0</v>
      </c>
      <c r="W2150" s="1" t="str">
        <f t="shared" si="273"/>
        <v/>
      </c>
      <c r="X2150" s="1"/>
      <c r="Y2150" s="1"/>
      <c r="Z2150" s="1"/>
      <c r="AA2150" s="1"/>
      <c r="AB2150" s="1"/>
      <c r="AC2150" s="1"/>
      <c r="AD2150" s="1">
        <f>IF($C2150="",0,SUMPRODUCT((AY_SONU!$O$7:$O$42="Evet")*(AY_SONU!$B$7:$B$42=DATE(YEAR($C2150),MONTH($C2150),1))))</f>
        <v>0</v>
      </c>
      <c r="AE2150" s="1" t="str">
        <f>IF($E2150="","",$E2150&amp;"|"&amp;COUNTIFS($E$7:$E2150,$E2150))</f>
        <v/>
      </c>
    </row>
    <row r="2151" spans="1:31" ht="18" customHeight="1" x14ac:dyDescent="0.3">
      <c r="A2151" s="2"/>
      <c r="B2151" s="65" t="str">
        <f t="shared" si="266"/>
        <v/>
      </c>
      <c r="C2151" s="66"/>
      <c r="D2151" s="60"/>
      <c r="E2151" s="61"/>
      <c r="F2151" s="61"/>
      <c r="G2151" s="67"/>
      <c r="H2151" s="60"/>
      <c r="I2151" s="60"/>
      <c r="J2151" s="61"/>
      <c r="K2151" s="61"/>
      <c r="L2151" s="60"/>
      <c r="M2151" s="74" t="str">
        <f t="shared" si="267"/>
        <v/>
      </c>
      <c r="N2151" s="74" t="str">
        <f t="shared" si="268"/>
        <v/>
      </c>
      <c r="O2151" s="73" t="str">
        <f t="shared" si="269"/>
        <v/>
      </c>
      <c r="P2151" s="65" t="str">
        <f t="shared" ca="1" si="270"/>
        <v/>
      </c>
      <c r="Q2151" s="2"/>
      <c r="R2151" s="2"/>
      <c r="S2151" s="1" t="str">
        <f t="shared" si="271"/>
        <v/>
      </c>
      <c r="T2151" s="1" t="str">
        <f>IF(OR($C2151="",$D2151&lt;&gt;"Gelir",$L2151=""),"",IFERROR(INDEX(MUSTERILER!$B$7:$B$156,MATCH($S2151,MUSTERILER!$T$7:$T$156,0)),""))</f>
        <v/>
      </c>
      <c r="U2151" s="1" t="str">
        <f>IF($T2151="","",$T2151&amp;"|"&amp;COUNTIFS($T$7:$T2151,$T2151))</f>
        <v/>
      </c>
      <c r="V2151" s="1">
        <f t="shared" si="272"/>
        <v>0</v>
      </c>
      <c r="W2151" s="1" t="str">
        <f t="shared" si="273"/>
        <v/>
      </c>
      <c r="X2151" s="1"/>
      <c r="Y2151" s="1"/>
      <c r="Z2151" s="1"/>
      <c r="AA2151" s="1"/>
      <c r="AB2151" s="1"/>
      <c r="AC2151" s="1"/>
      <c r="AD2151" s="1">
        <f>IF($C2151="",0,SUMPRODUCT((AY_SONU!$O$7:$O$42="Evet")*(AY_SONU!$B$7:$B$42=DATE(YEAR($C2151),MONTH($C2151),1))))</f>
        <v>0</v>
      </c>
      <c r="AE2151" s="1" t="str">
        <f>IF($E2151="","",$E2151&amp;"|"&amp;COUNTIFS($E$7:$E2151,$E2151))</f>
        <v/>
      </c>
    </row>
    <row r="2152" spans="1:31" ht="18" customHeight="1" x14ac:dyDescent="0.3">
      <c r="A2152" s="2"/>
      <c r="B2152" s="65" t="str">
        <f t="shared" si="266"/>
        <v/>
      </c>
      <c r="C2152" s="66"/>
      <c r="D2152" s="60"/>
      <c r="E2152" s="61"/>
      <c r="F2152" s="61"/>
      <c r="G2152" s="67"/>
      <c r="H2152" s="60"/>
      <c r="I2152" s="60"/>
      <c r="J2152" s="61"/>
      <c r="K2152" s="61"/>
      <c r="L2152" s="60"/>
      <c r="M2152" s="74" t="str">
        <f t="shared" si="267"/>
        <v/>
      </c>
      <c r="N2152" s="74" t="str">
        <f t="shared" si="268"/>
        <v/>
      </c>
      <c r="O2152" s="73" t="str">
        <f t="shared" si="269"/>
        <v/>
      </c>
      <c r="P2152" s="65" t="str">
        <f t="shared" ca="1" si="270"/>
        <v/>
      </c>
      <c r="Q2152" s="2"/>
      <c r="R2152" s="2"/>
      <c r="S2152" s="1" t="str">
        <f t="shared" si="271"/>
        <v/>
      </c>
      <c r="T2152" s="1" t="str">
        <f>IF(OR($C2152="",$D2152&lt;&gt;"Gelir",$L2152=""),"",IFERROR(INDEX(MUSTERILER!$B$7:$B$156,MATCH($S2152,MUSTERILER!$T$7:$T$156,0)),""))</f>
        <v/>
      </c>
      <c r="U2152" s="1" t="str">
        <f>IF($T2152="","",$T2152&amp;"|"&amp;COUNTIFS($T$7:$T2152,$T2152))</f>
        <v/>
      </c>
      <c r="V2152" s="1">
        <f t="shared" si="272"/>
        <v>0</v>
      </c>
      <c r="W2152" s="1" t="str">
        <f t="shared" si="273"/>
        <v/>
      </c>
      <c r="X2152" s="1"/>
      <c r="Y2152" s="1"/>
      <c r="Z2152" s="1"/>
      <c r="AA2152" s="1"/>
      <c r="AB2152" s="1"/>
      <c r="AC2152" s="1"/>
      <c r="AD2152" s="1">
        <f>IF($C2152="",0,SUMPRODUCT((AY_SONU!$O$7:$O$42="Evet")*(AY_SONU!$B$7:$B$42=DATE(YEAR($C2152),MONTH($C2152),1))))</f>
        <v>0</v>
      </c>
      <c r="AE2152" s="1" t="str">
        <f>IF($E2152="","",$E2152&amp;"|"&amp;COUNTIFS($E$7:$E2152,$E2152))</f>
        <v/>
      </c>
    </row>
    <row r="2153" spans="1:31" ht="18" customHeight="1" x14ac:dyDescent="0.3">
      <c r="A2153" s="2"/>
      <c r="B2153" s="65" t="str">
        <f t="shared" si="266"/>
        <v/>
      </c>
      <c r="C2153" s="66"/>
      <c r="D2153" s="60"/>
      <c r="E2153" s="61"/>
      <c r="F2153" s="61"/>
      <c r="G2153" s="67"/>
      <c r="H2153" s="60"/>
      <c r="I2153" s="60"/>
      <c r="J2153" s="61"/>
      <c r="K2153" s="61"/>
      <c r="L2153" s="60"/>
      <c r="M2153" s="74" t="str">
        <f t="shared" si="267"/>
        <v/>
      </c>
      <c r="N2153" s="74" t="str">
        <f t="shared" si="268"/>
        <v/>
      </c>
      <c r="O2153" s="73" t="str">
        <f t="shared" si="269"/>
        <v/>
      </c>
      <c r="P2153" s="65" t="str">
        <f t="shared" ca="1" si="270"/>
        <v/>
      </c>
      <c r="Q2153" s="2"/>
      <c r="R2153" s="2"/>
      <c r="S2153" s="1" t="str">
        <f t="shared" si="271"/>
        <v/>
      </c>
      <c r="T2153" s="1" t="str">
        <f>IF(OR($C2153="",$D2153&lt;&gt;"Gelir",$L2153=""),"",IFERROR(INDEX(MUSTERILER!$B$7:$B$156,MATCH($S2153,MUSTERILER!$T$7:$T$156,0)),""))</f>
        <v/>
      </c>
      <c r="U2153" s="1" t="str">
        <f>IF($T2153="","",$T2153&amp;"|"&amp;COUNTIFS($T$7:$T2153,$T2153))</f>
        <v/>
      </c>
      <c r="V2153" s="1">
        <f t="shared" si="272"/>
        <v>0</v>
      </c>
      <c r="W2153" s="1" t="str">
        <f t="shared" si="273"/>
        <v/>
      </c>
      <c r="X2153" s="1"/>
      <c r="Y2153" s="1"/>
      <c r="Z2153" s="1"/>
      <c r="AA2153" s="1"/>
      <c r="AB2153" s="1"/>
      <c r="AC2153" s="1"/>
      <c r="AD2153" s="1">
        <f>IF($C2153="",0,SUMPRODUCT((AY_SONU!$O$7:$O$42="Evet")*(AY_SONU!$B$7:$B$42=DATE(YEAR($C2153),MONTH($C2153),1))))</f>
        <v>0</v>
      </c>
      <c r="AE2153" s="1" t="str">
        <f>IF($E2153="","",$E2153&amp;"|"&amp;COUNTIFS($E$7:$E2153,$E2153))</f>
        <v/>
      </c>
    </row>
    <row r="2154" spans="1:31" ht="18" customHeight="1" x14ac:dyDescent="0.3">
      <c r="A2154" s="2"/>
      <c r="B2154" s="65" t="str">
        <f t="shared" si="266"/>
        <v/>
      </c>
      <c r="C2154" s="66"/>
      <c r="D2154" s="60"/>
      <c r="E2154" s="61"/>
      <c r="F2154" s="61"/>
      <c r="G2154" s="67"/>
      <c r="H2154" s="60"/>
      <c r="I2154" s="60"/>
      <c r="J2154" s="61"/>
      <c r="K2154" s="61"/>
      <c r="L2154" s="60"/>
      <c r="M2154" s="74" t="str">
        <f t="shared" si="267"/>
        <v/>
      </c>
      <c r="N2154" s="74" t="str">
        <f t="shared" si="268"/>
        <v/>
      </c>
      <c r="O2154" s="73" t="str">
        <f t="shared" si="269"/>
        <v/>
      </c>
      <c r="P2154" s="65" t="str">
        <f t="shared" ca="1" si="270"/>
        <v/>
      </c>
      <c r="Q2154" s="2"/>
      <c r="R2154" s="2"/>
      <c r="S2154" s="1" t="str">
        <f t="shared" si="271"/>
        <v/>
      </c>
      <c r="T2154" s="1" t="str">
        <f>IF(OR($C2154="",$D2154&lt;&gt;"Gelir",$L2154=""),"",IFERROR(INDEX(MUSTERILER!$B$7:$B$156,MATCH($S2154,MUSTERILER!$T$7:$T$156,0)),""))</f>
        <v/>
      </c>
      <c r="U2154" s="1" t="str">
        <f>IF($T2154="","",$T2154&amp;"|"&amp;COUNTIFS($T$7:$T2154,$T2154))</f>
        <v/>
      </c>
      <c r="V2154" s="1">
        <f t="shared" si="272"/>
        <v>0</v>
      </c>
      <c r="W2154" s="1" t="str">
        <f t="shared" si="273"/>
        <v/>
      </c>
      <c r="X2154" s="1"/>
      <c r="Y2154" s="1"/>
      <c r="Z2154" s="1"/>
      <c r="AA2154" s="1"/>
      <c r="AB2154" s="1"/>
      <c r="AC2154" s="1"/>
      <c r="AD2154" s="1">
        <f>IF($C2154="",0,SUMPRODUCT((AY_SONU!$O$7:$O$42="Evet")*(AY_SONU!$B$7:$B$42=DATE(YEAR($C2154),MONTH($C2154),1))))</f>
        <v>0</v>
      </c>
      <c r="AE2154" s="1" t="str">
        <f>IF($E2154="","",$E2154&amp;"|"&amp;COUNTIFS($E$7:$E2154,$E2154))</f>
        <v/>
      </c>
    </row>
    <row r="2155" spans="1:31" ht="18" customHeight="1" x14ac:dyDescent="0.3">
      <c r="A2155" s="2"/>
      <c r="B2155" s="65" t="str">
        <f t="shared" si="266"/>
        <v/>
      </c>
      <c r="C2155" s="66"/>
      <c r="D2155" s="60"/>
      <c r="E2155" s="61"/>
      <c r="F2155" s="61"/>
      <c r="G2155" s="67"/>
      <c r="H2155" s="60"/>
      <c r="I2155" s="60"/>
      <c r="J2155" s="61"/>
      <c r="K2155" s="61"/>
      <c r="L2155" s="60"/>
      <c r="M2155" s="74" t="str">
        <f t="shared" si="267"/>
        <v/>
      </c>
      <c r="N2155" s="74" t="str">
        <f t="shared" si="268"/>
        <v/>
      </c>
      <c r="O2155" s="73" t="str">
        <f t="shared" si="269"/>
        <v/>
      </c>
      <c r="P2155" s="65" t="str">
        <f t="shared" ca="1" si="270"/>
        <v/>
      </c>
      <c r="Q2155" s="2"/>
      <c r="R2155" s="2"/>
      <c r="S2155" s="1" t="str">
        <f t="shared" si="271"/>
        <v/>
      </c>
      <c r="T2155" s="1" t="str">
        <f>IF(OR($C2155="",$D2155&lt;&gt;"Gelir",$L2155=""),"",IFERROR(INDEX(MUSTERILER!$B$7:$B$156,MATCH($S2155,MUSTERILER!$T$7:$T$156,0)),""))</f>
        <v/>
      </c>
      <c r="U2155" s="1" t="str">
        <f>IF($T2155="","",$T2155&amp;"|"&amp;COUNTIFS($T$7:$T2155,$T2155))</f>
        <v/>
      </c>
      <c r="V2155" s="1">
        <f t="shared" si="272"/>
        <v>0</v>
      </c>
      <c r="W2155" s="1" t="str">
        <f t="shared" si="273"/>
        <v/>
      </c>
      <c r="X2155" s="1"/>
      <c r="Y2155" s="1"/>
      <c r="Z2155" s="1"/>
      <c r="AA2155" s="1"/>
      <c r="AB2155" s="1"/>
      <c r="AC2155" s="1"/>
      <c r="AD2155" s="1">
        <f>IF($C2155="",0,SUMPRODUCT((AY_SONU!$O$7:$O$42="Evet")*(AY_SONU!$B$7:$B$42=DATE(YEAR($C2155),MONTH($C2155),1))))</f>
        <v>0</v>
      </c>
      <c r="AE2155" s="1" t="str">
        <f>IF($E2155="","",$E2155&amp;"|"&amp;COUNTIFS($E$7:$E2155,$E2155))</f>
        <v/>
      </c>
    </row>
    <row r="2156" spans="1:31" ht="18" customHeight="1" x14ac:dyDescent="0.3">
      <c r="A2156" s="2"/>
      <c r="B2156" s="65" t="str">
        <f t="shared" si="266"/>
        <v/>
      </c>
      <c r="C2156" s="66"/>
      <c r="D2156" s="60"/>
      <c r="E2156" s="61"/>
      <c r="F2156" s="61"/>
      <c r="G2156" s="67"/>
      <c r="H2156" s="60"/>
      <c r="I2156" s="60"/>
      <c r="J2156" s="61"/>
      <c r="K2156" s="61"/>
      <c r="L2156" s="60"/>
      <c r="M2156" s="74" t="str">
        <f t="shared" si="267"/>
        <v/>
      </c>
      <c r="N2156" s="74" t="str">
        <f t="shared" si="268"/>
        <v/>
      </c>
      <c r="O2156" s="73" t="str">
        <f t="shared" si="269"/>
        <v/>
      </c>
      <c r="P2156" s="65" t="str">
        <f t="shared" ca="1" si="270"/>
        <v/>
      </c>
      <c r="Q2156" s="2"/>
      <c r="R2156" s="2"/>
      <c r="S2156" s="1" t="str">
        <f t="shared" si="271"/>
        <v/>
      </c>
      <c r="T2156" s="1" t="str">
        <f>IF(OR($C2156="",$D2156&lt;&gt;"Gelir",$L2156=""),"",IFERROR(INDEX(MUSTERILER!$B$7:$B$156,MATCH($S2156,MUSTERILER!$T$7:$T$156,0)),""))</f>
        <v/>
      </c>
      <c r="U2156" s="1" t="str">
        <f>IF($T2156="","",$T2156&amp;"|"&amp;COUNTIFS($T$7:$T2156,$T2156))</f>
        <v/>
      </c>
      <c r="V2156" s="1">
        <f t="shared" si="272"/>
        <v>0</v>
      </c>
      <c r="W2156" s="1" t="str">
        <f t="shared" si="273"/>
        <v/>
      </c>
      <c r="X2156" s="1"/>
      <c r="Y2156" s="1"/>
      <c r="Z2156" s="1"/>
      <c r="AA2156" s="1"/>
      <c r="AB2156" s="1"/>
      <c r="AC2156" s="1"/>
      <c r="AD2156" s="1">
        <f>IF($C2156="",0,SUMPRODUCT((AY_SONU!$O$7:$O$42="Evet")*(AY_SONU!$B$7:$B$42=DATE(YEAR($C2156),MONTH($C2156),1))))</f>
        <v>0</v>
      </c>
      <c r="AE2156" s="1" t="str">
        <f>IF($E2156="","",$E2156&amp;"|"&amp;COUNTIFS($E$7:$E2156,$E2156))</f>
        <v/>
      </c>
    </row>
    <row r="2157" spans="1:31" ht="18" customHeight="1" x14ac:dyDescent="0.3">
      <c r="A2157" s="2"/>
      <c r="B2157" s="65" t="str">
        <f t="shared" si="266"/>
        <v/>
      </c>
      <c r="C2157" s="66"/>
      <c r="D2157" s="60"/>
      <c r="E2157" s="61"/>
      <c r="F2157" s="61"/>
      <c r="G2157" s="67"/>
      <c r="H2157" s="60"/>
      <c r="I2157" s="60"/>
      <c r="J2157" s="61"/>
      <c r="K2157" s="61"/>
      <c r="L2157" s="60"/>
      <c r="M2157" s="74" t="str">
        <f t="shared" si="267"/>
        <v/>
      </c>
      <c r="N2157" s="74" t="str">
        <f t="shared" si="268"/>
        <v/>
      </c>
      <c r="O2157" s="73" t="str">
        <f t="shared" si="269"/>
        <v/>
      </c>
      <c r="P2157" s="65" t="str">
        <f t="shared" ca="1" si="270"/>
        <v/>
      </c>
      <c r="Q2157" s="2"/>
      <c r="R2157" s="2"/>
      <c r="S2157" s="1" t="str">
        <f t="shared" si="271"/>
        <v/>
      </c>
      <c r="T2157" s="1" t="str">
        <f>IF(OR($C2157="",$D2157&lt;&gt;"Gelir",$L2157=""),"",IFERROR(INDEX(MUSTERILER!$B$7:$B$156,MATCH($S2157,MUSTERILER!$T$7:$T$156,0)),""))</f>
        <v/>
      </c>
      <c r="U2157" s="1" t="str">
        <f>IF($T2157="","",$T2157&amp;"|"&amp;COUNTIFS($T$7:$T2157,$T2157))</f>
        <v/>
      </c>
      <c r="V2157" s="1">
        <f t="shared" si="272"/>
        <v>0</v>
      </c>
      <c r="W2157" s="1" t="str">
        <f t="shared" si="273"/>
        <v/>
      </c>
      <c r="X2157" s="1"/>
      <c r="Y2157" s="1"/>
      <c r="Z2157" s="1"/>
      <c r="AA2157" s="1"/>
      <c r="AB2157" s="1"/>
      <c r="AC2157" s="1"/>
      <c r="AD2157" s="1">
        <f>IF($C2157="",0,SUMPRODUCT((AY_SONU!$O$7:$O$42="Evet")*(AY_SONU!$B$7:$B$42=DATE(YEAR($C2157),MONTH($C2157),1))))</f>
        <v>0</v>
      </c>
      <c r="AE2157" s="1" t="str">
        <f>IF($E2157="","",$E2157&amp;"|"&amp;COUNTIFS($E$7:$E2157,$E2157))</f>
        <v/>
      </c>
    </row>
    <row r="2158" spans="1:31" ht="18" customHeight="1" x14ac:dyDescent="0.3">
      <c r="A2158" s="2"/>
      <c r="B2158" s="65" t="str">
        <f t="shared" si="266"/>
        <v/>
      </c>
      <c r="C2158" s="66"/>
      <c r="D2158" s="60"/>
      <c r="E2158" s="61"/>
      <c r="F2158" s="61"/>
      <c r="G2158" s="67"/>
      <c r="H2158" s="60"/>
      <c r="I2158" s="60"/>
      <c r="J2158" s="61"/>
      <c r="K2158" s="61"/>
      <c r="L2158" s="60"/>
      <c r="M2158" s="74" t="str">
        <f t="shared" si="267"/>
        <v/>
      </c>
      <c r="N2158" s="74" t="str">
        <f t="shared" si="268"/>
        <v/>
      </c>
      <c r="O2158" s="73" t="str">
        <f t="shared" si="269"/>
        <v/>
      </c>
      <c r="P2158" s="65" t="str">
        <f t="shared" ca="1" si="270"/>
        <v/>
      </c>
      <c r="Q2158" s="2"/>
      <c r="R2158" s="2"/>
      <c r="S2158" s="1" t="str">
        <f t="shared" si="271"/>
        <v/>
      </c>
      <c r="T2158" s="1" t="str">
        <f>IF(OR($C2158="",$D2158&lt;&gt;"Gelir",$L2158=""),"",IFERROR(INDEX(MUSTERILER!$B$7:$B$156,MATCH($S2158,MUSTERILER!$T$7:$T$156,0)),""))</f>
        <v/>
      </c>
      <c r="U2158" s="1" t="str">
        <f>IF($T2158="","",$T2158&amp;"|"&amp;COUNTIFS($T$7:$T2158,$T2158))</f>
        <v/>
      </c>
      <c r="V2158" s="1">
        <f t="shared" si="272"/>
        <v>0</v>
      </c>
      <c r="W2158" s="1" t="str">
        <f t="shared" si="273"/>
        <v/>
      </c>
      <c r="X2158" s="1"/>
      <c r="Y2158" s="1"/>
      <c r="Z2158" s="1"/>
      <c r="AA2158" s="1"/>
      <c r="AB2158" s="1"/>
      <c r="AC2158" s="1"/>
      <c r="AD2158" s="1">
        <f>IF($C2158="",0,SUMPRODUCT((AY_SONU!$O$7:$O$42="Evet")*(AY_SONU!$B$7:$B$42=DATE(YEAR($C2158),MONTH($C2158),1))))</f>
        <v>0</v>
      </c>
      <c r="AE2158" s="1" t="str">
        <f>IF($E2158="","",$E2158&amp;"|"&amp;COUNTIFS($E$7:$E2158,$E2158))</f>
        <v/>
      </c>
    </row>
    <row r="2159" spans="1:31" ht="18" customHeight="1" x14ac:dyDescent="0.3">
      <c r="A2159" s="2"/>
      <c r="B2159" s="65" t="str">
        <f t="shared" si="266"/>
        <v/>
      </c>
      <c r="C2159" s="66"/>
      <c r="D2159" s="60"/>
      <c r="E2159" s="61"/>
      <c r="F2159" s="61"/>
      <c r="G2159" s="67"/>
      <c r="H2159" s="60"/>
      <c r="I2159" s="60"/>
      <c r="J2159" s="61"/>
      <c r="K2159" s="61"/>
      <c r="L2159" s="60"/>
      <c r="M2159" s="74" t="str">
        <f t="shared" si="267"/>
        <v/>
      </c>
      <c r="N2159" s="74" t="str">
        <f t="shared" si="268"/>
        <v/>
      </c>
      <c r="O2159" s="73" t="str">
        <f t="shared" si="269"/>
        <v/>
      </c>
      <c r="P2159" s="65" t="str">
        <f t="shared" ca="1" si="270"/>
        <v/>
      </c>
      <c r="Q2159" s="2"/>
      <c r="R2159" s="2"/>
      <c r="S2159" s="1" t="str">
        <f t="shared" si="271"/>
        <v/>
      </c>
      <c r="T2159" s="1" t="str">
        <f>IF(OR($C2159="",$D2159&lt;&gt;"Gelir",$L2159=""),"",IFERROR(INDEX(MUSTERILER!$B$7:$B$156,MATCH($S2159,MUSTERILER!$T$7:$T$156,0)),""))</f>
        <v/>
      </c>
      <c r="U2159" s="1" t="str">
        <f>IF($T2159="","",$T2159&amp;"|"&amp;COUNTIFS($T$7:$T2159,$T2159))</f>
        <v/>
      </c>
      <c r="V2159" s="1">
        <f t="shared" si="272"/>
        <v>0</v>
      </c>
      <c r="W2159" s="1" t="str">
        <f t="shared" si="273"/>
        <v/>
      </c>
      <c r="X2159" s="1"/>
      <c r="Y2159" s="1"/>
      <c r="Z2159" s="1"/>
      <c r="AA2159" s="1"/>
      <c r="AB2159" s="1"/>
      <c r="AC2159" s="1"/>
      <c r="AD2159" s="1">
        <f>IF($C2159="",0,SUMPRODUCT((AY_SONU!$O$7:$O$42="Evet")*(AY_SONU!$B$7:$B$42=DATE(YEAR($C2159),MONTH($C2159),1))))</f>
        <v>0</v>
      </c>
      <c r="AE2159" s="1" t="str">
        <f>IF($E2159="","",$E2159&amp;"|"&amp;COUNTIFS($E$7:$E2159,$E2159))</f>
        <v/>
      </c>
    </row>
    <row r="2160" spans="1:31" ht="18" customHeight="1" x14ac:dyDescent="0.3">
      <c r="A2160" s="2"/>
      <c r="B2160" s="65" t="str">
        <f t="shared" si="266"/>
        <v/>
      </c>
      <c r="C2160" s="66"/>
      <c r="D2160" s="60"/>
      <c r="E2160" s="61"/>
      <c r="F2160" s="61"/>
      <c r="G2160" s="67"/>
      <c r="H2160" s="60"/>
      <c r="I2160" s="60"/>
      <c r="J2160" s="61"/>
      <c r="K2160" s="61"/>
      <c r="L2160" s="60"/>
      <c r="M2160" s="74" t="str">
        <f t="shared" si="267"/>
        <v/>
      </c>
      <c r="N2160" s="74" t="str">
        <f t="shared" si="268"/>
        <v/>
      </c>
      <c r="O2160" s="73" t="str">
        <f t="shared" si="269"/>
        <v/>
      </c>
      <c r="P2160" s="65" t="str">
        <f t="shared" ca="1" si="270"/>
        <v/>
      </c>
      <c r="Q2160" s="2"/>
      <c r="R2160" s="2"/>
      <c r="S2160" s="1" t="str">
        <f t="shared" si="271"/>
        <v/>
      </c>
      <c r="T2160" s="1" t="str">
        <f>IF(OR($C2160="",$D2160&lt;&gt;"Gelir",$L2160=""),"",IFERROR(INDEX(MUSTERILER!$B$7:$B$156,MATCH($S2160,MUSTERILER!$T$7:$T$156,0)),""))</f>
        <v/>
      </c>
      <c r="U2160" s="1" t="str">
        <f>IF($T2160="","",$T2160&amp;"|"&amp;COUNTIFS($T$7:$T2160,$T2160))</f>
        <v/>
      </c>
      <c r="V2160" s="1">
        <f t="shared" si="272"/>
        <v>0</v>
      </c>
      <c r="W2160" s="1" t="str">
        <f t="shared" si="273"/>
        <v/>
      </c>
      <c r="X2160" s="1"/>
      <c r="Y2160" s="1"/>
      <c r="Z2160" s="1"/>
      <c r="AA2160" s="1"/>
      <c r="AB2160" s="1"/>
      <c r="AC2160" s="1"/>
      <c r="AD2160" s="1">
        <f>IF($C2160="",0,SUMPRODUCT((AY_SONU!$O$7:$O$42="Evet")*(AY_SONU!$B$7:$B$42=DATE(YEAR($C2160),MONTH($C2160),1))))</f>
        <v>0</v>
      </c>
      <c r="AE2160" s="1" t="str">
        <f>IF($E2160="","",$E2160&amp;"|"&amp;COUNTIFS($E$7:$E2160,$E2160))</f>
        <v/>
      </c>
    </row>
    <row r="2161" spans="1:31" ht="18" customHeight="1" x14ac:dyDescent="0.3">
      <c r="A2161" s="2"/>
      <c r="B2161" s="65" t="str">
        <f t="shared" si="266"/>
        <v/>
      </c>
      <c r="C2161" s="66"/>
      <c r="D2161" s="60"/>
      <c r="E2161" s="61"/>
      <c r="F2161" s="61"/>
      <c r="G2161" s="67"/>
      <c r="H2161" s="60"/>
      <c r="I2161" s="60"/>
      <c r="J2161" s="61"/>
      <c r="K2161" s="61"/>
      <c r="L2161" s="60"/>
      <c r="M2161" s="74" t="str">
        <f t="shared" si="267"/>
        <v/>
      </c>
      <c r="N2161" s="74" t="str">
        <f t="shared" si="268"/>
        <v/>
      </c>
      <c r="O2161" s="73" t="str">
        <f t="shared" si="269"/>
        <v/>
      </c>
      <c r="P2161" s="65" t="str">
        <f t="shared" ca="1" si="270"/>
        <v/>
      </c>
      <c r="Q2161" s="2"/>
      <c r="R2161" s="2"/>
      <c r="S2161" s="1" t="str">
        <f t="shared" si="271"/>
        <v/>
      </c>
      <c r="T2161" s="1" t="str">
        <f>IF(OR($C2161="",$D2161&lt;&gt;"Gelir",$L2161=""),"",IFERROR(INDEX(MUSTERILER!$B$7:$B$156,MATCH($S2161,MUSTERILER!$T$7:$T$156,0)),""))</f>
        <v/>
      </c>
      <c r="U2161" s="1" t="str">
        <f>IF($T2161="","",$T2161&amp;"|"&amp;COUNTIFS($T$7:$T2161,$T2161))</f>
        <v/>
      </c>
      <c r="V2161" s="1">
        <f t="shared" si="272"/>
        <v>0</v>
      </c>
      <c r="W2161" s="1" t="str">
        <f t="shared" si="273"/>
        <v/>
      </c>
      <c r="X2161" s="1"/>
      <c r="Y2161" s="1"/>
      <c r="Z2161" s="1"/>
      <c r="AA2161" s="1"/>
      <c r="AB2161" s="1"/>
      <c r="AC2161" s="1"/>
      <c r="AD2161" s="1">
        <f>IF($C2161="",0,SUMPRODUCT((AY_SONU!$O$7:$O$42="Evet")*(AY_SONU!$B$7:$B$42=DATE(YEAR($C2161),MONTH($C2161),1))))</f>
        <v>0</v>
      </c>
      <c r="AE2161" s="1" t="str">
        <f>IF($E2161="","",$E2161&amp;"|"&amp;COUNTIFS($E$7:$E2161,$E2161))</f>
        <v/>
      </c>
    </row>
    <row r="2162" spans="1:31" ht="18" customHeight="1" x14ac:dyDescent="0.3">
      <c r="A2162" s="2"/>
      <c r="B2162" s="65" t="str">
        <f t="shared" si="266"/>
        <v/>
      </c>
      <c r="C2162" s="66"/>
      <c r="D2162" s="60"/>
      <c r="E2162" s="61"/>
      <c r="F2162" s="61"/>
      <c r="G2162" s="67"/>
      <c r="H2162" s="60"/>
      <c r="I2162" s="60"/>
      <c r="J2162" s="61"/>
      <c r="K2162" s="61"/>
      <c r="L2162" s="60"/>
      <c r="M2162" s="74" t="str">
        <f t="shared" si="267"/>
        <v/>
      </c>
      <c r="N2162" s="74" t="str">
        <f t="shared" si="268"/>
        <v/>
      </c>
      <c r="O2162" s="73" t="str">
        <f t="shared" si="269"/>
        <v/>
      </c>
      <c r="P2162" s="65" t="str">
        <f t="shared" ca="1" si="270"/>
        <v/>
      </c>
      <c r="Q2162" s="2"/>
      <c r="R2162" s="2"/>
      <c r="S2162" s="1" t="str">
        <f t="shared" si="271"/>
        <v/>
      </c>
      <c r="T2162" s="1" t="str">
        <f>IF(OR($C2162="",$D2162&lt;&gt;"Gelir",$L2162=""),"",IFERROR(INDEX(MUSTERILER!$B$7:$B$156,MATCH($S2162,MUSTERILER!$T$7:$T$156,0)),""))</f>
        <v/>
      </c>
      <c r="U2162" s="1" t="str">
        <f>IF($T2162="","",$T2162&amp;"|"&amp;COUNTIFS($T$7:$T2162,$T2162))</f>
        <v/>
      </c>
      <c r="V2162" s="1">
        <f t="shared" si="272"/>
        <v>0</v>
      </c>
      <c r="W2162" s="1" t="str">
        <f t="shared" si="273"/>
        <v/>
      </c>
      <c r="X2162" s="1"/>
      <c r="Y2162" s="1"/>
      <c r="Z2162" s="1"/>
      <c r="AA2162" s="1"/>
      <c r="AB2162" s="1"/>
      <c r="AC2162" s="1"/>
      <c r="AD2162" s="1">
        <f>IF($C2162="",0,SUMPRODUCT((AY_SONU!$O$7:$O$42="Evet")*(AY_SONU!$B$7:$B$42=DATE(YEAR($C2162),MONTH($C2162),1))))</f>
        <v>0</v>
      </c>
      <c r="AE2162" s="1" t="str">
        <f>IF($E2162="","",$E2162&amp;"|"&amp;COUNTIFS($E$7:$E2162,$E2162))</f>
        <v/>
      </c>
    </row>
    <row r="2163" spans="1:31" ht="18" customHeight="1" x14ac:dyDescent="0.3">
      <c r="A2163" s="2"/>
      <c r="B2163" s="65" t="str">
        <f t="shared" si="266"/>
        <v/>
      </c>
      <c r="C2163" s="66"/>
      <c r="D2163" s="60"/>
      <c r="E2163" s="61"/>
      <c r="F2163" s="61"/>
      <c r="G2163" s="67"/>
      <c r="H2163" s="60"/>
      <c r="I2163" s="60"/>
      <c r="J2163" s="61"/>
      <c r="K2163" s="61"/>
      <c r="L2163" s="60"/>
      <c r="M2163" s="74" t="str">
        <f t="shared" si="267"/>
        <v/>
      </c>
      <c r="N2163" s="74" t="str">
        <f t="shared" si="268"/>
        <v/>
      </c>
      <c r="O2163" s="73" t="str">
        <f t="shared" si="269"/>
        <v/>
      </c>
      <c r="P2163" s="65" t="str">
        <f t="shared" ca="1" si="270"/>
        <v/>
      </c>
      <c r="Q2163" s="2"/>
      <c r="R2163" s="2"/>
      <c r="S2163" s="1" t="str">
        <f t="shared" si="271"/>
        <v/>
      </c>
      <c r="T2163" s="1" t="str">
        <f>IF(OR($C2163="",$D2163&lt;&gt;"Gelir",$L2163=""),"",IFERROR(INDEX(MUSTERILER!$B$7:$B$156,MATCH($S2163,MUSTERILER!$T$7:$T$156,0)),""))</f>
        <v/>
      </c>
      <c r="U2163" s="1" t="str">
        <f>IF($T2163="","",$T2163&amp;"|"&amp;COUNTIFS($T$7:$T2163,$T2163))</f>
        <v/>
      </c>
      <c r="V2163" s="1">
        <f t="shared" si="272"/>
        <v>0</v>
      </c>
      <c r="W2163" s="1" t="str">
        <f t="shared" si="273"/>
        <v/>
      </c>
      <c r="X2163" s="1"/>
      <c r="Y2163" s="1"/>
      <c r="Z2163" s="1"/>
      <c r="AA2163" s="1"/>
      <c r="AB2163" s="1"/>
      <c r="AC2163" s="1"/>
      <c r="AD2163" s="1">
        <f>IF($C2163="",0,SUMPRODUCT((AY_SONU!$O$7:$O$42="Evet")*(AY_SONU!$B$7:$B$42=DATE(YEAR($C2163),MONTH($C2163),1))))</f>
        <v>0</v>
      </c>
      <c r="AE2163" s="1" t="str">
        <f>IF($E2163="","",$E2163&amp;"|"&amp;COUNTIFS($E$7:$E2163,$E2163))</f>
        <v/>
      </c>
    </row>
    <row r="2164" spans="1:31" ht="18" customHeight="1" x14ac:dyDescent="0.3">
      <c r="A2164" s="2"/>
      <c r="B2164" s="65" t="str">
        <f t="shared" si="266"/>
        <v/>
      </c>
      <c r="C2164" s="66"/>
      <c r="D2164" s="60"/>
      <c r="E2164" s="61"/>
      <c r="F2164" s="61"/>
      <c r="G2164" s="67"/>
      <c r="H2164" s="60"/>
      <c r="I2164" s="60"/>
      <c r="J2164" s="61"/>
      <c r="K2164" s="61"/>
      <c r="L2164" s="60"/>
      <c r="M2164" s="74" t="str">
        <f t="shared" si="267"/>
        <v/>
      </c>
      <c r="N2164" s="74" t="str">
        <f t="shared" si="268"/>
        <v/>
      </c>
      <c r="O2164" s="73" t="str">
        <f t="shared" si="269"/>
        <v/>
      </c>
      <c r="P2164" s="65" t="str">
        <f t="shared" ca="1" si="270"/>
        <v/>
      </c>
      <c r="Q2164" s="2"/>
      <c r="R2164" s="2"/>
      <c r="S2164" s="1" t="str">
        <f t="shared" si="271"/>
        <v/>
      </c>
      <c r="T2164" s="1" t="str">
        <f>IF(OR($C2164="",$D2164&lt;&gt;"Gelir",$L2164=""),"",IFERROR(INDEX(MUSTERILER!$B$7:$B$156,MATCH($S2164,MUSTERILER!$T$7:$T$156,0)),""))</f>
        <v/>
      </c>
      <c r="U2164" s="1" t="str">
        <f>IF($T2164="","",$T2164&amp;"|"&amp;COUNTIFS($T$7:$T2164,$T2164))</f>
        <v/>
      </c>
      <c r="V2164" s="1">
        <f t="shared" si="272"/>
        <v>0</v>
      </c>
      <c r="W2164" s="1" t="str">
        <f t="shared" si="273"/>
        <v/>
      </c>
      <c r="X2164" s="1"/>
      <c r="Y2164" s="1"/>
      <c r="Z2164" s="1"/>
      <c r="AA2164" s="1"/>
      <c r="AB2164" s="1"/>
      <c r="AC2164" s="1"/>
      <c r="AD2164" s="1">
        <f>IF($C2164="",0,SUMPRODUCT((AY_SONU!$O$7:$O$42="Evet")*(AY_SONU!$B$7:$B$42=DATE(YEAR($C2164),MONTH($C2164),1))))</f>
        <v>0</v>
      </c>
      <c r="AE2164" s="1" t="str">
        <f>IF($E2164="","",$E2164&amp;"|"&amp;COUNTIFS($E$7:$E2164,$E2164))</f>
        <v/>
      </c>
    </row>
    <row r="2165" spans="1:31" ht="18" customHeight="1" x14ac:dyDescent="0.3">
      <c r="A2165" s="2"/>
      <c r="B2165" s="65" t="str">
        <f t="shared" si="266"/>
        <v/>
      </c>
      <c r="C2165" s="66"/>
      <c r="D2165" s="60"/>
      <c r="E2165" s="61"/>
      <c r="F2165" s="61"/>
      <c r="G2165" s="67"/>
      <c r="H2165" s="60"/>
      <c r="I2165" s="60"/>
      <c r="J2165" s="61"/>
      <c r="K2165" s="61"/>
      <c r="L2165" s="60"/>
      <c r="M2165" s="74" t="str">
        <f t="shared" si="267"/>
        <v/>
      </c>
      <c r="N2165" s="74" t="str">
        <f t="shared" si="268"/>
        <v/>
      </c>
      <c r="O2165" s="73" t="str">
        <f t="shared" si="269"/>
        <v/>
      </c>
      <c r="P2165" s="65" t="str">
        <f t="shared" ca="1" si="270"/>
        <v/>
      </c>
      <c r="Q2165" s="2"/>
      <c r="R2165" s="2"/>
      <c r="S2165" s="1" t="str">
        <f t="shared" si="271"/>
        <v/>
      </c>
      <c r="T2165" s="1" t="str">
        <f>IF(OR($C2165="",$D2165&lt;&gt;"Gelir",$L2165=""),"",IFERROR(INDEX(MUSTERILER!$B$7:$B$156,MATCH($S2165,MUSTERILER!$T$7:$T$156,0)),""))</f>
        <v/>
      </c>
      <c r="U2165" s="1" t="str">
        <f>IF($T2165="","",$T2165&amp;"|"&amp;COUNTIFS($T$7:$T2165,$T2165))</f>
        <v/>
      </c>
      <c r="V2165" s="1">
        <f t="shared" si="272"/>
        <v>0</v>
      </c>
      <c r="W2165" s="1" t="str">
        <f t="shared" si="273"/>
        <v/>
      </c>
      <c r="X2165" s="1"/>
      <c r="Y2165" s="1"/>
      <c r="Z2165" s="1"/>
      <c r="AA2165" s="1"/>
      <c r="AB2165" s="1"/>
      <c r="AC2165" s="1"/>
      <c r="AD2165" s="1">
        <f>IF($C2165="",0,SUMPRODUCT((AY_SONU!$O$7:$O$42="Evet")*(AY_SONU!$B$7:$B$42=DATE(YEAR($C2165),MONTH($C2165),1))))</f>
        <v>0</v>
      </c>
      <c r="AE2165" s="1" t="str">
        <f>IF($E2165="","",$E2165&amp;"|"&amp;COUNTIFS($E$7:$E2165,$E2165))</f>
        <v/>
      </c>
    </row>
    <row r="2166" spans="1:31" ht="18" customHeight="1" x14ac:dyDescent="0.3">
      <c r="A2166" s="2"/>
      <c r="B2166" s="65" t="str">
        <f t="shared" si="266"/>
        <v/>
      </c>
      <c r="C2166" s="66"/>
      <c r="D2166" s="60"/>
      <c r="E2166" s="61"/>
      <c r="F2166" s="61"/>
      <c r="G2166" s="67"/>
      <c r="H2166" s="60"/>
      <c r="I2166" s="60"/>
      <c r="J2166" s="61"/>
      <c r="K2166" s="61"/>
      <c r="L2166" s="60"/>
      <c r="M2166" s="74" t="str">
        <f t="shared" si="267"/>
        <v/>
      </c>
      <c r="N2166" s="74" t="str">
        <f t="shared" si="268"/>
        <v/>
      </c>
      <c r="O2166" s="73" t="str">
        <f t="shared" si="269"/>
        <v/>
      </c>
      <c r="P2166" s="65" t="str">
        <f t="shared" ca="1" si="270"/>
        <v/>
      </c>
      <c r="Q2166" s="2"/>
      <c r="R2166" s="2"/>
      <c r="S2166" s="1" t="str">
        <f t="shared" si="271"/>
        <v/>
      </c>
      <c r="T2166" s="1" t="str">
        <f>IF(OR($C2166="",$D2166&lt;&gt;"Gelir",$L2166=""),"",IFERROR(INDEX(MUSTERILER!$B$7:$B$156,MATCH($S2166,MUSTERILER!$T$7:$T$156,0)),""))</f>
        <v/>
      </c>
      <c r="U2166" s="1" t="str">
        <f>IF($T2166="","",$T2166&amp;"|"&amp;COUNTIFS($T$7:$T2166,$T2166))</f>
        <v/>
      </c>
      <c r="V2166" s="1">
        <f t="shared" si="272"/>
        <v>0</v>
      </c>
      <c r="W2166" s="1" t="str">
        <f t="shared" si="273"/>
        <v/>
      </c>
      <c r="X2166" s="1"/>
      <c r="Y2166" s="1"/>
      <c r="Z2166" s="1"/>
      <c r="AA2166" s="1"/>
      <c r="AB2166" s="1"/>
      <c r="AC2166" s="1"/>
      <c r="AD2166" s="1">
        <f>IF($C2166="",0,SUMPRODUCT((AY_SONU!$O$7:$O$42="Evet")*(AY_SONU!$B$7:$B$42=DATE(YEAR($C2166),MONTH($C2166),1))))</f>
        <v>0</v>
      </c>
      <c r="AE2166" s="1" t="str">
        <f>IF($E2166="","",$E2166&amp;"|"&amp;COUNTIFS($E$7:$E2166,$E2166))</f>
        <v/>
      </c>
    </row>
    <row r="2167" spans="1:31" ht="18" customHeight="1" x14ac:dyDescent="0.3">
      <c r="A2167" s="2"/>
      <c r="B2167" s="65" t="str">
        <f t="shared" si="266"/>
        <v/>
      </c>
      <c r="C2167" s="66"/>
      <c r="D2167" s="60"/>
      <c r="E2167" s="61"/>
      <c r="F2167" s="61"/>
      <c r="G2167" s="67"/>
      <c r="H2167" s="60"/>
      <c r="I2167" s="60"/>
      <c r="J2167" s="61"/>
      <c r="K2167" s="61"/>
      <c r="L2167" s="60"/>
      <c r="M2167" s="74" t="str">
        <f t="shared" si="267"/>
        <v/>
      </c>
      <c r="N2167" s="74" t="str">
        <f t="shared" si="268"/>
        <v/>
      </c>
      <c r="O2167" s="73" t="str">
        <f t="shared" si="269"/>
        <v/>
      </c>
      <c r="P2167" s="65" t="str">
        <f t="shared" ca="1" si="270"/>
        <v/>
      </c>
      <c r="Q2167" s="2"/>
      <c r="R2167" s="2"/>
      <c r="S2167" s="1" t="str">
        <f t="shared" si="271"/>
        <v/>
      </c>
      <c r="T2167" s="1" t="str">
        <f>IF(OR($C2167="",$D2167&lt;&gt;"Gelir",$L2167=""),"",IFERROR(INDEX(MUSTERILER!$B$7:$B$156,MATCH($S2167,MUSTERILER!$T$7:$T$156,0)),""))</f>
        <v/>
      </c>
      <c r="U2167" s="1" t="str">
        <f>IF($T2167="","",$T2167&amp;"|"&amp;COUNTIFS($T$7:$T2167,$T2167))</f>
        <v/>
      </c>
      <c r="V2167" s="1">
        <f t="shared" si="272"/>
        <v>0</v>
      </c>
      <c r="W2167" s="1" t="str">
        <f t="shared" si="273"/>
        <v/>
      </c>
      <c r="X2167" s="1"/>
      <c r="Y2167" s="1"/>
      <c r="Z2167" s="1"/>
      <c r="AA2167" s="1"/>
      <c r="AB2167" s="1"/>
      <c r="AC2167" s="1"/>
      <c r="AD2167" s="1">
        <f>IF($C2167="",0,SUMPRODUCT((AY_SONU!$O$7:$O$42="Evet")*(AY_SONU!$B$7:$B$42=DATE(YEAR($C2167),MONTH($C2167),1))))</f>
        <v>0</v>
      </c>
      <c r="AE2167" s="1" t="str">
        <f>IF($E2167="","",$E2167&amp;"|"&amp;COUNTIFS($E$7:$E2167,$E2167))</f>
        <v/>
      </c>
    </row>
    <row r="2168" spans="1:31" ht="18" customHeight="1" x14ac:dyDescent="0.3">
      <c r="A2168" s="2"/>
      <c r="B2168" s="65" t="str">
        <f t="shared" si="266"/>
        <v/>
      </c>
      <c r="C2168" s="66"/>
      <c r="D2168" s="60"/>
      <c r="E2168" s="61"/>
      <c r="F2168" s="61"/>
      <c r="G2168" s="67"/>
      <c r="H2168" s="60"/>
      <c r="I2168" s="60"/>
      <c r="J2168" s="61"/>
      <c r="K2168" s="61"/>
      <c r="L2168" s="60"/>
      <c r="M2168" s="74" t="str">
        <f t="shared" si="267"/>
        <v/>
      </c>
      <c r="N2168" s="74" t="str">
        <f t="shared" si="268"/>
        <v/>
      </c>
      <c r="O2168" s="73" t="str">
        <f t="shared" si="269"/>
        <v/>
      </c>
      <c r="P2168" s="65" t="str">
        <f t="shared" ca="1" si="270"/>
        <v/>
      </c>
      <c r="Q2168" s="2"/>
      <c r="R2168" s="2"/>
      <c r="S2168" s="1" t="str">
        <f t="shared" si="271"/>
        <v/>
      </c>
      <c r="T2168" s="1" t="str">
        <f>IF(OR($C2168="",$D2168&lt;&gt;"Gelir",$L2168=""),"",IFERROR(INDEX(MUSTERILER!$B$7:$B$156,MATCH($S2168,MUSTERILER!$T$7:$T$156,0)),""))</f>
        <v/>
      </c>
      <c r="U2168" s="1" t="str">
        <f>IF($T2168="","",$T2168&amp;"|"&amp;COUNTIFS($T$7:$T2168,$T2168))</f>
        <v/>
      </c>
      <c r="V2168" s="1">
        <f t="shared" si="272"/>
        <v>0</v>
      </c>
      <c r="W2168" s="1" t="str">
        <f t="shared" si="273"/>
        <v/>
      </c>
      <c r="X2168" s="1"/>
      <c r="Y2168" s="1"/>
      <c r="Z2168" s="1"/>
      <c r="AA2168" s="1"/>
      <c r="AB2168" s="1"/>
      <c r="AC2168" s="1"/>
      <c r="AD2168" s="1">
        <f>IF($C2168="",0,SUMPRODUCT((AY_SONU!$O$7:$O$42="Evet")*(AY_SONU!$B$7:$B$42=DATE(YEAR($C2168),MONTH($C2168),1))))</f>
        <v>0</v>
      </c>
      <c r="AE2168" s="1" t="str">
        <f>IF($E2168="","",$E2168&amp;"|"&amp;COUNTIFS($E$7:$E2168,$E2168))</f>
        <v/>
      </c>
    </row>
    <row r="2169" spans="1:31" ht="18" customHeight="1" x14ac:dyDescent="0.3">
      <c r="A2169" s="2"/>
      <c r="B2169" s="65" t="str">
        <f t="shared" si="266"/>
        <v/>
      </c>
      <c r="C2169" s="66"/>
      <c r="D2169" s="60"/>
      <c r="E2169" s="61"/>
      <c r="F2169" s="61"/>
      <c r="G2169" s="67"/>
      <c r="H2169" s="60"/>
      <c r="I2169" s="60"/>
      <c r="J2169" s="61"/>
      <c r="K2169" s="61"/>
      <c r="L2169" s="60"/>
      <c r="M2169" s="74" t="str">
        <f t="shared" si="267"/>
        <v/>
      </c>
      <c r="N2169" s="74" t="str">
        <f t="shared" si="268"/>
        <v/>
      </c>
      <c r="O2169" s="73" t="str">
        <f t="shared" si="269"/>
        <v/>
      </c>
      <c r="P2169" s="65" t="str">
        <f t="shared" ca="1" si="270"/>
        <v/>
      </c>
      <c r="Q2169" s="2"/>
      <c r="R2169" s="2"/>
      <c r="S2169" s="1" t="str">
        <f t="shared" si="271"/>
        <v/>
      </c>
      <c r="T2169" s="1" t="str">
        <f>IF(OR($C2169="",$D2169&lt;&gt;"Gelir",$L2169=""),"",IFERROR(INDEX(MUSTERILER!$B$7:$B$156,MATCH($S2169,MUSTERILER!$T$7:$T$156,0)),""))</f>
        <v/>
      </c>
      <c r="U2169" s="1" t="str">
        <f>IF($T2169="","",$T2169&amp;"|"&amp;COUNTIFS($T$7:$T2169,$T2169))</f>
        <v/>
      </c>
      <c r="V2169" s="1">
        <f t="shared" si="272"/>
        <v>0</v>
      </c>
      <c r="W2169" s="1" t="str">
        <f t="shared" si="273"/>
        <v/>
      </c>
      <c r="X2169" s="1"/>
      <c r="Y2169" s="1"/>
      <c r="Z2169" s="1"/>
      <c r="AA2169" s="1"/>
      <c r="AB2169" s="1"/>
      <c r="AC2169" s="1"/>
      <c r="AD2169" s="1">
        <f>IF($C2169="",0,SUMPRODUCT((AY_SONU!$O$7:$O$42="Evet")*(AY_SONU!$B$7:$B$42=DATE(YEAR($C2169),MONTH($C2169),1))))</f>
        <v>0</v>
      </c>
      <c r="AE2169" s="1" t="str">
        <f>IF($E2169="","",$E2169&amp;"|"&amp;COUNTIFS($E$7:$E2169,$E2169))</f>
        <v/>
      </c>
    </row>
    <row r="2170" spans="1:31" ht="18" customHeight="1" x14ac:dyDescent="0.3">
      <c r="A2170" s="2"/>
      <c r="B2170" s="65" t="str">
        <f t="shared" si="266"/>
        <v/>
      </c>
      <c r="C2170" s="66"/>
      <c r="D2170" s="60"/>
      <c r="E2170" s="61"/>
      <c r="F2170" s="61"/>
      <c r="G2170" s="67"/>
      <c r="H2170" s="60"/>
      <c r="I2170" s="60"/>
      <c r="J2170" s="61"/>
      <c r="K2170" s="61"/>
      <c r="L2170" s="60"/>
      <c r="M2170" s="74" t="str">
        <f t="shared" si="267"/>
        <v/>
      </c>
      <c r="N2170" s="74" t="str">
        <f t="shared" si="268"/>
        <v/>
      </c>
      <c r="O2170" s="73" t="str">
        <f t="shared" si="269"/>
        <v/>
      </c>
      <c r="P2170" s="65" t="str">
        <f t="shared" ca="1" si="270"/>
        <v/>
      </c>
      <c r="Q2170" s="2"/>
      <c r="R2170" s="2"/>
      <c r="S2170" s="1" t="str">
        <f t="shared" si="271"/>
        <v/>
      </c>
      <c r="T2170" s="1" t="str">
        <f>IF(OR($C2170="",$D2170&lt;&gt;"Gelir",$L2170=""),"",IFERROR(INDEX(MUSTERILER!$B$7:$B$156,MATCH($S2170,MUSTERILER!$T$7:$T$156,0)),""))</f>
        <v/>
      </c>
      <c r="U2170" s="1" t="str">
        <f>IF($T2170="","",$T2170&amp;"|"&amp;COUNTIFS($T$7:$T2170,$T2170))</f>
        <v/>
      </c>
      <c r="V2170" s="1">
        <f t="shared" si="272"/>
        <v>0</v>
      </c>
      <c r="W2170" s="1" t="str">
        <f t="shared" si="273"/>
        <v/>
      </c>
      <c r="X2170" s="1"/>
      <c r="Y2170" s="1"/>
      <c r="Z2170" s="1"/>
      <c r="AA2170" s="1"/>
      <c r="AB2170" s="1"/>
      <c r="AC2170" s="1"/>
      <c r="AD2170" s="1">
        <f>IF($C2170="",0,SUMPRODUCT((AY_SONU!$O$7:$O$42="Evet")*(AY_SONU!$B$7:$B$42=DATE(YEAR($C2170),MONTH($C2170),1))))</f>
        <v>0</v>
      </c>
      <c r="AE2170" s="1" t="str">
        <f>IF($E2170="","",$E2170&amp;"|"&amp;COUNTIFS($E$7:$E2170,$E2170))</f>
        <v/>
      </c>
    </row>
    <row r="2171" spans="1:31" ht="18" customHeight="1" x14ac:dyDescent="0.3">
      <c r="A2171" s="2"/>
      <c r="B2171" s="65" t="str">
        <f t="shared" si="266"/>
        <v/>
      </c>
      <c r="C2171" s="66"/>
      <c r="D2171" s="60"/>
      <c r="E2171" s="61"/>
      <c r="F2171" s="61"/>
      <c r="G2171" s="67"/>
      <c r="H2171" s="60"/>
      <c r="I2171" s="60"/>
      <c r="J2171" s="61"/>
      <c r="K2171" s="61"/>
      <c r="L2171" s="60"/>
      <c r="M2171" s="74" t="str">
        <f t="shared" si="267"/>
        <v/>
      </c>
      <c r="N2171" s="74" t="str">
        <f t="shared" si="268"/>
        <v/>
      </c>
      <c r="O2171" s="73" t="str">
        <f t="shared" si="269"/>
        <v/>
      </c>
      <c r="P2171" s="65" t="str">
        <f t="shared" ca="1" si="270"/>
        <v/>
      </c>
      <c r="Q2171" s="2"/>
      <c r="R2171" s="2"/>
      <c r="S2171" s="1" t="str">
        <f t="shared" si="271"/>
        <v/>
      </c>
      <c r="T2171" s="1" t="str">
        <f>IF(OR($C2171="",$D2171&lt;&gt;"Gelir",$L2171=""),"",IFERROR(INDEX(MUSTERILER!$B$7:$B$156,MATCH($S2171,MUSTERILER!$T$7:$T$156,0)),""))</f>
        <v/>
      </c>
      <c r="U2171" s="1" t="str">
        <f>IF($T2171="","",$T2171&amp;"|"&amp;COUNTIFS($T$7:$T2171,$T2171))</f>
        <v/>
      </c>
      <c r="V2171" s="1">
        <f t="shared" si="272"/>
        <v>0</v>
      </c>
      <c r="W2171" s="1" t="str">
        <f t="shared" si="273"/>
        <v/>
      </c>
      <c r="X2171" s="1"/>
      <c r="Y2171" s="1"/>
      <c r="Z2171" s="1"/>
      <c r="AA2171" s="1"/>
      <c r="AB2171" s="1"/>
      <c r="AC2171" s="1"/>
      <c r="AD2171" s="1">
        <f>IF($C2171="",0,SUMPRODUCT((AY_SONU!$O$7:$O$42="Evet")*(AY_SONU!$B$7:$B$42=DATE(YEAR($C2171),MONTH($C2171),1))))</f>
        <v>0</v>
      </c>
      <c r="AE2171" s="1" t="str">
        <f>IF($E2171="","",$E2171&amp;"|"&amp;COUNTIFS($E$7:$E2171,$E2171))</f>
        <v/>
      </c>
    </row>
    <row r="2172" spans="1:31" ht="18" customHeight="1" x14ac:dyDescent="0.3">
      <c r="A2172" s="2"/>
      <c r="B2172" s="65" t="str">
        <f t="shared" si="266"/>
        <v/>
      </c>
      <c r="C2172" s="66"/>
      <c r="D2172" s="60"/>
      <c r="E2172" s="61"/>
      <c r="F2172" s="61"/>
      <c r="G2172" s="67"/>
      <c r="H2172" s="60"/>
      <c r="I2172" s="60"/>
      <c r="J2172" s="61"/>
      <c r="K2172" s="61"/>
      <c r="L2172" s="60"/>
      <c r="M2172" s="74" t="str">
        <f t="shared" si="267"/>
        <v/>
      </c>
      <c r="N2172" s="74" t="str">
        <f t="shared" si="268"/>
        <v/>
      </c>
      <c r="O2172" s="73" t="str">
        <f t="shared" si="269"/>
        <v/>
      </c>
      <c r="P2172" s="65" t="str">
        <f t="shared" ca="1" si="270"/>
        <v/>
      </c>
      <c r="Q2172" s="2"/>
      <c r="R2172" s="2"/>
      <c r="S2172" s="1" t="str">
        <f t="shared" si="271"/>
        <v/>
      </c>
      <c r="T2172" s="1" t="str">
        <f>IF(OR($C2172="",$D2172&lt;&gt;"Gelir",$L2172=""),"",IFERROR(INDEX(MUSTERILER!$B$7:$B$156,MATCH($S2172,MUSTERILER!$T$7:$T$156,0)),""))</f>
        <v/>
      </c>
      <c r="U2172" s="1" t="str">
        <f>IF($T2172="","",$T2172&amp;"|"&amp;COUNTIFS($T$7:$T2172,$T2172))</f>
        <v/>
      </c>
      <c r="V2172" s="1">
        <f t="shared" si="272"/>
        <v>0</v>
      </c>
      <c r="W2172" s="1" t="str">
        <f t="shared" si="273"/>
        <v/>
      </c>
      <c r="X2172" s="1"/>
      <c r="Y2172" s="1"/>
      <c r="Z2172" s="1"/>
      <c r="AA2172" s="1"/>
      <c r="AB2172" s="1"/>
      <c r="AC2172" s="1"/>
      <c r="AD2172" s="1">
        <f>IF($C2172="",0,SUMPRODUCT((AY_SONU!$O$7:$O$42="Evet")*(AY_SONU!$B$7:$B$42=DATE(YEAR($C2172),MONTH($C2172),1))))</f>
        <v>0</v>
      </c>
      <c r="AE2172" s="1" t="str">
        <f>IF($E2172="","",$E2172&amp;"|"&amp;COUNTIFS($E$7:$E2172,$E2172))</f>
        <v/>
      </c>
    </row>
    <row r="2173" spans="1:31" ht="18" customHeight="1" x14ac:dyDescent="0.3">
      <c r="A2173" s="2"/>
      <c r="B2173" s="65" t="str">
        <f t="shared" si="266"/>
        <v/>
      </c>
      <c r="C2173" s="66"/>
      <c r="D2173" s="60"/>
      <c r="E2173" s="61"/>
      <c r="F2173" s="61"/>
      <c r="G2173" s="67"/>
      <c r="H2173" s="60"/>
      <c r="I2173" s="60"/>
      <c r="J2173" s="61"/>
      <c r="K2173" s="61"/>
      <c r="L2173" s="60"/>
      <c r="M2173" s="74" t="str">
        <f t="shared" si="267"/>
        <v/>
      </c>
      <c r="N2173" s="74" t="str">
        <f t="shared" si="268"/>
        <v/>
      </c>
      <c r="O2173" s="73" t="str">
        <f t="shared" si="269"/>
        <v/>
      </c>
      <c r="P2173" s="65" t="str">
        <f t="shared" ca="1" si="270"/>
        <v/>
      </c>
      <c r="Q2173" s="2"/>
      <c r="R2173" s="2"/>
      <c r="S2173" s="1" t="str">
        <f t="shared" si="271"/>
        <v/>
      </c>
      <c r="T2173" s="1" t="str">
        <f>IF(OR($C2173="",$D2173&lt;&gt;"Gelir",$L2173=""),"",IFERROR(INDEX(MUSTERILER!$B$7:$B$156,MATCH($S2173,MUSTERILER!$T$7:$T$156,0)),""))</f>
        <v/>
      </c>
      <c r="U2173" s="1" t="str">
        <f>IF($T2173="","",$T2173&amp;"|"&amp;COUNTIFS($T$7:$T2173,$T2173))</f>
        <v/>
      </c>
      <c r="V2173" s="1">
        <f t="shared" si="272"/>
        <v>0</v>
      </c>
      <c r="W2173" s="1" t="str">
        <f t="shared" si="273"/>
        <v/>
      </c>
      <c r="X2173" s="1"/>
      <c r="Y2173" s="1"/>
      <c r="Z2173" s="1"/>
      <c r="AA2173" s="1"/>
      <c r="AB2173" s="1"/>
      <c r="AC2173" s="1"/>
      <c r="AD2173" s="1">
        <f>IF($C2173="",0,SUMPRODUCT((AY_SONU!$O$7:$O$42="Evet")*(AY_SONU!$B$7:$B$42=DATE(YEAR($C2173),MONTH($C2173),1))))</f>
        <v>0</v>
      </c>
      <c r="AE2173" s="1" t="str">
        <f>IF($E2173="","",$E2173&amp;"|"&amp;COUNTIFS($E$7:$E2173,$E2173))</f>
        <v/>
      </c>
    </row>
    <row r="2174" spans="1:31" ht="18" customHeight="1" x14ac:dyDescent="0.3">
      <c r="A2174" s="2"/>
      <c r="B2174" s="65" t="str">
        <f t="shared" si="266"/>
        <v/>
      </c>
      <c r="C2174" s="66"/>
      <c r="D2174" s="60"/>
      <c r="E2174" s="61"/>
      <c r="F2174" s="61"/>
      <c r="G2174" s="67"/>
      <c r="H2174" s="60"/>
      <c r="I2174" s="60"/>
      <c r="J2174" s="61"/>
      <c r="K2174" s="61"/>
      <c r="L2174" s="60"/>
      <c r="M2174" s="74" t="str">
        <f t="shared" si="267"/>
        <v/>
      </c>
      <c r="N2174" s="74" t="str">
        <f t="shared" si="268"/>
        <v/>
      </c>
      <c r="O2174" s="73" t="str">
        <f t="shared" si="269"/>
        <v/>
      </c>
      <c r="P2174" s="65" t="str">
        <f t="shared" ca="1" si="270"/>
        <v/>
      </c>
      <c r="Q2174" s="2"/>
      <c r="R2174" s="2"/>
      <c r="S2174" s="1" t="str">
        <f t="shared" si="271"/>
        <v/>
      </c>
      <c r="T2174" s="1" t="str">
        <f>IF(OR($C2174="",$D2174&lt;&gt;"Gelir",$L2174=""),"",IFERROR(INDEX(MUSTERILER!$B$7:$B$156,MATCH($S2174,MUSTERILER!$T$7:$T$156,0)),""))</f>
        <v/>
      </c>
      <c r="U2174" s="1" t="str">
        <f>IF($T2174="","",$T2174&amp;"|"&amp;COUNTIFS($T$7:$T2174,$T2174))</f>
        <v/>
      </c>
      <c r="V2174" s="1">
        <f t="shared" si="272"/>
        <v>0</v>
      </c>
      <c r="W2174" s="1" t="str">
        <f t="shared" si="273"/>
        <v/>
      </c>
      <c r="X2174" s="1"/>
      <c r="Y2174" s="1"/>
      <c r="Z2174" s="1"/>
      <c r="AA2174" s="1"/>
      <c r="AB2174" s="1"/>
      <c r="AC2174" s="1"/>
      <c r="AD2174" s="1">
        <f>IF($C2174="",0,SUMPRODUCT((AY_SONU!$O$7:$O$42="Evet")*(AY_SONU!$B$7:$B$42=DATE(YEAR($C2174),MONTH($C2174),1))))</f>
        <v>0</v>
      </c>
      <c r="AE2174" s="1" t="str">
        <f>IF($E2174="","",$E2174&amp;"|"&amp;COUNTIFS($E$7:$E2174,$E2174))</f>
        <v/>
      </c>
    </row>
    <row r="2175" spans="1:31" ht="18" customHeight="1" x14ac:dyDescent="0.3">
      <c r="A2175" s="2"/>
      <c r="B2175" s="65" t="str">
        <f t="shared" si="266"/>
        <v/>
      </c>
      <c r="C2175" s="66"/>
      <c r="D2175" s="60"/>
      <c r="E2175" s="61"/>
      <c r="F2175" s="61"/>
      <c r="G2175" s="67"/>
      <c r="H2175" s="60"/>
      <c r="I2175" s="60"/>
      <c r="J2175" s="61"/>
      <c r="K2175" s="61"/>
      <c r="L2175" s="60"/>
      <c r="M2175" s="74" t="str">
        <f t="shared" si="267"/>
        <v/>
      </c>
      <c r="N2175" s="74" t="str">
        <f t="shared" si="268"/>
        <v/>
      </c>
      <c r="O2175" s="73" t="str">
        <f t="shared" si="269"/>
        <v/>
      </c>
      <c r="P2175" s="65" t="str">
        <f t="shared" ca="1" si="270"/>
        <v/>
      </c>
      <c r="Q2175" s="2"/>
      <c r="R2175" s="2"/>
      <c r="S2175" s="1" t="str">
        <f t="shared" si="271"/>
        <v/>
      </c>
      <c r="T2175" s="1" t="str">
        <f>IF(OR($C2175="",$D2175&lt;&gt;"Gelir",$L2175=""),"",IFERROR(INDEX(MUSTERILER!$B$7:$B$156,MATCH($S2175,MUSTERILER!$T$7:$T$156,0)),""))</f>
        <v/>
      </c>
      <c r="U2175" s="1" t="str">
        <f>IF($T2175="","",$T2175&amp;"|"&amp;COUNTIFS($T$7:$T2175,$T2175))</f>
        <v/>
      </c>
      <c r="V2175" s="1">
        <f t="shared" si="272"/>
        <v>0</v>
      </c>
      <c r="W2175" s="1" t="str">
        <f t="shared" si="273"/>
        <v/>
      </c>
      <c r="X2175" s="1"/>
      <c r="Y2175" s="1"/>
      <c r="Z2175" s="1"/>
      <c r="AA2175" s="1"/>
      <c r="AB2175" s="1"/>
      <c r="AC2175" s="1"/>
      <c r="AD2175" s="1">
        <f>IF($C2175="",0,SUMPRODUCT((AY_SONU!$O$7:$O$42="Evet")*(AY_SONU!$B$7:$B$42=DATE(YEAR($C2175),MONTH($C2175),1))))</f>
        <v>0</v>
      </c>
      <c r="AE2175" s="1" t="str">
        <f>IF($E2175="","",$E2175&amp;"|"&amp;COUNTIFS($E$7:$E2175,$E2175))</f>
        <v/>
      </c>
    </row>
    <row r="2176" spans="1:31" ht="18" customHeight="1" x14ac:dyDescent="0.3">
      <c r="A2176" s="2"/>
      <c r="B2176" s="65" t="str">
        <f t="shared" si="266"/>
        <v/>
      </c>
      <c r="C2176" s="66"/>
      <c r="D2176" s="60"/>
      <c r="E2176" s="61"/>
      <c r="F2176" s="61"/>
      <c r="G2176" s="67"/>
      <c r="H2176" s="60"/>
      <c r="I2176" s="60"/>
      <c r="J2176" s="61"/>
      <c r="K2176" s="61"/>
      <c r="L2176" s="60"/>
      <c r="M2176" s="74" t="str">
        <f t="shared" si="267"/>
        <v/>
      </c>
      <c r="N2176" s="74" t="str">
        <f t="shared" si="268"/>
        <v/>
      </c>
      <c r="O2176" s="73" t="str">
        <f t="shared" si="269"/>
        <v/>
      </c>
      <c r="P2176" s="65" t="str">
        <f t="shared" ca="1" si="270"/>
        <v/>
      </c>
      <c r="Q2176" s="2"/>
      <c r="R2176" s="2"/>
      <c r="S2176" s="1" t="str">
        <f t="shared" si="271"/>
        <v/>
      </c>
      <c r="T2176" s="1" t="str">
        <f>IF(OR($C2176="",$D2176&lt;&gt;"Gelir",$L2176=""),"",IFERROR(INDEX(MUSTERILER!$B$7:$B$156,MATCH($S2176,MUSTERILER!$T$7:$T$156,0)),""))</f>
        <v/>
      </c>
      <c r="U2176" s="1" t="str">
        <f>IF($T2176="","",$T2176&amp;"|"&amp;COUNTIFS($T$7:$T2176,$T2176))</f>
        <v/>
      </c>
      <c r="V2176" s="1">
        <f t="shared" si="272"/>
        <v>0</v>
      </c>
      <c r="W2176" s="1" t="str">
        <f t="shared" si="273"/>
        <v/>
      </c>
      <c r="X2176" s="1"/>
      <c r="Y2176" s="1"/>
      <c r="Z2176" s="1"/>
      <c r="AA2176" s="1"/>
      <c r="AB2176" s="1"/>
      <c r="AC2176" s="1"/>
      <c r="AD2176" s="1">
        <f>IF($C2176="",0,SUMPRODUCT((AY_SONU!$O$7:$O$42="Evet")*(AY_SONU!$B$7:$B$42=DATE(YEAR($C2176),MONTH($C2176),1))))</f>
        <v>0</v>
      </c>
      <c r="AE2176" s="1" t="str">
        <f>IF($E2176="","",$E2176&amp;"|"&amp;COUNTIFS($E$7:$E2176,$E2176))</f>
        <v/>
      </c>
    </row>
    <row r="2177" spans="1:31" ht="18" customHeight="1" x14ac:dyDescent="0.3">
      <c r="A2177" s="2"/>
      <c r="B2177" s="65" t="str">
        <f t="shared" si="266"/>
        <v/>
      </c>
      <c r="C2177" s="66"/>
      <c r="D2177" s="60"/>
      <c r="E2177" s="61"/>
      <c r="F2177" s="61"/>
      <c r="G2177" s="67"/>
      <c r="H2177" s="60"/>
      <c r="I2177" s="60"/>
      <c r="J2177" s="61"/>
      <c r="K2177" s="61"/>
      <c r="L2177" s="60"/>
      <c r="M2177" s="74" t="str">
        <f t="shared" si="267"/>
        <v/>
      </c>
      <c r="N2177" s="74" t="str">
        <f t="shared" si="268"/>
        <v/>
      </c>
      <c r="O2177" s="73" t="str">
        <f t="shared" si="269"/>
        <v/>
      </c>
      <c r="P2177" s="65" t="str">
        <f t="shared" ca="1" si="270"/>
        <v/>
      </c>
      <c r="Q2177" s="2"/>
      <c r="R2177" s="2"/>
      <c r="S2177" s="1" t="str">
        <f t="shared" si="271"/>
        <v/>
      </c>
      <c r="T2177" s="1" t="str">
        <f>IF(OR($C2177="",$D2177&lt;&gt;"Gelir",$L2177=""),"",IFERROR(INDEX(MUSTERILER!$B$7:$B$156,MATCH($S2177,MUSTERILER!$T$7:$T$156,0)),""))</f>
        <v/>
      </c>
      <c r="U2177" s="1" t="str">
        <f>IF($T2177="","",$T2177&amp;"|"&amp;COUNTIFS($T$7:$T2177,$T2177))</f>
        <v/>
      </c>
      <c r="V2177" s="1">
        <f t="shared" si="272"/>
        <v>0</v>
      </c>
      <c r="W2177" s="1" t="str">
        <f t="shared" si="273"/>
        <v/>
      </c>
      <c r="X2177" s="1"/>
      <c r="Y2177" s="1"/>
      <c r="Z2177" s="1"/>
      <c r="AA2177" s="1"/>
      <c r="AB2177" s="1"/>
      <c r="AC2177" s="1"/>
      <c r="AD2177" s="1">
        <f>IF($C2177="",0,SUMPRODUCT((AY_SONU!$O$7:$O$42="Evet")*(AY_SONU!$B$7:$B$42=DATE(YEAR($C2177),MONTH($C2177),1))))</f>
        <v>0</v>
      </c>
      <c r="AE2177" s="1" t="str">
        <f>IF($E2177="","",$E2177&amp;"|"&amp;COUNTIFS($E$7:$E2177,$E2177))</f>
        <v/>
      </c>
    </row>
    <row r="2178" spans="1:31" ht="18" customHeight="1" x14ac:dyDescent="0.3">
      <c r="A2178" s="2"/>
      <c r="B2178" s="65" t="str">
        <f t="shared" si="266"/>
        <v/>
      </c>
      <c r="C2178" s="66"/>
      <c r="D2178" s="60"/>
      <c r="E2178" s="61"/>
      <c r="F2178" s="61"/>
      <c r="G2178" s="67"/>
      <c r="H2178" s="60"/>
      <c r="I2178" s="60"/>
      <c r="J2178" s="61"/>
      <c r="K2178" s="61"/>
      <c r="L2178" s="60"/>
      <c r="M2178" s="74" t="str">
        <f t="shared" si="267"/>
        <v/>
      </c>
      <c r="N2178" s="74" t="str">
        <f t="shared" si="268"/>
        <v/>
      </c>
      <c r="O2178" s="73" t="str">
        <f t="shared" si="269"/>
        <v/>
      </c>
      <c r="P2178" s="65" t="str">
        <f t="shared" ca="1" si="270"/>
        <v/>
      </c>
      <c r="Q2178" s="2"/>
      <c r="R2178" s="2"/>
      <c r="S2178" s="1" t="str">
        <f t="shared" si="271"/>
        <v/>
      </c>
      <c r="T2178" s="1" t="str">
        <f>IF(OR($C2178="",$D2178&lt;&gt;"Gelir",$L2178=""),"",IFERROR(INDEX(MUSTERILER!$B$7:$B$156,MATCH($S2178,MUSTERILER!$T$7:$T$156,0)),""))</f>
        <v/>
      </c>
      <c r="U2178" s="1" t="str">
        <f>IF($T2178="","",$T2178&amp;"|"&amp;COUNTIFS($T$7:$T2178,$T2178))</f>
        <v/>
      </c>
      <c r="V2178" s="1">
        <f t="shared" si="272"/>
        <v>0</v>
      </c>
      <c r="W2178" s="1" t="str">
        <f t="shared" si="273"/>
        <v/>
      </c>
      <c r="X2178" s="1"/>
      <c r="Y2178" s="1"/>
      <c r="Z2178" s="1"/>
      <c r="AA2178" s="1"/>
      <c r="AB2178" s="1"/>
      <c r="AC2178" s="1"/>
      <c r="AD2178" s="1">
        <f>IF($C2178="",0,SUMPRODUCT((AY_SONU!$O$7:$O$42="Evet")*(AY_SONU!$B$7:$B$42=DATE(YEAR($C2178),MONTH($C2178),1))))</f>
        <v>0</v>
      </c>
      <c r="AE2178" s="1" t="str">
        <f>IF($E2178="","",$E2178&amp;"|"&amp;COUNTIFS($E$7:$E2178,$E2178))</f>
        <v/>
      </c>
    </row>
    <row r="2179" spans="1:31" ht="18" customHeight="1" x14ac:dyDescent="0.3">
      <c r="A2179" s="2"/>
      <c r="B2179" s="65" t="str">
        <f t="shared" si="266"/>
        <v/>
      </c>
      <c r="C2179" s="66"/>
      <c r="D2179" s="60"/>
      <c r="E2179" s="61"/>
      <c r="F2179" s="61"/>
      <c r="G2179" s="67"/>
      <c r="H2179" s="60"/>
      <c r="I2179" s="60"/>
      <c r="J2179" s="61"/>
      <c r="K2179" s="61"/>
      <c r="L2179" s="60"/>
      <c r="M2179" s="74" t="str">
        <f t="shared" si="267"/>
        <v/>
      </c>
      <c r="N2179" s="74" t="str">
        <f t="shared" si="268"/>
        <v/>
      </c>
      <c r="O2179" s="73" t="str">
        <f t="shared" si="269"/>
        <v/>
      </c>
      <c r="P2179" s="65" t="str">
        <f t="shared" ca="1" si="270"/>
        <v/>
      </c>
      <c r="Q2179" s="2"/>
      <c r="R2179" s="2"/>
      <c r="S2179" s="1" t="str">
        <f t="shared" si="271"/>
        <v/>
      </c>
      <c r="T2179" s="1" t="str">
        <f>IF(OR($C2179="",$D2179&lt;&gt;"Gelir",$L2179=""),"",IFERROR(INDEX(MUSTERILER!$B$7:$B$156,MATCH($S2179,MUSTERILER!$T$7:$T$156,0)),""))</f>
        <v/>
      </c>
      <c r="U2179" s="1" t="str">
        <f>IF($T2179="","",$T2179&amp;"|"&amp;COUNTIFS($T$7:$T2179,$T2179))</f>
        <v/>
      </c>
      <c r="V2179" s="1">
        <f t="shared" si="272"/>
        <v>0</v>
      </c>
      <c r="W2179" s="1" t="str">
        <f t="shared" si="273"/>
        <v/>
      </c>
      <c r="X2179" s="1"/>
      <c r="Y2179" s="1"/>
      <c r="Z2179" s="1"/>
      <c r="AA2179" s="1"/>
      <c r="AB2179" s="1"/>
      <c r="AC2179" s="1"/>
      <c r="AD2179" s="1">
        <f>IF($C2179="",0,SUMPRODUCT((AY_SONU!$O$7:$O$42="Evet")*(AY_SONU!$B$7:$B$42=DATE(YEAR($C2179),MONTH($C2179),1))))</f>
        <v>0</v>
      </c>
      <c r="AE2179" s="1" t="str">
        <f>IF($E2179="","",$E2179&amp;"|"&amp;COUNTIFS($E$7:$E2179,$E2179))</f>
        <v/>
      </c>
    </row>
    <row r="2180" spans="1:31" ht="18" customHeight="1" x14ac:dyDescent="0.3">
      <c r="A2180" s="2"/>
      <c r="B2180" s="65" t="str">
        <f t="shared" si="266"/>
        <v/>
      </c>
      <c r="C2180" s="66"/>
      <c r="D2180" s="60"/>
      <c r="E2180" s="61"/>
      <c r="F2180" s="61"/>
      <c r="G2180" s="67"/>
      <c r="H2180" s="60"/>
      <c r="I2180" s="60"/>
      <c r="J2180" s="61"/>
      <c r="K2180" s="61"/>
      <c r="L2180" s="60"/>
      <c r="M2180" s="74" t="str">
        <f t="shared" si="267"/>
        <v/>
      </c>
      <c r="N2180" s="74" t="str">
        <f t="shared" si="268"/>
        <v/>
      </c>
      <c r="O2180" s="73" t="str">
        <f t="shared" si="269"/>
        <v/>
      </c>
      <c r="P2180" s="65" t="str">
        <f t="shared" ca="1" si="270"/>
        <v/>
      </c>
      <c r="Q2180" s="2"/>
      <c r="R2180" s="2"/>
      <c r="S2180" s="1" t="str">
        <f t="shared" si="271"/>
        <v/>
      </c>
      <c r="T2180" s="1" t="str">
        <f>IF(OR($C2180="",$D2180&lt;&gt;"Gelir",$L2180=""),"",IFERROR(INDEX(MUSTERILER!$B$7:$B$156,MATCH($S2180,MUSTERILER!$T$7:$T$156,0)),""))</f>
        <v/>
      </c>
      <c r="U2180" s="1" t="str">
        <f>IF($T2180="","",$T2180&amp;"|"&amp;COUNTIFS($T$7:$T2180,$T2180))</f>
        <v/>
      </c>
      <c r="V2180" s="1">
        <f t="shared" si="272"/>
        <v>0</v>
      </c>
      <c r="W2180" s="1" t="str">
        <f t="shared" si="273"/>
        <v/>
      </c>
      <c r="X2180" s="1"/>
      <c r="Y2180" s="1"/>
      <c r="Z2180" s="1"/>
      <c r="AA2180" s="1"/>
      <c r="AB2180" s="1"/>
      <c r="AC2180" s="1"/>
      <c r="AD2180" s="1">
        <f>IF($C2180="",0,SUMPRODUCT((AY_SONU!$O$7:$O$42="Evet")*(AY_SONU!$B$7:$B$42=DATE(YEAR($C2180),MONTH($C2180),1))))</f>
        <v>0</v>
      </c>
      <c r="AE2180" s="1" t="str">
        <f>IF($E2180="","",$E2180&amp;"|"&amp;COUNTIFS($E$7:$E2180,$E2180))</f>
        <v/>
      </c>
    </row>
    <row r="2181" spans="1:31" ht="18" customHeight="1" x14ac:dyDescent="0.3">
      <c r="A2181" s="2"/>
      <c r="B2181" s="65" t="str">
        <f t="shared" si="266"/>
        <v/>
      </c>
      <c r="C2181" s="66"/>
      <c r="D2181" s="60"/>
      <c r="E2181" s="61"/>
      <c r="F2181" s="61"/>
      <c r="G2181" s="67"/>
      <c r="H2181" s="60"/>
      <c r="I2181" s="60"/>
      <c r="J2181" s="61"/>
      <c r="K2181" s="61"/>
      <c r="L2181" s="60"/>
      <c r="M2181" s="74" t="str">
        <f t="shared" si="267"/>
        <v/>
      </c>
      <c r="N2181" s="74" t="str">
        <f t="shared" si="268"/>
        <v/>
      </c>
      <c r="O2181" s="73" t="str">
        <f t="shared" si="269"/>
        <v/>
      </c>
      <c r="P2181" s="65" t="str">
        <f t="shared" ca="1" si="270"/>
        <v/>
      </c>
      <c r="Q2181" s="2"/>
      <c r="R2181" s="2"/>
      <c r="S2181" s="1" t="str">
        <f t="shared" si="271"/>
        <v/>
      </c>
      <c r="T2181" s="1" t="str">
        <f>IF(OR($C2181="",$D2181&lt;&gt;"Gelir",$L2181=""),"",IFERROR(INDEX(MUSTERILER!$B$7:$B$156,MATCH($S2181,MUSTERILER!$T$7:$T$156,0)),""))</f>
        <v/>
      </c>
      <c r="U2181" s="1" t="str">
        <f>IF($T2181="","",$T2181&amp;"|"&amp;COUNTIFS($T$7:$T2181,$T2181))</f>
        <v/>
      </c>
      <c r="V2181" s="1">
        <f t="shared" si="272"/>
        <v>0</v>
      </c>
      <c r="W2181" s="1" t="str">
        <f t="shared" si="273"/>
        <v/>
      </c>
      <c r="X2181" s="1"/>
      <c r="Y2181" s="1"/>
      <c r="Z2181" s="1"/>
      <c r="AA2181" s="1"/>
      <c r="AB2181" s="1"/>
      <c r="AC2181" s="1"/>
      <c r="AD2181" s="1">
        <f>IF($C2181="",0,SUMPRODUCT((AY_SONU!$O$7:$O$42="Evet")*(AY_SONU!$B$7:$B$42=DATE(YEAR($C2181),MONTH($C2181),1))))</f>
        <v>0</v>
      </c>
      <c r="AE2181" s="1" t="str">
        <f>IF($E2181="","",$E2181&amp;"|"&amp;COUNTIFS($E$7:$E2181,$E2181))</f>
        <v/>
      </c>
    </row>
    <row r="2182" spans="1:31" ht="18" customHeight="1" x14ac:dyDescent="0.3">
      <c r="A2182" s="2"/>
      <c r="B2182" s="65" t="str">
        <f t="shared" si="266"/>
        <v/>
      </c>
      <c r="C2182" s="66"/>
      <c r="D2182" s="60"/>
      <c r="E2182" s="61"/>
      <c r="F2182" s="61"/>
      <c r="G2182" s="67"/>
      <c r="H2182" s="60"/>
      <c r="I2182" s="60"/>
      <c r="J2182" s="61"/>
      <c r="K2182" s="61"/>
      <c r="L2182" s="60"/>
      <c r="M2182" s="74" t="str">
        <f t="shared" si="267"/>
        <v/>
      </c>
      <c r="N2182" s="74" t="str">
        <f t="shared" si="268"/>
        <v/>
      </c>
      <c r="O2182" s="73" t="str">
        <f t="shared" si="269"/>
        <v/>
      </c>
      <c r="P2182" s="65" t="str">
        <f t="shared" ca="1" si="270"/>
        <v/>
      </c>
      <c r="Q2182" s="2"/>
      <c r="R2182" s="2"/>
      <c r="S2182" s="1" t="str">
        <f t="shared" si="271"/>
        <v/>
      </c>
      <c r="T2182" s="1" t="str">
        <f>IF(OR($C2182="",$D2182&lt;&gt;"Gelir",$L2182=""),"",IFERROR(INDEX(MUSTERILER!$B$7:$B$156,MATCH($S2182,MUSTERILER!$T$7:$T$156,0)),""))</f>
        <v/>
      </c>
      <c r="U2182" s="1" t="str">
        <f>IF($T2182="","",$T2182&amp;"|"&amp;COUNTIFS($T$7:$T2182,$T2182))</f>
        <v/>
      </c>
      <c r="V2182" s="1">
        <f t="shared" si="272"/>
        <v>0</v>
      </c>
      <c r="W2182" s="1" t="str">
        <f t="shared" si="273"/>
        <v/>
      </c>
      <c r="X2182" s="1"/>
      <c r="Y2182" s="1"/>
      <c r="Z2182" s="1"/>
      <c r="AA2182" s="1"/>
      <c r="AB2182" s="1"/>
      <c r="AC2182" s="1"/>
      <c r="AD2182" s="1">
        <f>IF($C2182="",0,SUMPRODUCT((AY_SONU!$O$7:$O$42="Evet")*(AY_SONU!$B$7:$B$42=DATE(YEAR($C2182),MONTH($C2182),1))))</f>
        <v>0</v>
      </c>
      <c r="AE2182" s="1" t="str">
        <f>IF($E2182="","",$E2182&amp;"|"&amp;COUNTIFS($E$7:$E2182,$E2182))</f>
        <v/>
      </c>
    </row>
    <row r="2183" spans="1:31" ht="18" customHeight="1" x14ac:dyDescent="0.3">
      <c r="A2183" s="2"/>
      <c r="B2183" s="65" t="str">
        <f t="shared" ref="B2183:B2246" si="274">IF($C2183="","","GG"&amp;TEXT(ROW()-6,"00000"))</f>
        <v/>
      </c>
      <c r="C2183" s="66"/>
      <c r="D2183" s="60"/>
      <c r="E2183" s="61"/>
      <c r="F2183" s="61"/>
      <c r="G2183" s="67"/>
      <c r="H2183" s="60"/>
      <c r="I2183" s="60"/>
      <c r="J2183" s="61"/>
      <c r="K2183" s="61"/>
      <c r="L2183" s="60"/>
      <c r="M2183" s="74" t="str">
        <f t="shared" ref="M2183:M2246" si="275">IF($C2183="","",IF($D2183="Gider",$E2183,IF($L2183&lt;&gt;"",$L2183,$H2183)))</f>
        <v/>
      </c>
      <c r="N2183" s="74" t="str">
        <f t="shared" ref="N2183:N2246" si="276">IF($C2183="","",IF($D2183="Gider",$H2183,$E2183))</f>
        <v/>
      </c>
      <c r="O2183" s="73" t="str">
        <f t="shared" ref="O2183:O2246" si="277">IF($C2183="","",DATE(YEAR($C2183),MONTH($C2183),1))</f>
        <v/>
      </c>
      <c r="P2183" s="65" t="str">
        <f t="shared" ref="P2183:P2246" ca="1" si="278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TARİH",IF(COUNTIF($W$7:$W$3006,$W2183)&gt;1,"MÜKERRER?",IF($AD2183&gt;0,"KAPALI DÖNEM",IF($I2183="Hayır","ÖDENECEK","UYGUN")))),"EKSİK"))))</f>
        <v/>
      </c>
      <c r="Q2183" s="2"/>
      <c r="R2183" s="2"/>
      <c r="S2183" s="1" t="str">
        <f t="shared" ref="S2183:S2246" si="279"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1" t="str">
        <f>IF(OR($C2183="",$D2183&lt;&gt;"Gelir",$L2183=""),"",IFERROR(INDEX(MUSTERILER!$B$7:$B$156,MATCH($S2183,MUSTERILER!$T$7:$T$156,0)),""))</f>
        <v/>
      </c>
      <c r="U2183" s="1" t="str">
        <f>IF($T2183="","",$T2183&amp;"|"&amp;COUNTIFS($T$7:$T2183,$T2183))</f>
        <v/>
      </c>
      <c r="V2183" s="1">
        <f t="shared" ref="V2183:V2246" si="280">IF($T2183="",0,1)</f>
        <v>0</v>
      </c>
      <c r="W2183" s="1" t="str">
        <f t="shared" ref="W2183:W2246" si="281">IF($C2183="","",$D2183&amp;"|"&amp;$E2183&amp;"|"&amp;TEXT($C2183,"0")&amp;"|"&amp;TEXT($G2183,"0")&amp;"|"&amp;$J2183)</f>
        <v/>
      </c>
      <c r="X2183" s="1"/>
      <c r="Y2183" s="1"/>
      <c r="Z2183" s="1"/>
      <c r="AA2183" s="1"/>
      <c r="AB2183" s="1"/>
      <c r="AC2183" s="1"/>
      <c r="AD2183" s="1">
        <f>IF($C2183="",0,SUMPRODUCT((AY_SONU!$O$7:$O$42="Evet")*(AY_SONU!$B$7:$B$42=DATE(YEAR($C2183),MONTH($C2183),1))))</f>
        <v>0</v>
      </c>
      <c r="AE2183" s="1" t="str">
        <f>IF($E2183="","",$E2183&amp;"|"&amp;COUNTIFS($E$7:$E2183,$E2183))</f>
        <v/>
      </c>
    </row>
    <row r="2184" spans="1:31" ht="18" customHeight="1" x14ac:dyDescent="0.3">
      <c r="A2184" s="2"/>
      <c r="B2184" s="65" t="str">
        <f t="shared" si="274"/>
        <v/>
      </c>
      <c r="C2184" s="66"/>
      <c r="D2184" s="60"/>
      <c r="E2184" s="61"/>
      <c r="F2184" s="61"/>
      <c r="G2184" s="67"/>
      <c r="H2184" s="60"/>
      <c r="I2184" s="60"/>
      <c r="J2184" s="61"/>
      <c r="K2184" s="61"/>
      <c r="L2184" s="60"/>
      <c r="M2184" s="74" t="str">
        <f t="shared" si="275"/>
        <v/>
      </c>
      <c r="N2184" s="74" t="str">
        <f t="shared" si="276"/>
        <v/>
      </c>
      <c r="O2184" s="73" t="str">
        <f t="shared" si="277"/>
        <v/>
      </c>
      <c r="P2184" s="65" t="str">
        <f t="shared" ca="1" si="278"/>
        <v/>
      </c>
      <c r="Q2184" s="2"/>
      <c r="R2184" s="2"/>
      <c r="S2184" s="1" t="str">
        <f t="shared" si="279"/>
        <v/>
      </c>
      <c r="T2184" s="1" t="str">
        <f>IF(OR($C2184="",$D2184&lt;&gt;"Gelir",$L2184=""),"",IFERROR(INDEX(MUSTERILER!$B$7:$B$156,MATCH($S2184,MUSTERILER!$T$7:$T$156,0)),""))</f>
        <v/>
      </c>
      <c r="U2184" s="1" t="str">
        <f>IF($T2184="","",$T2184&amp;"|"&amp;COUNTIFS($T$7:$T2184,$T2184))</f>
        <v/>
      </c>
      <c r="V2184" s="1">
        <f t="shared" si="280"/>
        <v>0</v>
      </c>
      <c r="W2184" s="1" t="str">
        <f t="shared" si="281"/>
        <v/>
      </c>
      <c r="X2184" s="1"/>
      <c r="Y2184" s="1"/>
      <c r="Z2184" s="1"/>
      <c r="AA2184" s="1"/>
      <c r="AB2184" s="1"/>
      <c r="AC2184" s="1"/>
      <c r="AD2184" s="1">
        <f>IF($C2184="",0,SUMPRODUCT((AY_SONU!$O$7:$O$42="Evet")*(AY_SONU!$B$7:$B$42=DATE(YEAR($C2184),MONTH($C2184),1))))</f>
        <v>0</v>
      </c>
      <c r="AE2184" s="1" t="str">
        <f>IF($E2184="","",$E2184&amp;"|"&amp;COUNTIFS($E$7:$E2184,$E2184))</f>
        <v/>
      </c>
    </row>
    <row r="2185" spans="1:31" ht="18" customHeight="1" x14ac:dyDescent="0.3">
      <c r="A2185" s="2"/>
      <c r="B2185" s="65" t="str">
        <f t="shared" si="274"/>
        <v/>
      </c>
      <c r="C2185" s="66"/>
      <c r="D2185" s="60"/>
      <c r="E2185" s="61"/>
      <c r="F2185" s="61"/>
      <c r="G2185" s="67"/>
      <c r="H2185" s="60"/>
      <c r="I2185" s="60"/>
      <c r="J2185" s="61"/>
      <c r="K2185" s="61"/>
      <c r="L2185" s="60"/>
      <c r="M2185" s="74" t="str">
        <f t="shared" si="275"/>
        <v/>
      </c>
      <c r="N2185" s="74" t="str">
        <f t="shared" si="276"/>
        <v/>
      </c>
      <c r="O2185" s="73" t="str">
        <f t="shared" si="277"/>
        <v/>
      </c>
      <c r="P2185" s="65" t="str">
        <f t="shared" ca="1" si="278"/>
        <v/>
      </c>
      <c r="Q2185" s="2"/>
      <c r="R2185" s="2"/>
      <c r="S2185" s="1" t="str">
        <f t="shared" si="279"/>
        <v/>
      </c>
      <c r="T2185" s="1" t="str">
        <f>IF(OR($C2185="",$D2185&lt;&gt;"Gelir",$L2185=""),"",IFERROR(INDEX(MUSTERILER!$B$7:$B$156,MATCH($S2185,MUSTERILER!$T$7:$T$156,0)),""))</f>
        <v/>
      </c>
      <c r="U2185" s="1" t="str">
        <f>IF($T2185="","",$T2185&amp;"|"&amp;COUNTIFS($T$7:$T2185,$T2185))</f>
        <v/>
      </c>
      <c r="V2185" s="1">
        <f t="shared" si="280"/>
        <v>0</v>
      </c>
      <c r="W2185" s="1" t="str">
        <f t="shared" si="281"/>
        <v/>
      </c>
      <c r="X2185" s="1"/>
      <c r="Y2185" s="1"/>
      <c r="Z2185" s="1"/>
      <c r="AA2185" s="1"/>
      <c r="AB2185" s="1"/>
      <c r="AC2185" s="1"/>
      <c r="AD2185" s="1">
        <f>IF($C2185="",0,SUMPRODUCT((AY_SONU!$O$7:$O$42="Evet")*(AY_SONU!$B$7:$B$42=DATE(YEAR($C2185),MONTH($C2185),1))))</f>
        <v>0</v>
      </c>
      <c r="AE2185" s="1" t="str">
        <f>IF($E2185="","",$E2185&amp;"|"&amp;COUNTIFS($E$7:$E2185,$E2185))</f>
        <v/>
      </c>
    </row>
    <row r="2186" spans="1:31" ht="18" customHeight="1" x14ac:dyDescent="0.3">
      <c r="A2186" s="2"/>
      <c r="B2186" s="65" t="str">
        <f t="shared" si="274"/>
        <v/>
      </c>
      <c r="C2186" s="66"/>
      <c r="D2186" s="60"/>
      <c r="E2186" s="61"/>
      <c r="F2186" s="61"/>
      <c r="G2186" s="67"/>
      <c r="H2186" s="60"/>
      <c r="I2186" s="60"/>
      <c r="J2186" s="61"/>
      <c r="K2186" s="61"/>
      <c r="L2186" s="60"/>
      <c r="M2186" s="74" t="str">
        <f t="shared" si="275"/>
        <v/>
      </c>
      <c r="N2186" s="74" t="str">
        <f t="shared" si="276"/>
        <v/>
      </c>
      <c r="O2186" s="73" t="str">
        <f t="shared" si="277"/>
        <v/>
      </c>
      <c r="P2186" s="65" t="str">
        <f t="shared" ca="1" si="278"/>
        <v/>
      </c>
      <c r="Q2186" s="2"/>
      <c r="R2186" s="2"/>
      <c r="S2186" s="1" t="str">
        <f t="shared" si="279"/>
        <v/>
      </c>
      <c r="T2186" s="1" t="str">
        <f>IF(OR($C2186="",$D2186&lt;&gt;"Gelir",$L2186=""),"",IFERROR(INDEX(MUSTERILER!$B$7:$B$156,MATCH($S2186,MUSTERILER!$T$7:$T$156,0)),""))</f>
        <v/>
      </c>
      <c r="U2186" s="1" t="str">
        <f>IF($T2186="","",$T2186&amp;"|"&amp;COUNTIFS($T$7:$T2186,$T2186))</f>
        <v/>
      </c>
      <c r="V2186" s="1">
        <f t="shared" si="280"/>
        <v>0</v>
      </c>
      <c r="W2186" s="1" t="str">
        <f t="shared" si="281"/>
        <v/>
      </c>
      <c r="X2186" s="1"/>
      <c r="Y2186" s="1"/>
      <c r="Z2186" s="1"/>
      <c r="AA2186" s="1"/>
      <c r="AB2186" s="1"/>
      <c r="AC2186" s="1"/>
      <c r="AD2186" s="1">
        <f>IF($C2186="",0,SUMPRODUCT((AY_SONU!$O$7:$O$42="Evet")*(AY_SONU!$B$7:$B$42=DATE(YEAR($C2186),MONTH($C2186),1))))</f>
        <v>0</v>
      </c>
      <c r="AE2186" s="1" t="str">
        <f>IF($E2186="","",$E2186&amp;"|"&amp;COUNTIFS($E$7:$E2186,$E2186))</f>
        <v/>
      </c>
    </row>
    <row r="2187" spans="1:31" ht="18" customHeight="1" x14ac:dyDescent="0.3">
      <c r="A2187" s="2"/>
      <c r="B2187" s="65" t="str">
        <f t="shared" si="274"/>
        <v/>
      </c>
      <c r="C2187" s="66"/>
      <c r="D2187" s="60"/>
      <c r="E2187" s="61"/>
      <c r="F2187" s="61"/>
      <c r="G2187" s="67"/>
      <c r="H2187" s="60"/>
      <c r="I2187" s="60"/>
      <c r="J2187" s="61"/>
      <c r="K2187" s="61"/>
      <c r="L2187" s="60"/>
      <c r="M2187" s="74" t="str">
        <f t="shared" si="275"/>
        <v/>
      </c>
      <c r="N2187" s="74" t="str">
        <f t="shared" si="276"/>
        <v/>
      </c>
      <c r="O2187" s="73" t="str">
        <f t="shared" si="277"/>
        <v/>
      </c>
      <c r="P2187" s="65" t="str">
        <f t="shared" ca="1" si="278"/>
        <v/>
      </c>
      <c r="Q2187" s="2"/>
      <c r="R2187" s="2"/>
      <c r="S2187" s="1" t="str">
        <f t="shared" si="279"/>
        <v/>
      </c>
      <c r="T2187" s="1" t="str">
        <f>IF(OR($C2187="",$D2187&lt;&gt;"Gelir",$L2187=""),"",IFERROR(INDEX(MUSTERILER!$B$7:$B$156,MATCH($S2187,MUSTERILER!$T$7:$T$156,0)),""))</f>
        <v/>
      </c>
      <c r="U2187" s="1" t="str">
        <f>IF($T2187="","",$T2187&amp;"|"&amp;COUNTIFS($T$7:$T2187,$T2187))</f>
        <v/>
      </c>
      <c r="V2187" s="1">
        <f t="shared" si="280"/>
        <v>0</v>
      </c>
      <c r="W2187" s="1" t="str">
        <f t="shared" si="281"/>
        <v/>
      </c>
      <c r="X2187" s="1"/>
      <c r="Y2187" s="1"/>
      <c r="Z2187" s="1"/>
      <c r="AA2187" s="1"/>
      <c r="AB2187" s="1"/>
      <c r="AC2187" s="1"/>
      <c r="AD2187" s="1">
        <f>IF($C2187="",0,SUMPRODUCT((AY_SONU!$O$7:$O$42="Evet")*(AY_SONU!$B$7:$B$42=DATE(YEAR($C2187),MONTH($C2187),1))))</f>
        <v>0</v>
      </c>
      <c r="AE2187" s="1" t="str">
        <f>IF($E2187="","",$E2187&amp;"|"&amp;COUNTIFS($E$7:$E2187,$E2187))</f>
        <v/>
      </c>
    </row>
    <row r="2188" spans="1:31" ht="18" customHeight="1" x14ac:dyDescent="0.3">
      <c r="A2188" s="2"/>
      <c r="B2188" s="65" t="str">
        <f t="shared" si="274"/>
        <v/>
      </c>
      <c r="C2188" s="66"/>
      <c r="D2188" s="60"/>
      <c r="E2188" s="61"/>
      <c r="F2188" s="61"/>
      <c r="G2188" s="67"/>
      <c r="H2188" s="60"/>
      <c r="I2188" s="60"/>
      <c r="J2188" s="61"/>
      <c r="K2188" s="61"/>
      <c r="L2188" s="60"/>
      <c r="M2188" s="74" t="str">
        <f t="shared" si="275"/>
        <v/>
      </c>
      <c r="N2188" s="74" t="str">
        <f t="shared" si="276"/>
        <v/>
      </c>
      <c r="O2188" s="73" t="str">
        <f t="shared" si="277"/>
        <v/>
      </c>
      <c r="P2188" s="65" t="str">
        <f t="shared" ca="1" si="278"/>
        <v/>
      </c>
      <c r="Q2188" s="2"/>
      <c r="R2188" s="2"/>
      <c r="S2188" s="1" t="str">
        <f t="shared" si="279"/>
        <v/>
      </c>
      <c r="T2188" s="1" t="str">
        <f>IF(OR($C2188="",$D2188&lt;&gt;"Gelir",$L2188=""),"",IFERROR(INDEX(MUSTERILER!$B$7:$B$156,MATCH($S2188,MUSTERILER!$T$7:$T$156,0)),""))</f>
        <v/>
      </c>
      <c r="U2188" s="1" t="str">
        <f>IF($T2188="","",$T2188&amp;"|"&amp;COUNTIFS($T$7:$T2188,$T2188))</f>
        <v/>
      </c>
      <c r="V2188" s="1">
        <f t="shared" si="280"/>
        <v>0</v>
      </c>
      <c r="W2188" s="1" t="str">
        <f t="shared" si="281"/>
        <v/>
      </c>
      <c r="X2188" s="1"/>
      <c r="Y2188" s="1"/>
      <c r="Z2188" s="1"/>
      <c r="AA2188" s="1"/>
      <c r="AB2188" s="1"/>
      <c r="AC2188" s="1"/>
      <c r="AD2188" s="1">
        <f>IF($C2188="",0,SUMPRODUCT((AY_SONU!$O$7:$O$42="Evet")*(AY_SONU!$B$7:$B$42=DATE(YEAR($C2188),MONTH($C2188),1))))</f>
        <v>0</v>
      </c>
      <c r="AE2188" s="1" t="str">
        <f>IF($E2188="","",$E2188&amp;"|"&amp;COUNTIFS($E$7:$E2188,$E2188))</f>
        <v/>
      </c>
    </row>
    <row r="2189" spans="1:31" ht="18" customHeight="1" x14ac:dyDescent="0.3">
      <c r="A2189" s="2"/>
      <c r="B2189" s="65" t="str">
        <f t="shared" si="274"/>
        <v/>
      </c>
      <c r="C2189" s="66"/>
      <c r="D2189" s="60"/>
      <c r="E2189" s="61"/>
      <c r="F2189" s="61"/>
      <c r="G2189" s="67"/>
      <c r="H2189" s="60"/>
      <c r="I2189" s="60"/>
      <c r="J2189" s="61"/>
      <c r="K2189" s="61"/>
      <c r="L2189" s="60"/>
      <c r="M2189" s="74" t="str">
        <f t="shared" si="275"/>
        <v/>
      </c>
      <c r="N2189" s="74" t="str">
        <f t="shared" si="276"/>
        <v/>
      </c>
      <c r="O2189" s="73" t="str">
        <f t="shared" si="277"/>
        <v/>
      </c>
      <c r="P2189" s="65" t="str">
        <f t="shared" ca="1" si="278"/>
        <v/>
      </c>
      <c r="Q2189" s="2"/>
      <c r="R2189" s="2"/>
      <c r="S2189" s="1" t="str">
        <f t="shared" si="279"/>
        <v/>
      </c>
      <c r="T2189" s="1" t="str">
        <f>IF(OR($C2189="",$D2189&lt;&gt;"Gelir",$L2189=""),"",IFERROR(INDEX(MUSTERILER!$B$7:$B$156,MATCH($S2189,MUSTERILER!$T$7:$T$156,0)),""))</f>
        <v/>
      </c>
      <c r="U2189" s="1" t="str">
        <f>IF($T2189="","",$T2189&amp;"|"&amp;COUNTIFS($T$7:$T2189,$T2189))</f>
        <v/>
      </c>
      <c r="V2189" s="1">
        <f t="shared" si="280"/>
        <v>0</v>
      </c>
      <c r="W2189" s="1" t="str">
        <f t="shared" si="281"/>
        <v/>
      </c>
      <c r="X2189" s="1"/>
      <c r="Y2189" s="1"/>
      <c r="Z2189" s="1"/>
      <c r="AA2189" s="1"/>
      <c r="AB2189" s="1"/>
      <c r="AC2189" s="1"/>
      <c r="AD2189" s="1">
        <f>IF($C2189="",0,SUMPRODUCT((AY_SONU!$O$7:$O$42="Evet")*(AY_SONU!$B$7:$B$42=DATE(YEAR($C2189),MONTH($C2189),1))))</f>
        <v>0</v>
      </c>
      <c r="AE2189" s="1" t="str">
        <f>IF($E2189="","",$E2189&amp;"|"&amp;COUNTIFS($E$7:$E2189,$E2189))</f>
        <v/>
      </c>
    </row>
    <row r="2190" spans="1:31" ht="18" customHeight="1" x14ac:dyDescent="0.3">
      <c r="A2190" s="2"/>
      <c r="B2190" s="65" t="str">
        <f t="shared" si="274"/>
        <v/>
      </c>
      <c r="C2190" s="66"/>
      <c r="D2190" s="60"/>
      <c r="E2190" s="61"/>
      <c r="F2190" s="61"/>
      <c r="G2190" s="67"/>
      <c r="H2190" s="60"/>
      <c r="I2190" s="60"/>
      <c r="J2190" s="61"/>
      <c r="K2190" s="61"/>
      <c r="L2190" s="60"/>
      <c r="M2190" s="74" t="str">
        <f t="shared" si="275"/>
        <v/>
      </c>
      <c r="N2190" s="74" t="str">
        <f t="shared" si="276"/>
        <v/>
      </c>
      <c r="O2190" s="73" t="str">
        <f t="shared" si="277"/>
        <v/>
      </c>
      <c r="P2190" s="65" t="str">
        <f t="shared" ca="1" si="278"/>
        <v/>
      </c>
      <c r="Q2190" s="2"/>
      <c r="R2190" s="2"/>
      <c r="S2190" s="1" t="str">
        <f t="shared" si="279"/>
        <v/>
      </c>
      <c r="T2190" s="1" t="str">
        <f>IF(OR($C2190="",$D2190&lt;&gt;"Gelir",$L2190=""),"",IFERROR(INDEX(MUSTERILER!$B$7:$B$156,MATCH($S2190,MUSTERILER!$T$7:$T$156,0)),""))</f>
        <v/>
      </c>
      <c r="U2190" s="1" t="str">
        <f>IF($T2190="","",$T2190&amp;"|"&amp;COUNTIFS($T$7:$T2190,$T2190))</f>
        <v/>
      </c>
      <c r="V2190" s="1">
        <f t="shared" si="280"/>
        <v>0</v>
      </c>
      <c r="W2190" s="1" t="str">
        <f t="shared" si="281"/>
        <v/>
      </c>
      <c r="X2190" s="1"/>
      <c r="Y2190" s="1"/>
      <c r="Z2190" s="1"/>
      <c r="AA2190" s="1"/>
      <c r="AB2190" s="1"/>
      <c r="AC2190" s="1"/>
      <c r="AD2190" s="1">
        <f>IF($C2190="",0,SUMPRODUCT((AY_SONU!$O$7:$O$42="Evet")*(AY_SONU!$B$7:$B$42=DATE(YEAR($C2190),MONTH($C2190),1))))</f>
        <v>0</v>
      </c>
      <c r="AE2190" s="1" t="str">
        <f>IF($E2190="","",$E2190&amp;"|"&amp;COUNTIFS($E$7:$E2190,$E2190))</f>
        <v/>
      </c>
    </row>
    <row r="2191" spans="1:31" ht="18" customHeight="1" x14ac:dyDescent="0.3">
      <c r="A2191" s="2"/>
      <c r="B2191" s="65" t="str">
        <f t="shared" si="274"/>
        <v/>
      </c>
      <c r="C2191" s="66"/>
      <c r="D2191" s="60"/>
      <c r="E2191" s="61"/>
      <c r="F2191" s="61"/>
      <c r="G2191" s="67"/>
      <c r="H2191" s="60"/>
      <c r="I2191" s="60"/>
      <c r="J2191" s="61"/>
      <c r="K2191" s="61"/>
      <c r="L2191" s="60"/>
      <c r="M2191" s="74" t="str">
        <f t="shared" si="275"/>
        <v/>
      </c>
      <c r="N2191" s="74" t="str">
        <f t="shared" si="276"/>
        <v/>
      </c>
      <c r="O2191" s="73" t="str">
        <f t="shared" si="277"/>
        <v/>
      </c>
      <c r="P2191" s="65" t="str">
        <f t="shared" ca="1" si="278"/>
        <v/>
      </c>
      <c r="Q2191" s="2"/>
      <c r="R2191" s="2"/>
      <c r="S2191" s="1" t="str">
        <f t="shared" si="279"/>
        <v/>
      </c>
      <c r="T2191" s="1" t="str">
        <f>IF(OR($C2191="",$D2191&lt;&gt;"Gelir",$L2191=""),"",IFERROR(INDEX(MUSTERILER!$B$7:$B$156,MATCH($S2191,MUSTERILER!$T$7:$T$156,0)),""))</f>
        <v/>
      </c>
      <c r="U2191" s="1" t="str">
        <f>IF($T2191="","",$T2191&amp;"|"&amp;COUNTIFS($T$7:$T2191,$T2191))</f>
        <v/>
      </c>
      <c r="V2191" s="1">
        <f t="shared" si="280"/>
        <v>0</v>
      </c>
      <c r="W2191" s="1" t="str">
        <f t="shared" si="281"/>
        <v/>
      </c>
      <c r="X2191" s="1"/>
      <c r="Y2191" s="1"/>
      <c r="Z2191" s="1"/>
      <c r="AA2191" s="1"/>
      <c r="AB2191" s="1"/>
      <c r="AC2191" s="1"/>
      <c r="AD2191" s="1">
        <f>IF($C2191="",0,SUMPRODUCT((AY_SONU!$O$7:$O$42="Evet")*(AY_SONU!$B$7:$B$42=DATE(YEAR($C2191),MONTH($C2191),1))))</f>
        <v>0</v>
      </c>
      <c r="AE2191" s="1" t="str">
        <f>IF($E2191="","",$E2191&amp;"|"&amp;COUNTIFS($E$7:$E2191,$E2191))</f>
        <v/>
      </c>
    </row>
    <row r="2192" spans="1:31" ht="18" customHeight="1" x14ac:dyDescent="0.3">
      <c r="A2192" s="2"/>
      <c r="B2192" s="65" t="str">
        <f t="shared" si="274"/>
        <v/>
      </c>
      <c r="C2192" s="66"/>
      <c r="D2192" s="60"/>
      <c r="E2192" s="61"/>
      <c r="F2192" s="61"/>
      <c r="G2192" s="67"/>
      <c r="H2192" s="60"/>
      <c r="I2192" s="60"/>
      <c r="J2192" s="61"/>
      <c r="K2192" s="61"/>
      <c r="L2192" s="60"/>
      <c r="M2192" s="74" t="str">
        <f t="shared" si="275"/>
        <v/>
      </c>
      <c r="N2192" s="74" t="str">
        <f t="shared" si="276"/>
        <v/>
      </c>
      <c r="O2192" s="73" t="str">
        <f t="shared" si="277"/>
        <v/>
      </c>
      <c r="P2192" s="65" t="str">
        <f t="shared" ca="1" si="278"/>
        <v/>
      </c>
      <c r="Q2192" s="2"/>
      <c r="R2192" s="2"/>
      <c r="S2192" s="1" t="str">
        <f t="shared" si="279"/>
        <v/>
      </c>
      <c r="T2192" s="1" t="str">
        <f>IF(OR($C2192="",$D2192&lt;&gt;"Gelir",$L2192=""),"",IFERROR(INDEX(MUSTERILER!$B$7:$B$156,MATCH($S2192,MUSTERILER!$T$7:$T$156,0)),""))</f>
        <v/>
      </c>
      <c r="U2192" s="1" t="str">
        <f>IF($T2192="","",$T2192&amp;"|"&amp;COUNTIFS($T$7:$T2192,$T2192))</f>
        <v/>
      </c>
      <c r="V2192" s="1">
        <f t="shared" si="280"/>
        <v>0</v>
      </c>
      <c r="W2192" s="1" t="str">
        <f t="shared" si="281"/>
        <v/>
      </c>
      <c r="X2192" s="1"/>
      <c r="Y2192" s="1"/>
      <c r="Z2192" s="1"/>
      <c r="AA2192" s="1"/>
      <c r="AB2192" s="1"/>
      <c r="AC2192" s="1"/>
      <c r="AD2192" s="1">
        <f>IF($C2192="",0,SUMPRODUCT((AY_SONU!$O$7:$O$42="Evet")*(AY_SONU!$B$7:$B$42=DATE(YEAR($C2192),MONTH($C2192),1))))</f>
        <v>0</v>
      </c>
      <c r="AE2192" s="1" t="str">
        <f>IF($E2192="","",$E2192&amp;"|"&amp;COUNTIFS($E$7:$E2192,$E2192))</f>
        <v/>
      </c>
    </row>
    <row r="2193" spans="1:31" ht="18" customHeight="1" x14ac:dyDescent="0.3">
      <c r="A2193" s="2"/>
      <c r="B2193" s="65" t="str">
        <f t="shared" si="274"/>
        <v/>
      </c>
      <c r="C2193" s="66"/>
      <c r="D2193" s="60"/>
      <c r="E2193" s="61"/>
      <c r="F2193" s="61"/>
      <c r="G2193" s="67"/>
      <c r="H2193" s="60"/>
      <c r="I2193" s="60"/>
      <c r="J2193" s="61"/>
      <c r="K2193" s="61"/>
      <c r="L2193" s="60"/>
      <c r="M2193" s="74" t="str">
        <f t="shared" si="275"/>
        <v/>
      </c>
      <c r="N2193" s="74" t="str">
        <f t="shared" si="276"/>
        <v/>
      </c>
      <c r="O2193" s="73" t="str">
        <f t="shared" si="277"/>
        <v/>
      </c>
      <c r="P2193" s="65" t="str">
        <f t="shared" ca="1" si="278"/>
        <v/>
      </c>
      <c r="Q2193" s="2"/>
      <c r="R2193" s="2"/>
      <c r="S2193" s="1" t="str">
        <f t="shared" si="279"/>
        <v/>
      </c>
      <c r="T2193" s="1" t="str">
        <f>IF(OR($C2193="",$D2193&lt;&gt;"Gelir",$L2193=""),"",IFERROR(INDEX(MUSTERILER!$B$7:$B$156,MATCH($S2193,MUSTERILER!$T$7:$T$156,0)),""))</f>
        <v/>
      </c>
      <c r="U2193" s="1" t="str">
        <f>IF($T2193="","",$T2193&amp;"|"&amp;COUNTIFS($T$7:$T2193,$T2193))</f>
        <v/>
      </c>
      <c r="V2193" s="1">
        <f t="shared" si="280"/>
        <v>0</v>
      </c>
      <c r="W2193" s="1" t="str">
        <f t="shared" si="281"/>
        <v/>
      </c>
      <c r="X2193" s="1"/>
      <c r="Y2193" s="1"/>
      <c r="Z2193" s="1"/>
      <c r="AA2193" s="1"/>
      <c r="AB2193" s="1"/>
      <c r="AC2193" s="1"/>
      <c r="AD2193" s="1">
        <f>IF($C2193="",0,SUMPRODUCT((AY_SONU!$O$7:$O$42="Evet")*(AY_SONU!$B$7:$B$42=DATE(YEAR($C2193),MONTH($C2193),1))))</f>
        <v>0</v>
      </c>
      <c r="AE2193" s="1" t="str">
        <f>IF($E2193="","",$E2193&amp;"|"&amp;COUNTIFS($E$7:$E2193,$E2193))</f>
        <v/>
      </c>
    </row>
    <row r="2194" spans="1:31" ht="18" customHeight="1" x14ac:dyDescent="0.3">
      <c r="A2194" s="2"/>
      <c r="B2194" s="65" t="str">
        <f t="shared" si="274"/>
        <v/>
      </c>
      <c r="C2194" s="66"/>
      <c r="D2194" s="60"/>
      <c r="E2194" s="61"/>
      <c r="F2194" s="61"/>
      <c r="G2194" s="67"/>
      <c r="H2194" s="60"/>
      <c r="I2194" s="60"/>
      <c r="J2194" s="61"/>
      <c r="K2194" s="61"/>
      <c r="L2194" s="60"/>
      <c r="M2194" s="74" t="str">
        <f t="shared" si="275"/>
        <v/>
      </c>
      <c r="N2194" s="74" t="str">
        <f t="shared" si="276"/>
        <v/>
      </c>
      <c r="O2194" s="73" t="str">
        <f t="shared" si="277"/>
        <v/>
      </c>
      <c r="P2194" s="65" t="str">
        <f t="shared" ca="1" si="278"/>
        <v/>
      </c>
      <c r="Q2194" s="2"/>
      <c r="R2194" s="2"/>
      <c r="S2194" s="1" t="str">
        <f t="shared" si="279"/>
        <v/>
      </c>
      <c r="T2194" s="1" t="str">
        <f>IF(OR($C2194="",$D2194&lt;&gt;"Gelir",$L2194=""),"",IFERROR(INDEX(MUSTERILER!$B$7:$B$156,MATCH($S2194,MUSTERILER!$T$7:$T$156,0)),""))</f>
        <v/>
      </c>
      <c r="U2194" s="1" t="str">
        <f>IF($T2194="","",$T2194&amp;"|"&amp;COUNTIFS($T$7:$T2194,$T2194))</f>
        <v/>
      </c>
      <c r="V2194" s="1">
        <f t="shared" si="280"/>
        <v>0</v>
      </c>
      <c r="W2194" s="1" t="str">
        <f t="shared" si="281"/>
        <v/>
      </c>
      <c r="X2194" s="1"/>
      <c r="Y2194" s="1"/>
      <c r="Z2194" s="1"/>
      <c r="AA2194" s="1"/>
      <c r="AB2194" s="1"/>
      <c r="AC2194" s="1"/>
      <c r="AD2194" s="1">
        <f>IF($C2194="",0,SUMPRODUCT((AY_SONU!$O$7:$O$42="Evet")*(AY_SONU!$B$7:$B$42=DATE(YEAR($C2194),MONTH($C2194),1))))</f>
        <v>0</v>
      </c>
      <c r="AE2194" s="1" t="str">
        <f>IF($E2194="","",$E2194&amp;"|"&amp;COUNTIFS($E$7:$E2194,$E2194))</f>
        <v/>
      </c>
    </row>
    <row r="2195" spans="1:31" ht="18" customHeight="1" x14ac:dyDescent="0.3">
      <c r="A2195" s="2"/>
      <c r="B2195" s="65" t="str">
        <f t="shared" si="274"/>
        <v/>
      </c>
      <c r="C2195" s="66"/>
      <c r="D2195" s="60"/>
      <c r="E2195" s="61"/>
      <c r="F2195" s="61"/>
      <c r="G2195" s="67"/>
      <c r="H2195" s="60"/>
      <c r="I2195" s="60"/>
      <c r="J2195" s="61"/>
      <c r="K2195" s="61"/>
      <c r="L2195" s="60"/>
      <c r="M2195" s="74" t="str">
        <f t="shared" si="275"/>
        <v/>
      </c>
      <c r="N2195" s="74" t="str">
        <f t="shared" si="276"/>
        <v/>
      </c>
      <c r="O2195" s="73" t="str">
        <f t="shared" si="277"/>
        <v/>
      </c>
      <c r="P2195" s="65" t="str">
        <f t="shared" ca="1" si="278"/>
        <v/>
      </c>
      <c r="Q2195" s="2"/>
      <c r="R2195" s="2"/>
      <c r="S2195" s="1" t="str">
        <f t="shared" si="279"/>
        <v/>
      </c>
      <c r="T2195" s="1" t="str">
        <f>IF(OR($C2195="",$D2195&lt;&gt;"Gelir",$L2195=""),"",IFERROR(INDEX(MUSTERILER!$B$7:$B$156,MATCH($S2195,MUSTERILER!$T$7:$T$156,0)),""))</f>
        <v/>
      </c>
      <c r="U2195" s="1" t="str">
        <f>IF($T2195="","",$T2195&amp;"|"&amp;COUNTIFS($T$7:$T2195,$T2195))</f>
        <v/>
      </c>
      <c r="V2195" s="1">
        <f t="shared" si="280"/>
        <v>0</v>
      </c>
      <c r="W2195" s="1" t="str">
        <f t="shared" si="281"/>
        <v/>
      </c>
      <c r="X2195" s="1"/>
      <c r="Y2195" s="1"/>
      <c r="Z2195" s="1"/>
      <c r="AA2195" s="1"/>
      <c r="AB2195" s="1"/>
      <c r="AC2195" s="1"/>
      <c r="AD2195" s="1">
        <f>IF($C2195="",0,SUMPRODUCT((AY_SONU!$O$7:$O$42="Evet")*(AY_SONU!$B$7:$B$42=DATE(YEAR($C2195),MONTH($C2195),1))))</f>
        <v>0</v>
      </c>
      <c r="AE2195" s="1" t="str">
        <f>IF($E2195="","",$E2195&amp;"|"&amp;COUNTIFS($E$7:$E2195,$E2195))</f>
        <v/>
      </c>
    </row>
    <row r="2196" spans="1:31" ht="18" customHeight="1" x14ac:dyDescent="0.3">
      <c r="A2196" s="2"/>
      <c r="B2196" s="65" t="str">
        <f t="shared" si="274"/>
        <v/>
      </c>
      <c r="C2196" s="66"/>
      <c r="D2196" s="60"/>
      <c r="E2196" s="61"/>
      <c r="F2196" s="61"/>
      <c r="G2196" s="67"/>
      <c r="H2196" s="60"/>
      <c r="I2196" s="60"/>
      <c r="J2196" s="61"/>
      <c r="K2196" s="61"/>
      <c r="L2196" s="60"/>
      <c r="M2196" s="74" t="str">
        <f t="shared" si="275"/>
        <v/>
      </c>
      <c r="N2196" s="74" t="str">
        <f t="shared" si="276"/>
        <v/>
      </c>
      <c r="O2196" s="73" t="str">
        <f t="shared" si="277"/>
        <v/>
      </c>
      <c r="P2196" s="65" t="str">
        <f t="shared" ca="1" si="278"/>
        <v/>
      </c>
      <c r="Q2196" s="2"/>
      <c r="R2196" s="2"/>
      <c r="S2196" s="1" t="str">
        <f t="shared" si="279"/>
        <v/>
      </c>
      <c r="T2196" s="1" t="str">
        <f>IF(OR($C2196="",$D2196&lt;&gt;"Gelir",$L2196=""),"",IFERROR(INDEX(MUSTERILER!$B$7:$B$156,MATCH($S2196,MUSTERILER!$T$7:$T$156,0)),""))</f>
        <v/>
      </c>
      <c r="U2196" s="1" t="str">
        <f>IF($T2196="","",$T2196&amp;"|"&amp;COUNTIFS($T$7:$T2196,$T2196))</f>
        <v/>
      </c>
      <c r="V2196" s="1">
        <f t="shared" si="280"/>
        <v>0</v>
      </c>
      <c r="W2196" s="1" t="str">
        <f t="shared" si="281"/>
        <v/>
      </c>
      <c r="X2196" s="1"/>
      <c r="Y2196" s="1"/>
      <c r="Z2196" s="1"/>
      <c r="AA2196" s="1"/>
      <c r="AB2196" s="1"/>
      <c r="AC2196" s="1"/>
      <c r="AD2196" s="1">
        <f>IF($C2196="",0,SUMPRODUCT((AY_SONU!$O$7:$O$42="Evet")*(AY_SONU!$B$7:$B$42=DATE(YEAR($C2196),MONTH($C2196),1))))</f>
        <v>0</v>
      </c>
      <c r="AE2196" s="1" t="str">
        <f>IF($E2196="","",$E2196&amp;"|"&amp;COUNTIFS($E$7:$E2196,$E2196))</f>
        <v/>
      </c>
    </row>
    <row r="2197" spans="1:31" ht="18" customHeight="1" x14ac:dyDescent="0.3">
      <c r="A2197" s="2"/>
      <c r="B2197" s="65" t="str">
        <f t="shared" si="274"/>
        <v/>
      </c>
      <c r="C2197" s="66"/>
      <c r="D2197" s="60"/>
      <c r="E2197" s="61"/>
      <c r="F2197" s="61"/>
      <c r="G2197" s="67"/>
      <c r="H2197" s="60"/>
      <c r="I2197" s="60"/>
      <c r="J2197" s="61"/>
      <c r="K2197" s="61"/>
      <c r="L2197" s="60"/>
      <c r="M2197" s="74" t="str">
        <f t="shared" si="275"/>
        <v/>
      </c>
      <c r="N2197" s="74" t="str">
        <f t="shared" si="276"/>
        <v/>
      </c>
      <c r="O2197" s="73" t="str">
        <f t="shared" si="277"/>
        <v/>
      </c>
      <c r="P2197" s="65" t="str">
        <f t="shared" ca="1" si="278"/>
        <v/>
      </c>
      <c r="Q2197" s="2"/>
      <c r="R2197" s="2"/>
      <c r="S2197" s="1" t="str">
        <f t="shared" si="279"/>
        <v/>
      </c>
      <c r="T2197" s="1" t="str">
        <f>IF(OR($C2197="",$D2197&lt;&gt;"Gelir",$L2197=""),"",IFERROR(INDEX(MUSTERILER!$B$7:$B$156,MATCH($S2197,MUSTERILER!$T$7:$T$156,0)),""))</f>
        <v/>
      </c>
      <c r="U2197" s="1" t="str">
        <f>IF($T2197="","",$T2197&amp;"|"&amp;COUNTIFS($T$7:$T2197,$T2197))</f>
        <v/>
      </c>
      <c r="V2197" s="1">
        <f t="shared" si="280"/>
        <v>0</v>
      </c>
      <c r="W2197" s="1" t="str">
        <f t="shared" si="281"/>
        <v/>
      </c>
      <c r="X2197" s="1"/>
      <c r="Y2197" s="1"/>
      <c r="Z2197" s="1"/>
      <c r="AA2197" s="1"/>
      <c r="AB2197" s="1"/>
      <c r="AC2197" s="1"/>
      <c r="AD2197" s="1">
        <f>IF($C2197="",0,SUMPRODUCT((AY_SONU!$O$7:$O$42="Evet")*(AY_SONU!$B$7:$B$42=DATE(YEAR($C2197),MONTH($C2197),1))))</f>
        <v>0</v>
      </c>
      <c r="AE2197" s="1" t="str">
        <f>IF($E2197="","",$E2197&amp;"|"&amp;COUNTIFS($E$7:$E2197,$E2197))</f>
        <v/>
      </c>
    </row>
    <row r="2198" spans="1:31" ht="18" customHeight="1" x14ac:dyDescent="0.3">
      <c r="A2198" s="2"/>
      <c r="B2198" s="65" t="str">
        <f t="shared" si="274"/>
        <v/>
      </c>
      <c r="C2198" s="66"/>
      <c r="D2198" s="60"/>
      <c r="E2198" s="61"/>
      <c r="F2198" s="61"/>
      <c r="G2198" s="67"/>
      <c r="H2198" s="60"/>
      <c r="I2198" s="60"/>
      <c r="J2198" s="61"/>
      <c r="K2198" s="61"/>
      <c r="L2198" s="60"/>
      <c r="M2198" s="74" t="str">
        <f t="shared" si="275"/>
        <v/>
      </c>
      <c r="N2198" s="74" t="str">
        <f t="shared" si="276"/>
        <v/>
      </c>
      <c r="O2198" s="73" t="str">
        <f t="shared" si="277"/>
        <v/>
      </c>
      <c r="P2198" s="65" t="str">
        <f t="shared" ca="1" si="278"/>
        <v/>
      </c>
      <c r="Q2198" s="2"/>
      <c r="R2198" s="2"/>
      <c r="S2198" s="1" t="str">
        <f t="shared" si="279"/>
        <v/>
      </c>
      <c r="T2198" s="1" t="str">
        <f>IF(OR($C2198="",$D2198&lt;&gt;"Gelir",$L2198=""),"",IFERROR(INDEX(MUSTERILER!$B$7:$B$156,MATCH($S2198,MUSTERILER!$T$7:$T$156,0)),""))</f>
        <v/>
      </c>
      <c r="U2198" s="1" t="str">
        <f>IF($T2198="","",$T2198&amp;"|"&amp;COUNTIFS($T$7:$T2198,$T2198))</f>
        <v/>
      </c>
      <c r="V2198" s="1">
        <f t="shared" si="280"/>
        <v>0</v>
      </c>
      <c r="W2198" s="1" t="str">
        <f t="shared" si="281"/>
        <v/>
      </c>
      <c r="X2198" s="1"/>
      <c r="Y2198" s="1"/>
      <c r="Z2198" s="1"/>
      <c r="AA2198" s="1"/>
      <c r="AB2198" s="1"/>
      <c r="AC2198" s="1"/>
      <c r="AD2198" s="1">
        <f>IF($C2198="",0,SUMPRODUCT((AY_SONU!$O$7:$O$42="Evet")*(AY_SONU!$B$7:$B$42=DATE(YEAR($C2198),MONTH($C2198),1))))</f>
        <v>0</v>
      </c>
      <c r="AE2198" s="1" t="str">
        <f>IF($E2198="","",$E2198&amp;"|"&amp;COUNTIFS($E$7:$E2198,$E2198))</f>
        <v/>
      </c>
    </row>
    <row r="2199" spans="1:31" ht="18" customHeight="1" x14ac:dyDescent="0.3">
      <c r="A2199" s="2"/>
      <c r="B2199" s="65" t="str">
        <f t="shared" si="274"/>
        <v/>
      </c>
      <c r="C2199" s="66"/>
      <c r="D2199" s="60"/>
      <c r="E2199" s="61"/>
      <c r="F2199" s="61"/>
      <c r="G2199" s="67"/>
      <c r="H2199" s="60"/>
      <c r="I2199" s="60"/>
      <c r="J2199" s="61"/>
      <c r="K2199" s="61"/>
      <c r="L2199" s="60"/>
      <c r="M2199" s="74" t="str">
        <f t="shared" si="275"/>
        <v/>
      </c>
      <c r="N2199" s="74" t="str">
        <f t="shared" si="276"/>
        <v/>
      </c>
      <c r="O2199" s="73" t="str">
        <f t="shared" si="277"/>
        <v/>
      </c>
      <c r="P2199" s="65" t="str">
        <f t="shared" ca="1" si="278"/>
        <v/>
      </c>
      <c r="Q2199" s="2"/>
      <c r="R2199" s="2"/>
      <c r="S2199" s="1" t="str">
        <f t="shared" si="279"/>
        <v/>
      </c>
      <c r="T2199" s="1" t="str">
        <f>IF(OR($C2199="",$D2199&lt;&gt;"Gelir",$L2199=""),"",IFERROR(INDEX(MUSTERILER!$B$7:$B$156,MATCH($S2199,MUSTERILER!$T$7:$T$156,0)),""))</f>
        <v/>
      </c>
      <c r="U2199" s="1" t="str">
        <f>IF($T2199="","",$T2199&amp;"|"&amp;COUNTIFS($T$7:$T2199,$T2199))</f>
        <v/>
      </c>
      <c r="V2199" s="1">
        <f t="shared" si="280"/>
        <v>0</v>
      </c>
      <c r="W2199" s="1" t="str">
        <f t="shared" si="281"/>
        <v/>
      </c>
      <c r="X2199" s="1"/>
      <c r="Y2199" s="1"/>
      <c r="Z2199" s="1"/>
      <c r="AA2199" s="1"/>
      <c r="AB2199" s="1"/>
      <c r="AC2199" s="1"/>
      <c r="AD2199" s="1">
        <f>IF($C2199="",0,SUMPRODUCT((AY_SONU!$O$7:$O$42="Evet")*(AY_SONU!$B$7:$B$42=DATE(YEAR($C2199),MONTH($C2199),1))))</f>
        <v>0</v>
      </c>
      <c r="AE2199" s="1" t="str">
        <f>IF($E2199="","",$E2199&amp;"|"&amp;COUNTIFS($E$7:$E2199,$E2199))</f>
        <v/>
      </c>
    </row>
    <row r="2200" spans="1:31" ht="18" customHeight="1" x14ac:dyDescent="0.3">
      <c r="A2200" s="2"/>
      <c r="B2200" s="65" t="str">
        <f t="shared" si="274"/>
        <v/>
      </c>
      <c r="C2200" s="66"/>
      <c r="D2200" s="60"/>
      <c r="E2200" s="61"/>
      <c r="F2200" s="61"/>
      <c r="G2200" s="67"/>
      <c r="H2200" s="60"/>
      <c r="I2200" s="60"/>
      <c r="J2200" s="61"/>
      <c r="K2200" s="61"/>
      <c r="L2200" s="60"/>
      <c r="M2200" s="74" t="str">
        <f t="shared" si="275"/>
        <v/>
      </c>
      <c r="N2200" s="74" t="str">
        <f t="shared" si="276"/>
        <v/>
      </c>
      <c r="O2200" s="73" t="str">
        <f t="shared" si="277"/>
        <v/>
      </c>
      <c r="P2200" s="65" t="str">
        <f t="shared" ca="1" si="278"/>
        <v/>
      </c>
      <c r="Q2200" s="2"/>
      <c r="R2200" s="2"/>
      <c r="S2200" s="1" t="str">
        <f t="shared" si="279"/>
        <v/>
      </c>
      <c r="T2200" s="1" t="str">
        <f>IF(OR($C2200="",$D2200&lt;&gt;"Gelir",$L2200=""),"",IFERROR(INDEX(MUSTERILER!$B$7:$B$156,MATCH($S2200,MUSTERILER!$T$7:$T$156,0)),""))</f>
        <v/>
      </c>
      <c r="U2200" s="1" t="str">
        <f>IF($T2200="","",$T2200&amp;"|"&amp;COUNTIFS($T$7:$T2200,$T2200))</f>
        <v/>
      </c>
      <c r="V2200" s="1">
        <f t="shared" si="280"/>
        <v>0</v>
      </c>
      <c r="W2200" s="1" t="str">
        <f t="shared" si="281"/>
        <v/>
      </c>
      <c r="X2200" s="1"/>
      <c r="Y2200" s="1"/>
      <c r="Z2200" s="1"/>
      <c r="AA2200" s="1"/>
      <c r="AB2200" s="1"/>
      <c r="AC2200" s="1"/>
      <c r="AD2200" s="1">
        <f>IF($C2200="",0,SUMPRODUCT((AY_SONU!$O$7:$O$42="Evet")*(AY_SONU!$B$7:$B$42=DATE(YEAR($C2200),MONTH($C2200),1))))</f>
        <v>0</v>
      </c>
      <c r="AE2200" s="1" t="str">
        <f>IF($E2200="","",$E2200&amp;"|"&amp;COUNTIFS($E$7:$E2200,$E2200))</f>
        <v/>
      </c>
    </row>
    <row r="2201" spans="1:31" ht="18" customHeight="1" x14ac:dyDescent="0.3">
      <c r="A2201" s="2"/>
      <c r="B2201" s="65" t="str">
        <f t="shared" si="274"/>
        <v/>
      </c>
      <c r="C2201" s="66"/>
      <c r="D2201" s="60"/>
      <c r="E2201" s="61"/>
      <c r="F2201" s="61"/>
      <c r="G2201" s="67"/>
      <c r="H2201" s="60"/>
      <c r="I2201" s="60"/>
      <c r="J2201" s="61"/>
      <c r="K2201" s="61"/>
      <c r="L2201" s="60"/>
      <c r="M2201" s="74" t="str">
        <f t="shared" si="275"/>
        <v/>
      </c>
      <c r="N2201" s="74" t="str">
        <f t="shared" si="276"/>
        <v/>
      </c>
      <c r="O2201" s="73" t="str">
        <f t="shared" si="277"/>
        <v/>
      </c>
      <c r="P2201" s="65" t="str">
        <f t="shared" ca="1" si="278"/>
        <v/>
      </c>
      <c r="Q2201" s="2"/>
      <c r="R2201" s="2"/>
      <c r="S2201" s="1" t="str">
        <f t="shared" si="279"/>
        <v/>
      </c>
      <c r="T2201" s="1" t="str">
        <f>IF(OR($C2201="",$D2201&lt;&gt;"Gelir",$L2201=""),"",IFERROR(INDEX(MUSTERILER!$B$7:$B$156,MATCH($S2201,MUSTERILER!$T$7:$T$156,0)),""))</f>
        <v/>
      </c>
      <c r="U2201" s="1" t="str">
        <f>IF($T2201="","",$T2201&amp;"|"&amp;COUNTIFS($T$7:$T2201,$T2201))</f>
        <v/>
      </c>
      <c r="V2201" s="1">
        <f t="shared" si="280"/>
        <v>0</v>
      </c>
      <c r="W2201" s="1" t="str">
        <f t="shared" si="281"/>
        <v/>
      </c>
      <c r="X2201" s="1"/>
      <c r="Y2201" s="1"/>
      <c r="Z2201" s="1"/>
      <c r="AA2201" s="1"/>
      <c r="AB2201" s="1"/>
      <c r="AC2201" s="1"/>
      <c r="AD2201" s="1">
        <f>IF($C2201="",0,SUMPRODUCT((AY_SONU!$O$7:$O$42="Evet")*(AY_SONU!$B$7:$B$42=DATE(YEAR($C2201),MONTH($C2201),1))))</f>
        <v>0</v>
      </c>
      <c r="AE2201" s="1" t="str">
        <f>IF($E2201="","",$E2201&amp;"|"&amp;COUNTIFS($E$7:$E2201,$E2201))</f>
        <v/>
      </c>
    </row>
    <row r="2202" spans="1:31" ht="18" customHeight="1" x14ac:dyDescent="0.3">
      <c r="A2202" s="2"/>
      <c r="B2202" s="65" t="str">
        <f t="shared" si="274"/>
        <v/>
      </c>
      <c r="C2202" s="66"/>
      <c r="D2202" s="60"/>
      <c r="E2202" s="61"/>
      <c r="F2202" s="61"/>
      <c r="G2202" s="67"/>
      <c r="H2202" s="60"/>
      <c r="I2202" s="60"/>
      <c r="J2202" s="61"/>
      <c r="K2202" s="61"/>
      <c r="L2202" s="60"/>
      <c r="M2202" s="74" t="str">
        <f t="shared" si="275"/>
        <v/>
      </c>
      <c r="N2202" s="74" t="str">
        <f t="shared" si="276"/>
        <v/>
      </c>
      <c r="O2202" s="73" t="str">
        <f t="shared" si="277"/>
        <v/>
      </c>
      <c r="P2202" s="65" t="str">
        <f t="shared" ca="1" si="278"/>
        <v/>
      </c>
      <c r="Q2202" s="2"/>
      <c r="R2202" s="2"/>
      <c r="S2202" s="1" t="str">
        <f t="shared" si="279"/>
        <v/>
      </c>
      <c r="T2202" s="1" t="str">
        <f>IF(OR($C2202="",$D2202&lt;&gt;"Gelir",$L2202=""),"",IFERROR(INDEX(MUSTERILER!$B$7:$B$156,MATCH($S2202,MUSTERILER!$T$7:$T$156,0)),""))</f>
        <v/>
      </c>
      <c r="U2202" s="1" t="str">
        <f>IF($T2202="","",$T2202&amp;"|"&amp;COUNTIFS($T$7:$T2202,$T2202))</f>
        <v/>
      </c>
      <c r="V2202" s="1">
        <f t="shared" si="280"/>
        <v>0</v>
      </c>
      <c r="W2202" s="1" t="str">
        <f t="shared" si="281"/>
        <v/>
      </c>
      <c r="X2202" s="1"/>
      <c r="Y2202" s="1"/>
      <c r="Z2202" s="1"/>
      <c r="AA2202" s="1"/>
      <c r="AB2202" s="1"/>
      <c r="AC2202" s="1"/>
      <c r="AD2202" s="1">
        <f>IF($C2202="",0,SUMPRODUCT((AY_SONU!$O$7:$O$42="Evet")*(AY_SONU!$B$7:$B$42=DATE(YEAR($C2202),MONTH($C2202),1))))</f>
        <v>0</v>
      </c>
      <c r="AE2202" s="1" t="str">
        <f>IF($E2202="","",$E2202&amp;"|"&amp;COUNTIFS($E$7:$E2202,$E2202))</f>
        <v/>
      </c>
    </row>
    <row r="2203" spans="1:31" ht="18" customHeight="1" x14ac:dyDescent="0.3">
      <c r="A2203" s="2"/>
      <c r="B2203" s="65" t="str">
        <f t="shared" si="274"/>
        <v/>
      </c>
      <c r="C2203" s="66"/>
      <c r="D2203" s="60"/>
      <c r="E2203" s="61"/>
      <c r="F2203" s="61"/>
      <c r="G2203" s="67"/>
      <c r="H2203" s="60"/>
      <c r="I2203" s="60"/>
      <c r="J2203" s="61"/>
      <c r="K2203" s="61"/>
      <c r="L2203" s="60"/>
      <c r="M2203" s="74" t="str">
        <f t="shared" si="275"/>
        <v/>
      </c>
      <c r="N2203" s="74" t="str">
        <f t="shared" si="276"/>
        <v/>
      </c>
      <c r="O2203" s="73" t="str">
        <f t="shared" si="277"/>
        <v/>
      </c>
      <c r="P2203" s="65" t="str">
        <f t="shared" ca="1" si="278"/>
        <v/>
      </c>
      <c r="Q2203" s="2"/>
      <c r="R2203" s="2"/>
      <c r="S2203" s="1" t="str">
        <f t="shared" si="279"/>
        <v/>
      </c>
      <c r="T2203" s="1" t="str">
        <f>IF(OR($C2203="",$D2203&lt;&gt;"Gelir",$L2203=""),"",IFERROR(INDEX(MUSTERILER!$B$7:$B$156,MATCH($S2203,MUSTERILER!$T$7:$T$156,0)),""))</f>
        <v/>
      </c>
      <c r="U2203" s="1" t="str">
        <f>IF($T2203="","",$T2203&amp;"|"&amp;COUNTIFS($T$7:$T2203,$T2203))</f>
        <v/>
      </c>
      <c r="V2203" s="1">
        <f t="shared" si="280"/>
        <v>0</v>
      </c>
      <c r="W2203" s="1" t="str">
        <f t="shared" si="281"/>
        <v/>
      </c>
      <c r="X2203" s="1"/>
      <c r="Y2203" s="1"/>
      <c r="Z2203" s="1"/>
      <c r="AA2203" s="1"/>
      <c r="AB2203" s="1"/>
      <c r="AC2203" s="1"/>
      <c r="AD2203" s="1">
        <f>IF($C2203="",0,SUMPRODUCT((AY_SONU!$O$7:$O$42="Evet")*(AY_SONU!$B$7:$B$42=DATE(YEAR($C2203),MONTH($C2203),1))))</f>
        <v>0</v>
      </c>
      <c r="AE2203" s="1" t="str">
        <f>IF($E2203="","",$E2203&amp;"|"&amp;COUNTIFS($E$7:$E2203,$E2203))</f>
        <v/>
      </c>
    </row>
    <row r="2204" spans="1:31" ht="18" customHeight="1" x14ac:dyDescent="0.3">
      <c r="A2204" s="2"/>
      <c r="B2204" s="65" t="str">
        <f t="shared" si="274"/>
        <v/>
      </c>
      <c r="C2204" s="66"/>
      <c r="D2204" s="60"/>
      <c r="E2204" s="61"/>
      <c r="F2204" s="61"/>
      <c r="G2204" s="67"/>
      <c r="H2204" s="60"/>
      <c r="I2204" s="60"/>
      <c r="J2204" s="61"/>
      <c r="K2204" s="61"/>
      <c r="L2204" s="60"/>
      <c r="M2204" s="74" t="str">
        <f t="shared" si="275"/>
        <v/>
      </c>
      <c r="N2204" s="74" t="str">
        <f t="shared" si="276"/>
        <v/>
      </c>
      <c r="O2204" s="73" t="str">
        <f t="shared" si="277"/>
        <v/>
      </c>
      <c r="P2204" s="65" t="str">
        <f t="shared" ca="1" si="278"/>
        <v/>
      </c>
      <c r="Q2204" s="2"/>
      <c r="R2204" s="2"/>
      <c r="S2204" s="1" t="str">
        <f t="shared" si="279"/>
        <v/>
      </c>
      <c r="T2204" s="1" t="str">
        <f>IF(OR($C2204="",$D2204&lt;&gt;"Gelir",$L2204=""),"",IFERROR(INDEX(MUSTERILER!$B$7:$B$156,MATCH($S2204,MUSTERILER!$T$7:$T$156,0)),""))</f>
        <v/>
      </c>
      <c r="U2204" s="1" t="str">
        <f>IF($T2204="","",$T2204&amp;"|"&amp;COUNTIFS($T$7:$T2204,$T2204))</f>
        <v/>
      </c>
      <c r="V2204" s="1">
        <f t="shared" si="280"/>
        <v>0</v>
      </c>
      <c r="W2204" s="1" t="str">
        <f t="shared" si="281"/>
        <v/>
      </c>
      <c r="X2204" s="1"/>
      <c r="Y2204" s="1"/>
      <c r="Z2204" s="1"/>
      <c r="AA2204" s="1"/>
      <c r="AB2204" s="1"/>
      <c r="AC2204" s="1"/>
      <c r="AD2204" s="1">
        <f>IF($C2204="",0,SUMPRODUCT((AY_SONU!$O$7:$O$42="Evet")*(AY_SONU!$B$7:$B$42=DATE(YEAR($C2204),MONTH($C2204),1))))</f>
        <v>0</v>
      </c>
      <c r="AE2204" s="1" t="str">
        <f>IF($E2204="","",$E2204&amp;"|"&amp;COUNTIFS($E$7:$E2204,$E2204))</f>
        <v/>
      </c>
    </row>
    <row r="2205" spans="1:31" ht="18" customHeight="1" x14ac:dyDescent="0.3">
      <c r="A2205" s="2"/>
      <c r="B2205" s="65" t="str">
        <f t="shared" si="274"/>
        <v/>
      </c>
      <c r="C2205" s="66"/>
      <c r="D2205" s="60"/>
      <c r="E2205" s="61"/>
      <c r="F2205" s="61"/>
      <c r="G2205" s="67"/>
      <c r="H2205" s="60"/>
      <c r="I2205" s="60"/>
      <c r="J2205" s="61"/>
      <c r="K2205" s="61"/>
      <c r="L2205" s="60"/>
      <c r="M2205" s="74" t="str">
        <f t="shared" si="275"/>
        <v/>
      </c>
      <c r="N2205" s="74" t="str">
        <f t="shared" si="276"/>
        <v/>
      </c>
      <c r="O2205" s="73" t="str">
        <f t="shared" si="277"/>
        <v/>
      </c>
      <c r="P2205" s="65" t="str">
        <f t="shared" ca="1" si="278"/>
        <v/>
      </c>
      <c r="Q2205" s="2"/>
      <c r="R2205" s="2"/>
      <c r="S2205" s="1" t="str">
        <f t="shared" si="279"/>
        <v/>
      </c>
      <c r="T2205" s="1" t="str">
        <f>IF(OR($C2205="",$D2205&lt;&gt;"Gelir",$L2205=""),"",IFERROR(INDEX(MUSTERILER!$B$7:$B$156,MATCH($S2205,MUSTERILER!$T$7:$T$156,0)),""))</f>
        <v/>
      </c>
      <c r="U2205" s="1" t="str">
        <f>IF($T2205="","",$T2205&amp;"|"&amp;COUNTIFS($T$7:$T2205,$T2205))</f>
        <v/>
      </c>
      <c r="V2205" s="1">
        <f t="shared" si="280"/>
        <v>0</v>
      </c>
      <c r="W2205" s="1" t="str">
        <f t="shared" si="281"/>
        <v/>
      </c>
      <c r="X2205" s="1"/>
      <c r="Y2205" s="1"/>
      <c r="Z2205" s="1"/>
      <c r="AA2205" s="1"/>
      <c r="AB2205" s="1"/>
      <c r="AC2205" s="1"/>
      <c r="AD2205" s="1">
        <f>IF($C2205="",0,SUMPRODUCT((AY_SONU!$O$7:$O$42="Evet")*(AY_SONU!$B$7:$B$42=DATE(YEAR($C2205),MONTH($C2205),1))))</f>
        <v>0</v>
      </c>
      <c r="AE2205" s="1" t="str">
        <f>IF($E2205="","",$E2205&amp;"|"&amp;COUNTIFS($E$7:$E2205,$E2205))</f>
        <v/>
      </c>
    </row>
    <row r="2206" spans="1:31" ht="18" customHeight="1" x14ac:dyDescent="0.3">
      <c r="A2206" s="2"/>
      <c r="B2206" s="65" t="str">
        <f t="shared" si="274"/>
        <v/>
      </c>
      <c r="C2206" s="66"/>
      <c r="D2206" s="60"/>
      <c r="E2206" s="61"/>
      <c r="F2206" s="61"/>
      <c r="G2206" s="67"/>
      <c r="H2206" s="60"/>
      <c r="I2206" s="60"/>
      <c r="J2206" s="61"/>
      <c r="K2206" s="61"/>
      <c r="L2206" s="60"/>
      <c r="M2206" s="74" t="str">
        <f t="shared" si="275"/>
        <v/>
      </c>
      <c r="N2206" s="74" t="str">
        <f t="shared" si="276"/>
        <v/>
      </c>
      <c r="O2206" s="73" t="str">
        <f t="shared" si="277"/>
        <v/>
      </c>
      <c r="P2206" s="65" t="str">
        <f t="shared" ca="1" si="278"/>
        <v/>
      </c>
      <c r="Q2206" s="2"/>
      <c r="R2206" s="2"/>
      <c r="S2206" s="1" t="str">
        <f t="shared" si="279"/>
        <v/>
      </c>
      <c r="T2206" s="1" t="str">
        <f>IF(OR($C2206="",$D2206&lt;&gt;"Gelir",$L2206=""),"",IFERROR(INDEX(MUSTERILER!$B$7:$B$156,MATCH($S2206,MUSTERILER!$T$7:$T$156,0)),""))</f>
        <v/>
      </c>
      <c r="U2206" s="1" t="str">
        <f>IF($T2206="","",$T2206&amp;"|"&amp;COUNTIFS($T$7:$T2206,$T2206))</f>
        <v/>
      </c>
      <c r="V2206" s="1">
        <f t="shared" si="280"/>
        <v>0</v>
      </c>
      <c r="W2206" s="1" t="str">
        <f t="shared" si="281"/>
        <v/>
      </c>
      <c r="X2206" s="1"/>
      <c r="Y2206" s="1"/>
      <c r="Z2206" s="1"/>
      <c r="AA2206" s="1"/>
      <c r="AB2206" s="1"/>
      <c r="AC2206" s="1"/>
      <c r="AD2206" s="1">
        <f>IF($C2206="",0,SUMPRODUCT((AY_SONU!$O$7:$O$42="Evet")*(AY_SONU!$B$7:$B$42=DATE(YEAR($C2206),MONTH($C2206),1))))</f>
        <v>0</v>
      </c>
      <c r="AE2206" s="1" t="str">
        <f>IF($E2206="","",$E2206&amp;"|"&amp;COUNTIFS($E$7:$E2206,$E2206))</f>
        <v/>
      </c>
    </row>
    <row r="2207" spans="1:31" ht="18" customHeight="1" x14ac:dyDescent="0.3">
      <c r="A2207" s="2"/>
      <c r="B2207" s="65" t="str">
        <f t="shared" si="274"/>
        <v/>
      </c>
      <c r="C2207" s="66"/>
      <c r="D2207" s="60"/>
      <c r="E2207" s="61"/>
      <c r="F2207" s="61"/>
      <c r="G2207" s="67"/>
      <c r="H2207" s="60"/>
      <c r="I2207" s="60"/>
      <c r="J2207" s="61"/>
      <c r="K2207" s="61"/>
      <c r="L2207" s="60"/>
      <c r="M2207" s="74" t="str">
        <f t="shared" si="275"/>
        <v/>
      </c>
      <c r="N2207" s="74" t="str">
        <f t="shared" si="276"/>
        <v/>
      </c>
      <c r="O2207" s="73" t="str">
        <f t="shared" si="277"/>
        <v/>
      </c>
      <c r="P2207" s="65" t="str">
        <f t="shared" ca="1" si="278"/>
        <v/>
      </c>
      <c r="Q2207" s="2"/>
      <c r="R2207" s="2"/>
      <c r="S2207" s="1" t="str">
        <f t="shared" si="279"/>
        <v/>
      </c>
      <c r="T2207" s="1" t="str">
        <f>IF(OR($C2207="",$D2207&lt;&gt;"Gelir",$L2207=""),"",IFERROR(INDEX(MUSTERILER!$B$7:$B$156,MATCH($S2207,MUSTERILER!$T$7:$T$156,0)),""))</f>
        <v/>
      </c>
      <c r="U2207" s="1" t="str">
        <f>IF($T2207="","",$T2207&amp;"|"&amp;COUNTIFS($T$7:$T2207,$T2207))</f>
        <v/>
      </c>
      <c r="V2207" s="1">
        <f t="shared" si="280"/>
        <v>0</v>
      </c>
      <c r="W2207" s="1" t="str">
        <f t="shared" si="281"/>
        <v/>
      </c>
      <c r="X2207" s="1"/>
      <c r="Y2207" s="1"/>
      <c r="Z2207" s="1"/>
      <c r="AA2207" s="1"/>
      <c r="AB2207" s="1"/>
      <c r="AC2207" s="1"/>
      <c r="AD2207" s="1">
        <f>IF($C2207="",0,SUMPRODUCT((AY_SONU!$O$7:$O$42="Evet")*(AY_SONU!$B$7:$B$42=DATE(YEAR($C2207),MONTH($C2207),1))))</f>
        <v>0</v>
      </c>
      <c r="AE2207" s="1" t="str">
        <f>IF($E2207="","",$E2207&amp;"|"&amp;COUNTIFS($E$7:$E2207,$E2207))</f>
        <v/>
      </c>
    </row>
    <row r="2208" spans="1:31" ht="18" customHeight="1" x14ac:dyDescent="0.3">
      <c r="A2208" s="2"/>
      <c r="B2208" s="65" t="str">
        <f t="shared" si="274"/>
        <v/>
      </c>
      <c r="C2208" s="66"/>
      <c r="D2208" s="60"/>
      <c r="E2208" s="61"/>
      <c r="F2208" s="61"/>
      <c r="G2208" s="67"/>
      <c r="H2208" s="60"/>
      <c r="I2208" s="60"/>
      <c r="J2208" s="61"/>
      <c r="K2208" s="61"/>
      <c r="L2208" s="60"/>
      <c r="M2208" s="74" t="str">
        <f t="shared" si="275"/>
        <v/>
      </c>
      <c r="N2208" s="74" t="str">
        <f t="shared" si="276"/>
        <v/>
      </c>
      <c r="O2208" s="73" t="str">
        <f t="shared" si="277"/>
        <v/>
      </c>
      <c r="P2208" s="65" t="str">
        <f t="shared" ca="1" si="278"/>
        <v/>
      </c>
      <c r="Q2208" s="2"/>
      <c r="R2208" s="2"/>
      <c r="S2208" s="1" t="str">
        <f t="shared" si="279"/>
        <v/>
      </c>
      <c r="T2208" s="1" t="str">
        <f>IF(OR($C2208="",$D2208&lt;&gt;"Gelir",$L2208=""),"",IFERROR(INDEX(MUSTERILER!$B$7:$B$156,MATCH($S2208,MUSTERILER!$T$7:$T$156,0)),""))</f>
        <v/>
      </c>
      <c r="U2208" s="1" t="str">
        <f>IF($T2208="","",$T2208&amp;"|"&amp;COUNTIFS($T$7:$T2208,$T2208))</f>
        <v/>
      </c>
      <c r="V2208" s="1">
        <f t="shared" si="280"/>
        <v>0</v>
      </c>
      <c r="W2208" s="1" t="str">
        <f t="shared" si="281"/>
        <v/>
      </c>
      <c r="X2208" s="1"/>
      <c r="Y2208" s="1"/>
      <c r="Z2208" s="1"/>
      <c r="AA2208" s="1"/>
      <c r="AB2208" s="1"/>
      <c r="AC2208" s="1"/>
      <c r="AD2208" s="1">
        <f>IF($C2208="",0,SUMPRODUCT((AY_SONU!$O$7:$O$42="Evet")*(AY_SONU!$B$7:$B$42=DATE(YEAR($C2208),MONTH($C2208),1))))</f>
        <v>0</v>
      </c>
      <c r="AE2208" s="1" t="str">
        <f>IF($E2208="","",$E2208&amp;"|"&amp;COUNTIFS($E$7:$E2208,$E2208))</f>
        <v/>
      </c>
    </row>
    <row r="2209" spans="1:31" ht="18" customHeight="1" x14ac:dyDescent="0.3">
      <c r="A2209" s="2"/>
      <c r="B2209" s="65" t="str">
        <f t="shared" si="274"/>
        <v/>
      </c>
      <c r="C2209" s="66"/>
      <c r="D2209" s="60"/>
      <c r="E2209" s="61"/>
      <c r="F2209" s="61"/>
      <c r="G2209" s="67"/>
      <c r="H2209" s="60"/>
      <c r="I2209" s="60"/>
      <c r="J2209" s="61"/>
      <c r="K2209" s="61"/>
      <c r="L2209" s="60"/>
      <c r="M2209" s="74" t="str">
        <f t="shared" si="275"/>
        <v/>
      </c>
      <c r="N2209" s="74" t="str">
        <f t="shared" si="276"/>
        <v/>
      </c>
      <c r="O2209" s="73" t="str">
        <f t="shared" si="277"/>
        <v/>
      </c>
      <c r="P2209" s="65" t="str">
        <f t="shared" ca="1" si="278"/>
        <v/>
      </c>
      <c r="Q2209" s="2"/>
      <c r="R2209" s="2"/>
      <c r="S2209" s="1" t="str">
        <f t="shared" si="279"/>
        <v/>
      </c>
      <c r="T2209" s="1" t="str">
        <f>IF(OR($C2209="",$D2209&lt;&gt;"Gelir",$L2209=""),"",IFERROR(INDEX(MUSTERILER!$B$7:$B$156,MATCH($S2209,MUSTERILER!$T$7:$T$156,0)),""))</f>
        <v/>
      </c>
      <c r="U2209" s="1" t="str">
        <f>IF($T2209="","",$T2209&amp;"|"&amp;COUNTIFS($T$7:$T2209,$T2209))</f>
        <v/>
      </c>
      <c r="V2209" s="1">
        <f t="shared" si="280"/>
        <v>0</v>
      </c>
      <c r="W2209" s="1" t="str">
        <f t="shared" si="281"/>
        <v/>
      </c>
      <c r="X2209" s="1"/>
      <c r="Y2209" s="1"/>
      <c r="Z2209" s="1"/>
      <c r="AA2209" s="1"/>
      <c r="AB2209" s="1"/>
      <c r="AC2209" s="1"/>
      <c r="AD2209" s="1">
        <f>IF($C2209="",0,SUMPRODUCT((AY_SONU!$O$7:$O$42="Evet")*(AY_SONU!$B$7:$B$42=DATE(YEAR($C2209),MONTH($C2209),1))))</f>
        <v>0</v>
      </c>
      <c r="AE2209" s="1" t="str">
        <f>IF($E2209="","",$E2209&amp;"|"&amp;COUNTIFS($E$7:$E2209,$E2209))</f>
        <v/>
      </c>
    </row>
    <row r="2210" spans="1:31" ht="18" customHeight="1" x14ac:dyDescent="0.3">
      <c r="A2210" s="2"/>
      <c r="B2210" s="65" t="str">
        <f t="shared" si="274"/>
        <v/>
      </c>
      <c r="C2210" s="66"/>
      <c r="D2210" s="60"/>
      <c r="E2210" s="61"/>
      <c r="F2210" s="61"/>
      <c r="G2210" s="67"/>
      <c r="H2210" s="60"/>
      <c r="I2210" s="60"/>
      <c r="J2210" s="61"/>
      <c r="K2210" s="61"/>
      <c r="L2210" s="60"/>
      <c r="M2210" s="74" t="str">
        <f t="shared" si="275"/>
        <v/>
      </c>
      <c r="N2210" s="74" t="str">
        <f t="shared" si="276"/>
        <v/>
      </c>
      <c r="O2210" s="73" t="str">
        <f t="shared" si="277"/>
        <v/>
      </c>
      <c r="P2210" s="65" t="str">
        <f t="shared" ca="1" si="278"/>
        <v/>
      </c>
      <c r="Q2210" s="2"/>
      <c r="R2210" s="2"/>
      <c r="S2210" s="1" t="str">
        <f t="shared" si="279"/>
        <v/>
      </c>
      <c r="T2210" s="1" t="str">
        <f>IF(OR($C2210="",$D2210&lt;&gt;"Gelir",$L2210=""),"",IFERROR(INDEX(MUSTERILER!$B$7:$B$156,MATCH($S2210,MUSTERILER!$T$7:$T$156,0)),""))</f>
        <v/>
      </c>
      <c r="U2210" s="1" t="str">
        <f>IF($T2210="","",$T2210&amp;"|"&amp;COUNTIFS($T$7:$T2210,$T2210))</f>
        <v/>
      </c>
      <c r="V2210" s="1">
        <f t="shared" si="280"/>
        <v>0</v>
      </c>
      <c r="W2210" s="1" t="str">
        <f t="shared" si="281"/>
        <v/>
      </c>
      <c r="X2210" s="1"/>
      <c r="Y2210" s="1"/>
      <c r="Z2210" s="1"/>
      <c r="AA2210" s="1"/>
      <c r="AB2210" s="1"/>
      <c r="AC2210" s="1"/>
      <c r="AD2210" s="1">
        <f>IF($C2210="",0,SUMPRODUCT((AY_SONU!$O$7:$O$42="Evet")*(AY_SONU!$B$7:$B$42=DATE(YEAR($C2210),MONTH($C2210),1))))</f>
        <v>0</v>
      </c>
      <c r="AE2210" s="1" t="str">
        <f>IF($E2210="","",$E2210&amp;"|"&amp;COUNTIFS($E$7:$E2210,$E2210))</f>
        <v/>
      </c>
    </row>
    <row r="2211" spans="1:31" ht="18" customHeight="1" x14ac:dyDescent="0.3">
      <c r="A2211" s="2"/>
      <c r="B2211" s="65" t="str">
        <f t="shared" si="274"/>
        <v/>
      </c>
      <c r="C2211" s="66"/>
      <c r="D2211" s="60"/>
      <c r="E2211" s="61"/>
      <c r="F2211" s="61"/>
      <c r="G2211" s="67"/>
      <c r="H2211" s="60"/>
      <c r="I2211" s="60"/>
      <c r="J2211" s="61"/>
      <c r="K2211" s="61"/>
      <c r="L2211" s="60"/>
      <c r="M2211" s="74" t="str">
        <f t="shared" si="275"/>
        <v/>
      </c>
      <c r="N2211" s="74" t="str">
        <f t="shared" si="276"/>
        <v/>
      </c>
      <c r="O2211" s="73" t="str">
        <f t="shared" si="277"/>
        <v/>
      </c>
      <c r="P2211" s="65" t="str">
        <f t="shared" ca="1" si="278"/>
        <v/>
      </c>
      <c r="Q2211" s="2"/>
      <c r="R2211" s="2"/>
      <c r="S2211" s="1" t="str">
        <f t="shared" si="279"/>
        <v/>
      </c>
      <c r="T2211" s="1" t="str">
        <f>IF(OR($C2211="",$D2211&lt;&gt;"Gelir",$L2211=""),"",IFERROR(INDEX(MUSTERILER!$B$7:$B$156,MATCH($S2211,MUSTERILER!$T$7:$T$156,0)),""))</f>
        <v/>
      </c>
      <c r="U2211" s="1" t="str">
        <f>IF($T2211="","",$T2211&amp;"|"&amp;COUNTIFS($T$7:$T2211,$T2211))</f>
        <v/>
      </c>
      <c r="V2211" s="1">
        <f t="shared" si="280"/>
        <v>0</v>
      </c>
      <c r="W2211" s="1" t="str">
        <f t="shared" si="281"/>
        <v/>
      </c>
      <c r="X2211" s="1"/>
      <c r="Y2211" s="1"/>
      <c r="Z2211" s="1"/>
      <c r="AA2211" s="1"/>
      <c r="AB2211" s="1"/>
      <c r="AC2211" s="1"/>
      <c r="AD2211" s="1">
        <f>IF($C2211="",0,SUMPRODUCT((AY_SONU!$O$7:$O$42="Evet")*(AY_SONU!$B$7:$B$42=DATE(YEAR($C2211),MONTH($C2211),1))))</f>
        <v>0</v>
      </c>
      <c r="AE2211" s="1" t="str">
        <f>IF($E2211="","",$E2211&amp;"|"&amp;COUNTIFS($E$7:$E2211,$E2211))</f>
        <v/>
      </c>
    </row>
    <row r="2212" spans="1:31" ht="18" customHeight="1" x14ac:dyDescent="0.3">
      <c r="A2212" s="2"/>
      <c r="B2212" s="65" t="str">
        <f t="shared" si="274"/>
        <v/>
      </c>
      <c r="C2212" s="66"/>
      <c r="D2212" s="60"/>
      <c r="E2212" s="61"/>
      <c r="F2212" s="61"/>
      <c r="G2212" s="67"/>
      <c r="H2212" s="60"/>
      <c r="I2212" s="60"/>
      <c r="J2212" s="61"/>
      <c r="K2212" s="61"/>
      <c r="L2212" s="60"/>
      <c r="M2212" s="74" t="str">
        <f t="shared" si="275"/>
        <v/>
      </c>
      <c r="N2212" s="74" t="str">
        <f t="shared" si="276"/>
        <v/>
      </c>
      <c r="O2212" s="73" t="str">
        <f t="shared" si="277"/>
        <v/>
      </c>
      <c r="P2212" s="65" t="str">
        <f t="shared" ca="1" si="278"/>
        <v/>
      </c>
      <c r="Q2212" s="2"/>
      <c r="R2212" s="2"/>
      <c r="S2212" s="1" t="str">
        <f t="shared" si="279"/>
        <v/>
      </c>
      <c r="T2212" s="1" t="str">
        <f>IF(OR($C2212="",$D2212&lt;&gt;"Gelir",$L2212=""),"",IFERROR(INDEX(MUSTERILER!$B$7:$B$156,MATCH($S2212,MUSTERILER!$T$7:$T$156,0)),""))</f>
        <v/>
      </c>
      <c r="U2212" s="1" t="str">
        <f>IF($T2212="","",$T2212&amp;"|"&amp;COUNTIFS($T$7:$T2212,$T2212))</f>
        <v/>
      </c>
      <c r="V2212" s="1">
        <f t="shared" si="280"/>
        <v>0</v>
      </c>
      <c r="W2212" s="1" t="str">
        <f t="shared" si="281"/>
        <v/>
      </c>
      <c r="X2212" s="1"/>
      <c r="Y2212" s="1"/>
      <c r="Z2212" s="1"/>
      <c r="AA2212" s="1"/>
      <c r="AB2212" s="1"/>
      <c r="AC2212" s="1"/>
      <c r="AD2212" s="1">
        <f>IF($C2212="",0,SUMPRODUCT((AY_SONU!$O$7:$O$42="Evet")*(AY_SONU!$B$7:$B$42=DATE(YEAR($C2212),MONTH($C2212),1))))</f>
        <v>0</v>
      </c>
      <c r="AE2212" s="1" t="str">
        <f>IF($E2212="","",$E2212&amp;"|"&amp;COUNTIFS($E$7:$E2212,$E2212))</f>
        <v/>
      </c>
    </row>
    <row r="2213" spans="1:31" ht="18" customHeight="1" x14ac:dyDescent="0.3">
      <c r="A2213" s="2"/>
      <c r="B2213" s="65" t="str">
        <f t="shared" si="274"/>
        <v/>
      </c>
      <c r="C2213" s="66"/>
      <c r="D2213" s="60"/>
      <c r="E2213" s="61"/>
      <c r="F2213" s="61"/>
      <c r="G2213" s="67"/>
      <c r="H2213" s="60"/>
      <c r="I2213" s="60"/>
      <c r="J2213" s="61"/>
      <c r="K2213" s="61"/>
      <c r="L2213" s="60"/>
      <c r="M2213" s="74" t="str">
        <f t="shared" si="275"/>
        <v/>
      </c>
      <c r="N2213" s="74" t="str">
        <f t="shared" si="276"/>
        <v/>
      </c>
      <c r="O2213" s="73" t="str">
        <f t="shared" si="277"/>
        <v/>
      </c>
      <c r="P2213" s="65" t="str">
        <f t="shared" ca="1" si="278"/>
        <v/>
      </c>
      <c r="Q2213" s="2"/>
      <c r="R2213" s="2"/>
      <c r="S2213" s="1" t="str">
        <f t="shared" si="279"/>
        <v/>
      </c>
      <c r="T2213" s="1" t="str">
        <f>IF(OR($C2213="",$D2213&lt;&gt;"Gelir",$L2213=""),"",IFERROR(INDEX(MUSTERILER!$B$7:$B$156,MATCH($S2213,MUSTERILER!$T$7:$T$156,0)),""))</f>
        <v/>
      </c>
      <c r="U2213" s="1" t="str">
        <f>IF($T2213="","",$T2213&amp;"|"&amp;COUNTIFS($T$7:$T2213,$T2213))</f>
        <v/>
      </c>
      <c r="V2213" s="1">
        <f t="shared" si="280"/>
        <v>0</v>
      </c>
      <c r="W2213" s="1" t="str">
        <f t="shared" si="281"/>
        <v/>
      </c>
      <c r="X2213" s="1"/>
      <c r="Y2213" s="1"/>
      <c r="Z2213" s="1"/>
      <c r="AA2213" s="1"/>
      <c r="AB2213" s="1"/>
      <c r="AC2213" s="1"/>
      <c r="AD2213" s="1">
        <f>IF($C2213="",0,SUMPRODUCT((AY_SONU!$O$7:$O$42="Evet")*(AY_SONU!$B$7:$B$42=DATE(YEAR($C2213),MONTH($C2213),1))))</f>
        <v>0</v>
      </c>
      <c r="AE2213" s="1" t="str">
        <f>IF($E2213="","",$E2213&amp;"|"&amp;COUNTIFS($E$7:$E2213,$E2213))</f>
        <v/>
      </c>
    </row>
    <row r="2214" spans="1:31" ht="18" customHeight="1" x14ac:dyDescent="0.3">
      <c r="A2214" s="2"/>
      <c r="B2214" s="65" t="str">
        <f t="shared" si="274"/>
        <v/>
      </c>
      <c r="C2214" s="66"/>
      <c r="D2214" s="60"/>
      <c r="E2214" s="61"/>
      <c r="F2214" s="61"/>
      <c r="G2214" s="67"/>
      <c r="H2214" s="60"/>
      <c r="I2214" s="60"/>
      <c r="J2214" s="61"/>
      <c r="K2214" s="61"/>
      <c r="L2214" s="60"/>
      <c r="M2214" s="74" t="str">
        <f t="shared" si="275"/>
        <v/>
      </c>
      <c r="N2214" s="74" t="str">
        <f t="shared" si="276"/>
        <v/>
      </c>
      <c r="O2214" s="73" t="str">
        <f t="shared" si="277"/>
        <v/>
      </c>
      <c r="P2214" s="65" t="str">
        <f t="shared" ca="1" si="278"/>
        <v/>
      </c>
      <c r="Q2214" s="2"/>
      <c r="R2214" s="2"/>
      <c r="S2214" s="1" t="str">
        <f t="shared" si="279"/>
        <v/>
      </c>
      <c r="T2214" s="1" t="str">
        <f>IF(OR($C2214="",$D2214&lt;&gt;"Gelir",$L2214=""),"",IFERROR(INDEX(MUSTERILER!$B$7:$B$156,MATCH($S2214,MUSTERILER!$T$7:$T$156,0)),""))</f>
        <v/>
      </c>
      <c r="U2214" s="1" t="str">
        <f>IF($T2214="","",$T2214&amp;"|"&amp;COUNTIFS($T$7:$T2214,$T2214))</f>
        <v/>
      </c>
      <c r="V2214" s="1">
        <f t="shared" si="280"/>
        <v>0</v>
      </c>
      <c r="W2214" s="1" t="str">
        <f t="shared" si="281"/>
        <v/>
      </c>
      <c r="X2214" s="1"/>
      <c r="Y2214" s="1"/>
      <c r="Z2214" s="1"/>
      <c r="AA2214" s="1"/>
      <c r="AB2214" s="1"/>
      <c r="AC2214" s="1"/>
      <c r="AD2214" s="1">
        <f>IF($C2214="",0,SUMPRODUCT((AY_SONU!$O$7:$O$42="Evet")*(AY_SONU!$B$7:$B$42=DATE(YEAR($C2214),MONTH($C2214),1))))</f>
        <v>0</v>
      </c>
      <c r="AE2214" s="1" t="str">
        <f>IF($E2214="","",$E2214&amp;"|"&amp;COUNTIFS($E$7:$E2214,$E2214))</f>
        <v/>
      </c>
    </row>
    <row r="2215" spans="1:31" ht="18" customHeight="1" x14ac:dyDescent="0.3">
      <c r="A2215" s="2"/>
      <c r="B2215" s="65" t="str">
        <f t="shared" si="274"/>
        <v/>
      </c>
      <c r="C2215" s="66"/>
      <c r="D2215" s="60"/>
      <c r="E2215" s="61"/>
      <c r="F2215" s="61"/>
      <c r="G2215" s="67"/>
      <c r="H2215" s="60"/>
      <c r="I2215" s="60"/>
      <c r="J2215" s="61"/>
      <c r="K2215" s="61"/>
      <c r="L2215" s="60"/>
      <c r="M2215" s="74" t="str">
        <f t="shared" si="275"/>
        <v/>
      </c>
      <c r="N2215" s="74" t="str">
        <f t="shared" si="276"/>
        <v/>
      </c>
      <c r="O2215" s="73" t="str">
        <f t="shared" si="277"/>
        <v/>
      </c>
      <c r="P2215" s="65" t="str">
        <f t="shared" ca="1" si="278"/>
        <v/>
      </c>
      <c r="Q2215" s="2"/>
      <c r="R2215" s="2"/>
      <c r="S2215" s="1" t="str">
        <f t="shared" si="279"/>
        <v/>
      </c>
      <c r="T2215" s="1" t="str">
        <f>IF(OR($C2215="",$D2215&lt;&gt;"Gelir",$L2215=""),"",IFERROR(INDEX(MUSTERILER!$B$7:$B$156,MATCH($S2215,MUSTERILER!$T$7:$T$156,0)),""))</f>
        <v/>
      </c>
      <c r="U2215" s="1" t="str">
        <f>IF($T2215="","",$T2215&amp;"|"&amp;COUNTIFS($T$7:$T2215,$T2215))</f>
        <v/>
      </c>
      <c r="V2215" s="1">
        <f t="shared" si="280"/>
        <v>0</v>
      </c>
      <c r="W2215" s="1" t="str">
        <f t="shared" si="281"/>
        <v/>
      </c>
      <c r="X2215" s="1"/>
      <c r="Y2215" s="1"/>
      <c r="Z2215" s="1"/>
      <c r="AA2215" s="1"/>
      <c r="AB2215" s="1"/>
      <c r="AC2215" s="1"/>
      <c r="AD2215" s="1">
        <f>IF($C2215="",0,SUMPRODUCT((AY_SONU!$O$7:$O$42="Evet")*(AY_SONU!$B$7:$B$42=DATE(YEAR($C2215),MONTH($C2215),1))))</f>
        <v>0</v>
      </c>
      <c r="AE2215" s="1" t="str">
        <f>IF($E2215="","",$E2215&amp;"|"&amp;COUNTIFS($E$7:$E2215,$E2215))</f>
        <v/>
      </c>
    </row>
    <row r="2216" spans="1:31" ht="18" customHeight="1" x14ac:dyDescent="0.3">
      <c r="A2216" s="2"/>
      <c r="B2216" s="65" t="str">
        <f t="shared" si="274"/>
        <v/>
      </c>
      <c r="C2216" s="66"/>
      <c r="D2216" s="60"/>
      <c r="E2216" s="61"/>
      <c r="F2216" s="61"/>
      <c r="G2216" s="67"/>
      <c r="H2216" s="60"/>
      <c r="I2216" s="60"/>
      <c r="J2216" s="61"/>
      <c r="K2216" s="61"/>
      <c r="L2216" s="60"/>
      <c r="M2216" s="74" t="str">
        <f t="shared" si="275"/>
        <v/>
      </c>
      <c r="N2216" s="74" t="str">
        <f t="shared" si="276"/>
        <v/>
      </c>
      <c r="O2216" s="73" t="str">
        <f t="shared" si="277"/>
        <v/>
      </c>
      <c r="P2216" s="65" t="str">
        <f t="shared" ca="1" si="278"/>
        <v/>
      </c>
      <c r="Q2216" s="2"/>
      <c r="R2216" s="2"/>
      <c r="S2216" s="1" t="str">
        <f t="shared" si="279"/>
        <v/>
      </c>
      <c r="T2216" s="1" t="str">
        <f>IF(OR($C2216="",$D2216&lt;&gt;"Gelir",$L2216=""),"",IFERROR(INDEX(MUSTERILER!$B$7:$B$156,MATCH($S2216,MUSTERILER!$T$7:$T$156,0)),""))</f>
        <v/>
      </c>
      <c r="U2216" s="1" t="str">
        <f>IF($T2216="","",$T2216&amp;"|"&amp;COUNTIFS($T$7:$T2216,$T2216))</f>
        <v/>
      </c>
      <c r="V2216" s="1">
        <f t="shared" si="280"/>
        <v>0</v>
      </c>
      <c r="W2216" s="1" t="str">
        <f t="shared" si="281"/>
        <v/>
      </c>
      <c r="X2216" s="1"/>
      <c r="Y2216" s="1"/>
      <c r="Z2216" s="1"/>
      <c r="AA2216" s="1"/>
      <c r="AB2216" s="1"/>
      <c r="AC2216" s="1"/>
      <c r="AD2216" s="1">
        <f>IF($C2216="",0,SUMPRODUCT((AY_SONU!$O$7:$O$42="Evet")*(AY_SONU!$B$7:$B$42=DATE(YEAR($C2216),MONTH($C2216),1))))</f>
        <v>0</v>
      </c>
      <c r="AE2216" s="1" t="str">
        <f>IF($E2216="","",$E2216&amp;"|"&amp;COUNTIFS($E$7:$E2216,$E2216))</f>
        <v/>
      </c>
    </row>
    <row r="2217" spans="1:31" ht="18" customHeight="1" x14ac:dyDescent="0.3">
      <c r="A2217" s="2"/>
      <c r="B2217" s="65" t="str">
        <f t="shared" si="274"/>
        <v/>
      </c>
      <c r="C2217" s="66"/>
      <c r="D2217" s="60"/>
      <c r="E2217" s="61"/>
      <c r="F2217" s="61"/>
      <c r="G2217" s="67"/>
      <c r="H2217" s="60"/>
      <c r="I2217" s="60"/>
      <c r="J2217" s="61"/>
      <c r="K2217" s="61"/>
      <c r="L2217" s="60"/>
      <c r="M2217" s="74" t="str">
        <f t="shared" si="275"/>
        <v/>
      </c>
      <c r="N2217" s="74" t="str">
        <f t="shared" si="276"/>
        <v/>
      </c>
      <c r="O2217" s="73" t="str">
        <f t="shared" si="277"/>
        <v/>
      </c>
      <c r="P2217" s="65" t="str">
        <f t="shared" ca="1" si="278"/>
        <v/>
      </c>
      <c r="Q2217" s="2"/>
      <c r="R2217" s="2"/>
      <c r="S2217" s="1" t="str">
        <f t="shared" si="279"/>
        <v/>
      </c>
      <c r="T2217" s="1" t="str">
        <f>IF(OR($C2217="",$D2217&lt;&gt;"Gelir",$L2217=""),"",IFERROR(INDEX(MUSTERILER!$B$7:$B$156,MATCH($S2217,MUSTERILER!$T$7:$T$156,0)),""))</f>
        <v/>
      </c>
      <c r="U2217" s="1" t="str">
        <f>IF($T2217="","",$T2217&amp;"|"&amp;COUNTIFS($T$7:$T2217,$T2217))</f>
        <v/>
      </c>
      <c r="V2217" s="1">
        <f t="shared" si="280"/>
        <v>0</v>
      </c>
      <c r="W2217" s="1" t="str">
        <f t="shared" si="281"/>
        <v/>
      </c>
      <c r="X2217" s="1"/>
      <c r="Y2217" s="1"/>
      <c r="Z2217" s="1"/>
      <c r="AA2217" s="1"/>
      <c r="AB2217" s="1"/>
      <c r="AC2217" s="1"/>
      <c r="AD2217" s="1">
        <f>IF($C2217="",0,SUMPRODUCT((AY_SONU!$O$7:$O$42="Evet")*(AY_SONU!$B$7:$B$42=DATE(YEAR($C2217),MONTH($C2217),1))))</f>
        <v>0</v>
      </c>
      <c r="AE2217" s="1" t="str">
        <f>IF($E2217="","",$E2217&amp;"|"&amp;COUNTIFS($E$7:$E2217,$E2217))</f>
        <v/>
      </c>
    </row>
    <row r="2218" spans="1:31" ht="18" customHeight="1" x14ac:dyDescent="0.3">
      <c r="A2218" s="2"/>
      <c r="B2218" s="65" t="str">
        <f t="shared" si="274"/>
        <v/>
      </c>
      <c r="C2218" s="66"/>
      <c r="D2218" s="60"/>
      <c r="E2218" s="61"/>
      <c r="F2218" s="61"/>
      <c r="G2218" s="67"/>
      <c r="H2218" s="60"/>
      <c r="I2218" s="60"/>
      <c r="J2218" s="61"/>
      <c r="K2218" s="61"/>
      <c r="L2218" s="60"/>
      <c r="M2218" s="74" t="str">
        <f t="shared" si="275"/>
        <v/>
      </c>
      <c r="N2218" s="74" t="str">
        <f t="shared" si="276"/>
        <v/>
      </c>
      <c r="O2218" s="73" t="str">
        <f t="shared" si="277"/>
        <v/>
      </c>
      <c r="P2218" s="65" t="str">
        <f t="shared" ca="1" si="278"/>
        <v/>
      </c>
      <c r="Q2218" s="2"/>
      <c r="R2218" s="2"/>
      <c r="S2218" s="1" t="str">
        <f t="shared" si="279"/>
        <v/>
      </c>
      <c r="T2218" s="1" t="str">
        <f>IF(OR($C2218="",$D2218&lt;&gt;"Gelir",$L2218=""),"",IFERROR(INDEX(MUSTERILER!$B$7:$B$156,MATCH($S2218,MUSTERILER!$T$7:$T$156,0)),""))</f>
        <v/>
      </c>
      <c r="U2218" s="1" t="str">
        <f>IF($T2218="","",$T2218&amp;"|"&amp;COUNTIFS($T$7:$T2218,$T2218))</f>
        <v/>
      </c>
      <c r="V2218" s="1">
        <f t="shared" si="280"/>
        <v>0</v>
      </c>
      <c r="W2218" s="1" t="str">
        <f t="shared" si="281"/>
        <v/>
      </c>
      <c r="X2218" s="1"/>
      <c r="Y2218" s="1"/>
      <c r="Z2218" s="1"/>
      <c r="AA2218" s="1"/>
      <c r="AB2218" s="1"/>
      <c r="AC2218" s="1"/>
      <c r="AD2218" s="1">
        <f>IF($C2218="",0,SUMPRODUCT((AY_SONU!$O$7:$O$42="Evet")*(AY_SONU!$B$7:$B$42=DATE(YEAR($C2218),MONTH($C2218),1))))</f>
        <v>0</v>
      </c>
      <c r="AE2218" s="1" t="str">
        <f>IF($E2218="","",$E2218&amp;"|"&amp;COUNTIFS($E$7:$E2218,$E2218))</f>
        <v/>
      </c>
    </row>
    <row r="2219" spans="1:31" ht="18" customHeight="1" x14ac:dyDescent="0.3">
      <c r="A2219" s="2"/>
      <c r="B2219" s="65" t="str">
        <f t="shared" si="274"/>
        <v/>
      </c>
      <c r="C2219" s="66"/>
      <c r="D2219" s="60"/>
      <c r="E2219" s="61"/>
      <c r="F2219" s="61"/>
      <c r="G2219" s="67"/>
      <c r="H2219" s="60"/>
      <c r="I2219" s="60"/>
      <c r="J2219" s="61"/>
      <c r="K2219" s="61"/>
      <c r="L2219" s="60"/>
      <c r="M2219" s="74" t="str">
        <f t="shared" si="275"/>
        <v/>
      </c>
      <c r="N2219" s="74" t="str">
        <f t="shared" si="276"/>
        <v/>
      </c>
      <c r="O2219" s="73" t="str">
        <f t="shared" si="277"/>
        <v/>
      </c>
      <c r="P2219" s="65" t="str">
        <f t="shared" ca="1" si="278"/>
        <v/>
      </c>
      <c r="Q2219" s="2"/>
      <c r="R2219" s="2"/>
      <c r="S2219" s="1" t="str">
        <f t="shared" si="279"/>
        <v/>
      </c>
      <c r="T2219" s="1" t="str">
        <f>IF(OR($C2219="",$D2219&lt;&gt;"Gelir",$L2219=""),"",IFERROR(INDEX(MUSTERILER!$B$7:$B$156,MATCH($S2219,MUSTERILER!$T$7:$T$156,0)),""))</f>
        <v/>
      </c>
      <c r="U2219" s="1" t="str">
        <f>IF($T2219="","",$T2219&amp;"|"&amp;COUNTIFS($T$7:$T2219,$T2219))</f>
        <v/>
      </c>
      <c r="V2219" s="1">
        <f t="shared" si="280"/>
        <v>0</v>
      </c>
      <c r="W2219" s="1" t="str">
        <f t="shared" si="281"/>
        <v/>
      </c>
      <c r="X2219" s="1"/>
      <c r="Y2219" s="1"/>
      <c r="Z2219" s="1"/>
      <c r="AA2219" s="1"/>
      <c r="AB2219" s="1"/>
      <c r="AC2219" s="1"/>
      <c r="AD2219" s="1">
        <f>IF($C2219="",0,SUMPRODUCT((AY_SONU!$O$7:$O$42="Evet")*(AY_SONU!$B$7:$B$42=DATE(YEAR($C2219),MONTH($C2219),1))))</f>
        <v>0</v>
      </c>
      <c r="AE2219" s="1" t="str">
        <f>IF($E2219="","",$E2219&amp;"|"&amp;COUNTIFS($E$7:$E2219,$E2219))</f>
        <v/>
      </c>
    </row>
    <row r="2220" spans="1:31" ht="18" customHeight="1" x14ac:dyDescent="0.3">
      <c r="A2220" s="2"/>
      <c r="B2220" s="65" t="str">
        <f t="shared" si="274"/>
        <v/>
      </c>
      <c r="C2220" s="66"/>
      <c r="D2220" s="60"/>
      <c r="E2220" s="61"/>
      <c r="F2220" s="61"/>
      <c r="G2220" s="67"/>
      <c r="H2220" s="60"/>
      <c r="I2220" s="60"/>
      <c r="J2220" s="61"/>
      <c r="K2220" s="61"/>
      <c r="L2220" s="60"/>
      <c r="M2220" s="74" t="str">
        <f t="shared" si="275"/>
        <v/>
      </c>
      <c r="N2220" s="74" t="str">
        <f t="shared" si="276"/>
        <v/>
      </c>
      <c r="O2220" s="73" t="str">
        <f t="shared" si="277"/>
        <v/>
      </c>
      <c r="P2220" s="65" t="str">
        <f t="shared" ca="1" si="278"/>
        <v/>
      </c>
      <c r="Q2220" s="2"/>
      <c r="R2220" s="2"/>
      <c r="S2220" s="1" t="str">
        <f t="shared" si="279"/>
        <v/>
      </c>
      <c r="T2220" s="1" t="str">
        <f>IF(OR($C2220="",$D2220&lt;&gt;"Gelir",$L2220=""),"",IFERROR(INDEX(MUSTERILER!$B$7:$B$156,MATCH($S2220,MUSTERILER!$T$7:$T$156,0)),""))</f>
        <v/>
      </c>
      <c r="U2220" s="1" t="str">
        <f>IF($T2220="","",$T2220&amp;"|"&amp;COUNTIFS($T$7:$T2220,$T2220))</f>
        <v/>
      </c>
      <c r="V2220" s="1">
        <f t="shared" si="280"/>
        <v>0</v>
      </c>
      <c r="W2220" s="1" t="str">
        <f t="shared" si="281"/>
        <v/>
      </c>
      <c r="X2220" s="1"/>
      <c r="Y2220" s="1"/>
      <c r="Z2220" s="1"/>
      <c r="AA2220" s="1"/>
      <c r="AB2220" s="1"/>
      <c r="AC2220" s="1"/>
      <c r="AD2220" s="1">
        <f>IF($C2220="",0,SUMPRODUCT((AY_SONU!$O$7:$O$42="Evet")*(AY_SONU!$B$7:$B$42=DATE(YEAR($C2220),MONTH($C2220),1))))</f>
        <v>0</v>
      </c>
      <c r="AE2220" s="1" t="str">
        <f>IF($E2220="","",$E2220&amp;"|"&amp;COUNTIFS($E$7:$E2220,$E2220))</f>
        <v/>
      </c>
    </row>
    <row r="2221" spans="1:31" ht="18" customHeight="1" x14ac:dyDescent="0.3">
      <c r="A2221" s="2"/>
      <c r="B2221" s="65" t="str">
        <f t="shared" si="274"/>
        <v/>
      </c>
      <c r="C2221" s="66"/>
      <c r="D2221" s="60"/>
      <c r="E2221" s="61"/>
      <c r="F2221" s="61"/>
      <c r="G2221" s="67"/>
      <c r="H2221" s="60"/>
      <c r="I2221" s="60"/>
      <c r="J2221" s="61"/>
      <c r="K2221" s="61"/>
      <c r="L2221" s="60"/>
      <c r="M2221" s="74" t="str">
        <f t="shared" si="275"/>
        <v/>
      </c>
      <c r="N2221" s="74" t="str">
        <f t="shared" si="276"/>
        <v/>
      </c>
      <c r="O2221" s="73" t="str">
        <f t="shared" si="277"/>
        <v/>
      </c>
      <c r="P2221" s="65" t="str">
        <f t="shared" ca="1" si="278"/>
        <v/>
      </c>
      <c r="Q2221" s="2"/>
      <c r="R2221" s="2"/>
      <c r="S2221" s="1" t="str">
        <f t="shared" si="279"/>
        <v/>
      </c>
      <c r="T2221" s="1" t="str">
        <f>IF(OR($C2221="",$D2221&lt;&gt;"Gelir",$L2221=""),"",IFERROR(INDEX(MUSTERILER!$B$7:$B$156,MATCH($S2221,MUSTERILER!$T$7:$T$156,0)),""))</f>
        <v/>
      </c>
      <c r="U2221" s="1" t="str">
        <f>IF($T2221="","",$T2221&amp;"|"&amp;COUNTIFS($T$7:$T2221,$T2221))</f>
        <v/>
      </c>
      <c r="V2221" s="1">
        <f t="shared" si="280"/>
        <v>0</v>
      </c>
      <c r="W2221" s="1" t="str">
        <f t="shared" si="281"/>
        <v/>
      </c>
      <c r="X2221" s="1"/>
      <c r="Y2221" s="1"/>
      <c r="Z2221" s="1"/>
      <c r="AA2221" s="1"/>
      <c r="AB2221" s="1"/>
      <c r="AC2221" s="1"/>
      <c r="AD2221" s="1">
        <f>IF($C2221="",0,SUMPRODUCT((AY_SONU!$O$7:$O$42="Evet")*(AY_SONU!$B$7:$B$42=DATE(YEAR($C2221),MONTH($C2221),1))))</f>
        <v>0</v>
      </c>
      <c r="AE2221" s="1" t="str">
        <f>IF($E2221="","",$E2221&amp;"|"&amp;COUNTIFS($E$7:$E2221,$E2221))</f>
        <v/>
      </c>
    </row>
    <row r="2222" spans="1:31" ht="18" customHeight="1" x14ac:dyDescent="0.3">
      <c r="A2222" s="2"/>
      <c r="B2222" s="65" t="str">
        <f t="shared" si="274"/>
        <v/>
      </c>
      <c r="C2222" s="66"/>
      <c r="D2222" s="60"/>
      <c r="E2222" s="61"/>
      <c r="F2222" s="61"/>
      <c r="G2222" s="67"/>
      <c r="H2222" s="60"/>
      <c r="I2222" s="60"/>
      <c r="J2222" s="61"/>
      <c r="K2222" s="61"/>
      <c r="L2222" s="60"/>
      <c r="M2222" s="74" t="str">
        <f t="shared" si="275"/>
        <v/>
      </c>
      <c r="N2222" s="74" t="str">
        <f t="shared" si="276"/>
        <v/>
      </c>
      <c r="O2222" s="73" t="str">
        <f t="shared" si="277"/>
        <v/>
      </c>
      <c r="P2222" s="65" t="str">
        <f t="shared" ca="1" si="278"/>
        <v/>
      </c>
      <c r="Q2222" s="2"/>
      <c r="R2222" s="2"/>
      <c r="S2222" s="1" t="str">
        <f t="shared" si="279"/>
        <v/>
      </c>
      <c r="T2222" s="1" t="str">
        <f>IF(OR($C2222="",$D2222&lt;&gt;"Gelir",$L2222=""),"",IFERROR(INDEX(MUSTERILER!$B$7:$B$156,MATCH($S2222,MUSTERILER!$T$7:$T$156,0)),""))</f>
        <v/>
      </c>
      <c r="U2222" s="1" t="str">
        <f>IF($T2222="","",$T2222&amp;"|"&amp;COUNTIFS($T$7:$T2222,$T2222))</f>
        <v/>
      </c>
      <c r="V2222" s="1">
        <f t="shared" si="280"/>
        <v>0</v>
      </c>
      <c r="W2222" s="1" t="str">
        <f t="shared" si="281"/>
        <v/>
      </c>
      <c r="X2222" s="1"/>
      <c r="Y2222" s="1"/>
      <c r="Z2222" s="1"/>
      <c r="AA2222" s="1"/>
      <c r="AB2222" s="1"/>
      <c r="AC2222" s="1"/>
      <c r="AD2222" s="1">
        <f>IF($C2222="",0,SUMPRODUCT((AY_SONU!$O$7:$O$42="Evet")*(AY_SONU!$B$7:$B$42=DATE(YEAR($C2222),MONTH($C2222),1))))</f>
        <v>0</v>
      </c>
      <c r="AE2222" s="1" t="str">
        <f>IF($E2222="","",$E2222&amp;"|"&amp;COUNTIFS($E$7:$E2222,$E2222))</f>
        <v/>
      </c>
    </row>
    <row r="2223" spans="1:31" ht="18" customHeight="1" x14ac:dyDescent="0.3">
      <c r="A2223" s="2"/>
      <c r="B2223" s="65" t="str">
        <f t="shared" si="274"/>
        <v/>
      </c>
      <c r="C2223" s="66"/>
      <c r="D2223" s="60"/>
      <c r="E2223" s="61"/>
      <c r="F2223" s="61"/>
      <c r="G2223" s="67"/>
      <c r="H2223" s="60"/>
      <c r="I2223" s="60"/>
      <c r="J2223" s="61"/>
      <c r="K2223" s="61"/>
      <c r="L2223" s="60"/>
      <c r="M2223" s="74" t="str">
        <f t="shared" si="275"/>
        <v/>
      </c>
      <c r="N2223" s="74" t="str">
        <f t="shared" si="276"/>
        <v/>
      </c>
      <c r="O2223" s="73" t="str">
        <f t="shared" si="277"/>
        <v/>
      </c>
      <c r="P2223" s="65" t="str">
        <f t="shared" ca="1" si="278"/>
        <v/>
      </c>
      <c r="Q2223" s="2"/>
      <c r="R2223" s="2"/>
      <c r="S2223" s="1" t="str">
        <f t="shared" si="279"/>
        <v/>
      </c>
      <c r="T2223" s="1" t="str">
        <f>IF(OR($C2223="",$D2223&lt;&gt;"Gelir",$L2223=""),"",IFERROR(INDEX(MUSTERILER!$B$7:$B$156,MATCH($S2223,MUSTERILER!$T$7:$T$156,0)),""))</f>
        <v/>
      </c>
      <c r="U2223" s="1" t="str">
        <f>IF($T2223="","",$T2223&amp;"|"&amp;COUNTIFS($T$7:$T2223,$T2223))</f>
        <v/>
      </c>
      <c r="V2223" s="1">
        <f t="shared" si="280"/>
        <v>0</v>
      </c>
      <c r="W2223" s="1" t="str">
        <f t="shared" si="281"/>
        <v/>
      </c>
      <c r="X2223" s="1"/>
      <c r="Y2223" s="1"/>
      <c r="Z2223" s="1"/>
      <c r="AA2223" s="1"/>
      <c r="AB2223" s="1"/>
      <c r="AC2223" s="1"/>
      <c r="AD2223" s="1">
        <f>IF($C2223="",0,SUMPRODUCT((AY_SONU!$O$7:$O$42="Evet")*(AY_SONU!$B$7:$B$42=DATE(YEAR($C2223),MONTH($C2223),1))))</f>
        <v>0</v>
      </c>
      <c r="AE2223" s="1" t="str">
        <f>IF($E2223="","",$E2223&amp;"|"&amp;COUNTIFS($E$7:$E2223,$E2223))</f>
        <v/>
      </c>
    </row>
    <row r="2224" spans="1:31" ht="18" customHeight="1" x14ac:dyDescent="0.3">
      <c r="A2224" s="2"/>
      <c r="B2224" s="65" t="str">
        <f t="shared" si="274"/>
        <v/>
      </c>
      <c r="C2224" s="66"/>
      <c r="D2224" s="60"/>
      <c r="E2224" s="61"/>
      <c r="F2224" s="61"/>
      <c r="G2224" s="67"/>
      <c r="H2224" s="60"/>
      <c r="I2224" s="60"/>
      <c r="J2224" s="61"/>
      <c r="K2224" s="61"/>
      <c r="L2224" s="60"/>
      <c r="M2224" s="74" t="str">
        <f t="shared" si="275"/>
        <v/>
      </c>
      <c r="N2224" s="74" t="str">
        <f t="shared" si="276"/>
        <v/>
      </c>
      <c r="O2224" s="73" t="str">
        <f t="shared" si="277"/>
        <v/>
      </c>
      <c r="P2224" s="65" t="str">
        <f t="shared" ca="1" si="278"/>
        <v/>
      </c>
      <c r="Q2224" s="2"/>
      <c r="R2224" s="2"/>
      <c r="S2224" s="1" t="str">
        <f t="shared" si="279"/>
        <v/>
      </c>
      <c r="T2224" s="1" t="str">
        <f>IF(OR($C2224="",$D2224&lt;&gt;"Gelir",$L2224=""),"",IFERROR(INDEX(MUSTERILER!$B$7:$B$156,MATCH($S2224,MUSTERILER!$T$7:$T$156,0)),""))</f>
        <v/>
      </c>
      <c r="U2224" s="1" t="str">
        <f>IF($T2224="","",$T2224&amp;"|"&amp;COUNTIFS($T$7:$T2224,$T2224))</f>
        <v/>
      </c>
      <c r="V2224" s="1">
        <f t="shared" si="280"/>
        <v>0</v>
      </c>
      <c r="W2224" s="1" t="str">
        <f t="shared" si="281"/>
        <v/>
      </c>
      <c r="X2224" s="1"/>
      <c r="Y2224" s="1"/>
      <c r="Z2224" s="1"/>
      <c r="AA2224" s="1"/>
      <c r="AB2224" s="1"/>
      <c r="AC2224" s="1"/>
      <c r="AD2224" s="1">
        <f>IF($C2224="",0,SUMPRODUCT((AY_SONU!$O$7:$O$42="Evet")*(AY_SONU!$B$7:$B$42=DATE(YEAR($C2224),MONTH($C2224),1))))</f>
        <v>0</v>
      </c>
      <c r="AE2224" s="1" t="str">
        <f>IF($E2224="","",$E2224&amp;"|"&amp;COUNTIFS($E$7:$E2224,$E2224))</f>
        <v/>
      </c>
    </row>
    <row r="2225" spans="1:31" ht="18" customHeight="1" x14ac:dyDescent="0.3">
      <c r="A2225" s="2"/>
      <c r="B2225" s="65" t="str">
        <f t="shared" si="274"/>
        <v/>
      </c>
      <c r="C2225" s="66"/>
      <c r="D2225" s="60"/>
      <c r="E2225" s="61"/>
      <c r="F2225" s="61"/>
      <c r="G2225" s="67"/>
      <c r="H2225" s="60"/>
      <c r="I2225" s="60"/>
      <c r="J2225" s="61"/>
      <c r="K2225" s="61"/>
      <c r="L2225" s="60"/>
      <c r="M2225" s="74" t="str">
        <f t="shared" si="275"/>
        <v/>
      </c>
      <c r="N2225" s="74" t="str">
        <f t="shared" si="276"/>
        <v/>
      </c>
      <c r="O2225" s="73" t="str">
        <f t="shared" si="277"/>
        <v/>
      </c>
      <c r="P2225" s="65" t="str">
        <f t="shared" ca="1" si="278"/>
        <v/>
      </c>
      <c r="Q2225" s="2"/>
      <c r="R2225" s="2"/>
      <c r="S2225" s="1" t="str">
        <f t="shared" si="279"/>
        <v/>
      </c>
      <c r="T2225" s="1" t="str">
        <f>IF(OR($C2225="",$D2225&lt;&gt;"Gelir",$L2225=""),"",IFERROR(INDEX(MUSTERILER!$B$7:$B$156,MATCH($S2225,MUSTERILER!$T$7:$T$156,0)),""))</f>
        <v/>
      </c>
      <c r="U2225" s="1" t="str">
        <f>IF($T2225="","",$T2225&amp;"|"&amp;COUNTIFS($T$7:$T2225,$T2225))</f>
        <v/>
      </c>
      <c r="V2225" s="1">
        <f t="shared" si="280"/>
        <v>0</v>
      </c>
      <c r="W2225" s="1" t="str">
        <f t="shared" si="281"/>
        <v/>
      </c>
      <c r="X2225" s="1"/>
      <c r="Y2225" s="1"/>
      <c r="Z2225" s="1"/>
      <c r="AA2225" s="1"/>
      <c r="AB2225" s="1"/>
      <c r="AC2225" s="1"/>
      <c r="AD2225" s="1">
        <f>IF($C2225="",0,SUMPRODUCT((AY_SONU!$O$7:$O$42="Evet")*(AY_SONU!$B$7:$B$42=DATE(YEAR($C2225),MONTH($C2225),1))))</f>
        <v>0</v>
      </c>
      <c r="AE2225" s="1" t="str">
        <f>IF($E2225="","",$E2225&amp;"|"&amp;COUNTIFS($E$7:$E2225,$E2225))</f>
        <v/>
      </c>
    </row>
    <row r="2226" spans="1:31" ht="18" customHeight="1" x14ac:dyDescent="0.3">
      <c r="A2226" s="2"/>
      <c r="B2226" s="65" t="str">
        <f t="shared" si="274"/>
        <v/>
      </c>
      <c r="C2226" s="66"/>
      <c r="D2226" s="60"/>
      <c r="E2226" s="61"/>
      <c r="F2226" s="61"/>
      <c r="G2226" s="67"/>
      <c r="H2226" s="60"/>
      <c r="I2226" s="60"/>
      <c r="J2226" s="61"/>
      <c r="K2226" s="61"/>
      <c r="L2226" s="60"/>
      <c r="M2226" s="74" t="str">
        <f t="shared" si="275"/>
        <v/>
      </c>
      <c r="N2226" s="74" t="str">
        <f t="shared" si="276"/>
        <v/>
      </c>
      <c r="O2226" s="73" t="str">
        <f t="shared" si="277"/>
        <v/>
      </c>
      <c r="P2226" s="65" t="str">
        <f t="shared" ca="1" si="278"/>
        <v/>
      </c>
      <c r="Q2226" s="2"/>
      <c r="R2226" s="2"/>
      <c r="S2226" s="1" t="str">
        <f t="shared" si="279"/>
        <v/>
      </c>
      <c r="T2226" s="1" t="str">
        <f>IF(OR($C2226="",$D2226&lt;&gt;"Gelir",$L2226=""),"",IFERROR(INDEX(MUSTERILER!$B$7:$B$156,MATCH($S2226,MUSTERILER!$T$7:$T$156,0)),""))</f>
        <v/>
      </c>
      <c r="U2226" s="1" t="str">
        <f>IF($T2226="","",$T2226&amp;"|"&amp;COUNTIFS($T$7:$T2226,$T2226))</f>
        <v/>
      </c>
      <c r="V2226" s="1">
        <f t="shared" si="280"/>
        <v>0</v>
      </c>
      <c r="W2226" s="1" t="str">
        <f t="shared" si="281"/>
        <v/>
      </c>
      <c r="X2226" s="1"/>
      <c r="Y2226" s="1"/>
      <c r="Z2226" s="1"/>
      <c r="AA2226" s="1"/>
      <c r="AB2226" s="1"/>
      <c r="AC2226" s="1"/>
      <c r="AD2226" s="1">
        <f>IF($C2226="",0,SUMPRODUCT((AY_SONU!$O$7:$O$42="Evet")*(AY_SONU!$B$7:$B$42=DATE(YEAR($C2226),MONTH($C2226),1))))</f>
        <v>0</v>
      </c>
      <c r="AE2226" s="1" t="str">
        <f>IF($E2226="","",$E2226&amp;"|"&amp;COUNTIFS($E$7:$E2226,$E2226))</f>
        <v/>
      </c>
    </row>
    <row r="2227" spans="1:31" ht="18" customHeight="1" x14ac:dyDescent="0.3">
      <c r="A2227" s="2"/>
      <c r="B2227" s="65" t="str">
        <f t="shared" si="274"/>
        <v/>
      </c>
      <c r="C2227" s="66"/>
      <c r="D2227" s="60"/>
      <c r="E2227" s="61"/>
      <c r="F2227" s="61"/>
      <c r="G2227" s="67"/>
      <c r="H2227" s="60"/>
      <c r="I2227" s="60"/>
      <c r="J2227" s="61"/>
      <c r="K2227" s="61"/>
      <c r="L2227" s="60"/>
      <c r="M2227" s="74" t="str">
        <f t="shared" si="275"/>
        <v/>
      </c>
      <c r="N2227" s="74" t="str">
        <f t="shared" si="276"/>
        <v/>
      </c>
      <c r="O2227" s="73" t="str">
        <f t="shared" si="277"/>
        <v/>
      </c>
      <c r="P2227" s="65" t="str">
        <f t="shared" ca="1" si="278"/>
        <v/>
      </c>
      <c r="Q2227" s="2"/>
      <c r="R2227" s="2"/>
      <c r="S2227" s="1" t="str">
        <f t="shared" si="279"/>
        <v/>
      </c>
      <c r="T2227" s="1" t="str">
        <f>IF(OR($C2227="",$D2227&lt;&gt;"Gelir",$L2227=""),"",IFERROR(INDEX(MUSTERILER!$B$7:$B$156,MATCH($S2227,MUSTERILER!$T$7:$T$156,0)),""))</f>
        <v/>
      </c>
      <c r="U2227" s="1" t="str">
        <f>IF($T2227="","",$T2227&amp;"|"&amp;COUNTIFS($T$7:$T2227,$T2227))</f>
        <v/>
      </c>
      <c r="V2227" s="1">
        <f t="shared" si="280"/>
        <v>0</v>
      </c>
      <c r="W2227" s="1" t="str">
        <f t="shared" si="281"/>
        <v/>
      </c>
      <c r="X2227" s="1"/>
      <c r="Y2227" s="1"/>
      <c r="Z2227" s="1"/>
      <c r="AA2227" s="1"/>
      <c r="AB2227" s="1"/>
      <c r="AC2227" s="1"/>
      <c r="AD2227" s="1">
        <f>IF($C2227="",0,SUMPRODUCT((AY_SONU!$O$7:$O$42="Evet")*(AY_SONU!$B$7:$B$42=DATE(YEAR($C2227),MONTH($C2227),1))))</f>
        <v>0</v>
      </c>
      <c r="AE2227" s="1" t="str">
        <f>IF($E2227="","",$E2227&amp;"|"&amp;COUNTIFS($E$7:$E2227,$E2227))</f>
        <v/>
      </c>
    </row>
    <row r="2228" spans="1:31" ht="18" customHeight="1" x14ac:dyDescent="0.3">
      <c r="A2228" s="2"/>
      <c r="B2228" s="65" t="str">
        <f t="shared" si="274"/>
        <v/>
      </c>
      <c r="C2228" s="66"/>
      <c r="D2228" s="60"/>
      <c r="E2228" s="61"/>
      <c r="F2228" s="61"/>
      <c r="G2228" s="67"/>
      <c r="H2228" s="60"/>
      <c r="I2228" s="60"/>
      <c r="J2228" s="61"/>
      <c r="K2228" s="61"/>
      <c r="L2228" s="60"/>
      <c r="M2228" s="74" t="str">
        <f t="shared" si="275"/>
        <v/>
      </c>
      <c r="N2228" s="74" t="str">
        <f t="shared" si="276"/>
        <v/>
      </c>
      <c r="O2228" s="73" t="str">
        <f t="shared" si="277"/>
        <v/>
      </c>
      <c r="P2228" s="65" t="str">
        <f t="shared" ca="1" si="278"/>
        <v/>
      </c>
      <c r="Q2228" s="2"/>
      <c r="R2228" s="2"/>
      <c r="S2228" s="1" t="str">
        <f t="shared" si="279"/>
        <v/>
      </c>
      <c r="T2228" s="1" t="str">
        <f>IF(OR($C2228="",$D2228&lt;&gt;"Gelir",$L2228=""),"",IFERROR(INDEX(MUSTERILER!$B$7:$B$156,MATCH($S2228,MUSTERILER!$T$7:$T$156,0)),""))</f>
        <v/>
      </c>
      <c r="U2228" s="1" t="str">
        <f>IF($T2228="","",$T2228&amp;"|"&amp;COUNTIFS($T$7:$T2228,$T2228))</f>
        <v/>
      </c>
      <c r="V2228" s="1">
        <f t="shared" si="280"/>
        <v>0</v>
      </c>
      <c r="W2228" s="1" t="str">
        <f t="shared" si="281"/>
        <v/>
      </c>
      <c r="X2228" s="1"/>
      <c r="Y2228" s="1"/>
      <c r="Z2228" s="1"/>
      <c r="AA2228" s="1"/>
      <c r="AB2228" s="1"/>
      <c r="AC2228" s="1"/>
      <c r="AD2228" s="1">
        <f>IF($C2228="",0,SUMPRODUCT((AY_SONU!$O$7:$O$42="Evet")*(AY_SONU!$B$7:$B$42=DATE(YEAR($C2228),MONTH($C2228),1))))</f>
        <v>0</v>
      </c>
      <c r="AE2228" s="1" t="str">
        <f>IF($E2228="","",$E2228&amp;"|"&amp;COUNTIFS($E$7:$E2228,$E2228))</f>
        <v/>
      </c>
    </row>
    <row r="2229" spans="1:31" ht="18" customHeight="1" x14ac:dyDescent="0.3">
      <c r="A2229" s="2"/>
      <c r="B2229" s="65" t="str">
        <f t="shared" si="274"/>
        <v/>
      </c>
      <c r="C2229" s="66"/>
      <c r="D2229" s="60"/>
      <c r="E2229" s="61"/>
      <c r="F2229" s="61"/>
      <c r="G2229" s="67"/>
      <c r="H2229" s="60"/>
      <c r="I2229" s="60"/>
      <c r="J2229" s="61"/>
      <c r="K2229" s="61"/>
      <c r="L2229" s="60"/>
      <c r="M2229" s="74" t="str">
        <f t="shared" si="275"/>
        <v/>
      </c>
      <c r="N2229" s="74" t="str">
        <f t="shared" si="276"/>
        <v/>
      </c>
      <c r="O2229" s="73" t="str">
        <f t="shared" si="277"/>
        <v/>
      </c>
      <c r="P2229" s="65" t="str">
        <f t="shared" ca="1" si="278"/>
        <v/>
      </c>
      <c r="Q2229" s="2"/>
      <c r="R2229" s="2"/>
      <c r="S2229" s="1" t="str">
        <f t="shared" si="279"/>
        <v/>
      </c>
      <c r="T2229" s="1" t="str">
        <f>IF(OR($C2229="",$D2229&lt;&gt;"Gelir",$L2229=""),"",IFERROR(INDEX(MUSTERILER!$B$7:$B$156,MATCH($S2229,MUSTERILER!$T$7:$T$156,0)),""))</f>
        <v/>
      </c>
      <c r="U2229" s="1" t="str">
        <f>IF($T2229="","",$T2229&amp;"|"&amp;COUNTIFS($T$7:$T2229,$T2229))</f>
        <v/>
      </c>
      <c r="V2229" s="1">
        <f t="shared" si="280"/>
        <v>0</v>
      </c>
      <c r="W2229" s="1" t="str">
        <f t="shared" si="281"/>
        <v/>
      </c>
      <c r="X2229" s="1"/>
      <c r="Y2229" s="1"/>
      <c r="Z2229" s="1"/>
      <c r="AA2229" s="1"/>
      <c r="AB2229" s="1"/>
      <c r="AC2229" s="1"/>
      <c r="AD2229" s="1">
        <f>IF($C2229="",0,SUMPRODUCT((AY_SONU!$O$7:$O$42="Evet")*(AY_SONU!$B$7:$B$42=DATE(YEAR($C2229),MONTH($C2229),1))))</f>
        <v>0</v>
      </c>
      <c r="AE2229" s="1" t="str">
        <f>IF($E2229="","",$E2229&amp;"|"&amp;COUNTIFS($E$7:$E2229,$E2229))</f>
        <v/>
      </c>
    </row>
    <row r="2230" spans="1:31" ht="18" customHeight="1" x14ac:dyDescent="0.3">
      <c r="A2230" s="2"/>
      <c r="B2230" s="65" t="str">
        <f t="shared" si="274"/>
        <v/>
      </c>
      <c r="C2230" s="66"/>
      <c r="D2230" s="60"/>
      <c r="E2230" s="61"/>
      <c r="F2230" s="61"/>
      <c r="G2230" s="67"/>
      <c r="H2230" s="60"/>
      <c r="I2230" s="60"/>
      <c r="J2230" s="61"/>
      <c r="K2230" s="61"/>
      <c r="L2230" s="60"/>
      <c r="M2230" s="74" t="str">
        <f t="shared" si="275"/>
        <v/>
      </c>
      <c r="N2230" s="74" t="str">
        <f t="shared" si="276"/>
        <v/>
      </c>
      <c r="O2230" s="73" t="str">
        <f t="shared" si="277"/>
        <v/>
      </c>
      <c r="P2230" s="65" t="str">
        <f t="shared" ca="1" si="278"/>
        <v/>
      </c>
      <c r="Q2230" s="2"/>
      <c r="R2230" s="2"/>
      <c r="S2230" s="1" t="str">
        <f t="shared" si="279"/>
        <v/>
      </c>
      <c r="T2230" s="1" t="str">
        <f>IF(OR($C2230="",$D2230&lt;&gt;"Gelir",$L2230=""),"",IFERROR(INDEX(MUSTERILER!$B$7:$B$156,MATCH($S2230,MUSTERILER!$T$7:$T$156,0)),""))</f>
        <v/>
      </c>
      <c r="U2230" s="1" t="str">
        <f>IF($T2230="","",$T2230&amp;"|"&amp;COUNTIFS($T$7:$T2230,$T2230))</f>
        <v/>
      </c>
      <c r="V2230" s="1">
        <f t="shared" si="280"/>
        <v>0</v>
      </c>
      <c r="W2230" s="1" t="str">
        <f t="shared" si="281"/>
        <v/>
      </c>
      <c r="X2230" s="1"/>
      <c r="Y2230" s="1"/>
      <c r="Z2230" s="1"/>
      <c r="AA2230" s="1"/>
      <c r="AB2230" s="1"/>
      <c r="AC2230" s="1"/>
      <c r="AD2230" s="1">
        <f>IF($C2230="",0,SUMPRODUCT((AY_SONU!$O$7:$O$42="Evet")*(AY_SONU!$B$7:$B$42=DATE(YEAR($C2230),MONTH($C2230),1))))</f>
        <v>0</v>
      </c>
      <c r="AE2230" s="1" t="str">
        <f>IF($E2230="","",$E2230&amp;"|"&amp;COUNTIFS($E$7:$E2230,$E2230))</f>
        <v/>
      </c>
    </row>
    <row r="2231" spans="1:31" ht="18" customHeight="1" x14ac:dyDescent="0.3">
      <c r="A2231" s="2"/>
      <c r="B2231" s="65" t="str">
        <f t="shared" si="274"/>
        <v/>
      </c>
      <c r="C2231" s="66"/>
      <c r="D2231" s="60"/>
      <c r="E2231" s="61"/>
      <c r="F2231" s="61"/>
      <c r="G2231" s="67"/>
      <c r="H2231" s="60"/>
      <c r="I2231" s="60"/>
      <c r="J2231" s="61"/>
      <c r="K2231" s="61"/>
      <c r="L2231" s="60"/>
      <c r="M2231" s="74" t="str">
        <f t="shared" si="275"/>
        <v/>
      </c>
      <c r="N2231" s="74" t="str">
        <f t="shared" si="276"/>
        <v/>
      </c>
      <c r="O2231" s="73" t="str">
        <f t="shared" si="277"/>
        <v/>
      </c>
      <c r="P2231" s="65" t="str">
        <f t="shared" ca="1" si="278"/>
        <v/>
      </c>
      <c r="Q2231" s="2"/>
      <c r="R2231" s="2"/>
      <c r="S2231" s="1" t="str">
        <f t="shared" si="279"/>
        <v/>
      </c>
      <c r="T2231" s="1" t="str">
        <f>IF(OR($C2231="",$D2231&lt;&gt;"Gelir",$L2231=""),"",IFERROR(INDEX(MUSTERILER!$B$7:$B$156,MATCH($S2231,MUSTERILER!$T$7:$T$156,0)),""))</f>
        <v/>
      </c>
      <c r="U2231" s="1" t="str">
        <f>IF($T2231="","",$T2231&amp;"|"&amp;COUNTIFS($T$7:$T2231,$T2231))</f>
        <v/>
      </c>
      <c r="V2231" s="1">
        <f t="shared" si="280"/>
        <v>0</v>
      </c>
      <c r="W2231" s="1" t="str">
        <f t="shared" si="281"/>
        <v/>
      </c>
      <c r="X2231" s="1"/>
      <c r="Y2231" s="1"/>
      <c r="Z2231" s="1"/>
      <c r="AA2231" s="1"/>
      <c r="AB2231" s="1"/>
      <c r="AC2231" s="1"/>
      <c r="AD2231" s="1">
        <f>IF($C2231="",0,SUMPRODUCT((AY_SONU!$O$7:$O$42="Evet")*(AY_SONU!$B$7:$B$42=DATE(YEAR($C2231),MONTH($C2231),1))))</f>
        <v>0</v>
      </c>
      <c r="AE2231" s="1" t="str">
        <f>IF($E2231="","",$E2231&amp;"|"&amp;COUNTIFS($E$7:$E2231,$E2231))</f>
        <v/>
      </c>
    </row>
    <row r="2232" spans="1:31" ht="18" customHeight="1" x14ac:dyDescent="0.3">
      <c r="A2232" s="2"/>
      <c r="B2232" s="65" t="str">
        <f t="shared" si="274"/>
        <v/>
      </c>
      <c r="C2232" s="66"/>
      <c r="D2232" s="60"/>
      <c r="E2232" s="61"/>
      <c r="F2232" s="61"/>
      <c r="G2232" s="67"/>
      <c r="H2232" s="60"/>
      <c r="I2232" s="60"/>
      <c r="J2232" s="61"/>
      <c r="K2232" s="61"/>
      <c r="L2232" s="60"/>
      <c r="M2232" s="74" t="str">
        <f t="shared" si="275"/>
        <v/>
      </c>
      <c r="N2232" s="74" t="str">
        <f t="shared" si="276"/>
        <v/>
      </c>
      <c r="O2232" s="73" t="str">
        <f t="shared" si="277"/>
        <v/>
      </c>
      <c r="P2232" s="65" t="str">
        <f t="shared" ca="1" si="278"/>
        <v/>
      </c>
      <c r="Q2232" s="2"/>
      <c r="R2232" s="2"/>
      <c r="S2232" s="1" t="str">
        <f t="shared" si="279"/>
        <v/>
      </c>
      <c r="T2232" s="1" t="str">
        <f>IF(OR($C2232="",$D2232&lt;&gt;"Gelir",$L2232=""),"",IFERROR(INDEX(MUSTERILER!$B$7:$B$156,MATCH($S2232,MUSTERILER!$T$7:$T$156,0)),""))</f>
        <v/>
      </c>
      <c r="U2232" s="1" t="str">
        <f>IF($T2232="","",$T2232&amp;"|"&amp;COUNTIFS($T$7:$T2232,$T2232))</f>
        <v/>
      </c>
      <c r="V2232" s="1">
        <f t="shared" si="280"/>
        <v>0</v>
      </c>
      <c r="W2232" s="1" t="str">
        <f t="shared" si="281"/>
        <v/>
      </c>
      <c r="X2232" s="1"/>
      <c r="Y2232" s="1"/>
      <c r="Z2232" s="1"/>
      <c r="AA2232" s="1"/>
      <c r="AB2232" s="1"/>
      <c r="AC2232" s="1"/>
      <c r="AD2232" s="1">
        <f>IF($C2232="",0,SUMPRODUCT((AY_SONU!$O$7:$O$42="Evet")*(AY_SONU!$B$7:$B$42=DATE(YEAR($C2232),MONTH($C2232),1))))</f>
        <v>0</v>
      </c>
      <c r="AE2232" s="1" t="str">
        <f>IF($E2232="","",$E2232&amp;"|"&amp;COUNTIFS($E$7:$E2232,$E2232))</f>
        <v/>
      </c>
    </row>
    <row r="2233" spans="1:31" ht="18" customHeight="1" x14ac:dyDescent="0.3">
      <c r="A2233" s="2"/>
      <c r="B2233" s="65" t="str">
        <f t="shared" si="274"/>
        <v/>
      </c>
      <c r="C2233" s="66"/>
      <c r="D2233" s="60"/>
      <c r="E2233" s="61"/>
      <c r="F2233" s="61"/>
      <c r="G2233" s="67"/>
      <c r="H2233" s="60"/>
      <c r="I2233" s="60"/>
      <c r="J2233" s="61"/>
      <c r="K2233" s="61"/>
      <c r="L2233" s="60"/>
      <c r="M2233" s="74" t="str">
        <f t="shared" si="275"/>
        <v/>
      </c>
      <c r="N2233" s="74" t="str">
        <f t="shared" si="276"/>
        <v/>
      </c>
      <c r="O2233" s="73" t="str">
        <f t="shared" si="277"/>
        <v/>
      </c>
      <c r="P2233" s="65" t="str">
        <f t="shared" ca="1" si="278"/>
        <v/>
      </c>
      <c r="Q2233" s="2"/>
      <c r="R2233" s="2"/>
      <c r="S2233" s="1" t="str">
        <f t="shared" si="279"/>
        <v/>
      </c>
      <c r="T2233" s="1" t="str">
        <f>IF(OR($C2233="",$D2233&lt;&gt;"Gelir",$L2233=""),"",IFERROR(INDEX(MUSTERILER!$B$7:$B$156,MATCH($S2233,MUSTERILER!$T$7:$T$156,0)),""))</f>
        <v/>
      </c>
      <c r="U2233" s="1" t="str">
        <f>IF($T2233="","",$T2233&amp;"|"&amp;COUNTIFS($T$7:$T2233,$T2233))</f>
        <v/>
      </c>
      <c r="V2233" s="1">
        <f t="shared" si="280"/>
        <v>0</v>
      </c>
      <c r="W2233" s="1" t="str">
        <f t="shared" si="281"/>
        <v/>
      </c>
      <c r="X2233" s="1"/>
      <c r="Y2233" s="1"/>
      <c r="Z2233" s="1"/>
      <c r="AA2233" s="1"/>
      <c r="AB2233" s="1"/>
      <c r="AC2233" s="1"/>
      <c r="AD2233" s="1">
        <f>IF($C2233="",0,SUMPRODUCT((AY_SONU!$O$7:$O$42="Evet")*(AY_SONU!$B$7:$B$42=DATE(YEAR($C2233),MONTH($C2233),1))))</f>
        <v>0</v>
      </c>
      <c r="AE2233" s="1" t="str">
        <f>IF($E2233="","",$E2233&amp;"|"&amp;COUNTIFS($E$7:$E2233,$E2233))</f>
        <v/>
      </c>
    </row>
    <row r="2234" spans="1:31" ht="18" customHeight="1" x14ac:dyDescent="0.3">
      <c r="A2234" s="2"/>
      <c r="B2234" s="65" t="str">
        <f t="shared" si="274"/>
        <v/>
      </c>
      <c r="C2234" s="66"/>
      <c r="D2234" s="60"/>
      <c r="E2234" s="61"/>
      <c r="F2234" s="61"/>
      <c r="G2234" s="67"/>
      <c r="H2234" s="60"/>
      <c r="I2234" s="60"/>
      <c r="J2234" s="61"/>
      <c r="K2234" s="61"/>
      <c r="L2234" s="60"/>
      <c r="M2234" s="74" t="str">
        <f t="shared" si="275"/>
        <v/>
      </c>
      <c r="N2234" s="74" t="str">
        <f t="shared" si="276"/>
        <v/>
      </c>
      <c r="O2234" s="73" t="str">
        <f t="shared" si="277"/>
        <v/>
      </c>
      <c r="P2234" s="65" t="str">
        <f t="shared" ca="1" si="278"/>
        <v/>
      </c>
      <c r="Q2234" s="2"/>
      <c r="R2234" s="2"/>
      <c r="S2234" s="1" t="str">
        <f t="shared" si="279"/>
        <v/>
      </c>
      <c r="T2234" s="1" t="str">
        <f>IF(OR($C2234="",$D2234&lt;&gt;"Gelir",$L2234=""),"",IFERROR(INDEX(MUSTERILER!$B$7:$B$156,MATCH($S2234,MUSTERILER!$T$7:$T$156,0)),""))</f>
        <v/>
      </c>
      <c r="U2234" s="1" t="str">
        <f>IF($T2234="","",$T2234&amp;"|"&amp;COUNTIFS($T$7:$T2234,$T2234))</f>
        <v/>
      </c>
      <c r="V2234" s="1">
        <f t="shared" si="280"/>
        <v>0</v>
      </c>
      <c r="W2234" s="1" t="str">
        <f t="shared" si="281"/>
        <v/>
      </c>
      <c r="X2234" s="1"/>
      <c r="Y2234" s="1"/>
      <c r="Z2234" s="1"/>
      <c r="AA2234" s="1"/>
      <c r="AB2234" s="1"/>
      <c r="AC2234" s="1"/>
      <c r="AD2234" s="1">
        <f>IF($C2234="",0,SUMPRODUCT((AY_SONU!$O$7:$O$42="Evet")*(AY_SONU!$B$7:$B$42=DATE(YEAR($C2234),MONTH($C2234),1))))</f>
        <v>0</v>
      </c>
      <c r="AE2234" s="1" t="str">
        <f>IF($E2234="","",$E2234&amp;"|"&amp;COUNTIFS($E$7:$E2234,$E2234))</f>
        <v/>
      </c>
    </row>
    <row r="2235" spans="1:31" ht="18" customHeight="1" x14ac:dyDescent="0.3">
      <c r="A2235" s="2"/>
      <c r="B2235" s="65" t="str">
        <f t="shared" si="274"/>
        <v/>
      </c>
      <c r="C2235" s="66"/>
      <c r="D2235" s="60"/>
      <c r="E2235" s="61"/>
      <c r="F2235" s="61"/>
      <c r="G2235" s="67"/>
      <c r="H2235" s="60"/>
      <c r="I2235" s="60"/>
      <c r="J2235" s="61"/>
      <c r="K2235" s="61"/>
      <c r="L2235" s="60"/>
      <c r="M2235" s="74" t="str">
        <f t="shared" si="275"/>
        <v/>
      </c>
      <c r="N2235" s="74" t="str">
        <f t="shared" si="276"/>
        <v/>
      </c>
      <c r="O2235" s="73" t="str">
        <f t="shared" si="277"/>
        <v/>
      </c>
      <c r="P2235" s="65" t="str">
        <f t="shared" ca="1" si="278"/>
        <v/>
      </c>
      <c r="Q2235" s="2"/>
      <c r="R2235" s="2"/>
      <c r="S2235" s="1" t="str">
        <f t="shared" si="279"/>
        <v/>
      </c>
      <c r="T2235" s="1" t="str">
        <f>IF(OR($C2235="",$D2235&lt;&gt;"Gelir",$L2235=""),"",IFERROR(INDEX(MUSTERILER!$B$7:$B$156,MATCH($S2235,MUSTERILER!$T$7:$T$156,0)),""))</f>
        <v/>
      </c>
      <c r="U2235" s="1" t="str">
        <f>IF($T2235="","",$T2235&amp;"|"&amp;COUNTIFS($T$7:$T2235,$T2235))</f>
        <v/>
      </c>
      <c r="V2235" s="1">
        <f t="shared" si="280"/>
        <v>0</v>
      </c>
      <c r="W2235" s="1" t="str">
        <f t="shared" si="281"/>
        <v/>
      </c>
      <c r="X2235" s="1"/>
      <c r="Y2235" s="1"/>
      <c r="Z2235" s="1"/>
      <c r="AA2235" s="1"/>
      <c r="AB2235" s="1"/>
      <c r="AC2235" s="1"/>
      <c r="AD2235" s="1">
        <f>IF($C2235="",0,SUMPRODUCT((AY_SONU!$O$7:$O$42="Evet")*(AY_SONU!$B$7:$B$42=DATE(YEAR($C2235),MONTH($C2235),1))))</f>
        <v>0</v>
      </c>
      <c r="AE2235" s="1" t="str">
        <f>IF($E2235="","",$E2235&amp;"|"&amp;COUNTIFS($E$7:$E2235,$E2235))</f>
        <v/>
      </c>
    </row>
    <row r="2236" spans="1:31" ht="18" customHeight="1" x14ac:dyDescent="0.3">
      <c r="A2236" s="2"/>
      <c r="B2236" s="65" t="str">
        <f t="shared" si="274"/>
        <v/>
      </c>
      <c r="C2236" s="66"/>
      <c r="D2236" s="60"/>
      <c r="E2236" s="61"/>
      <c r="F2236" s="61"/>
      <c r="G2236" s="67"/>
      <c r="H2236" s="60"/>
      <c r="I2236" s="60"/>
      <c r="J2236" s="61"/>
      <c r="K2236" s="61"/>
      <c r="L2236" s="60"/>
      <c r="M2236" s="74" t="str">
        <f t="shared" si="275"/>
        <v/>
      </c>
      <c r="N2236" s="74" t="str">
        <f t="shared" si="276"/>
        <v/>
      </c>
      <c r="O2236" s="73" t="str">
        <f t="shared" si="277"/>
        <v/>
      </c>
      <c r="P2236" s="65" t="str">
        <f t="shared" ca="1" si="278"/>
        <v/>
      </c>
      <c r="Q2236" s="2"/>
      <c r="R2236" s="2"/>
      <c r="S2236" s="1" t="str">
        <f t="shared" si="279"/>
        <v/>
      </c>
      <c r="T2236" s="1" t="str">
        <f>IF(OR($C2236="",$D2236&lt;&gt;"Gelir",$L2236=""),"",IFERROR(INDEX(MUSTERILER!$B$7:$B$156,MATCH($S2236,MUSTERILER!$T$7:$T$156,0)),""))</f>
        <v/>
      </c>
      <c r="U2236" s="1" t="str">
        <f>IF($T2236="","",$T2236&amp;"|"&amp;COUNTIFS($T$7:$T2236,$T2236))</f>
        <v/>
      </c>
      <c r="V2236" s="1">
        <f t="shared" si="280"/>
        <v>0</v>
      </c>
      <c r="W2236" s="1" t="str">
        <f t="shared" si="281"/>
        <v/>
      </c>
      <c r="X2236" s="1"/>
      <c r="Y2236" s="1"/>
      <c r="Z2236" s="1"/>
      <c r="AA2236" s="1"/>
      <c r="AB2236" s="1"/>
      <c r="AC2236" s="1"/>
      <c r="AD2236" s="1">
        <f>IF($C2236="",0,SUMPRODUCT((AY_SONU!$O$7:$O$42="Evet")*(AY_SONU!$B$7:$B$42=DATE(YEAR($C2236),MONTH($C2236),1))))</f>
        <v>0</v>
      </c>
      <c r="AE2236" s="1" t="str">
        <f>IF($E2236="","",$E2236&amp;"|"&amp;COUNTIFS($E$7:$E2236,$E2236))</f>
        <v/>
      </c>
    </row>
    <row r="2237" spans="1:31" ht="18" customHeight="1" x14ac:dyDescent="0.3">
      <c r="A2237" s="2"/>
      <c r="B2237" s="65" t="str">
        <f t="shared" si="274"/>
        <v/>
      </c>
      <c r="C2237" s="66"/>
      <c r="D2237" s="60"/>
      <c r="E2237" s="61"/>
      <c r="F2237" s="61"/>
      <c r="G2237" s="67"/>
      <c r="H2237" s="60"/>
      <c r="I2237" s="60"/>
      <c r="J2237" s="61"/>
      <c r="K2237" s="61"/>
      <c r="L2237" s="60"/>
      <c r="M2237" s="74" t="str">
        <f t="shared" si="275"/>
        <v/>
      </c>
      <c r="N2237" s="74" t="str">
        <f t="shared" si="276"/>
        <v/>
      </c>
      <c r="O2237" s="73" t="str">
        <f t="shared" si="277"/>
        <v/>
      </c>
      <c r="P2237" s="65" t="str">
        <f t="shared" ca="1" si="278"/>
        <v/>
      </c>
      <c r="Q2237" s="2"/>
      <c r="R2237" s="2"/>
      <c r="S2237" s="1" t="str">
        <f t="shared" si="279"/>
        <v/>
      </c>
      <c r="T2237" s="1" t="str">
        <f>IF(OR($C2237="",$D2237&lt;&gt;"Gelir",$L2237=""),"",IFERROR(INDEX(MUSTERILER!$B$7:$B$156,MATCH($S2237,MUSTERILER!$T$7:$T$156,0)),""))</f>
        <v/>
      </c>
      <c r="U2237" s="1" t="str">
        <f>IF($T2237="","",$T2237&amp;"|"&amp;COUNTIFS($T$7:$T2237,$T2237))</f>
        <v/>
      </c>
      <c r="V2237" s="1">
        <f t="shared" si="280"/>
        <v>0</v>
      </c>
      <c r="W2237" s="1" t="str">
        <f t="shared" si="281"/>
        <v/>
      </c>
      <c r="X2237" s="1"/>
      <c r="Y2237" s="1"/>
      <c r="Z2237" s="1"/>
      <c r="AA2237" s="1"/>
      <c r="AB2237" s="1"/>
      <c r="AC2237" s="1"/>
      <c r="AD2237" s="1">
        <f>IF($C2237="",0,SUMPRODUCT((AY_SONU!$O$7:$O$42="Evet")*(AY_SONU!$B$7:$B$42=DATE(YEAR($C2237),MONTH($C2237),1))))</f>
        <v>0</v>
      </c>
      <c r="AE2237" s="1" t="str">
        <f>IF($E2237="","",$E2237&amp;"|"&amp;COUNTIFS($E$7:$E2237,$E2237))</f>
        <v/>
      </c>
    </row>
    <row r="2238" spans="1:31" ht="18" customHeight="1" x14ac:dyDescent="0.3">
      <c r="A2238" s="2"/>
      <c r="B2238" s="65" t="str">
        <f t="shared" si="274"/>
        <v/>
      </c>
      <c r="C2238" s="66"/>
      <c r="D2238" s="60"/>
      <c r="E2238" s="61"/>
      <c r="F2238" s="61"/>
      <c r="G2238" s="67"/>
      <c r="H2238" s="60"/>
      <c r="I2238" s="60"/>
      <c r="J2238" s="61"/>
      <c r="K2238" s="61"/>
      <c r="L2238" s="60"/>
      <c r="M2238" s="74" t="str">
        <f t="shared" si="275"/>
        <v/>
      </c>
      <c r="N2238" s="74" t="str">
        <f t="shared" si="276"/>
        <v/>
      </c>
      <c r="O2238" s="73" t="str">
        <f t="shared" si="277"/>
        <v/>
      </c>
      <c r="P2238" s="65" t="str">
        <f t="shared" ca="1" si="278"/>
        <v/>
      </c>
      <c r="Q2238" s="2"/>
      <c r="R2238" s="2"/>
      <c r="S2238" s="1" t="str">
        <f t="shared" si="279"/>
        <v/>
      </c>
      <c r="T2238" s="1" t="str">
        <f>IF(OR($C2238="",$D2238&lt;&gt;"Gelir",$L2238=""),"",IFERROR(INDEX(MUSTERILER!$B$7:$B$156,MATCH($S2238,MUSTERILER!$T$7:$T$156,0)),""))</f>
        <v/>
      </c>
      <c r="U2238" s="1" t="str">
        <f>IF($T2238="","",$T2238&amp;"|"&amp;COUNTIFS($T$7:$T2238,$T2238))</f>
        <v/>
      </c>
      <c r="V2238" s="1">
        <f t="shared" si="280"/>
        <v>0</v>
      </c>
      <c r="W2238" s="1" t="str">
        <f t="shared" si="281"/>
        <v/>
      </c>
      <c r="X2238" s="1"/>
      <c r="Y2238" s="1"/>
      <c r="Z2238" s="1"/>
      <c r="AA2238" s="1"/>
      <c r="AB2238" s="1"/>
      <c r="AC2238" s="1"/>
      <c r="AD2238" s="1">
        <f>IF($C2238="",0,SUMPRODUCT((AY_SONU!$O$7:$O$42="Evet")*(AY_SONU!$B$7:$B$42=DATE(YEAR($C2238),MONTH($C2238),1))))</f>
        <v>0</v>
      </c>
      <c r="AE2238" s="1" t="str">
        <f>IF($E2238="","",$E2238&amp;"|"&amp;COUNTIFS($E$7:$E2238,$E2238))</f>
        <v/>
      </c>
    </row>
    <row r="2239" spans="1:31" ht="18" customHeight="1" x14ac:dyDescent="0.3">
      <c r="A2239" s="2"/>
      <c r="B2239" s="65" t="str">
        <f t="shared" si="274"/>
        <v/>
      </c>
      <c r="C2239" s="66"/>
      <c r="D2239" s="60"/>
      <c r="E2239" s="61"/>
      <c r="F2239" s="61"/>
      <c r="G2239" s="67"/>
      <c r="H2239" s="60"/>
      <c r="I2239" s="60"/>
      <c r="J2239" s="61"/>
      <c r="K2239" s="61"/>
      <c r="L2239" s="60"/>
      <c r="M2239" s="74" t="str">
        <f t="shared" si="275"/>
        <v/>
      </c>
      <c r="N2239" s="74" t="str">
        <f t="shared" si="276"/>
        <v/>
      </c>
      <c r="O2239" s="73" t="str">
        <f t="shared" si="277"/>
        <v/>
      </c>
      <c r="P2239" s="65" t="str">
        <f t="shared" ca="1" si="278"/>
        <v/>
      </c>
      <c r="Q2239" s="2"/>
      <c r="R2239" s="2"/>
      <c r="S2239" s="1" t="str">
        <f t="shared" si="279"/>
        <v/>
      </c>
      <c r="T2239" s="1" t="str">
        <f>IF(OR($C2239="",$D2239&lt;&gt;"Gelir",$L2239=""),"",IFERROR(INDEX(MUSTERILER!$B$7:$B$156,MATCH($S2239,MUSTERILER!$T$7:$T$156,0)),""))</f>
        <v/>
      </c>
      <c r="U2239" s="1" t="str">
        <f>IF($T2239="","",$T2239&amp;"|"&amp;COUNTIFS($T$7:$T2239,$T2239))</f>
        <v/>
      </c>
      <c r="V2239" s="1">
        <f t="shared" si="280"/>
        <v>0</v>
      </c>
      <c r="W2239" s="1" t="str">
        <f t="shared" si="281"/>
        <v/>
      </c>
      <c r="X2239" s="1"/>
      <c r="Y2239" s="1"/>
      <c r="Z2239" s="1"/>
      <c r="AA2239" s="1"/>
      <c r="AB2239" s="1"/>
      <c r="AC2239" s="1"/>
      <c r="AD2239" s="1">
        <f>IF($C2239="",0,SUMPRODUCT((AY_SONU!$O$7:$O$42="Evet")*(AY_SONU!$B$7:$B$42=DATE(YEAR($C2239),MONTH($C2239),1))))</f>
        <v>0</v>
      </c>
      <c r="AE2239" s="1" t="str">
        <f>IF($E2239="","",$E2239&amp;"|"&amp;COUNTIFS($E$7:$E2239,$E2239))</f>
        <v/>
      </c>
    </row>
    <row r="2240" spans="1:31" ht="18" customHeight="1" x14ac:dyDescent="0.3">
      <c r="A2240" s="2"/>
      <c r="B2240" s="65" t="str">
        <f t="shared" si="274"/>
        <v/>
      </c>
      <c r="C2240" s="66"/>
      <c r="D2240" s="60"/>
      <c r="E2240" s="61"/>
      <c r="F2240" s="61"/>
      <c r="G2240" s="67"/>
      <c r="H2240" s="60"/>
      <c r="I2240" s="60"/>
      <c r="J2240" s="61"/>
      <c r="K2240" s="61"/>
      <c r="L2240" s="60"/>
      <c r="M2240" s="74" t="str">
        <f t="shared" si="275"/>
        <v/>
      </c>
      <c r="N2240" s="74" t="str">
        <f t="shared" si="276"/>
        <v/>
      </c>
      <c r="O2240" s="73" t="str">
        <f t="shared" si="277"/>
        <v/>
      </c>
      <c r="P2240" s="65" t="str">
        <f t="shared" ca="1" si="278"/>
        <v/>
      </c>
      <c r="Q2240" s="2"/>
      <c r="R2240" s="2"/>
      <c r="S2240" s="1" t="str">
        <f t="shared" si="279"/>
        <v/>
      </c>
      <c r="T2240" s="1" t="str">
        <f>IF(OR($C2240="",$D2240&lt;&gt;"Gelir",$L2240=""),"",IFERROR(INDEX(MUSTERILER!$B$7:$B$156,MATCH($S2240,MUSTERILER!$T$7:$T$156,0)),""))</f>
        <v/>
      </c>
      <c r="U2240" s="1" t="str">
        <f>IF($T2240="","",$T2240&amp;"|"&amp;COUNTIFS($T$7:$T2240,$T2240))</f>
        <v/>
      </c>
      <c r="V2240" s="1">
        <f t="shared" si="280"/>
        <v>0</v>
      </c>
      <c r="W2240" s="1" t="str">
        <f t="shared" si="281"/>
        <v/>
      </c>
      <c r="X2240" s="1"/>
      <c r="Y2240" s="1"/>
      <c r="Z2240" s="1"/>
      <c r="AA2240" s="1"/>
      <c r="AB2240" s="1"/>
      <c r="AC2240" s="1"/>
      <c r="AD2240" s="1">
        <f>IF($C2240="",0,SUMPRODUCT((AY_SONU!$O$7:$O$42="Evet")*(AY_SONU!$B$7:$B$42=DATE(YEAR($C2240),MONTH($C2240),1))))</f>
        <v>0</v>
      </c>
      <c r="AE2240" s="1" t="str">
        <f>IF($E2240="","",$E2240&amp;"|"&amp;COUNTIFS($E$7:$E2240,$E2240))</f>
        <v/>
      </c>
    </row>
    <row r="2241" spans="1:31" ht="18" customHeight="1" x14ac:dyDescent="0.3">
      <c r="A2241" s="2"/>
      <c r="B2241" s="65" t="str">
        <f t="shared" si="274"/>
        <v/>
      </c>
      <c r="C2241" s="66"/>
      <c r="D2241" s="60"/>
      <c r="E2241" s="61"/>
      <c r="F2241" s="61"/>
      <c r="G2241" s="67"/>
      <c r="H2241" s="60"/>
      <c r="I2241" s="60"/>
      <c r="J2241" s="61"/>
      <c r="K2241" s="61"/>
      <c r="L2241" s="60"/>
      <c r="M2241" s="74" t="str">
        <f t="shared" si="275"/>
        <v/>
      </c>
      <c r="N2241" s="74" t="str">
        <f t="shared" si="276"/>
        <v/>
      </c>
      <c r="O2241" s="73" t="str">
        <f t="shared" si="277"/>
        <v/>
      </c>
      <c r="P2241" s="65" t="str">
        <f t="shared" ca="1" si="278"/>
        <v/>
      </c>
      <c r="Q2241" s="2"/>
      <c r="R2241" s="2"/>
      <c r="S2241" s="1" t="str">
        <f t="shared" si="279"/>
        <v/>
      </c>
      <c r="T2241" s="1" t="str">
        <f>IF(OR($C2241="",$D2241&lt;&gt;"Gelir",$L2241=""),"",IFERROR(INDEX(MUSTERILER!$B$7:$B$156,MATCH($S2241,MUSTERILER!$T$7:$T$156,0)),""))</f>
        <v/>
      </c>
      <c r="U2241" s="1" t="str">
        <f>IF($T2241="","",$T2241&amp;"|"&amp;COUNTIFS($T$7:$T2241,$T2241))</f>
        <v/>
      </c>
      <c r="V2241" s="1">
        <f t="shared" si="280"/>
        <v>0</v>
      </c>
      <c r="W2241" s="1" t="str">
        <f t="shared" si="281"/>
        <v/>
      </c>
      <c r="X2241" s="1"/>
      <c r="Y2241" s="1"/>
      <c r="Z2241" s="1"/>
      <c r="AA2241" s="1"/>
      <c r="AB2241" s="1"/>
      <c r="AC2241" s="1"/>
      <c r="AD2241" s="1">
        <f>IF($C2241="",0,SUMPRODUCT((AY_SONU!$O$7:$O$42="Evet")*(AY_SONU!$B$7:$B$42=DATE(YEAR($C2241),MONTH($C2241),1))))</f>
        <v>0</v>
      </c>
      <c r="AE2241" s="1" t="str">
        <f>IF($E2241="","",$E2241&amp;"|"&amp;COUNTIFS($E$7:$E2241,$E2241))</f>
        <v/>
      </c>
    </row>
    <row r="2242" spans="1:31" ht="18" customHeight="1" x14ac:dyDescent="0.3">
      <c r="A2242" s="2"/>
      <c r="B2242" s="65" t="str">
        <f t="shared" si="274"/>
        <v/>
      </c>
      <c r="C2242" s="66"/>
      <c r="D2242" s="60"/>
      <c r="E2242" s="61"/>
      <c r="F2242" s="61"/>
      <c r="G2242" s="67"/>
      <c r="H2242" s="60"/>
      <c r="I2242" s="60"/>
      <c r="J2242" s="61"/>
      <c r="K2242" s="61"/>
      <c r="L2242" s="60"/>
      <c r="M2242" s="74" t="str">
        <f t="shared" si="275"/>
        <v/>
      </c>
      <c r="N2242" s="74" t="str">
        <f t="shared" si="276"/>
        <v/>
      </c>
      <c r="O2242" s="73" t="str">
        <f t="shared" si="277"/>
        <v/>
      </c>
      <c r="P2242" s="65" t="str">
        <f t="shared" ca="1" si="278"/>
        <v/>
      </c>
      <c r="Q2242" s="2"/>
      <c r="R2242" s="2"/>
      <c r="S2242" s="1" t="str">
        <f t="shared" si="279"/>
        <v/>
      </c>
      <c r="T2242" s="1" t="str">
        <f>IF(OR($C2242="",$D2242&lt;&gt;"Gelir",$L2242=""),"",IFERROR(INDEX(MUSTERILER!$B$7:$B$156,MATCH($S2242,MUSTERILER!$T$7:$T$156,0)),""))</f>
        <v/>
      </c>
      <c r="U2242" s="1" t="str">
        <f>IF($T2242="","",$T2242&amp;"|"&amp;COUNTIFS($T$7:$T2242,$T2242))</f>
        <v/>
      </c>
      <c r="V2242" s="1">
        <f t="shared" si="280"/>
        <v>0</v>
      </c>
      <c r="W2242" s="1" t="str">
        <f t="shared" si="281"/>
        <v/>
      </c>
      <c r="X2242" s="1"/>
      <c r="Y2242" s="1"/>
      <c r="Z2242" s="1"/>
      <c r="AA2242" s="1"/>
      <c r="AB2242" s="1"/>
      <c r="AC2242" s="1"/>
      <c r="AD2242" s="1">
        <f>IF($C2242="",0,SUMPRODUCT((AY_SONU!$O$7:$O$42="Evet")*(AY_SONU!$B$7:$B$42=DATE(YEAR($C2242),MONTH($C2242),1))))</f>
        <v>0</v>
      </c>
      <c r="AE2242" s="1" t="str">
        <f>IF($E2242="","",$E2242&amp;"|"&amp;COUNTIFS($E$7:$E2242,$E2242))</f>
        <v/>
      </c>
    </row>
    <row r="2243" spans="1:31" ht="18" customHeight="1" x14ac:dyDescent="0.3">
      <c r="A2243" s="2"/>
      <c r="B2243" s="65" t="str">
        <f t="shared" si="274"/>
        <v/>
      </c>
      <c r="C2243" s="66"/>
      <c r="D2243" s="60"/>
      <c r="E2243" s="61"/>
      <c r="F2243" s="61"/>
      <c r="G2243" s="67"/>
      <c r="H2243" s="60"/>
      <c r="I2243" s="60"/>
      <c r="J2243" s="61"/>
      <c r="K2243" s="61"/>
      <c r="L2243" s="60"/>
      <c r="M2243" s="74" t="str">
        <f t="shared" si="275"/>
        <v/>
      </c>
      <c r="N2243" s="74" t="str">
        <f t="shared" si="276"/>
        <v/>
      </c>
      <c r="O2243" s="73" t="str">
        <f t="shared" si="277"/>
        <v/>
      </c>
      <c r="P2243" s="65" t="str">
        <f t="shared" ca="1" si="278"/>
        <v/>
      </c>
      <c r="Q2243" s="2"/>
      <c r="R2243" s="2"/>
      <c r="S2243" s="1" t="str">
        <f t="shared" si="279"/>
        <v/>
      </c>
      <c r="T2243" s="1" t="str">
        <f>IF(OR($C2243="",$D2243&lt;&gt;"Gelir",$L2243=""),"",IFERROR(INDEX(MUSTERILER!$B$7:$B$156,MATCH($S2243,MUSTERILER!$T$7:$T$156,0)),""))</f>
        <v/>
      </c>
      <c r="U2243" s="1" t="str">
        <f>IF($T2243="","",$T2243&amp;"|"&amp;COUNTIFS($T$7:$T2243,$T2243))</f>
        <v/>
      </c>
      <c r="V2243" s="1">
        <f t="shared" si="280"/>
        <v>0</v>
      </c>
      <c r="W2243" s="1" t="str">
        <f t="shared" si="281"/>
        <v/>
      </c>
      <c r="X2243" s="1"/>
      <c r="Y2243" s="1"/>
      <c r="Z2243" s="1"/>
      <c r="AA2243" s="1"/>
      <c r="AB2243" s="1"/>
      <c r="AC2243" s="1"/>
      <c r="AD2243" s="1">
        <f>IF($C2243="",0,SUMPRODUCT((AY_SONU!$O$7:$O$42="Evet")*(AY_SONU!$B$7:$B$42=DATE(YEAR($C2243),MONTH($C2243),1))))</f>
        <v>0</v>
      </c>
      <c r="AE2243" s="1" t="str">
        <f>IF($E2243="","",$E2243&amp;"|"&amp;COUNTIFS($E$7:$E2243,$E2243))</f>
        <v/>
      </c>
    </row>
    <row r="2244" spans="1:31" ht="18" customHeight="1" x14ac:dyDescent="0.3">
      <c r="A2244" s="2"/>
      <c r="B2244" s="65" t="str">
        <f t="shared" si="274"/>
        <v/>
      </c>
      <c r="C2244" s="66"/>
      <c r="D2244" s="60"/>
      <c r="E2244" s="61"/>
      <c r="F2244" s="61"/>
      <c r="G2244" s="67"/>
      <c r="H2244" s="60"/>
      <c r="I2244" s="60"/>
      <c r="J2244" s="61"/>
      <c r="K2244" s="61"/>
      <c r="L2244" s="60"/>
      <c r="M2244" s="74" t="str">
        <f t="shared" si="275"/>
        <v/>
      </c>
      <c r="N2244" s="74" t="str">
        <f t="shared" si="276"/>
        <v/>
      </c>
      <c r="O2244" s="73" t="str">
        <f t="shared" si="277"/>
        <v/>
      </c>
      <c r="P2244" s="65" t="str">
        <f t="shared" ca="1" si="278"/>
        <v/>
      </c>
      <c r="Q2244" s="2"/>
      <c r="R2244" s="2"/>
      <c r="S2244" s="1" t="str">
        <f t="shared" si="279"/>
        <v/>
      </c>
      <c r="T2244" s="1" t="str">
        <f>IF(OR($C2244="",$D2244&lt;&gt;"Gelir",$L2244=""),"",IFERROR(INDEX(MUSTERILER!$B$7:$B$156,MATCH($S2244,MUSTERILER!$T$7:$T$156,0)),""))</f>
        <v/>
      </c>
      <c r="U2244" s="1" t="str">
        <f>IF($T2244="","",$T2244&amp;"|"&amp;COUNTIFS($T$7:$T2244,$T2244))</f>
        <v/>
      </c>
      <c r="V2244" s="1">
        <f t="shared" si="280"/>
        <v>0</v>
      </c>
      <c r="W2244" s="1" t="str">
        <f t="shared" si="281"/>
        <v/>
      </c>
      <c r="X2244" s="1"/>
      <c r="Y2244" s="1"/>
      <c r="Z2244" s="1"/>
      <c r="AA2244" s="1"/>
      <c r="AB2244" s="1"/>
      <c r="AC2244" s="1"/>
      <c r="AD2244" s="1">
        <f>IF($C2244="",0,SUMPRODUCT((AY_SONU!$O$7:$O$42="Evet")*(AY_SONU!$B$7:$B$42=DATE(YEAR($C2244),MONTH($C2244),1))))</f>
        <v>0</v>
      </c>
      <c r="AE2244" s="1" t="str">
        <f>IF($E2244="","",$E2244&amp;"|"&amp;COUNTIFS($E$7:$E2244,$E2244))</f>
        <v/>
      </c>
    </row>
    <row r="2245" spans="1:31" ht="18" customHeight="1" x14ac:dyDescent="0.3">
      <c r="A2245" s="2"/>
      <c r="B2245" s="65" t="str">
        <f t="shared" si="274"/>
        <v/>
      </c>
      <c r="C2245" s="66"/>
      <c r="D2245" s="60"/>
      <c r="E2245" s="61"/>
      <c r="F2245" s="61"/>
      <c r="G2245" s="67"/>
      <c r="H2245" s="60"/>
      <c r="I2245" s="60"/>
      <c r="J2245" s="61"/>
      <c r="K2245" s="61"/>
      <c r="L2245" s="60"/>
      <c r="M2245" s="74" t="str">
        <f t="shared" si="275"/>
        <v/>
      </c>
      <c r="N2245" s="74" t="str">
        <f t="shared" si="276"/>
        <v/>
      </c>
      <c r="O2245" s="73" t="str">
        <f t="shared" si="277"/>
        <v/>
      </c>
      <c r="P2245" s="65" t="str">
        <f t="shared" ca="1" si="278"/>
        <v/>
      </c>
      <c r="Q2245" s="2"/>
      <c r="R2245" s="2"/>
      <c r="S2245" s="1" t="str">
        <f t="shared" si="279"/>
        <v/>
      </c>
      <c r="T2245" s="1" t="str">
        <f>IF(OR($C2245="",$D2245&lt;&gt;"Gelir",$L2245=""),"",IFERROR(INDEX(MUSTERILER!$B$7:$B$156,MATCH($S2245,MUSTERILER!$T$7:$T$156,0)),""))</f>
        <v/>
      </c>
      <c r="U2245" s="1" t="str">
        <f>IF($T2245="","",$T2245&amp;"|"&amp;COUNTIFS($T$7:$T2245,$T2245))</f>
        <v/>
      </c>
      <c r="V2245" s="1">
        <f t="shared" si="280"/>
        <v>0</v>
      </c>
      <c r="W2245" s="1" t="str">
        <f t="shared" si="281"/>
        <v/>
      </c>
      <c r="X2245" s="1"/>
      <c r="Y2245" s="1"/>
      <c r="Z2245" s="1"/>
      <c r="AA2245" s="1"/>
      <c r="AB2245" s="1"/>
      <c r="AC2245" s="1"/>
      <c r="AD2245" s="1">
        <f>IF($C2245="",0,SUMPRODUCT((AY_SONU!$O$7:$O$42="Evet")*(AY_SONU!$B$7:$B$42=DATE(YEAR($C2245),MONTH($C2245),1))))</f>
        <v>0</v>
      </c>
      <c r="AE2245" s="1" t="str">
        <f>IF($E2245="","",$E2245&amp;"|"&amp;COUNTIFS($E$7:$E2245,$E2245))</f>
        <v/>
      </c>
    </row>
    <row r="2246" spans="1:31" ht="18" customHeight="1" x14ac:dyDescent="0.3">
      <c r="A2246" s="2"/>
      <c r="B2246" s="65" t="str">
        <f t="shared" si="274"/>
        <v/>
      </c>
      <c r="C2246" s="66"/>
      <c r="D2246" s="60"/>
      <c r="E2246" s="61"/>
      <c r="F2246" s="61"/>
      <c r="G2246" s="67"/>
      <c r="H2246" s="60"/>
      <c r="I2246" s="60"/>
      <c r="J2246" s="61"/>
      <c r="K2246" s="61"/>
      <c r="L2246" s="60"/>
      <c r="M2246" s="74" t="str">
        <f t="shared" si="275"/>
        <v/>
      </c>
      <c r="N2246" s="74" t="str">
        <f t="shared" si="276"/>
        <v/>
      </c>
      <c r="O2246" s="73" t="str">
        <f t="shared" si="277"/>
        <v/>
      </c>
      <c r="P2246" s="65" t="str">
        <f t="shared" ca="1" si="278"/>
        <v/>
      </c>
      <c r="Q2246" s="2"/>
      <c r="R2246" s="2"/>
      <c r="S2246" s="1" t="str">
        <f t="shared" si="279"/>
        <v/>
      </c>
      <c r="T2246" s="1" t="str">
        <f>IF(OR($C2246="",$D2246&lt;&gt;"Gelir",$L2246=""),"",IFERROR(INDEX(MUSTERILER!$B$7:$B$156,MATCH($S2246,MUSTERILER!$T$7:$T$156,0)),""))</f>
        <v/>
      </c>
      <c r="U2246" s="1" t="str">
        <f>IF($T2246="","",$T2246&amp;"|"&amp;COUNTIFS($T$7:$T2246,$T2246))</f>
        <v/>
      </c>
      <c r="V2246" s="1">
        <f t="shared" si="280"/>
        <v>0</v>
      </c>
      <c r="W2246" s="1" t="str">
        <f t="shared" si="281"/>
        <v/>
      </c>
      <c r="X2246" s="1"/>
      <c r="Y2246" s="1"/>
      <c r="Z2246" s="1"/>
      <c r="AA2246" s="1"/>
      <c r="AB2246" s="1"/>
      <c r="AC2246" s="1"/>
      <c r="AD2246" s="1">
        <f>IF($C2246="",0,SUMPRODUCT((AY_SONU!$O$7:$O$42="Evet")*(AY_SONU!$B$7:$B$42=DATE(YEAR($C2246),MONTH($C2246),1))))</f>
        <v>0</v>
      </c>
      <c r="AE2246" s="1" t="str">
        <f>IF($E2246="","",$E2246&amp;"|"&amp;COUNTIFS($E$7:$E2246,$E2246))</f>
        <v/>
      </c>
    </row>
    <row r="2247" spans="1:31" ht="18" customHeight="1" x14ac:dyDescent="0.3">
      <c r="A2247" s="2"/>
      <c r="B2247" s="65" t="str">
        <f t="shared" ref="B2247:B2310" si="282">IF($C2247="","","GG"&amp;TEXT(ROW()-6,"00000"))</f>
        <v/>
      </c>
      <c r="C2247" s="66"/>
      <c r="D2247" s="60"/>
      <c r="E2247" s="61"/>
      <c r="F2247" s="61"/>
      <c r="G2247" s="67"/>
      <c r="H2247" s="60"/>
      <c r="I2247" s="60"/>
      <c r="J2247" s="61"/>
      <c r="K2247" s="61"/>
      <c r="L2247" s="60"/>
      <c r="M2247" s="74" t="str">
        <f t="shared" ref="M2247:M2310" si="283">IF($C2247="","",IF($D2247="Gider",$E2247,IF($L2247&lt;&gt;"",$L2247,$H2247)))</f>
        <v/>
      </c>
      <c r="N2247" s="74" t="str">
        <f t="shared" ref="N2247:N2310" si="284">IF($C2247="","",IF($D2247="Gider",$H2247,$E2247))</f>
        <v/>
      </c>
      <c r="O2247" s="73" t="str">
        <f t="shared" ref="O2247:O2310" si="285">IF($C2247="","",DATE(YEAR($C2247),MONTH($C2247),1))</f>
        <v/>
      </c>
      <c r="P2247" s="65" t="str">
        <f t="shared" ref="P2247:P2310" ca="1" si="286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TARİH",IF(COUNTIF($W$7:$W$3006,$W2247)&gt;1,"MÜKERRER?",IF($AD2247&gt;0,"KAPALI DÖNEM",IF($I2247="Hayır","ÖDENECEK","UYGUN")))),"EKSİK"))))</f>
        <v/>
      </c>
      <c r="Q2247" s="2"/>
      <c r="R2247" s="2"/>
      <c r="S2247" s="1" t="str">
        <f t="shared" ref="S2247:S2310" si="287"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1" t="str">
        <f>IF(OR($C2247="",$D2247&lt;&gt;"Gelir",$L2247=""),"",IFERROR(INDEX(MUSTERILER!$B$7:$B$156,MATCH($S2247,MUSTERILER!$T$7:$T$156,0)),""))</f>
        <v/>
      </c>
      <c r="U2247" s="1" t="str">
        <f>IF($T2247="","",$T2247&amp;"|"&amp;COUNTIFS($T$7:$T2247,$T2247))</f>
        <v/>
      </c>
      <c r="V2247" s="1">
        <f t="shared" ref="V2247:V2310" si="288">IF($T2247="",0,1)</f>
        <v>0</v>
      </c>
      <c r="W2247" s="1" t="str">
        <f t="shared" ref="W2247:W2310" si="289">IF($C2247="","",$D2247&amp;"|"&amp;$E2247&amp;"|"&amp;TEXT($C2247,"0")&amp;"|"&amp;TEXT($G2247,"0")&amp;"|"&amp;$J2247)</f>
        <v/>
      </c>
      <c r="X2247" s="1"/>
      <c r="Y2247" s="1"/>
      <c r="Z2247" s="1"/>
      <c r="AA2247" s="1"/>
      <c r="AB2247" s="1"/>
      <c r="AC2247" s="1"/>
      <c r="AD2247" s="1">
        <f>IF($C2247="",0,SUMPRODUCT((AY_SONU!$O$7:$O$42="Evet")*(AY_SONU!$B$7:$B$42=DATE(YEAR($C2247),MONTH($C2247),1))))</f>
        <v>0</v>
      </c>
      <c r="AE2247" s="1" t="str">
        <f>IF($E2247="","",$E2247&amp;"|"&amp;COUNTIFS($E$7:$E2247,$E2247))</f>
        <v/>
      </c>
    </row>
    <row r="2248" spans="1:31" ht="18" customHeight="1" x14ac:dyDescent="0.3">
      <c r="A2248" s="2"/>
      <c r="B2248" s="65" t="str">
        <f t="shared" si="282"/>
        <v/>
      </c>
      <c r="C2248" s="66"/>
      <c r="D2248" s="60"/>
      <c r="E2248" s="61"/>
      <c r="F2248" s="61"/>
      <c r="G2248" s="67"/>
      <c r="H2248" s="60"/>
      <c r="I2248" s="60"/>
      <c r="J2248" s="61"/>
      <c r="K2248" s="61"/>
      <c r="L2248" s="60"/>
      <c r="M2248" s="74" t="str">
        <f t="shared" si="283"/>
        <v/>
      </c>
      <c r="N2248" s="74" t="str">
        <f t="shared" si="284"/>
        <v/>
      </c>
      <c r="O2248" s="73" t="str">
        <f t="shared" si="285"/>
        <v/>
      </c>
      <c r="P2248" s="65" t="str">
        <f t="shared" ca="1" si="286"/>
        <v/>
      </c>
      <c r="Q2248" s="2"/>
      <c r="R2248" s="2"/>
      <c r="S2248" s="1" t="str">
        <f t="shared" si="287"/>
        <v/>
      </c>
      <c r="T2248" s="1" t="str">
        <f>IF(OR($C2248="",$D2248&lt;&gt;"Gelir",$L2248=""),"",IFERROR(INDEX(MUSTERILER!$B$7:$B$156,MATCH($S2248,MUSTERILER!$T$7:$T$156,0)),""))</f>
        <v/>
      </c>
      <c r="U2248" s="1" t="str">
        <f>IF($T2248="","",$T2248&amp;"|"&amp;COUNTIFS($T$7:$T2248,$T2248))</f>
        <v/>
      </c>
      <c r="V2248" s="1">
        <f t="shared" si="288"/>
        <v>0</v>
      </c>
      <c r="W2248" s="1" t="str">
        <f t="shared" si="289"/>
        <v/>
      </c>
      <c r="X2248" s="1"/>
      <c r="Y2248" s="1"/>
      <c r="Z2248" s="1"/>
      <c r="AA2248" s="1"/>
      <c r="AB2248" s="1"/>
      <c r="AC2248" s="1"/>
      <c r="AD2248" s="1">
        <f>IF($C2248="",0,SUMPRODUCT((AY_SONU!$O$7:$O$42="Evet")*(AY_SONU!$B$7:$B$42=DATE(YEAR($C2248),MONTH($C2248),1))))</f>
        <v>0</v>
      </c>
      <c r="AE2248" s="1" t="str">
        <f>IF($E2248="","",$E2248&amp;"|"&amp;COUNTIFS($E$7:$E2248,$E2248))</f>
        <v/>
      </c>
    </row>
    <row r="2249" spans="1:31" ht="18" customHeight="1" x14ac:dyDescent="0.3">
      <c r="A2249" s="2"/>
      <c r="B2249" s="65" t="str">
        <f t="shared" si="282"/>
        <v/>
      </c>
      <c r="C2249" s="66"/>
      <c r="D2249" s="60"/>
      <c r="E2249" s="61"/>
      <c r="F2249" s="61"/>
      <c r="G2249" s="67"/>
      <c r="H2249" s="60"/>
      <c r="I2249" s="60"/>
      <c r="J2249" s="61"/>
      <c r="K2249" s="61"/>
      <c r="L2249" s="60"/>
      <c r="M2249" s="74" t="str">
        <f t="shared" si="283"/>
        <v/>
      </c>
      <c r="N2249" s="74" t="str">
        <f t="shared" si="284"/>
        <v/>
      </c>
      <c r="O2249" s="73" t="str">
        <f t="shared" si="285"/>
        <v/>
      </c>
      <c r="P2249" s="65" t="str">
        <f t="shared" ca="1" si="286"/>
        <v/>
      </c>
      <c r="Q2249" s="2"/>
      <c r="R2249" s="2"/>
      <c r="S2249" s="1" t="str">
        <f t="shared" si="287"/>
        <v/>
      </c>
      <c r="T2249" s="1" t="str">
        <f>IF(OR($C2249="",$D2249&lt;&gt;"Gelir",$L2249=""),"",IFERROR(INDEX(MUSTERILER!$B$7:$B$156,MATCH($S2249,MUSTERILER!$T$7:$T$156,0)),""))</f>
        <v/>
      </c>
      <c r="U2249" s="1" t="str">
        <f>IF($T2249="","",$T2249&amp;"|"&amp;COUNTIFS($T$7:$T2249,$T2249))</f>
        <v/>
      </c>
      <c r="V2249" s="1">
        <f t="shared" si="288"/>
        <v>0</v>
      </c>
      <c r="W2249" s="1" t="str">
        <f t="shared" si="289"/>
        <v/>
      </c>
      <c r="X2249" s="1"/>
      <c r="Y2249" s="1"/>
      <c r="Z2249" s="1"/>
      <c r="AA2249" s="1"/>
      <c r="AB2249" s="1"/>
      <c r="AC2249" s="1"/>
      <c r="AD2249" s="1">
        <f>IF($C2249="",0,SUMPRODUCT((AY_SONU!$O$7:$O$42="Evet")*(AY_SONU!$B$7:$B$42=DATE(YEAR($C2249),MONTH($C2249),1))))</f>
        <v>0</v>
      </c>
      <c r="AE2249" s="1" t="str">
        <f>IF($E2249="","",$E2249&amp;"|"&amp;COUNTIFS($E$7:$E2249,$E2249))</f>
        <v/>
      </c>
    </row>
    <row r="2250" spans="1:31" ht="18" customHeight="1" x14ac:dyDescent="0.3">
      <c r="A2250" s="2"/>
      <c r="B2250" s="65" t="str">
        <f t="shared" si="282"/>
        <v/>
      </c>
      <c r="C2250" s="66"/>
      <c r="D2250" s="60"/>
      <c r="E2250" s="61"/>
      <c r="F2250" s="61"/>
      <c r="G2250" s="67"/>
      <c r="H2250" s="60"/>
      <c r="I2250" s="60"/>
      <c r="J2250" s="61"/>
      <c r="K2250" s="61"/>
      <c r="L2250" s="60"/>
      <c r="M2250" s="74" t="str">
        <f t="shared" si="283"/>
        <v/>
      </c>
      <c r="N2250" s="74" t="str">
        <f t="shared" si="284"/>
        <v/>
      </c>
      <c r="O2250" s="73" t="str">
        <f t="shared" si="285"/>
        <v/>
      </c>
      <c r="P2250" s="65" t="str">
        <f t="shared" ca="1" si="286"/>
        <v/>
      </c>
      <c r="Q2250" s="2"/>
      <c r="R2250" s="2"/>
      <c r="S2250" s="1" t="str">
        <f t="shared" si="287"/>
        <v/>
      </c>
      <c r="T2250" s="1" t="str">
        <f>IF(OR($C2250="",$D2250&lt;&gt;"Gelir",$L2250=""),"",IFERROR(INDEX(MUSTERILER!$B$7:$B$156,MATCH($S2250,MUSTERILER!$T$7:$T$156,0)),""))</f>
        <v/>
      </c>
      <c r="U2250" s="1" t="str">
        <f>IF($T2250="","",$T2250&amp;"|"&amp;COUNTIFS($T$7:$T2250,$T2250))</f>
        <v/>
      </c>
      <c r="V2250" s="1">
        <f t="shared" si="288"/>
        <v>0</v>
      </c>
      <c r="W2250" s="1" t="str">
        <f t="shared" si="289"/>
        <v/>
      </c>
      <c r="X2250" s="1"/>
      <c r="Y2250" s="1"/>
      <c r="Z2250" s="1"/>
      <c r="AA2250" s="1"/>
      <c r="AB2250" s="1"/>
      <c r="AC2250" s="1"/>
      <c r="AD2250" s="1">
        <f>IF($C2250="",0,SUMPRODUCT((AY_SONU!$O$7:$O$42="Evet")*(AY_SONU!$B$7:$B$42=DATE(YEAR($C2250),MONTH($C2250),1))))</f>
        <v>0</v>
      </c>
      <c r="AE2250" s="1" t="str">
        <f>IF($E2250="","",$E2250&amp;"|"&amp;COUNTIFS($E$7:$E2250,$E2250))</f>
        <v/>
      </c>
    </row>
    <row r="2251" spans="1:31" ht="18" customHeight="1" x14ac:dyDescent="0.3">
      <c r="A2251" s="2"/>
      <c r="B2251" s="65" t="str">
        <f t="shared" si="282"/>
        <v/>
      </c>
      <c r="C2251" s="66"/>
      <c r="D2251" s="60"/>
      <c r="E2251" s="61"/>
      <c r="F2251" s="61"/>
      <c r="G2251" s="67"/>
      <c r="H2251" s="60"/>
      <c r="I2251" s="60"/>
      <c r="J2251" s="61"/>
      <c r="K2251" s="61"/>
      <c r="L2251" s="60"/>
      <c r="M2251" s="74" t="str">
        <f t="shared" si="283"/>
        <v/>
      </c>
      <c r="N2251" s="74" t="str">
        <f t="shared" si="284"/>
        <v/>
      </c>
      <c r="O2251" s="73" t="str">
        <f t="shared" si="285"/>
        <v/>
      </c>
      <c r="P2251" s="65" t="str">
        <f t="shared" ca="1" si="286"/>
        <v/>
      </c>
      <c r="Q2251" s="2"/>
      <c r="R2251" s="2"/>
      <c r="S2251" s="1" t="str">
        <f t="shared" si="287"/>
        <v/>
      </c>
      <c r="T2251" s="1" t="str">
        <f>IF(OR($C2251="",$D2251&lt;&gt;"Gelir",$L2251=""),"",IFERROR(INDEX(MUSTERILER!$B$7:$B$156,MATCH($S2251,MUSTERILER!$T$7:$T$156,0)),""))</f>
        <v/>
      </c>
      <c r="U2251" s="1" t="str">
        <f>IF($T2251="","",$T2251&amp;"|"&amp;COUNTIFS($T$7:$T2251,$T2251))</f>
        <v/>
      </c>
      <c r="V2251" s="1">
        <f t="shared" si="288"/>
        <v>0</v>
      </c>
      <c r="W2251" s="1" t="str">
        <f t="shared" si="289"/>
        <v/>
      </c>
      <c r="X2251" s="1"/>
      <c r="Y2251" s="1"/>
      <c r="Z2251" s="1"/>
      <c r="AA2251" s="1"/>
      <c r="AB2251" s="1"/>
      <c r="AC2251" s="1"/>
      <c r="AD2251" s="1">
        <f>IF($C2251="",0,SUMPRODUCT((AY_SONU!$O$7:$O$42="Evet")*(AY_SONU!$B$7:$B$42=DATE(YEAR($C2251),MONTH($C2251),1))))</f>
        <v>0</v>
      </c>
      <c r="AE2251" s="1" t="str">
        <f>IF($E2251="","",$E2251&amp;"|"&amp;COUNTIFS($E$7:$E2251,$E2251))</f>
        <v/>
      </c>
    </row>
    <row r="2252" spans="1:31" ht="18" customHeight="1" x14ac:dyDescent="0.3">
      <c r="A2252" s="2"/>
      <c r="B2252" s="65" t="str">
        <f t="shared" si="282"/>
        <v/>
      </c>
      <c r="C2252" s="66"/>
      <c r="D2252" s="60"/>
      <c r="E2252" s="61"/>
      <c r="F2252" s="61"/>
      <c r="G2252" s="67"/>
      <c r="H2252" s="60"/>
      <c r="I2252" s="60"/>
      <c r="J2252" s="61"/>
      <c r="K2252" s="61"/>
      <c r="L2252" s="60"/>
      <c r="M2252" s="74" t="str">
        <f t="shared" si="283"/>
        <v/>
      </c>
      <c r="N2252" s="74" t="str">
        <f t="shared" si="284"/>
        <v/>
      </c>
      <c r="O2252" s="73" t="str">
        <f t="shared" si="285"/>
        <v/>
      </c>
      <c r="P2252" s="65" t="str">
        <f t="shared" ca="1" si="286"/>
        <v/>
      </c>
      <c r="Q2252" s="2"/>
      <c r="R2252" s="2"/>
      <c r="S2252" s="1" t="str">
        <f t="shared" si="287"/>
        <v/>
      </c>
      <c r="T2252" s="1" t="str">
        <f>IF(OR($C2252="",$D2252&lt;&gt;"Gelir",$L2252=""),"",IFERROR(INDEX(MUSTERILER!$B$7:$B$156,MATCH($S2252,MUSTERILER!$T$7:$T$156,0)),""))</f>
        <v/>
      </c>
      <c r="U2252" s="1" t="str">
        <f>IF($T2252="","",$T2252&amp;"|"&amp;COUNTIFS($T$7:$T2252,$T2252))</f>
        <v/>
      </c>
      <c r="V2252" s="1">
        <f t="shared" si="288"/>
        <v>0</v>
      </c>
      <c r="W2252" s="1" t="str">
        <f t="shared" si="289"/>
        <v/>
      </c>
      <c r="X2252" s="1"/>
      <c r="Y2252" s="1"/>
      <c r="Z2252" s="1"/>
      <c r="AA2252" s="1"/>
      <c r="AB2252" s="1"/>
      <c r="AC2252" s="1"/>
      <c r="AD2252" s="1">
        <f>IF($C2252="",0,SUMPRODUCT((AY_SONU!$O$7:$O$42="Evet")*(AY_SONU!$B$7:$B$42=DATE(YEAR($C2252),MONTH($C2252),1))))</f>
        <v>0</v>
      </c>
      <c r="AE2252" s="1" t="str">
        <f>IF($E2252="","",$E2252&amp;"|"&amp;COUNTIFS($E$7:$E2252,$E2252))</f>
        <v/>
      </c>
    </row>
    <row r="2253" spans="1:31" ht="18" customHeight="1" x14ac:dyDescent="0.3">
      <c r="A2253" s="2"/>
      <c r="B2253" s="65" t="str">
        <f t="shared" si="282"/>
        <v/>
      </c>
      <c r="C2253" s="66"/>
      <c r="D2253" s="60"/>
      <c r="E2253" s="61"/>
      <c r="F2253" s="61"/>
      <c r="G2253" s="67"/>
      <c r="H2253" s="60"/>
      <c r="I2253" s="60"/>
      <c r="J2253" s="61"/>
      <c r="K2253" s="61"/>
      <c r="L2253" s="60"/>
      <c r="M2253" s="74" t="str">
        <f t="shared" si="283"/>
        <v/>
      </c>
      <c r="N2253" s="74" t="str">
        <f t="shared" si="284"/>
        <v/>
      </c>
      <c r="O2253" s="73" t="str">
        <f t="shared" si="285"/>
        <v/>
      </c>
      <c r="P2253" s="65" t="str">
        <f t="shared" ca="1" si="286"/>
        <v/>
      </c>
      <c r="Q2253" s="2"/>
      <c r="R2253" s="2"/>
      <c r="S2253" s="1" t="str">
        <f t="shared" si="287"/>
        <v/>
      </c>
      <c r="T2253" s="1" t="str">
        <f>IF(OR($C2253="",$D2253&lt;&gt;"Gelir",$L2253=""),"",IFERROR(INDEX(MUSTERILER!$B$7:$B$156,MATCH($S2253,MUSTERILER!$T$7:$T$156,0)),""))</f>
        <v/>
      </c>
      <c r="U2253" s="1" t="str">
        <f>IF($T2253="","",$T2253&amp;"|"&amp;COUNTIFS($T$7:$T2253,$T2253))</f>
        <v/>
      </c>
      <c r="V2253" s="1">
        <f t="shared" si="288"/>
        <v>0</v>
      </c>
      <c r="W2253" s="1" t="str">
        <f t="shared" si="289"/>
        <v/>
      </c>
      <c r="X2253" s="1"/>
      <c r="Y2253" s="1"/>
      <c r="Z2253" s="1"/>
      <c r="AA2253" s="1"/>
      <c r="AB2253" s="1"/>
      <c r="AC2253" s="1"/>
      <c r="AD2253" s="1">
        <f>IF($C2253="",0,SUMPRODUCT((AY_SONU!$O$7:$O$42="Evet")*(AY_SONU!$B$7:$B$42=DATE(YEAR($C2253),MONTH($C2253),1))))</f>
        <v>0</v>
      </c>
      <c r="AE2253" s="1" t="str">
        <f>IF($E2253="","",$E2253&amp;"|"&amp;COUNTIFS($E$7:$E2253,$E2253))</f>
        <v/>
      </c>
    </row>
    <row r="2254" spans="1:31" ht="18" customHeight="1" x14ac:dyDescent="0.3">
      <c r="A2254" s="2"/>
      <c r="B2254" s="65" t="str">
        <f t="shared" si="282"/>
        <v/>
      </c>
      <c r="C2254" s="66"/>
      <c r="D2254" s="60"/>
      <c r="E2254" s="61"/>
      <c r="F2254" s="61"/>
      <c r="G2254" s="67"/>
      <c r="H2254" s="60"/>
      <c r="I2254" s="60"/>
      <c r="J2254" s="61"/>
      <c r="K2254" s="61"/>
      <c r="L2254" s="60"/>
      <c r="M2254" s="74" t="str">
        <f t="shared" si="283"/>
        <v/>
      </c>
      <c r="N2254" s="74" t="str">
        <f t="shared" si="284"/>
        <v/>
      </c>
      <c r="O2254" s="73" t="str">
        <f t="shared" si="285"/>
        <v/>
      </c>
      <c r="P2254" s="65" t="str">
        <f t="shared" ca="1" si="286"/>
        <v/>
      </c>
      <c r="Q2254" s="2"/>
      <c r="R2254" s="2"/>
      <c r="S2254" s="1" t="str">
        <f t="shared" si="287"/>
        <v/>
      </c>
      <c r="T2254" s="1" t="str">
        <f>IF(OR($C2254="",$D2254&lt;&gt;"Gelir",$L2254=""),"",IFERROR(INDEX(MUSTERILER!$B$7:$B$156,MATCH($S2254,MUSTERILER!$T$7:$T$156,0)),""))</f>
        <v/>
      </c>
      <c r="U2254" s="1" t="str">
        <f>IF($T2254="","",$T2254&amp;"|"&amp;COUNTIFS($T$7:$T2254,$T2254))</f>
        <v/>
      </c>
      <c r="V2254" s="1">
        <f t="shared" si="288"/>
        <v>0</v>
      </c>
      <c r="W2254" s="1" t="str">
        <f t="shared" si="289"/>
        <v/>
      </c>
      <c r="X2254" s="1"/>
      <c r="Y2254" s="1"/>
      <c r="Z2254" s="1"/>
      <c r="AA2254" s="1"/>
      <c r="AB2254" s="1"/>
      <c r="AC2254" s="1"/>
      <c r="AD2254" s="1">
        <f>IF($C2254="",0,SUMPRODUCT((AY_SONU!$O$7:$O$42="Evet")*(AY_SONU!$B$7:$B$42=DATE(YEAR($C2254),MONTH($C2254),1))))</f>
        <v>0</v>
      </c>
      <c r="AE2254" s="1" t="str">
        <f>IF($E2254="","",$E2254&amp;"|"&amp;COUNTIFS($E$7:$E2254,$E2254))</f>
        <v/>
      </c>
    </row>
    <row r="2255" spans="1:31" ht="18" customHeight="1" x14ac:dyDescent="0.3">
      <c r="A2255" s="2"/>
      <c r="B2255" s="65" t="str">
        <f t="shared" si="282"/>
        <v/>
      </c>
      <c r="C2255" s="66"/>
      <c r="D2255" s="60"/>
      <c r="E2255" s="61"/>
      <c r="F2255" s="61"/>
      <c r="G2255" s="67"/>
      <c r="H2255" s="60"/>
      <c r="I2255" s="60"/>
      <c r="J2255" s="61"/>
      <c r="K2255" s="61"/>
      <c r="L2255" s="60"/>
      <c r="M2255" s="74" t="str">
        <f t="shared" si="283"/>
        <v/>
      </c>
      <c r="N2255" s="74" t="str">
        <f t="shared" si="284"/>
        <v/>
      </c>
      <c r="O2255" s="73" t="str">
        <f t="shared" si="285"/>
        <v/>
      </c>
      <c r="P2255" s="65" t="str">
        <f t="shared" ca="1" si="286"/>
        <v/>
      </c>
      <c r="Q2255" s="2"/>
      <c r="R2255" s="2"/>
      <c r="S2255" s="1" t="str">
        <f t="shared" si="287"/>
        <v/>
      </c>
      <c r="T2255" s="1" t="str">
        <f>IF(OR($C2255="",$D2255&lt;&gt;"Gelir",$L2255=""),"",IFERROR(INDEX(MUSTERILER!$B$7:$B$156,MATCH($S2255,MUSTERILER!$T$7:$T$156,0)),""))</f>
        <v/>
      </c>
      <c r="U2255" s="1" t="str">
        <f>IF($T2255="","",$T2255&amp;"|"&amp;COUNTIFS($T$7:$T2255,$T2255))</f>
        <v/>
      </c>
      <c r="V2255" s="1">
        <f t="shared" si="288"/>
        <v>0</v>
      </c>
      <c r="W2255" s="1" t="str">
        <f t="shared" si="289"/>
        <v/>
      </c>
      <c r="X2255" s="1"/>
      <c r="Y2255" s="1"/>
      <c r="Z2255" s="1"/>
      <c r="AA2255" s="1"/>
      <c r="AB2255" s="1"/>
      <c r="AC2255" s="1"/>
      <c r="AD2255" s="1">
        <f>IF($C2255="",0,SUMPRODUCT((AY_SONU!$O$7:$O$42="Evet")*(AY_SONU!$B$7:$B$42=DATE(YEAR($C2255),MONTH($C2255),1))))</f>
        <v>0</v>
      </c>
      <c r="AE2255" s="1" t="str">
        <f>IF($E2255="","",$E2255&amp;"|"&amp;COUNTIFS($E$7:$E2255,$E2255))</f>
        <v/>
      </c>
    </row>
    <row r="2256" spans="1:31" ht="18" customHeight="1" x14ac:dyDescent="0.3">
      <c r="A2256" s="2"/>
      <c r="B2256" s="65" t="str">
        <f t="shared" si="282"/>
        <v/>
      </c>
      <c r="C2256" s="66"/>
      <c r="D2256" s="60"/>
      <c r="E2256" s="61"/>
      <c r="F2256" s="61"/>
      <c r="G2256" s="67"/>
      <c r="H2256" s="60"/>
      <c r="I2256" s="60"/>
      <c r="J2256" s="61"/>
      <c r="K2256" s="61"/>
      <c r="L2256" s="60"/>
      <c r="M2256" s="74" t="str">
        <f t="shared" si="283"/>
        <v/>
      </c>
      <c r="N2256" s="74" t="str">
        <f t="shared" si="284"/>
        <v/>
      </c>
      <c r="O2256" s="73" t="str">
        <f t="shared" si="285"/>
        <v/>
      </c>
      <c r="P2256" s="65" t="str">
        <f t="shared" ca="1" si="286"/>
        <v/>
      </c>
      <c r="Q2256" s="2"/>
      <c r="R2256" s="2"/>
      <c r="S2256" s="1" t="str">
        <f t="shared" si="287"/>
        <v/>
      </c>
      <c r="T2256" s="1" t="str">
        <f>IF(OR($C2256="",$D2256&lt;&gt;"Gelir",$L2256=""),"",IFERROR(INDEX(MUSTERILER!$B$7:$B$156,MATCH($S2256,MUSTERILER!$T$7:$T$156,0)),""))</f>
        <v/>
      </c>
      <c r="U2256" s="1" t="str">
        <f>IF($T2256="","",$T2256&amp;"|"&amp;COUNTIFS($T$7:$T2256,$T2256))</f>
        <v/>
      </c>
      <c r="V2256" s="1">
        <f t="shared" si="288"/>
        <v>0</v>
      </c>
      <c r="W2256" s="1" t="str">
        <f t="shared" si="289"/>
        <v/>
      </c>
      <c r="X2256" s="1"/>
      <c r="Y2256" s="1"/>
      <c r="Z2256" s="1"/>
      <c r="AA2256" s="1"/>
      <c r="AB2256" s="1"/>
      <c r="AC2256" s="1"/>
      <c r="AD2256" s="1">
        <f>IF($C2256="",0,SUMPRODUCT((AY_SONU!$O$7:$O$42="Evet")*(AY_SONU!$B$7:$B$42=DATE(YEAR($C2256),MONTH($C2256),1))))</f>
        <v>0</v>
      </c>
      <c r="AE2256" s="1" t="str">
        <f>IF($E2256="","",$E2256&amp;"|"&amp;COUNTIFS($E$7:$E2256,$E2256))</f>
        <v/>
      </c>
    </row>
    <row r="2257" spans="1:31" ht="18" customHeight="1" x14ac:dyDescent="0.3">
      <c r="A2257" s="2"/>
      <c r="B2257" s="65" t="str">
        <f t="shared" si="282"/>
        <v/>
      </c>
      <c r="C2257" s="66"/>
      <c r="D2257" s="60"/>
      <c r="E2257" s="61"/>
      <c r="F2257" s="61"/>
      <c r="G2257" s="67"/>
      <c r="H2257" s="60"/>
      <c r="I2257" s="60"/>
      <c r="J2257" s="61"/>
      <c r="K2257" s="61"/>
      <c r="L2257" s="60"/>
      <c r="M2257" s="74" t="str">
        <f t="shared" si="283"/>
        <v/>
      </c>
      <c r="N2257" s="74" t="str">
        <f t="shared" si="284"/>
        <v/>
      </c>
      <c r="O2257" s="73" t="str">
        <f t="shared" si="285"/>
        <v/>
      </c>
      <c r="P2257" s="65" t="str">
        <f t="shared" ca="1" si="286"/>
        <v/>
      </c>
      <c r="Q2257" s="2"/>
      <c r="R2257" s="2"/>
      <c r="S2257" s="1" t="str">
        <f t="shared" si="287"/>
        <v/>
      </c>
      <c r="T2257" s="1" t="str">
        <f>IF(OR($C2257="",$D2257&lt;&gt;"Gelir",$L2257=""),"",IFERROR(INDEX(MUSTERILER!$B$7:$B$156,MATCH($S2257,MUSTERILER!$T$7:$T$156,0)),""))</f>
        <v/>
      </c>
      <c r="U2257" s="1" t="str">
        <f>IF($T2257="","",$T2257&amp;"|"&amp;COUNTIFS($T$7:$T2257,$T2257))</f>
        <v/>
      </c>
      <c r="V2257" s="1">
        <f t="shared" si="288"/>
        <v>0</v>
      </c>
      <c r="W2257" s="1" t="str">
        <f t="shared" si="289"/>
        <v/>
      </c>
      <c r="X2257" s="1"/>
      <c r="Y2257" s="1"/>
      <c r="Z2257" s="1"/>
      <c r="AA2257" s="1"/>
      <c r="AB2257" s="1"/>
      <c r="AC2257" s="1"/>
      <c r="AD2257" s="1">
        <f>IF($C2257="",0,SUMPRODUCT((AY_SONU!$O$7:$O$42="Evet")*(AY_SONU!$B$7:$B$42=DATE(YEAR($C2257),MONTH($C2257),1))))</f>
        <v>0</v>
      </c>
      <c r="AE2257" s="1" t="str">
        <f>IF($E2257="","",$E2257&amp;"|"&amp;COUNTIFS($E$7:$E2257,$E2257))</f>
        <v/>
      </c>
    </row>
    <row r="2258" spans="1:31" ht="18" customHeight="1" x14ac:dyDescent="0.3">
      <c r="A2258" s="2"/>
      <c r="B2258" s="65" t="str">
        <f t="shared" si="282"/>
        <v/>
      </c>
      <c r="C2258" s="66"/>
      <c r="D2258" s="60"/>
      <c r="E2258" s="61"/>
      <c r="F2258" s="61"/>
      <c r="G2258" s="67"/>
      <c r="H2258" s="60"/>
      <c r="I2258" s="60"/>
      <c r="J2258" s="61"/>
      <c r="K2258" s="61"/>
      <c r="L2258" s="60"/>
      <c r="M2258" s="74" t="str">
        <f t="shared" si="283"/>
        <v/>
      </c>
      <c r="N2258" s="74" t="str">
        <f t="shared" si="284"/>
        <v/>
      </c>
      <c r="O2258" s="73" t="str">
        <f t="shared" si="285"/>
        <v/>
      </c>
      <c r="P2258" s="65" t="str">
        <f t="shared" ca="1" si="286"/>
        <v/>
      </c>
      <c r="Q2258" s="2"/>
      <c r="R2258" s="2"/>
      <c r="S2258" s="1" t="str">
        <f t="shared" si="287"/>
        <v/>
      </c>
      <c r="T2258" s="1" t="str">
        <f>IF(OR($C2258="",$D2258&lt;&gt;"Gelir",$L2258=""),"",IFERROR(INDEX(MUSTERILER!$B$7:$B$156,MATCH($S2258,MUSTERILER!$T$7:$T$156,0)),""))</f>
        <v/>
      </c>
      <c r="U2258" s="1" t="str">
        <f>IF($T2258="","",$T2258&amp;"|"&amp;COUNTIFS($T$7:$T2258,$T2258))</f>
        <v/>
      </c>
      <c r="V2258" s="1">
        <f t="shared" si="288"/>
        <v>0</v>
      </c>
      <c r="W2258" s="1" t="str">
        <f t="shared" si="289"/>
        <v/>
      </c>
      <c r="X2258" s="1"/>
      <c r="Y2258" s="1"/>
      <c r="Z2258" s="1"/>
      <c r="AA2258" s="1"/>
      <c r="AB2258" s="1"/>
      <c r="AC2258" s="1"/>
      <c r="AD2258" s="1">
        <f>IF($C2258="",0,SUMPRODUCT((AY_SONU!$O$7:$O$42="Evet")*(AY_SONU!$B$7:$B$42=DATE(YEAR($C2258),MONTH($C2258),1))))</f>
        <v>0</v>
      </c>
      <c r="AE2258" s="1" t="str">
        <f>IF($E2258="","",$E2258&amp;"|"&amp;COUNTIFS($E$7:$E2258,$E2258))</f>
        <v/>
      </c>
    </row>
    <row r="2259" spans="1:31" ht="18" customHeight="1" x14ac:dyDescent="0.3">
      <c r="A2259" s="2"/>
      <c r="B2259" s="65" t="str">
        <f t="shared" si="282"/>
        <v/>
      </c>
      <c r="C2259" s="66"/>
      <c r="D2259" s="60"/>
      <c r="E2259" s="61"/>
      <c r="F2259" s="61"/>
      <c r="G2259" s="67"/>
      <c r="H2259" s="60"/>
      <c r="I2259" s="60"/>
      <c r="J2259" s="61"/>
      <c r="K2259" s="61"/>
      <c r="L2259" s="60"/>
      <c r="M2259" s="74" t="str">
        <f t="shared" si="283"/>
        <v/>
      </c>
      <c r="N2259" s="74" t="str">
        <f t="shared" si="284"/>
        <v/>
      </c>
      <c r="O2259" s="73" t="str">
        <f t="shared" si="285"/>
        <v/>
      </c>
      <c r="P2259" s="65" t="str">
        <f t="shared" ca="1" si="286"/>
        <v/>
      </c>
      <c r="Q2259" s="2"/>
      <c r="R2259" s="2"/>
      <c r="S2259" s="1" t="str">
        <f t="shared" si="287"/>
        <v/>
      </c>
      <c r="T2259" s="1" t="str">
        <f>IF(OR($C2259="",$D2259&lt;&gt;"Gelir",$L2259=""),"",IFERROR(INDEX(MUSTERILER!$B$7:$B$156,MATCH($S2259,MUSTERILER!$T$7:$T$156,0)),""))</f>
        <v/>
      </c>
      <c r="U2259" s="1" t="str">
        <f>IF($T2259="","",$T2259&amp;"|"&amp;COUNTIFS($T$7:$T2259,$T2259))</f>
        <v/>
      </c>
      <c r="V2259" s="1">
        <f t="shared" si="288"/>
        <v>0</v>
      </c>
      <c r="W2259" s="1" t="str">
        <f t="shared" si="289"/>
        <v/>
      </c>
      <c r="X2259" s="1"/>
      <c r="Y2259" s="1"/>
      <c r="Z2259" s="1"/>
      <c r="AA2259" s="1"/>
      <c r="AB2259" s="1"/>
      <c r="AC2259" s="1"/>
      <c r="AD2259" s="1">
        <f>IF($C2259="",0,SUMPRODUCT((AY_SONU!$O$7:$O$42="Evet")*(AY_SONU!$B$7:$B$42=DATE(YEAR($C2259),MONTH($C2259),1))))</f>
        <v>0</v>
      </c>
      <c r="AE2259" s="1" t="str">
        <f>IF($E2259="","",$E2259&amp;"|"&amp;COUNTIFS($E$7:$E2259,$E2259))</f>
        <v/>
      </c>
    </row>
    <row r="2260" spans="1:31" ht="18" customHeight="1" x14ac:dyDescent="0.3">
      <c r="A2260" s="2"/>
      <c r="B2260" s="65" t="str">
        <f t="shared" si="282"/>
        <v/>
      </c>
      <c r="C2260" s="66"/>
      <c r="D2260" s="60"/>
      <c r="E2260" s="61"/>
      <c r="F2260" s="61"/>
      <c r="G2260" s="67"/>
      <c r="H2260" s="60"/>
      <c r="I2260" s="60"/>
      <c r="J2260" s="61"/>
      <c r="K2260" s="61"/>
      <c r="L2260" s="60"/>
      <c r="M2260" s="74" t="str">
        <f t="shared" si="283"/>
        <v/>
      </c>
      <c r="N2260" s="74" t="str">
        <f t="shared" si="284"/>
        <v/>
      </c>
      <c r="O2260" s="73" t="str">
        <f t="shared" si="285"/>
        <v/>
      </c>
      <c r="P2260" s="65" t="str">
        <f t="shared" ca="1" si="286"/>
        <v/>
      </c>
      <c r="Q2260" s="2"/>
      <c r="R2260" s="2"/>
      <c r="S2260" s="1" t="str">
        <f t="shared" si="287"/>
        <v/>
      </c>
      <c r="T2260" s="1" t="str">
        <f>IF(OR($C2260="",$D2260&lt;&gt;"Gelir",$L2260=""),"",IFERROR(INDEX(MUSTERILER!$B$7:$B$156,MATCH($S2260,MUSTERILER!$T$7:$T$156,0)),""))</f>
        <v/>
      </c>
      <c r="U2260" s="1" t="str">
        <f>IF($T2260="","",$T2260&amp;"|"&amp;COUNTIFS($T$7:$T2260,$T2260))</f>
        <v/>
      </c>
      <c r="V2260" s="1">
        <f t="shared" si="288"/>
        <v>0</v>
      </c>
      <c r="W2260" s="1" t="str">
        <f t="shared" si="289"/>
        <v/>
      </c>
      <c r="X2260" s="1"/>
      <c r="Y2260" s="1"/>
      <c r="Z2260" s="1"/>
      <c r="AA2260" s="1"/>
      <c r="AB2260" s="1"/>
      <c r="AC2260" s="1"/>
      <c r="AD2260" s="1">
        <f>IF($C2260="",0,SUMPRODUCT((AY_SONU!$O$7:$O$42="Evet")*(AY_SONU!$B$7:$B$42=DATE(YEAR($C2260),MONTH($C2260),1))))</f>
        <v>0</v>
      </c>
      <c r="AE2260" s="1" t="str">
        <f>IF($E2260="","",$E2260&amp;"|"&amp;COUNTIFS($E$7:$E2260,$E2260))</f>
        <v/>
      </c>
    </row>
    <row r="2261" spans="1:31" ht="18" customHeight="1" x14ac:dyDescent="0.3">
      <c r="A2261" s="2"/>
      <c r="B2261" s="65" t="str">
        <f t="shared" si="282"/>
        <v/>
      </c>
      <c r="C2261" s="66"/>
      <c r="D2261" s="60"/>
      <c r="E2261" s="61"/>
      <c r="F2261" s="61"/>
      <c r="G2261" s="67"/>
      <c r="H2261" s="60"/>
      <c r="I2261" s="60"/>
      <c r="J2261" s="61"/>
      <c r="K2261" s="61"/>
      <c r="L2261" s="60"/>
      <c r="M2261" s="74" t="str">
        <f t="shared" si="283"/>
        <v/>
      </c>
      <c r="N2261" s="74" t="str">
        <f t="shared" si="284"/>
        <v/>
      </c>
      <c r="O2261" s="73" t="str">
        <f t="shared" si="285"/>
        <v/>
      </c>
      <c r="P2261" s="65" t="str">
        <f t="shared" ca="1" si="286"/>
        <v/>
      </c>
      <c r="Q2261" s="2"/>
      <c r="R2261" s="2"/>
      <c r="S2261" s="1" t="str">
        <f t="shared" si="287"/>
        <v/>
      </c>
      <c r="T2261" s="1" t="str">
        <f>IF(OR($C2261="",$D2261&lt;&gt;"Gelir",$L2261=""),"",IFERROR(INDEX(MUSTERILER!$B$7:$B$156,MATCH($S2261,MUSTERILER!$T$7:$T$156,0)),""))</f>
        <v/>
      </c>
      <c r="U2261" s="1" t="str">
        <f>IF($T2261="","",$T2261&amp;"|"&amp;COUNTIFS($T$7:$T2261,$T2261))</f>
        <v/>
      </c>
      <c r="V2261" s="1">
        <f t="shared" si="288"/>
        <v>0</v>
      </c>
      <c r="W2261" s="1" t="str">
        <f t="shared" si="289"/>
        <v/>
      </c>
      <c r="X2261" s="1"/>
      <c r="Y2261" s="1"/>
      <c r="Z2261" s="1"/>
      <c r="AA2261" s="1"/>
      <c r="AB2261" s="1"/>
      <c r="AC2261" s="1"/>
      <c r="AD2261" s="1">
        <f>IF($C2261="",0,SUMPRODUCT((AY_SONU!$O$7:$O$42="Evet")*(AY_SONU!$B$7:$B$42=DATE(YEAR($C2261),MONTH($C2261),1))))</f>
        <v>0</v>
      </c>
      <c r="AE2261" s="1" t="str">
        <f>IF($E2261="","",$E2261&amp;"|"&amp;COUNTIFS($E$7:$E2261,$E2261))</f>
        <v/>
      </c>
    </row>
    <row r="2262" spans="1:31" ht="18" customHeight="1" x14ac:dyDescent="0.3">
      <c r="A2262" s="2"/>
      <c r="B2262" s="65" t="str">
        <f t="shared" si="282"/>
        <v/>
      </c>
      <c r="C2262" s="66"/>
      <c r="D2262" s="60"/>
      <c r="E2262" s="61"/>
      <c r="F2262" s="61"/>
      <c r="G2262" s="67"/>
      <c r="H2262" s="60"/>
      <c r="I2262" s="60"/>
      <c r="J2262" s="61"/>
      <c r="K2262" s="61"/>
      <c r="L2262" s="60"/>
      <c r="M2262" s="74" t="str">
        <f t="shared" si="283"/>
        <v/>
      </c>
      <c r="N2262" s="74" t="str">
        <f t="shared" si="284"/>
        <v/>
      </c>
      <c r="O2262" s="73" t="str">
        <f t="shared" si="285"/>
        <v/>
      </c>
      <c r="P2262" s="65" t="str">
        <f t="shared" ca="1" si="286"/>
        <v/>
      </c>
      <c r="Q2262" s="2"/>
      <c r="R2262" s="2"/>
      <c r="S2262" s="1" t="str">
        <f t="shared" si="287"/>
        <v/>
      </c>
      <c r="T2262" s="1" t="str">
        <f>IF(OR($C2262="",$D2262&lt;&gt;"Gelir",$L2262=""),"",IFERROR(INDEX(MUSTERILER!$B$7:$B$156,MATCH($S2262,MUSTERILER!$T$7:$T$156,0)),""))</f>
        <v/>
      </c>
      <c r="U2262" s="1" t="str">
        <f>IF($T2262="","",$T2262&amp;"|"&amp;COUNTIFS($T$7:$T2262,$T2262))</f>
        <v/>
      </c>
      <c r="V2262" s="1">
        <f t="shared" si="288"/>
        <v>0</v>
      </c>
      <c r="W2262" s="1" t="str">
        <f t="shared" si="289"/>
        <v/>
      </c>
      <c r="X2262" s="1"/>
      <c r="Y2262" s="1"/>
      <c r="Z2262" s="1"/>
      <c r="AA2262" s="1"/>
      <c r="AB2262" s="1"/>
      <c r="AC2262" s="1"/>
      <c r="AD2262" s="1">
        <f>IF($C2262="",0,SUMPRODUCT((AY_SONU!$O$7:$O$42="Evet")*(AY_SONU!$B$7:$B$42=DATE(YEAR($C2262),MONTH($C2262),1))))</f>
        <v>0</v>
      </c>
      <c r="AE2262" s="1" t="str">
        <f>IF($E2262="","",$E2262&amp;"|"&amp;COUNTIFS($E$7:$E2262,$E2262))</f>
        <v/>
      </c>
    </row>
    <row r="2263" spans="1:31" ht="18" customHeight="1" x14ac:dyDescent="0.3">
      <c r="A2263" s="2"/>
      <c r="B2263" s="65" t="str">
        <f t="shared" si="282"/>
        <v/>
      </c>
      <c r="C2263" s="66"/>
      <c r="D2263" s="60"/>
      <c r="E2263" s="61"/>
      <c r="F2263" s="61"/>
      <c r="G2263" s="67"/>
      <c r="H2263" s="60"/>
      <c r="I2263" s="60"/>
      <c r="J2263" s="61"/>
      <c r="K2263" s="61"/>
      <c r="L2263" s="60"/>
      <c r="M2263" s="74" t="str">
        <f t="shared" si="283"/>
        <v/>
      </c>
      <c r="N2263" s="74" t="str">
        <f t="shared" si="284"/>
        <v/>
      </c>
      <c r="O2263" s="73" t="str">
        <f t="shared" si="285"/>
        <v/>
      </c>
      <c r="P2263" s="65" t="str">
        <f t="shared" ca="1" si="286"/>
        <v/>
      </c>
      <c r="Q2263" s="2"/>
      <c r="R2263" s="2"/>
      <c r="S2263" s="1" t="str">
        <f t="shared" si="287"/>
        <v/>
      </c>
      <c r="T2263" s="1" t="str">
        <f>IF(OR($C2263="",$D2263&lt;&gt;"Gelir",$L2263=""),"",IFERROR(INDEX(MUSTERILER!$B$7:$B$156,MATCH($S2263,MUSTERILER!$T$7:$T$156,0)),""))</f>
        <v/>
      </c>
      <c r="U2263" s="1" t="str">
        <f>IF($T2263="","",$T2263&amp;"|"&amp;COUNTIFS($T$7:$T2263,$T2263))</f>
        <v/>
      </c>
      <c r="V2263" s="1">
        <f t="shared" si="288"/>
        <v>0</v>
      </c>
      <c r="W2263" s="1" t="str">
        <f t="shared" si="289"/>
        <v/>
      </c>
      <c r="X2263" s="1"/>
      <c r="Y2263" s="1"/>
      <c r="Z2263" s="1"/>
      <c r="AA2263" s="1"/>
      <c r="AB2263" s="1"/>
      <c r="AC2263" s="1"/>
      <c r="AD2263" s="1">
        <f>IF($C2263="",0,SUMPRODUCT((AY_SONU!$O$7:$O$42="Evet")*(AY_SONU!$B$7:$B$42=DATE(YEAR($C2263),MONTH($C2263),1))))</f>
        <v>0</v>
      </c>
      <c r="AE2263" s="1" t="str">
        <f>IF($E2263="","",$E2263&amp;"|"&amp;COUNTIFS($E$7:$E2263,$E2263))</f>
        <v/>
      </c>
    </row>
    <row r="2264" spans="1:31" ht="18" customHeight="1" x14ac:dyDescent="0.3">
      <c r="A2264" s="2"/>
      <c r="B2264" s="65" t="str">
        <f t="shared" si="282"/>
        <v/>
      </c>
      <c r="C2264" s="66"/>
      <c r="D2264" s="60"/>
      <c r="E2264" s="61"/>
      <c r="F2264" s="61"/>
      <c r="G2264" s="67"/>
      <c r="H2264" s="60"/>
      <c r="I2264" s="60"/>
      <c r="J2264" s="61"/>
      <c r="K2264" s="61"/>
      <c r="L2264" s="60"/>
      <c r="M2264" s="74" t="str">
        <f t="shared" si="283"/>
        <v/>
      </c>
      <c r="N2264" s="74" t="str">
        <f t="shared" si="284"/>
        <v/>
      </c>
      <c r="O2264" s="73" t="str">
        <f t="shared" si="285"/>
        <v/>
      </c>
      <c r="P2264" s="65" t="str">
        <f t="shared" ca="1" si="286"/>
        <v/>
      </c>
      <c r="Q2264" s="2"/>
      <c r="R2264" s="2"/>
      <c r="S2264" s="1" t="str">
        <f t="shared" si="287"/>
        <v/>
      </c>
      <c r="T2264" s="1" t="str">
        <f>IF(OR($C2264="",$D2264&lt;&gt;"Gelir",$L2264=""),"",IFERROR(INDEX(MUSTERILER!$B$7:$B$156,MATCH($S2264,MUSTERILER!$T$7:$T$156,0)),""))</f>
        <v/>
      </c>
      <c r="U2264" s="1" t="str">
        <f>IF($T2264="","",$T2264&amp;"|"&amp;COUNTIFS($T$7:$T2264,$T2264))</f>
        <v/>
      </c>
      <c r="V2264" s="1">
        <f t="shared" si="288"/>
        <v>0</v>
      </c>
      <c r="W2264" s="1" t="str">
        <f t="shared" si="289"/>
        <v/>
      </c>
      <c r="X2264" s="1"/>
      <c r="Y2264" s="1"/>
      <c r="Z2264" s="1"/>
      <c r="AA2264" s="1"/>
      <c r="AB2264" s="1"/>
      <c r="AC2264" s="1"/>
      <c r="AD2264" s="1">
        <f>IF($C2264="",0,SUMPRODUCT((AY_SONU!$O$7:$O$42="Evet")*(AY_SONU!$B$7:$B$42=DATE(YEAR($C2264),MONTH($C2264),1))))</f>
        <v>0</v>
      </c>
      <c r="AE2264" s="1" t="str">
        <f>IF($E2264="","",$E2264&amp;"|"&amp;COUNTIFS($E$7:$E2264,$E2264))</f>
        <v/>
      </c>
    </row>
    <row r="2265" spans="1:31" ht="18" customHeight="1" x14ac:dyDescent="0.3">
      <c r="A2265" s="2"/>
      <c r="B2265" s="65" t="str">
        <f t="shared" si="282"/>
        <v/>
      </c>
      <c r="C2265" s="66"/>
      <c r="D2265" s="60"/>
      <c r="E2265" s="61"/>
      <c r="F2265" s="61"/>
      <c r="G2265" s="67"/>
      <c r="H2265" s="60"/>
      <c r="I2265" s="60"/>
      <c r="J2265" s="61"/>
      <c r="K2265" s="61"/>
      <c r="L2265" s="60"/>
      <c r="M2265" s="74" t="str">
        <f t="shared" si="283"/>
        <v/>
      </c>
      <c r="N2265" s="74" t="str">
        <f t="shared" si="284"/>
        <v/>
      </c>
      <c r="O2265" s="73" t="str">
        <f t="shared" si="285"/>
        <v/>
      </c>
      <c r="P2265" s="65" t="str">
        <f t="shared" ca="1" si="286"/>
        <v/>
      </c>
      <c r="Q2265" s="2"/>
      <c r="R2265" s="2"/>
      <c r="S2265" s="1" t="str">
        <f t="shared" si="287"/>
        <v/>
      </c>
      <c r="T2265" s="1" t="str">
        <f>IF(OR($C2265="",$D2265&lt;&gt;"Gelir",$L2265=""),"",IFERROR(INDEX(MUSTERILER!$B$7:$B$156,MATCH($S2265,MUSTERILER!$T$7:$T$156,0)),""))</f>
        <v/>
      </c>
      <c r="U2265" s="1" t="str">
        <f>IF($T2265="","",$T2265&amp;"|"&amp;COUNTIFS($T$7:$T2265,$T2265))</f>
        <v/>
      </c>
      <c r="V2265" s="1">
        <f t="shared" si="288"/>
        <v>0</v>
      </c>
      <c r="W2265" s="1" t="str">
        <f t="shared" si="289"/>
        <v/>
      </c>
      <c r="X2265" s="1"/>
      <c r="Y2265" s="1"/>
      <c r="Z2265" s="1"/>
      <c r="AA2265" s="1"/>
      <c r="AB2265" s="1"/>
      <c r="AC2265" s="1"/>
      <c r="AD2265" s="1">
        <f>IF($C2265="",0,SUMPRODUCT((AY_SONU!$O$7:$O$42="Evet")*(AY_SONU!$B$7:$B$42=DATE(YEAR($C2265),MONTH($C2265),1))))</f>
        <v>0</v>
      </c>
      <c r="AE2265" s="1" t="str">
        <f>IF($E2265="","",$E2265&amp;"|"&amp;COUNTIFS($E$7:$E2265,$E2265))</f>
        <v/>
      </c>
    </row>
    <row r="2266" spans="1:31" ht="18" customHeight="1" x14ac:dyDescent="0.3">
      <c r="A2266" s="2"/>
      <c r="B2266" s="65" t="str">
        <f t="shared" si="282"/>
        <v/>
      </c>
      <c r="C2266" s="66"/>
      <c r="D2266" s="60"/>
      <c r="E2266" s="61"/>
      <c r="F2266" s="61"/>
      <c r="G2266" s="67"/>
      <c r="H2266" s="60"/>
      <c r="I2266" s="60"/>
      <c r="J2266" s="61"/>
      <c r="K2266" s="61"/>
      <c r="L2266" s="60"/>
      <c r="M2266" s="74" t="str">
        <f t="shared" si="283"/>
        <v/>
      </c>
      <c r="N2266" s="74" t="str">
        <f t="shared" si="284"/>
        <v/>
      </c>
      <c r="O2266" s="73" t="str">
        <f t="shared" si="285"/>
        <v/>
      </c>
      <c r="P2266" s="65" t="str">
        <f t="shared" ca="1" si="286"/>
        <v/>
      </c>
      <c r="Q2266" s="2"/>
      <c r="R2266" s="2"/>
      <c r="S2266" s="1" t="str">
        <f t="shared" si="287"/>
        <v/>
      </c>
      <c r="T2266" s="1" t="str">
        <f>IF(OR($C2266="",$D2266&lt;&gt;"Gelir",$L2266=""),"",IFERROR(INDEX(MUSTERILER!$B$7:$B$156,MATCH($S2266,MUSTERILER!$T$7:$T$156,0)),""))</f>
        <v/>
      </c>
      <c r="U2266" s="1" t="str">
        <f>IF($T2266="","",$T2266&amp;"|"&amp;COUNTIFS($T$7:$T2266,$T2266))</f>
        <v/>
      </c>
      <c r="V2266" s="1">
        <f t="shared" si="288"/>
        <v>0</v>
      </c>
      <c r="W2266" s="1" t="str">
        <f t="shared" si="289"/>
        <v/>
      </c>
      <c r="X2266" s="1"/>
      <c r="Y2266" s="1"/>
      <c r="Z2266" s="1"/>
      <c r="AA2266" s="1"/>
      <c r="AB2266" s="1"/>
      <c r="AC2266" s="1"/>
      <c r="AD2266" s="1">
        <f>IF($C2266="",0,SUMPRODUCT((AY_SONU!$O$7:$O$42="Evet")*(AY_SONU!$B$7:$B$42=DATE(YEAR($C2266),MONTH($C2266),1))))</f>
        <v>0</v>
      </c>
      <c r="AE2266" s="1" t="str">
        <f>IF($E2266="","",$E2266&amp;"|"&amp;COUNTIFS($E$7:$E2266,$E2266))</f>
        <v/>
      </c>
    </row>
    <row r="2267" spans="1:31" ht="18" customHeight="1" x14ac:dyDescent="0.3">
      <c r="A2267" s="2"/>
      <c r="B2267" s="65" t="str">
        <f t="shared" si="282"/>
        <v/>
      </c>
      <c r="C2267" s="66"/>
      <c r="D2267" s="60"/>
      <c r="E2267" s="61"/>
      <c r="F2267" s="61"/>
      <c r="G2267" s="67"/>
      <c r="H2267" s="60"/>
      <c r="I2267" s="60"/>
      <c r="J2267" s="61"/>
      <c r="K2267" s="61"/>
      <c r="L2267" s="60"/>
      <c r="M2267" s="74" t="str">
        <f t="shared" si="283"/>
        <v/>
      </c>
      <c r="N2267" s="74" t="str">
        <f t="shared" si="284"/>
        <v/>
      </c>
      <c r="O2267" s="73" t="str">
        <f t="shared" si="285"/>
        <v/>
      </c>
      <c r="P2267" s="65" t="str">
        <f t="shared" ca="1" si="286"/>
        <v/>
      </c>
      <c r="Q2267" s="2"/>
      <c r="R2267" s="2"/>
      <c r="S2267" s="1" t="str">
        <f t="shared" si="287"/>
        <v/>
      </c>
      <c r="T2267" s="1" t="str">
        <f>IF(OR($C2267="",$D2267&lt;&gt;"Gelir",$L2267=""),"",IFERROR(INDEX(MUSTERILER!$B$7:$B$156,MATCH($S2267,MUSTERILER!$T$7:$T$156,0)),""))</f>
        <v/>
      </c>
      <c r="U2267" s="1" t="str">
        <f>IF($T2267="","",$T2267&amp;"|"&amp;COUNTIFS($T$7:$T2267,$T2267))</f>
        <v/>
      </c>
      <c r="V2267" s="1">
        <f t="shared" si="288"/>
        <v>0</v>
      </c>
      <c r="W2267" s="1" t="str">
        <f t="shared" si="289"/>
        <v/>
      </c>
      <c r="X2267" s="1"/>
      <c r="Y2267" s="1"/>
      <c r="Z2267" s="1"/>
      <c r="AA2267" s="1"/>
      <c r="AB2267" s="1"/>
      <c r="AC2267" s="1"/>
      <c r="AD2267" s="1">
        <f>IF($C2267="",0,SUMPRODUCT((AY_SONU!$O$7:$O$42="Evet")*(AY_SONU!$B$7:$B$42=DATE(YEAR($C2267),MONTH($C2267),1))))</f>
        <v>0</v>
      </c>
      <c r="AE2267" s="1" t="str">
        <f>IF($E2267="","",$E2267&amp;"|"&amp;COUNTIFS($E$7:$E2267,$E2267))</f>
        <v/>
      </c>
    </row>
    <row r="2268" spans="1:31" ht="18" customHeight="1" x14ac:dyDescent="0.3">
      <c r="A2268" s="2"/>
      <c r="B2268" s="65" t="str">
        <f t="shared" si="282"/>
        <v/>
      </c>
      <c r="C2268" s="66"/>
      <c r="D2268" s="60"/>
      <c r="E2268" s="61"/>
      <c r="F2268" s="61"/>
      <c r="G2268" s="67"/>
      <c r="H2268" s="60"/>
      <c r="I2268" s="60"/>
      <c r="J2268" s="61"/>
      <c r="K2268" s="61"/>
      <c r="L2268" s="60"/>
      <c r="M2268" s="74" t="str">
        <f t="shared" si="283"/>
        <v/>
      </c>
      <c r="N2268" s="74" t="str">
        <f t="shared" si="284"/>
        <v/>
      </c>
      <c r="O2268" s="73" t="str">
        <f t="shared" si="285"/>
        <v/>
      </c>
      <c r="P2268" s="65" t="str">
        <f t="shared" ca="1" si="286"/>
        <v/>
      </c>
      <c r="Q2268" s="2"/>
      <c r="R2268" s="2"/>
      <c r="S2268" s="1" t="str">
        <f t="shared" si="287"/>
        <v/>
      </c>
      <c r="T2268" s="1" t="str">
        <f>IF(OR($C2268="",$D2268&lt;&gt;"Gelir",$L2268=""),"",IFERROR(INDEX(MUSTERILER!$B$7:$B$156,MATCH($S2268,MUSTERILER!$T$7:$T$156,0)),""))</f>
        <v/>
      </c>
      <c r="U2268" s="1" t="str">
        <f>IF($T2268="","",$T2268&amp;"|"&amp;COUNTIFS($T$7:$T2268,$T2268))</f>
        <v/>
      </c>
      <c r="V2268" s="1">
        <f t="shared" si="288"/>
        <v>0</v>
      </c>
      <c r="W2268" s="1" t="str">
        <f t="shared" si="289"/>
        <v/>
      </c>
      <c r="X2268" s="1"/>
      <c r="Y2268" s="1"/>
      <c r="Z2268" s="1"/>
      <c r="AA2268" s="1"/>
      <c r="AB2268" s="1"/>
      <c r="AC2268" s="1"/>
      <c r="AD2268" s="1">
        <f>IF($C2268="",0,SUMPRODUCT((AY_SONU!$O$7:$O$42="Evet")*(AY_SONU!$B$7:$B$42=DATE(YEAR($C2268),MONTH($C2268),1))))</f>
        <v>0</v>
      </c>
      <c r="AE2268" s="1" t="str">
        <f>IF($E2268="","",$E2268&amp;"|"&amp;COUNTIFS($E$7:$E2268,$E2268))</f>
        <v/>
      </c>
    </row>
    <row r="2269" spans="1:31" ht="18" customHeight="1" x14ac:dyDescent="0.3">
      <c r="A2269" s="2"/>
      <c r="B2269" s="65" t="str">
        <f t="shared" si="282"/>
        <v/>
      </c>
      <c r="C2269" s="66"/>
      <c r="D2269" s="60"/>
      <c r="E2269" s="61"/>
      <c r="F2269" s="61"/>
      <c r="G2269" s="67"/>
      <c r="H2269" s="60"/>
      <c r="I2269" s="60"/>
      <c r="J2269" s="61"/>
      <c r="K2269" s="61"/>
      <c r="L2269" s="60"/>
      <c r="M2269" s="74" t="str">
        <f t="shared" si="283"/>
        <v/>
      </c>
      <c r="N2269" s="74" t="str">
        <f t="shared" si="284"/>
        <v/>
      </c>
      <c r="O2269" s="73" t="str">
        <f t="shared" si="285"/>
        <v/>
      </c>
      <c r="P2269" s="65" t="str">
        <f t="shared" ca="1" si="286"/>
        <v/>
      </c>
      <c r="Q2269" s="2"/>
      <c r="R2269" s="2"/>
      <c r="S2269" s="1" t="str">
        <f t="shared" si="287"/>
        <v/>
      </c>
      <c r="T2269" s="1" t="str">
        <f>IF(OR($C2269="",$D2269&lt;&gt;"Gelir",$L2269=""),"",IFERROR(INDEX(MUSTERILER!$B$7:$B$156,MATCH($S2269,MUSTERILER!$T$7:$T$156,0)),""))</f>
        <v/>
      </c>
      <c r="U2269" s="1" t="str">
        <f>IF($T2269="","",$T2269&amp;"|"&amp;COUNTIFS($T$7:$T2269,$T2269))</f>
        <v/>
      </c>
      <c r="V2269" s="1">
        <f t="shared" si="288"/>
        <v>0</v>
      </c>
      <c r="W2269" s="1" t="str">
        <f t="shared" si="289"/>
        <v/>
      </c>
      <c r="X2269" s="1"/>
      <c r="Y2269" s="1"/>
      <c r="Z2269" s="1"/>
      <c r="AA2269" s="1"/>
      <c r="AB2269" s="1"/>
      <c r="AC2269" s="1"/>
      <c r="AD2269" s="1">
        <f>IF($C2269="",0,SUMPRODUCT((AY_SONU!$O$7:$O$42="Evet")*(AY_SONU!$B$7:$B$42=DATE(YEAR($C2269),MONTH($C2269),1))))</f>
        <v>0</v>
      </c>
      <c r="AE2269" s="1" t="str">
        <f>IF($E2269="","",$E2269&amp;"|"&amp;COUNTIFS($E$7:$E2269,$E2269))</f>
        <v/>
      </c>
    </row>
    <row r="2270" spans="1:31" ht="18" customHeight="1" x14ac:dyDescent="0.3">
      <c r="A2270" s="2"/>
      <c r="B2270" s="65" t="str">
        <f t="shared" si="282"/>
        <v/>
      </c>
      <c r="C2270" s="66"/>
      <c r="D2270" s="60"/>
      <c r="E2270" s="61"/>
      <c r="F2270" s="61"/>
      <c r="G2270" s="67"/>
      <c r="H2270" s="60"/>
      <c r="I2270" s="60"/>
      <c r="J2270" s="61"/>
      <c r="K2270" s="61"/>
      <c r="L2270" s="60"/>
      <c r="M2270" s="74" t="str">
        <f t="shared" si="283"/>
        <v/>
      </c>
      <c r="N2270" s="74" t="str">
        <f t="shared" si="284"/>
        <v/>
      </c>
      <c r="O2270" s="73" t="str">
        <f t="shared" si="285"/>
        <v/>
      </c>
      <c r="P2270" s="65" t="str">
        <f t="shared" ca="1" si="286"/>
        <v/>
      </c>
      <c r="Q2270" s="2"/>
      <c r="R2270" s="2"/>
      <c r="S2270" s="1" t="str">
        <f t="shared" si="287"/>
        <v/>
      </c>
      <c r="T2270" s="1" t="str">
        <f>IF(OR($C2270="",$D2270&lt;&gt;"Gelir",$L2270=""),"",IFERROR(INDEX(MUSTERILER!$B$7:$B$156,MATCH($S2270,MUSTERILER!$T$7:$T$156,0)),""))</f>
        <v/>
      </c>
      <c r="U2270" s="1" t="str">
        <f>IF($T2270="","",$T2270&amp;"|"&amp;COUNTIFS($T$7:$T2270,$T2270))</f>
        <v/>
      </c>
      <c r="V2270" s="1">
        <f t="shared" si="288"/>
        <v>0</v>
      </c>
      <c r="W2270" s="1" t="str">
        <f t="shared" si="289"/>
        <v/>
      </c>
      <c r="X2270" s="1"/>
      <c r="Y2270" s="1"/>
      <c r="Z2270" s="1"/>
      <c r="AA2270" s="1"/>
      <c r="AB2270" s="1"/>
      <c r="AC2270" s="1"/>
      <c r="AD2270" s="1">
        <f>IF($C2270="",0,SUMPRODUCT((AY_SONU!$O$7:$O$42="Evet")*(AY_SONU!$B$7:$B$42=DATE(YEAR($C2270),MONTH($C2270),1))))</f>
        <v>0</v>
      </c>
      <c r="AE2270" s="1" t="str">
        <f>IF($E2270="","",$E2270&amp;"|"&amp;COUNTIFS($E$7:$E2270,$E2270))</f>
        <v/>
      </c>
    </row>
    <row r="2271" spans="1:31" ht="18" customHeight="1" x14ac:dyDescent="0.3">
      <c r="A2271" s="2"/>
      <c r="B2271" s="65" t="str">
        <f t="shared" si="282"/>
        <v/>
      </c>
      <c r="C2271" s="66"/>
      <c r="D2271" s="60"/>
      <c r="E2271" s="61"/>
      <c r="F2271" s="61"/>
      <c r="G2271" s="67"/>
      <c r="H2271" s="60"/>
      <c r="I2271" s="60"/>
      <c r="J2271" s="61"/>
      <c r="K2271" s="61"/>
      <c r="L2271" s="60"/>
      <c r="M2271" s="74" t="str">
        <f t="shared" si="283"/>
        <v/>
      </c>
      <c r="N2271" s="74" t="str">
        <f t="shared" si="284"/>
        <v/>
      </c>
      <c r="O2271" s="73" t="str">
        <f t="shared" si="285"/>
        <v/>
      </c>
      <c r="P2271" s="65" t="str">
        <f t="shared" ca="1" si="286"/>
        <v/>
      </c>
      <c r="Q2271" s="2"/>
      <c r="R2271" s="2"/>
      <c r="S2271" s="1" t="str">
        <f t="shared" si="287"/>
        <v/>
      </c>
      <c r="T2271" s="1" t="str">
        <f>IF(OR($C2271="",$D2271&lt;&gt;"Gelir",$L2271=""),"",IFERROR(INDEX(MUSTERILER!$B$7:$B$156,MATCH($S2271,MUSTERILER!$T$7:$T$156,0)),""))</f>
        <v/>
      </c>
      <c r="U2271" s="1" t="str">
        <f>IF($T2271="","",$T2271&amp;"|"&amp;COUNTIFS($T$7:$T2271,$T2271))</f>
        <v/>
      </c>
      <c r="V2271" s="1">
        <f t="shared" si="288"/>
        <v>0</v>
      </c>
      <c r="W2271" s="1" t="str">
        <f t="shared" si="289"/>
        <v/>
      </c>
      <c r="X2271" s="1"/>
      <c r="Y2271" s="1"/>
      <c r="Z2271" s="1"/>
      <c r="AA2271" s="1"/>
      <c r="AB2271" s="1"/>
      <c r="AC2271" s="1"/>
      <c r="AD2271" s="1">
        <f>IF($C2271="",0,SUMPRODUCT((AY_SONU!$O$7:$O$42="Evet")*(AY_SONU!$B$7:$B$42=DATE(YEAR($C2271),MONTH($C2271),1))))</f>
        <v>0</v>
      </c>
      <c r="AE2271" s="1" t="str">
        <f>IF($E2271="","",$E2271&amp;"|"&amp;COUNTIFS($E$7:$E2271,$E2271))</f>
        <v/>
      </c>
    </row>
    <row r="2272" spans="1:31" ht="18" customHeight="1" x14ac:dyDescent="0.3">
      <c r="A2272" s="2"/>
      <c r="B2272" s="65" t="str">
        <f t="shared" si="282"/>
        <v/>
      </c>
      <c r="C2272" s="66"/>
      <c r="D2272" s="60"/>
      <c r="E2272" s="61"/>
      <c r="F2272" s="61"/>
      <c r="G2272" s="67"/>
      <c r="H2272" s="60"/>
      <c r="I2272" s="60"/>
      <c r="J2272" s="61"/>
      <c r="K2272" s="61"/>
      <c r="L2272" s="60"/>
      <c r="M2272" s="74" t="str">
        <f t="shared" si="283"/>
        <v/>
      </c>
      <c r="N2272" s="74" t="str">
        <f t="shared" si="284"/>
        <v/>
      </c>
      <c r="O2272" s="73" t="str">
        <f t="shared" si="285"/>
        <v/>
      </c>
      <c r="P2272" s="65" t="str">
        <f t="shared" ca="1" si="286"/>
        <v/>
      </c>
      <c r="Q2272" s="2"/>
      <c r="R2272" s="2"/>
      <c r="S2272" s="1" t="str">
        <f t="shared" si="287"/>
        <v/>
      </c>
      <c r="T2272" s="1" t="str">
        <f>IF(OR($C2272="",$D2272&lt;&gt;"Gelir",$L2272=""),"",IFERROR(INDEX(MUSTERILER!$B$7:$B$156,MATCH($S2272,MUSTERILER!$T$7:$T$156,0)),""))</f>
        <v/>
      </c>
      <c r="U2272" s="1" t="str">
        <f>IF($T2272="","",$T2272&amp;"|"&amp;COUNTIFS($T$7:$T2272,$T2272))</f>
        <v/>
      </c>
      <c r="V2272" s="1">
        <f t="shared" si="288"/>
        <v>0</v>
      </c>
      <c r="W2272" s="1" t="str">
        <f t="shared" si="289"/>
        <v/>
      </c>
      <c r="X2272" s="1"/>
      <c r="Y2272" s="1"/>
      <c r="Z2272" s="1"/>
      <c r="AA2272" s="1"/>
      <c r="AB2272" s="1"/>
      <c r="AC2272" s="1"/>
      <c r="AD2272" s="1">
        <f>IF($C2272="",0,SUMPRODUCT((AY_SONU!$O$7:$O$42="Evet")*(AY_SONU!$B$7:$B$42=DATE(YEAR($C2272),MONTH($C2272),1))))</f>
        <v>0</v>
      </c>
      <c r="AE2272" s="1" t="str">
        <f>IF($E2272="","",$E2272&amp;"|"&amp;COUNTIFS($E$7:$E2272,$E2272))</f>
        <v/>
      </c>
    </row>
    <row r="2273" spans="1:31" ht="18" customHeight="1" x14ac:dyDescent="0.3">
      <c r="A2273" s="2"/>
      <c r="B2273" s="65" t="str">
        <f t="shared" si="282"/>
        <v/>
      </c>
      <c r="C2273" s="66"/>
      <c r="D2273" s="60"/>
      <c r="E2273" s="61"/>
      <c r="F2273" s="61"/>
      <c r="G2273" s="67"/>
      <c r="H2273" s="60"/>
      <c r="I2273" s="60"/>
      <c r="J2273" s="61"/>
      <c r="K2273" s="61"/>
      <c r="L2273" s="60"/>
      <c r="M2273" s="74" t="str">
        <f t="shared" si="283"/>
        <v/>
      </c>
      <c r="N2273" s="74" t="str">
        <f t="shared" si="284"/>
        <v/>
      </c>
      <c r="O2273" s="73" t="str">
        <f t="shared" si="285"/>
        <v/>
      </c>
      <c r="P2273" s="65" t="str">
        <f t="shared" ca="1" si="286"/>
        <v/>
      </c>
      <c r="Q2273" s="2"/>
      <c r="R2273" s="2"/>
      <c r="S2273" s="1" t="str">
        <f t="shared" si="287"/>
        <v/>
      </c>
      <c r="T2273" s="1" t="str">
        <f>IF(OR($C2273="",$D2273&lt;&gt;"Gelir",$L2273=""),"",IFERROR(INDEX(MUSTERILER!$B$7:$B$156,MATCH($S2273,MUSTERILER!$T$7:$T$156,0)),""))</f>
        <v/>
      </c>
      <c r="U2273" s="1" t="str">
        <f>IF($T2273="","",$T2273&amp;"|"&amp;COUNTIFS($T$7:$T2273,$T2273))</f>
        <v/>
      </c>
      <c r="V2273" s="1">
        <f t="shared" si="288"/>
        <v>0</v>
      </c>
      <c r="W2273" s="1" t="str">
        <f t="shared" si="289"/>
        <v/>
      </c>
      <c r="X2273" s="1"/>
      <c r="Y2273" s="1"/>
      <c r="Z2273" s="1"/>
      <c r="AA2273" s="1"/>
      <c r="AB2273" s="1"/>
      <c r="AC2273" s="1"/>
      <c r="AD2273" s="1">
        <f>IF($C2273="",0,SUMPRODUCT((AY_SONU!$O$7:$O$42="Evet")*(AY_SONU!$B$7:$B$42=DATE(YEAR($C2273),MONTH($C2273),1))))</f>
        <v>0</v>
      </c>
      <c r="AE2273" s="1" t="str">
        <f>IF($E2273="","",$E2273&amp;"|"&amp;COUNTIFS($E$7:$E2273,$E2273))</f>
        <v/>
      </c>
    </row>
    <row r="2274" spans="1:31" ht="18" customHeight="1" x14ac:dyDescent="0.3">
      <c r="A2274" s="2"/>
      <c r="B2274" s="65" t="str">
        <f t="shared" si="282"/>
        <v/>
      </c>
      <c r="C2274" s="66"/>
      <c r="D2274" s="60"/>
      <c r="E2274" s="61"/>
      <c r="F2274" s="61"/>
      <c r="G2274" s="67"/>
      <c r="H2274" s="60"/>
      <c r="I2274" s="60"/>
      <c r="J2274" s="61"/>
      <c r="K2274" s="61"/>
      <c r="L2274" s="60"/>
      <c r="M2274" s="74" t="str">
        <f t="shared" si="283"/>
        <v/>
      </c>
      <c r="N2274" s="74" t="str">
        <f t="shared" si="284"/>
        <v/>
      </c>
      <c r="O2274" s="73" t="str">
        <f t="shared" si="285"/>
        <v/>
      </c>
      <c r="P2274" s="65" t="str">
        <f t="shared" ca="1" si="286"/>
        <v/>
      </c>
      <c r="Q2274" s="2"/>
      <c r="R2274" s="2"/>
      <c r="S2274" s="1" t="str">
        <f t="shared" si="287"/>
        <v/>
      </c>
      <c r="T2274" s="1" t="str">
        <f>IF(OR($C2274="",$D2274&lt;&gt;"Gelir",$L2274=""),"",IFERROR(INDEX(MUSTERILER!$B$7:$B$156,MATCH($S2274,MUSTERILER!$T$7:$T$156,0)),""))</f>
        <v/>
      </c>
      <c r="U2274" s="1" t="str">
        <f>IF($T2274="","",$T2274&amp;"|"&amp;COUNTIFS($T$7:$T2274,$T2274))</f>
        <v/>
      </c>
      <c r="V2274" s="1">
        <f t="shared" si="288"/>
        <v>0</v>
      </c>
      <c r="W2274" s="1" t="str">
        <f t="shared" si="289"/>
        <v/>
      </c>
      <c r="X2274" s="1"/>
      <c r="Y2274" s="1"/>
      <c r="Z2274" s="1"/>
      <c r="AA2274" s="1"/>
      <c r="AB2274" s="1"/>
      <c r="AC2274" s="1"/>
      <c r="AD2274" s="1">
        <f>IF($C2274="",0,SUMPRODUCT((AY_SONU!$O$7:$O$42="Evet")*(AY_SONU!$B$7:$B$42=DATE(YEAR($C2274),MONTH($C2274),1))))</f>
        <v>0</v>
      </c>
      <c r="AE2274" s="1" t="str">
        <f>IF($E2274="","",$E2274&amp;"|"&amp;COUNTIFS($E$7:$E2274,$E2274))</f>
        <v/>
      </c>
    </row>
    <row r="2275" spans="1:31" ht="18" customHeight="1" x14ac:dyDescent="0.3">
      <c r="A2275" s="2"/>
      <c r="B2275" s="65" t="str">
        <f t="shared" si="282"/>
        <v/>
      </c>
      <c r="C2275" s="66"/>
      <c r="D2275" s="60"/>
      <c r="E2275" s="61"/>
      <c r="F2275" s="61"/>
      <c r="G2275" s="67"/>
      <c r="H2275" s="60"/>
      <c r="I2275" s="60"/>
      <c r="J2275" s="61"/>
      <c r="K2275" s="61"/>
      <c r="L2275" s="60"/>
      <c r="M2275" s="74" t="str">
        <f t="shared" si="283"/>
        <v/>
      </c>
      <c r="N2275" s="74" t="str">
        <f t="shared" si="284"/>
        <v/>
      </c>
      <c r="O2275" s="73" t="str">
        <f t="shared" si="285"/>
        <v/>
      </c>
      <c r="P2275" s="65" t="str">
        <f t="shared" ca="1" si="286"/>
        <v/>
      </c>
      <c r="Q2275" s="2"/>
      <c r="R2275" s="2"/>
      <c r="S2275" s="1" t="str">
        <f t="shared" si="287"/>
        <v/>
      </c>
      <c r="T2275" s="1" t="str">
        <f>IF(OR($C2275="",$D2275&lt;&gt;"Gelir",$L2275=""),"",IFERROR(INDEX(MUSTERILER!$B$7:$B$156,MATCH($S2275,MUSTERILER!$T$7:$T$156,0)),""))</f>
        <v/>
      </c>
      <c r="U2275" s="1" t="str">
        <f>IF($T2275="","",$T2275&amp;"|"&amp;COUNTIFS($T$7:$T2275,$T2275))</f>
        <v/>
      </c>
      <c r="V2275" s="1">
        <f t="shared" si="288"/>
        <v>0</v>
      </c>
      <c r="W2275" s="1" t="str">
        <f t="shared" si="289"/>
        <v/>
      </c>
      <c r="X2275" s="1"/>
      <c r="Y2275" s="1"/>
      <c r="Z2275" s="1"/>
      <c r="AA2275" s="1"/>
      <c r="AB2275" s="1"/>
      <c r="AC2275" s="1"/>
      <c r="AD2275" s="1">
        <f>IF($C2275="",0,SUMPRODUCT((AY_SONU!$O$7:$O$42="Evet")*(AY_SONU!$B$7:$B$42=DATE(YEAR($C2275),MONTH($C2275),1))))</f>
        <v>0</v>
      </c>
      <c r="AE2275" s="1" t="str">
        <f>IF($E2275="","",$E2275&amp;"|"&amp;COUNTIFS($E$7:$E2275,$E2275))</f>
        <v/>
      </c>
    </row>
    <row r="2276" spans="1:31" ht="18" customHeight="1" x14ac:dyDescent="0.3">
      <c r="A2276" s="2"/>
      <c r="B2276" s="65" t="str">
        <f t="shared" si="282"/>
        <v/>
      </c>
      <c r="C2276" s="66"/>
      <c r="D2276" s="60"/>
      <c r="E2276" s="61"/>
      <c r="F2276" s="61"/>
      <c r="G2276" s="67"/>
      <c r="H2276" s="60"/>
      <c r="I2276" s="60"/>
      <c r="J2276" s="61"/>
      <c r="K2276" s="61"/>
      <c r="L2276" s="60"/>
      <c r="M2276" s="74" t="str">
        <f t="shared" si="283"/>
        <v/>
      </c>
      <c r="N2276" s="74" t="str">
        <f t="shared" si="284"/>
        <v/>
      </c>
      <c r="O2276" s="73" t="str">
        <f t="shared" si="285"/>
        <v/>
      </c>
      <c r="P2276" s="65" t="str">
        <f t="shared" ca="1" si="286"/>
        <v/>
      </c>
      <c r="Q2276" s="2"/>
      <c r="R2276" s="2"/>
      <c r="S2276" s="1" t="str">
        <f t="shared" si="287"/>
        <v/>
      </c>
      <c r="T2276" s="1" t="str">
        <f>IF(OR($C2276="",$D2276&lt;&gt;"Gelir",$L2276=""),"",IFERROR(INDEX(MUSTERILER!$B$7:$B$156,MATCH($S2276,MUSTERILER!$T$7:$T$156,0)),""))</f>
        <v/>
      </c>
      <c r="U2276" s="1" t="str">
        <f>IF($T2276="","",$T2276&amp;"|"&amp;COUNTIFS($T$7:$T2276,$T2276))</f>
        <v/>
      </c>
      <c r="V2276" s="1">
        <f t="shared" si="288"/>
        <v>0</v>
      </c>
      <c r="W2276" s="1" t="str">
        <f t="shared" si="289"/>
        <v/>
      </c>
      <c r="X2276" s="1"/>
      <c r="Y2276" s="1"/>
      <c r="Z2276" s="1"/>
      <c r="AA2276" s="1"/>
      <c r="AB2276" s="1"/>
      <c r="AC2276" s="1"/>
      <c r="AD2276" s="1">
        <f>IF($C2276="",0,SUMPRODUCT((AY_SONU!$O$7:$O$42="Evet")*(AY_SONU!$B$7:$B$42=DATE(YEAR($C2276),MONTH($C2276),1))))</f>
        <v>0</v>
      </c>
      <c r="AE2276" s="1" t="str">
        <f>IF($E2276="","",$E2276&amp;"|"&amp;COUNTIFS($E$7:$E2276,$E2276))</f>
        <v/>
      </c>
    </row>
    <row r="2277" spans="1:31" ht="18" customHeight="1" x14ac:dyDescent="0.3">
      <c r="A2277" s="2"/>
      <c r="B2277" s="65" t="str">
        <f t="shared" si="282"/>
        <v/>
      </c>
      <c r="C2277" s="66"/>
      <c r="D2277" s="60"/>
      <c r="E2277" s="61"/>
      <c r="F2277" s="61"/>
      <c r="G2277" s="67"/>
      <c r="H2277" s="60"/>
      <c r="I2277" s="60"/>
      <c r="J2277" s="61"/>
      <c r="K2277" s="61"/>
      <c r="L2277" s="60"/>
      <c r="M2277" s="74" t="str">
        <f t="shared" si="283"/>
        <v/>
      </c>
      <c r="N2277" s="74" t="str">
        <f t="shared" si="284"/>
        <v/>
      </c>
      <c r="O2277" s="73" t="str">
        <f t="shared" si="285"/>
        <v/>
      </c>
      <c r="P2277" s="65" t="str">
        <f t="shared" ca="1" si="286"/>
        <v/>
      </c>
      <c r="Q2277" s="2"/>
      <c r="R2277" s="2"/>
      <c r="S2277" s="1" t="str">
        <f t="shared" si="287"/>
        <v/>
      </c>
      <c r="T2277" s="1" t="str">
        <f>IF(OR($C2277="",$D2277&lt;&gt;"Gelir",$L2277=""),"",IFERROR(INDEX(MUSTERILER!$B$7:$B$156,MATCH($S2277,MUSTERILER!$T$7:$T$156,0)),""))</f>
        <v/>
      </c>
      <c r="U2277" s="1" t="str">
        <f>IF($T2277="","",$T2277&amp;"|"&amp;COUNTIFS($T$7:$T2277,$T2277))</f>
        <v/>
      </c>
      <c r="V2277" s="1">
        <f t="shared" si="288"/>
        <v>0</v>
      </c>
      <c r="W2277" s="1" t="str">
        <f t="shared" si="289"/>
        <v/>
      </c>
      <c r="X2277" s="1"/>
      <c r="Y2277" s="1"/>
      <c r="Z2277" s="1"/>
      <c r="AA2277" s="1"/>
      <c r="AB2277" s="1"/>
      <c r="AC2277" s="1"/>
      <c r="AD2277" s="1">
        <f>IF($C2277="",0,SUMPRODUCT((AY_SONU!$O$7:$O$42="Evet")*(AY_SONU!$B$7:$B$42=DATE(YEAR($C2277),MONTH($C2277),1))))</f>
        <v>0</v>
      </c>
      <c r="AE2277" s="1" t="str">
        <f>IF($E2277="","",$E2277&amp;"|"&amp;COUNTIFS($E$7:$E2277,$E2277))</f>
        <v/>
      </c>
    </row>
    <row r="2278" spans="1:31" ht="18" customHeight="1" x14ac:dyDescent="0.3">
      <c r="A2278" s="2"/>
      <c r="B2278" s="65" t="str">
        <f t="shared" si="282"/>
        <v/>
      </c>
      <c r="C2278" s="66"/>
      <c r="D2278" s="60"/>
      <c r="E2278" s="61"/>
      <c r="F2278" s="61"/>
      <c r="G2278" s="67"/>
      <c r="H2278" s="60"/>
      <c r="I2278" s="60"/>
      <c r="J2278" s="61"/>
      <c r="K2278" s="61"/>
      <c r="L2278" s="60"/>
      <c r="M2278" s="74" t="str">
        <f t="shared" si="283"/>
        <v/>
      </c>
      <c r="N2278" s="74" t="str">
        <f t="shared" si="284"/>
        <v/>
      </c>
      <c r="O2278" s="73" t="str">
        <f t="shared" si="285"/>
        <v/>
      </c>
      <c r="P2278" s="65" t="str">
        <f t="shared" ca="1" si="286"/>
        <v/>
      </c>
      <c r="Q2278" s="2"/>
      <c r="R2278" s="2"/>
      <c r="S2278" s="1" t="str">
        <f t="shared" si="287"/>
        <v/>
      </c>
      <c r="T2278" s="1" t="str">
        <f>IF(OR($C2278="",$D2278&lt;&gt;"Gelir",$L2278=""),"",IFERROR(INDEX(MUSTERILER!$B$7:$B$156,MATCH($S2278,MUSTERILER!$T$7:$T$156,0)),""))</f>
        <v/>
      </c>
      <c r="U2278" s="1" t="str">
        <f>IF($T2278="","",$T2278&amp;"|"&amp;COUNTIFS($T$7:$T2278,$T2278))</f>
        <v/>
      </c>
      <c r="V2278" s="1">
        <f t="shared" si="288"/>
        <v>0</v>
      </c>
      <c r="W2278" s="1" t="str">
        <f t="shared" si="289"/>
        <v/>
      </c>
      <c r="X2278" s="1"/>
      <c r="Y2278" s="1"/>
      <c r="Z2278" s="1"/>
      <c r="AA2278" s="1"/>
      <c r="AB2278" s="1"/>
      <c r="AC2278" s="1"/>
      <c r="AD2278" s="1">
        <f>IF($C2278="",0,SUMPRODUCT((AY_SONU!$O$7:$O$42="Evet")*(AY_SONU!$B$7:$B$42=DATE(YEAR($C2278),MONTH($C2278),1))))</f>
        <v>0</v>
      </c>
      <c r="AE2278" s="1" t="str">
        <f>IF($E2278="","",$E2278&amp;"|"&amp;COUNTIFS($E$7:$E2278,$E2278))</f>
        <v/>
      </c>
    </row>
    <row r="2279" spans="1:31" ht="18" customHeight="1" x14ac:dyDescent="0.3">
      <c r="A2279" s="2"/>
      <c r="B2279" s="65" t="str">
        <f t="shared" si="282"/>
        <v/>
      </c>
      <c r="C2279" s="66"/>
      <c r="D2279" s="60"/>
      <c r="E2279" s="61"/>
      <c r="F2279" s="61"/>
      <c r="G2279" s="67"/>
      <c r="H2279" s="60"/>
      <c r="I2279" s="60"/>
      <c r="J2279" s="61"/>
      <c r="K2279" s="61"/>
      <c r="L2279" s="60"/>
      <c r="M2279" s="74" t="str">
        <f t="shared" si="283"/>
        <v/>
      </c>
      <c r="N2279" s="74" t="str">
        <f t="shared" si="284"/>
        <v/>
      </c>
      <c r="O2279" s="73" t="str">
        <f t="shared" si="285"/>
        <v/>
      </c>
      <c r="P2279" s="65" t="str">
        <f t="shared" ca="1" si="286"/>
        <v/>
      </c>
      <c r="Q2279" s="2"/>
      <c r="R2279" s="2"/>
      <c r="S2279" s="1" t="str">
        <f t="shared" si="287"/>
        <v/>
      </c>
      <c r="T2279" s="1" t="str">
        <f>IF(OR($C2279="",$D2279&lt;&gt;"Gelir",$L2279=""),"",IFERROR(INDEX(MUSTERILER!$B$7:$B$156,MATCH($S2279,MUSTERILER!$T$7:$T$156,0)),""))</f>
        <v/>
      </c>
      <c r="U2279" s="1" t="str">
        <f>IF($T2279="","",$T2279&amp;"|"&amp;COUNTIFS($T$7:$T2279,$T2279))</f>
        <v/>
      </c>
      <c r="V2279" s="1">
        <f t="shared" si="288"/>
        <v>0</v>
      </c>
      <c r="W2279" s="1" t="str">
        <f t="shared" si="289"/>
        <v/>
      </c>
      <c r="X2279" s="1"/>
      <c r="Y2279" s="1"/>
      <c r="Z2279" s="1"/>
      <c r="AA2279" s="1"/>
      <c r="AB2279" s="1"/>
      <c r="AC2279" s="1"/>
      <c r="AD2279" s="1">
        <f>IF($C2279="",0,SUMPRODUCT((AY_SONU!$O$7:$O$42="Evet")*(AY_SONU!$B$7:$B$42=DATE(YEAR($C2279),MONTH($C2279),1))))</f>
        <v>0</v>
      </c>
      <c r="AE2279" s="1" t="str">
        <f>IF($E2279="","",$E2279&amp;"|"&amp;COUNTIFS($E$7:$E2279,$E2279))</f>
        <v/>
      </c>
    </row>
    <row r="2280" spans="1:31" ht="18" customHeight="1" x14ac:dyDescent="0.3">
      <c r="A2280" s="2"/>
      <c r="B2280" s="65" t="str">
        <f t="shared" si="282"/>
        <v/>
      </c>
      <c r="C2280" s="66"/>
      <c r="D2280" s="60"/>
      <c r="E2280" s="61"/>
      <c r="F2280" s="61"/>
      <c r="G2280" s="67"/>
      <c r="H2280" s="60"/>
      <c r="I2280" s="60"/>
      <c r="J2280" s="61"/>
      <c r="K2280" s="61"/>
      <c r="L2280" s="60"/>
      <c r="M2280" s="74" t="str">
        <f t="shared" si="283"/>
        <v/>
      </c>
      <c r="N2280" s="74" t="str">
        <f t="shared" si="284"/>
        <v/>
      </c>
      <c r="O2280" s="73" t="str">
        <f t="shared" si="285"/>
        <v/>
      </c>
      <c r="P2280" s="65" t="str">
        <f t="shared" ca="1" si="286"/>
        <v/>
      </c>
      <c r="Q2280" s="2"/>
      <c r="R2280" s="2"/>
      <c r="S2280" s="1" t="str">
        <f t="shared" si="287"/>
        <v/>
      </c>
      <c r="T2280" s="1" t="str">
        <f>IF(OR($C2280="",$D2280&lt;&gt;"Gelir",$L2280=""),"",IFERROR(INDEX(MUSTERILER!$B$7:$B$156,MATCH($S2280,MUSTERILER!$T$7:$T$156,0)),""))</f>
        <v/>
      </c>
      <c r="U2280" s="1" t="str">
        <f>IF($T2280="","",$T2280&amp;"|"&amp;COUNTIFS($T$7:$T2280,$T2280))</f>
        <v/>
      </c>
      <c r="V2280" s="1">
        <f t="shared" si="288"/>
        <v>0</v>
      </c>
      <c r="W2280" s="1" t="str">
        <f t="shared" si="289"/>
        <v/>
      </c>
      <c r="X2280" s="1"/>
      <c r="Y2280" s="1"/>
      <c r="Z2280" s="1"/>
      <c r="AA2280" s="1"/>
      <c r="AB2280" s="1"/>
      <c r="AC2280" s="1"/>
      <c r="AD2280" s="1">
        <f>IF($C2280="",0,SUMPRODUCT((AY_SONU!$O$7:$O$42="Evet")*(AY_SONU!$B$7:$B$42=DATE(YEAR($C2280),MONTH($C2280),1))))</f>
        <v>0</v>
      </c>
      <c r="AE2280" s="1" t="str">
        <f>IF($E2280="","",$E2280&amp;"|"&amp;COUNTIFS($E$7:$E2280,$E2280))</f>
        <v/>
      </c>
    </row>
    <row r="2281" spans="1:31" ht="18" customHeight="1" x14ac:dyDescent="0.3">
      <c r="A2281" s="2"/>
      <c r="B2281" s="65" t="str">
        <f t="shared" si="282"/>
        <v/>
      </c>
      <c r="C2281" s="66"/>
      <c r="D2281" s="60"/>
      <c r="E2281" s="61"/>
      <c r="F2281" s="61"/>
      <c r="G2281" s="67"/>
      <c r="H2281" s="60"/>
      <c r="I2281" s="60"/>
      <c r="J2281" s="61"/>
      <c r="K2281" s="61"/>
      <c r="L2281" s="60"/>
      <c r="M2281" s="74" t="str">
        <f t="shared" si="283"/>
        <v/>
      </c>
      <c r="N2281" s="74" t="str">
        <f t="shared" si="284"/>
        <v/>
      </c>
      <c r="O2281" s="73" t="str">
        <f t="shared" si="285"/>
        <v/>
      </c>
      <c r="P2281" s="65" t="str">
        <f t="shared" ca="1" si="286"/>
        <v/>
      </c>
      <c r="Q2281" s="2"/>
      <c r="R2281" s="2"/>
      <c r="S2281" s="1" t="str">
        <f t="shared" si="287"/>
        <v/>
      </c>
      <c r="T2281" s="1" t="str">
        <f>IF(OR($C2281="",$D2281&lt;&gt;"Gelir",$L2281=""),"",IFERROR(INDEX(MUSTERILER!$B$7:$B$156,MATCH($S2281,MUSTERILER!$T$7:$T$156,0)),""))</f>
        <v/>
      </c>
      <c r="U2281" s="1" t="str">
        <f>IF($T2281="","",$T2281&amp;"|"&amp;COUNTIFS($T$7:$T2281,$T2281))</f>
        <v/>
      </c>
      <c r="V2281" s="1">
        <f t="shared" si="288"/>
        <v>0</v>
      </c>
      <c r="W2281" s="1" t="str">
        <f t="shared" si="289"/>
        <v/>
      </c>
      <c r="X2281" s="1"/>
      <c r="Y2281" s="1"/>
      <c r="Z2281" s="1"/>
      <c r="AA2281" s="1"/>
      <c r="AB2281" s="1"/>
      <c r="AC2281" s="1"/>
      <c r="AD2281" s="1">
        <f>IF($C2281="",0,SUMPRODUCT((AY_SONU!$O$7:$O$42="Evet")*(AY_SONU!$B$7:$B$42=DATE(YEAR($C2281),MONTH($C2281),1))))</f>
        <v>0</v>
      </c>
      <c r="AE2281" s="1" t="str">
        <f>IF($E2281="","",$E2281&amp;"|"&amp;COUNTIFS($E$7:$E2281,$E2281))</f>
        <v/>
      </c>
    </row>
    <row r="2282" spans="1:31" ht="18" customHeight="1" x14ac:dyDescent="0.3">
      <c r="A2282" s="2"/>
      <c r="B2282" s="65" t="str">
        <f t="shared" si="282"/>
        <v/>
      </c>
      <c r="C2282" s="66"/>
      <c r="D2282" s="60"/>
      <c r="E2282" s="61"/>
      <c r="F2282" s="61"/>
      <c r="G2282" s="67"/>
      <c r="H2282" s="60"/>
      <c r="I2282" s="60"/>
      <c r="J2282" s="61"/>
      <c r="K2282" s="61"/>
      <c r="L2282" s="60"/>
      <c r="M2282" s="74" t="str">
        <f t="shared" si="283"/>
        <v/>
      </c>
      <c r="N2282" s="74" t="str">
        <f t="shared" si="284"/>
        <v/>
      </c>
      <c r="O2282" s="73" t="str">
        <f t="shared" si="285"/>
        <v/>
      </c>
      <c r="P2282" s="65" t="str">
        <f t="shared" ca="1" si="286"/>
        <v/>
      </c>
      <c r="Q2282" s="2"/>
      <c r="R2282" s="2"/>
      <c r="S2282" s="1" t="str">
        <f t="shared" si="287"/>
        <v/>
      </c>
      <c r="T2282" s="1" t="str">
        <f>IF(OR($C2282="",$D2282&lt;&gt;"Gelir",$L2282=""),"",IFERROR(INDEX(MUSTERILER!$B$7:$B$156,MATCH($S2282,MUSTERILER!$T$7:$T$156,0)),""))</f>
        <v/>
      </c>
      <c r="U2282" s="1" t="str">
        <f>IF($T2282="","",$T2282&amp;"|"&amp;COUNTIFS($T$7:$T2282,$T2282))</f>
        <v/>
      </c>
      <c r="V2282" s="1">
        <f t="shared" si="288"/>
        <v>0</v>
      </c>
      <c r="W2282" s="1" t="str">
        <f t="shared" si="289"/>
        <v/>
      </c>
      <c r="X2282" s="1"/>
      <c r="Y2282" s="1"/>
      <c r="Z2282" s="1"/>
      <c r="AA2282" s="1"/>
      <c r="AB2282" s="1"/>
      <c r="AC2282" s="1"/>
      <c r="AD2282" s="1">
        <f>IF($C2282="",0,SUMPRODUCT((AY_SONU!$O$7:$O$42="Evet")*(AY_SONU!$B$7:$B$42=DATE(YEAR($C2282),MONTH($C2282),1))))</f>
        <v>0</v>
      </c>
      <c r="AE2282" s="1" t="str">
        <f>IF($E2282="","",$E2282&amp;"|"&amp;COUNTIFS($E$7:$E2282,$E2282))</f>
        <v/>
      </c>
    </row>
    <row r="2283" spans="1:31" ht="18" customHeight="1" x14ac:dyDescent="0.3">
      <c r="A2283" s="2"/>
      <c r="B2283" s="65" t="str">
        <f t="shared" si="282"/>
        <v/>
      </c>
      <c r="C2283" s="66"/>
      <c r="D2283" s="60"/>
      <c r="E2283" s="61"/>
      <c r="F2283" s="61"/>
      <c r="G2283" s="67"/>
      <c r="H2283" s="60"/>
      <c r="I2283" s="60"/>
      <c r="J2283" s="61"/>
      <c r="K2283" s="61"/>
      <c r="L2283" s="60"/>
      <c r="M2283" s="74" t="str">
        <f t="shared" si="283"/>
        <v/>
      </c>
      <c r="N2283" s="74" t="str">
        <f t="shared" si="284"/>
        <v/>
      </c>
      <c r="O2283" s="73" t="str">
        <f t="shared" si="285"/>
        <v/>
      </c>
      <c r="P2283" s="65" t="str">
        <f t="shared" ca="1" si="286"/>
        <v/>
      </c>
      <c r="Q2283" s="2"/>
      <c r="R2283" s="2"/>
      <c r="S2283" s="1" t="str">
        <f t="shared" si="287"/>
        <v/>
      </c>
      <c r="T2283" s="1" t="str">
        <f>IF(OR($C2283="",$D2283&lt;&gt;"Gelir",$L2283=""),"",IFERROR(INDEX(MUSTERILER!$B$7:$B$156,MATCH($S2283,MUSTERILER!$T$7:$T$156,0)),""))</f>
        <v/>
      </c>
      <c r="U2283" s="1" t="str">
        <f>IF($T2283="","",$T2283&amp;"|"&amp;COUNTIFS($T$7:$T2283,$T2283))</f>
        <v/>
      </c>
      <c r="V2283" s="1">
        <f t="shared" si="288"/>
        <v>0</v>
      </c>
      <c r="W2283" s="1" t="str">
        <f t="shared" si="289"/>
        <v/>
      </c>
      <c r="X2283" s="1"/>
      <c r="Y2283" s="1"/>
      <c r="Z2283" s="1"/>
      <c r="AA2283" s="1"/>
      <c r="AB2283" s="1"/>
      <c r="AC2283" s="1"/>
      <c r="AD2283" s="1">
        <f>IF($C2283="",0,SUMPRODUCT((AY_SONU!$O$7:$O$42="Evet")*(AY_SONU!$B$7:$B$42=DATE(YEAR($C2283),MONTH($C2283),1))))</f>
        <v>0</v>
      </c>
      <c r="AE2283" s="1" t="str">
        <f>IF($E2283="","",$E2283&amp;"|"&amp;COUNTIFS($E$7:$E2283,$E2283))</f>
        <v/>
      </c>
    </row>
    <row r="2284" spans="1:31" ht="18" customHeight="1" x14ac:dyDescent="0.3">
      <c r="A2284" s="2"/>
      <c r="B2284" s="65" t="str">
        <f t="shared" si="282"/>
        <v/>
      </c>
      <c r="C2284" s="66"/>
      <c r="D2284" s="60"/>
      <c r="E2284" s="61"/>
      <c r="F2284" s="61"/>
      <c r="G2284" s="67"/>
      <c r="H2284" s="60"/>
      <c r="I2284" s="60"/>
      <c r="J2284" s="61"/>
      <c r="K2284" s="61"/>
      <c r="L2284" s="60"/>
      <c r="M2284" s="74" t="str">
        <f t="shared" si="283"/>
        <v/>
      </c>
      <c r="N2284" s="74" t="str">
        <f t="shared" si="284"/>
        <v/>
      </c>
      <c r="O2284" s="73" t="str">
        <f t="shared" si="285"/>
        <v/>
      </c>
      <c r="P2284" s="65" t="str">
        <f t="shared" ca="1" si="286"/>
        <v/>
      </c>
      <c r="Q2284" s="2"/>
      <c r="R2284" s="2"/>
      <c r="S2284" s="1" t="str">
        <f t="shared" si="287"/>
        <v/>
      </c>
      <c r="T2284" s="1" t="str">
        <f>IF(OR($C2284="",$D2284&lt;&gt;"Gelir",$L2284=""),"",IFERROR(INDEX(MUSTERILER!$B$7:$B$156,MATCH($S2284,MUSTERILER!$T$7:$T$156,0)),""))</f>
        <v/>
      </c>
      <c r="U2284" s="1" t="str">
        <f>IF($T2284="","",$T2284&amp;"|"&amp;COUNTIFS($T$7:$T2284,$T2284))</f>
        <v/>
      </c>
      <c r="V2284" s="1">
        <f t="shared" si="288"/>
        <v>0</v>
      </c>
      <c r="W2284" s="1" t="str">
        <f t="shared" si="289"/>
        <v/>
      </c>
      <c r="X2284" s="1"/>
      <c r="Y2284" s="1"/>
      <c r="Z2284" s="1"/>
      <c r="AA2284" s="1"/>
      <c r="AB2284" s="1"/>
      <c r="AC2284" s="1"/>
      <c r="AD2284" s="1">
        <f>IF($C2284="",0,SUMPRODUCT((AY_SONU!$O$7:$O$42="Evet")*(AY_SONU!$B$7:$B$42=DATE(YEAR($C2284),MONTH($C2284),1))))</f>
        <v>0</v>
      </c>
      <c r="AE2284" s="1" t="str">
        <f>IF($E2284="","",$E2284&amp;"|"&amp;COUNTIFS($E$7:$E2284,$E2284))</f>
        <v/>
      </c>
    </row>
    <row r="2285" spans="1:31" ht="18" customHeight="1" x14ac:dyDescent="0.3">
      <c r="A2285" s="2"/>
      <c r="B2285" s="65" t="str">
        <f t="shared" si="282"/>
        <v/>
      </c>
      <c r="C2285" s="66"/>
      <c r="D2285" s="60"/>
      <c r="E2285" s="61"/>
      <c r="F2285" s="61"/>
      <c r="G2285" s="67"/>
      <c r="H2285" s="60"/>
      <c r="I2285" s="60"/>
      <c r="J2285" s="61"/>
      <c r="K2285" s="61"/>
      <c r="L2285" s="60"/>
      <c r="M2285" s="74" t="str">
        <f t="shared" si="283"/>
        <v/>
      </c>
      <c r="N2285" s="74" t="str">
        <f t="shared" si="284"/>
        <v/>
      </c>
      <c r="O2285" s="73" t="str">
        <f t="shared" si="285"/>
        <v/>
      </c>
      <c r="P2285" s="65" t="str">
        <f t="shared" ca="1" si="286"/>
        <v/>
      </c>
      <c r="Q2285" s="2"/>
      <c r="R2285" s="2"/>
      <c r="S2285" s="1" t="str">
        <f t="shared" si="287"/>
        <v/>
      </c>
      <c r="T2285" s="1" t="str">
        <f>IF(OR($C2285="",$D2285&lt;&gt;"Gelir",$L2285=""),"",IFERROR(INDEX(MUSTERILER!$B$7:$B$156,MATCH($S2285,MUSTERILER!$T$7:$T$156,0)),""))</f>
        <v/>
      </c>
      <c r="U2285" s="1" t="str">
        <f>IF($T2285="","",$T2285&amp;"|"&amp;COUNTIFS($T$7:$T2285,$T2285))</f>
        <v/>
      </c>
      <c r="V2285" s="1">
        <f t="shared" si="288"/>
        <v>0</v>
      </c>
      <c r="W2285" s="1" t="str">
        <f t="shared" si="289"/>
        <v/>
      </c>
      <c r="X2285" s="1"/>
      <c r="Y2285" s="1"/>
      <c r="Z2285" s="1"/>
      <c r="AA2285" s="1"/>
      <c r="AB2285" s="1"/>
      <c r="AC2285" s="1"/>
      <c r="AD2285" s="1">
        <f>IF($C2285="",0,SUMPRODUCT((AY_SONU!$O$7:$O$42="Evet")*(AY_SONU!$B$7:$B$42=DATE(YEAR($C2285),MONTH($C2285),1))))</f>
        <v>0</v>
      </c>
      <c r="AE2285" s="1" t="str">
        <f>IF($E2285="","",$E2285&amp;"|"&amp;COUNTIFS($E$7:$E2285,$E2285))</f>
        <v/>
      </c>
    </row>
    <row r="2286" spans="1:31" ht="18" customHeight="1" x14ac:dyDescent="0.3">
      <c r="A2286" s="2"/>
      <c r="B2286" s="65" t="str">
        <f t="shared" si="282"/>
        <v/>
      </c>
      <c r="C2286" s="66"/>
      <c r="D2286" s="60"/>
      <c r="E2286" s="61"/>
      <c r="F2286" s="61"/>
      <c r="G2286" s="67"/>
      <c r="H2286" s="60"/>
      <c r="I2286" s="60"/>
      <c r="J2286" s="61"/>
      <c r="K2286" s="61"/>
      <c r="L2286" s="60"/>
      <c r="M2286" s="74" t="str">
        <f t="shared" si="283"/>
        <v/>
      </c>
      <c r="N2286" s="74" t="str">
        <f t="shared" si="284"/>
        <v/>
      </c>
      <c r="O2286" s="73" t="str">
        <f t="shared" si="285"/>
        <v/>
      </c>
      <c r="P2286" s="65" t="str">
        <f t="shared" ca="1" si="286"/>
        <v/>
      </c>
      <c r="Q2286" s="2"/>
      <c r="R2286" s="2"/>
      <c r="S2286" s="1" t="str">
        <f t="shared" si="287"/>
        <v/>
      </c>
      <c r="T2286" s="1" t="str">
        <f>IF(OR($C2286="",$D2286&lt;&gt;"Gelir",$L2286=""),"",IFERROR(INDEX(MUSTERILER!$B$7:$B$156,MATCH($S2286,MUSTERILER!$T$7:$T$156,0)),""))</f>
        <v/>
      </c>
      <c r="U2286" s="1" t="str">
        <f>IF($T2286="","",$T2286&amp;"|"&amp;COUNTIFS($T$7:$T2286,$T2286))</f>
        <v/>
      </c>
      <c r="V2286" s="1">
        <f t="shared" si="288"/>
        <v>0</v>
      </c>
      <c r="W2286" s="1" t="str">
        <f t="shared" si="289"/>
        <v/>
      </c>
      <c r="X2286" s="1"/>
      <c r="Y2286" s="1"/>
      <c r="Z2286" s="1"/>
      <c r="AA2286" s="1"/>
      <c r="AB2286" s="1"/>
      <c r="AC2286" s="1"/>
      <c r="AD2286" s="1">
        <f>IF($C2286="",0,SUMPRODUCT((AY_SONU!$O$7:$O$42="Evet")*(AY_SONU!$B$7:$B$42=DATE(YEAR($C2286),MONTH($C2286),1))))</f>
        <v>0</v>
      </c>
      <c r="AE2286" s="1" t="str">
        <f>IF($E2286="","",$E2286&amp;"|"&amp;COUNTIFS($E$7:$E2286,$E2286))</f>
        <v/>
      </c>
    </row>
    <row r="2287" spans="1:31" ht="18" customHeight="1" x14ac:dyDescent="0.3">
      <c r="A2287" s="2"/>
      <c r="B2287" s="65" t="str">
        <f t="shared" si="282"/>
        <v/>
      </c>
      <c r="C2287" s="66"/>
      <c r="D2287" s="60"/>
      <c r="E2287" s="61"/>
      <c r="F2287" s="61"/>
      <c r="G2287" s="67"/>
      <c r="H2287" s="60"/>
      <c r="I2287" s="60"/>
      <c r="J2287" s="61"/>
      <c r="K2287" s="61"/>
      <c r="L2287" s="60"/>
      <c r="M2287" s="74" t="str">
        <f t="shared" si="283"/>
        <v/>
      </c>
      <c r="N2287" s="74" t="str">
        <f t="shared" si="284"/>
        <v/>
      </c>
      <c r="O2287" s="73" t="str">
        <f t="shared" si="285"/>
        <v/>
      </c>
      <c r="P2287" s="65" t="str">
        <f t="shared" ca="1" si="286"/>
        <v/>
      </c>
      <c r="Q2287" s="2"/>
      <c r="R2287" s="2"/>
      <c r="S2287" s="1" t="str">
        <f t="shared" si="287"/>
        <v/>
      </c>
      <c r="T2287" s="1" t="str">
        <f>IF(OR($C2287="",$D2287&lt;&gt;"Gelir",$L2287=""),"",IFERROR(INDEX(MUSTERILER!$B$7:$B$156,MATCH($S2287,MUSTERILER!$T$7:$T$156,0)),""))</f>
        <v/>
      </c>
      <c r="U2287" s="1" t="str">
        <f>IF($T2287="","",$T2287&amp;"|"&amp;COUNTIFS($T$7:$T2287,$T2287))</f>
        <v/>
      </c>
      <c r="V2287" s="1">
        <f t="shared" si="288"/>
        <v>0</v>
      </c>
      <c r="W2287" s="1" t="str">
        <f t="shared" si="289"/>
        <v/>
      </c>
      <c r="X2287" s="1"/>
      <c r="Y2287" s="1"/>
      <c r="Z2287" s="1"/>
      <c r="AA2287" s="1"/>
      <c r="AB2287" s="1"/>
      <c r="AC2287" s="1"/>
      <c r="AD2287" s="1">
        <f>IF($C2287="",0,SUMPRODUCT((AY_SONU!$O$7:$O$42="Evet")*(AY_SONU!$B$7:$B$42=DATE(YEAR($C2287),MONTH($C2287),1))))</f>
        <v>0</v>
      </c>
      <c r="AE2287" s="1" t="str">
        <f>IF($E2287="","",$E2287&amp;"|"&amp;COUNTIFS($E$7:$E2287,$E2287))</f>
        <v/>
      </c>
    </row>
    <row r="2288" spans="1:31" ht="18" customHeight="1" x14ac:dyDescent="0.3">
      <c r="A2288" s="2"/>
      <c r="B2288" s="65" t="str">
        <f t="shared" si="282"/>
        <v/>
      </c>
      <c r="C2288" s="66"/>
      <c r="D2288" s="60"/>
      <c r="E2288" s="61"/>
      <c r="F2288" s="61"/>
      <c r="G2288" s="67"/>
      <c r="H2288" s="60"/>
      <c r="I2288" s="60"/>
      <c r="J2288" s="61"/>
      <c r="K2288" s="61"/>
      <c r="L2288" s="60"/>
      <c r="M2288" s="74" t="str">
        <f t="shared" si="283"/>
        <v/>
      </c>
      <c r="N2288" s="74" t="str">
        <f t="shared" si="284"/>
        <v/>
      </c>
      <c r="O2288" s="73" t="str">
        <f t="shared" si="285"/>
        <v/>
      </c>
      <c r="P2288" s="65" t="str">
        <f t="shared" ca="1" si="286"/>
        <v/>
      </c>
      <c r="Q2288" s="2"/>
      <c r="R2288" s="2"/>
      <c r="S2288" s="1" t="str">
        <f t="shared" si="287"/>
        <v/>
      </c>
      <c r="T2288" s="1" t="str">
        <f>IF(OR($C2288="",$D2288&lt;&gt;"Gelir",$L2288=""),"",IFERROR(INDEX(MUSTERILER!$B$7:$B$156,MATCH($S2288,MUSTERILER!$T$7:$T$156,0)),""))</f>
        <v/>
      </c>
      <c r="U2288" s="1" t="str">
        <f>IF($T2288="","",$T2288&amp;"|"&amp;COUNTIFS($T$7:$T2288,$T2288))</f>
        <v/>
      </c>
      <c r="V2288" s="1">
        <f t="shared" si="288"/>
        <v>0</v>
      </c>
      <c r="W2288" s="1" t="str">
        <f t="shared" si="289"/>
        <v/>
      </c>
      <c r="X2288" s="1"/>
      <c r="Y2288" s="1"/>
      <c r="Z2288" s="1"/>
      <c r="AA2288" s="1"/>
      <c r="AB2288" s="1"/>
      <c r="AC2288" s="1"/>
      <c r="AD2288" s="1">
        <f>IF($C2288="",0,SUMPRODUCT((AY_SONU!$O$7:$O$42="Evet")*(AY_SONU!$B$7:$B$42=DATE(YEAR($C2288),MONTH($C2288),1))))</f>
        <v>0</v>
      </c>
      <c r="AE2288" s="1" t="str">
        <f>IF($E2288="","",$E2288&amp;"|"&amp;COUNTIFS($E$7:$E2288,$E2288))</f>
        <v/>
      </c>
    </row>
    <row r="2289" spans="1:31" ht="18" customHeight="1" x14ac:dyDescent="0.3">
      <c r="A2289" s="2"/>
      <c r="B2289" s="65" t="str">
        <f t="shared" si="282"/>
        <v/>
      </c>
      <c r="C2289" s="66"/>
      <c r="D2289" s="60"/>
      <c r="E2289" s="61"/>
      <c r="F2289" s="61"/>
      <c r="G2289" s="67"/>
      <c r="H2289" s="60"/>
      <c r="I2289" s="60"/>
      <c r="J2289" s="61"/>
      <c r="K2289" s="61"/>
      <c r="L2289" s="60"/>
      <c r="M2289" s="74" t="str">
        <f t="shared" si="283"/>
        <v/>
      </c>
      <c r="N2289" s="74" t="str">
        <f t="shared" si="284"/>
        <v/>
      </c>
      <c r="O2289" s="73" t="str">
        <f t="shared" si="285"/>
        <v/>
      </c>
      <c r="P2289" s="65" t="str">
        <f t="shared" ca="1" si="286"/>
        <v/>
      </c>
      <c r="Q2289" s="2"/>
      <c r="R2289" s="2"/>
      <c r="S2289" s="1" t="str">
        <f t="shared" si="287"/>
        <v/>
      </c>
      <c r="T2289" s="1" t="str">
        <f>IF(OR($C2289="",$D2289&lt;&gt;"Gelir",$L2289=""),"",IFERROR(INDEX(MUSTERILER!$B$7:$B$156,MATCH($S2289,MUSTERILER!$T$7:$T$156,0)),""))</f>
        <v/>
      </c>
      <c r="U2289" s="1" t="str">
        <f>IF($T2289="","",$T2289&amp;"|"&amp;COUNTIFS($T$7:$T2289,$T2289))</f>
        <v/>
      </c>
      <c r="V2289" s="1">
        <f t="shared" si="288"/>
        <v>0</v>
      </c>
      <c r="W2289" s="1" t="str">
        <f t="shared" si="289"/>
        <v/>
      </c>
      <c r="X2289" s="1"/>
      <c r="Y2289" s="1"/>
      <c r="Z2289" s="1"/>
      <c r="AA2289" s="1"/>
      <c r="AB2289" s="1"/>
      <c r="AC2289" s="1"/>
      <c r="AD2289" s="1">
        <f>IF($C2289="",0,SUMPRODUCT((AY_SONU!$O$7:$O$42="Evet")*(AY_SONU!$B$7:$B$42=DATE(YEAR($C2289),MONTH($C2289),1))))</f>
        <v>0</v>
      </c>
      <c r="AE2289" s="1" t="str">
        <f>IF($E2289="","",$E2289&amp;"|"&amp;COUNTIFS($E$7:$E2289,$E2289))</f>
        <v/>
      </c>
    </row>
    <row r="2290" spans="1:31" ht="18" customHeight="1" x14ac:dyDescent="0.3">
      <c r="A2290" s="2"/>
      <c r="B2290" s="65" t="str">
        <f t="shared" si="282"/>
        <v/>
      </c>
      <c r="C2290" s="66"/>
      <c r="D2290" s="60"/>
      <c r="E2290" s="61"/>
      <c r="F2290" s="61"/>
      <c r="G2290" s="67"/>
      <c r="H2290" s="60"/>
      <c r="I2290" s="60"/>
      <c r="J2290" s="61"/>
      <c r="K2290" s="61"/>
      <c r="L2290" s="60"/>
      <c r="M2290" s="74" t="str">
        <f t="shared" si="283"/>
        <v/>
      </c>
      <c r="N2290" s="74" t="str">
        <f t="shared" si="284"/>
        <v/>
      </c>
      <c r="O2290" s="73" t="str">
        <f t="shared" si="285"/>
        <v/>
      </c>
      <c r="P2290" s="65" t="str">
        <f t="shared" ca="1" si="286"/>
        <v/>
      </c>
      <c r="Q2290" s="2"/>
      <c r="R2290" s="2"/>
      <c r="S2290" s="1" t="str">
        <f t="shared" si="287"/>
        <v/>
      </c>
      <c r="T2290" s="1" t="str">
        <f>IF(OR($C2290="",$D2290&lt;&gt;"Gelir",$L2290=""),"",IFERROR(INDEX(MUSTERILER!$B$7:$B$156,MATCH($S2290,MUSTERILER!$T$7:$T$156,0)),""))</f>
        <v/>
      </c>
      <c r="U2290" s="1" t="str">
        <f>IF($T2290="","",$T2290&amp;"|"&amp;COUNTIFS($T$7:$T2290,$T2290))</f>
        <v/>
      </c>
      <c r="V2290" s="1">
        <f t="shared" si="288"/>
        <v>0</v>
      </c>
      <c r="W2290" s="1" t="str">
        <f t="shared" si="289"/>
        <v/>
      </c>
      <c r="X2290" s="1"/>
      <c r="Y2290" s="1"/>
      <c r="Z2290" s="1"/>
      <c r="AA2290" s="1"/>
      <c r="AB2290" s="1"/>
      <c r="AC2290" s="1"/>
      <c r="AD2290" s="1">
        <f>IF($C2290="",0,SUMPRODUCT((AY_SONU!$O$7:$O$42="Evet")*(AY_SONU!$B$7:$B$42=DATE(YEAR($C2290),MONTH($C2290),1))))</f>
        <v>0</v>
      </c>
      <c r="AE2290" s="1" t="str">
        <f>IF($E2290="","",$E2290&amp;"|"&amp;COUNTIFS($E$7:$E2290,$E2290))</f>
        <v/>
      </c>
    </row>
    <row r="2291" spans="1:31" ht="18" customHeight="1" x14ac:dyDescent="0.3">
      <c r="A2291" s="2"/>
      <c r="B2291" s="65" t="str">
        <f t="shared" si="282"/>
        <v/>
      </c>
      <c r="C2291" s="66"/>
      <c r="D2291" s="60"/>
      <c r="E2291" s="61"/>
      <c r="F2291" s="61"/>
      <c r="G2291" s="67"/>
      <c r="H2291" s="60"/>
      <c r="I2291" s="60"/>
      <c r="J2291" s="61"/>
      <c r="K2291" s="61"/>
      <c r="L2291" s="60"/>
      <c r="M2291" s="74" t="str">
        <f t="shared" si="283"/>
        <v/>
      </c>
      <c r="N2291" s="74" t="str">
        <f t="shared" si="284"/>
        <v/>
      </c>
      <c r="O2291" s="73" t="str">
        <f t="shared" si="285"/>
        <v/>
      </c>
      <c r="P2291" s="65" t="str">
        <f t="shared" ca="1" si="286"/>
        <v/>
      </c>
      <c r="Q2291" s="2"/>
      <c r="R2291" s="2"/>
      <c r="S2291" s="1" t="str">
        <f t="shared" si="287"/>
        <v/>
      </c>
      <c r="T2291" s="1" t="str">
        <f>IF(OR($C2291="",$D2291&lt;&gt;"Gelir",$L2291=""),"",IFERROR(INDEX(MUSTERILER!$B$7:$B$156,MATCH($S2291,MUSTERILER!$T$7:$T$156,0)),""))</f>
        <v/>
      </c>
      <c r="U2291" s="1" t="str">
        <f>IF($T2291="","",$T2291&amp;"|"&amp;COUNTIFS($T$7:$T2291,$T2291))</f>
        <v/>
      </c>
      <c r="V2291" s="1">
        <f t="shared" si="288"/>
        <v>0</v>
      </c>
      <c r="W2291" s="1" t="str">
        <f t="shared" si="289"/>
        <v/>
      </c>
      <c r="X2291" s="1"/>
      <c r="Y2291" s="1"/>
      <c r="Z2291" s="1"/>
      <c r="AA2291" s="1"/>
      <c r="AB2291" s="1"/>
      <c r="AC2291" s="1"/>
      <c r="AD2291" s="1">
        <f>IF($C2291="",0,SUMPRODUCT((AY_SONU!$O$7:$O$42="Evet")*(AY_SONU!$B$7:$B$42=DATE(YEAR($C2291),MONTH($C2291),1))))</f>
        <v>0</v>
      </c>
      <c r="AE2291" s="1" t="str">
        <f>IF($E2291="","",$E2291&amp;"|"&amp;COUNTIFS($E$7:$E2291,$E2291))</f>
        <v/>
      </c>
    </row>
    <row r="2292" spans="1:31" ht="18" customHeight="1" x14ac:dyDescent="0.3">
      <c r="A2292" s="2"/>
      <c r="B2292" s="65" t="str">
        <f t="shared" si="282"/>
        <v/>
      </c>
      <c r="C2292" s="66"/>
      <c r="D2292" s="60"/>
      <c r="E2292" s="61"/>
      <c r="F2292" s="61"/>
      <c r="G2292" s="67"/>
      <c r="H2292" s="60"/>
      <c r="I2292" s="60"/>
      <c r="J2292" s="61"/>
      <c r="K2292" s="61"/>
      <c r="L2292" s="60"/>
      <c r="M2292" s="74" t="str">
        <f t="shared" si="283"/>
        <v/>
      </c>
      <c r="N2292" s="74" t="str">
        <f t="shared" si="284"/>
        <v/>
      </c>
      <c r="O2292" s="73" t="str">
        <f t="shared" si="285"/>
        <v/>
      </c>
      <c r="P2292" s="65" t="str">
        <f t="shared" ca="1" si="286"/>
        <v/>
      </c>
      <c r="Q2292" s="2"/>
      <c r="R2292" s="2"/>
      <c r="S2292" s="1" t="str">
        <f t="shared" si="287"/>
        <v/>
      </c>
      <c r="T2292" s="1" t="str">
        <f>IF(OR($C2292="",$D2292&lt;&gt;"Gelir",$L2292=""),"",IFERROR(INDEX(MUSTERILER!$B$7:$B$156,MATCH($S2292,MUSTERILER!$T$7:$T$156,0)),""))</f>
        <v/>
      </c>
      <c r="U2292" s="1" t="str">
        <f>IF($T2292="","",$T2292&amp;"|"&amp;COUNTIFS($T$7:$T2292,$T2292))</f>
        <v/>
      </c>
      <c r="V2292" s="1">
        <f t="shared" si="288"/>
        <v>0</v>
      </c>
      <c r="W2292" s="1" t="str">
        <f t="shared" si="289"/>
        <v/>
      </c>
      <c r="X2292" s="1"/>
      <c r="Y2292" s="1"/>
      <c r="Z2292" s="1"/>
      <c r="AA2292" s="1"/>
      <c r="AB2292" s="1"/>
      <c r="AC2292" s="1"/>
      <c r="AD2292" s="1">
        <f>IF($C2292="",0,SUMPRODUCT((AY_SONU!$O$7:$O$42="Evet")*(AY_SONU!$B$7:$B$42=DATE(YEAR($C2292),MONTH($C2292),1))))</f>
        <v>0</v>
      </c>
      <c r="AE2292" s="1" t="str">
        <f>IF($E2292="","",$E2292&amp;"|"&amp;COUNTIFS($E$7:$E2292,$E2292))</f>
        <v/>
      </c>
    </row>
    <row r="2293" spans="1:31" ht="18" customHeight="1" x14ac:dyDescent="0.3">
      <c r="A2293" s="2"/>
      <c r="B2293" s="65" t="str">
        <f t="shared" si="282"/>
        <v/>
      </c>
      <c r="C2293" s="66"/>
      <c r="D2293" s="60"/>
      <c r="E2293" s="61"/>
      <c r="F2293" s="61"/>
      <c r="G2293" s="67"/>
      <c r="H2293" s="60"/>
      <c r="I2293" s="60"/>
      <c r="J2293" s="61"/>
      <c r="K2293" s="61"/>
      <c r="L2293" s="60"/>
      <c r="M2293" s="74" t="str">
        <f t="shared" si="283"/>
        <v/>
      </c>
      <c r="N2293" s="74" t="str">
        <f t="shared" si="284"/>
        <v/>
      </c>
      <c r="O2293" s="73" t="str">
        <f t="shared" si="285"/>
        <v/>
      </c>
      <c r="P2293" s="65" t="str">
        <f t="shared" ca="1" si="286"/>
        <v/>
      </c>
      <c r="Q2293" s="2"/>
      <c r="R2293" s="2"/>
      <c r="S2293" s="1" t="str">
        <f t="shared" si="287"/>
        <v/>
      </c>
      <c r="T2293" s="1" t="str">
        <f>IF(OR($C2293="",$D2293&lt;&gt;"Gelir",$L2293=""),"",IFERROR(INDEX(MUSTERILER!$B$7:$B$156,MATCH($S2293,MUSTERILER!$T$7:$T$156,0)),""))</f>
        <v/>
      </c>
      <c r="U2293" s="1" t="str">
        <f>IF($T2293="","",$T2293&amp;"|"&amp;COUNTIFS($T$7:$T2293,$T2293))</f>
        <v/>
      </c>
      <c r="V2293" s="1">
        <f t="shared" si="288"/>
        <v>0</v>
      </c>
      <c r="W2293" s="1" t="str">
        <f t="shared" si="289"/>
        <v/>
      </c>
      <c r="X2293" s="1"/>
      <c r="Y2293" s="1"/>
      <c r="Z2293" s="1"/>
      <c r="AA2293" s="1"/>
      <c r="AB2293" s="1"/>
      <c r="AC2293" s="1"/>
      <c r="AD2293" s="1">
        <f>IF($C2293="",0,SUMPRODUCT((AY_SONU!$O$7:$O$42="Evet")*(AY_SONU!$B$7:$B$42=DATE(YEAR($C2293),MONTH($C2293),1))))</f>
        <v>0</v>
      </c>
      <c r="AE2293" s="1" t="str">
        <f>IF($E2293="","",$E2293&amp;"|"&amp;COUNTIFS($E$7:$E2293,$E2293))</f>
        <v/>
      </c>
    </row>
    <row r="2294" spans="1:31" ht="18" customHeight="1" x14ac:dyDescent="0.3">
      <c r="A2294" s="2"/>
      <c r="B2294" s="65" t="str">
        <f t="shared" si="282"/>
        <v/>
      </c>
      <c r="C2294" s="66"/>
      <c r="D2294" s="60"/>
      <c r="E2294" s="61"/>
      <c r="F2294" s="61"/>
      <c r="G2294" s="67"/>
      <c r="H2294" s="60"/>
      <c r="I2294" s="60"/>
      <c r="J2294" s="61"/>
      <c r="K2294" s="61"/>
      <c r="L2294" s="60"/>
      <c r="M2294" s="74" t="str">
        <f t="shared" si="283"/>
        <v/>
      </c>
      <c r="N2294" s="74" t="str">
        <f t="shared" si="284"/>
        <v/>
      </c>
      <c r="O2294" s="73" t="str">
        <f t="shared" si="285"/>
        <v/>
      </c>
      <c r="P2294" s="65" t="str">
        <f t="shared" ca="1" si="286"/>
        <v/>
      </c>
      <c r="Q2294" s="2"/>
      <c r="R2294" s="2"/>
      <c r="S2294" s="1" t="str">
        <f t="shared" si="287"/>
        <v/>
      </c>
      <c r="T2294" s="1" t="str">
        <f>IF(OR($C2294="",$D2294&lt;&gt;"Gelir",$L2294=""),"",IFERROR(INDEX(MUSTERILER!$B$7:$B$156,MATCH($S2294,MUSTERILER!$T$7:$T$156,0)),""))</f>
        <v/>
      </c>
      <c r="U2294" s="1" t="str">
        <f>IF($T2294="","",$T2294&amp;"|"&amp;COUNTIFS($T$7:$T2294,$T2294))</f>
        <v/>
      </c>
      <c r="V2294" s="1">
        <f t="shared" si="288"/>
        <v>0</v>
      </c>
      <c r="W2294" s="1" t="str">
        <f t="shared" si="289"/>
        <v/>
      </c>
      <c r="X2294" s="1"/>
      <c r="Y2294" s="1"/>
      <c r="Z2294" s="1"/>
      <c r="AA2294" s="1"/>
      <c r="AB2294" s="1"/>
      <c r="AC2294" s="1"/>
      <c r="AD2294" s="1">
        <f>IF($C2294="",0,SUMPRODUCT((AY_SONU!$O$7:$O$42="Evet")*(AY_SONU!$B$7:$B$42=DATE(YEAR($C2294),MONTH($C2294),1))))</f>
        <v>0</v>
      </c>
      <c r="AE2294" s="1" t="str">
        <f>IF($E2294="","",$E2294&amp;"|"&amp;COUNTIFS($E$7:$E2294,$E2294))</f>
        <v/>
      </c>
    </row>
    <row r="2295" spans="1:31" ht="18" customHeight="1" x14ac:dyDescent="0.3">
      <c r="A2295" s="2"/>
      <c r="B2295" s="65" t="str">
        <f t="shared" si="282"/>
        <v/>
      </c>
      <c r="C2295" s="66"/>
      <c r="D2295" s="60"/>
      <c r="E2295" s="61"/>
      <c r="F2295" s="61"/>
      <c r="G2295" s="67"/>
      <c r="H2295" s="60"/>
      <c r="I2295" s="60"/>
      <c r="J2295" s="61"/>
      <c r="K2295" s="61"/>
      <c r="L2295" s="60"/>
      <c r="M2295" s="74" t="str">
        <f t="shared" si="283"/>
        <v/>
      </c>
      <c r="N2295" s="74" t="str">
        <f t="shared" si="284"/>
        <v/>
      </c>
      <c r="O2295" s="73" t="str">
        <f t="shared" si="285"/>
        <v/>
      </c>
      <c r="P2295" s="65" t="str">
        <f t="shared" ca="1" si="286"/>
        <v/>
      </c>
      <c r="Q2295" s="2"/>
      <c r="R2295" s="2"/>
      <c r="S2295" s="1" t="str">
        <f t="shared" si="287"/>
        <v/>
      </c>
      <c r="T2295" s="1" t="str">
        <f>IF(OR($C2295="",$D2295&lt;&gt;"Gelir",$L2295=""),"",IFERROR(INDEX(MUSTERILER!$B$7:$B$156,MATCH($S2295,MUSTERILER!$T$7:$T$156,0)),""))</f>
        <v/>
      </c>
      <c r="U2295" s="1" t="str">
        <f>IF($T2295="","",$T2295&amp;"|"&amp;COUNTIFS($T$7:$T2295,$T2295))</f>
        <v/>
      </c>
      <c r="V2295" s="1">
        <f t="shared" si="288"/>
        <v>0</v>
      </c>
      <c r="W2295" s="1" t="str">
        <f t="shared" si="289"/>
        <v/>
      </c>
      <c r="X2295" s="1"/>
      <c r="Y2295" s="1"/>
      <c r="Z2295" s="1"/>
      <c r="AA2295" s="1"/>
      <c r="AB2295" s="1"/>
      <c r="AC2295" s="1"/>
      <c r="AD2295" s="1">
        <f>IF($C2295="",0,SUMPRODUCT((AY_SONU!$O$7:$O$42="Evet")*(AY_SONU!$B$7:$B$42=DATE(YEAR($C2295),MONTH($C2295),1))))</f>
        <v>0</v>
      </c>
      <c r="AE2295" s="1" t="str">
        <f>IF($E2295="","",$E2295&amp;"|"&amp;COUNTIFS($E$7:$E2295,$E2295))</f>
        <v/>
      </c>
    </row>
    <row r="2296" spans="1:31" ht="18" customHeight="1" x14ac:dyDescent="0.3">
      <c r="A2296" s="2"/>
      <c r="B2296" s="65" t="str">
        <f t="shared" si="282"/>
        <v/>
      </c>
      <c r="C2296" s="66"/>
      <c r="D2296" s="60"/>
      <c r="E2296" s="61"/>
      <c r="F2296" s="61"/>
      <c r="G2296" s="67"/>
      <c r="H2296" s="60"/>
      <c r="I2296" s="60"/>
      <c r="J2296" s="61"/>
      <c r="K2296" s="61"/>
      <c r="L2296" s="60"/>
      <c r="M2296" s="74" t="str">
        <f t="shared" si="283"/>
        <v/>
      </c>
      <c r="N2296" s="74" t="str">
        <f t="shared" si="284"/>
        <v/>
      </c>
      <c r="O2296" s="73" t="str">
        <f t="shared" si="285"/>
        <v/>
      </c>
      <c r="P2296" s="65" t="str">
        <f t="shared" ca="1" si="286"/>
        <v/>
      </c>
      <c r="Q2296" s="2"/>
      <c r="R2296" s="2"/>
      <c r="S2296" s="1" t="str">
        <f t="shared" si="287"/>
        <v/>
      </c>
      <c r="T2296" s="1" t="str">
        <f>IF(OR($C2296="",$D2296&lt;&gt;"Gelir",$L2296=""),"",IFERROR(INDEX(MUSTERILER!$B$7:$B$156,MATCH($S2296,MUSTERILER!$T$7:$T$156,0)),""))</f>
        <v/>
      </c>
      <c r="U2296" s="1" t="str">
        <f>IF($T2296="","",$T2296&amp;"|"&amp;COUNTIFS($T$7:$T2296,$T2296))</f>
        <v/>
      </c>
      <c r="V2296" s="1">
        <f t="shared" si="288"/>
        <v>0</v>
      </c>
      <c r="W2296" s="1" t="str">
        <f t="shared" si="289"/>
        <v/>
      </c>
      <c r="X2296" s="1"/>
      <c r="Y2296" s="1"/>
      <c r="Z2296" s="1"/>
      <c r="AA2296" s="1"/>
      <c r="AB2296" s="1"/>
      <c r="AC2296" s="1"/>
      <c r="AD2296" s="1">
        <f>IF($C2296="",0,SUMPRODUCT((AY_SONU!$O$7:$O$42="Evet")*(AY_SONU!$B$7:$B$42=DATE(YEAR($C2296),MONTH($C2296),1))))</f>
        <v>0</v>
      </c>
      <c r="AE2296" s="1" t="str">
        <f>IF($E2296="","",$E2296&amp;"|"&amp;COUNTIFS($E$7:$E2296,$E2296))</f>
        <v/>
      </c>
    </row>
    <row r="2297" spans="1:31" ht="18" customHeight="1" x14ac:dyDescent="0.3">
      <c r="A2297" s="2"/>
      <c r="B2297" s="65" t="str">
        <f t="shared" si="282"/>
        <v/>
      </c>
      <c r="C2297" s="66"/>
      <c r="D2297" s="60"/>
      <c r="E2297" s="61"/>
      <c r="F2297" s="61"/>
      <c r="G2297" s="67"/>
      <c r="H2297" s="60"/>
      <c r="I2297" s="60"/>
      <c r="J2297" s="61"/>
      <c r="K2297" s="61"/>
      <c r="L2297" s="60"/>
      <c r="M2297" s="74" t="str">
        <f t="shared" si="283"/>
        <v/>
      </c>
      <c r="N2297" s="74" t="str">
        <f t="shared" si="284"/>
        <v/>
      </c>
      <c r="O2297" s="73" t="str">
        <f t="shared" si="285"/>
        <v/>
      </c>
      <c r="P2297" s="65" t="str">
        <f t="shared" ca="1" si="286"/>
        <v/>
      </c>
      <c r="Q2297" s="2"/>
      <c r="R2297" s="2"/>
      <c r="S2297" s="1" t="str">
        <f t="shared" si="287"/>
        <v/>
      </c>
      <c r="T2297" s="1" t="str">
        <f>IF(OR($C2297="",$D2297&lt;&gt;"Gelir",$L2297=""),"",IFERROR(INDEX(MUSTERILER!$B$7:$B$156,MATCH($S2297,MUSTERILER!$T$7:$T$156,0)),""))</f>
        <v/>
      </c>
      <c r="U2297" s="1" t="str">
        <f>IF($T2297="","",$T2297&amp;"|"&amp;COUNTIFS($T$7:$T2297,$T2297))</f>
        <v/>
      </c>
      <c r="V2297" s="1">
        <f t="shared" si="288"/>
        <v>0</v>
      </c>
      <c r="W2297" s="1" t="str">
        <f t="shared" si="289"/>
        <v/>
      </c>
      <c r="X2297" s="1"/>
      <c r="Y2297" s="1"/>
      <c r="Z2297" s="1"/>
      <c r="AA2297" s="1"/>
      <c r="AB2297" s="1"/>
      <c r="AC2297" s="1"/>
      <c r="AD2297" s="1">
        <f>IF($C2297="",0,SUMPRODUCT((AY_SONU!$O$7:$O$42="Evet")*(AY_SONU!$B$7:$B$42=DATE(YEAR($C2297),MONTH($C2297),1))))</f>
        <v>0</v>
      </c>
      <c r="AE2297" s="1" t="str">
        <f>IF($E2297="","",$E2297&amp;"|"&amp;COUNTIFS($E$7:$E2297,$E2297))</f>
        <v/>
      </c>
    </row>
    <row r="2298" spans="1:31" ht="18" customHeight="1" x14ac:dyDescent="0.3">
      <c r="A2298" s="2"/>
      <c r="B2298" s="65" t="str">
        <f t="shared" si="282"/>
        <v/>
      </c>
      <c r="C2298" s="66"/>
      <c r="D2298" s="60"/>
      <c r="E2298" s="61"/>
      <c r="F2298" s="61"/>
      <c r="G2298" s="67"/>
      <c r="H2298" s="60"/>
      <c r="I2298" s="60"/>
      <c r="J2298" s="61"/>
      <c r="K2298" s="61"/>
      <c r="L2298" s="60"/>
      <c r="M2298" s="74" t="str">
        <f t="shared" si="283"/>
        <v/>
      </c>
      <c r="N2298" s="74" t="str">
        <f t="shared" si="284"/>
        <v/>
      </c>
      <c r="O2298" s="73" t="str">
        <f t="shared" si="285"/>
        <v/>
      </c>
      <c r="P2298" s="65" t="str">
        <f t="shared" ca="1" si="286"/>
        <v/>
      </c>
      <c r="Q2298" s="2"/>
      <c r="R2298" s="2"/>
      <c r="S2298" s="1" t="str">
        <f t="shared" si="287"/>
        <v/>
      </c>
      <c r="T2298" s="1" t="str">
        <f>IF(OR($C2298="",$D2298&lt;&gt;"Gelir",$L2298=""),"",IFERROR(INDEX(MUSTERILER!$B$7:$B$156,MATCH($S2298,MUSTERILER!$T$7:$T$156,0)),""))</f>
        <v/>
      </c>
      <c r="U2298" s="1" t="str">
        <f>IF($T2298="","",$T2298&amp;"|"&amp;COUNTIFS($T$7:$T2298,$T2298))</f>
        <v/>
      </c>
      <c r="V2298" s="1">
        <f t="shared" si="288"/>
        <v>0</v>
      </c>
      <c r="W2298" s="1" t="str">
        <f t="shared" si="289"/>
        <v/>
      </c>
      <c r="X2298" s="1"/>
      <c r="Y2298" s="1"/>
      <c r="Z2298" s="1"/>
      <c r="AA2298" s="1"/>
      <c r="AB2298" s="1"/>
      <c r="AC2298" s="1"/>
      <c r="AD2298" s="1">
        <f>IF($C2298="",0,SUMPRODUCT((AY_SONU!$O$7:$O$42="Evet")*(AY_SONU!$B$7:$B$42=DATE(YEAR($C2298),MONTH($C2298),1))))</f>
        <v>0</v>
      </c>
      <c r="AE2298" s="1" t="str">
        <f>IF($E2298="","",$E2298&amp;"|"&amp;COUNTIFS($E$7:$E2298,$E2298))</f>
        <v/>
      </c>
    </row>
    <row r="2299" spans="1:31" ht="18" customHeight="1" x14ac:dyDescent="0.3">
      <c r="A2299" s="2"/>
      <c r="B2299" s="65" t="str">
        <f t="shared" si="282"/>
        <v/>
      </c>
      <c r="C2299" s="66"/>
      <c r="D2299" s="60"/>
      <c r="E2299" s="61"/>
      <c r="F2299" s="61"/>
      <c r="G2299" s="67"/>
      <c r="H2299" s="60"/>
      <c r="I2299" s="60"/>
      <c r="J2299" s="61"/>
      <c r="K2299" s="61"/>
      <c r="L2299" s="60"/>
      <c r="M2299" s="74" t="str">
        <f t="shared" si="283"/>
        <v/>
      </c>
      <c r="N2299" s="74" t="str">
        <f t="shared" si="284"/>
        <v/>
      </c>
      <c r="O2299" s="73" t="str">
        <f t="shared" si="285"/>
        <v/>
      </c>
      <c r="P2299" s="65" t="str">
        <f t="shared" ca="1" si="286"/>
        <v/>
      </c>
      <c r="Q2299" s="2"/>
      <c r="R2299" s="2"/>
      <c r="S2299" s="1" t="str">
        <f t="shared" si="287"/>
        <v/>
      </c>
      <c r="T2299" s="1" t="str">
        <f>IF(OR($C2299="",$D2299&lt;&gt;"Gelir",$L2299=""),"",IFERROR(INDEX(MUSTERILER!$B$7:$B$156,MATCH($S2299,MUSTERILER!$T$7:$T$156,0)),""))</f>
        <v/>
      </c>
      <c r="U2299" s="1" t="str">
        <f>IF($T2299="","",$T2299&amp;"|"&amp;COUNTIFS($T$7:$T2299,$T2299))</f>
        <v/>
      </c>
      <c r="V2299" s="1">
        <f t="shared" si="288"/>
        <v>0</v>
      </c>
      <c r="W2299" s="1" t="str">
        <f t="shared" si="289"/>
        <v/>
      </c>
      <c r="X2299" s="1"/>
      <c r="Y2299" s="1"/>
      <c r="Z2299" s="1"/>
      <c r="AA2299" s="1"/>
      <c r="AB2299" s="1"/>
      <c r="AC2299" s="1"/>
      <c r="AD2299" s="1">
        <f>IF($C2299="",0,SUMPRODUCT((AY_SONU!$O$7:$O$42="Evet")*(AY_SONU!$B$7:$B$42=DATE(YEAR($C2299),MONTH($C2299),1))))</f>
        <v>0</v>
      </c>
      <c r="AE2299" s="1" t="str">
        <f>IF($E2299="","",$E2299&amp;"|"&amp;COUNTIFS($E$7:$E2299,$E2299))</f>
        <v/>
      </c>
    </row>
    <row r="2300" spans="1:31" ht="18" customHeight="1" x14ac:dyDescent="0.3">
      <c r="A2300" s="2"/>
      <c r="B2300" s="65" t="str">
        <f t="shared" si="282"/>
        <v/>
      </c>
      <c r="C2300" s="66"/>
      <c r="D2300" s="60"/>
      <c r="E2300" s="61"/>
      <c r="F2300" s="61"/>
      <c r="G2300" s="67"/>
      <c r="H2300" s="60"/>
      <c r="I2300" s="60"/>
      <c r="J2300" s="61"/>
      <c r="K2300" s="61"/>
      <c r="L2300" s="60"/>
      <c r="M2300" s="74" t="str">
        <f t="shared" si="283"/>
        <v/>
      </c>
      <c r="N2300" s="74" t="str">
        <f t="shared" si="284"/>
        <v/>
      </c>
      <c r="O2300" s="73" t="str">
        <f t="shared" si="285"/>
        <v/>
      </c>
      <c r="P2300" s="65" t="str">
        <f t="shared" ca="1" si="286"/>
        <v/>
      </c>
      <c r="Q2300" s="2"/>
      <c r="R2300" s="2"/>
      <c r="S2300" s="1" t="str">
        <f t="shared" si="287"/>
        <v/>
      </c>
      <c r="T2300" s="1" t="str">
        <f>IF(OR($C2300="",$D2300&lt;&gt;"Gelir",$L2300=""),"",IFERROR(INDEX(MUSTERILER!$B$7:$B$156,MATCH($S2300,MUSTERILER!$T$7:$T$156,0)),""))</f>
        <v/>
      </c>
      <c r="U2300" s="1" t="str">
        <f>IF($T2300="","",$T2300&amp;"|"&amp;COUNTIFS($T$7:$T2300,$T2300))</f>
        <v/>
      </c>
      <c r="V2300" s="1">
        <f t="shared" si="288"/>
        <v>0</v>
      </c>
      <c r="W2300" s="1" t="str">
        <f t="shared" si="289"/>
        <v/>
      </c>
      <c r="X2300" s="1"/>
      <c r="Y2300" s="1"/>
      <c r="Z2300" s="1"/>
      <c r="AA2300" s="1"/>
      <c r="AB2300" s="1"/>
      <c r="AC2300" s="1"/>
      <c r="AD2300" s="1">
        <f>IF($C2300="",0,SUMPRODUCT((AY_SONU!$O$7:$O$42="Evet")*(AY_SONU!$B$7:$B$42=DATE(YEAR($C2300),MONTH($C2300),1))))</f>
        <v>0</v>
      </c>
      <c r="AE2300" s="1" t="str">
        <f>IF($E2300="","",$E2300&amp;"|"&amp;COUNTIFS($E$7:$E2300,$E2300))</f>
        <v/>
      </c>
    </row>
    <row r="2301" spans="1:31" ht="18" customHeight="1" x14ac:dyDescent="0.3">
      <c r="A2301" s="2"/>
      <c r="B2301" s="65" t="str">
        <f t="shared" si="282"/>
        <v/>
      </c>
      <c r="C2301" s="66"/>
      <c r="D2301" s="60"/>
      <c r="E2301" s="61"/>
      <c r="F2301" s="61"/>
      <c r="G2301" s="67"/>
      <c r="H2301" s="60"/>
      <c r="I2301" s="60"/>
      <c r="J2301" s="61"/>
      <c r="K2301" s="61"/>
      <c r="L2301" s="60"/>
      <c r="M2301" s="74" t="str">
        <f t="shared" si="283"/>
        <v/>
      </c>
      <c r="N2301" s="74" t="str">
        <f t="shared" si="284"/>
        <v/>
      </c>
      <c r="O2301" s="73" t="str">
        <f t="shared" si="285"/>
        <v/>
      </c>
      <c r="P2301" s="65" t="str">
        <f t="shared" ca="1" si="286"/>
        <v/>
      </c>
      <c r="Q2301" s="2"/>
      <c r="R2301" s="2"/>
      <c r="S2301" s="1" t="str">
        <f t="shared" si="287"/>
        <v/>
      </c>
      <c r="T2301" s="1" t="str">
        <f>IF(OR($C2301="",$D2301&lt;&gt;"Gelir",$L2301=""),"",IFERROR(INDEX(MUSTERILER!$B$7:$B$156,MATCH($S2301,MUSTERILER!$T$7:$T$156,0)),""))</f>
        <v/>
      </c>
      <c r="U2301" s="1" t="str">
        <f>IF($T2301="","",$T2301&amp;"|"&amp;COUNTIFS($T$7:$T2301,$T2301))</f>
        <v/>
      </c>
      <c r="V2301" s="1">
        <f t="shared" si="288"/>
        <v>0</v>
      </c>
      <c r="W2301" s="1" t="str">
        <f t="shared" si="289"/>
        <v/>
      </c>
      <c r="X2301" s="1"/>
      <c r="Y2301" s="1"/>
      <c r="Z2301" s="1"/>
      <c r="AA2301" s="1"/>
      <c r="AB2301" s="1"/>
      <c r="AC2301" s="1"/>
      <c r="AD2301" s="1">
        <f>IF($C2301="",0,SUMPRODUCT((AY_SONU!$O$7:$O$42="Evet")*(AY_SONU!$B$7:$B$42=DATE(YEAR($C2301),MONTH($C2301),1))))</f>
        <v>0</v>
      </c>
      <c r="AE2301" s="1" t="str">
        <f>IF($E2301="","",$E2301&amp;"|"&amp;COUNTIFS($E$7:$E2301,$E2301))</f>
        <v/>
      </c>
    </row>
    <row r="2302" spans="1:31" ht="18" customHeight="1" x14ac:dyDescent="0.3">
      <c r="A2302" s="2"/>
      <c r="B2302" s="65" t="str">
        <f t="shared" si="282"/>
        <v/>
      </c>
      <c r="C2302" s="66"/>
      <c r="D2302" s="60"/>
      <c r="E2302" s="61"/>
      <c r="F2302" s="61"/>
      <c r="G2302" s="67"/>
      <c r="H2302" s="60"/>
      <c r="I2302" s="60"/>
      <c r="J2302" s="61"/>
      <c r="K2302" s="61"/>
      <c r="L2302" s="60"/>
      <c r="M2302" s="74" t="str">
        <f t="shared" si="283"/>
        <v/>
      </c>
      <c r="N2302" s="74" t="str">
        <f t="shared" si="284"/>
        <v/>
      </c>
      <c r="O2302" s="73" t="str">
        <f t="shared" si="285"/>
        <v/>
      </c>
      <c r="P2302" s="65" t="str">
        <f t="shared" ca="1" si="286"/>
        <v/>
      </c>
      <c r="Q2302" s="2"/>
      <c r="R2302" s="2"/>
      <c r="S2302" s="1" t="str">
        <f t="shared" si="287"/>
        <v/>
      </c>
      <c r="T2302" s="1" t="str">
        <f>IF(OR($C2302="",$D2302&lt;&gt;"Gelir",$L2302=""),"",IFERROR(INDEX(MUSTERILER!$B$7:$B$156,MATCH($S2302,MUSTERILER!$T$7:$T$156,0)),""))</f>
        <v/>
      </c>
      <c r="U2302" s="1" t="str">
        <f>IF($T2302="","",$T2302&amp;"|"&amp;COUNTIFS($T$7:$T2302,$T2302))</f>
        <v/>
      </c>
      <c r="V2302" s="1">
        <f t="shared" si="288"/>
        <v>0</v>
      </c>
      <c r="W2302" s="1" t="str">
        <f t="shared" si="289"/>
        <v/>
      </c>
      <c r="X2302" s="1"/>
      <c r="Y2302" s="1"/>
      <c r="Z2302" s="1"/>
      <c r="AA2302" s="1"/>
      <c r="AB2302" s="1"/>
      <c r="AC2302" s="1"/>
      <c r="AD2302" s="1">
        <f>IF($C2302="",0,SUMPRODUCT((AY_SONU!$O$7:$O$42="Evet")*(AY_SONU!$B$7:$B$42=DATE(YEAR($C2302),MONTH($C2302),1))))</f>
        <v>0</v>
      </c>
      <c r="AE2302" s="1" t="str">
        <f>IF($E2302="","",$E2302&amp;"|"&amp;COUNTIFS($E$7:$E2302,$E2302))</f>
        <v/>
      </c>
    </row>
    <row r="2303" spans="1:31" ht="18" customHeight="1" x14ac:dyDescent="0.3">
      <c r="A2303" s="2"/>
      <c r="B2303" s="65" t="str">
        <f t="shared" si="282"/>
        <v/>
      </c>
      <c r="C2303" s="66"/>
      <c r="D2303" s="60"/>
      <c r="E2303" s="61"/>
      <c r="F2303" s="61"/>
      <c r="G2303" s="67"/>
      <c r="H2303" s="60"/>
      <c r="I2303" s="60"/>
      <c r="J2303" s="61"/>
      <c r="K2303" s="61"/>
      <c r="L2303" s="60"/>
      <c r="M2303" s="74" t="str">
        <f t="shared" si="283"/>
        <v/>
      </c>
      <c r="N2303" s="74" t="str">
        <f t="shared" si="284"/>
        <v/>
      </c>
      <c r="O2303" s="73" t="str">
        <f t="shared" si="285"/>
        <v/>
      </c>
      <c r="P2303" s="65" t="str">
        <f t="shared" ca="1" si="286"/>
        <v/>
      </c>
      <c r="Q2303" s="2"/>
      <c r="R2303" s="2"/>
      <c r="S2303" s="1" t="str">
        <f t="shared" si="287"/>
        <v/>
      </c>
      <c r="T2303" s="1" t="str">
        <f>IF(OR($C2303="",$D2303&lt;&gt;"Gelir",$L2303=""),"",IFERROR(INDEX(MUSTERILER!$B$7:$B$156,MATCH($S2303,MUSTERILER!$T$7:$T$156,0)),""))</f>
        <v/>
      </c>
      <c r="U2303" s="1" t="str">
        <f>IF($T2303="","",$T2303&amp;"|"&amp;COUNTIFS($T$7:$T2303,$T2303))</f>
        <v/>
      </c>
      <c r="V2303" s="1">
        <f t="shared" si="288"/>
        <v>0</v>
      </c>
      <c r="W2303" s="1" t="str">
        <f t="shared" si="289"/>
        <v/>
      </c>
      <c r="X2303" s="1"/>
      <c r="Y2303" s="1"/>
      <c r="Z2303" s="1"/>
      <c r="AA2303" s="1"/>
      <c r="AB2303" s="1"/>
      <c r="AC2303" s="1"/>
      <c r="AD2303" s="1">
        <f>IF($C2303="",0,SUMPRODUCT((AY_SONU!$O$7:$O$42="Evet")*(AY_SONU!$B$7:$B$42=DATE(YEAR($C2303),MONTH($C2303),1))))</f>
        <v>0</v>
      </c>
      <c r="AE2303" s="1" t="str">
        <f>IF($E2303="","",$E2303&amp;"|"&amp;COUNTIFS($E$7:$E2303,$E2303))</f>
        <v/>
      </c>
    </row>
    <row r="2304" spans="1:31" ht="18" customHeight="1" x14ac:dyDescent="0.3">
      <c r="A2304" s="2"/>
      <c r="B2304" s="65" t="str">
        <f t="shared" si="282"/>
        <v/>
      </c>
      <c r="C2304" s="66"/>
      <c r="D2304" s="60"/>
      <c r="E2304" s="61"/>
      <c r="F2304" s="61"/>
      <c r="G2304" s="67"/>
      <c r="H2304" s="60"/>
      <c r="I2304" s="60"/>
      <c r="J2304" s="61"/>
      <c r="K2304" s="61"/>
      <c r="L2304" s="60"/>
      <c r="M2304" s="74" t="str">
        <f t="shared" si="283"/>
        <v/>
      </c>
      <c r="N2304" s="74" t="str">
        <f t="shared" si="284"/>
        <v/>
      </c>
      <c r="O2304" s="73" t="str">
        <f t="shared" si="285"/>
        <v/>
      </c>
      <c r="P2304" s="65" t="str">
        <f t="shared" ca="1" si="286"/>
        <v/>
      </c>
      <c r="Q2304" s="2"/>
      <c r="R2304" s="2"/>
      <c r="S2304" s="1" t="str">
        <f t="shared" si="287"/>
        <v/>
      </c>
      <c r="T2304" s="1" t="str">
        <f>IF(OR($C2304="",$D2304&lt;&gt;"Gelir",$L2304=""),"",IFERROR(INDEX(MUSTERILER!$B$7:$B$156,MATCH($S2304,MUSTERILER!$T$7:$T$156,0)),""))</f>
        <v/>
      </c>
      <c r="U2304" s="1" t="str">
        <f>IF($T2304="","",$T2304&amp;"|"&amp;COUNTIFS($T$7:$T2304,$T2304))</f>
        <v/>
      </c>
      <c r="V2304" s="1">
        <f t="shared" si="288"/>
        <v>0</v>
      </c>
      <c r="W2304" s="1" t="str">
        <f t="shared" si="289"/>
        <v/>
      </c>
      <c r="X2304" s="1"/>
      <c r="Y2304" s="1"/>
      <c r="Z2304" s="1"/>
      <c r="AA2304" s="1"/>
      <c r="AB2304" s="1"/>
      <c r="AC2304" s="1"/>
      <c r="AD2304" s="1">
        <f>IF($C2304="",0,SUMPRODUCT((AY_SONU!$O$7:$O$42="Evet")*(AY_SONU!$B$7:$B$42=DATE(YEAR($C2304),MONTH($C2304),1))))</f>
        <v>0</v>
      </c>
      <c r="AE2304" s="1" t="str">
        <f>IF($E2304="","",$E2304&amp;"|"&amp;COUNTIFS($E$7:$E2304,$E2304))</f>
        <v/>
      </c>
    </row>
    <row r="2305" spans="1:31" ht="18" customHeight="1" x14ac:dyDescent="0.3">
      <c r="A2305" s="2"/>
      <c r="B2305" s="65" t="str">
        <f t="shared" si="282"/>
        <v/>
      </c>
      <c r="C2305" s="66"/>
      <c r="D2305" s="60"/>
      <c r="E2305" s="61"/>
      <c r="F2305" s="61"/>
      <c r="G2305" s="67"/>
      <c r="H2305" s="60"/>
      <c r="I2305" s="60"/>
      <c r="J2305" s="61"/>
      <c r="K2305" s="61"/>
      <c r="L2305" s="60"/>
      <c r="M2305" s="74" t="str">
        <f t="shared" si="283"/>
        <v/>
      </c>
      <c r="N2305" s="74" t="str">
        <f t="shared" si="284"/>
        <v/>
      </c>
      <c r="O2305" s="73" t="str">
        <f t="shared" si="285"/>
        <v/>
      </c>
      <c r="P2305" s="65" t="str">
        <f t="shared" ca="1" si="286"/>
        <v/>
      </c>
      <c r="Q2305" s="2"/>
      <c r="R2305" s="2"/>
      <c r="S2305" s="1" t="str">
        <f t="shared" si="287"/>
        <v/>
      </c>
      <c r="T2305" s="1" t="str">
        <f>IF(OR($C2305="",$D2305&lt;&gt;"Gelir",$L2305=""),"",IFERROR(INDEX(MUSTERILER!$B$7:$B$156,MATCH($S2305,MUSTERILER!$T$7:$T$156,0)),""))</f>
        <v/>
      </c>
      <c r="U2305" s="1" t="str">
        <f>IF($T2305="","",$T2305&amp;"|"&amp;COUNTIFS($T$7:$T2305,$T2305))</f>
        <v/>
      </c>
      <c r="V2305" s="1">
        <f t="shared" si="288"/>
        <v>0</v>
      </c>
      <c r="W2305" s="1" t="str">
        <f t="shared" si="289"/>
        <v/>
      </c>
      <c r="X2305" s="1"/>
      <c r="Y2305" s="1"/>
      <c r="Z2305" s="1"/>
      <c r="AA2305" s="1"/>
      <c r="AB2305" s="1"/>
      <c r="AC2305" s="1"/>
      <c r="AD2305" s="1">
        <f>IF($C2305="",0,SUMPRODUCT((AY_SONU!$O$7:$O$42="Evet")*(AY_SONU!$B$7:$B$42=DATE(YEAR($C2305),MONTH($C2305),1))))</f>
        <v>0</v>
      </c>
      <c r="AE2305" s="1" t="str">
        <f>IF($E2305="","",$E2305&amp;"|"&amp;COUNTIFS($E$7:$E2305,$E2305))</f>
        <v/>
      </c>
    </row>
    <row r="2306" spans="1:31" ht="18" customHeight="1" x14ac:dyDescent="0.3">
      <c r="A2306" s="2"/>
      <c r="B2306" s="65" t="str">
        <f t="shared" si="282"/>
        <v/>
      </c>
      <c r="C2306" s="66"/>
      <c r="D2306" s="60"/>
      <c r="E2306" s="61"/>
      <c r="F2306" s="61"/>
      <c r="G2306" s="67"/>
      <c r="H2306" s="60"/>
      <c r="I2306" s="60"/>
      <c r="J2306" s="61"/>
      <c r="K2306" s="61"/>
      <c r="L2306" s="60"/>
      <c r="M2306" s="74" t="str">
        <f t="shared" si="283"/>
        <v/>
      </c>
      <c r="N2306" s="74" t="str">
        <f t="shared" si="284"/>
        <v/>
      </c>
      <c r="O2306" s="73" t="str">
        <f t="shared" si="285"/>
        <v/>
      </c>
      <c r="P2306" s="65" t="str">
        <f t="shared" ca="1" si="286"/>
        <v/>
      </c>
      <c r="Q2306" s="2"/>
      <c r="R2306" s="2"/>
      <c r="S2306" s="1" t="str">
        <f t="shared" si="287"/>
        <v/>
      </c>
      <c r="T2306" s="1" t="str">
        <f>IF(OR($C2306="",$D2306&lt;&gt;"Gelir",$L2306=""),"",IFERROR(INDEX(MUSTERILER!$B$7:$B$156,MATCH($S2306,MUSTERILER!$T$7:$T$156,0)),""))</f>
        <v/>
      </c>
      <c r="U2306" s="1" t="str">
        <f>IF($T2306="","",$T2306&amp;"|"&amp;COUNTIFS($T$7:$T2306,$T2306))</f>
        <v/>
      </c>
      <c r="V2306" s="1">
        <f t="shared" si="288"/>
        <v>0</v>
      </c>
      <c r="W2306" s="1" t="str">
        <f t="shared" si="289"/>
        <v/>
      </c>
      <c r="X2306" s="1"/>
      <c r="Y2306" s="1"/>
      <c r="Z2306" s="1"/>
      <c r="AA2306" s="1"/>
      <c r="AB2306" s="1"/>
      <c r="AC2306" s="1"/>
      <c r="AD2306" s="1">
        <f>IF($C2306="",0,SUMPRODUCT((AY_SONU!$O$7:$O$42="Evet")*(AY_SONU!$B$7:$B$42=DATE(YEAR($C2306),MONTH($C2306),1))))</f>
        <v>0</v>
      </c>
      <c r="AE2306" s="1" t="str">
        <f>IF($E2306="","",$E2306&amp;"|"&amp;COUNTIFS($E$7:$E2306,$E2306))</f>
        <v/>
      </c>
    </row>
    <row r="2307" spans="1:31" ht="18" customHeight="1" x14ac:dyDescent="0.3">
      <c r="A2307" s="2"/>
      <c r="B2307" s="65" t="str">
        <f t="shared" si="282"/>
        <v/>
      </c>
      <c r="C2307" s="66"/>
      <c r="D2307" s="60"/>
      <c r="E2307" s="61"/>
      <c r="F2307" s="61"/>
      <c r="G2307" s="67"/>
      <c r="H2307" s="60"/>
      <c r="I2307" s="60"/>
      <c r="J2307" s="61"/>
      <c r="K2307" s="61"/>
      <c r="L2307" s="60"/>
      <c r="M2307" s="74" t="str">
        <f t="shared" si="283"/>
        <v/>
      </c>
      <c r="N2307" s="74" t="str">
        <f t="shared" si="284"/>
        <v/>
      </c>
      <c r="O2307" s="73" t="str">
        <f t="shared" si="285"/>
        <v/>
      </c>
      <c r="P2307" s="65" t="str">
        <f t="shared" ca="1" si="286"/>
        <v/>
      </c>
      <c r="Q2307" s="2"/>
      <c r="R2307" s="2"/>
      <c r="S2307" s="1" t="str">
        <f t="shared" si="287"/>
        <v/>
      </c>
      <c r="T2307" s="1" t="str">
        <f>IF(OR($C2307="",$D2307&lt;&gt;"Gelir",$L2307=""),"",IFERROR(INDEX(MUSTERILER!$B$7:$B$156,MATCH($S2307,MUSTERILER!$T$7:$T$156,0)),""))</f>
        <v/>
      </c>
      <c r="U2307" s="1" t="str">
        <f>IF($T2307="","",$T2307&amp;"|"&amp;COUNTIFS($T$7:$T2307,$T2307))</f>
        <v/>
      </c>
      <c r="V2307" s="1">
        <f t="shared" si="288"/>
        <v>0</v>
      </c>
      <c r="W2307" s="1" t="str">
        <f t="shared" si="289"/>
        <v/>
      </c>
      <c r="X2307" s="1"/>
      <c r="Y2307" s="1"/>
      <c r="Z2307" s="1"/>
      <c r="AA2307" s="1"/>
      <c r="AB2307" s="1"/>
      <c r="AC2307" s="1"/>
      <c r="AD2307" s="1">
        <f>IF($C2307="",0,SUMPRODUCT((AY_SONU!$O$7:$O$42="Evet")*(AY_SONU!$B$7:$B$42=DATE(YEAR($C2307),MONTH($C2307),1))))</f>
        <v>0</v>
      </c>
      <c r="AE2307" s="1" t="str">
        <f>IF($E2307="","",$E2307&amp;"|"&amp;COUNTIFS($E$7:$E2307,$E2307))</f>
        <v/>
      </c>
    </row>
    <row r="2308" spans="1:31" ht="18" customHeight="1" x14ac:dyDescent="0.3">
      <c r="A2308" s="2"/>
      <c r="B2308" s="65" t="str">
        <f t="shared" si="282"/>
        <v/>
      </c>
      <c r="C2308" s="66"/>
      <c r="D2308" s="60"/>
      <c r="E2308" s="61"/>
      <c r="F2308" s="61"/>
      <c r="G2308" s="67"/>
      <c r="H2308" s="60"/>
      <c r="I2308" s="60"/>
      <c r="J2308" s="61"/>
      <c r="K2308" s="61"/>
      <c r="L2308" s="60"/>
      <c r="M2308" s="74" t="str">
        <f t="shared" si="283"/>
        <v/>
      </c>
      <c r="N2308" s="74" t="str">
        <f t="shared" si="284"/>
        <v/>
      </c>
      <c r="O2308" s="73" t="str">
        <f t="shared" si="285"/>
        <v/>
      </c>
      <c r="P2308" s="65" t="str">
        <f t="shared" ca="1" si="286"/>
        <v/>
      </c>
      <c r="Q2308" s="2"/>
      <c r="R2308" s="2"/>
      <c r="S2308" s="1" t="str">
        <f t="shared" si="287"/>
        <v/>
      </c>
      <c r="T2308" s="1" t="str">
        <f>IF(OR($C2308="",$D2308&lt;&gt;"Gelir",$L2308=""),"",IFERROR(INDEX(MUSTERILER!$B$7:$B$156,MATCH($S2308,MUSTERILER!$T$7:$T$156,0)),""))</f>
        <v/>
      </c>
      <c r="U2308" s="1" t="str">
        <f>IF($T2308="","",$T2308&amp;"|"&amp;COUNTIFS($T$7:$T2308,$T2308))</f>
        <v/>
      </c>
      <c r="V2308" s="1">
        <f t="shared" si="288"/>
        <v>0</v>
      </c>
      <c r="W2308" s="1" t="str">
        <f t="shared" si="289"/>
        <v/>
      </c>
      <c r="X2308" s="1"/>
      <c r="Y2308" s="1"/>
      <c r="Z2308" s="1"/>
      <c r="AA2308" s="1"/>
      <c r="AB2308" s="1"/>
      <c r="AC2308" s="1"/>
      <c r="AD2308" s="1">
        <f>IF($C2308="",0,SUMPRODUCT((AY_SONU!$O$7:$O$42="Evet")*(AY_SONU!$B$7:$B$42=DATE(YEAR($C2308),MONTH($C2308),1))))</f>
        <v>0</v>
      </c>
      <c r="AE2308" s="1" t="str">
        <f>IF($E2308="","",$E2308&amp;"|"&amp;COUNTIFS($E$7:$E2308,$E2308))</f>
        <v/>
      </c>
    </row>
    <row r="2309" spans="1:31" ht="18" customHeight="1" x14ac:dyDescent="0.3">
      <c r="A2309" s="2"/>
      <c r="B2309" s="65" t="str">
        <f t="shared" si="282"/>
        <v/>
      </c>
      <c r="C2309" s="66"/>
      <c r="D2309" s="60"/>
      <c r="E2309" s="61"/>
      <c r="F2309" s="61"/>
      <c r="G2309" s="67"/>
      <c r="H2309" s="60"/>
      <c r="I2309" s="60"/>
      <c r="J2309" s="61"/>
      <c r="K2309" s="61"/>
      <c r="L2309" s="60"/>
      <c r="M2309" s="74" t="str">
        <f t="shared" si="283"/>
        <v/>
      </c>
      <c r="N2309" s="74" t="str">
        <f t="shared" si="284"/>
        <v/>
      </c>
      <c r="O2309" s="73" t="str">
        <f t="shared" si="285"/>
        <v/>
      </c>
      <c r="P2309" s="65" t="str">
        <f t="shared" ca="1" si="286"/>
        <v/>
      </c>
      <c r="Q2309" s="2"/>
      <c r="R2309" s="2"/>
      <c r="S2309" s="1" t="str">
        <f t="shared" si="287"/>
        <v/>
      </c>
      <c r="T2309" s="1" t="str">
        <f>IF(OR($C2309="",$D2309&lt;&gt;"Gelir",$L2309=""),"",IFERROR(INDEX(MUSTERILER!$B$7:$B$156,MATCH($S2309,MUSTERILER!$T$7:$T$156,0)),""))</f>
        <v/>
      </c>
      <c r="U2309" s="1" t="str">
        <f>IF($T2309="","",$T2309&amp;"|"&amp;COUNTIFS($T$7:$T2309,$T2309))</f>
        <v/>
      </c>
      <c r="V2309" s="1">
        <f t="shared" si="288"/>
        <v>0</v>
      </c>
      <c r="W2309" s="1" t="str">
        <f t="shared" si="289"/>
        <v/>
      </c>
      <c r="X2309" s="1"/>
      <c r="Y2309" s="1"/>
      <c r="Z2309" s="1"/>
      <c r="AA2309" s="1"/>
      <c r="AB2309" s="1"/>
      <c r="AC2309" s="1"/>
      <c r="AD2309" s="1">
        <f>IF($C2309="",0,SUMPRODUCT((AY_SONU!$O$7:$O$42="Evet")*(AY_SONU!$B$7:$B$42=DATE(YEAR($C2309),MONTH($C2309),1))))</f>
        <v>0</v>
      </c>
      <c r="AE2309" s="1" t="str">
        <f>IF($E2309="","",$E2309&amp;"|"&amp;COUNTIFS($E$7:$E2309,$E2309))</f>
        <v/>
      </c>
    </row>
    <row r="2310" spans="1:31" ht="18" customHeight="1" x14ac:dyDescent="0.3">
      <c r="A2310" s="2"/>
      <c r="B2310" s="65" t="str">
        <f t="shared" si="282"/>
        <v/>
      </c>
      <c r="C2310" s="66"/>
      <c r="D2310" s="60"/>
      <c r="E2310" s="61"/>
      <c r="F2310" s="61"/>
      <c r="G2310" s="67"/>
      <c r="H2310" s="60"/>
      <c r="I2310" s="60"/>
      <c r="J2310" s="61"/>
      <c r="K2310" s="61"/>
      <c r="L2310" s="60"/>
      <c r="M2310" s="74" t="str">
        <f t="shared" si="283"/>
        <v/>
      </c>
      <c r="N2310" s="74" t="str">
        <f t="shared" si="284"/>
        <v/>
      </c>
      <c r="O2310" s="73" t="str">
        <f t="shared" si="285"/>
        <v/>
      </c>
      <c r="P2310" s="65" t="str">
        <f t="shared" ca="1" si="286"/>
        <v/>
      </c>
      <c r="Q2310" s="2"/>
      <c r="R2310" s="2"/>
      <c r="S2310" s="1" t="str">
        <f t="shared" si="287"/>
        <v/>
      </c>
      <c r="T2310" s="1" t="str">
        <f>IF(OR($C2310="",$D2310&lt;&gt;"Gelir",$L2310=""),"",IFERROR(INDEX(MUSTERILER!$B$7:$B$156,MATCH($S2310,MUSTERILER!$T$7:$T$156,0)),""))</f>
        <v/>
      </c>
      <c r="U2310" s="1" t="str">
        <f>IF($T2310="","",$T2310&amp;"|"&amp;COUNTIFS($T$7:$T2310,$T2310))</f>
        <v/>
      </c>
      <c r="V2310" s="1">
        <f t="shared" si="288"/>
        <v>0</v>
      </c>
      <c r="W2310" s="1" t="str">
        <f t="shared" si="289"/>
        <v/>
      </c>
      <c r="X2310" s="1"/>
      <c r="Y2310" s="1"/>
      <c r="Z2310" s="1"/>
      <c r="AA2310" s="1"/>
      <c r="AB2310" s="1"/>
      <c r="AC2310" s="1"/>
      <c r="AD2310" s="1">
        <f>IF($C2310="",0,SUMPRODUCT((AY_SONU!$O$7:$O$42="Evet")*(AY_SONU!$B$7:$B$42=DATE(YEAR($C2310),MONTH($C2310),1))))</f>
        <v>0</v>
      </c>
      <c r="AE2310" s="1" t="str">
        <f>IF($E2310="","",$E2310&amp;"|"&amp;COUNTIFS($E$7:$E2310,$E2310))</f>
        <v/>
      </c>
    </row>
    <row r="2311" spans="1:31" ht="18" customHeight="1" x14ac:dyDescent="0.3">
      <c r="A2311" s="2"/>
      <c r="B2311" s="65" t="str">
        <f t="shared" ref="B2311:B2374" si="290">IF($C2311="","","GG"&amp;TEXT(ROW()-6,"00000"))</f>
        <v/>
      </c>
      <c r="C2311" s="66"/>
      <c r="D2311" s="60"/>
      <c r="E2311" s="61"/>
      <c r="F2311" s="61"/>
      <c r="G2311" s="67"/>
      <c r="H2311" s="60"/>
      <c r="I2311" s="60"/>
      <c r="J2311" s="61"/>
      <c r="K2311" s="61"/>
      <c r="L2311" s="60"/>
      <c r="M2311" s="74" t="str">
        <f t="shared" ref="M2311:M2374" si="291">IF($C2311="","",IF($D2311="Gider",$E2311,IF($L2311&lt;&gt;"",$L2311,$H2311)))</f>
        <v/>
      </c>
      <c r="N2311" s="74" t="str">
        <f t="shared" ref="N2311:N2374" si="292">IF($C2311="","",IF($D2311="Gider",$H2311,$E2311))</f>
        <v/>
      </c>
      <c r="O2311" s="73" t="str">
        <f t="shared" ref="O2311:O2374" si="293">IF($C2311="","",DATE(YEAR($C2311),MONTH($C2311),1))</f>
        <v/>
      </c>
      <c r="P2311" s="65" t="str">
        <f t="shared" ref="P2311:P2374" ca="1" si="294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TARİH",IF(COUNTIF($W$7:$W$3006,$W2311)&gt;1,"MÜKERRER?",IF($AD2311&gt;0,"KAPALI DÖNEM",IF($I2311="Hayır","ÖDENECEK","UYGUN")))),"EKSİK"))))</f>
        <v/>
      </c>
      <c r="Q2311" s="2"/>
      <c r="R2311" s="2"/>
      <c r="S2311" s="1" t="str">
        <f t="shared" ref="S2311:S2374" si="295"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1" t="str">
        <f>IF(OR($C2311="",$D2311&lt;&gt;"Gelir",$L2311=""),"",IFERROR(INDEX(MUSTERILER!$B$7:$B$156,MATCH($S2311,MUSTERILER!$T$7:$T$156,0)),""))</f>
        <v/>
      </c>
      <c r="U2311" s="1" t="str">
        <f>IF($T2311="","",$T2311&amp;"|"&amp;COUNTIFS($T$7:$T2311,$T2311))</f>
        <v/>
      </c>
      <c r="V2311" s="1">
        <f t="shared" ref="V2311:V2374" si="296">IF($T2311="",0,1)</f>
        <v>0</v>
      </c>
      <c r="W2311" s="1" t="str">
        <f t="shared" ref="W2311:W2374" si="297">IF($C2311="","",$D2311&amp;"|"&amp;$E2311&amp;"|"&amp;TEXT($C2311,"0")&amp;"|"&amp;TEXT($G2311,"0")&amp;"|"&amp;$J2311)</f>
        <v/>
      </c>
      <c r="X2311" s="1"/>
      <c r="Y2311" s="1"/>
      <c r="Z2311" s="1"/>
      <c r="AA2311" s="1"/>
      <c r="AB2311" s="1"/>
      <c r="AC2311" s="1"/>
      <c r="AD2311" s="1">
        <f>IF($C2311="",0,SUMPRODUCT((AY_SONU!$O$7:$O$42="Evet")*(AY_SONU!$B$7:$B$42=DATE(YEAR($C2311),MONTH($C2311),1))))</f>
        <v>0</v>
      </c>
      <c r="AE2311" s="1" t="str">
        <f>IF($E2311="","",$E2311&amp;"|"&amp;COUNTIFS($E$7:$E2311,$E2311))</f>
        <v/>
      </c>
    </row>
    <row r="2312" spans="1:31" ht="18" customHeight="1" x14ac:dyDescent="0.3">
      <c r="A2312" s="2"/>
      <c r="B2312" s="65" t="str">
        <f t="shared" si="290"/>
        <v/>
      </c>
      <c r="C2312" s="66"/>
      <c r="D2312" s="60"/>
      <c r="E2312" s="61"/>
      <c r="F2312" s="61"/>
      <c r="G2312" s="67"/>
      <c r="H2312" s="60"/>
      <c r="I2312" s="60"/>
      <c r="J2312" s="61"/>
      <c r="K2312" s="61"/>
      <c r="L2312" s="60"/>
      <c r="M2312" s="74" t="str">
        <f t="shared" si="291"/>
        <v/>
      </c>
      <c r="N2312" s="74" t="str">
        <f t="shared" si="292"/>
        <v/>
      </c>
      <c r="O2312" s="73" t="str">
        <f t="shared" si="293"/>
        <v/>
      </c>
      <c r="P2312" s="65" t="str">
        <f t="shared" ca="1" si="294"/>
        <v/>
      </c>
      <c r="Q2312" s="2"/>
      <c r="R2312" s="2"/>
      <c r="S2312" s="1" t="str">
        <f t="shared" si="295"/>
        <v/>
      </c>
      <c r="T2312" s="1" t="str">
        <f>IF(OR($C2312="",$D2312&lt;&gt;"Gelir",$L2312=""),"",IFERROR(INDEX(MUSTERILER!$B$7:$B$156,MATCH($S2312,MUSTERILER!$T$7:$T$156,0)),""))</f>
        <v/>
      </c>
      <c r="U2312" s="1" t="str">
        <f>IF($T2312="","",$T2312&amp;"|"&amp;COUNTIFS($T$7:$T2312,$T2312))</f>
        <v/>
      </c>
      <c r="V2312" s="1">
        <f t="shared" si="296"/>
        <v>0</v>
      </c>
      <c r="W2312" s="1" t="str">
        <f t="shared" si="297"/>
        <v/>
      </c>
      <c r="X2312" s="1"/>
      <c r="Y2312" s="1"/>
      <c r="Z2312" s="1"/>
      <c r="AA2312" s="1"/>
      <c r="AB2312" s="1"/>
      <c r="AC2312" s="1"/>
      <c r="AD2312" s="1">
        <f>IF($C2312="",0,SUMPRODUCT((AY_SONU!$O$7:$O$42="Evet")*(AY_SONU!$B$7:$B$42=DATE(YEAR($C2312),MONTH($C2312),1))))</f>
        <v>0</v>
      </c>
      <c r="AE2312" s="1" t="str">
        <f>IF($E2312="","",$E2312&amp;"|"&amp;COUNTIFS($E$7:$E2312,$E2312))</f>
        <v/>
      </c>
    </row>
    <row r="2313" spans="1:31" ht="18" customHeight="1" x14ac:dyDescent="0.3">
      <c r="A2313" s="2"/>
      <c r="B2313" s="65" t="str">
        <f t="shared" si="290"/>
        <v/>
      </c>
      <c r="C2313" s="66"/>
      <c r="D2313" s="60"/>
      <c r="E2313" s="61"/>
      <c r="F2313" s="61"/>
      <c r="G2313" s="67"/>
      <c r="H2313" s="60"/>
      <c r="I2313" s="60"/>
      <c r="J2313" s="61"/>
      <c r="K2313" s="61"/>
      <c r="L2313" s="60"/>
      <c r="M2313" s="74" t="str">
        <f t="shared" si="291"/>
        <v/>
      </c>
      <c r="N2313" s="74" t="str">
        <f t="shared" si="292"/>
        <v/>
      </c>
      <c r="O2313" s="73" t="str">
        <f t="shared" si="293"/>
        <v/>
      </c>
      <c r="P2313" s="65" t="str">
        <f t="shared" ca="1" si="294"/>
        <v/>
      </c>
      <c r="Q2313" s="2"/>
      <c r="R2313" s="2"/>
      <c r="S2313" s="1" t="str">
        <f t="shared" si="295"/>
        <v/>
      </c>
      <c r="T2313" s="1" t="str">
        <f>IF(OR($C2313="",$D2313&lt;&gt;"Gelir",$L2313=""),"",IFERROR(INDEX(MUSTERILER!$B$7:$B$156,MATCH($S2313,MUSTERILER!$T$7:$T$156,0)),""))</f>
        <v/>
      </c>
      <c r="U2313" s="1" t="str">
        <f>IF($T2313="","",$T2313&amp;"|"&amp;COUNTIFS($T$7:$T2313,$T2313))</f>
        <v/>
      </c>
      <c r="V2313" s="1">
        <f t="shared" si="296"/>
        <v>0</v>
      </c>
      <c r="W2313" s="1" t="str">
        <f t="shared" si="297"/>
        <v/>
      </c>
      <c r="X2313" s="1"/>
      <c r="Y2313" s="1"/>
      <c r="Z2313" s="1"/>
      <c r="AA2313" s="1"/>
      <c r="AB2313" s="1"/>
      <c r="AC2313" s="1"/>
      <c r="AD2313" s="1">
        <f>IF($C2313="",0,SUMPRODUCT((AY_SONU!$O$7:$O$42="Evet")*(AY_SONU!$B$7:$B$42=DATE(YEAR($C2313),MONTH($C2313),1))))</f>
        <v>0</v>
      </c>
      <c r="AE2313" s="1" t="str">
        <f>IF($E2313="","",$E2313&amp;"|"&amp;COUNTIFS($E$7:$E2313,$E2313))</f>
        <v/>
      </c>
    </row>
    <row r="2314" spans="1:31" ht="18" customHeight="1" x14ac:dyDescent="0.3">
      <c r="A2314" s="2"/>
      <c r="B2314" s="65" t="str">
        <f t="shared" si="290"/>
        <v/>
      </c>
      <c r="C2314" s="66"/>
      <c r="D2314" s="60"/>
      <c r="E2314" s="61"/>
      <c r="F2314" s="61"/>
      <c r="G2314" s="67"/>
      <c r="H2314" s="60"/>
      <c r="I2314" s="60"/>
      <c r="J2314" s="61"/>
      <c r="K2314" s="61"/>
      <c r="L2314" s="60"/>
      <c r="M2314" s="74" t="str">
        <f t="shared" si="291"/>
        <v/>
      </c>
      <c r="N2314" s="74" t="str">
        <f t="shared" si="292"/>
        <v/>
      </c>
      <c r="O2314" s="73" t="str">
        <f t="shared" si="293"/>
        <v/>
      </c>
      <c r="P2314" s="65" t="str">
        <f t="shared" ca="1" si="294"/>
        <v/>
      </c>
      <c r="Q2314" s="2"/>
      <c r="R2314" s="2"/>
      <c r="S2314" s="1" t="str">
        <f t="shared" si="295"/>
        <v/>
      </c>
      <c r="T2314" s="1" t="str">
        <f>IF(OR($C2314="",$D2314&lt;&gt;"Gelir",$L2314=""),"",IFERROR(INDEX(MUSTERILER!$B$7:$B$156,MATCH($S2314,MUSTERILER!$T$7:$T$156,0)),""))</f>
        <v/>
      </c>
      <c r="U2314" s="1" t="str">
        <f>IF($T2314="","",$T2314&amp;"|"&amp;COUNTIFS($T$7:$T2314,$T2314))</f>
        <v/>
      </c>
      <c r="V2314" s="1">
        <f t="shared" si="296"/>
        <v>0</v>
      </c>
      <c r="W2314" s="1" t="str">
        <f t="shared" si="297"/>
        <v/>
      </c>
      <c r="X2314" s="1"/>
      <c r="Y2314" s="1"/>
      <c r="Z2314" s="1"/>
      <c r="AA2314" s="1"/>
      <c r="AB2314" s="1"/>
      <c r="AC2314" s="1"/>
      <c r="AD2314" s="1">
        <f>IF($C2314="",0,SUMPRODUCT((AY_SONU!$O$7:$O$42="Evet")*(AY_SONU!$B$7:$B$42=DATE(YEAR($C2314),MONTH($C2314),1))))</f>
        <v>0</v>
      </c>
      <c r="AE2314" s="1" t="str">
        <f>IF($E2314="","",$E2314&amp;"|"&amp;COUNTIFS($E$7:$E2314,$E2314))</f>
        <v/>
      </c>
    </row>
    <row r="2315" spans="1:31" ht="18" customHeight="1" x14ac:dyDescent="0.3">
      <c r="A2315" s="2"/>
      <c r="B2315" s="65" t="str">
        <f t="shared" si="290"/>
        <v/>
      </c>
      <c r="C2315" s="66"/>
      <c r="D2315" s="60"/>
      <c r="E2315" s="61"/>
      <c r="F2315" s="61"/>
      <c r="G2315" s="67"/>
      <c r="H2315" s="60"/>
      <c r="I2315" s="60"/>
      <c r="J2315" s="61"/>
      <c r="K2315" s="61"/>
      <c r="L2315" s="60"/>
      <c r="M2315" s="74" t="str">
        <f t="shared" si="291"/>
        <v/>
      </c>
      <c r="N2315" s="74" t="str">
        <f t="shared" si="292"/>
        <v/>
      </c>
      <c r="O2315" s="73" t="str">
        <f t="shared" si="293"/>
        <v/>
      </c>
      <c r="P2315" s="65" t="str">
        <f t="shared" ca="1" si="294"/>
        <v/>
      </c>
      <c r="Q2315" s="2"/>
      <c r="R2315" s="2"/>
      <c r="S2315" s="1" t="str">
        <f t="shared" si="295"/>
        <v/>
      </c>
      <c r="T2315" s="1" t="str">
        <f>IF(OR($C2315="",$D2315&lt;&gt;"Gelir",$L2315=""),"",IFERROR(INDEX(MUSTERILER!$B$7:$B$156,MATCH($S2315,MUSTERILER!$T$7:$T$156,0)),""))</f>
        <v/>
      </c>
      <c r="U2315" s="1" t="str">
        <f>IF($T2315="","",$T2315&amp;"|"&amp;COUNTIFS($T$7:$T2315,$T2315))</f>
        <v/>
      </c>
      <c r="V2315" s="1">
        <f t="shared" si="296"/>
        <v>0</v>
      </c>
      <c r="W2315" s="1" t="str">
        <f t="shared" si="297"/>
        <v/>
      </c>
      <c r="X2315" s="1"/>
      <c r="Y2315" s="1"/>
      <c r="Z2315" s="1"/>
      <c r="AA2315" s="1"/>
      <c r="AB2315" s="1"/>
      <c r="AC2315" s="1"/>
      <c r="AD2315" s="1">
        <f>IF($C2315="",0,SUMPRODUCT((AY_SONU!$O$7:$O$42="Evet")*(AY_SONU!$B$7:$B$42=DATE(YEAR($C2315),MONTH($C2315),1))))</f>
        <v>0</v>
      </c>
      <c r="AE2315" s="1" t="str">
        <f>IF($E2315="","",$E2315&amp;"|"&amp;COUNTIFS($E$7:$E2315,$E2315))</f>
        <v/>
      </c>
    </row>
    <row r="2316" spans="1:31" ht="18" customHeight="1" x14ac:dyDescent="0.3">
      <c r="A2316" s="2"/>
      <c r="B2316" s="65" t="str">
        <f t="shared" si="290"/>
        <v/>
      </c>
      <c r="C2316" s="66"/>
      <c r="D2316" s="60"/>
      <c r="E2316" s="61"/>
      <c r="F2316" s="61"/>
      <c r="G2316" s="67"/>
      <c r="H2316" s="60"/>
      <c r="I2316" s="60"/>
      <c r="J2316" s="61"/>
      <c r="K2316" s="61"/>
      <c r="L2316" s="60"/>
      <c r="M2316" s="74" t="str">
        <f t="shared" si="291"/>
        <v/>
      </c>
      <c r="N2316" s="74" t="str">
        <f t="shared" si="292"/>
        <v/>
      </c>
      <c r="O2316" s="73" t="str">
        <f t="shared" si="293"/>
        <v/>
      </c>
      <c r="P2316" s="65" t="str">
        <f t="shared" ca="1" si="294"/>
        <v/>
      </c>
      <c r="Q2316" s="2"/>
      <c r="R2316" s="2"/>
      <c r="S2316" s="1" t="str">
        <f t="shared" si="295"/>
        <v/>
      </c>
      <c r="T2316" s="1" t="str">
        <f>IF(OR($C2316="",$D2316&lt;&gt;"Gelir",$L2316=""),"",IFERROR(INDEX(MUSTERILER!$B$7:$B$156,MATCH($S2316,MUSTERILER!$T$7:$T$156,0)),""))</f>
        <v/>
      </c>
      <c r="U2316" s="1" t="str">
        <f>IF($T2316="","",$T2316&amp;"|"&amp;COUNTIFS($T$7:$T2316,$T2316))</f>
        <v/>
      </c>
      <c r="V2316" s="1">
        <f t="shared" si="296"/>
        <v>0</v>
      </c>
      <c r="W2316" s="1" t="str">
        <f t="shared" si="297"/>
        <v/>
      </c>
      <c r="X2316" s="1"/>
      <c r="Y2316" s="1"/>
      <c r="Z2316" s="1"/>
      <c r="AA2316" s="1"/>
      <c r="AB2316" s="1"/>
      <c r="AC2316" s="1"/>
      <c r="AD2316" s="1">
        <f>IF($C2316="",0,SUMPRODUCT((AY_SONU!$O$7:$O$42="Evet")*(AY_SONU!$B$7:$B$42=DATE(YEAR($C2316),MONTH($C2316),1))))</f>
        <v>0</v>
      </c>
      <c r="AE2316" s="1" t="str">
        <f>IF($E2316="","",$E2316&amp;"|"&amp;COUNTIFS($E$7:$E2316,$E2316))</f>
        <v/>
      </c>
    </row>
    <row r="2317" spans="1:31" ht="18" customHeight="1" x14ac:dyDescent="0.3">
      <c r="A2317" s="2"/>
      <c r="B2317" s="65" t="str">
        <f t="shared" si="290"/>
        <v/>
      </c>
      <c r="C2317" s="66"/>
      <c r="D2317" s="60"/>
      <c r="E2317" s="61"/>
      <c r="F2317" s="61"/>
      <c r="G2317" s="67"/>
      <c r="H2317" s="60"/>
      <c r="I2317" s="60"/>
      <c r="J2317" s="61"/>
      <c r="K2317" s="61"/>
      <c r="L2317" s="60"/>
      <c r="M2317" s="74" t="str">
        <f t="shared" si="291"/>
        <v/>
      </c>
      <c r="N2317" s="74" t="str">
        <f t="shared" si="292"/>
        <v/>
      </c>
      <c r="O2317" s="73" t="str">
        <f t="shared" si="293"/>
        <v/>
      </c>
      <c r="P2317" s="65" t="str">
        <f t="shared" ca="1" si="294"/>
        <v/>
      </c>
      <c r="Q2317" s="2"/>
      <c r="R2317" s="2"/>
      <c r="S2317" s="1" t="str">
        <f t="shared" si="295"/>
        <v/>
      </c>
      <c r="T2317" s="1" t="str">
        <f>IF(OR($C2317="",$D2317&lt;&gt;"Gelir",$L2317=""),"",IFERROR(INDEX(MUSTERILER!$B$7:$B$156,MATCH($S2317,MUSTERILER!$T$7:$T$156,0)),""))</f>
        <v/>
      </c>
      <c r="U2317" s="1" t="str">
        <f>IF($T2317="","",$T2317&amp;"|"&amp;COUNTIFS($T$7:$T2317,$T2317))</f>
        <v/>
      </c>
      <c r="V2317" s="1">
        <f t="shared" si="296"/>
        <v>0</v>
      </c>
      <c r="W2317" s="1" t="str">
        <f t="shared" si="297"/>
        <v/>
      </c>
      <c r="X2317" s="1"/>
      <c r="Y2317" s="1"/>
      <c r="Z2317" s="1"/>
      <c r="AA2317" s="1"/>
      <c r="AB2317" s="1"/>
      <c r="AC2317" s="1"/>
      <c r="AD2317" s="1">
        <f>IF($C2317="",0,SUMPRODUCT((AY_SONU!$O$7:$O$42="Evet")*(AY_SONU!$B$7:$B$42=DATE(YEAR($C2317),MONTH($C2317),1))))</f>
        <v>0</v>
      </c>
      <c r="AE2317" s="1" t="str">
        <f>IF($E2317="","",$E2317&amp;"|"&amp;COUNTIFS($E$7:$E2317,$E2317))</f>
        <v/>
      </c>
    </row>
    <row r="2318" spans="1:31" ht="18" customHeight="1" x14ac:dyDescent="0.3">
      <c r="A2318" s="2"/>
      <c r="B2318" s="65" t="str">
        <f t="shared" si="290"/>
        <v/>
      </c>
      <c r="C2318" s="66"/>
      <c r="D2318" s="60"/>
      <c r="E2318" s="61"/>
      <c r="F2318" s="61"/>
      <c r="G2318" s="67"/>
      <c r="H2318" s="60"/>
      <c r="I2318" s="60"/>
      <c r="J2318" s="61"/>
      <c r="K2318" s="61"/>
      <c r="L2318" s="60"/>
      <c r="M2318" s="74" t="str">
        <f t="shared" si="291"/>
        <v/>
      </c>
      <c r="N2318" s="74" t="str">
        <f t="shared" si="292"/>
        <v/>
      </c>
      <c r="O2318" s="73" t="str">
        <f t="shared" si="293"/>
        <v/>
      </c>
      <c r="P2318" s="65" t="str">
        <f t="shared" ca="1" si="294"/>
        <v/>
      </c>
      <c r="Q2318" s="2"/>
      <c r="R2318" s="2"/>
      <c r="S2318" s="1" t="str">
        <f t="shared" si="295"/>
        <v/>
      </c>
      <c r="T2318" s="1" t="str">
        <f>IF(OR($C2318="",$D2318&lt;&gt;"Gelir",$L2318=""),"",IFERROR(INDEX(MUSTERILER!$B$7:$B$156,MATCH($S2318,MUSTERILER!$T$7:$T$156,0)),""))</f>
        <v/>
      </c>
      <c r="U2318" s="1" t="str">
        <f>IF($T2318="","",$T2318&amp;"|"&amp;COUNTIFS($T$7:$T2318,$T2318))</f>
        <v/>
      </c>
      <c r="V2318" s="1">
        <f t="shared" si="296"/>
        <v>0</v>
      </c>
      <c r="W2318" s="1" t="str">
        <f t="shared" si="297"/>
        <v/>
      </c>
      <c r="X2318" s="1"/>
      <c r="Y2318" s="1"/>
      <c r="Z2318" s="1"/>
      <c r="AA2318" s="1"/>
      <c r="AB2318" s="1"/>
      <c r="AC2318" s="1"/>
      <c r="AD2318" s="1">
        <f>IF($C2318="",0,SUMPRODUCT((AY_SONU!$O$7:$O$42="Evet")*(AY_SONU!$B$7:$B$42=DATE(YEAR($C2318),MONTH($C2318),1))))</f>
        <v>0</v>
      </c>
      <c r="AE2318" s="1" t="str">
        <f>IF($E2318="","",$E2318&amp;"|"&amp;COUNTIFS($E$7:$E2318,$E2318))</f>
        <v/>
      </c>
    </row>
    <row r="2319" spans="1:31" ht="18" customHeight="1" x14ac:dyDescent="0.3">
      <c r="A2319" s="2"/>
      <c r="B2319" s="65" t="str">
        <f t="shared" si="290"/>
        <v/>
      </c>
      <c r="C2319" s="66"/>
      <c r="D2319" s="60"/>
      <c r="E2319" s="61"/>
      <c r="F2319" s="61"/>
      <c r="G2319" s="67"/>
      <c r="H2319" s="60"/>
      <c r="I2319" s="60"/>
      <c r="J2319" s="61"/>
      <c r="K2319" s="61"/>
      <c r="L2319" s="60"/>
      <c r="M2319" s="74" t="str">
        <f t="shared" si="291"/>
        <v/>
      </c>
      <c r="N2319" s="74" t="str">
        <f t="shared" si="292"/>
        <v/>
      </c>
      <c r="O2319" s="73" t="str">
        <f t="shared" si="293"/>
        <v/>
      </c>
      <c r="P2319" s="65" t="str">
        <f t="shared" ca="1" si="294"/>
        <v/>
      </c>
      <c r="Q2319" s="2"/>
      <c r="R2319" s="2"/>
      <c r="S2319" s="1" t="str">
        <f t="shared" si="295"/>
        <v/>
      </c>
      <c r="T2319" s="1" t="str">
        <f>IF(OR($C2319="",$D2319&lt;&gt;"Gelir",$L2319=""),"",IFERROR(INDEX(MUSTERILER!$B$7:$B$156,MATCH($S2319,MUSTERILER!$T$7:$T$156,0)),""))</f>
        <v/>
      </c>
      <c r="U2319" s="1" t="str">
        <f>IF($T2319="","",$T2319&amp;"|"&amp;COUNTIFS($T$7:$T2319,$T2319))</f>
        <v/>
      </c>
      <c r="V2319" s="1">
        <f t="shared" si="296"/>
        <v>0</v>
      </c>
      <c r="W2319" s="1" t="str">
        <f t="shared" si="297"/>
        <v/>
      </c>
      <c r="X2319" s="1"/>
      <c r="Y2319" s="1"/>
      <c r="Z2319" s="1"/>
      <c r="AA2319" s="1"/>
      <c r="AB2319" s="1"/>
      <c r="AC2319" s="1"/>
      <c r="AD2319" s="1">
        <f>IF($C2319="",0,SUMPRODUCT((AY_SONU!$O$7:$O$42="Evet")*(AY_SONU!$B$7:$B$42=DATE(YEAR($C2319),MONTH($C2319),1))))</f>
        <v>0</v>
      </c>
      <c r="AE2319" s="1" t="str">
        <f>IF($E2319="","",$E2319&amp;"|"&amp;COUNTIFS($E$7:$E2319,$E2319))</f>
        <v/>
      </c>
    </row>
    <row r="2320" spans="1:31" ht="18" customHeight="1" x14ac:dyDescent="0.3">
      <c r="A2320" s="2"/>
      <c r="B2320" s="65" t="str">
        <f t="shared" si="290"/>
        <v/>
      </c>
      <c r="C2320" s="66"/>
      <c r="D2320" s="60"/>
      <c r="E2320" s="61"/>
      <c r="F2320" s="61"/>
      <c r="G2320" s="67"/>
      <c r="H2320" s="60"/>
      <c r="I2320" s="60"/>
      <c r="J2320" s="61"/>
      <c r="K2320" s="61"/>
      <c r="L2320" s="60"/>
      <c r="M2320" s="74" t="str">
        <f t="shared" si="291"/>
        <v/>
      </c>
      <c r="N2320" s="74" t="str">
        <f t="shared" si="292"/>
        <v/>
      </c>
      <c r="O2320" s="73" t="str">
        <f t="shared" si="293"/>
        <v/>
      </c>
      <c r="P2320" s="65" t="str">
        <f t="shared" ca="1" si="294"/>
        <v/>
      </c>
      <c r="Q2320" s="2"/>
      <c r="R2320" s="2"/>
      <c r="S2320" s="1" t="str">
        <f t="shared" si="295"/>
        <v/>
      </c>
      <c r="T2320" s="1" t="str">
        <f>IF(OR($C2320="",$D2320&lt;&gt;"Gelir",$L2320=""),"",IFERROR(INDEX(MUSTERILER!$B$7:$B$156,MATCH($S2320,MUSTERILER!$T$7:$T$156,0)),""))</f>
        <v/>
      </c>
      <c r="U2320" s="1" t="str">
        <f>IF($T2320="","",$T2320&amp;"|"&amp;COUNTIFS($T$7:$T2320,$T2320))</f>
        <v/>
      </c>
      <c r="V2320" s="1">
        <f t="shared" si="296"/>
        <v>0</v>
      </c>
      <c r="W2320" s="1" t="str">
        <f t="shared" si="297"/>
        <v/>
      </c>
      <c r="X2320" s="1"/>
      <c r="Y2320" s="1"/>
      <c r="Z2320" s="1"/>
      <c r="AA2320" s="1"/>
      <c r="AB2320" s="1"/>
      <c r="AC2320" s="1"/>
      <c r="AD2320" s="1">
        <f>IF($C2320="",0,SUMPRODUCT((AY_SONU!$O$7:$O$42="Evet")*(AY_SONU!$B$7:$B$42=DATE(YEAR($C2320),MONTH($C2320),1))))</f>
        <v>0</v>
      </c>
      <c r="AE2320" s="1" t="str">
        <f>IF($E2320="","",$E2320&amp;"|"&amp;COUNTIFS($E$7:$E2320,$E2320))</f>
        <v/>
      </c>
    </row>
    <row r="2321" spans="1:31" ht="18" customHeight="1" x14ac:dyDescent="0.3">
      <c r="A2321" s="2"/>
      <c r="B2321" s="65" t="str">
        <f t="shared" si="290"/>
        <v/>
      </c>
      <c r="C2321" s="66"/>
      <c r="D2321" s="60"/>
      <c r="E2321" s="61"/>
      <c r="F2321" s="61"/>
      <c r="G2321" s="67"/>
      <c r="H2321" s="60"/>
      <c r="I2321" s="60"/>
      <c r="J2321" s="61"/>
      <c r="K2321" s="61"/>
      <c r="L2321" s="60"/>
      <c r="M2321" s="74" t="str">
        <f t="shared" si="291"/>
        <v/>
      </c>
      <c r="N2321" s="74" t="str">
        <f t="shared" si="292"/>
        <v/>
      </c>
      <c r="O2321" s="73" t="str">
        <f t="shared" si="293"/>
        <v/>
      </c>
      <c r="P2321" s="65" t="str">
        <f t="shared" ca="1" si="294"/>
        <v/>
      </c>
      <c r="Q2321" s="2"/>
      <c r="R2321" s="2"/>
      <c r="S2321" s="1" t="str">
        <f t="shared" si="295"/>
        <v/>
      </c>
      <c r="T2321" s="1" t="str">
        <f>IF(OR($C2321="",$D2321&lt;&gt;"Gelir",$L2321=""),"",IFERROR(INDEX(MUSTERILER!$B$7:$B$156,MATCH($S2321,MUSTERILER!$T$7:$T$156,0)),""))</f>
        <v/>
      </c>
      <c r="U2321" s="1" t="str">
        <f>IF($T2321="","",$T2321&amp;"|"&amp;COUNTIFS($T$7:$T2321,$T2321))</f>
        <v/>
      </c>
      <c r="V2321" s="1">
        <f t="shared" si="296"/>
        <v>0</v>
      </c>
      <c r="W2321" s="1" t="str">
        <f t="shared" si="297"/>
        <v/>
      </c>
      <c r="X2321" s="1"/>
      <c r="Y2321" s="1"/>
      <c r="Z2321" s="1"/>
      <c r="AA2321" s="1"/>
      <c r="AB2321" s="1"/>
      <c r="AC2321" s="1"/>
      <c r="AD2321" s="1">
        <f>IF($C2321="",0,SUMPRODUCT((AY_SONU!$O$7:$O$42="Evet")*(AY_SONU!$B$7:$B$42=DATE(YEAR($C2321),MONTH($C2321),1))))</f>
        <v>0</v>
      </c>
      <c r="AE2321" s="1" t="str">
        <f>IF($E2321="","",$E2321&amp;"|"&amp;COUNTIFS($E$7:$E2321,$E2321))</f>
        <v/>
      </c>
    </row>
    <row r="2322" spans="1:31" ht="18" customHeight="1" x14ac:dyDescent="0.3">
      <c r="A2322" s="2"/>
      <c r="B2322" s="65" t="str">
        <f t="shared" si="290"/>
        <v/>
      </c>
      <c r="C2322" s="66"/>
      <c r="D2322" s="60"/>
      <c r="E2322" s="61"/>
      <c r="F2322" s="61"/>
      <c r="G2322" s="67"/>
      <c r="H2322" s="60"/>
      <c r="I2322" s="60"/>
      <c r="J2322" s="61"/>
      <c r="K2322" s="61"/>
      <c r="L2322" s="60"/>
      <c r="M2322" s="74" t="str">
        <f t="shared" si="291"/>
        <v/>
      </c>
      <c r="N2322" s="74" t="str">
        <f t="shared" si="292"/>
        <v/>
      </c>
      <c r="O2322" s="73" t="str">
        <f t="shared" si="293"/>
        <v/>
      </c>
      <c r="P2322" s="65" t="str">
        <f t="shared" ca="1" si="294"/>
        <v/>
      </c>
      <c r="Q2322" s="2"/>
      <c r="R2322" s="2"/>
      <c r="S2322" s="1" t="str">
        <f t="shared" si="295"/>
        <v/>
      </c>
      <c r="T2322" s="1" t="str">
        <f>IF(OR($C2322="",$D2322&lt;&gt;"Gelir",$L2322=""),"",IFERROR(INDEX(MUSTERILER!$B$7:$B$156,MATCH($S2322,MUSTERILER!$T$7:$T$156,0)),""))</f>
        <v/>
      </c>
      <c r="U2322" s="1" t="str">
        <f>IF($T2322="","",$T2322&amp;"|"&amp;COUNTIFS($T$7:$T2322,$T2322))</f>
        <v/>
      </c>
      <c r="V2322" s="1">
        <f t="shared" si="296"/>
        <v>0</v>
      </c>
      <c r="W2322" s="1" t="str">
        <f t="shared" si="297"/>
        <v/>
      </c>
      <c r="X2322" s="1"/>
      <c r="Y2322" s="1"/>
      <c r="Z2322" s="1"/>
      <c r="AA2322" s="1"/>
      <c r="AB2322" s="1"/>
      <c r="AC2322" s="1"/>
      <c r="AD2322" s="1">
        <f>IF($C2322="",0,SUMPRODUCT((AY_SONU!$O$7:$O$42="Evet")*(AY_SONU!$B$7:$B$42=DATE(YEAR($C2322),MONTH($C2322),1))))</f>
        <v>0</v>
      </c>
      <c r="AE2322" s="1" t="str">
        <f>IF($E2322="","",$E2322&amp;"|"&amp;COUNTIFS($E$7:$E2322,$E2322))</f>
        <v/>
      </c>
    </row>
    <row r="2323" spans="1:31" ht="18" customHeight="1" x14ac:dyDescent="0.3">
      <c r="A2323" s="2"/>
      <c r="B2323" s="65" t="str">
        <f t="shared" si="290"/>
        <v/>
      </c>
      <c r="C2323" s="66"/>
      <c r="D2323" s="60"/>
      <c r="E2323" s="61"/>
      <c r="F2323" s="61"/>
      <c r="G2323" s="67"/>
      <c r="H2323" s="60"/>
      <c r="I2323" s="60"/>
      <c r="J2323" s="61"/>
      <c r="K2323" s="61"/>
      <c r="L2323" s="60"/>
      <c r="M2323" s="74" t="str">
        <f t="shared" si="291"/>
        <v/>
      </c>
      <c r="N2323" s="74" t="str">
        <f t="shared" si="292"/>
        <v/>
      </c>
      <c r="O2323" s="73" t="str">
        <f t="shared" si="293"/>
        <v/>
      </c>
      <c r="P2323" s="65" t="str">
        <f t="shared" ca="1" si="294"/>
        <v/>
      </c>
      <c r="Q2323" s="2"/>
      <c r="R2323" s="2"/>
      <c r="S2323" s="1" t="str">
        <f t="shared" si="295"/>
        <v/>
      </c>
      <c r="T2323" s="1" t="str">
        <f>IF(OR($C2323="",$D2323&lt;&gt;"Gelir",$L2323=""),"",IFERROR(INDEX(MUSTERILER!$B$7:$B$156,MATCH($S2323,MUSTERILER!$T$7:$T$156,0)),""))</f>
        <v/>
      </c>
      <c r="U2323" s="1" t="str">
        <f>IF($T2323="","",$T2323&amp;"|"&amp;COUNTIFS($T$7:$T2323,$T2323))</f>
        <v/>
      </c>
      <c r="V2323" s="1">
        <f t="shared" si="296"/>
        <v>0</v>
      </c>
      <c r="W2323" s="1" t="str">
        <f t="shared" si="297"/>
        <v/>
      </c>
      <c r="X2323" s="1"/>
      <c r="Y2323" s="1"/>
      <c r="Z2323" s="1"/>
      <c r="AA2323" s="1"/>
      <c r="AB2323" s="1"/>
      <c r="AC2323" s="1"/>
      <c r="AD2323" s="1">
        <f>IF($C2323="",0,SUMPRODUCT((AY_SONU!$O$7:$O$42="Evet")*(AY_SONU!$B$7:$B$42=DATE(YEAR($C2323),MONTH($C2323),1))))</f>
        <v>0</v>
      </c>
      <c r="AE2323" s="1" t="str">
        <f>IF($E2323="","",$E2323&amp;"|"&amp;COUNTIFS($E$7:$E2323,$E2323))</f>
        <v/>
      </c>
    </row>
    <row r="2324" spans="1:31" ht="18" customHeight="1" x14ac:dyDescent="0.3">
      <c r="A2324" s="2"/>
      <c r="B2324" s="65" t="str">
        <f t="shared" si="290"/>
        <v/>
      </c>
      <c r="C2324" s="66"/>
      <c r="D2324" s="60"/>
      <c r="E2324" s="61"/>
      <c r="F2324" s="61"/>
      <c r="G2324" s="67"/>
      <c r="H2324" s="60"/>
      <c r="I2324" s="60"/>
      <c r="J2324" s="61"/>
      <c r="K2324" s="61"/>
      <c r="L2324" s="60"/>
      <c r="M2324" s="74" t="str">
        <f t="shared" si="291"/>
        <v/>
      </c>
      <c r="N2324" s="74" t="str">
        <f t="shared" si="292"/>
        <v/>
      </c>
      <c r="O2324" s="73" t="str">
        <f t="shared" si="293"/>
        <v/>
      </c>
      <c r="P2324" s="65" t="str">
        <f t="shared" ca="1" si="294"/>
        <v/>
      </c>
      <c r="Q2324" s="2"/>
      <c r="R2324" s="2"/>
      <c r="S2324" s="1" t="str">
        <f t="shared" si="295"/>
        <v/>
      </c>
      <c r="T2324" s="1" t="str">
        <f>IF(OR($C2324="",$D2324&lt;&gt;"Gelir",$L2324=""),"",IFERROR(INDEX(MUSTERILER!$B$7:$B$156,MATCH($S2324,MUSTERILER!$T$7:$T$156,0)),""))</f>
        <v/>
      </c>
      <c r="U2324" s="1" t="str">
        <f>IF($T2324="","",$T2324&amp;"|"&amp;COUNTIFS($T$7:$T2324,$T2324))</f>
        <v/>
      </c>
      <c r="V2324" s="1">
        <f t="shared" si="296"/>
        <v>0</v>
      </c>
      <c r="W2324" s="1" t="str">
        <f t="shared" si="297"/>
        <v/>
      </c>
      <c r="X2324" s="1"/>
      <c r="Y2324" s="1"/>
      <c r="Z2324" s="1"/>
      <c r="AA2324" s="1"/>
      <c r="AB2324" s="1"/>
      <c r="AC2324" s="1"/>
      <c r="AD2324" s="1">
        <f>IF($C2324="",0,SUMPRODUCT((AY_SONU!$O$7:$O$42="Evet")*(AY_SONU!$B$7:$B$42=DATE(YEAR($C2324),MONTH($C2324),1))))</f>
        <v>0</v>
      </c>
      <c r="AE2324" s="1" t="str">
        <f>IF($E2324="","",$E2324&amp;"|"&amp;COUNTIFS($E$7:$E2324,$E2324))</f>
        <v/>
      </c>
    </row>
    <row r="2325" spans="1:31" ht="18" customHeight="1" x14ac:dyDescent="0.3">
      <c r="A2325" s="2"/>
      <c r="B2325" s="65" t="str">
        <f t="shared" si="290"/>
        <v/>
      </c>
      <c r="C2325" s="66"/>
      <c r="D2325" s="60"/>
      <c r="E2325" s="61"/>
      <c r="F2325" s="61"/>
      <c r="G2325" s="67"/>
      <c r="H2325" s="60"/>
      <c r="I2325" s="60"/>
      <c r="J2325" s="61"/>
      <c r="K2325" s="61"/>
      <c r="L2325" s="60"/>
      <c r="M2325" s="74" t="str">
        <f t="shared" si="291"/>
        <v/>
      </c>
      <c r="N2325" s="74" t="str">
        <f t="shared" si="292"/>
        <v/>
      </c>
      <c r="O2325" s="73" t="str">
        <f t="shared" si="293"/>
        <v/>
      </c>
      <c r="P2325" s="65" t="str">
        <f t="shared" ca="1" si="294"/>
        <v/>
      </c>
      <c r="Q2325" s="2"/>
      <c r="R2325" s="2"/>
      <c r="S2325" s="1" t="str">
        <f t="shared" si="295"/>
        <v/>
      </c>
      <c r="T2325" s="1" t="str">
        <f>IF(OR($C2325="",$D2325&lt;&gt;"Gelir",$L2325=""),"",IFERROR(INDEX(MUSTERILER!$B$7:$B$156,MATCH($S2325,MUSTERILER!$T$7:$T$156,0)),""))</f>
        <v/>
      </c>
      <c r="U2325" s="1" t="str">
        <f>IF($T2325="","",$T2325&amp;"|"&amp;COUNTIFS($T$7:$T2325,$T2325))</f>
        <v/>
      </c>
      <c r="V2325" s="1">
        <f t="shared" si="296"/>
        <v>0</v>
      </c>
      <c r="W2325" s="1" t="str">
        <f t="shared" si="297"/>
        <v/>
      </c>
      <c r="X2325" s="1"/>
      <c r="Y2325" s="1"/>
      <c r="Z2325" s="1"/>
      <c r="AA2325" s="1"/>
      <c r="AB2325" s="1"/>
      <c r="AC2325" s="1"/>
      <c r="AD2325" s="1">
        <f>IF($C2325="",0,SUMPRODUCT((AY_SONU!$O$7:$O$42="Evet")*(AY_SONU!$B$7:$B$42=DATE(YEAR($C2325),MONTH($C2325),1))))</f>
        <v>0</v>
      </c>
      <c r="AE2325" s="1" t="str">
        <f>IF($E2325="","",$E2325&amp;"|"&amp;COUNTIFS($E$7:$E2325,$E2325))</f>
        <v/>
      </c>
    </row>
    <row r="2326" spans="1:31" ht="18" customHeight="1" x14ac:dyDescent="0.3">
      <c r="A2326" s="2"/>
      <c r="B2326" s="65" t="str">
        <f t="shared" si="290"/>
        <v/>
      </c>
      <c r="C2326" s="66"/>
      <c r="D2326" s="60"/>
      <c r="E2326" s="61"/>
      <c r="F2326" s="61"/>
      <c r="G2326" s="67"/>
      <c r="H2326" s="60"/>
      <c r="I2326" s="60"/>
      <c r="J2326" s="61"/>
      <c r="K2326" s="61"/>
      <c r="L2326" s="60"/>
      <c r="M2326" s="74" t="str">
        <f t="shared" si="291"/>
        <v/>
      </c>
      <c r="N2326" s="74" t="str">
        <f t="shared" si="292"/>
        <v/>
      </c>
      <c r="O2326" s="73" t="str">
        <f t="shared" si="293"/>
        <v/>
      </c>
      <c r="P2326" s="65" t="str">
        <f t="shared" ca="1" si="294"/>
        <v/>
      </c>
      <c r="Q2326" s="2"/>
      <c r="R2326" s="2"/>
      <c r="S2326" s="1" t="str">
        <f t="shared" si="295"/>
        <v/>
      </c>
      <c r="T2326" s="1" t="str">
        <f>IF(OR($C2326="",$D2326&lt;&gt;"Gelir",$L2326=""),"",IFERROR(INDEX(MUSTERILER!$B$7:$B$156,MATCH($S2326,MUSTERILER!$T$7:$T$156,0)),""))</f>
        <v/>
      </c>
      <c r="U2326" s="1" t="str">
        <f>IF($T2326="","",$T2326&amp;"|"&amp;COUNTIFS($T$7:$T2326,$T2326))</f>
        <v/>
      </c>
      <c r="V2326" s="1">
        <f t="shared" si="296"/>
        <v>0</v>
      </c>
      <c r="W2326" s="1" t="str">
        <f t="shared" si="297"/>
        <v/>
      </c>
      <c r="X2326" s="1"/>
      <c r="Y2326" s="1"/>
      <c r="Z2326" s="1"/>
      <c r="AA2326" s="1"/>
      <c r="AB2326" s="1"/>
      <c r="AC2326" s="1"/>
      <c r="AD2326" s="1">
        <f>IF($C2326="",0,SUMPRODUCT((AY_SONU!$O$7:$O$42="Evet")*(AY_SONU!$B$7:$B$42=DATE(YEAR($C2326),MONTH($C2326),1))))</f>
        <v>0</v>
      </c>
      <c r="AE2326" s="1" t="str">
        <f>IF($E2326="","",$E2326&amp;"|"&amp;COUNTIFS($E$7:$E2326,$E2326))</f>
        <v/>
      </c>
    </row>
    <row r="2327" spans="1:31" ht="18" customHeight="1" x14ac:dyDescent="0.3">
      <c r="A2327" s="2"/>
      <c r="B2327" s="65" t="str">
        <f t="shared" si="290"/>
        <v/>
      </c>
      <c r="C2327" s="66"/>
      <c r="D2327" s="60"/>
      <c r="E2327" s="61"/>
      <c r="F2327" s="61"/>
      <c r="G2327" s="67"/>
      <c r="H2327" s="60"/>
      <c r="I2327" s="60"/>
      <c r="J2327" s="61"/>
      <c r="K2327" s="61"/>
      <c r="L2327" s="60"/>
      <c r="M2327" s="74" t="str">
        <f t="shared" si="291"/>
        <v/>
      </c>
      <c r="N2327" s="74" t="str">
        <f t="shared" si="292"/>
        <v/>
      </c>
      <c r="O2327" s="73" t="str">
        <f t="shared" si="293"/>
        <v/>
      </c>
      <c r="P2327" s="65" t="str">
        <f t="shared" ca="1" si="294"/>
        <v/>
      </c>
      <c r="Q2327" s="2"/>
      <c r="R2327" s="2"/>
      <c r="S2327" s="1" t="str">
        <f t="shared" si="295"/>
        <v/>
      </c>
      <c r="T2327" s="1" t="str">
        <f>IF(OR($C2327="",$D2327&lt;&gt;"Gelir",$L2327=""),"",IFERROR(INDEX(MUSTERILER!$B$7:$B$156,MATCH($S2327,MUSTERILER!$T$7:$T$156,0)),""))</f>
        <v/>
      </c>
      <c r="U2327" s="1" t="str">
        <f>IF($T2327="","",$T2327&amp;"|"&amp;COUNTIFS($T$7:$T2327,$T2327))</f>
        <v/>
      </c>
      <c r="V2327" s="1">
        <f t="shared" si="296"/>
        <v>0</v>
      </c>
      <c r="W2327" s="1" t="str">
        <f t="shared" si="297"/>
        <v/>
      </c>
      <c r="X2327" s="1"/>
      <c r="Y2327" s="1"/>
      <c r="Z2327" s="1"/>
      <c r="AA2327" s="1"/>
      <c r="AB2327" s="1"/>
      <c r="AC2327" s="1"/>
      <c r="AD2327" s="1">
        <f>IF($C2327="",0,SUMPRODUCT((AY_SONU!$O$7:$O$42="Evet")*(AY_SONU!$B$7:$B$42=DATE(YEAR($C2327),MONTH($C2327),1))))</f>
        <v>0</v>
      </c>
      <c r="AE2327" s="1" t="str">
        <f>IF($E2327="","",$E2327&amp;"|"&amp;COUNTIFS($E$7:$E2327,$E2327))</f>
        <v/>
      </c>
    </row>
    <row r="2328" spans="1:31" ht="18" customHeight="1" x14ac:dyDescent="0.3">
      <c r="A2328" s="2"/>
      <c r="B2328" s="65" t="str">
        <f t="shared" si="290"/>
        <v/>
      </c>
      <c r="C2328" s="66"/>
      <c r="D2328" s="60"/>
      <c r="E2328" s="61"/>
      <c r="F2328" s="61"/>
      <c r="G2328" s="67"/>
      <c r="H2328" s="60"/>
      <c r="I2328" s="60"/>
      <c r="J2328" s="61"/>
      <c r="K2328" s="61"/>
      <c r="L2328" s="60"/>
      <c r="M2328" s="74" t="str">
        <f t="shared" si="291"/>
        <v/>
      </c>
      <c r="N2328" s="74" t="str">
        <f t="shared" si="292"/>
        <v/>
      </c>
      <c r="O2328" s="73" t="str">
        <f t="shared" si="293"/>
        <v/>
      </c>
      <c r="P2328" s="65" t="str">
        <f t="shared" ca="1" si="294"/>
        <v/>
      </c>
      <c r="Q2328" s="2"/>
      <c r="R2328" s="2"/>
      <c r="S2328" s="1" t="str">
        <f t="shared" si="295"/>
        <v/>
      </c>
      <c r="T2328" s="1" t="str">
        <f>IF(OR($C2328="",$D2328&lt;&gt;"Gelir",$L2328=""),"",IFERROR(INDEX(MUSTERILER!$B$7:$B$156,MATCH($S2328,MUSTERILER!$T$7:$T$156,0)),""))</f>
        <v/>
      </c>
      <c r="U2328" s="1" t="str">
        <f>IF($T2328="","",$T2328&amp;"|"&amp;COUNTIFS($T$7:$T2328,$T2328))</f>
        <v/>
      </c>
      <c r="V2328" s="1">
        <f t="shared" si="296"/>
        <v>0</v>
      </c>
      <c r="W2328" s="1" t="str">
        <f t="shared" si="297"/>
        <v/>
      </c>
      <c r="X2328" s="1"/>
      <c r="Y2328" s="1"/>
      <c r="Z2328" s="1"/>
      <c r="AA2328" s="1"/>
      <c r="AB2328" s="1"/>
      <c r="AC2328" s="1"/>
      <c r="AD2328" s="1">
        <f>IF($C2328="",0,SUMPRODUCT((AY_SONU!$O$7:$O$42="Evet")*(AY_SONU!$B$7:$B$42=DATE(YEAR($C2328),MONTH($C2328),1))))</f>
        <v>0</v>
      </c>
      <c r="AE2328" s="1" t="str">
        <f>IF($E2328="","",$E2328&amp;"|"&amp;COUNTIFS($E$7:$E2328,$E2328))</f>
        <v/>
      </c>
    </row>
    <row r="2329" spans="1:31" ht="18" customHeight="1" x14ac:dyDescent="0.3">
      <c r="A2329" s="2"/>
      <c r="B2329" s="65" t="str">
        <f t="shared" si="290"/>
        <v/>
      </c>
      <c r="C2329" s="66"/>
      <c r="D2329" s="60"/>
      <c r="E2329" s="61"/>
      <c r="F2329" s="61"/>
      <c r="G2329" s="67"/>
      <c r="H2329" s="60"/>
      <c r="I2329" s="60"/>
      <c r="J2329" s="61"/>
      <c r="K2329" s="61"/>
      <c r="L2329" s="60"/>
      <c r="M2329" s="74" t="str">
        <f t="shared" si="291"/>
        <v/>
      </c>
      <c r="N2329" s="74" t="str">
        <f t="shared" si="292"/>
        <v/>
      </c>
      <c r="O2329" s="73" t="str">
        <f t="shared" si="293"/>
        <v/>
      </c>
      <c r="P2329" s="65" t="str">
        <f t="shared" ca="1" si="294"/>
        <v/>
      </c>
      <c r="Q2329" s="2"/>
      <c r="R2329" s="2"/>
      <c r="S2329" s="1" t="str">
        <f t="shared" si="295"/>
        <v/>
      </c>
      <c r="T2329" s="1" t="str">
        <f>IF(OR($C2329="",$D2329&lt;&gt;"Gelir",$L2329=""),"",IFERROR(INDEX(MUSTERILER!$B$7:$B$156,MATCH($S2329,MUSTERILER!$T$7:$T$156,0)),""))</f>
        <v/>
      </c>
      <c r="U2329" s="1" t="str">
        <f>IF($T2329="","",$T2329&amp;"|"&amp;COUNTIFS($T$7:$T2329,$T2329))</f>
        <v/>
      </c>
      <c r="V2329" s="1">
        <f t="shared" si="296"/>
        <v>0</v>
      </c>
      <c r="W2329" s="1" t="str">
        <f t="shared" si="297"/>
        <v/>
      </c>
      <c r="X2329" s="1"/>
      <c r="Y2329" s="1"/>
      <c r="Z2329" s="1"/>
      <c r="AA2329" s="1"/>
      <c r="AB2329" s="1"/>
      <c r="AC2329" s="1"/>
      <c r="AD2329" s="1">
        <f>IF($C2329="",0,SUMPRODUCT((AY_SONU!$O$7:$O$42="Evet")*(AY_SONU!$B$7:$B$42=DATE(YEAR($C2329),MONTH($C2329),1))))</f>
        <v>0</v>
      </c>
      <c r="AE2329" s="1" t="str">
        <f>IF($E2329="","",$E2329&amp;"|"&amp;COUNTIFS($E$7:$E2329,$E2329))</f>
        <v/>
      </c>
    </row>
    <row r="2330" spans="1:31" ht="18" customHeight="1" x14ac:dyDescent="0.3">
      <c r="A2330" s="2"/>
      <c r="B2330" s="65" t="str">
        <f t="shared" si="290"/>
        <v/>
      </c>
      <c r="C2330" s="66"/>
      <c r="D2330" s="60"/>
      <c r="E2330" s="61"/>
      <c r="F2330" s="61"/>
      <c r="G2330" s="67"/>
      <c r="H2330" s="60"/>
      <c r="I2330" s="60"/>
      <c r="J2330" s="61"/>
      <c r="K2330" s="61"/>
      <c r="L2330" s="60"/>
      <c r="M2330" s="74" t="str">
        <f t="shared" si="291"/>
        <v/>
      </c>
      <c r="N2330" s="74" t="str">
        <f t="shared" si="292"/>
        <v/>
      </c>
      <c r="O2330" s="73" t="str">
        <f t="shared" si="293"/>
        <v/>
      </c>
      <c r="P2330" s="65" t="str">
        <f t="shared" ca="1" si="294"/>
        <v/>
      </c>
      <c r="Q2330" s="2"/>
      <c r="R2330" s="2"/>
      <c r="S2330" s="1" t="str">
        <f t="shared" si="295"/>
        <v/>
      </c>
      <c r="T2330" s="1" t="str">
        <f>IF(OR($C2330="",$D2330&lt;&gt;"Gelir",$L2330=""),"",IFERROR(INDEX(MUSTERILER!$B$7:$B$156,MATCH($S2330,MUSTERILER!$T$7:$T$156,0)),""))</f>
        <v/>
      </c>
      <c r="U2330" s="1" t="str">
        <f>IF($T2330="","",$T2330&amp;"|"&amp;COUNTIFS($T$7:$T2330,$T2330))</f>
        <v/>
      </c>
      <c r="V2330" s="1">
        <f t="shared" si="296"/>
        <v>0</v>
      </c>
      <c r="W2330" s="1" t="str">
        <f t="shared" si="297"/>
        <v/>
      </c>
      <c r="X2330" s="1"/>
      <c r="Y2330" s="1"/>
      <c r="Z2330" s="1"/>
      <c r="AA2330" s="1"/>
      <c r="AB2330" s="1"/>
      <c r="AC2330" s="1"/>
      <c r="AD2330" s="1">
        <f>IF($C2330="",0,SUMPRODUCT((AY_SONU!$O$7:$O$42="Evet")*(AY_SONU!$B$7:$B$42=DATE(YEAR($C2330),MONTH($C2330),1))))</f>
        <v>0</v>
      </c>
      <c r="AE2330" s="1" t="str">
        <f>IF($E2330="","",$E2330&amp;"|"&amp;COUNTIFS($E$7:$E2330,$E2330))</f>
        <v/>
      </c>
    </row>
    <row r="2331" spans="1:31" ht="18" customHeight="1" x14ac:dyDescent="0.3">
      <c r="A2331" s="2"/>
      <c r="B2331" s="65" t="str">
        <f t="shared" si="290"/>
        <v/>
      </c>
      <c r="C2331" s="66"/>
      <c r="D2331" s="60"/>
      <c r="E2331" s="61"/>
      <c r="F2331" s="61"/>
      <c r="G2331" s="67"/>
      <c r="H2331" s="60"/>
      <c r="I2331" s="60"/>
      <c r="J2331" s="61"/>
      <c r="K2331" s="61"/>
      <c r="L2331" s="60"/>
      <c r="M2331" s="74" t="str">
        <f t="shared" si="291"/>
        <v/>
      </c>
      <c r="N2331" s="74" t="str">
        <f t="shared" si="292"/>
        <v/>
      </c>
      <c r="O2331" s="73" t="str">
        <f t="shared" si="293"/>
        <v/>
      </c>
      <c r="P2331" s="65" t="str">
        <f t="shared" ca="1" si="294"/>
        <v/>
      </c>
      <c r="Q2331" s="2"/>
      <c r="R2331" s="2"/>
      <c r="S2331" s="1" t="str">
        <f t="shared" si="295"/>
        <v/>
      </c>
      <c r="T2331" s="1" t="str">
        <f>IF(OR($C2331="",$D2331&lt;&gt;"Gelir",$L2331=""),"",IFERROR(INDEX(MUSTERILER!$B$7:$B$156,MATCH($S2331,MUSTERILER!$T$7:$T$156,0)),""))</f>
        <v/>
      </c>
      <c r="U2331" s="1" t="str">
        <f>IF($T2331="","",$T2331&amp;"|"&amp;COUNTIFS($T$7:$T2331,$T2331))</f>
        <v/>
      </c>
      <c r="V2331" s="1">
        <f t="shared" si="296"/>
        <v>0</v>
      </c>
      <c r="W2331" s="1" t="str">
        <f t="shared" si="297"/>
        <v/>
      </c>
      <c r="X2331" s="1"/>
      <c r="Y2331" s="1"/>
      <c r="Z2331" s="1"/>
      <c r="AA2331" s="1"/>
      <c r="AB2331" s="1"/>
      <c r="AC2331" s="1"/>
      <c r="AD2331" s="1">
        <f>IF($C2331="",0,SUMPRODUCT((AY_SONU!$O$7:$O$42="Evet")*(AY_SONU!$B$7:$B$42=DATE(YEAR($C2331),MONTH($C2331),1))))</f>
        <v>0</v>
      </c>
      <c r="AE2331" s="1" t="str">
        <f>IF($E2331="","",$E2331&amp;"|"&amp;COUNTIFS($E$7:$E2331,$E2331))</f>
        <v/>
      </c>
    </row>
    <row r="2332" spans="1:31" ht="18" customHeight="1" x14ac:dyDescent="0.3">
      <c r="A2332" s="2"/>
      <c r="B2332" s="65" t="str">
        <f t="shared" si="290"/>
        <v/>
      </c>
      <c r="C2332" s="66"/>
      <c r="D2332" s="60"/>
      <c r="E2332" s="61"/>
      <c r="F2332" s="61"/>
      <c r="G2332" s="67"/>
      <c r="H2332" s="60"/>
      <c r="I2332" s="60"/>
      <c r="J2332" s="61"/>
      <c r="K2332" s="61"/>
      <c r="L2332" s="60"/>
      <c r="M2332" s="74" t="str">
        <f t="shared" si="291"/>
        <v/>
      </c>
      <c r="N2332" s="74" t="str">
        <f t="shared" si="292"/>
        <v/>
      </c>
      <c r="O2332" s="73" t="str">
        <f t="shared" si="293"/>
        <v/>
      </c>
      <c r="P2332" s="65" t="str">
        <f t="shared" ca="1" si="294"/>
        <v/>
      </c>
      <c r="Q2332" s="2"/>
      <c r="R2332" s="2"/>
      <c r="S2332" s="1" t="str">
        <f t="shared" si="295"/>
        <v/>
      </c>
      <c r="T2332" s="1" t="str">
        <f>IF(OR($C2332="",$D2332&lt;&gt;"Gelir",$L2332=""),"",IFERROR(INDEX(MUSTERILER!$B$7:$B$156,MATCH($S2332,MUSTERILER!$T$7:$T$156,0)),""))</f>
        <v/>
      </c>
      <c r="U2332" s="1" t="str">
        <f>IF($T2332="","",$T2332&amp;"|"&amp;COUNTIFS($T$7:$T2332,$T2332))</f>
        <v/>
      </c>
      <c r="V2332" s="1">
        <f t="shared" si="296"/>
        <v>0</v>
      </c>
      <c r="W2332" s="1" t="str">
        <f t="shared" si="297"/>
        <v/>
      </c>
      <c r="X2332" s="1"/>
      <c r="Y2332" s="1"/>
      <c r="Z2332" s="1"/>
      <c r="AA2332" s="1"/>
      <c r="AB2332" s="1"/>
      <c r="AC2332" s="1"/>
      <c r="AD2332" s="1">
        <f>IF($C2332="",0,SUMPRODUCT((AY_SONU!$O$7:$O$42="Evet")*(AY_SONU!$B$7:$B$42=DATE(YEAR($C2332),MONTH($C2332),1))))</f>
        <v>0</v>
      </c>
      <c r="AE2332" s="1" t="str">
        <f>IF($E2332="","",$E2332&amp;"|"&amp;COUNTIFS($E$7:$E2332,$E2332))</f>
        <v/>
      </c>
    </row>
    <row r="2333" spans="1:31" ht="18" customHeight="1" x14ac:dyDescent="0.3">
      <c r="A2333" s="2"/>
      <c r="B2333" s="65" t="str">
        <f t="shared" si="290"/>
        <v/>
      </c>
      <c r="C2333" s="66"/>
      <c r="D2333" s="60"/>
      <c r="E2333" s="61"/>
      <c r="F2333" s="61"/>
      <c r="G2333" s="67"/>
      <c r="H2333" s="60"/>
      <c r="I2333" s="60"/>
      <c r="J2333" s="61"/>
      <c r="K2333" s="61"/>
      <c r="L2333" s="60"/>
      <c r="M2333" s="74" t="str">
        <f t="shared" si="291"/>
        <v/>
      </c>
      <c r="N2333" s="74" t="str">
        <f t="shared" si="292"/>
        <v/>
      </c>
      <c r="O2333" s="73" t="str">
        <f t="shared" si="293"/>
        <v/>
      </c>
      <c r="P2333" s="65" t="str">
        <f t="shared" ca="1" si="294"/>
        <v/>
      </c>
      <c r="Q2333" s="2"/>
      <c r="R2333" s="2"/>
      <c r="S2333" s="1" t="str">
        <f t="shared" si="295"/>
        <v/>
      </c>
      <c r="T2333" s="1" t="str">
        <f>IF(OR($C2333="",$D2333&lt;&gt;"Gelir",$L2333=""),"",IFERROR(INDEX(MUSTERILER!$B$7:$B$156,MATCH($S2333,MUSTERILER!$T$7:$T$156,0)),""))</f>
        <v/>
      </c>
      <c r="U2333" s="1" t="str">
        <f>IF($T2333="","",$T2333&amp;"|"&amp;COUNTIFS($T$7:$T2333,$T2333))</f>
        <v/>
      </c>
      <c r="V2333" s="1">
        <f t="shared" si="296"/>
        <v>0</v>
      </c>
      <c r="W2333" s="1" t="str">
        <f t="shared" si="297"/>
        <v/>
      </c>
      <c r="X2333" s="1"/>
      <c r="Y2333" s="1"/>
      <c r="Z2333" s="1"/>
      <c r="AA2333" s="1"/>
      <c r="AB2333" s="1"/>
      <c r="AC2333" s="1"/>
      <c r="AD2333" s="1">
        <f>IF($C2333="",0,SUMPRODUCT((AY_SONU!$O$7:$O$42="Evet")*(AY_SONU!$B$7:$B$42=DATE(YEAR($C2333),MONTH($C2333),1))))</f>
        <v>0</v>
      </c>
      <c r="AE2333" s="1" t="str">
        <f>IF($E2333="","",$E2333&amp;"|"&amp;COUNTIFS($E$7:$E2333,$E2333))</f>
        <v/>
      </c>
    </row>
    <row r="2334" spans="1:31" ht="18" customHeight="1" x14ac:dyDescent="0.3">
      <c r="A2334" s="2"/>
      <c r="B2334" s="65" t="str">
        <f t="shared" si="290"/>
        <v/>
      </c>
      <c r="C2334" s="66"/>
      <c r="D2334" s="60"/>
      <c r="E2334" s="61"/>
      <c r="F2334" s="61"/>
      <c r="G2334" s="67"/>
      <c r="H2334" s="60"/>
      <c r="I2334" s="60"/>
      <c r="J2334" s="61"/>
      <c r="K2334" s="61"/>
      <c r="L2334" s="60"/>
      <c r="M2334" s="74" t="str">
        <f t="shared" si="291"/>
        <v/>
      </c>
      <c r="N2334" s="74" t="str">
        <f t="shared" si="292"/>
        <v/>
      </c>
      <c r="O2334" s="73" t="str">
        <f t="shared" si="293"/>
        <v/>
      </c>
      <c r="P2334" s="65" t="str">
        <f t="shared" ca="1" si="294"/>
        <v/>
      </c>
      <c r="Q2334" s="2"/>
      <c r="R2334" s="2"/>
      <c r="S2334" s="1" t="str">
        <f t="shared" si="295"/>
        <v/>
      </c>
      <c r="T2334" s="1" t="str">
        <f>IF(OR($C2334="",$D2334&lt;&gt;"Gelir",$L2334=""),"",IFERROR(INDEX(MUSTERILER!$B$7:$B$156,MATCH($S2334,MUSTERILER!$T$7:$T$156,0)),""))</f>
        <v/>
      </c>
      <c r="U2334" s="1" t="str">
        <f>IF($T2334="","",$T2334&amp;"|"&amp;COUNTIFS($T$7:$T2334,$T2334))</f>
        <v/>
      </c>
      <c r="V2334" s="1">
        <f t="shared" si="296"/>
        <v>0</v>
      </c>
      <c r="W2334" s="1" t="str">
        <f t="shared" si="297"/>
        <v/>
      </c>
      <c r="X2334" s="1"/>
      <c r="Y2334" s="1"/>
      <c r="Z2334" s="1"/>
      <c r="AA2334" s="1"/>
      <c r="AB2334" s="1"/>
      <c r="AC2334" s="1"/>
      <c r="AD2334" s="1">
        <f>IF($C2334="",0,SUMPRODUCT((AY_SONU!$O$7:$O$42="Evet")*(AY_SONU!$B$7:$B$42=DATE(YEAR($C2334),MONTH($C2334),1))))</f>
        <v>0</v>
      </c>
      <c r="AE2334" s="1" t="str">
        <f>IF($E2334="","",$E2334&amp;"|"&amp;COUNTIFS($E$7:$E2334,$E2334))</f>
        <v/>
      </c>
    </row>
    <row r="2335" spans="1:31" ht="18" customHeight="1" x14ac:dyDescent="0.3">
      <c r="A2335" s="2"/>
      <c r="B2335" s="65" t="str">
        <f t="shared" si="290"/>
        <v/>
      </c>
      <c r="C2335" s="66"/>
      <c r="D2335" s="60"/>
      <c r="E2335" s="61"/>
      <c r="F2335" s="61"/>
      <c r="G2335" s="67"/>
      <c r="H2335" s="60"/>
      <c r="I2335" s="60"/>
      <c r="J2335" s="61"/>
      <c r="K2335" s="61"/>
      <c r="L2335" s="60"/>
      <c r="M2335" s="74" t="str">
        <f t="shared" si="291"/>
        <v/>
      </c>
      <c r="N2335" s="74" t="str">
        <f t="shared" si="292"/>
        <v/>
      </c>
      <c r="O2335" s="73" t="str">
        <f t="shared" si="293"/>
        <v/>
      </c>
      <c r="P2335" s="65" t="str">
        <f t="shared" ca="1" si="294"/>
        <v/>
      </c>
      <c r="Q2335" s="2"/>
      <c r="R2335" s="2"/>
      <c r="S2335" s="1" t="str">
        <f t="shared" si="295"/>
        <v/>
      </c>
      <c r="T2335" s="1" t="str">
        <f>IF(OR($C2335="",$D2335&lt;&gt;"Gelir",$L2335=""),"",IFERROR(INDEX(MUSTERILER!$B$7:$B$156,MATCH($S2335,MUSTERILER!$T$7:$T$156,0)),""))</f>
        <v/>
      </c>
      <c r="U2335" s="1" t="str">
        <f>IF($T2335="","",$T2335&amp;"|"&amp;COUNTIFS($T$7:$T2335,$T2335))</f>
        <v/>
      </c>
      <c r="V2335" s="1">
        <f t="shared" si="296"/>
        <v>0</v>
      </c>
      <c r="W2335" s="1" t="str">
        <f t="shared" si="297"/>
        <v/>
      </c>
      <c r="X2335" s="1"/>
      <c r="Y2335" s="1"/>
      <c r="Z2335" s="1"/>
      <c r="AA2335" s="1"/>
      <c r="AB2335" s="1"/>
      <c r="AC2335" s="1"/>
      <c r="AD2335" s="1">
        <f>IF($C2335="",0,SUMPRODUCT((AY_SONU!$O$7:$O$42="Evet")*(AY_SONU!$B$7:$B$42=DATE(YEAR($C2335),MONTH($C2335),1))))</f>
        <v>0</v>
      </c>
      <c r="AE2335" s="1" t="str">
        <f>IF($E2335="","",$E2335&amp;"|"&amp;COUNTIFS($E$7:$E2335,$E2335))</f>
        <v/>
      </c>
    </row>
    <row r="2336" spans="1:31" ht="18" customHeight="1" x14ac:dyDescent="0.3">
      <c r="A2336" s="2"/>
      <c r="B2336" s="65" t="str">
        <f t="shared" si="290"/>
        <v/>
      </c>
      <c r="C2336" s="66"/>
      <c r="D2336" s="60"/>
      <c r="E2336" s="61"/>
      <c r="F2336" s="61"/>
      <c r="G2336" s="67"/>
      <c r="H2336" s="60"/>
      <c r="I2336" s="60"/>
      <c r="J2336" s="61"/>
      <c r="K2336" s="61"/>
      <c r="L2336" s="60"/>
      <c r="M2336" s="74" t="str">
        <f t="shared" si="291"/>
        <v/>
      </c>
      <c r="N2336" s="74" t="str">
        <f t="shared" si="292"/>
        <v/>
      </c>
      <c r="O2336" s="73" t="str">
        <f t="shared" si="293"/>
        <v/>
      </c>
      <c r="P2336" s="65" t="str">
        <f t="shared" ca="1" si="294"/>
        <v/>
      </c>
      <c r="Q2336" s="2"/>
      <c r="R2336" s="2"/>
      <c r="S2336" s="1" t="str">
        <f t="shared" si="295"/>
        <v/>
      </c>
      <c r="T2336" s="1" t="str">
        <f>IF(OR($C2336="",$D2336&lt;&gt;"Gelir",$L2336=""),"",IFERROR(INDEX(MUSTERILER!$B$7:$B$156,MATCH($S2336,MUSTERILER!$T$7:$T$156,0)),""))</f>
        <v/>
      </c>
      <c r="U2336" s="1" t="str">
        <f>IF($T2336="","",$T2336&amp;"|"&amp;COUNTIFS($T$7:$T2336,$T2336))</f>
        <v/>
      </c>
      <c r="V2336" s="1">
        <f t="shared" si="296"/>
        <v>0</v>
      </c>
      <c r="W2336" s="1" t="str">
        <f t="shared" si="297"/>
        <v/>
      </c>
      <c r="X2336" s="1"/>
      <c r="Y2336" s="1"/>
      <c r="Z2336" s="1"/>
      <c r="AA2336" s="1"/>
      <c r="AB2336" s="1"/>
      <c r="AC2336" s="1"/>
      <c r="AD2336" s="1">
        <f>IF($C2336="",0,SUMPRODUCT((AY_SONU!$O$7:$O$42="Evet")*(AY_SONU!$B$7:$B$42=DATE(YEAR($C2336),MONTH($C2336),1))))</f>
        <v>0</v>
      </c>
      <c r="AE2336" s="1" t="str">
        <f>IF($E2336="","",$E2336&amp;"|"&amp;COUNTIFS($E$7:$E2336,$E2336))</f>
        <v/>
      </c>
    </row>
    <row r="2337" spans="1:31" ht="18" customHeight="1" x14ac:dyDescent="0.3">
      <c r="A2337" s="2"/>
      <c r="B2337" s="65" t="str">
        <f t="shared" si="290"/>
        <v/>
      </c>
      <c r="C2337" s="66"/>
      <c r="D2337" s="60"/>
      <c r="E2337" s="61"/>
      <c r="F2337" s="61"/>
      <c r="G2337" s="67"/>
      <c r="H2337" s="60"/>
      <c r="I2337" s="60"/>
      <c r="J2337" s="61"/>
      <c r="K2337" s="61"/>
      <c r="L2337" s="60"/>
      <c r="M2337" s="74" t="str">
        <f t="shared" si="291"/>
        <v/>
      </c>
      <c r="N2337" s="74" t="str">
        <f t="shared" si="292"/>
        <v/>
      </c>
      <c r="O2337" s="73" t="str">
        <f t="shared" si="293"/>
        <v/>
      </c>
      <c r="P2337" s="65" t="str">
        <f t="shared" ca="1" si="294"/>
        <v/>
      </c>
      <c r="Q2337" s="2"/>
      <c r="R2337" s="2"/>
      <c r="S2337" s="1" t="str">
        <f t="shared" si="295"/>
        <v/>
      </c>
      <c r="T2337" s="1" t="str">
        <f>IF(OR($C2337="",$D2337&lt;&gt;"Gelir",$L2337=""),"",IFERROR(INDEX(MUSTERILER!$B$7:$B$156,MATCH($S2337,MUSTERILER!$T$7:$T$156,0)),""))</f>
        <v/>
      </c>
      <c r="U2337" s="1" t="str">
        <f>IF($T2337="","",$T2337&amp;"|"&amp;COUNTIFS($T$7:$T2337,$T2337))</f>
        <v/>
      </c>
      <c r="V2337" s="1">
        <f t="shared" si="296"/>
        <v>0</v>
      </c>
      <c r="W2337" s="1" t="str">
        <f t="shared" si="297"/>
        <v/>
      </c>
      <c r="X2337" s="1"/>
      <c r="Y2337" s="1"/>
      <c r="Z2337" s="1"/>
      <c r="AA2337" s="1"/>
      <c r="AB2337" s="1"/>
      <c r="AC2337" s="1"/>
      <c r="AD2337" s="1">
        <f>IF($C2337="",0,SUMPRODUCT((AY_SONU!$O$7:$O$42="Evet")*(AY_SONU!$B$7:$B$42=DATE(YEAR($C2337),MONTH($C2337),1))))</f>
        <v>0</v>
      </c>
      <c r="AE2337" s="1" t="str">
        <f>IF($E2337="","",$E2337&amp;"|"&amp;COUNTIFS($E$7:$E2337,$E2337))</f>
        <v/>
      </c>
    </row>
    <row r="2338" spans="1:31" ht="18" customHeight="1" x14ac:dyDescent="0.3">
      <c r="A2338" s="2"/>
      <c r="B2338" s="65" t="str">
        <f t="shared" si="290"/>
        <v/>
      </c>
      <c r="C2338" s="66"/>
      <c r="D2338" s="60"/>
      <c r="E2338" s="61"/>
      <c r="F2338" s="61"/>
      <c r="G2338" s="67"/>
      <c r="H2338" s="60"/>
      <c r="I2338" s="60"/>
      <c r="J2338" s="61"/>
      <c r="K2338" s="61"/>
      <c r="L2338" s="60"/>
      <c r="M2338" s="74" t="str">
        <f t="shared" si="291"/>
        <v/>
      </c>
      <c r="N2338" s="74" t="str">
        <f t="shared" si="292"/>
        <v/>
      </c>
      <c r="O2338" s="73" t="str">
        <f t="shared" si="293"/>
        <v/>
      </c>
      <c r="P2338" s="65" t="str">
        <f t="shared" ca="1" si="294"/>
        <v/>
      </c>
      <c r="Q2338" s="2"/>
      <c r="R2338" s="2"/>
      <c r="S2338" s="1" t="str">
        <f t="shared" si="295"/>
        <v/>
      </c>
      <c r="T2338" s="1" t="str">
        <f>IF(OR($C2338="",$D2338&lt;&gt;"Gelir",$L2338=""),"",IFERROR(INDEX(MUSTERILER!$B$7:$B$156,MATCH($S2338,MUSTERILER!$T$7:$T$156,0)),""))</f>
        <v/>
      </c>
      <c r="U2338" s="1" t="str">
        <f>IF($T2338="","",$T2338&amp;"|"&amp;COUNTIFS($T$7:$T2338,$T2338))</f>
        <v/>
      </c>
      <c r="V2338" s="1">
        <f t="shared" si="296"/>
        <v>0</v>
      </c>
      <c r="W2338" s="1" t="str">
        <f t="shared" si="297"/>
        <v/>
      </c>
      <c r="X2338" s="1"/>
      <c r="Y2338" s="1"/>
      <c r="Z2338" s="1"/>
      <c r="AA2338" s="1"/>
      <c r="AB2338" s="1"/>
      <c r="AC2338" s="1"/>
      <c r="AD2338" s="1">
        <f>IF($C2338="",0,SUMPRODUCT((AY_SONU!$O$7:$O$42="Evet")*(AY_SONU!$B$7:$B$42=DATE(YEAR($C2338),MONTH($C2338),1))))</f>
        <v>0</v>
      </c>
      <c r="AE2338" s="1" t="str">
        <f>IF($E2338="","",$E2338&amp;"|"&amp;COUNTIFS($E$7:$E2338,$E2338))</f>
        <v/>
      </c>
    </row>
    <row r="2339" spans="1:31" ht="18" customHeight="1" x14ac:dyDescent="0.3">
      <c r="A2339" s="2"/>
      <c r="B2339" s="65" t="str">
        <f t="shared" si="290"/>
        <v/>
      </c>
      <c r="C2339" s="66"/>
      <c r="D2339" s="60"/>
      <c r="E2339" s="61"/>
      <c r="F2339" s="61"/>
      <c r="G2339" s="67"/>
      <c r="H2339" s="60"/>
      <c r="I2339" s="60"/>
      <c r="J2339" s="61"/>
      <c r="K2339" s="61"/>
      <c r="L2339" s="60"/>
      <c r="M2339" s="74" t="str">
        <f t="shared" si="291"/>
        <v/>
      </c>
      <c r="N2339" s="74" t="str">
        <f t="shared" si="292"/>
        <v/>
      </c>
      <c r="O2339" s="73" t="str">
        <f t="shared" si="293"/>
        <v/>
      </c>
      <c r="P2339" s="65" t="str">
        <f t="shared" ca="1" si="294"/>
        <v/>
      </c>
      <c r="Q2339" s="2"/>
      <c r="R2339" s="2"/>
      <c r="S2339" s="1" t="str">
        <f t="shared" si="295"/>
        <v/>
      </c>
      <c r="T2339" s="1" t="str">
        <f>IF(OR($C2339="",$D2339&lt;&gt;"Gelir",$L2339=""),"",IFERROR(INDEX(MUSTERILER!$B$7:$B$156,MATCH($S2339,MUSTERILER!$T$7:$T$156,0)),""))</f>
        <v/>
      </c>
      <c r="U2339" s="1" t="str">
        <f>IF($T2339="","",$T2339&amp;"|"&amp;COUNTIFS($T$7:$T2339,$T2339))</f>
        <v/>
      </c>
      <c r="V2339" s="1">
        <f t="shared" si="296"/>
        <v>0</v>
      </c>
      <c r="W2339" s="1" t="str">
        <f t="shared" si="297"/>
        <v/>
      </c>
      <c r="X2339" s="1"/>
      <c r="Y2339" s="1"/>
      <c r="Z2339" s="1"/>
      <c r="AA2339" s="1"/>
      <c r="AB2339" s="1"/>
      <c r="AC2339" s="1"/>
      <c r="AD2339" s="1">
        <f>IF($C2339="",0,SUMPRODUCT((AY_SONU!$O$7:$O$42="Evet")*(AY_SONU!$B$7:$B$42=DATE(YEAR($C2339),MONTH($C2339),1))))</f>
        <v>0</v>
      </c>
      <c r="AE2339" s="1" t="str">
        <f>IF($E2339="","",$E2339&amp;"|"&amp;COUNTIFS($E$7:$E2339,$E2339))</f>
        <v/>
      </c>
    </row>
    <row r="2340" spans="1:31" ht="18" customHeight="1" x14ac:dyDescent="0.3">
      <c r="A2340" s="2"/>
      <c r="B2340" s="65" t="str">
        <f t="shared" si="290"/>
        <v/>
      </c>
      <c r="C2340" s="66"/>
      <c r="D2340" s="60"/>
      <c r="E2340" s="61"/>
      <c r="F2340" s="61"/>
      <c r="G2340" s="67"/>
      <c r="H2340" s="60"/>
      <c r="I2340" s="60"/>
      <c r="J2340" s="61"/>
      <c r="K2340" s="61"/>
      <c r="L2340" s="60"/>
      <c r="M2340" s="74" t="str">
        <f t="shared" si="291"/>
        <v/>
      </c>
      <c r="N2340" s="74" t="str">
        <f t="shared" si="292"/>
        <v/>
      </c>
      <c r="O2340" s="73" t="str">
        <f t="shared" si="293"/>
        <v/>
      </c>
      <c r="P2340" s="65" t="str">
        <f t="shared" ca="1" si="294"/>
        <v/>
      </c>
      <c r="Q2340" s="2"/>
      <c r="R2340" s="2"/>
      <c r="S2340" s="1" t="str">
        <f t="shared" si="295"/>
        <v/>
      </c>
      <c r="T2340" s="1" t="str">
        <f>IF(OR($C2340="",$D2340&lt;&gt;"Gelir",$L2340=""),"",IFERROR(INDEX(MUSTERILER!$B$7:$B$156,MATCH($S2340,MUSTERILER!$T$7:$T$156,0)),""))</f>
        <v/>
      </c>
      <c r="U2340" s="1" t="str">
        <f>IF($T2340="","",$T2340&amp;"|"&amp;COUNTIFS($T$7:$T2340,$T2340))</f>
        <v/>
      </c>
      <c r="V2340" s="1">
        <f t="shared" si="296"/>
        <v>0</v>
      </c>
      <c r="W2340" s="1" t="str">
        <f t="shared" si="297"/>
        <v/>
      </c>
      <c r="X2340" s="1"/>
      <c r="Y2340" s="1"/>
      <c r="Z2340" s="1"/>
      <c r="AA2340" s="1"/>
      <c r="AB2340" s="1"/>
      <c r="AC2340" s="1"/>
      <c r="AD2340" s="1">
        <f>IF($C2340="",0,SUMPRODUCT((AY_SONU!$O$7:$O$42="Evet")*(AY_SONU!$B$7:$B$42=DATE(YEAR($C2340),MONTH($C2340),1))))</f>
        <v>0</v>
      </c>
      <c r="AE2340" s="1" t="str">
        <f>IF($E2340="","",$E2340&amp;"|"&amp;COUNTIFS($E$7:$E2340,$E2340))</f>
        <v/>
      </c>
    </row>
    <row r="2341" spans="1:31" ht="18" customHeight="1" x14ac:dyDescent="0.3">
      <c r="A2341" s="2"/>
      <c r="B2341" s="65" t="str">
        <f t="shared" si="290"/>
        <v/>
      </c>
      <c r="C2341" s="66"/>
      <c r="D2341" s="60"/>
      <c r="E2341" s="61"/>
      <c r="F2341" s="61"/>
      <c r="G2341" s="67"/>
      <c r="H2341" s="60"/>
      <c r="I2341" s="60"/>
      <c r="J2341" s="61"/>
      <c r="K2341" s="61"/>
      <c r="L2341" s="60"/>
      <c r="M2341" s="74" t="str">
        <f t="shared" si="291"/>
        <v/>
      </c>
      <c r="N2341" s="74" t="str">
        <f t="shared" si="292"/>
        <v/>
      </c>
      <c r="O2341" s="73" t="str">
        <f t="shared" si="293"/>
        <v/>
      </c>
      <c r="P2341" s="65" t="str">
        <f t="shared" ca="1" si="294"/>
        <v/>
      </c>
      <c r="Q2341" s="2"/>
      <c r="R2341" s="2"/>
      <c r="S2341" s="1" t="str">
        <f t="shared" si="295"/>
        <v/>
      </c>
      <c r="T2341" s="1" t="str">
        <f>IF(OR($C2341="",$D2341&lt;&gt;"Gelir",$L2341=""),"",IFERROR(INDEX(MUSTERILER!$B$7:$B$156,MATCH($S2341,MUSTERILER!$T$7:$T$156,0)),""))</f>
        <v/>
      </c>
      <c r="U2341" s="1" t="str">
        <f>IF($T2341="","",$T2341&amp;"|"&amp;COUNTIFS($T$7:$T2341,$T2341))</f>
        <v/>
      </c>
      <c r="V2341" s="1">
        <f t="shared" si="296"/>
        <v>0</v>
      </c>
      <c r="W2341" s="1" t="str">
        <f t="shared" si="297"/>
        <v/>
      </c>
      <c r="X2341" s="1"/>
      <c r="Y2341" s="1"/>
      <c r="Z2341" s="1"/>
      <c r="AA2341" s="1"/>
      <c r="AB2341" s="1"/>
      <c r="AC2341" s="1"/>
      <c r="AD2341" s="1">
        <f>IF($C2341="",0,SUMPRODUCT((AY_SONU!$O$7:$O$42="Evet")*(AY_SONU!$B$7:$B$42=DATE(YEAR($C2341),MONTH($C2341),1))))</f>
        <v>0</v>
      </c>
      <c r="AE2341" s="1" t="str">
        <f>IF($E2341="","",$E2341&amp;"|"&amp;COUNTIFS($E$7:$E2341,$E2341))</f>
        <v/>
      </c>
    </row>
    <row r="2342" spans="1:31" ht="18" customHeight="1" x14ac:dyDescent="0.3">
      <c r="A2342" s="2"/>
      <c r="B2342" s="65" t="str">
        <f t="shared" si="290"/>
        <v/>
      </c>
      <c r="C2342" s="66"/>
      <c r="D2342" s="60"/>
      <c r="E2342" s="61"/>
      <c r="F2342" s="61"/>
      <c r="G2342" s="67"/>
      <c r="H2342" s="60"/>
      <c r="I2342" s="60"/>
      <c r="J2342" s="61"/>
      <c r="K2342" s="61"/>
      <c r="L2342" s="60"/>
      <c r="M2342" s="74" t="str">
        <f t="shared" si="291"/>
        <v/>
      </c>
      <c r="N2342" s="74" t="str">
        <f t="shared" si="292"/>
        <v/>
      </c>
      <c r="O2342" s="73" t="str">
        <f t="shared" si="293"/>
        <v/>
      </c>
      <c r="P2342" s="65" t="str">
        <f t="shared" ca="1" si="294"/>
        <v/>
      </c>
      <c r="Q2342" s="2"/>
      <c r="R2342" s="2"/>
      <c r="S2342" s="1" t="str">
        <f t="shared" si="295"/>
        <v/>
      </c>
      <c r="T2342" s="1" t="str">
        <f>IF(OR($C2342="",$D2342&lt;&gt;"Gelir",$L2342=""),"",IFERROR(INDEX(MUSTERILER!$B$7:$B$156,MATCH($S2342,MUSTERILER!$T$7:$T$156,0)),""))</f>
        <v/>
      </c>
      <c r="U2342" s="1" t="str">
        <f>IF($T2342="","",$T2342&amp;"|"&amp;COUNTIFS($T$7:$T2342,$T2342))</f>
        <v/>
      </c>
      <c r="V2342" s="1">
        <f t="shared" si="296"/>
        <v>0</v>
      </c>
      <c r="W2342" s="1" t="str">
        <f t="shared" si="297"/>
        <v/>
      </c>
      <c r="X2342" s="1"/>
      <c r="Y2342" s="1"/>
      <c r="Z2342" s="1"/>
      <c r="AA2342" s="1"/>
      <c r="AB2342" s="1"/>
      <c r="AC2342" s="1"/>
      <c r="AD2342" s="1">
        <f>IF($C2342="",0,SUMPRODUCT((AY_SONU!$O$7:$O$42="Evet")*(AY_SONU!$B$7:$B$42=DATE(YEAR($C2342),MONTH($C2342),1))))</f>
        <v>0</v>
      </c>
      <c r="AE2342" s="1" t="str">
        <f>IF($E2342="","",$E2342&amp;"|"&amp;COUNTIFS($E$7:$E2342,$E2342))</f>
        <v/>
      </c>
    </row>
    <row r="2343" spans="1:31" ht="18" customHeight="1" x14ac:dyDescent="0.3">
      <c r="A2343" s="2"/>
      <c r="B2343" s="65" t="str">
        <f t="shared" si="290"/>
        <v/>
      </c>
      <c r="C2343" s="66"/>
      <c r="D2343" s="60"/>
      <c r="E2343" s="61"/>
      <c r="F2343" s="61"/>
      <c r="G2343" s="67"/>
      <c r="H2343" s="60"/>
      <c r="I2343" s="60"/>
      <c r="J2343" s="61"/>
      <c r="K2343" s="61"/>
      <c r="L2343" s="60"/>
      <c r="M2343" s="74" t="str">
        <f t="shared" si="291"/>
        <v/>
      </c>
      <c r="N2343" s="74" t="str">
        <f t="shared" si="292"/>
        <v/>
      </c>
      <c r="O2343" s="73" t="str">
        <f t="shared" si="293"/>
        <v/>
      </c>
      <c r="P2343" s="65" t="str">
        <f t="shared" ca="1" si="294"/>
        <v/>
      </c>
      <c r="Q2343" s="2"/>
      <c r="R2343" s="2"/>
      <c r="S2343" s="1" t="str">
        <f t="shared" si="295"/>
        <v/>
      </c>
      <c r="T2343" s="1" t="str">
        <f>IF(OR($C2343="",$D2343&lt;&gt;"Gelir",$L2343=""),"",IFERROR(INDEX(MUSTERILER!$B$7:$B$156,MATCH($S2343,MUSTERILER!$T$7:$T$156,0)),""))</f>
        <v/>
      </c>
      <c r="U2343" s="1" t="str">
        <f>IF($T2343="","",$T2343&amp;"|"&amp;COUNTIFS($T$7:$T2343,$T2343))</f>
        <v/>
      </c>
      <c r="V2343" s="1">
        <f t="shared" si="296"/>
        <v>0</v>
      </c>
      <c r="W2343" s="1" t="str">
        <f t="shared" si="297"/>
        <v/>
      </c>
      <c r="X2343" s="1"/>
      <c r="Y2343" s="1"/>
      <c r="Z2343" s="1"/>
      <c r="AA2343" s="1"/>
      <c r="AB2343" s="1"/>
      <c r="AC2343" s="1"/>
      <c r="AD2343" s="1">
        <f>IF($C2343="",0,SUMPRODUCT((AY_SONU!$O$7:$O$42="Evet")*(AY_SONU!$B$7:$B$42=DATE(YEAR($C2343),MONTH($C2343),1))))</f>
        <v>0</v>
      </c>
      <c r="AE2343" s="1" t="str">
        <f>IF($E2343="","",$E2343&amp;"|"&amp;COUNTIFS($E$7:$E2343,$E2343))</f>
        <v/>
      </c>
    </row>
    <row r="2344" spans="1:31" ht="18" customHeight="1" x14ac:dyDescent="0.3">
      <c r="A2344" s="2"/>
      <c r="B2344" s="65" t="str">
        <f t="shared" si="290"/>
        <v/>
      </c>
      <c r="C2344" s="66"/>
      <c r="D2344" s="60"/>
      <c r="E2344" s="61"/>
      <c r="F2344" s="61"/>
      <c r="G2344" s="67"/>
      <c r="H2344" s="60"/>
      <c r="I2344" s="60"/>
      <c r="J2344" s="61"/>
      <c r="K2344" s="61"/>
      <c r="L2344" s="60"/>
      <c r="M2344" s="74" t="str">
        <f t="shared" si="291"/>
        <v/>
      </c>
      <c r="N2344" s="74" t="str">
        <f t="shared" si="292"/>
        <v/>
      </c>
      <c r="O2344" s="73" t="str">
        <f t="shared" si="293"/>
        <v/>
      </c>
      <c r="P2344" s="65" t="str">
        <f t="shared" ca="1" si="294"/>
        <v/>
      </c>
      <c r="Q2344" s="2"/>
      <c r="R2344" s="2"/>
      <c r="S2344" s="1" t="str">
        <f t="shared" si="295"/>
        <v/>
      </c>
      <c r="T2344" s="1" t="str">
        <f>IF(OR($C2344="",$D2344&lt;&gt;"Gelir",$L2344=""),"",IFERROR(INDEX(MUSTERILER!$B$7:$B$156,MATCH($S2344,MUSTERILER!$T$7:$T$156,0)),""))</f>
        <v/>
      </c>
      <c r="U2344" s="1" t="str">
        <f>IF($T2344="","",$T2344&amp;"|"&amp;COUNTIFS($T$7:$T2344,$T2344))</f>
        <v/>
      </c>
      <c r="V2344" s="1">
        <f t="shared" si="296"/>
        <v>0</v>
      </c>
      <c r="W2344" s="1" t="str">
        <f t="shared" si="297"/>
        <v/>
      </c>
      <c r="X2344" s="1"/>
      <c r="Y2344" s="1"/>
      <c r="Z2344" s="1"/>
      <c r="AA2344" s="1"/>
      <c r="AB2344" s="1"/>
      <c r="AC2344" s="1"/>
      <c r="AD2344" s="1">
        <f>IF($C2344="",0,SUMPRODUCT((AY_SONU!$O$7:$O$42="Evet")*(AY_SONU!$B$7:$B$42=DATE(YEAR($C2344),MONTH($C2344),1))))</f>
        <v>0</v>
      </c>
      <c r="AE2344" s="1" t="str">
        <f>IF($E2344="","",$E2344&amp;"|"&amp;COUNTIFS($E$7:$E2344,$E2344))</f>
        <v/>
      </c>
    </row>
    <row r="2345" spans="1:31" ht="18" customHeight="1" x14ac:dyDescent="0.3">
      <c r="A2345" s="2"/>
      <c r="B2345" s="65" t="str">
        <f t="shared" si="290"/>
        <v/>
      </c>
      <c r="C2345" s="66"/>
      <c r="D2345" s="60"/>
      <c r="E2345" s="61"/>
      <c r="F2345" s="61"/>
      <c r="G2345" s="67"/>
      <c r="H2345" s="60"/>
      <c r="I2345" s="60"/>
      <c r="J2345" s="61"/>
      <c r="K2345" s="61"/>
      <c r="L2345" s="60"/>
      <c r="M2345" s="74" t="str">
        <f t="shared" si="291"/>
        <v/>
      </c>
      <c r="N2345" s="74" t="str">
        <f t="shared" si="292"/>
        <v/>
      </c>
      <c r="O2345" s="73" t="str">
        <f t="shared" si="293"/>
        <v/>
      </c>
      <c r="P2345" s="65" t="str">
        <f t="shared" ca="1" si="294"/>
        <v/>
      </c>
      <c r="Q2345" s="2"/>
      <c r="R2345" s="2"/>
      <c r="S2345" s="1" t="str">
        <f t="shared" si="295"/>
        <v/>
      </c>
      <c r="T2345" s="1" t="str">
        <f>IF(OR($C2345="",$D2345&lt;&gt;"Gelir",$L2345=""),"",IFERROR(INDEX(MUSTERILER!$B$7:$B$156,MATCH($S2345,MUSTERILER!$T$7:$T$156,0)),""))</f>
        <v/>
      </c>
      <c r="U2345" s="1" t="str">
        <f>IF($T2345="","",$T2345&amp;"|"&amp;COUNTIFS($T$7:$T2345,$T2345))</f>
        <v/>
      </c>
      <c r="V2345" s="1">
        <f t="shared" si="296"/>
        <v>0</v>
      </c>
      <c r="W2345" s="1" t="str">
        <f t="shared" si="297"/>
        <v/>
      </c>
      <c r="X2345" s="1"/>
      <c r="Y2345" s="1"/>
      <c r="Z2345" s="1"/>
      <c r="AA2345" s="1"/>
      <c r="AB2345" s="1"/>
      <c r="AC2345" s="1"/>
      <c r="AD2345" s="1">
        <f>IF($C2345="",0,SUMPRODUCT((AY_SONU!$O$7:$O$42="Evet")*(AY_SONU!$B$7:$B$42=DATE(YEAR($C2345),MONTH($C2345),1))))</f>
        <v>0</v>
      </c>
      <c r="AE2345" s="1" t="str">
        <f>IF($E2345="","",$E2345&amp;"|"&amp;COUNTIFS($E$7:$E2345,$E2345))</f>
        <v/>
      </c>
    </row>
    <row r="2346" spans="1:31" ht="18" customHeight="1" x14ac:dyDescent="0.3">
      <c r="A2346" s="2"/>
      <c r="B2346" s="65" t="str">
        <f t="shared" si="290"/>
        <v/>
      </c>
      <c r="C2346" s="66"/>
      <c r="D2346" s="60"/>
      <c r="E2346" s="61"/>
      <c r="F2346" s="61"/>
      <c r="G2346" s="67"/>
      <c r="H2346" s="60"/>
      <c r="I2346" s="60"/>
      <c r="J2346" s="61"/>
      <c r="K2346" s="61"/>
      <c r="L2346" s="60"/>
      <c r="M2346" s="74" t="str">
        <f t="shared" si="291"/>
        <v/>
      </c>
      <c r="N2346" s="74" t="str">
        <f t="shared" si="292"/>
        <v/>
      </c>
      <c r="O2346" s="73" t="str">
        <f t="shared" si="293"/>
        <v/>
      </c>
      <c r="P2346" s="65" t="str">
        <f t="shared" ca="1" si="294"/>
        <v/>
      </c>
      <c r="Q2346" s="2"/>
      <c r="R2346" s="2"/>
      <c r="S2346" s="1" t="str">
        <f t="shared" si="295"/>
        <v/>
      </c>
      <c r="T2346" s="1" t="str">
        <f>IF(OR($C2346="",$D2346&lt;&gt;"Gelir",$L2346=""),"",IFERROR(INDEX(MUSTERILER!$B$7:$B$156,MATCH($S2346,MUSTERILER!$T$7:$T$156,0)),""))</f>
        <v/>
      </c>
      <c r="U2346" s="1" t="str">
        <f>IF($T2346="","",$T2346&amp;"|"&amp;COUNTIFS($T$7:$T2346,$T2346))</f>
        <v/>
      </c>
      <c r="V2346" s="1">
        <f t="shared" si="296"/>
        <v>0</v>
      </c>
      <c r="W2346" s="1" t="str">
        <f t="shared" si="297"/>
        <v/>
      </c>
      <c r="X2346" s="1"/>
      <c r="Y2346" s="1"/>
      <c r="Z2346" s="1"/>
      <c r="AA2346" s="1"/>
      <c r="AB2346" s="1"/>
      <c r="AC2346" s="1"/>
      <c r="AD2346" s="1">
        <f>IF($C2346="",0,SUMPRODUCT((AY_SONU!$O$7:$O$42="Evet")*(AY_SONU!$B$7:$B$42=DATE(YEAR($C2346),MONTH($C2346),1))))</f>
        <v>0</v>
      </c>
      <c r="AE2346" s="1" t="str">
        <f>IF($E2346="","",$E2346&amp;"|"&amp;COUNTIFS($E$7:$E2346,$E2346))</f>
        <v/>
      </c>
    </row>
    <row r="2347" spans="1:31" ht="18" customHeight="1" x14ac:dyDescent="0.3">
      <c r="A2347" s="2"/>
      <c r="B2347" s="65" t="str">
        <f t="shared" si="290"/>
        <v/>
      </c>
      <c r="C2347" s="66"/>
      <c r="D2347" s="60"/>
      <c r="E2347" s="61"/>
      <c r="F2347" s="61"/>
      <c r="G2347" s="67"/>
      <c r="H2347" s="60"/>
      <c r="I2347" s="60"/>
      <c r="J2347" s="61"/>
      <c r="K2347" s="61"/>
      <c r="L2347" s="60"/>
      <c r="M2347" s="74" t="str">
        <f t="shared" si="291"/>
        <v/>
      </c>
      <c r="N2347" s="74" t="str">
        <f t="shared" si="292"/>
        <v/>
      </c>
      <c r="O2347" s="73" t="str">
        <f t="shared" si="293"/>
        <v/>
      </c>
      <c r="P2347" s="65" t="str">
        <f t="shared" ca="1" si="294"/>
        <v/>
      </c>
      <c r="Q2347" s="2"/>
      <c r="R2347" s="2"/>
      <c r="S2347" s="1" t="str">
        <f t="shared" si="295"/>
        <v/>
      </c>
      <c r="T2347" s="1" t="str">
        <f>IF(OR($C2347="",$D2347&lt;&gt;"Gelir",$L2347=""),"",IFERROR(INDEX(MUSTERILER!$B$7:$B$156,MATCH($S2347,MUSTERILER!$T$7:$T$156,0)),""))</f>
        <v/>
      </c>
      <c r="U2347" s="1" t="str">
        <f>IF($T2347="","",$T2347&amp;"|"&amp;COUNTIFS($T$7:$T2347,$T2347))</f>
        <v/>
      </c>
      <c r="V2347" s="1">
        <f t="shared" si="296"/>
        <v>0</v>
      </c>
      <c r="W2347" s="1" t="str">
        <f t="shared" si="297"/>
        <v/>
      </c>
      <c r="X2347" s="1"/>
      <c r="Y2347" s="1"/>
      <c r="Z2347" s="1"/>
      <c r="AA2347" s="1"/>
      <c r="AB2347" s="1"/>
      <c r="AC2347" s="1"/>
      <c r="AD2347" s="1">
        <f>IF($C2347="",0,SUMPRODUCT((AY_SONU!$O$7:$O$42="Evet")*(AY_SONU!$B$7:$B$42=DATE(YEAR($C2347),MONTH($C2347),1))))</f>
        <v>0</v>
      </c>
      <c r="AE2347" s="1" t="str">
        <f>IF($E2347="","",$E2347&amp;"|"&amp;COUNTIFS($E$7:$E2347,$E2347))</f>
        <v/>
      </c>
    </row>
    <row r="2348" spans="1:31" ht="18" customHeight="1" x14ac:dyDescent="0.3">
      <c r="A2348" s="2"/>
      <c r="B2348" s="65" t="str">
        <f t="shared" si="290"/>
        <v/>
      </c>
      <c r="C2348" s="66"/>
      <c r="D2348" s="60"/>
      <c r="E2348" s="61"/>
      <c r="F2348" s="61"/>
      <c r="G2348" s="67"/>
      <c r="H2348" s="60"/>
      <c r="I2348" s="60"/>
      <c r="J2348" s="61"/>
      <c r="K2348" s="61"/>
      <c r="L2348" s="60"/>
      <c r="M2348" s="74" t="str">
        <f t="shared" si="291"/>
        <v/>
      </c>
      <c r="N2348" s="74" t="str">
        <f t="shared" si="292"/>
        <v/>
      </c>
      <c r="O2348" s="73" t="str">
        <f t="shared" si="293"/>
        <v/>
      </c>
      <c r="P2348" s="65" t="str">
        <f t="shared" ca="1" si="294"/>
        <v/>
      </c>
      <c r="Q2348" s="2"/>
      <c r="R2348" s="2"/>
      <c r="S2348" s="1" t="str">
        <f t="shared" si="295"/>
        <v/>
      </c>
      <c r="T2348" s="1" t="str">
        <f>IF(OR($C2348="",$D2348&lt;&gt;"Gelir",$L2348=""),"",IFERROR(INDEX(MUSTERILER!$B$7:$B$156,MATCH($S2348,MUSTERILER!$T$7:$T$156,0)),""))</f>
        <v/>
      </c>
      <c r="U2348" s="1" t="str">
        <f>IF($T2348="","",$T2348&amp;"|"&amp;COUNTIFS($T$7:$T2348,$T2348))</f>
        <v/>
      </c>
      <c r="V2348" s="1">
        <f t="shared" si="296"/>
        <v>0</v>
      </c>
      <c r="W2348" s="1" t="str">
        <f t="shared" si="297"/>
        <v/>
      </c>
      <c r="X2348" s="1"/>
      <c r="Y2348" s="1"/>
      <c r="Z2348" s="1"/>
      <c r="AA2348" s="1"/>
      <c r="AB2348" s="1"/>
      <c r="AC2348" s="1"/>
      <c r="AD2348" s="1">
        <f>IF($C2348="",0,SUMPRODUCT((AY_SONU!$O$7:$O$42="Evet")*(AY_SONU!$B$7:$B$42=DATE(YEAR($C2348),MONTH($C2348),1))))</f>
        <v>0</v>
      </c>
      <c r="AE2348" s="1" t="str">
        <f>IF($E2348="","",$E2348&amp;"|"&amp;COUNTIFS($E$7:$E2348,$E2348))</f>
        <v/>
      </c>
    </row>
    <row r="2349" spans="1:31" ht="18" customHeight="1" x14ac:dyDescent="0.3">
      <c r="A2349" s="2"/>
      <c r="B2349" s="65" t="str">
        <f t="shared" si="290"/>
        <v/>
      </c>
      <c r="C2349" s="66"/>
      <c r="D2349" s="60"/>
      <c r="E2349" s="61"/>
      <c r="F2349" s="61"/>
      <c r="G2349" s="67"/>
      <c r="H2349" s="60"/>
      <c r="I2349" s="60"/>
      <c r="J2349" s="61"/>
      <c r="K2349" s="61"/>
      <c r="L2349" s="60"/>
      <c r="M2349" s="74" t="str">
        <f t="shared" si="291"/>
        <v/>
      </c>
      <c r="N2349" s="74" t="str">
        <f t="shared" si="292"/>
        <v/>
      </c>
      <c r="O2349" s="73" t="str">
        <f t="shared" si="293"/>
        <v/>
      </c>
      <c r="P2349" s="65" t="str">
        <f t="shared" ca="1" si="294"/>
        <v/>
      </c>
      <c r="Q2349" s="2"/>
      <c r="R2349" s="2"/>
      <c r="S2349" s="1" t="str">
        <f t="shared" si="295"/>
        <v/>
      </c>
      <c r="T2349" s="1" t="str">
        <f>IF(OR($C2349="",$D2349&lt;&gt;"Gelir",$L2349=""),"",IFERROR(INDEX(MUSTERILER!$B$7:$B$156,MATCH($S2349,MUSTERILER!$T$7:$T$156,0)),""))</f>
        <v/>
      </c>
      <c r="U2349" s="1" t="str">
        <f>IF($T2349="","",$T2349&amp;"|"&amp;COUNTIFS($T$7:$T2349,$T2349))</f>
        <v/>
      </c>
      <c r="V2349" s="1">
        <f t="shared" si="296"/>
        <v>0</v>
      </c>
      <c r="W2349" s="1" t="str">
        <f t="shared" si="297"/>
        <v/>
      </c>
      <c r="X2349" s="1"/>
      <c r="Y2349" s="1"/>
      <c r="Z2349" s="1"/>
      <c r="AA2349" s="1"/>
      <c r="AB2349" s="1"/>
      <c r="AC2349" s="1"/>
      <c r="AD2349" s="1">
        <f>IF($C2349="",0,SUMPRODUCT((AY_SONU!$O$7:$O$42="Evet")*(AY_SONU!$B$7:$B$42=DATE(YEAR($C2349),MONTH($C2349),1))))</f>
        <v>0</v>
      </c>
      <c r="AE2349" s="1" t="str">
        <f>IF($E2349="","",$E2349&amp;"|"&amp;COUNTIFS($E$7:$E2349,$E2349))</f>
        <v/>
      </c>
    </row>
    <row r="2350" spans="1:31" ht="18" customHeight="1" x14ac:dyDescent="0.3">
      <c r="A2350" s="2"/>
      <c r="B2350" s="65" t="str">
        <f t="shared" si="290"/>
        <v/>
      </c>
      <c r="C2350" s="66"/>
      <c r="D2350" s="60"/>
      <c r="E2350" s="61"/>
      <c r="F2350" s="61"/>
      <c r="G2350" s="67"/>
      <c r="H2350" s="60"/>
      <c r="I2350" s="60"/>
      <c r="J2350" s="61"/>
      <c r="K2350" s="61"/>
      <c r="L2350" s="60"/>
      <c r="M2350" s="74" t="str">
        <f t="shared" si="291"/>
        <v/>
      </c>
      <c r="N2350" s="74" t="str">
        <f t="shared" si="292"/>
        <v/>
      </c>
      <c r="O2350" s="73" t="str">
        <f t="shared" si="293"/>
        <v/>
      </c>
      <c r="P2350" s="65" t="str">
        <f t="shared" ca="1" si="294"/>
        <v/>
      </c>
      <c r="Q2350" s="2"/>
      <c r="R2350" s="2"/>
      <c r="S2350" s="1" t="str">
        <f t="shared" si="295"/>
        <v/>
      </c>
      <c r="T2350" s="1" t="str">
        <f>IF(OR($C2350="",$D2350&lt;&gt;"Gelir",$L2350=""),"",IFERROR(INDEX(MUSTERILER!$B$7:$B$156,MATCH($S2350,MUSTERILER!$T$7:$T$156,0)),""))</f>
        <v/>
      </c>
      <c r="U2350" s="1" t="str">
        <f>IF($T2350="","",$T2350&amp;"|"&amp;COUNTIFS($T$7:$T2350,$T2350))</f>
        <v/>
      </c>
      <c r="V2350" s="1">
        <f t="shared" si="296"/>
        <v>0</v>
      </c>
      <c r="W2350" s="1" t="str">
        <f t="shared" si="297"/>
        <v/>
      </c>
      <c r="X2350" s="1"/>
      <c r="Y2350" s="1"/>
      <c r="Z2350" s="1"/>
      <c r="AA2350" s="1"/>
      <c r="AB2350" s="1"/>
      <c r="AC2350" s="1"/>
      <c r="AD2350" s="1">
        <f>IF($C2350="",0,SUMPRODUCT((AY_SONU!$O$7:$O$42="Evet")*(AY_SONU!$B$7:$B$42=DATE(YEAR($C2350),MONTH($C2350),1))))</f>
        <v>0</v>
      </c>
      <c r="AE2350" s="1" t="str">
        <f>IF($E2350="","",$E2350&amp;"|"&amp;COUNTIFS($E$7:$E2350,$E2350))</f>
        <v/>
      </c>
    </row>
    <row r="2351" spans="1:31" ht="18" customHeight="1" x14ac:dyDescent="0.3">
      <c r="A2351" s="2"/>
      <c r="B2351" s="65" t="str">
        <f t="shared" si="290"/>
        <v/>
      </c>
      <c r="C2351" s="66"/>
      <c r="D2351" s="60"/>
      <c r="E2351" s="61"/>
      <c r="F2351" s="61"/>
      <c r="G2351" s="67"/>
      <c r="H2351" s="60"/>
      <c r="I2351" s="60"/>
      <c r="J2351" s="61"/>
      <c r="K2351" s="61"/>
      <c r="L2351" s="60"/>
      <c r="M2351" s="74" t="str">
        <f t="shared" si="291"/>
        <v/>
      </c>
      <c r="N2351" s="74" t="str">
        <f t="shared" si="292"/>
        <v/>
      </c>
      <c r="O2351" s="73" t="str">
        <f t="shared" si="293"/>
        <v/>
      </c>
      <c r="P2351" s="65" t="str">
        <f t="shared" ca="1" si="294"/>
        <v/>
      </c>
      <c r="Q2351" s="2"/>
      <c r="R2351" s="2"/>
      <c r="S2351" s="1" t="str">
        <f t="shared" si="295"/>
        <v/>
      </c>
      <c r="T2351" s="1" t="str">
        <f>IF(OR($C2351="",$D2351&lt;&gt;"Gelir",$L2351=""),"",IFERROR(INDEX(MUSTERILER!$B$7:$B$156,MATCH($S2351,MUSTERILER!$T$7:$T$156,0)),""))</f>
        <v/>
      </c>
      <c r="U2351" s="1" t="str">
        <f>IF($T2351="","",$T2351&amp;"|"&amp;COUNTIFS($T$7:$T2351,$T2351))</f>
        <v/>
      </c>
      <c r="V2351" s="1">
        <f t="shared" si="296"/>
        <v>0</v>
      </c>
      <c r="W2351" s="1" t="str">
        <f t="shared" si="297"/>
        <v/>
      </c>
      <c r="X2351" s="1"/>
      <c r="Y2351" s="1"/>
      <c r="Z2351" s="1"/>
      <c r="AA2351" s="1"/>
      <c r="AB2351" s="1"/>
      <c r="AC2351" s="1"/>
      <c r="AD2351" s="1">
        <f>IF($C2351="",0,SUMPRODUCT((AY_SONU!$O$7:$O$42="Evet")*(AY_SONU!$B$7:$B$42=DATE(YEAR($C2351),MONTH($C2351),1))))</f>
        <v>0</v>
      </c>
      <c r="AE2351" s="1" t="str">
        <f>IF($E2351="","",$E2351&amp;"|"&amp;COUNTIFS($E$7:$E2351,$E2351))</f>
        <v/>
      </c>
    </row>
    <row r="2352" spans="1:31" ht="18" customHeight="1" x14ac:dyDescent="0.3">
      <c r="A2352" s="2"/>
      <c r="B2352" s="65" t="str">
        <f t="shared" si="290"/>
        <v/>
      </c>
      <c r="C2352" s="66"/>
      <c r="D2352" s="60"/>
      <c r="E2352" s="61"/>
      <c r="F2352" s="61"/>
      <c r="G2352" s="67"/>
      <c r="H2352" s="60"/>
      <c r="I2352" s="60"/>
      <c r="J2352" s="61"/>
      <c r="K2352" s="61"/>
      <c r="L2352" s="60"/>
      <c r="M2352" s="74" t="str">
        <f t="shared" si="291"/>
        <v/>
      </c>
      <c r="N2352" s="74" t="str">
        <f t="shared" si="292"/>
        <v/>
      </c>
      <c r="O2352" s="73" t="str">
        <f t="shared" si="293"/>
        <v/>
      </c>
      <c r="P2352" s="65" t="str">
        <f t="shared" ca="1" si="294"/>
        <v/>
      </c>
      <c r="Q2352" s="2"/>
      <c r="R2352" s="2"/>
      <c r="S2352" s="1" t="str">
        <f t="shared" si="295"/>
        <v/>
      </c>
      <c r="T2352" s="1" t="str">
        <f>IF(OR($C2352="",$D2352&lt;&gt;"Gelir",$L2352=""),"",IFERROR(INDEX(MUSTERILER!$B$7:$B$156,MATCH($S2352,MUSTERILER!$T$7:$T$156,0)),""))</f>
        <v/>
      </c>
      <c r="U2352" s="1" t="str">
        <f>IF($T2352="","",$T2352&amp;"|"&amp;COUNTIFS($T$7:$T2352,$T2352))</f>
        <v/>
      </c>
      <c r="V2352" s="1">
        <f t="shared" si="296"/>
        <v>0</v>
      </c>
      <c r="W2352" s="1" t="str">
        <f t="shared" si="297"/>
        <v/>
      </c>
      <c r="X2352" s="1"/>
      <c r="Y2352" s="1"/>
      <c r="Z2352" s="1"/>
      <c r="AA2352" s="1"/>
      <c r="AB2352" s="1"/>
      <c r="AC2352" s="1"/>
      <c r="AD2352" s="1">
        <f>IF($C2352="",0,SUMPRODUCT((AY_SONU!$O$7:$O$42="Evet")*(AY_SONU!$B$7:$B$42=DATE(YEAR($C2352),MONTH($C2352),1))))</f>
        <v>0</v>
      </c>
      <c r="AE2352" s="1" t="str">
        <f>IF($E2352="","",$E2352&amp;"|"&amp;COUNTIFS($E$7:$E2352,$E2352))</f>
        <v/>
      </c>
    </row>
    <row r="2353" spans="1:31" ht="18" customHeight="1" x14ac:dyDescent="0.3">
      <c r="A2353" s="2"/>
      <c r="B2353" s="65" t="str">
        <f t="shared" si="290"/>
        <v/>
      </c>
      <c r="C2353" s="66"/>
      <c r="D2353" s="60"/>
      <c r="E2353" s="61"/>
      <c r="F2353" s="61"/>
      <c r="G2353" s="67"/>
      <c r="H2353" s="60"/>
      <c r="I2353" s="60"/>
      <c r="J2353" s="61"/>
      <c r="K2353" s="61"/>
      <c r="L2353" s="60"/>
      <c r="M2353" s="74" t="str">
        <f t="shared" si="291"/>
        <v/>
      </c>
      <c r="N2353" s="74" t="str">
        <f t="shared" si="292"/>
        <v/>
      </c>
      <c r="O2353" s="73" t="str">
        <f t="shared" si="293"/>
        <v/>
      </c>
      <c r="P2353" s="65" t="str">
        <f t="shared" ca="1" si="294"/>
        <v/>
      </c>
      <c r="Q2353" s="2"/>
      <c r="R2353" s="2"/>
      <c r="S2353" s="1" t="str">
        <f t="shared" si="295"/>
        <v/>
      </c>
      <c r="T2353" s="1" t="str">
        <f>IF(OR($C2353="",$D2353&lt;&gt;"Gelir",$L2353=""),"",IFERROR(INDEX(MUSTERILER!$B$7:$B$156,MATCH($S2353,MUSTERILER!$T$7:$T$156,0)),""))</f>
        <v/>
      </c>
      <c r="U2353" s="1" t="str">
        <f>IF($T2353="","",$T2353&amp;"|"&amp;COUNTIFS($T$7:$T2353,$T2353))</f>
        <v/>
      </c>
      <c r="V2353" s="1">
        <f t="shared" si="296"/>
        <v>0</v>
      </c>
      <c r="W2353" s="1" t="str">
        <f t="shared" si="297"/>
        <v/>
      </c>
      <c r="X2353" s="1"/>
      <c r="Y2353" s="1"/>
      <c r="Z2353" s="1"/>
      <c r="AA2353" s="1"/>
      <c r="AB2353" s="1"/>
      <c r="AC2353" s="1"/>
      <c r="AD2353" s="1">
        <f>IF($C2353="",0,SUMPRODUCT((AY_SONU!$O$7:$O$42="Evet")*(AY_SONU!$B$7:$B$42=DATE(YEAR($C2353),MONTH($C2353),1))))</f>
        <v>0</v>
      </c>
      <c r="AE2353" s="1" t="str">
        <f>IF($E2353="","",$E2353&amp;"|"&amp;COUNTIFS($E$7:$E2353,$E2353))</f>
        <v/>
      </c>
    </row>
    <row r="2354" spans="1:31" ht="18" customHeight="1" x14ac:dyDescent="0.3">
      <c r="A2354" s="2"/>
      <c r="B2354" s="65" t="str">
        <f t="shared" si="290"/>
        <v/>
      </c>
      <c r="C2354" s="66"/>
      <c r="D2354" s="60"/>
      <c r="E2354" s="61"/>
      <c r="F2354" s="61"/>
      <c r="G2354" s="67"/>
      <c r="H2354" s="60"/>
      <c r="I2354" s="60"/>
      <c r="J2354" s="61"/>
      <c r="K2354" s="61"/>
      <c r="L2354" s="60"/>
      <c r="M2354" s="74" t="str">
        <f t="shared" si="291"/>
        <v/>
      </c>
      <c r="N2354" s="74" t="str">
        <f t="shared" si="292"/>
        <v/>
      </c>
      <c r="O2354" s="73" t="str">
        <f t="shared" si="293"/>
        <v/>
      </c>
      <c r="P2354" s="65" t="str">
        <f t="shared" ca="1" si="294"/>
        <v/>
      </c>
      <c r="Q2354" s="2"/>
      <c r="R2354" s="2"/>
      <c r="S2354" s="1" t="str">
        <f t="shared" si="295"/>
        <v/>
      </c>
      <c r="T2354" s="1" t="str">
        <f>IF(OR($C2354="",$D2354&lt;&gt;"Gelir",$L2354=""),"",IFERROR(INDEX(MUSTERILER!$B$7:$B$156,MATCH($S2354,MUSTERILER!$T$7:$T$156,0)),""))</f>
        <v/>
      </c>
      <c r="U2354" s="1" t="str">
        <f>IF($T2354="","",$T2354&amp;"|"&amp;COUNTIFS($T$7:$T2354,$T2354))</f>
        <v/>
      </c>
      <c r="V2354" s="1">
        <f t="shared" si="296"/>
        <v>0</v>
      </c>
      <c r="W2354" s="1" t="str">
        <f t="shared" si="297"/>
        <v/>
      </c>
      <c r="X2354" s="1"/>
      <c r="Y2354" s="1"/>
      <c r="Z2354" s="1"/>
      <c r="AA2354" s="1"/>
      <c r="AB2354" s="1"/>
      <c r="AC2354" s="1"/>
      <c r="AD2354" s="1">
        <f>IF($C2354="",0,SUMPRODUCT((AY_SONU!$O$7:$O$42="Evet")*(AY_SONU!$B$7:$B$42=DATE(YEAR($C2354),MONTH($C2354),1))))</f>
        <v>0</v>
      </c>
      <c r="AE2354" s="1" t="str">
        <f>IF($E2354="","",$E2354&amp;"|"&amp;COUNTIFS($E$7:$E2354,$E2354))</f>
        <v/>
      </c>
    </row>
    <row r="2355" spans="1:31" ht="18" customHeight="1" x14ac:dyDescent="0.3">
      <c r="A2355" s="2"/>
      <c r="B2355" s="65" t="str">
        <f t="shared" si="290"/>
        <v/>
      </c>
      <c r="C2355" s="66"/>
      <c r="D2355" s="60"/>
      <c r="E2355" s="61"/>
      <c r="F2355" s="61"/>
      <c r="G2355" s="67"/>
      <c r="H2355" s="60"/>
      <c r="I2355" s="60"/>
      <c r="J2355" s="61"/>
      <c r="K2355" s="61"/>
      <c r="L2355" s="60"/>
      <c r="M2355" s="74" t="str">
        <f t="shared" si="291"/>
        <v/>
      </c>
      <c r="N2355" s="74" t="str">
        <f t="shared" si="292"/>
        <v/>
      </c>
      <c r="O2355" s="73" t="str">
        <f t="shared" si="293"/>
        <v/>
      </c>
      <c r="P2355" s="65" t="str">
        <f t="shared" ca="1" si="294"/>
        <v/>
      </c>
      <c r="Q2355" s="2"/>
      <c r="R2355" s="2"/>
      <c r="S2355" s="1" t="str">
        <f t="shared" si="295"/>
        <v/>
      </c>
      <c r="T2355" s="1" t="str">
        <f>IF(OR($C2355="",$D2355&lt;&gt;"Gelir",$L2355=""),"",IFERROR(INDEX(MUSTERILER!$B$7:$B$156,MATCH($S2355,MUSTERILER!$T$7:$T$156,0)),""))</f>
        <v/>
      </c>
      <c r="U2355" s="1" t="str">
        <f>IF($T2355="","",$T2355&amp;"|"&amp;COUNTIFS($T$7:$T2355,$T2355))</f>
        <v/>
      </c>
      <c r="V2355" s="1">
        <f t="shared" si="296"/>
        <v>0</v>
      </c>
      <c r="W2355" s="1" t="str">
        <f t="shared" si="297"/>
        <v/>
      </c>
      <c r="X2355" s="1"/>
      <c r="Y2355" s="1"/>
      <c r="Z2355" s="1"/>
      <c r="AA2355" s="1"/>
      <c r="AB2355" s="1"/>
      <c r="AC2355" s="1"/>
      <c r="AD2355" s="1">
        <f>IF($C2355="",0,SUMPRODUCT((AY_SONU!$O$7:$O$42="Evet")*(AY_SONU!$B$7:$B$42=DATE(YEAR($C2355),MONTH($C2355),1))))</f>
        <v>0</v>
      </c>
      <c r="AE2355" s="1" t="str">
        <f>IF($E2355="","",$E2355&amp;"|"&amp;COUNTIFS($E$7:$E2355,$E2355))</f>
        <v/>
      </c>
    </row>
    <row r="2356" spans="1:31" ht="18" customHeight="1" x14ac:dyDescent="0.3">
      <c r="A2356" s="2"/>
      <c r="B2356" s="65" t="str">
        <f t="shared" si="290"/>
        <v/>
      </c>
      <c r="C2356" s="66"/>
      <c r="D2356" s="60"/>
      <c r="E2356" s="61"/>
      <c r="F2356" s="61"/>
      <c r="G2356" s="67"/>
      <c r="H2356" s="60"/>
      <c r="I2356" s="60"/>
      <c r="J2356" s="61"/>
      <c r="K2356" s="61"/>
      <c r="L2356" s="60"/>
      <c r="M2356" s="74" t="str">
        <f t="shared" si="291"/>
        <v/>
      </c>
      <c r="N2356" s="74" t="str">
        <f t="shared" si="292"/>
        <v/>
      </c>
      <c r="O2356" s="73" t="str">
        <f t="shared" si="293"/>
        <v/>
      </c>
      <c r="P2356" s="65" t="str">
        <f t="shared" ca="1" si="294"/>
        <v/>
      </c>
      <c r="Q2356" s="2"/>
      <c r="R2356" s="2"/>
      <c r="S2356" s="1" t="str">
        <f t="shared" si="295"/>
        <v/>
      </c>
      <c r="T2356" s="1" t="str">
        <f>IF(OR($C2356="",$D2356&lt;&gt;"Gelir",$L2356=""),"",IFERROR(INDEX(MUSTERILER!$B$7:$B$156,MATCH($S2356,MUSTERILER!$T$7:$T$156,0)),""))</f>
        <v/>
      </c>
      <c r="U2356" s="1" t="str">
        <f>IF($T2356="","",$T2356&amp;"|"&amp;COUNTIFS($T$7:$T2356,$T2356))</f>
        <v/>
      </c>
      <c r="V2356" s="1">
        <f t="shared" si="296"/>
        <v>0</v>
      </c>
      <c r="W2356" s="1" t="str">
        <f t="shared" si="297"/>
        <v/>
      </c>
      <c r="X2356" s="1"/>
      <c r="Y2356" s="1"/>
      <c r="Z2356" s="1"/>
      <c r="AA2356" s="1"/>
      <c r="AB2356" s="1"/>
      <c r="AC2356" s="1"/>
      <c r="AD2356" s="1">
        <f>IF($C2356="",0,SUMPRODUCT((AY_SONU!$O$7:$O$42="Evet")*(AY_SONU!$B$7:$B$42=DATE(YEAR($C2356),MONTH($C2356),1))))</f>
        <v>0</v>
      </c>
      <c r="AE2356" s="1" t="str">
        <f>IF($E2356="","",$E2356&amp;"|"&amp;COUNTIFS($E$7:$E2356,$E2356))</f>
        <v/>
      </c>
    </row>
    <row r="2357" spans="1:31" ht="18" customHeight="1" x14ac:dyDescent="0.3">
      <c r="A2357" s="2"/>
      <c r="B2357" s="65" t="str">
        <f t="shared" si="290"/>
        <v/>
      </c>
      <c r="C2357" s="66"/>
      <c r="D2357" s="60"/>
      <c r="E2357" s="61"/>
      <c r="F2357" s="61"/>
      <c r="G2357" s="67"/>
      <c r="H2357" s="60"/>
      <c r="I2357" s="60"/>
      <c r="J2357" s="61"/>
      <c r="K2357" s="61"/>
      <c r="L2357" s="60"/>
      <c r="M2357" s="74" t="str">
        <f t="shared" si="291"/>
        <v/>
      </c>
      <c r="N2357" s="74" t="str">
        <f t="shared" si="292"/>
        <v/>
      </c>
      <c r="O2357" s="73" t="str">
        <f t="shared" si="293"/>
        <v/>
      </c>
      <c r="P2357" s="65" t="str">
        <f t="shared" ca="1" si="294"/>
        <v/>
      </c>
      <c r="Q2357" s="2"/>
      <c r="R2357" s="2"/>
      <c r="S2357" s="1" t="str">
        <f t="shared" si="295"/>
        <v/>
      </c>
      <c r="T2357" s="1" t="str">
        <f>IF(OR($C2357="",$D2357&lt;&gt;"Gelir",$L2357=""),"",IFERROR(INDEX(MUSTERILER!$B$7:$B$156,MATCH($S2357,MUSTERILER!$T$7:$T$156,0)),""))</f>
        <v/>
      </c>
      <c r="U2357" s="1" t="str">
        <f>IF($T2357="","",$T2357&amp;"|"&amp;COUNTIFS($T$7:$T2357,$T2357))</f>
        <v/>
      </c>
      <c r="V2357" s="1">
        <f t="shared" si="296"/>
        <v>0</v>
      </c>
      <c r="W2357" s="1" t="str">
        <f t="shared" si="297"/>
        <v/>
      </c>
      <c r="X2357" s="1"/>
      <c r="Y2357" s="1"/>
      <c r="Z2357" s="1"/>
      <c r="AA2357" s="1"/>
      <c r="AB2357" s="1"/>
      <c r="AC2357" s="1"/>
      <c r="AD2357" s="1">
        <f>IF($C2357="",0,SUMPRODUCT((AY_SONU!$O$7:$O$42="Evet")*(AY_SONU!$B$7:$B$42=DATE(YEAR($C2357),MONTH($C2357),1))))</f>
        <v>0</v>
      </c>
      <c r="AE2357" s="1" t="str">
        <f>IF($E2357="","",$E2357&amp;"|"&amp;COUNTIFS($E$7:$E2357,$E2357))</f>
        <v/>
      </c>
    </row>
    <row r="2358" spans="1:31" ht="18" customHeight="1" x14ac:dyDescent="0.3">
      <c r="A2358" s="2"/>
      <c r="B2358" s="65" t="str">
        <f t="shared" si="290"/>
        <v/>
      </c>
      <c r="C2358" s="66"/>
      <c r="D2358" s="60"/>
      <c r="E2358" s="61"/>
      <c r="F2358" s="61"/>
      <c r="G2358" s="67"/>
      <c r="H2358" s="60"/>
      <c r="I2358" s="60"/>
      <c r="J2358" s="61"/>
      <c r="K2358" s="61"/>
      <c r="L2358" s="60"/>
      <c r="M2358" s="74" t="str">
        <f t="shared" si="291"/>
        <v/>
      </c>
      <c r="N2358" s="74" t="str">
        <f t="shared" si="292"/>
        <v/>
      </c>
      <c r="O2358" s="73" t="str">
        <f t="shared" si="293"/>
        <v/>
      </c>
      <c r="P2358" s="65" t="str">
        <f t="shared" ca="1" si="294"/>
        <v/>
      </c>
      <c r="Q2358" s="2"/>
      <c r="R2358" s="2"/>
      <c r="S2358" s="1" t="str">
        <f t="shared" si="295"/>
        <v/>
      </c>
      <c r="T2358" s="1" t="str">
        <f>IF(OR($C2358="",$D2358&lt;&gt;"Gelir",$L2358=""),"",IFERROR(INDEX(MUSTERILER!$B$7:$B$156,MATCH($S2358,MUSTERILER!$T$7:$T$156,0)),""))</f>
        <v/>
      </c>
      <c r="U2358" s="1" t="str">
        <f>IF($T2358="","",$T2358&amp;"|"&amp;COUNTIFS($T$7:$T2358,$T2358))</f>
        <v/>
      </c>
      <c r="V2358" s="1">
        <f t="shared" si="296"/>
        <v>0</v>
      </c>
      <c r="W2358" s="1" t="str">
        <f t="shared" si="297"/>
        <v/>
      </c>
      <c r="X2358" s="1"/>
      <c r="Y2358" s="1"/>
      <c r="Z2358" s="1"/>
      <c r="AA2358" s="1"/>
      <c r="AB2358" s="1"/>
      <c r="AC2358" s="1"/>
      <c r="AD2358" s="1">
        <f>IF($C2358="",0,SUMPRODUCT((AY_SONU!$O$7:$O$42="Evet")*(AY_SONU!$B$7:$B$42=DATE(YEAR($C2358),MONTH($C2358),1))))</f>
        <v>0</v>
      </c>
      <c r="AE2358" s="1" t="str">
        <f>IF($E2358="","",$E2358&amp;"|"&amp;COUNTIFS($E$7:$E2358,$E2358))</f>
        <v/>
      </c>
    </row>
    <row r="2359" spans="1:31" ht="18" customHeight="1" x14ac:dyDescent="0.3">
      <c r="A2359" s="2"/>
      <c r="B2359" s="65" t="str">
        <f t="shared" si="290"/>
        <v/>
      </c>
      <c r="C2359" s="66"/>
      <c r="D2359" s="60"/>
      <c r="E2359" s="61"/>
      <c r="F2359" s="61"/>
      <c r="G2359" s="67"/>
      <c r="H2359" s="60"/>
      <c r="I2359" s="60"/>
      <c r="J2359" s="61"/>
      <c r="K2359" s="61"/>
      <c r="L2359" s="60"/>
      <c r="M2359" s="74" t="str">
        <f t="shared" si="291"/>
        <v/>
      </c>
      <c r="N2359" s="74" t="str">
        <f t="shared" si="292"/>
        <v/>
      </c>
      <c r="O2359" s="73" t="str">
        <f t="shared" si="293"/>
        <v/>
      </c>
      <c r="P2359" s="65" t="str">
        <f t="shared" ca="1" si="294"/>
        <v/>
      </c>
      <c r="Q2359" s="2"/>
      <c r="R2359" s="2"/>
      <c r="S2359" s="1" t="str">
        <f t="shared" si="295"/>
        <v/>
      </c>
      <c r="T2359" s="1" t="str">
        <f>IF(OR($C2359="",$D2359&lt;&gt;"Gelir",$L2359=""),"",IFERROR(INDEX(MUSTERILER!$B$7:$B$156,MATCH($S2359,MUSTERILER!$T$7:$T$156,0)),""))</f>
        <v/>
      </c>
      <c r="U2359" s="1" t="str">
        <f>IF($T2359="","",$T2359&amp;"|"&amp;COUNTIFS($T$7:$T2359,$T2359))</f>
        <v/>
      </c>
      <c r="V2359" s="1">
        <f t="shared" si="296"/>
        <v>0</v>
      </c>
      <c r="W2359" s="1" t="str">
        <f t="shared" si="297"/>
        <v/>
      </c>
      <c r="X2359" s="1"/>
      <c r="Y2359" s="1"/>
      <c r="Z2359" s="1"/>
      <c r="AA2359" s="1"/>
      <c r="AB2359" s="1"/>
      <c r="AC2359" s="1"/>
      <c r="AD2359" s="1">
        <f>IF($C2359="",0,SUMPRODUCT((AY_SONU!$O$7:$O$42="Evet")*(AY_SONU!$B$7:$B$42=DATE(YEAR($C2359),MONTH($C2359),1))))</f>
        <v>0</v>
      </c>
      <c r="AE2359" s="1" t="str">
        <f>IF($E2359="","",$E2359&amp;"|"&amp;COUNTIFS($E$7:$E2359,$E2359))</f>
        <v/>
      </c>
    </row>
    <row r="2360" spans="1:31" ht="18" customHeight="1" x14ac:dyDescent="0.3">
      <c r="A2360" s="2"/>
      <c r="B2360" s="65" t="str">
        <f t="shared" si="290"/>
        <v/>
      </c>
      <c r="C2360" s="66"/>
      <c r="D2360" s="60"/>
      <c r="E2360" s="61"/>
      <c r="F2360" s="61"/>
      <c r="G2360" s="67"/>
      <c r="H2360" s="60"/>
      <c r="I2360" s="60"/>
      <c r="J2360" s="61"/>
      <c r="K2360" s="61"/>
      <c r="L2360" s="60"/>
      <c r="M2360" s="74" t="str">
        <f t="shared" si="291"/>
        <v/>
      </c>
      <c r="N2360" s="74" t="str">
        <f t="shared" si="292"/>
        <v/>
      </c>
      <c r="O2360" s="73" t="str">
        <f t="shared" si="293"/>
        <v/>
      </c>
      <c r="P2360" s="65" t="str">
        <f t="shared" ca="1" si="294"/>
        <v/>
      </c>
      <c r="Q2360" s="2"/>
      <c r="R2360" s="2"/>
      <c r="S2360" s="1" t="str">
        <f t="shared" si="295"/>
        <v/>
      </c>
      <c r="T2360" s="1" t="str">
        <f>IF(OR($C2360="",$D2360&lt;&gt;"Gelir",$L2360=""),"",IFERROR(INDEX(MUSTERILER!$B$7:$B$156,MATCH($S2360,MUSTERILER!$T$7:$T$156,0)),""))</f>
        <v/>
      </c>
      <c r="U2360" s="1" t="str">
        <f>IF($T2360="","",$T2360&amp;"|"&amp;COUNTIFS($T$7:$T2360,$T2360))</f>
        <v/>
      </c>
      <c r="V2360" s="1">
        <f t="shared" si="296"/>
        <v>0</v>
      </c>
      <c r="W2360" s="1" t="str">
        <f t="shared" si="297"/>
        <v/>
      </c>
      <c r="X2360" s="1"/>
      <c r="Y2360" s="1"/>
      <c r="Z2360" s="1"/>
      <c r="AA2360" s="1"/>
      <c r="AB2360" s="1"/>
      <c r="AC2360" s="1"/>
      <c r="AD2360" s="1">
        <f>IF($C2360="",0,SUMPRODUCT((AY_SONU!$O$7:$O$42="Evet")*(AY_SONU!$B$7:$B$42=DATE(YEAR($C2360),MONTH($C2360),1))))</f>
        <v>0</v>
      </c>
      <c r="AE2360" s="1" t="str">
        <f>IF($E2360="","",$E2360&amp;"|"&amp;COUNTIFS($E$7:$E2360,$E2360))</f>
        <v/>
      </c>
    </row>
    <row r="2361" spans="1:31" ht="18" customHeight="1" x14ac:dyDescent="0.3">
      <c r="A2361" s="2"/>
      <c r="B2361" s="65" t="str">
        <f t="shared" si="290"/>
        <v/>
      </c>
      <c r="C2361" s="66"/>
      <c r="D2361" s="60"/>
      <c r="E2361" s="61"/>
      <c r="F2361" s="61"/>
      <c r="G2361" s="67"/>
      <c r="H2361" s="60"/>
      <c r="I2361" s="60"/>
      <c r="J2361" s="61"/>
      <c r="K2361" s="61"/>
      <c r="L2361" s="60"/>
      <c r="M2361" s="74" t="str">
        <f t="shared" si="291"/>
        <v/>
      </c>
      <c r="N2361" s="74" t="str">
        <f t="shared" si="292"/>
        <v/>
      </c>
      <c r="O2361" s="73" t="str">
        <f t="shared" si="293"/>
        <v/>
      </c>
      <c r="P2361" s="65" t="str">
        <f t="shared" ca="1" si="294"/>
        <v/>
      </c>
      <c r="Q2361" s="2"/>
      <c r="R2361" s="2"/>
      <c r="S2361" s="1" t="str">
        <f t="shared" si="295"/>
        <v/>
      </c>
      <c r="T2361" s="1" t="str">
        <f>IF(OR($C2361="",$D2361&lt;&gt;"Gelir",$L2361=""),"",IFERROR(INDEX(MUSTERILER!$B$7:$B$156,MATCH($S2361,MUSTERILER!$T$7:$T$156,0)),""))</f>
        <v/>
      </c>
      <c r="U2361" s="1" t="str">
        <f>IF($T2361="","",$T2361&amp;"|"&amp;COUNTIFS($T$7:$T2361,$T2361))</f>
        <v/>
      </c>
      <c r="V2361" s="1">
        <f t="shared" si="296"/>
        <v>0</v>
      </c>
      <c r="W2361" s="1" t="str">
        <f t="shared" si="297"/>
        <v/>
      </c>
      <c r="X2361" s="1"/>
      <c r="Y2361" s="1"/>
      <c r="Z2361" s="1"/>
      <c r="AA2361" s="1"/>
      <c r="AB2361" s="1"/>
      <c r="AC2361" s="1"/>
      <c r="AD2361" s="1">
        <f>IF($C2361="",0,SUMPRODUCT((AY_SONU!$O$7:$O$42="Evet")*(AY_SONU!$B$7:$B$42=DATE(YEAR($C2361),MONTH($C2361),1))))</f>
        <v>0</v>
      </c>
      <c r="AE2361" s="1" t="str">
        <f>IF($E2361="","",$E2361&amp;"|"&amp;COUNTIFS($E$7:$E2361,$E2361))</f>
        <v/>
      </c>
    </row>
    <row r="2362" spans="1:31" ht="18" customHeight="1" x14ac:dyDescent="0.3">
      <c r="A2362" s="2"/>
      <c r="B2362" s="65" t="str">
        <f t="shared" si="290"/>
        <v/>
      </c>
      <c r="C2362" s="66"/>
      <c r="D2362" s="60"/>
      <c r="E2362" s="61"/>
      <c r="F2362" s="61"/>
      <c r="G2362" s="67"/>
      <c r="H2362" s="60"/>
      <c r="I2362" s="60"/>
      <c r="J2362" s="61"/>
      <c r="K2362" s="61"/>
      <c r="L2362" s="60"/>
      <c r="M2362" s="74" t="str">
        <f t="shared" si="291"/>
        <v/>
      </c>
      <c r="N2362" s="74" t="str">
        <f t="shared" si="292"/>
        <v/>
      </c>
      <c r="O2362" s="73" t="str">
        <f t="shared" si="293"/>
        <v/>
      </c>
      <c r="P2362" s="65" t="str">
        <f t="shared" ca="1" si="294"/>
        <v/>
      </c>
      <c r="Q2362" s="2"/>
      <c r="R2362" s="2"/>
      <c r="S2362" s="1" t="str">
        <f t="shared" si="295"/>
        <v/>
      </c>
      <c r="T2362" s="1" t="str">
        <f>IF(OR($C2362="",$D2362&lt;&gt;"Gelir",$L2362=""),"",IFERROR(INDEX(MUSTERILER!$B$7:$B$156,MATCH($S2362,MUSTERILER!$T$7:$T$156,0)),""))</f>
        <v/>
      </c>
      <c r="U2362" s="1" t="str">
        <f>IF($T2362="","",$T2362&amp;"|"&amp;COUNTIFS($T$7:$T2362,$T2362))</f>
        <v/>
      </c>
      <c r="V2362" s="1">
        <f t="shared" si="296"/>
        <v>0</v>
      </c>
      <c r="W2362" s="1" t="str">
        <f t="shared" si="297"/>
        <v/>
      </c>
      <c r="X2362" s="1"/>
      <c r="Y2362" s="1"/>
      <c r="Z2362" s="1"/>
      <c r="AA2362" s="1"/>
      <c r="AB2362" s="1"/>
      <c r="AC2362" s="1"/>
      <c r="AD2362" s="1">
        <f>IF($C2362="",0,SUMPRODUCT((AY_SONU!$O$7:$O$42="Evet")*(AY_SONU!$B$7:$B$42=DATE(YEAR($C2362),MONTH($C2362),1))))</f>
        <v>0</v>
      </c>
      <c r="AE2362" s="1" t="str">
        <f>IF($E2362="","",$E2362&amp;"|"&amp;COUNTIFS($E$7:$E2362,$E2362))</f>
        <v/>
      </c>
    </row>
    <row r="2363" spans="1:31" ht="18" customHeight="1" x14ac:dyDescent="0.3">
      <c r="A2363" s="2"/>
      <c r="B2363" s="65" t="str">
        <f t="shared" si="290"/>
        <v/>
      </c>
      <c r="C2363" s="66"/>
      <c r="D2363" s="60"/>
      <c r="E2363" s="61"/>
      <c r="F2363" s="61"/>
      <c r="G2363" s="67"/>
      <c r="H2363" s="60"/>
      <c r="I2363" s="60"/>
      <c r="J2363" s="61"/>
      <c r="K2363" s="61"/>
      <c r="L2363" s="60"/>
      <c r="M2363" s="74" t="str">
        <f t="shared" si="291"/>
        <v/>
      </c>
      <c r="N2363" s="74" t="str">
        <f t="shared" si="292"/>
        <v/>
      </c>
      <c r="O2363" s="73" t="str">
        <f t="shared" si="293"/>
        <v/>
      </c>
      <c r="P2363" s="65" t="str">
        <f t="shared" ca="1" si="294"/>
        <v/>
      </c>
      <c r="Q2363" s="2"/>
      <c r="R2363" s="2"/>
      <c r="S2363" s="1" t="str">
        <f t="shared" si="295"/>
        <v/>
      </c>
      <c r="T2363" s="1" t="str">
        <f>IF(OR($C2363="",$D2363&lt;&gt;"Gelir",$L2363=""),"",IFERROR(INDEX(MUSTERILER!$B$7:$B$156,MATCH($S2363,MUSTERILER!$T$7:$T$156,0)),""))</f>
        <v/>
      </c>
      <c r="U2363" s="1" t="str">
        <f>IF($T2363="","",$T2363&amp;"|"&amp;COUNTIFS($T$7:$T2363,$T2363))</f>
        <v/>
      </c>
      <c r="V2363" s="1">
        <f t="shared" si="296"/>
        <v>0</v>
      </c>
      <c r="W2363" s="1" t="str">
        <f t="shared" si="297"/>
        <v/>
      </c>
      <c r="X2363" s="1"/>
      <c r="Y2363" s="1"/>
      <c r="Z2363" s="1"/>
      <c r="AA2363" s="1"/>
      <c r="AB2363" s="1"/>
      <c r="AC2363" s="1"/>
      <c r="AD2363" s="1">
        <f>IF($C2363="",0,SUMPRODUCT((AY_SONU!$O$7:$O$42="Evet")*(AY_SONU!$B$7:$B$42=DATE(YEAR($C2363),MONTH($C2363),1))))</f>
        <v>0</v>
      </c>
      <c r="AE2363" s="1" t="str">
        <f>IF($E2363="","",$E2363&amp;"|"&amp;COUNTIFS($E$7:$E2363,$E2363))</f>
        <v/>
      </c>
    </row>
    <row r="2364" spans="1:31" ht="18" customHeight="1" x14ac:dyDescent="0.3">
      <c r="A2364" s="2"/>
      <c r="B2364" s="65" t="str">
        <f t="shared" si="290"/>
        <v/>
      </c>
      <c r="C2364" s="66"/>
      <c r="D2364" s="60"/>
      <c r="E2364" s="61"/>
      <c r="F2364" s="61"/>
      <c r="G2364" s="67"/>
      <c r="H2364" s="60"/>
      <c r="I2364" s="60"/>
      <c r="J2364" s="61"/>
      <c r="K2364" s="61"/>
      <c r="L2364" s="60"/>
      <c r="M2364" s="74" t="str">
        <f t="shared" si="291"/>
        <v/>
      </c>
      <c r="N2364" s="74" t="str">
        <f t="shared" si="292"/>
        <v/>
      </c>
      <c r="O2364" s="73" t="str">
        <f t="shared" si="293"/>
        <v/>
      </c>
      <c r="P2364" s="65" t="str">
        <f t="shared" ca="1" si="294"/>
        <v/>
      </c>
      <c r="Q2364" s="2"/>
      <c r="R2364" s="2"/>
      <c r="S2364" s="1" t="str">
        <f t="shared" si="295"/>
        <v/>
      </c>
      <c r="T2364" s="1" t="str">
        <f>IF(OR($C2364="",$D2364&lt;&gt;"Gelir",$L2364=""),"",IFERROR(INDEX(MUSTERILER!$B$7:$B$156,MATCH($S2364,MUSTERILER!$T$7:$T$156,0)),""))</f>
        <v/>
      </c>
      <c r="U2364" s="1" t="str">
        <f>IF($T2364="","",$T2364&amp;"|"&amp;COUNTIFS($T$7:$T2364,$T2364))</f>
        <v/>
      </c>
      <c r="V2364" s="1">
        <f t="shared" si="296"/>
        <v>0</v>
      </c>
      <c r="W2364" s="1" t="str">
        <f t="shared" si="297"/>
        <v/>
      </c>
      <c r="X2364" s="1"/>
      <c r="Y2364" s="1"/>
      <c r="Z2364" s="1"/>
      <c r="AA2364" s="1"/>
      <c r="AB2364" s="1"/>
      <c r="AC2364" s="1"/>
      <c r="AD2364" s="1">
        <f>IF($C2364="",0,SUMPRODUCT((AY_SONU!$O$7:$O$42="Evet")*(AY_SONU!$B$7:$B$42=DATE(YEAR($C2364),MONTH($C2364),1))))</f>
        <v>0</v>
      </c>
      <c r="AE2364" s="1" t="str">
        <f>IF($E2364="","",$E2364&amp;"|"&amp;COUNTIFS($E$7:$E2364,$E2364))</f>
        <v/>
      </c>
    </row>
    <row r="2365" spans="1:31" ht="18" customHeight="1" x14ac:dyDescent="0.3">
      <c r="A2365" s="2"/>
      <c r="B2365" s="65" t="str">
        <f t="shared" si="290"/>
        <v/>
      </c>
      <c r="C2365" s="66"/>
      <c r="D2365" s="60"/>
      <c r="E2365" s="61"/>
      <c r="F2365" s="61"/>
      <c r="G2365" s="67"/>
      <c r="H2365" s="60"/>
      <c r="I2365" s="60"/>
      <c r="J2365" s="61"/>
      <c r="K2365" s="61"/>
      <c r="L2365" s="60"/>
      <c r="M2365" s="74" t="str">
        <f t="shared" si="291"/>
        <v/>
      </c>
      <c r="N2365" s="74" t="str">
        <f t="shared" si="292"/>
        <v/>
      </c>
      <c r="O2365" s="73" t="str">
        <f t="shared" si="293"/>
        <v/>
      </c>
      <c r="P2365" s="65" t="str">
        <f t="shared" ca="1" si="294"/>
        <v/>
      </c>
      <c r="Q2365" s="2"/>
      <c r="R2365" s="2"/>
      <c r="S2365" s="1" t="str">
        <f t="shared" si="295"/>
        <v/>
      </c>
      <c r="T2365" s="1" t="str">
        <f>IF(OR($C2365="",$D2365&lt;&gt;"Gelir",$L2365=""),"",IFERROR(INDEX(MUSTERILER!$B$7:$B$156,MATCH($S2365,MUSTERILER!$T$7:$T$156,0)),""))</f>
        <v/>
      </c>
      <c r="U2365" s="1" t="str">
        <f>IF($T2365="","",$T2365&amp;"|"&amp;COUNTIFS($T$7:$T2365,$T2365))</f>
        <v/>
      </c>
      <c r="V2365" s="1">
        <f t="shared" si="296"/>
        <v>0</v>
      </c>
      <c r="W2365" s="1" t="str">
        <f t="shared" si="297"/>
        <v/>
      </c>
      <c r="X2365" s="1"/>
      <c r="Y2365" s="1"/>
      <c r="Z2365" s="1"/>
      <c r="AA2365" s="1"/>
      <c r="AB2365" s="1"/>
      <c r="AC2365" s="1"/>
      <c r="AD2365" s="1">
        <f>IF($C2365="",0,SUMPRODUCT((AY_SONU!$O$7:$O$42="Evet")*(AY_SONU!$B$7:$B$42=DATE(YEAR($C2365),MONTH($C2365),1))))</f>
        <v>0</v>
      </c>
      <c r="AE2365" s="1" t="str">
        <f>IF($E2365="","",$E2365&amp;"|"&amp;COUNTIFS($E$7:$E2365,$E2365))</f>
        <v/>
      </c>
    </row>
    <row r="2366" spans="1:31" ht="18" customHeight="1" x14ac:dyDescent="0.3">
      <c r="A2366" s="2"/>
      <c r="B2366" s="65" t="str">
        <f t="shared" si="290"/>
        <v/>
      </c>
      <c r="C2366" s="66"/>
      <c r="D2366" s="60"/>
      <c r="E2366" s="61"/>
      <c r="F2366" s="61"/>
      <c r="G2366" s="67"/>
      <c r="H2366" s="60"/>
      <c r="I2366" s="60"/>
      <c r="J2366" s="61"/>
      <c r="K2366" s="61"/>
      <c r="L2366" s="60"/>
      <c r="M2366" s="74" t="str">
        <f t="shared" si="291"/>
        <v/>
      </c>
      <c r="N2366" s="74" t="str">
        <f t="shared" si="292"/>
        <v/>
      </c>
      <c r="O2366" s="73" t="str">
        <f t="shared" si="293"/>
        <v/>
      </c>
      <c r="P2366" s="65" t="str">
        <f t="shared" ca="1" si="294"/>
        <v/>
      </c>
      <c r="Q2366" s="2"/>
      <c r="R2366" s="2"/>
      <c r="S2366" s="1" t="str">
        <f t="shared" si="295"/>
        <v/>
      </c>
      <c r="T2366" s="1" t="str">
        <f>IF(OR($C2366="",$D2366&lt;&gt;"Gelir",$L2366=""),"",IFERROR(INDEX(MUSTERILER!$B$7:$B$156,MATCH($S2366,MUSTERILER!$T$7:$T$156,0)),""))</f>
        <v/>
      </c>
      <c r="U2366" s="1" t="str">
        <f>IF($T2366="","",$T2366&amp;"|"&amp;COUNTIFS($T$7:$T2366,$T2366))</f>
        <v/>
      </c>
      <c r="V2366" s="1">
        <f t="shared" si="296"/>
        <v>0</v>
      </c>
      <c r="W2366" s="1" t="str">
        <f t="shared" si="297"/>
        <v/>
      </c>
      <c r="X2366" s="1"/>
      <c r="Y2366" s="1"/>
      <c r="Z2366" s="1"/>
      <c r="AA2366" s="1"/>
      <c r="AB2366" s="1"/>
      <c r="AC2366" s="1"/>
      <c r="AD2366" s="1">
        <f>IF($C2366="",0,SUMPRODUCT((AY_SONU!$O$7:$O$42="Evet")*(AY_SONU!$B$7:$B$42=DATE(YEAR($C2366),MONTH($C2366),1))))</f>
        <v>0</v>
      </c>
      <c r="AE2366" s="1" t="str">
        <f>IF($E2366="","",$E2366&amp;"|"&amp;COUNTIFS($E$7:$E2366,$E2366))</f>
        <v/>
      </c>
    </row>
    <row r="2367" spans="1:31" ht="18" customHeight="1" x14ac:dyDescent="0.3">
      <c r="A2367" s="2"/>
      <c r="B2367" s="65" t="str">
        <f t="shared" si="290"/>
        <v/>
      </c>
      <c r="C2367" s="66"/>
      <c r="D2367" s="60"/>
      <c r="E2367" s="61"/>
      <c r="F2367" s="61"/>
      <c r="G2367" s="67"/>
      <c r="H2367" s="60"/>
      <c r="I2367" s="60"/>
      <c r="J2367" s="61"/>
      <c r="K2367" s="61"/>
      <c r="L2367" s="60"/>
      <c r="M2367" s="74" t="str">
        <f t="shared" si="291"/>
        <v/>
      </c>
      <c r="N2367" s="74" t="str">
        <f t="shared" si="292"/>
        <v/>
      </c>
      <c r="O2367" s="73" t="str">
        <f t="shared" si="293"/>
        <v/>
      </c>
      <c r="P2367" s="65" t="str">
        <f t="shared" ca="1" si="294"/>
        <v/>
      </c>
      <c r="Q2367" s="2"/>
      <c r="R2367" s="2"/>
      <c r="S2367" s="1" t="str">
        <f t="shared" si="295"/>
        <v/>
      </c>
      <c r="T2367" s="1" t="str">
        <f>IF(OR($C2367="",$D2367&lt;&gt;"Gelir",$L2367=""),"",IFERROR(INDEX(MUSTERILER!$B$7:$B$156,MATCH($S2367,MUSTERILER!$T$7:$T$156,0)),""))</f>
        <v/>
      </c>
      <c r="U2367" s="1" t="str">
        <f>IF($T2367="","",$T2367&amp;"|"&amp;COUNTIFS($T$7:$T2367,$T2367))</f>
        <v/>
      </c>
      <c r="V2367" s="1">
        <f t="shared" si="296"/>
        <v>0</v>
      </c>
      <c r="W2367" s="1" t="str">
        <f t="shared" si="297"/>
        <v/>
      </c>
      <c r="X2367" s="1"/>
      <c r="Y2367" s="1"/>
      <c r="Z2367" s="1"/>
      <c r="AA2367" s="1"/>
      <c r="AB2367" s="1"/>
      <c r="AC2367" s="1"/>
      <c r="AD2367" s="1">
        <f>IF($C2367="",0,SUMPRODUCT((AY_SONU!$O$7:$O$42="Evet")*(AY_SONU!$B$7:$B$42=DATE(YEAR($C2367),MONTH($C2367),1))))</f>
        <v>0</v>
      </c>
      <c r="AE2367" s="1" t="str">
        <f>IF($E2367="","",$E2367&amp;"|"&amp;COUNTIFS($E$7:$E2367,$E2367))</f>
        <v/>
      </c>
    </row>
    <row r="2368" spans="1:31" ht="18" customHeight="1" x14ac:dyDescent="0.3">
      <c r="A2368" s="2"/>
      <c r="B2368" s="65" t="str">
        <f t="shared" si="290"/>
        <v/>
      </c>
      <c r="C2368" s="66"/>
      <c r="D2368" s="60"/>
      <c r="E2368" s="61"/>
      <c r="F2368" s="61"/>
      <c r="G2368" s="67"/>
      <c r="H2368" s="60"/>
      <c r="I2368" s="60"/>
      <c r="J2368" s="61"/>
      <c r="K2368" s="61"/>
      <c r="L2368" s="60"/>
      <c r="M2368" s="74" t="str">
        <f t="shared" si="291"/>
        <v/>
      </c>
      <c r="N2368" s="74" t="str">
        <f t="shared" si="292"/>
        <v/>
      </c>
      <c r="O2368" s="73" t="str">
        <f t="shared" si="293"/>
        <v/>
      </c>
      <c r="P2368" s="65" t="str">
        <f t="shared" ca="1" si="294"/>
        <v/>
      </c>
      <c r="Q2368" s="2"/>
      <c r="R2368" s="2"/>
      <c r="S2368" s="1" t="str">
        <f t="shared" si="295"/>
        <v/>
      </c>
      <c r="T2368" s="1" t="str">
        <f>IF(OR($C2368="",$D2368&lt;&gt;"Gelir",$L2368=""),"",IFERROR(INDEX(MUSTERILER!$B$7:$B$156,MATCH($S2368,MUSTERILER!$T$7:$T$156,0)),""))</f>
        <v/>
      </c>
      <c r="U2368" s="1" t="str">
        <f>IF($T2368="","",$T2368&amp;"|"&amp;COUNTIFS($T$7:$T2368,$T2368))</f>
        <v/>
      </c>
      <c r="V2368" s="1">
        <f t="shared" si="296"/>
        <v>0</v>
      </c>
      <c r="W2368" s="1" t="str">
        <f t="shared" si="297"/>
        <v/>
      </c>
      <c r="X2368" s="1"/>
      <c r="Y2368" s="1"/>
      <c r="Z2368" s="1"/>
      <c r="AA2368" s="1"/>
      <c r="AB2368" s="1"/>
      <c r="AC2368" s="1"/>
      <c r="AD2368" s="1">
        <f>IF($C2368="",0,SUMPRODUCT((AY_SONU!$O$7:$O$42="Evet")*(AY_SONU!$B$7:$B$42=DATE(YEAR($C2368),MONTH($C2368),1))))</f>
        <v>0</v>
      </c>
      <c r="AE2368" s="1" t="str">
        <f>IF($E2368="","",$E2368&amp;"|"&amp;COUNTIFS($E$7:$E2368,$E2368))</f>
        <v/>
      </c>
    </row>
    <row r="2369" spans="1:31" ht="18" customHeight="1" x14ac:dyDescent="0.3">
      <c r="A2369" s="2"/>
      <c r="B2369" s="65" t="str">
        <f t="shared" si="290"/>
        <v/>
      </c>
      <c r="C2369" s="66"/>
      <c r="D2369" s="60"/>
      <c r="E2369" s="61"/>
      <c r="F2369" s="61"/>
      <c r="G2369" s="67"/>
      <c r="H2369" s="60"/>
      <c r="I2369" s="60"/>
      <c r="J2369" s="61"/>
      <c r="K2369" s="61"/>
      <c r="L2369" s="60"/>
      <c r="M2369" s="74" t="str">
        <f t="shared" si="291"/>
        <v/>
      </c>
      <c r="N2369" s="74" t="str">
        <f t="shared" si="292"/>
        <v/>
      </c>
      <c r="O2369" s="73" t="str">
        <f t="shared" si="293"/>
        <v/>
      </c>
      <c r="P2369" s="65" t="str">
        <f t="shared" ca="1" si="294"/>
        <v/>
      </c>
      <c r="Q2369" s="2"/>
      <c r="R2369" s="2"/>
      <c r="S2369" s="1" t="str">
        <f t="shared" si="295"/>
        <v/>
      </c>
      <c r="T2369" s="1" t="str">
        <f>IF(OR($C2369="",$D2369&lt;&gt;"Gelir",$L2369=""),"",IFERROR(INDEX(MUSTERILER!$B$7:$B$156,MATCH($S2369,MUSTERILER!$T$7:$T$156,0)),""))</f>
        <v/>
      </c>
      <c r="U2369" s="1" t="str">
        <f>IF($T2369="","",$T2369&amp;"|"&amp;COUNTIFS($T$7:$T2369,$T2369))</f>
        <v/>
      </c>
      <c r="V2369" s="1">
        <f t="shared" si="296"/>
        <v>0</v>
      </c>
      <c r="W2369" s="1" t="str">
        <f t="shared" si="297"/>
        <v/>
      </c>
      <c r="X2369" s="1"/>
      <c r="Y2369" s="1"/>
      <c r="Z2369" s="1"/>
      <c r="AA2369" s="1"/>
      <c r="AB2369" s="1"/>
      <c r="AC2369" s="1"/>
      <c r="AD2369" s="1">
        <f>IF($C2369="",0,SUMPRODUCT((AY_SONU!$O$7:$O$42="Evet")*(AY_SONU!$B$7:$B$42=DATE(YEAR($C2369),MONTH($C2369),1))))</f>
        <v>0</v>
      </c>
      <c r="AE2369" s="1" t="str">
        <f>IF($E2369="","",$E2369&amp;"|"&amp;COUNTIFS($E$7:$E2369,$E2369))</f>
        <v/>
      </c>
    </row>
    <row r="2370" spans="1:31" ht="18" customHeight="1" x14ac:dyDescent="0.3">
      <c r="A2370" s="2"/>
      <c r="B2370" s="65" t="str">
        <f t="shared" si="290"/>
        <v/>
      </c>
      <c r="C2370" s="66"/>
      <c r="D2370" s="60"/>
      <c r="E2370" s="61"/>
      <c r="F2370" s="61"/>
      <c r="G2370" s="67"/>
      <c r="H2370" s="60"/>
      <c r="I2370" s="60"/>
      <c r="J2370" s="61"/>
      <c r="K2370" s="61"/>
      <c r="L2370" s="60"/>
      <c r="M2370" s="74" t="str">
        <f t="shared" si="291"/>
        <v/>
      </c>
      <c r="N2370" s="74" t="str">
        <f t="shared" si="292"/>
        <v/>
      </c>
      <c r="O2370" s="73" t="str">
        <f t="shared" si="293"/>
        <v/>
      </c>
      <c r="P2370" s="65" t="str">
        <f t="shared" ca="1" si="294"/>
        <v/>
      </c>
      <c r="Q2370" s="2"/>
      <c r="R2370" s="2"/>
      <c r="S2370" s="1" t="str">
        <f t="shared" si="295"/>
        <v/>
      </c>
      <c r="T2370" s="1" t="str">
        <f>IF(OR($C2370="",$D2370&lt;&gt;"Gelir",$L2370=""),"",IFERROR(INDEX(MUSTERILER!$B$7:$B$156,MATCH($S2370,MUSTERILER!$T$7:$T$156,0)),""))</f>
        <v/>
      </c>
      <c r="U2370" s="1" t="str">
        <f>IF($T2370="","",$T2370&amp;"|"&amp;COUNTIFS($T$7:$T2370,$T2370))</f>
        <v/>
      </c>
      <c r="V2370" s="1">
        <f t="shared" si="296"/>
        <v>0</v>
      </c>
      <c r="W2370" s="1" t="str">
        <f t="shared" si="297"/>
        <v/>
      </c>
      <c r="X2370" s="1"/>
      <c r="Y2370" s="1"/>
      <c r="Z2370" s="1"/>
      <c r="AA2370" s="1"/>
      <c r="AB2370" s="1"/>
      <c r="AC2370" s="1"/>
      <c r="AD2370" s="1">
        <f>IF($C2370="",0,SUMPRODUCT((AY_SONU!$O$7:$O$42="Evet")*(AY_SONU!$B$7:$B$42=DATE(YEAR($C2370),MONTH($C2370),1))))</f>
        <v>0</v>
      </c>
      <c r="AE2370" s="1" t="str">
        <f>IF($E2370="","",$E2370&amp;"|"&amp;COUNTIFS($E$7:$E2370,$E2370))</f>
        <v/>
      </c>
    </row>
    <row r="2371" spans="1:31" ht="18" customHeight="1" x14ac:dyDescent="0.3">
      <c r="A2371" s="2"/>
      <c r="B2371" s="65" t="str">
        <f t="shared" si="290"/>
        <v/>
      </c>
      <c r="C2371" s="66"/>
      <c r="D2371" s="60"/>
      <c r="E2371" s="61"/>
      <c r="F2371" s="61"/>
      <c r="G2371" s="67"/>
      <c r="H2371" s="60"/>
      <c r="I2371" s="60"/>
      <c r="J2371" s="61"/>
      <c r="K2371" s="61"/>
      <c r="L2371" s="60"/>
      <c r="M2371" s="74" t="str">
        <f t="shared" si="291"/>
        <v/>
      </c>
      <c r="N2371" s="74" t="str">
        <f t="shared" si="292"/>
        <v/>
      </c>
      <c r="O2371" s="73" t="str">
        <f t="shared" si="293"/>
        <v/>
      </c>
      <c r="P2371" s="65" t="str">
        <f t="shared" ca="1" si="294"/>
        <v/>
      </c>
      <c r="Q2371" s="2"/>
      <c r="R2371" s="2"/>
      <c r="S2371" s="1" t="str">
        <f t="shared" si="295"/>
        <v/>
      </c>
      <c r="T2371" s="1" t="str">
        <f>IF(OR($C2371="",$D2371&lt;&gt;"Gelir",$L2371=""),"",IFERROR(INDEX(MUSTERILER!$B$7:$B$156,MATCH($S2371,MUSTERILER!$T$7:$T$156,0)),""))</f>
        <v/>
      </c>
      <c r="U2371" s="1" t="str">
        <f>IF($T2371="","",$T2371&amp;"|"&amp;COUNTIFS($T$7:$T2371,$T2371))</f>
        <v/>
      </c>
      <c r="V2371" s="1">
        <f t="shared" si="296"/>
        <v>0</v>
      </c>
      <c r="W2371" s="1" t="str">
        <f t="shared" si="297"/>
        <v/>
      </c>
      <c r="X2371" s="1"/>
      <c r="Y2371" s="1"/>
      <c r="Z2371" s="1"/>
      <c r="AA2371" s="1"/>
      <c r="AB2371" s="1"/>
      <c r="AC2371" s="1"/>
      <c r="AD2371" s="1">
        <f>IF($C2371="",0,SUMPRODUCT((AY_SONU!$O$7:$O$42="Evet")*(AY_SONU!$B$7:$B$42=DATE(YEAR($C2371),MONTH($C2371),1))))</f>
        <v>0</v>
      </c>
      <c r="AE2371" s="1" t="str">
        <f>IF($E2371="","",$E2371&amp;"|"&amp;COUNTIFS($E$7:$E2371,$E2371))</f>
        <v/>
      </c>
    </row>
    <row r="2372" spans="1:31" ht="18" customHeight="1" x14ac:dyDescent="0.3">
      <c r="A2372" s="2"/>
      <c r="B2372" s="65" t="str">
        <f t="shared" si="290"/>
        <v/>
      </c>
      <c r="C2372" s="66"/>
      <c r="D2372" s="60"/>
      <c r="E2372" s="61"/>
      <c r="F2372" s="61"/>
      <c r="G2372" s="67"/>
      <c r="H2372" s="60"/>
      <c r="I2372" s="60"/>
      <c r="J2372" s="61"/>
      <c r="K2372" s="61"/>
      <c r="L2372" s="60"/>
      <c r="M2372" s="74" t="str">
        <f t="shared" si="291"/>
        <v/>
      </c>
      <c r="N2372" s="74" t="str">
        <f t="shared" si="292"/>
        <v/>
      </c>
      <c r="O2372" s="73" t="str">
        <f t="shared" si="293"/>
        <v/>
      </c>
      <c r="P2372" s="65" t="str">
        <f t="shared" ca="1" si="294"/>
        <v/>
      </c>
      <c r="Q2372" s="2"/>
      <c r="R2372" s="2"/>
      <c r="S2372" s="1" t="str">
        <f t="shared" si="295"/>
        <v/>
      </c>
      <c r="T2372" s="1" t="str">
        <f>IF(OR($C2372="",$D2372&lt;&gt;"Gelir",$L2372=""),"",IFERROR(INDEX(MUSTERILER!$B$7:$B$156,MATCH($S2372,MUSTERILER!$T$7:$T$156,0)),""))</f>
        <v/>
      </c>
      <c r="U2372" s="1" t="str">
        <f>IF($T2372="","",$T2372&amp;"|"&amp;COUNTIFS($T$7:$T2372,$T2372))</f>
        <v/>
      </c>
      <c r="V2372" s="1">
        <f t="shared" si="296"/>
        <v>0</v>
      </c>
      <c r="W2372" s="1" t="str">
        <f t="shared" si="297"/>
        <v/>
      </c>
      <c r="X2372" s="1"/>
      <c r="Y2372" s="1"/>
      <c r="Z2372" s="1"/>
      <c r="AA2372" s="1"/>
      <c r="AB2372" s="1"/>
      <c r="AC2372" s="1"/>
      <c r="AD2372" s="1">
        <f>IF($C2372="",0,SUMPRODUCT((AY_SONU!$O$7:$O$42="Evet")*(AY_SONU!$B$7:$B$42=DATE(YEAR($C2372),MONTH($C2372),1))))</f>
        <v>0</v>
      </c>
      <c r="AE2372" s="1" t="str">
        <f>IF($E2372="","",$E2372&amp;"|"&amp;COUNTIFS($E$7:$E2372,$E2372))</f>
        <v/>
      </c>
    </row>
    <row r="2373" spans="1:31" ht="18" customHeight="1" x14ac:dyDescent="0.3">
      <c r="A2373" s="2"/>
      <c r="B2373" s="65" t="str">
        <f t="shared" si="290"/>
        <v/>
      </c>
      <c r="C2373" s="66"/>
      <c r="D2373" s="60"/>
      <c r="E2373" s="61"/>
      <c r="F2373" s="61"/>
      <c r="G2373" s="67"/>
      <c r="H2373" s="60"/>
      <c r="I2373" s="60"/>
      <c r="J2373" s="61"/>
      <c r="K2373" s="61"/>
      <c r="L2373" s="60"/>
      <c r="M2373" s="74" t="str">
        <f t="shared" si="291"/>
        <v/>
      </c>
      <c r="N2373" s="74" t="str">
        <f t="shared" si="292"/>
        <v/>
      </c>
      <c r="O2373" s="73" t="str">
        <f t="shared" si="293"/>
        <v/>
      </c>
      <c r="P2373" s="65" t="str">
        <f t="shared" ca="1" si="294"/>
        <v/>
      </c>
      <c r="Q2373" s="2"/>
      <c r="R2373" s="2"/>
      <c r="S2373" s="1" t="str">
        <f t="shared" si="295"/>
        <v/>
      </c>
      <c r="T2373" s="1" t="str">
        <f>IF(OR($C2373="",$D2373&lt;&gt;"Gelir",$L2373=""),"",IFERROR(INDEX(MUSTERILER!$B$7:$B$156,MATCH($S2373,MUSTERILER!$T$7:$T$156,0)),""))</f>
        <v/>
      </c>
      <c r="U2373" s="1" t="str">
        <f>IF($T2373="","",$T2373&amp;"|"&amp;COUNTIFS($T$7:$T2373,$T2373))</f>
        <v/>
      </c>
      <c r="V2373" s="1">
        <f t="shared" si="296"/>
        <v>0</v>
      </c>
      <c r="W2373" s="1" t="str">
        <f t="shared" si="297"/>
        <v/>
      </c>
      <c r="X2373" s="1"/>
      <c r="Y2373" s="1"/>
      <c r="Z2373" s="1"/>
      <c r="AA2373" s="1"/>
      <c r="AB2373" s="1"/>
      <c r="AC2373" s="1"/>
      <c r="AD2373" s="1">
        <f>IF($C2373="",0,SUMPRODUCT((AY_SONU!$O$7:$O$42="Evet")*(AY_SONU!$B$7:$B$42=DATE(YEAR($C2373),MONTH($C2373),1))))</f>
        <v>0</v>
      </c>
      <c r="AE2373" s="1" t="str">
        <f>IF($E2373="","",$E2373&amp;"|"&amp;COUNTIFS($E$7:$E2373,$E2373))</f>
        <v/>
      </c>
    </row>
    <row r="2374" spans="1:31" ht="18" customHeight="1" x14ac:dyDescent="0.3">
      <c r="A2374" s="2"/>
      <c r="B2374" s="65" t="str">
        <f t="shared" si="290"/>
        <v/>
      </c>
      <c r="C2374" s="66"/>
      <c r="D2374" s="60"/>
      <c r="E2374" s="61"/>
      <c r="F2374" s="61"/>
      <c r="G2374" s="67"/>
      <c r="H2374" s="60"/>
      <c r="I2374" s="60"/>
      <c r="J2374" s="61"/>
      <c r="K2374" s="61"/>
      <c r="L2374" s="60"/>
      <c r="M2374" s="74" t="str">
        <f t="shared" si="291"/>
        <v/>
      </c>
      <c r="N2374" s="74" t="str">
        <f t="shared" si="292"/>
        <v/>
      </c>
      <c r="O2374" s="73" t="str">
        <f t="shared" si="293"/>
        <v/>
      </c>
      <c r="P2374" s="65" t="str">
        <f t="shared" ca="1" si="294"/>
        <v/>
      </c>
      <c r="Q2374" s="2"/>
      <c r="R2374" s="2"/>
      <c r="S2374" s="1" t="str">
        <f t="shared" si="295"/>
        <v/>
      </c>
      <c r="T2374" s="1" t="str">
        <f>IF(OR($C2374="",$D2374&lt;&gt;"Gelir",$L2374=""),"",IFERROR(INDEX(MUSTERILER!$B$7:$B$156,MATCH($S2374,MUSTERILER!$T$7:$T$156,0)),""))</f>
        <v/>
      </c>
      <c r="U2374" s="1" t="str">
        <f>IF($T2374="","",$T2374&amp;"|"&amp;COUNTIFS($T$7:$T2374,$T2374))</f>
        <v/>
      </c>
      <c r="V2374" s="1">
        <f t="shared" si="296"/>
        <v>0</v>
      </c>
      <c r="W2374" s="1" t="str">
        <f t="shared" si="297"/>
        <v/>
      </c>
      <c r="X2374" s="1"/>
      <c r="Y2374" s="1"/>
      <c r="Z2374" s="1"/>
      <c r="AA2374" s="1"/>
      <c r="AB2374" s="1"/>
      <c r="AC2374" s="1"/>
      <c r="AD2374" s="1">
        <f>IF($C2374="",0,SUMPRODUCT((AY_SONU!$O$7:$O$42="Evet")*(AY_SONU!$B$7:$B$42=DATE(YEAR($C2374),MONTH($C2374),1))))</f>
        <v>0</v>
      </c>
      <c r="AE2374" s="1" t="str">
        <f>IF($E2374="","",$E2374&amp;"|"&amp;COUNTIFS($E$7:$E2374,$E2374))</f>
        <v/>
      </c>
    </row>
    <row r="2375" spans="1:31" ht="18" customHeight="1" x14ac:dyDescent="0.3">
      <c r="A2375" s="2"/>
      <c r="B2375" s="65" t="str">
        <f t="shared" ref="B2375:B2438" si="298">IF($C2375="","","GG"&amp;TEXT(ROW()-6,"00000"))</f>
        <v/>
      </c>
      <c r="C2375" s="66"/>
      <c r="D2375" s="60"/>
      <c r="E2375" s="61"/>
      <c r="F2375" s="61"/>
      <c r="G2375" s="67"/>
      <c r="H2375" s="60"/>
      <c r="I2375" s="60"/>
      <c r="J2375" s="61"/>
      <c r="K2375" s="61"/>
      <c r="L2375" s="60"/>
      <c r="M2375" s="74" t="str">
        <f t="shared" ref="M2375:M2438" si="299">IF($C2375="","",IF($D2375="Gider",$E2375,IF($L2375&lt;&gt;"",$L2375,$H2375)))</f>
        <v/>
      </c>
      <c r="N2375" s="74" t="str">
        <f t="shared" ref="N2375:N2438" si="300">IF($C2375="","",IF($D2375="Gider",$H2375,$E2375))</f>
        <v/>
      </c>
      <c r="O2375" s="73" t="str">
        <f t="shared" ref="O2375:O2438" si="301">IF($C2375="","",DATE(YEAR($C2375),MONTH($C2375),1))</f>
        <v/>
      </c>
      <c r="P2375" s="65" t="str">
        <f t="shared" ref="P2375:P2438" ca="1" si="302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TARİH",IF(COUNTIF($W$7:$W$3006,$W2375)&gt;1,"MÜKERRER?",IF($AD2375&gt;0,"KAPALI DÖNEM",IF($I2375="Hayır","ÖDENECEK","UYGUN")))),"EKSİK"))))</f>
        <v/>
      </c>
      <c r="Q2375" s="2"/>
      <c r="R2375" s="2"/>
      <c r="S2375" s="1" t="str">
        <f t="shared" ref="S2375:S2438" si="303"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1" t="str">
        <f>IF(OR($C2375="",$D2375&lt;&gt;"Gelir",$L2375=""),"",IFERROR(INDEX(MUSTERILER!$B$7:$B$156,MATCH($S2375,MUSTERILER!$T$7:$T$156,0)),""))</f>
        <v/>
      </c>
      <c r="U2375" s="1" t="str">
        <f>IF($T2375="","",$T2375&amp;"|"&amp;COUNTIFS($T$7:$T2375,$T2375))</f>
        <v/>
      </c>
      <c r="V2375" s="1">
        <f t="shared" ref="V2375:V2438" si="304">IF($T2375="",0,1)</f>
        <v>0</v>
      </c>
      <c r="W2375" s="1" t="str">
        <f t="shared" ref="W2375:W2438" si="305">IF($C2375="","",$D2375&amp;"|"&amp;$E2375&amp;"|"&amp;TEXT($C2375,"0")&amp;"|"&amp;TEXT($G2375,"0")&amp;"|"&amp;$J2375)</f>
        <v/>
      </c>
      <c r="X2375" s="1"/>
      <c r="Y2375" s="1"/>
      <c r="Z2375" s="1"/>
      <c r="AA2375" s="1"/>
      <c r="AB2375" s="1"/>
      <c r="AC2375" s="1"/>
      <c r="AD2375" s="1">
        <f>IF($C2375="",0,SUMPRODUCT((AY_SONU!$O$7:$O$42="Evet")*(AY_SONU!$B$7:$B$42=DATE(YEAR($C2375),MONTH($C2375),1))))</f>
        <v>0</v>
      </c>
      <c r="AE2375" s="1" t="str">
        <f>IF($E2375="","",$E2375&amp;"|"&amp;COUNTIFS($E$7:$E2375,$E2375))</f>
        <v/>
      </c>
    </row>
    <row r="2376" spans="1:31" ht="18" customHeight="1" x14ac:dyDescent="0.3">
      <c r="A2376" s="2"/>
      <c r="B2376" s="65" t="str">
        <f t="shared" si="298"/>
        <v/>
      </c>
      <c r="C2376" s="66"/>
      <c r="D2376" s="60"/>
      <c r="E2376" s="61"/>
      <c r="F2376" s="61"/>
      <c r="G2376" s="67"/>
      <c r="H2376" s="60"/>
      <c r="I2376" s="60"/>
      <c r="J2376" s="61"/>
      <c r="K2376" s="61"/>
      <c r="L2376" s="60"/>
      <c r="M2376" s="74" t="str">
        <f t="shared" si="299"/>
        <v/>
      </c>
      <c r="N2376" s="74" t="str">
        <f t="shared" si="300"/>
        <v/>
      </c>
      <c r="O2376" s="73" t="str">
        <f t="shared" si="301"/>
        <v/>
      </c>
      <c r="P2376" s="65" t="str">
        <f t="shared" ca="1" si="302"/>
        <v/>
      </c>
      <c r="Q2376" s="2"/>
      <c r="R2376" s="2"/>
      <c r="S2376" s="1" t="str">
        <f t="shared" si="303"/>
        <v/>
      </c>
      <c r="T2376" s="1" t="str">
        <f>IF(OR($C2376="",$D2376&lt;&gt;"Gelir",$L2376=""),"",IFERROR(INDEX(MUSTERILER!$B$7:$B$156,MATCH($S2376,MUSTERILER!$T$7:$T$156,0)),""))</f>
        <v/>
      </c>
      <c r="U2376" s="1" t="str">
        <f>IF($T2376="","",$T2376&amp;"|"&amp;COUNTIFS($T$7:$T2376,$T2376))</f>
        <v/>
      </c>
      <c r="V2376" s="1">
        <f t="shared" si="304"/>
        <v>0</v>
      </c>
      <c r="W2376" s="1" t="str">
        <f t="shared" si="305"/>
        <v/>
      </c>
      <c r="X2376" s="1"/>
      <c r="Y2376" s="1"/>
      <c r="Z2376" s="1"/>
      <c r="AA2376" s="1"/>
      <c r="AB2376" s="1"/>
      <c r="AC2376" s="1"/>
      <c r="AD2376" s="1">
        <f>IF($C2376="",0,SUMPRODUCT((AY_SONU!$O$7:$O$42="Evet")*(AY_SONU!$B$7:$B$42=DATE(YEAR($C2376),MONTH($C2376),1))))</f>
        <v>0</v>
      </c>
      <c r="AE2376" s="1" t="str">
        <f>IF($E2376="","",$E2376&amp;"|"&amp;COUNTIFS($E$7:$E2376,$E2376))</f>
        <v/>
      </c>
    </row>
    <row r="2377" spans="1:31" ht="18" customHeight="1" x14ac:dyDescent="0.3">
      <c r="A2377" s="2"/>
      <c r="B2377" s="65" t="str">
        <f t="shared" si="298"/>
        <v/>
      </c>
      <c r="C2377" s="66"/>
      <c r="D2377" s="60"/>
      <c r="E2377" s="61"/>
      <c r="F2377" s="61"/>
      <c r="G2377" s="67"/>
      <c r="H2377" s="60"/>
      <c r="I2377" s="60"/>
      <c r="J2377" s="61"/>
      <c r="K2377" s="61"/>
      <c r="L2377" s="60"/>
      <c r="M2377" s="74" t="str">
        <f t="shared" si="299"/>
        <v/>
      </c>
      <c r="N2377" s="74" t="str">
        <f t="shared" si="300"/>
        <v/>
      </c>
      <c r="O2377" s="73" t="str">
        <f t="shared" si="301"/>
        <v/>
      </c>
      <c r="P2377" s="65" t="str">
        <f t="shared" ca="1" si="302"/>
        <v/>
      </c>
      <c r="Q2377" s="2"/>
      <c r="R2377" s="2"/>
      <c r="S2377" s="1" t="str">
        <f t="shared" si="303"/>
        <v/>
      </c>
      <c r="T2377" s="1" t="str">
        <f>IF(OR($C2377="",$D2377&lt;&gt;"Gelir",$L2377=""),"",IFERROR(INDEX(MUSTERILER!$B$7:$B$156,MATCH($S2377,MUSTERILER!$T$7:$T$156,0)),""))</f>
        <v/>
      </c>
      <c r="U2377" s="1" t="str">
        <f>IF($T2377="","",$T2377&amp;"|"&amp;COUNTIFS($T$7:$T2377,$T2377))</f>
        <v/>
      </c>
      <c r="V2377" s="1">
        <f t="shared" si="304"/>
        <v>0</v>
      </c>
      <c r="W2377" s="1" t="str">
        <f t="shared" si="305"/>
        <v/>
      </c>
      <c r="X2377" s="1"/>
      <c r="Y2377" s="1"/>
      <c r="Z2377" s="1"/>
      <c r="AA2377" s="1"/>
      <c r="AB2377" s="1"/>
      <c r="AC2377" s="1"/>
      <c r="AD2377" s="1">
        <f>IF($C2377="",0,SUMPRODUCT((AY_SONU!$O$7:$O$42="Evet")*(AY_SONU!$B$7:$B$42=DATE(YEAR($C2377),MONTH($C2377),1))))</f>
        <v>0</v>
      </c>
      <c r="AE2377" s="1" t="str">
        <f>IF($E2377="","",$E2377&amp;"|"&amp;COUNTIFS($E$7:$E2377,$E2377))</f>
        <v/>
      </c>
    </row>
    <row r="2378" spans="1:31" ht="18" customHeight="1" x14ac:dyDescent="0.3">
      <c r="A2378" s="2"/>
      <c r="B2378" s="65" t="str">
        <f t="shared" si="298"/>
        <v/>
      </c>
      <c r="C2378" s="66"/>
      <c r="D2378" s="60"/>
      <c r="E2378" s="61"/>
      <c r="F2378" s="61"/>
      <c r="G2378" s="67"/>
      <c r="H2378" s="60"/>
      <c r="I2378" s="60"/>
      <c r="J2378" s="61"/>
      <c r="K2378" s="61"/>
      <c r="L2378" s="60"/>
      <c r="M2378" s="74" t="str">
        <f t="shared" si="299"/>
        <v/>
      </c>
      <c r="N2378" s="74" t="str">
        <f t="shared" si="300"/>
        <v/>
      </c>
      <c r="O2378" s="73" t="str">
        <f t="shared" si="301"/>
        <v/>
      </c>
      <c r="P2378" s="65" t="str">
        <f t="shared" ca="1" si="302"/>
        <v/>
      </c>
      <c r="Q2378" s="2"/>
      <c r="R2378" s="2"/>
      <c r="S2378" s="1" t="str">
        <f t="shared" si="303"/>
        <v/>
      </c>
      <c r="T2378" s="1" t="str">
        <f>IF(OR($C2378="",$D2378&lt;&gt;"Gelir",$L2378=""),"",IFERROR(INDEX(MUSTERILER!$B$7:$B$156,MATCH($S2378,MUSTERILER!$T$7:$T$156,0)),""))</f>
        <v/>
      </c>
      <c r="U2378" s="1" t="str">
        <f>IF($T2378="","",$T2378&amp;"|"&amp;COUNTIFS($T$7:$T2378,$T2378))</f>
        <v/>
      </c>
      <c r="V2378" s="1">
        <f t="shared" si="304"/>
        <v>0</v>
      </c>
      <c r="W2378" s="1" t="str">
        <f t="shared" si="305"/>
        <v/>
      </c>
      <c r="X2378" s="1"/>
      <c r="Y2378" s="1"/>
      <c r="Z2378" s="1"/>
      <c r="AA2378" s="1"/>
      <c r="AB2378" s="1"/>
      <c r="AC2378" s="1"/>
      <c r="AD2378" s="1">
        <f>IF($C2378="",0,SUMPRODUCT((AY_SONU!$O$7:$O$42="Evet")*(AY_SONU!$B$7:$B$42=DATE(YEAR($C2378),MONTH($C2378),1))))</f>
        <v>0</v>
      </c>
      <c r="AE2378" s="1" t="str">
        <f>IF($E2378="","",$E2378&amp;"|"&amp;COUNTIFS($E$7:$E2378,$E2378))</f>
        <v/>
      </c>
    </row>
    <row r="2379" spans="1:31" ht="18" customHeight="1" x14ac:dyDescent="0.3">
      <c r="A2379" s="2"/>
      <c r="B2379" s="65" t="str">
        <f t="shared" si="298"/>
        <v/>
      </c>
      <c r="C2379" s="66"/>
      <c r="D2379" s="60"/>
      <c r="E2379" s="61"/>
      <c r="F2379" s="61"/>
      <c r="G2379" s="67"/>
      <c r="H2379" s="60"/>
      <c r="I2379" s="60"/>
      <c r="J2379" s="61"/>
      <c r="K2379" s="61"/>
      <c r="L2379" s="60"/>
      <c r="M2379" s="74" t="str">
        <f t="shared" si="299"/>
        <v/>
      </c>
      <c r="N2379" s="74" t="str">
        <f t="shared" si="300"/>
        <v/>
      </c>
      <c r="O2379" s="73" t="str">
        <f t="shared" si="301"/>
        <v/>
      </c>
      <c r="P2379" s="65" t="str">
        <f t="shared" ca="1" si="302"/>
        <v/>
      </c>
      <c r="Q2379" s="2"/>
      <c r="R2379" s="2"/>
      <c r="S2379" s="1" t="str">
        <f t="shared" si="303"/>
        <v/>
      </c>
      <c r="T2379" s="1" t="str">
        <f>IF(OR($C2379="",$D2379&lt;&gt;"Gelir",$L2379=""),"",IFERROR(INDEX(MUSTERILER!$B$7:$B$156,MATCH($S2379,MUSTERILER!$T$7:$T$156,0)),""))</f>
        <v/>
      </c>
      <c r="U2379" s="1" t="str">
        <f>IF($T2379="","",$T2379&amp;"|"&amp;COUNTIFS($T$7:$T2379,$T2379))</f>
        <v/>
      </c>
      <c r="V2379" s="1">
        <f t="shared" si="304"/>
        <v>0</v>
      </c>
      <c r="W2379" s="1" t="str">
        <f t="shared" si="305"/>
        <v/>
      </c>
      <c r="X2379" s="1"/>
      <c r="Y2379" s="1"/>
      <c r="Z2379" s="1"/>
      <c r="AA2379" s="1"/>
      <c r="AB2379" s="1"/>
      <c r="AC2379" s="1"/>
      <c r="AD2379" s="1">
        <f>IF($C2379="",0,SUMPRODUCT((AY_SONU!$O$7:$O$42="Evet")*(AY_SONU!$B$7:$B$42=DATE(YEAR($C2379),MONTH($C2379),1))))</f>
        <v>0</v>
      </c>
      <c r="AE2379" s="1" t="str">
        <f>IF($E2379="","",$E2379&amp;"|"&amp;COUNTIFS($E$7:$E2379,$E2379))</f>
        <v/>
      </c>
    </row>
    <row r="2380" spans="1:31" ht="18" customHeight="1" x14ac:dyDescent="0.3">
      <c r="A2380" s="2"/>
      <c r="B2380" s="65" t="str">
        <f t="shared" si="298"/>
        <v/>
      </c>
      <c r="C2380" s="66"/>
      <c r="D2380" s="60"/>
      <c r="E2380" s="61"/>
      <c r="F2380" s="61"/>
      <c r="G2380" s="67"/>
      <c r="H2380" s="60"/>
      <c r="I2380" s="60"/>
      <c r="J2380" s="61"/>
      <c r="K2380" s="61"/>
      <c r="L2380" s="60"/>
      <c r="M2380" s="74" t="str">
        <f t="shared" si="299"/>
        <v/>
      </c>
      <c r="N2380" s="74" t="str">
        <f t="shared" si="300"/>
        <v/>
      </c>
      <c r="O2380" s="73" t="str">
        <f t="shared" si="301"/>
        <v/>
      </c>
      <c r="P2380" s="65" t="str">
        <f t="shared" ca="1" si="302"/>
        <v/>
      </c>
      <c r="Q2380" s="2"/>
      <c r="R2380" s="2"/>
      <c r="S2380" s="1" t="str">
        <f t="shared" si="303"/>
        <v/>
      </c>
      <c r="T2380" s="1" t="str">
        <f>IF(OR($C2380="",$D2380&lt;&gt;"Gelir",$L2380=""),"",IFERROR(INDEX(MUSTERILER!$B$7:$B$156,MATCH($S2380,MUSTERILER!$T$7:$T$156,0)),""))</f>
        <v/>
      </c>
      <c r="U2380" s="1" t="str">
        <f>IF($T2380="","",$T2380&amp;"|"&amp;COUNTIFS($T$7:$T2380,$T2380))</f>
        <v/>
      </c>
      <c r="V2380" s="1">
        <f t="shared" si="304"/>
        <v>0</v>
      </c>
      <c r="W2380" s="1" t="str">
        <f t="shared" si="305"/>
        <v/>
      </c>
      <c r="X2380" s="1"/>
      <c r="Y2380" s="1"/>
      <c r="Z2380" s="1"/>
      <c r="AA2380" s="1"/>
      <c r="AB2380" s="1"/>
      <c r="AC2380" s="1"/>
      <c r="AD2380" s="1">
        <f>IF($C2380="",0,SUMPRODUCT((AY_SONU!$O$7:$O$42="Evet")*(AY_SONU!$B$7:$B$42=DATE(YEAR($C2380),MONTH($C2380),1))))</f>
        <v>0</v>
      </c>
      <c r="AE2380" s="1" t="str">
        <f>IF($E2380="","",$E2380&amp;"|"&amp;COUNTIFS($E$7:$E2380,$E2380))</f>
        <v/>
      </c>
    </row>
    <row r="2381" spans="1:31" ht="18" customHeight="1" x14ac:dyDescent="0.3">
      <c r="A2381" s="2"/>
      <c r="B2381" s="65" t="str">
        <f t="shared" si="298"/>
        <v/>
      </c>
      <c r="C2381" s="66"/>
      <c r="D2381" s="60"/>
      <c r="E2381" s="61"/>
      <c r="F2381" s="61"/>
      <c r="G2381" s="67"/>
      <c r="H2381" s="60"/>
      <c r="I2381" s="60"/>
      <c r="J2381" s="61"/>
      <c r="K2381" s="61"/>
      <c r="L2381" s="60"/>
      <c r="M2381" s="74" t="str">
        <f t="shared" si="299"/>
        <v/>
      </c>
      <c r="N2381" s="74" t="str">
        <f t="shared" si="300"/>
        <v/>
      </c>
      <c r="O2381" s="73" t="str">
        <f t="shared" si="301"/>
        <v/>
      </c>
      <c r="P2381" s="65" t="str">
        <f t="shared" ca="1" si="302"/>
        <v/>
      </c>
      <c r="Q2381" s="2"/>
      <c r="R2381" s="2"/>
      <c r="S2381" s="1" t="str">
        <f t="shared" si="303"/>
        <v/>
      </c>
      <c r="T2381" s="1" t="str">
        <f>IF(OR($C2381="",$D2381&lt;&gt;"Gelir",$L2381=""),"",IFERROR(INDEX(MUSTERILER!$B$7:$B$156,MATCH($S2381,MUSTERILER!$T$7:$T$156,0)),""))</f>
        <v/>
      </c>
      <c r="U2381" s="1" t="str">
        <f>IF($T2381="","",$T2381&amp;"|"&amp;COUNTIFS($T$7:$T2381,$T2381))</f>
        <v/>
      </c>
      <c r="V2381" s="1">
        <f t="shared" si="304"/>
        <v>0</v>
      </c>
      <c r="W2381" s="1" t="str">
        <f t="shared" si="305"/>
        <v/>
      </c>
      <c r="X2381" s="1"/>
      <c r="Y2381" s="1"/>
      <c r="Z2381" s="1"/>
      <c r="AA2381" s="1"/>
      <c r="AB2381" s="1"/>
      <c r="AC2381" s="1"/>
      <c r="AD2381" s="1">
        <f>IF($C2381="",0,SUMPRODUCT((AY_SONU!$O$7:$O$42="Evet")*(AY_SONU!$B$7:$B$42=DATE(YEAR($C2381),MONTH($C2381),1))))</f>
        <v>0</v>
      </c>
      <c r="AE2381" s="1" t="str">
        <f>IF($E2381="","",$E2381&amp;"|"&amp;COUNTIFS($E$7:$E2381,$E2381))</f>
        <v/>
      </c>
    </row>
    <row r="2382" spans="1:31" ht="18" customHeight="1" x14ac:dyDescent="0.3">
      <c r="A2382" s="2"/>
      <c r="B2382" s="65" t="str">
        <f t="shared" si="298"/>
        <v/>
      </c>
      <c r="C2382" s="66"/>
      <c r="D2382" s="60"/>
      <c r="E2382" s="61"/>
      <c r="F2382" s="61"/>
      <c r="G2382" s="67"/>
      <c r="H2382" s="60"/>
      <c r="I2382" s="60"/>
      <c r="J2382" s="61"/>
      <c r="K2382" s="61"/>
      <c r="L2382" s="60"/>
      <c r="M2382" s="74" t="str">
        <f t="shared" si="299"/>
        <v/>
      </c>
      <c r="N2382" s="74" t="str">
        <f t="shared" si="300"/>
        <v/>
      </c>
      <c r="O2382" s="73" t="str">
        <f t="shared" si="301"/>
        <v/>
      </c>
      <c r="P2382" s="65" t="str">
        <f t="shared" ca="1" si="302"/>
        <v/>
      </c>
      <c r="Q2382" s="2"/>
      <c r="R2382" s="2"/>
      <c r="S2382" s="1" t="str">
        <f t="shared" si="303"/>
        <v/>
      </c>
      <c r="T2382" s="1" t="str">
        <f>IF(OR($C2382="",$D2382&lt;&gt;"Gelir",$L2382=""),"",IFERROR(INDEX(MUSTERILER!$B$7:$B$156,MATCH($S2382,MUSTERILER!$T$7:$T$156,0)),""))</f>
        <v/>
      </c>
      <c r="U2382" s="1" t="str">
        <f>IF($T2382="","",$T2382&amp;"|"&amp;COUNTIFS($T$7:$T2382,$T2382))</f>
        <v/>
      </c>
      <c r="V2382" s="1">
        <f t="shared" si="304"/>
        <v>0</v>
      </c>
      <c r="W2382" s="1" t="str">
        <f t="shared" si="305"/>
        <v/>
      </c>
      <c r="X2382" s="1"/>
      <c r="Y2382" s="1"/>
      <c r="Z2382" s="1"/>
      <c r="AA2382" s="1"/>
      <c r="AB2382" s="1"/>
      <c r="AC2382" s="1"/>
      <c r="AD2382" s="1">
        <f>IF($C2382="",0,SUMPRODUCT((AY_SONU!$O$7:$O$42="Evet")*(AY_SONU!$B$7:$B$42=DATE(YEAR($C2382),MONTH($C2382),1))))</f>
        <v>0</v>
      </c>
      <c r="AE2382" s="1" t="str">
        <f>IF($E2382="","",$E2382&amp;"|"&amp;COUNTIFS($E$7:$E2382,$E2382))</f>
        <v/>
      </c>
    </row>
    <row r="2383" spans="1:31" ht="18" customHeight="1" x14ac:dyDescent="0.3">
      <c r="A2383" s="2"/>
      <c r="B2383" s="65" t="str">
        <f t="shared" si="298"/>
        <v/>
      </c>
      <c r="C2383" s="66"/>
      <c r="D2383" s="60"/>
      <c r="E2383" s="61"/>
      <c r="F2383" s="61"/>
      <c r="G2383" s="67"/>
      <c r="H2383" s="60"/>
      <c r="I2383" s="60"/>
      <c r="J2383" s="61"/>
      <c r="K2383" s="61"/>
      <c r="L2383" s="60"/>
      <c r="M2383" s="74" t="str">
        <f t="shared" si="299"/>
        <v/>
      </c>
      <c r="N2383" s="74" t="str">
        <f t="shared" si="300"/>
        <v/>
      </c>
      <c r="O2383" s="73" t="str">
        <f t="shared" si="301"/>
        <v/>
      </c>
      <c r="P2383" s="65" t="str">
        <f t="shared" ca="1" si="302"/>
        <v/>
      </c>
      <c r="Q2383" s="2"/>
      <c r="R2383" s="2"/>
      <c r="S2383" s="1" t="str">
        <f t="shared" si="303"/>
        <v/>
      </c>
      <c r="T2383" s="1" t="str">
        <f>IF(OR($C2383="",$D2383&lt;&gt;"Gelir",$L2383=""),"",IFERROR(INDEX(MUSTERILER!$B$7:$B$156,MATCH($S2383,MUSTERILER!$T$7:$T$156,0)),""))</f>
        <v/>
      </c>
      <c r="U2383" s="1" t="str">
        <f>IF($T2383="","",$T2383&amp;"|"&amp;COUNTIFS($T$7:$T2383,$T2383))</f>
        <v/>
      </c>
      <c r="V2383" s="1">
        <f t="shared" si="304"/>
        <v>0</v>
      </c>
      <c r="W2383" s="1" t="str">
        <f t="shared" si="305"/>
        <v/>
      </c>
      <c r="X2383" s="1"/>
      <c r="Y2383" s="1"/>
      <c r="Z2383" s="1"/>
      <c r="AA2383" s="1"/>
      <c r="AB2383" s="1"/>
      <c r="AC2383" s="1"/>
      <c r="AD2383" s="1">
        <f>IF($C2383="",0,SUMPRODUCT((AY_SONU!$O$7:$O$42="Evet")*(AY_SONU!$B$7:$B$42=DATE(YEAR($C2383),MONTH($C2383),1))))</f>
        <v>0</v>
      </c>
      <c r="AE2383" s="1" t="str">
        <f>IF($E2383="","",$E2383&amp;"|"&amp;COUNTIFS($E$7:$E2383,$E2383))</f>
        <v/>
      </c>
    </row>
    <row r="2384" spans="1:31" ht="18" customHeight="1" x14ac:dyDescent="0.3">
      <c r="A2384" s="2"/>
      <c r="B2384" s="65" t="str">
        <f t="shared" si="298"/>
        <v/>
      </c>
      <c r="C2384" s="66"/>
      <c r="D2384" s="60"/>
      <c r="E2384" s="61"/>
      <c r="F2384" s="61"/>
      <c r="G2384" s="67"/>
      <c r="H2384" s="60"/>
      <c r="I2384" s="60"/>
      <c r="J2384" s="61"/>
      <c r="K2384" s="61"/>
      <c r="L2384" s="60"/>
      <c r="M2384" s="74" t="str">
        <f t="shared" si="299"/>
        <v/>
      </c>
      <c r="N2384" s="74" t="str">
        <f t="shared" si="300"/>
        <v/>
      </c>
      <c r="O2384" s="73" t="str">
        <f t="shared" si="301"/>
        <v/>
      </c>
      <c r="P2384" s="65" t="str">
        <f t="shared" ca="1" si="302"/>
        <v/>
      </c>
      <c r="Q2384" s="2"/>
      <c r="R2384" s="2"/>
      <c r="S2384" s="1" t="str">
        <f t="shared" si="303"/>
        <v/>
      </c>
      <c r="T2384" s="1" t="str">
        <f>IF(OR($C2384="",$D2384&lt;&gt;"Gelir",$L2384=""),"",IFERROR(INDEX(MUSTERILER!$B$7:$B$156,MATCH($S2384,MUSTERILER!$T$7:$T$156,0)),""))</f>
        <v/>
      </c>
      <c r="U2384" s="1" t="str">
        <f>IF($T2384="","",$T2384&amp;"|"&amp;COUNTIFS($T$7:$T2384,$T2384))</f>
        <v/>
      </c>
      <c r="V2384" s="1">
        <f t="shared" si="304"/>
        <v>0</v>
      </c>
      <c r="W2384" s="1" t="str">
        <f t="shared" si="305"/>
        <v/>
      </c>
      <c r="X2384" s="1"/>
      <c r="Y2384" s="1"/>
      <c r="Z2384" s="1"/>
      <c r="AA2384" s="1"/>
      <c r="AB2384" s="1"/>
      <c r="AC2384" s="1"/>
      <c r="AD2384" s="1">
        <f>IF($C2384="",0,SUMPRODUCT((AY_SONU!$O$7:$O$42="Evet")*(AY_SONU!$B$7:$B$42=DATE(YEAR($C2384),MONTH($C2384),1))))</f>
        <v>0</v>
      </c>
      <c r="AE2384" s="1" t="str">
        <f>IF($E2384="","",$E2384&amp;"|"&amp;COUNTIFS($E$7:$E2384,$E2384))</f>
        <v/>
      </c>
    </row>
    <row r="2385" spans="1:31" ht="18" customHeight="1" x14ac:dyDescent="0.3">
      <c r="A2385" s="2"/>
      <c r="B2385" s="65" t="str">
        <f t="shared" si="298"/>
        <v/>
      </c>
      <c r="C2385" s="66"/>
      <c r="D2385" s="60"/>
      <c r="E2385" s="61"/>
      <c r="F2385" s="61"/>
      <c r="G2385" s="67"/>
      <c r="H2385" s="60"/>
      <c r="I2385" s="60"/>
      <c r="J2385" s="61"/>
      <c r="K2385" s="61"/>
      <c r="L2385" s="60"/>
      <c r="M2385" s="74" t="str">
        <f t="shared" si="299"/>
        <v/>
      </c>
      <c r="N2385" s="74" t="str">
        <f t="shared" si="300"/>
        <v/>
      </c>
      <c r="O2385" s="73" t="str">
        <f t="shared" si="301"/>
        <v/>
      </c>
      <c r="P2385" s="65" t="str">
        <f t="shared" ca="1" si="302"/>
        <v/>
      </c>
      <c r="Q2385" s="2"/>
      <c r="R2385" s="2"/>
      <c r="S2385" s="1" t="str">
        <f t="shared" si="303"/>
        <v/>
      </c>
      <c r="T2385" s="1" t="str">
        <f>IF(OR($C2385="",$D2385&lt;&gt;"Gelir",$L2385=""),"",IFERROR(INDEX(MUSTERILER!$B$7:$B$156,MATCH($S2385,MUSTERILER!$T$7:$T$156,0)),""))</f>
        <v/>
      </c>
      <c r="U2385" s="1" t="str">
        <f>IF($T2385="","",$T2385&amp;"|"&amp;COUNTIFS($T$7:$T2385,$T2385))</f>
        <v/>
      </c>
      <c r="V2385" s="1">
        <f t="shared" si="304"/>
        <v>0</v>
      </c>
      <c r="W2385" s="1" t="str">
        <f t="shared" si="305"/>
        <v/>
      </c>
      <c r="X2385" s="1"/>
      <c r="Y2385" s="1"/>
      <c r="Z2385" s="1"/>
      <c r="AA2385" s="1"/>
      <c r="AB2385" s="1"/>
      <c r="AC2385" s="1"/>
      <c r="AD2385" s="1">
        <f>IF($C2385="",0,SUMPRODUCT((AY_SONU!$O$7:$O$42="Evet")*(AY_SONU!$B$7:$B$42=DATE(YEAR($C2385),MONTH($C2385),1))))</f>
        <v>0</v>
      </c>
      <c r="AE2385" s="1" t="str">
        <f>IF($E2385="","",$E2385&amp;"|"&amp;COUNTIFS($E$7:$E2385,$E2385))</f>
        <v/>
      </c>
    </row>
    <row r="2386" spans="1:31" ht="18" customHeight="1" x14ac:dyDescent="0.3">
      <c r="A2386" s="2"/>
      <c r="B2386" s="65" t="str">
        <f t="shared" si="298"/>
        <v/>
      </c>
      <c r="C2386" s="66"/>
      <c r="D2386" s="60"/>
      <c r="E2386" s="61"/>
      <c r="F2386" s="61"/>
      <c r="G2386" s="67"/>
      <c r="H2386" s="60"/>
      <c r="I2386" s="60"/>
      <c r="J2386" s="61"/>
      <c r="K2386" s="61"/>
      <c r="L2386" s="60"/>
      <c r="M2386" s="74" t="str">
        <f t="shared" si="299"/>
        <v/>
      </c>
      <c r="N2386" s="74" t="str">
        <f t="shared" si="300"/>
        <v/>
      </c>
      <c r="O2386" s="73" t="str">
        <f t="shared" si="301"/>
        <v/>
      </c>
      <c r="P2386" s="65" t="str">
        <f t="shared" ca="1" si="302"/>
        <v/>
      </c>
      <c r="Q2386" s="2"/>
      <c r="R2386" s="2"/>
      <c r="S2386" s="1" t="str">
        <f t="shared" si="303"/>
        <v/>
      </c>
      <c r="T2386" s="1" t="str">
        <f>IF(OR($C2386="",$D2386&lt;&gt;"Gelir",$L2386=""),"",IFERROR(INDEX(MUSTERILER!$B$7:$B$156,MATCH($S2386,MUSTERILER!$T$7:$T$156,0)),""))</f>
        <v/>
      </c>
      <c r="U2386" s="1" t="str">
        <f>IF($T2386="","",$T2386&amp;"|"&amp;COUNTIFS($T$7:$T2386,$T2386))</f>
        <v/>
      </c>
      <c r="V2386" s="1">
        <f t="shared" si="304"/>
        <v>0</v>
      </c>
      <c r="W2386" s="1" t="str">
        <f t="shared" si="305"/>
        <v/>
      </c>
      <c r="X2386" s="1"/>
      <c r="Y2386" s="1"/>
      <c r="Z2386" s="1"/>
      <c r="AA2386" s="1"/>
      <c r="AB2386" s="1"/>
      <c r="AC2386" s="1"/>
      <c r="AD2386" s="1">
        <f>IF($C2386="",0,SUMPRODUCT((AY_SONU!$O$7:$O$42="Evet")*(AY_SONU!$B$7:$B$42=DATE(YEAR($C2386),MONTH($C2386),1))))</f>
        <v>0</v>
      </c>
      <c r="AE2386" s="1" t="str">
        <f>IF($E2386="","",$E2386&amp;"|"&amp;COUNTIFS($E$7:$E2386,$E2386))</f>
        <v/>
      </c>
    </row>
    <row r="2387" spans="1:31" ht="18" customHeight="1" x14ac:dyDescent="0.3">
      <c r="A2387" s="2"/>
      <c r="B2387" s="65" t="str">
        <f t="shared" si="298"/>
        <v/>
      </c>
      <c r="C2387" s="66"/>
      <c r="D2387" s="60"/>
      <c r="E2387" s="61"/>
      <c r="F2387" s="61"/>
      <c r="G2387" s="67"/>
      <c r="H2387" s="60"/>
      <c r="I2387" s="60"/>
      <c r="J2387" s="61"/>
      <c r="K2387" s="61"/>
      <c r="L2387" s="60"/>
      <c r="M2387" s="74" t="str">
        <f t="shared" si="299"/>
        <v/>
      </c>
      <c r="N2387" s="74" t="str">
        <f t="shared" si="300"/>
        <v/>
      </c>
      <c r="O2387" s="73" t="str">
        <f t="shared" si="301"/>
        <v/>
      </c>
      <c r="P2387" s="65" t="str">
        <f t="shared" ca="1" si="302"/>
        <v/>
      </c>
      <c r="Q2387" s="2"/>
      <c r="R2387" s="2"/>
      <c r="S2387" s="1" t="str">
        <f t="shared" si="303"/>
        <v/>
      </c>
      <c r="T2387" s="1" t="str">
        <f>IF(OR($C2387="",$D2387&lt;&gt;"Gelir",$L2387=""),"",IFERROR(INDEX(MUSTERILER!$B$7:$B$156,MATCH($S2387,MUSTERILER!$T$7:$T$156,0)),""))</f>
        <v/>
      </c>
      <c r="U2387" s="1" t="str">
        <f>IF($T2387="","",$T2387&amp;"|"&amp;COUNTIFS($T$7:$T2387,$T2387))</f>
        <v/>
      </c>
      <c r="V2387" s="1">
        <f t="shared" si="304"/>
        <v>0</v>
      </c>
      <c r="W2387" s="1" t="str">
        <f t="shared" si="305"/>
        <v/>
      </c>
      <c r="X2387" s="1"/>
      <c r="Y2387" s="1"/>
      <c r="Z2387" s="1"/>
      <c r="AA2387" s="1"/>
      <c r="AB2387" s="1"/>
      <c r="AC2387" s="1"/>
      <c r="AD2387" s="1">
        <f>IF($C2387="",0,SUMPRODUCT((AY_SONU!$O$7:$O$42="Evet")*(AY_SONU!$B$7:$B$42=DATE(YEAR($C2387),MONTH($C2387),1))))</f>
        <v>0</v>
      </c>
      <c r="AE2387" s="1" t="str">
        <f>IF($E2387="","",$E2387&amp;"|"&amp;COUNTIFS($E$7:$E2387,$E2387))</f>
        <v/>
      </c>
    </row>
    <row r="2388" spans="1:31" ht="18" customHeight="1" x14ac:dyDescent="0.3">
      <c r="A2388" s="2"/>
      <c r="B2388" s="65" t="str">
        <f t="shared" si="298"/>
        <v/>
      </c>
      <c r="C2388" s="66"/>
      <c r="D2388" s="60"/>
      <c r="E2388" s="61"/>
      <c r="F2388" s="61"/>
      <c r="G2388" s="67"/>
      <c r="H2388" s="60"/>
      <c r="I2388" s="60"/>
      <c r="J2388" s="61"/>
      <c r="K2388" s="61"/>
      <c r="L2388" s="60"/>
      <c r="M2388" s="74" t="str">
        <f t="shared" si="299"/>
        <v/>
      </c>
      <c r="N2388" s="74" t="str">
        <f t="shared" si="300"/>
        <v/>
      </c>
      <c r="O2388" s="73" t="str">
        <f t="shared" si="301"/>
        <v/>
      </c>
      <c r="P2388" s="65" t="str">
        <f t="shared" ca="1" si="302"/>
        <v/>
      </c>
      <c r="Q2388" s="2"/>
      <c r="R2388" s="2"/>
      <c r="S2388" s="1" t="str">
        <f t="shared" si="303"/>
        <v/>
      </c>
      <c r="T2388" s="1" t="str">
        <f>IF(OR($C2388="",$D2388&lt;&gt;"Gelir",$L2388=""),"",IFERROR(INDEX(MUSTERILER!$B$7:$B$156,MATCH($S2388,MUSTERILER!$T$7:$T$156,0)),""))</f>
        <v/>
      </c>
      <c r="U2388" s="1" t="str">
        <f>IF($T2388="","",$T2388&amp;"|"&amp;COUNTIFS($T$7:$T2388,$T2388))</f>
        <v/>
      </c>
      <c r="V2388" s="1">
        <f t="shared" si="304"/>
        <v>0</v>
      </c>
      <c r="W2388" s="1" t="str">
        <f t="shared" si="305"/>
        <v/>
      </c>
      <c r="X2388" s="1"/>
      <c r="Y2388" s="1"/>
      <c r="Z2388" s="1"/>
      <c r="AA2388" s="1"/>
      <c r="AB2388" s="1"/>
      <c r="AC2388" s="1"/>
      <c r="AD2388" s="1">
        <f>IF($C2388="",0,SUMPRODUCT((AY_SONU!$O$7:$O$42="Evet")*(AY_SONU!$B$7:$B$42=DATE(YEAR($C2388),MONTH($C2388),1))))</f>
        <v>0</v>
      </c>
      <c r="AE2388" s="1" t="str">
        <f>IF($E2388="","",$E2388&amp;"|"&amp;COUNTIFS($E$7:$E2388,$E2388))</f>
        <v/>
      </c>
    </row>
    <row r="2389" spans="1:31" ht="18" customHeight="1" x14ac:dyDescent="0.3">
      <c r="A2389" s="2"/>
      <c r="B2389" s="65" t="str">
        <f t="shared" si="298"/>
        <v/>
      </c>
      <c r="C2389" s="66"/>
      <c r="D2389" s="60"/>
      <c r="E2389" s="61"/>
      <c r="F2389" s="61"/>
      <c r="G2389" s="67"/>
      <c r="H2389" s="60"/>
      <c r="I2389" s="60"/>
      <c r="J2389" s="61"/>
      <c r="K2389" s="61"/>
      <c r="L2389" s="60"/>
      <c r="M2389" s="74" t="str">
        <f t="shared" si="299"/>
        <v/>
      </c>
      <c r="N2389" s="74" t="str">
        <f t="shared" si="300"/>
        <v/>
      </c>
      <c r="O2389" s="73" t="str">
        <f t="shared" si="301"/>
        <v/>
      </c>
      <c r="P2389" s="65" t="str">
        <f t="shared" ca="1" si="302"/>
        <v/>
      </c>
      <c r="Q2389" s="2"/>
      <c r="R2389" s="2"/>
      <c r="S2389" s="1" t="str">
        <f t="shared" si="303"/>
        <v/>
      </c>
      <c r="T2389" s="1" t="str">
        <f>IF(OR($C2389="",$D2389&lt;&gt;"Gelir",$L2389=""),"",IFERROR(INDEX(MUSTERILER!$B$7:$B$156,MATCH($S2389,MUSTERILER!$T$7:$T$156,0)),""))</f>
        <v/>
      </c>
      <c r="U2389" s="1" t="str">
        <f>IF($T2389="","",$T2389&amp;"|"&amp;COUNTIFS($T$7:$T2389,$T2389))</f>
        <v/>
      </c>
      <c r="V2389" s="1">
        <f t="shared" si="304"/>
        <v>0</v>
      </c>
      <c r="W2389" s="1" t="str">
        <f t="shared" si="305"/>
        <v/>
      </c>
      <c r="X2389" s="1"/>
      <c r="Y2389" s="1"/>
      <c r="Z2389" s="1"/>
      <c r="AA2389" s="1"/>
      <c r="AB2389" s="1"/>
      <c r="AC2389" s="1"/>
      <c r="AD2389" s="1">
        <f>IF($C2389="",0,SUMPRODUCT((AY_SONU!$O$7:$O$42="Evet")*(AY_SONU!$B$7:$B$42=DATE(YEAR($C2389),MONTH($C2389),1))))</f>
        <v>0</v>
      </c>
      <c r="AE2389" s="1" t="str">
        <f>IF($E2389="","",$E2389&amp;"|"&amp;COUNTIFS($E$7:$E2389,$E2389))</f>
        <v/>
      </c>
    </row>
    <row r="2390" spans="1:31" ht="18" customHeight="1" x14ac:dyDescent="0.3">
      <c r="A2390" s="2"/>
      <c r="B2390" s="65" t="str">
        <f t="shared" si="298"/>
        <v/>
      </c>
      <c r="C2390" s="66"/>
      <c r="D2390" s="60"/>
      <c r="E2390" s="61"/>
      <c r="F2390" s="61"/>
      <c r="G2390" s="67"/>
      <c r="H2390" s="60"/>
      <c r="I2390" s="60"/>
      <c r="J2390" s="61"/>
      <c r="K2390" s="61"/>
      <c r="L2390" s="60"/>
      <c r="M2390" s="74" t="str">
        <f t="shared" si="299"/>
        <v/>
      </c>
      <c r="N2390" s="74" t="str">
        <f t="shared" si="300"/>
        <v/>
      </c>
      <c r="O2390" s="73" t="str">
        <f t="shared" si="301"/>
        <v/>
      </c>
      <c r="P2390" s="65" t="str">
        <f t="shared" ca="1" si="302"/>
        <v/>
      </c>
      <c r="Q2390" s="2"/>
      <c r="R2390" s="2"/>
      <c r="S2390" s="1" t="str">
        <f t="shared" si="303"/>
        <v/>
      </c>
      <c r="T2390" s="1" t="str">
        <f>IF(OR($C2390="",$D2390&lt;&gt;"Gelir",$L2390=""),"",IFERROR(INDEX(MUSTERILER!$B$7:$B$156,MATCH($S2390,MUSTERILER!$T$7:$T$156,0)),""))</f>
        <v/>
      </c>
      <c r="U2390" s="1" t="str">
        <f>IF($T2390="","",$T2390&amp;"|"&amp;COUNTIFS($T$7:$T2390,$T2390))</f>
        <v/>
      </c>
      <c r="V2390" s="1">
        <f t="shared" si="304"/>
        <v>0</v>
      </c>
      <c r="W2390" s="1" t="str">
        <f t="shared" si="305"/>
        <v/>
      </c>
      <c r="X2390" s="1"/>
      <c r="Y2390" s="1"/>
      <c r="Z2390" s="1"/>
      <c r="AA2390" s="1"/>
      <c r="AB2390" s="1"/>
      <c r="AC2390" s="1"/>
      <c r="AD2390" s="1">
        <f>IF($C2390="",0,SUMPRODUCT((AY_SONU!$O$7:$O$42="Evet")*(AY_SONU!$B$7:$B$42=DATE(YEAR($C2390),MONTH($C2390),1))))</f>
        <v>0</v>
      </c>
      <c r="AE2390" s="1" t="str">
        <f>IF($E2390="","",$E2390&amp;"|"&amp;COUNTIFS($E$7:$E2390,$E2390))</f>
        <v/>
      </c>
    </row>
    <row r="2391" spans="1:31" ht="18" customHeight="1" x14ac:dyDescent="0.3">
      <c r="A2391" s="2"/>
      <c r="B2391" s="65" t="str">
        <f t="shared" si="298"/>
        <v/>
      </c>
      <c r="C2391" s="66"/>
      <c r="D2391" s="60"/>
      <c r="E2391" s="61"/>
      <c r="F2391" s="61"/>
      <c r="G2391" s="67"/>
      <c r="H2391" s="60"/>
      <c r="I2391" s="60"/>
      <c r="J2391" s="61"/>
      <c r="K2391" s="61"/>
      <c r="L2391" s="60"/>
      <c r="M2391" s="74" t="str">
        <f t="shared" si="299"/>
        <v/>
      </c>
      <c r="N2391" s="74" t="str">
        <f t="shared" si="300"/>
        <v/>
      </c>
      <c r="O2391" s="73" t="str">
        <f t="shared" si="301"/>
        <v/>
      </c>
      <c r="P2391" s="65" t="str">
        <f t="shared" ca="1" si="302"/>
        <v/>
      </c>
      <c r="Q2391" s="2"/>
      <c r="R2391" s="2"/>
      <c r="S2391" s="1" t="str">
        <f t="shared" si="303"/>
        <v/>
      </c>
      <c r="T2391" s="1" t="str">
        <f>IF(OR($C2391="",$D2391&lt;&gt;"Gelir",$L2391=""),"",IFERROR(INDEX(MUSTERILER!$B$7:$B$156,MATCH($S2391,MUSTERILER!$T$7:$T$156,0)),""))</f>
        <v/>
      </c>
      <c r="U2391" s="1" t="str">
        <f>IF($T2391="","",$T2391&amp;"|"&amp;COUNTIFS($T$7:$T2391,$T2391))</f>
        <v/>
      </c>
      <c r="V2391" s="1">
        <f t="shared" si="304"/>
        <v>0</v>
      </c>
      <c r="W2391" s="1" t="str">
        <f t="shared" si="305"/>
        <v/>
      </c>
      <c r="X2391" s="1"/>
      <c r="Y2391" s="1"/>
      <c r="Z2391" s="1"/>
      <c r="AA2391" s="1"/>
      <c r="AB2391" s="1"/>
      <c r="AC2391" s="1"/>
      <c r="AD2391" s="1">
        <f>IF($C2391="",0,SUMPRODUCT((AY_SONU!$O$7:$O$42="Evet")*(AY_SONU!$B$7:$B$42=DATE(YEAR($C2391),MONTH($C2391),1))))</f>
        <v>0</v>
      </c>
      <c r="AE2391" s="1" t="str">
        <f>IF($E2391="","",$E2391&amp;"|"&amp;COUNTIFS($E$7:$E2391,$E2391))</f>
        <v/>
      </c>
    </row>
    <row r="2392" spans="1:31" ht="18" customHeight="1" x14ac:dyDescent="0.3">
      <c r="A2392" s="2"/>
      <c r="B2392" s="65" t="str">
        <f t="shared" si="298"/>
        <v/>
      </c>
      <c r="C2392" s="66"/>
      <c r="D2392" s="60"/>
      <c r="E2392" s="61"/>
      <c r="F2392" s="61"/>
      <c r="G2392" s="67"/>
      <c r="H2392" s="60"/>
      <c r="I2392" s="60"/>
      <c r="J2392" s="61"/>
      <c r="K2392" s="61"/>
      <c r="L2392" s="60"/>
      <c r="M2392" s="74" t="str">
        <f t="shared" si="299"/>
        <v/>
      </c>
      <c r="N2392" s="74" t="str">
        <f t="shared" si="300"/>
        <v/>
      </c>
      <c r="O2392" s="73" t="str">
        <f t="shared" si="301"/>
        <v/>
      </c>
      <c r="P2392" s="65" t="str">
        <f t="shared" ca="1" si="302"/>
        <v/>
      </c>
      <c r="Q2392" s="2"/>
      <c r="R2392" s="2"/>
      <c r="S2392" s="1" t="str">
        <f t="shared" si="303"/>
        <v/>
      </c>
      <c r="T2392" s="1" t="str">
        <f>IF(OR($C2392="",$D2392&lt;&gt;"Gelir",$L2392=""),"",IFERROR(INDEX(MUSTERILER!$B$7:$B$156,MATCH($S2392,MUSTERILER!$T$7:$T$156,0)),""))</f>
        <v/>
      </c>
      <c r="U2392" s="1" t="str">
        <f>IF($T2392="","",$T2392&amp;"|"&amp;COUNTIFS($T$7:$T2392,$T2392))</f>
        <v/>
      </c>
      <c r="V2392" s="1">
        <f t="shared" si="304"/>
        <v>0</v>
      </c>
      <c r="W2392" s="1" t="str">
        <f t="shared" si="305"/>
        <v/>
      </c>
      <c r="X2392" s="1"/>
      <c r="Y2392" s="1"/>
      <c r="Z2392" s="1"/>
      <c r="AA2392" s="1"/>
      <c r="AB2392" s="1"/>
      <c r="AC2392" s="1"/>
      <c r="AD2392" s="1">
        <f>IF($C2392="",0,SUMPRODUCT((AY_SONU!$O$7:$O$42="Evet")*(AY_SONU!$B$7:$B$42=DATE(YEAR($C2392),MONTH($C2392),1))))</f>
        <v>0</v>
      </c>
      <c r="AE2392" s="1" t="str">
        <f>IF($E2392="","",$E2392&amp;"|"&amp;COUNTIFS($E$7:$E2392,$E2392))</f>
        <v/>
      </c>
    </row>
    <row r="2393" spans="1:31" ht="18" customHeight="1" x14ac:dyDescent="0.3">
      <c r="A2393" s="2"/>
      <c r="B2393" s="65" t="str">
        <f t="shared" si="298"/>
        <v/>
      </c>
      <c r="C2393" s="66"/>
      <c r="D2393" s="60"/>
      <c r="E2393" s="61"/>
      <c r="F2393" s="61"/>
      <c r="G2393" s="67"/>
      <c r="H2393" s="60"/>
      <c r="I2393" s="60"/>
      <c r="J2393" s="61"/>
      <c r="K2393" s="61"/>
      <c r="L2393" s="60"/>
      <c r="M2393" s="74" t="str">
        <f t="shared" si="299"/>
        <v/>
      </c>
      <c r="N2393" s="74" t="str">
        <f t="shared" si="300"/>
        <v/>
      </c>
      <c r="O2393" s="73" t="str">
        <f t="shared" si="301"/>
        <v/>
      </c>
      <c r="P2393" s="65" t="str">
        <f t="shared" ca="1" si="302"/>
        <v/>
      </c>
      <c r="Q2393" s="2"/>
      <c r="R2393" s="2"/>
      <c r="S2393" s="1" t="str">
        <f t="shared" si="303"/>
        <v/>
      </c>
      <c r="T2393" s="1" t="str">
        <f>IF(OR($C2393="",$D2393&lt;&gt;"Gelir",$L2393=""),"",IFERROR(INDEX(MUSTERILER!$B$7:$B$156,MATCH($S2393,MUSTERILER!$T$7:$T$156,0)),""))</f>
        <v/>
      </c>
      <c r="U2393" s="1" t="str">
        <f>IF($T2393="","",$T2393&amp;"|"&amp;COUNTIFS($T$7:$T2393,$T2393))</f>
        <v/>
      </c>
      <c r="V2393" s="1">
        <f t="shared" si="304"/>
        <v>0</v>
      </c>
      <c r="W2393" s="1" t="str">
        <f t="shared" si="305"/>
        <v/>
      </c>
      <c r="X2393" s="1"/>
      <c r="Y2393" s="1"/>
      <c r="Z2393" s="1"/>
      <c r="AA2393" s="1"/>
      <c r="AB2393" s="1"/>
      <c r="AC2393" s="1"/>
      <c r="AD2393" s="1">
        <f>IF($C2393="",0,SUMPRODUCT((AY_SONU!$O$7:$O$42="Evet")*(AY_SONU!$B$7:$B$42=DATE(YEAR($C2393),MONTH($C2393),1))))</f>
        <v>0</v>
      </c>
      <c r="AE2393" s="1" t="str">
        <f>IF($E2393="","",$E2393&amp;"|"&amp;COUNTIFS($E$7:$E2393,$E2393))</f>
        <v/>
      </c>
    </row>
    <row r="2394" spans="1:31" ht="18" customHeight="1" x14ac:dyDescent="0.3">
      <c r="A2394" s="2"/>
      <c r="B2394" s="65" t="str">
        <f t="shared" si="298"/>
        <v/>
      </c>
      <c r="C2394" s="66"/>
      <c r="D2394" s="60"/>
      <c r="E2394" s="61"/>
      <c r="F2394" s="61"/>
      <c r="G2394" s="67"/>
      <c r="H2394" s="60"/>
      <c r="I2394" s="60"/>
      <c r="J2394" s="61"/>
      <c r="K2394" s="61"/>
      <c r="L2394" s="60"/>
      <c r="M2394" s="74" t="str">
        <f t="shared" si="299"/>
        <v/>
      </c>
      <c r="N2394" s="74" t="str">
        <f t="shared" si="300"/>
        <v/>
      </c>
      <c r="O2394" s="73" t="str">
        <f t="shared" si="301"/>
        <v/>
      </c>
      <c r="P2394" s="65" t="str">
        <f t="shared" ca="1" si="302"/>
        <v/>
      </c>
      <c r="Q2394" s="2"/>
      <c r="R2394" s="2"/>
      <c r="S2394" s="1" t="str">
        <f t="shared" si="303"/>
        <v/>
      </c>
      <c r="T2394" s="1" t="str">
        <f>IF(OR($C2394="",$D2394&lt;&gt;"Gelir",$L2394=""),"",IFERROR(INDEX(MUSTERILER!$B$7:$B$156,MATCH($S2394,MUSTERILER!$T$7:$T$156,0)),""))</f>
        <v/>
      </c>
      <c r="U2394" s="1" t="str">
        <f>IF($T2394="","",$T2394&amp;"|"&amp;COUNTIFS($T$7:$T2394,$T2394))</f>
        <v/>
      </c>
      <c r="V2394" s="1">
        <f t="shared" si="304"/>
        <v>0</v>
      </c>
      <c r="W2394" s="1" t="str">
        <f t="shared" si="305"/>
        <v/>
      </c>
      <c r="X2394" s="1"/>
      <c r="Y2394" s="1"/>
      <c r="Z2394" s="1"/>
      <c r="AA2394" s="1"/>
      <c r="AB2394" s="1"/>
      <c r="AC2394" s="1"/>
      <c r="AD2394" s="1">
        <f>IF($C2394="",0,SUMPRODUCT((AY_SONU!$O$7:$O$42="Evet")*(AY_SONU!$B$7:$B$42=DATE(YEAR($C2394),MONTH($C2394),1))))</f>
        <v>0</v>
      </c>
      <c r="AE2394" s="1" t="str">
        <f>IF($E2394="","",$E2394&amp;"|"&amp;COUNTIFS($E$7:$E2394,$E2394))</f>
        <v/>
      </c>
    </row>
    <row r="2395" spans="1:31" ht="18" customHeight="1" x14ac:dyDescent="0.3">
      <c r="A2395" s="2"/>
      <c r="B2395" s="65" t="str">
        <f t="shared" si="298"/>
        <v/>
      </c>
      <c r="C2395" s="66"/>
      <c r="D2395" s="60"/>
      <c r="E2395" s="61"/>
      <c r="F2395" s="61"/>
      <c r="G2395" s="67"/>
      <c r="H2395" s="60"/>
      <c r="I2395" s="60"/>
      <c r="J2395" s="61"/>
      <c r="K2395" s="61"/>
      <c r="L2395" s="60"/>
      <c r="M2395" s="74" t="str">
        <f t="shared" si="299"/>
        <v/>
      </c>
      <c r="N2395" s="74" t="str">
        <f t="shared" si="300"/>
        <v/>
      </c>
      <c r="O2395" s="73" t="str">
        <f t="shared" si="301"/>
        <v/>
      </c>
      <c r="P2395" s="65" t="str">
        <f t="shared" ca="1" si="302"/>
        <v/>
      </c>
      <c r="Q2395" s="2"/>
      <c r="R2395" s="2"/>
      <c r="S2395" s="1" t="str">
        <f t="shared" si="303"/>
        <v/>
      </c>
      <c r="T2395" s="1" t="str">
        <f>IF(OR($C2395="",$D2395&lt;&gt;"Gelir",$L2395=""),"",IFERROR(INDEX(MUSTERILER!$B$7:$B$156,MATCH($S2395,MUSTERILER!$T$7:$T$156,0)),""))</f>
        <v/>
      </c>
      <c r="U2395" s="1" t="str">
        <f>IF($T2395="","",$T2395&amp;"|"&amp;COUNTIFS($T$7:$T2395,$T2395))</f>
        <v/>
      </c>
      <c r="V2395" s="1">
        <f t="shared" si="304"/>
        <v>0</v>
      </c>
      <c r="W2395" s="1" t="str">
        <f t="shared" si="305"/>
        <v/>
      </c>
      <c r="X2395" s="1"/>
      <c r="Y2395" s="1"/>
      <c r="Z2395" s="1"/>
      <c r="AA2395" s="1"/>
      <c r="AB2395" s="1"/>
      <c r="AC2395" s="1"/>
      <c r="AD2395" s="1">
        <f>IF($C2395="",0,SUMPRODUCT((AY_SONU!$O$7:$O$42="Evet")*(AY_SONU!$B$7:$B$42=DATE(YEAR($C2395),MONTH($C2395),1))))</f>
        <v>0</v>
      </c>
      <c r="AE2395" s="1" t="str">
        <f>IF($E2395="","",$E2395&amp;"|"&amp;COUNTIFS($E$7:$E2395,$E2395))</f>
        <v/>
      </c>
    </row>
    <row r="2396" spans="1:31" ht="18" customHeight="1" x14ac:dyDescent="0.3">
      <c r="A2396" s="2"/>
      <c r="B2396" s="65" t="str">
        <f t="shared" si="298"/>
        <v/>
      </c>
      <c r="C2396" s="66"/>
      <c r="D2396" s="60"/>
      <c r="E2396" s="61"/>
      <c r="F2396" s="61"/>
      <c r="G2396" s="67"/>
      <c r="H2396" s="60"/>
      <c r="I2396" s="60"/>
      <c r="J2396" s="61"/>
      <c r="K2396" s="61"/>
      <c r="L2396" s="60"/>
      <c r="M2396" s="74" t="str">
        <f t="shared" si="299"/>
        <v/>
      </c>
      <c r="N2396" s="74" t="str">
        <f t="shared" si="300"/>
        <v/>
      </c>
      <c r="O2396" s="73" t="str">
        <f t="shared" si="301"/>
        <v/>
      </c>
      <c r="P2396" s="65" t="str">
        <f t="shared" ca="1" si="302"/>
        <v/>
      </c>
      <c r="Q2396" s="2"/>
      <c r="R2396" s="2"/>
      <c r="S2396" s="1" t="str">
        <f t="shared" si="303"/>
        <v/>
      </c>
      <c r="T2396" s="1" t="str">
        <f>IF(OR($C2396="",$D2396&lt;&gt;"Gelir",$L2396=""),"",IFERROR(INDEX(MUSTERILER!$B$7:$B$156,MATCH($S2396,MUSTERILER!$T$7:$T$156,0)),""))</f>
        <v/>
      </c>
      <c r="U2396" s="1" t="str">
        <f>IF($T2396="","",$T2396&amp;"|"&amp;COUNTIFS($T$7:$T2396,$T2396))</f>
        <v/>
      </c>
      <c r="V2396" s="1">
        <f t="shared" si="304"/>
        <v>0</v>
      </c>
      <c r="W2396" s="1" t="str">
        <f t="shared" si="305"/>
        <v/>
      </c>
      <c r="X2396" s="1"/>
      <c r="Y2396" s="1"/>
      <c r="Z2396" s="1"/>
      <c r="AA2396" s="1"/>
      <c r="AB2396" s="1"/>
      <c r="AC2396" s="1"/>
      <c r="AD2396" s="1">
        <f>IF($C2396="",0,SUMPRODUCT((AY_SONU!$O$7:$O$42="Evet")*(AY_SONU!$B$7:$B$42=DATE(YEAR($C2396),MONTH($C2396),1))))</f>
        <v>0</v>
      </c>
      <c r="AE2396" s="1" t="str">
        <f>IF($E2396="","",$E2396&amp;"|"&amp;COUNTIFS($E$7:$E2396,$E2396))</f>
        <v/>
      </c>
    </row>
    <row r="2397" spans="1:31" ht="18" customHeight="1" x14ac:dyDescent="0.3">
      <c r="A2397" s="2"/>
      <c r="B2397" s="65" t="str">
        <f t="shared" si="298"/>
        <v/>
      </c>
      <c r="C2397" s="66"/>
      <c r="D2397" s="60"/>
      <c r="E2397" s="61"/>
      <c r="F2397" s="61"/>
      <c r="G2397" s="67"/>
      <c r="H2397" s="60"/>
      <c r="I2397" s="60"/>
      <c r="J2397" s="61"/>
      <c r="K2397" s="61"/>
      <c r="L2397" s="60"/>
      <c r="M2397" s="74" t="str">
        <f t="shared" si="299"/>
        <v/>
      </c>
      <c r="N2397" s="74" t="str">
        <f t="shared" si="300"/>
        <v/>
      </c>
      <c r="O2397" s="73" t="str">
        <f t="shared" si="301"/>
        <v/>
      </c>
      <c r="P2397" s="65" t="str">
        <f t="shared" ca="1" si="302"/>
        <v/>
      </c>
      <c r="Q2397" s="2"/>
      <c r="R2397" s="2"/>
      <c r="S2397" s="1" t="str">
        <f t="shared" si="303"/>
        <v/>
      </c>
      <c r="T2397" s="1" t="str">
        <f>IF(OR($C2397="",$D2397&lt;&gt;"Gelir",$L2397=""),"",IFERROR(INDEX(MUSTERILER!$B$7:$B$156,MATCH($S2397,MUSTERILER!$T$7:$T$156,0)),""))</f>
        <v/>
      </c>
      <c r="U2397" s="1" t="str">
        <f>IF($T2397="","",$T2397&amp;"|"&amp;COUNTIFS($T$7:$T2397,$T2397))</f>
        <v/>
      </c>
      <c r="V2397" s="1">
        <f t="shared" si="304"/>
        <v>0</v>
      </c>
      <c r="W2397" s="1" t="str">
        <f t="shared" si="305"/>
        <v/>
      </c>
      <c r="X2397" s="1"/>
      <c r="Y2397" s="1"/>
      <c r="Z2397" s="1"/>
      <c r="AA2397" s="1"/>
      <c r="AB2397" s="1"/>
      <c r="AC2397" s="1"/>
      <c r="AD2397" s="1">
        <f>IF($C2397="",0,SUMPRODUCT((AY_SONU!$O$7:$O$42="Evet")*(AY_SONU!$B$7:$B$42=DATE(YEAR($C2397),MONTH($C2397),1))))</f>
        <v>0</v>
      </c>
      <c r="AE2397" s="1" t="str">
        <f>IF($E2397="","",$E2397&amp;"|"&amp;COUNTIFS($E$7:$E2397,$E2397))</f>
        <v/>
      </c>
    </row>
    <row r="2398" spans="1:31" ht="18" customHeight="1" x14ac:dyDescent="0.3">
      <c r="A2398" s="2"/>
      <c r="B2398" s="65" t="str">
        <f t="shared" si="298"/>
        <v/>
      </c>
      <c r="C2398" s="66"/>
      <c r="D2398" s="60"/>
      <c r="E2398" s="61"/>
      <c r="F2398" s="61"/>
      <c r="G2398" s="67"/>
      <c r="H2398" s="60"/>
      <c r="I2398" s="60"/>
      <c r="J2398" s="61"/>
      <c r="K2398" s="61"/>
      <c r="L2398" s="60"/>
      <c r="M2398" s="74" t="str">
        <f t="shared" si="299"/>
        <v/>
      </c>
      <c r="N2398" s="74" t="str">
        <f t="shared" si="300"/>
        <v/>
      </c>
      <c r="O2398" s="73" t="str">
        <f t="shared" si="301"/>
        <v/>
      </c>
      <c r="P2398" s="65" t="str">
        <f t="shared" ca="1" si="302"/>
        <v/>
      </c>
      <c r="Q2398" s="2"/>
      <c r="R2398" s="2"/>
      <c r="S2398" s="1" t="str">
        <f t="shared" si="303"/>
        <v/>
      </c>
      <c r="T2398" s="1" t="str">
        <f>IF(OR($C2398="",$D2398&lt;&gt;"Gelir",$L2398=""),"",IFERROR(INDEX(MUSTERILER!$B$7:$B$156,MATCH($S2398,MUSTERILER!$T$7:$T$156,0)),""))</f>
        <v/>
      </c>
      <c r="U2398" s="1" t="str">
        <f>IF($T2398="","",$T2398&amp;"|"&amp;COUNTIFS($T$7:$T2398,$T2398))</f>
        <v/>
      </c>
      <c r="V2398" s="1">
        <f t="shared" si="304"/>
        <v>0</v>
      </c>
      <c r="W2398" s="1" t="str">
        <f t="shared" si="305"/>
        <v/>
      </c>
      <c r="X2398" s="1"/>
      <c r="Y2398" s="1"/>
      <c r="Z2398" s="1"/>
      <c r="AA2398" s="1"/>
      <c r="AB2398" s="1"/>
      <c r="AC2398" s="1"/>
      <c r="AD2398" s="1">
        <f>IF($C2398="",0,SUMPRODUCT((AY_SONU!$O$7:$O$42="Evet")*(AY_SONU!$B$7:$B$42=DATE(YEAR($C2398),MONTH($C2398),1))))</f>
        <v>0</v>
      </c>
      <c r="AE2398" s="1" t="str">
        <f>IF($E2398="","",$E2398&amp;"|"&amp;COUNTIFS($E$7:$E2398,$E2398))</f>
        <v/>
      </c>
    </row>
    <row r="2399" spans="1:31" ht="18" customHeight="1" x14ac:dyDescent="0.3">
      <c r="A2399" s="2"/>
      <c r="B2399" s="65" t="str">
        <f t="shared" si="298"/>
        <v/>
      </c>
      <c r="C2399" s="66"/>
      <c r="D2399" s="60"/>
      <c r="E2399" s="61"/>
      <c r="F2399" s="61"/>
      <c r="G2399" s="67"/>
      <c r="H2399" s="60"/>
      <c r="I2399" s="60"/>
      <c r="J2399" s="61"/>
      <c r="K2399" s="61"/>
      <c r="L2399" s="60"/>
      <c r="M2399" s="74" t="str">
        <f t="shared" si="299"/>
        <v/>
      </c>
      <c r="N2399" s="74" t="str">
        <f t="shared" si="300"/>
        <v/>
      </c>
      <c r="O2399" s="73" t="str">
        <f t="shared" si="301"/>
        <v/>
      </c>
      <c r="P2399" s="65" t="str">
        <f t="shared" ca="1" si="302"/>
        <v/>
      </c>
      <c r="Q2399" s="2"/>
      <c r="R2399" s="2"/>
      <c r="S2399" s="1" t="str">
        <f t="shared" si="303"/>
        <v/>
      </c>
      <c r="T2399" s="1" t="str">
        <f>IF(OR($C2399="",$D2399&lt;&gt;"Gelir",$L2399=""),"",IFERROR(INDEX(MUSTERILER!$B$7:$B$156,MATCH($S2399,MUSTERILER!$T$7:$T$156,0)),""))</f>
        <v/>
      </c>
      <c r="U2399" s="1" t="str">
        <f>IF($T2399="","",$T2399&amp;"|"&amp;COUNTIFS($T$7:$T2399,$T2399))</f>
        <v/>
      </c>
      <c r="V2399" s="1">
        <f t="shared" si="304"/>
        <v>0</v>
      </c>
      <c r="W2399" s="1" t="str">
        <f t="shared" si="305"/>
        <v/>
      </c>
      <c r="X2399" s="1"/>
      <c r="Y2399" s="1"/>
      <c r="Z2399" s="1"/>
      <c r="AA2399" s="1"/>
      <c r="AB2399" s="1"/>
      <c r="AC2399" s="1"/>
      <c r="AD2399" s="1">
        <f>IF($C2399="",0,SUMPRODUCT((AY_SONU!$O$7:$O$42="Evet")*(AY_SONU!$B$7:$B$42=DATE(YEAR($C2399),MONTH($C2399),1))))</f>
        <v>0</v>
      </c>
      <c r="AE2399" s="1" t="str">
        <f>IF($E2399="","",$E2399&amp;"|"&amp;COUNTIFS($E$7:$E2399,$E2399))</f>
        <v/>
      </c>
    </row>
    <row r="2400" spans="1:31" ht="18" customHeight="1" x14ac:dyDescent="0.3">
      <c r="A2400" s="2"/>
      <c r="B2400" s="65" t="str">
        <f t="shared" si="298"/>
        <v/>
      </c>
      <c r="C2400" s="66"/>
      <c r="D2400" s="60"/>
      <c r="E2400" s="61"/>
      <c r="F2400" s="61"/>
      <c r="G2400" s="67"/>
      <c r="H2400" s="60"/>
      <c r="I2400" s="60"/>
      <c r="J2400" s="61"/>
      <c r="K2400" s="61"/>
      <c r="L2400" s="60"/>
      <c r="M2400" s="74" t="str">
        <f t="shared" si="299"/>
        <v/>
      </c>
      <c r="N2400" s="74" t="str">
        <f t="shared" si="300"/>
        <v/>
      </c>
      <c r="O2400" s="73" t="str">
        <f t="shared" si="301"/>
        <v/>
      </c>
      <c r="P2400" s="65" t="str">
        <f t="shared" ca="1" si="302"/>
        <v/>
      </c>
      <c r="Q2400" s="2"/>
      <c r="R2400" s="2"/>
      <c r="S2400" s="1" t="str">
        <f t="shared" si="303"/>
        <v/>
      </c>
      <c r="T2400" s="1" t="str">
        <f>IF(OR($C2400="",$D2400&lt;&gt;"Gelir",$L2400=""),"",IFERROR(INDEX(MUSTERILER!$B$7:$B$156,MATCH($S2400,MUSTERILER!$T$7:$T$156,0)),""))</f>
        <v/>
      </c>
      <c r="U2400" s="1" t="str">
        <f>IF($T2400="","",$T2400&amp;"|"&amp;COUNTIFS($T$7:$T2400,$T2400))</f>
        <v/>
      </c>
      <c r="V2400" s="1">
        <f t="shared" si="304"/>
        <v>0</v>
      </c>
      <c r="W2400" s="1" t="str">
        <f t="shared" si="305"/>
        <v/>
      </c>
      <c r="X2400" s="1"/>
      <c r="Y2400" s="1"/>
      <c r="Z2400" s="1"/>
      <c r="AA2400" s="1"/>
      <c r="AB2400" s="1"/>
      <c r="AC2400" s="1"/>
      <c r="AD2400" s="1">
        <f>IF($C2400="",0,SUMPRODUCT((AY_SONU!$O$7:$O$42="Evet")*(AY_SONU!$B$7:$B$42=DATE(YEAR($C2400),MONTH($C2400),1))))</f>
        <v>0</v>
      </c>
      <c r="AE2400" s="1" t="str">
        <f>IF($E2400="","",$E2400&amp;"|"&amp;COUNTIFS($E$7:$E2400,$E2400))</f>
        <v/>
      </c>
    </row>
    <row r="2401" spans="1:31" ht="18" customHeight="1" x14ac:dyDescent="0.3">
      <c r="A2401" s="2"/>
      <c r="B2401" s="65" t="str">
        <f t="shared" si="298"/>
        <v/>
      </c>
      <c r="C2401" s="66"/>
      <c r="D2401" s="60"/>
      <c r="E2401" s="61"/>
      <c r="F2401" s="61"/>
      <c r="G2401" s="67"/>
      <c r="H2401" s="60"/>
      <c r="I2401" s="60"/>
      <c r="J2401" s="61"/>
      <c r="K2401" s="61"/>
      <c r="L2401" s="60"/>
      <c r="M2401" s="74" t="str">
        <f t="shared" si="299"/>
        <v/>
      </c>
      <c r="N2401" s="74" t="str">
        <f t="shared" si="300"/>
        <v/>
      </c>
      <c r="O2401" s="73" t="str">
        <f t="shared" si="301"/>
        <v/>
      </c>
      <c r="P2401" s="65" t="str">
        <f t="shared" ca="1" si="302"/>
        <v/>
      </c>
      <c r="Q2401" s="2"/>
      <c r="R2401" s="2"/>
      <c r="S2401" s="1" t="str">
        <f t="shared" si="303"/>
        <v/>
      </c>
      <c r="T2401" s="1" t="str">
        <f>IF(OR($C2401="",$D2401&lt;&gt;"Gelir",$L2401=""),"",IFERROR(INDEX(MUSTERILER!$B$7:$B$156,MATCH($S2401,MUSTERILER!$T$7:$T$156,0)),""))</f>
        <v/>
      </c>
      <c r="U2401" s="1" t="str">
        <f>IF($T2401="","",$T2401&amp;"|"&amp;COUNTIFS($T$7:$T2401,$T2401))</f>
        <v/>
      </c>
      <c r="V2401" s="1">
        <f t="shared" si="304"/>
        <v>0</v>
      </c>
      <c r="W2401" s="1" t="str">
        <f t="shared" si="305"/>
        <v/>
      </c>
      <c r="X2401" s="1"/>
      <c r="Y2401" s="1"/>
      <c r="Z2401" s="1"/>
      <c r="AA2401" s="1"/>
      <c r="AB2401" s="1"/>
      <c r="AC2401" s="1"/>
      <c r="AD2401" s="1">
        <f>IF($C2401="",0,SUMPRODUCT((AY_SONU!$O$7:$O$42="Evet")*(AY_SONU!$B$7:$B$42=DATE(YEAR($C2401),MONTH($C2401),1))))</f>
        <v>0</v>
      </c>
      <c r="AE2401" s="1" t="str">
        <f>IF($E2401="","",$E2401&amp;"|"&amp;COUNTIFS($E$7:$E2401,$E2401))</f>
        <v/>
      </c>
    </row>
    <row r="2402" spans="1:31" ht="18" customHeight="1" x14ac:dyDescent="0.3">
      <c r="A2402" s="2"/>
      <c r="B2402" s="65" t="str">
        <f t="shared" si="298"/>
        <v/>
      </c>
      <c r="C2402" s="66"/>
      <c r="D2402" s="60"/>
      <c r="E2402" s="61"/>
      <c r="F2402" s="61"/>
      <c r="G2402" s="67"/>
      <c r="H2402" s="60"/>
      <c r="I2402" s="60"/>
      <c r="J2402" s="61"/>
      <c r="K2402" s="61"/>
      <c r="L2402" s="60"/>
      <c r="M2402" s="74" t="str">
        <f t="shared" si="299"/>
        <v/>
      </c>
      <c r="N2402" s="74" t="str">
        <f t="shared" si="300"/>
        <v/>
      </c>
      <c r="O2402" s="73" t="str">
        <f t="shared" si="301"/>
        <v/>
      </c>
      <c r="P2402" s="65" t="str">
        <f t="shared" ca="1" si="302"/>
        <v/>
      </c>
      <c r="Q2402" s="2"/>
      <c r="R2402" s="2"/>
      <c r="S2402" s="1" t="str">
        <f t="shared" si="303"/>
        <v/>
      </c>
      <c r="T2402" s="1" t="str">
        <f>IF(OR($C2402="",$D2402&lt;&gt;"Gelir",$L2402=""),"",IFERROR(INDEX(MUSTERILER!$B$7:$B$156,MATCH($S2402,MUSTERILER!$T$7:$T$156,0)),""))</f>
        <v/>
      </c>
      <c r="U2402" s="1" t="str">
        <f>IF($T2402="","",$T2402&amp;"|"&amp;COUNTIFS($T$7:$T2402,$T2402))</f>
        <v/>
      </c>
      <c r="V2402" s="1">
        <f t="shared" si="304"/>
        <v>0</v>
      </c>
      <c r="W2402" s="1" t="str">
        <f t="shared" si="305"/>
        <v/>
      </c>
      <c r="X2402" s="1"/>
      <c r="Y2402" s="1"/>
      <c r="Z2402" s="1"/>
      <c r="AA2402" s="1"/>
      <c r="AB2402" s="1"/>
      <c r="AC2402" s="1"/>
      <c r="AD2402" s="1">
        <f>IF($C2402="",0,SUMPRODUCT((AY_SONU!$O$7:$O$42="Evet")*(AY_SONU!$B$7:$B$42=DATE(YEAR($C2402),MONTH($C2402),1))))</f>
        <v>0</v>
      </c>
      <c r="AE2402" s="1" t="str">
        <f>IF($E2402="","",$E2402&amp;"|"&amp;COUNTIFS($E$7:$E2402,$E2402))</f>
        <v/>
      </c>
    </row>
    <row r="2403" spans="1:31" ht="18" customHeight="1" x14ac:dyDescent="0.3">
      <c r="A2403" s="2"/>
      <c r="B2403" s="65" t="str">
        <f t="shared" si="298"/>
        <v/>
      </c>
      <c r="C2403" s="66"/>
      <c r="D2403" s="60"/>
      <c r="E2403" s="61"/>
      <c r="F2403" s="61"/>
      <c r="G2403" s="67"/>
      <c r="H2403" s="60"/>
      <c r="I2403" s="60"/>
      <c r="J2403" s="61"/>
      <c r="K2403" s="61"/>
      <c r="L2403" s="60"/>
      <c r="M2403" s="74" t="str">
        <f t="shared" si="299"/>
        <v/>
      </c>
      <c r="N2403" s="74" t="str">
        <f t="shared" si="300"/>
        <v/>
      </c>
      <c r="O2403" s="73" t="str">
        <f t="shared" si="301"/>
        <v/>
      </c>
      <c r="P2403" s="65" t="str">
        <f t="shared" ca="1" si="302"/>
        <v/>
      </c>
      <c r="Q2403" s="2"/>
      <c r="R2403" s="2"/>
      <c r="S2403" s="1" t="str">
        <f t="shared" si="303"/>
        <v/>
      </c>
      <c r="T2403" s="1" t="str">
        <f>IF(OR($C2403="",$D2403&lt;&gt;"Gelir",$L2403=""),"",IFERROR(INDEX(MUSTERILER!$B$7:$B$156,MATCH($S2403,MUSTERILER!$T$7:$T$156,0)),""))</f>
        <v/>
      </c>
      <c r="U2403" s="1" t="str">
        <f>IF($T2403="","",$T2403&amp;"|"&amp;COUNTIFS($T$7:$T2403,$T2403))</f>
        <v/>
      </c>
      <c r="V2403" s="1">
        <f t="shared" si="304"/>
        <v>0</v>
      </c>
      <c r="W2403" s="1" t="str">
        <f t="shared" si="305"/>
        <v/>
      </c>
      <c r="X2403" s="1"/>
      <c r="Y2403" s="1"/>
      <c r="Z2403" s="1"/>
      <c r="AA2403" s="1"/>
      <c r="AB2403" s="1"/>
      <c r="AC2403" s="1"/>
      <c r="AD2403" s="1">
        <f>IF($C2403="",0,SUMPRODUCT((AY_SONU!$O$7:$O$42="Evet")*(AY_SONU!$B$7:$B$42=DATE(YEAR($C2403),MONTH($C2403),1))))</f>
        <v>0</v>
      </c>
      <c r="AE2403" s="1" t="str">
        <f>IF($E2403="","",$E2403&amp;"|"&amp;COUNTIFS($E$7:$E2403,$E2403))</f>
        <v/>
      </c>
    </row>
    <row r="2404" spans="1:31" ht="18" customHeight="1" x14ac:dyDescent="0.3">
      <c r="A2404" s="2"/>
      <c r="B2404" s="65" t="str">
        <f t="shared" si="298"/>
        <v/>
      </c>
      <c r="C2404" s="66"/>
      <c r="D2404" s="60"/>
      <c r="E2404" s="61"/>
      <c r="F2404" s="61"/>
      <c r="G2404" s="67"/>
      <c r="H2404" s="60"/>
      <c r="I2404" s="60"/>
      <c r="J2404" s="61"/>
      <c r="K2404" s="61"/>
      <c r="L2404" s="60"/>
      <c r="M2404" s="74" t="str">
        <f t="shared" si="299"/>
        <v/>
      </c>
      <c r="N2404" s="74" t="str">
        <f t="shared" si="300"/>
        <v/>
      </c>
      <c r="O2404" s="73" t="str">
        <f t="shared" si="301"/>
        <v/>
      </c>
      <c r="P2404" s="65" t="str">
        <f t="shared" ca="1" si="302"/>
        <v/>
      </c>
      <c r="Q2404" s="2"/>
      <c r="R2404" s="2"/>
      <c r="S2404" s="1" t="str">
        <f t="shared" si="303"/>
        <v/>
      </c>
      <c r="T2404" s="1" t="str">
        <f>IF(OR($C2404="",$D2404&lt;&gt;"Gelir",$L2404=""),"",IFERROR(INDEX(MUSTERILER!$B$7:$B$156,MATCH($S2404,MUSTERILER!$T$7:$T$156,0)),""))</f>
        <v/>
      </c>
      <c r="U2404" s="1" t="str">
        <f>IF($T2404="","",$T2404&amp;"|"&amp;COUNTIFS($T$7:$T2404,$T2404))</f>
        <v/>
      </c>
      <c r="V2404" s="1">
        <f t="shared" si="304"/>
        <v>0</v>
      </c>
      <c r="W2404" s="1" t="str">
        <f t="shared" si="305"/>
        <v/>
      </c>
      <c r="X2404" s="1"/>
      <c r="Y2404" s="1"/>
      <c r="Z2404" s="1"/>
      <c r="AA2404" s="1"/>
      <c r="AB2404" s="1"/>
      <c r="AC2404" s="1"/>
      <c r="AD2404" s="1">
        <f>IF($C2404="",0,SUMPRODUCT((AY_SONU!$O$7:$O$42="Evet")*(AY_SONU!$B$7:$B$42=DATE(YEAR($C2404),MONTH($C2404),1))))</f>
        <v>0</v>
      </c>
      <c r="AE2404" s="1" t="str">
        <f>IF($E2404="","",$E2404&amp;"|"&amp;COUNTIFS($E$7:$E2404,$E2404))</f>
        <v/>
      </c>
    </row>
    <row r="2405" spans="1:31" ht="18" customHeight="1" x14ac:dyDescent="0.3">
      <c r="A2405" s="2"/>
      <c r="B2405" s="65" t="str">
        <f t="shared" si="298"/>
        <v/>
      </c>
      <c r="C2405" s="66"/>
      <c r="D2405" s="60"/>
      <c r="E2405" s="61"/>
      <c r="F2405" s="61"/>
      <c r="G2405" s="67"/>
      <c r="H2405" s="60"/>
      <c r="I2405" s="60"/>
      <c r="J2405" s="61"/>
      <c r="K2405" s="61"/>
      <c r="L2405" s="60"/>
      <c r="M2405" s="74" t="str">
        <f t="shared" si="299"/>
        <v/>
      </c>
      <c r="N2405" s="74" t="str">
        <f t="shared" si="300"/>
        <v/>
      </c>
      <c r="O2405" s="73" t="str">
        <f t="shared" si="301"/>
        <v/>
      </c>
      <c r="P2405" s="65" t="str">
        <f t="shared" ca="1" si="302"/>
        <v/>
      </c>
      <c r="Q2405" s="2"/>
      <c r="R2405" s="2"/>
      <c r="S2405" s="1" t="str">
        <f t="shared" si="303"/>
        <v/>
      </c>
      <c r="T2405" s="1" t="str">
        <f>IF(OR($C2405="",$D2405&lt;&gt;"Gelir",$L2405=""),"",IFERROR(INDEX(MUSTERILER!$B$7:$B$156,MATCH($S2405,MUSTERILER!$T$7:$T$156,0)),""))</f>
        <v/>
      </c>
      <c r="U2405" s="1" t="str">
        <f>IF($T2405="","",$T2405&amp;"|"&amp;COUNTIFS($T$7:$T2405,$T2405))</f>
        <v/>
      </c>
      <c r="V2405" s="1">
        <f t="shared" si="304"/>
        <v>0</v>
      </c>
      <c r="W2405" s="1" t="str">
        <f t="shared" si="305"/>
        <v/>
      </c>
      <c r="X2405" s="1"/>
      <c r="Y2405" s="1"/>
      <c r="Z2405" s="1"/>
      <c r="AA2405" s="1"/>
      <c r="AB2405" s="1"/>
      <c r="AC2405" s="1"/>
      <c r="AD2405" s="1">
        <f>IF($C2405="",0,SUMPRODUCT((AY_SONU!$O$7:$O$42="Evet")*(AY_SONU!$B$7:$B$42=DATE(YEAR($C2405),MONTH($C2405),1))))</f>
        <v>0</v>
      </c>
      <c r="AE2405" s="1" t="str">
        <f>IF($E2405="","",$E2405&amp;"|"&amp;COUNTIFS($E$7:$E2405,$E2405))</f>
        <v/>
      </c>
    </row>
    <row r="2406" spans="1:31" ht="18" customHeight="1" x14ac:dyDescent="0.3">
      <c r="A2406" s="2"/>
      <c r="B2406" s="65" t="str">
        <f t="shared" si="298"/>
        <v/>
      </c>
      <c r="C2406" s="66"/>
      <c r="D2406" s="60"/>
      <c r="E2406" s="61"/>
      <c r="F2406" s="61"/>
      <c r="G2406" s="67"/>
      <c r="H2406" s="60"/>
      <c r="I2406" s="60"/>
      <c r="J2406" s="61"/>
      <c r="K2406" s="61"/>
      <c r="L2406" s="60"/>
      <c r="M2406" s="74" t="str">
        <f t="shared" si="299"/>
        <v/>
      </c>
      <c r="N2406" s="74" t="str">
        <f t="shared" si="300"/>
        <v/>
      </c>
      <c r="O2406" s="73" t="str">
        <f t="shared" si="301"/>
        <v/>
      </c>
      <c r="P2406" s="65" t="str">
        <f t="shared" ca="1" si="302"/>
        <v/>
      </c>
      <c r="Q2406" s="2"/>
      <c r="R2406" s="2"/>
      <c r="S2406" s="1" t="str">
        <f t="shared" si="303"/>
        <v/>
      </c>
      <c r="T2406" s="1" t="str">
        <f>IF(OR($C2406="",$D2406&lt;&gt;"Gelir",$L2406=""),"",IFERROR(INDEX(MUSTERILER!$B$7:$B$156,MATCH($S2406,MUSTERILER!$T$7:$T$156,0)),""))</f>
        <v/>
      </c>
      <c r="U2406" s="1" t="str">
        <f>IF($T2406="","",$T2406&amp;"|"&amp;COUNTIFS($T$7:$T2406,$T2406))</f>
        <v/>
      </c>
      <c r="V2406" s="1">
        <f t="shared" si="304"/>
        <v>0</v>
      </c>
      <c r="W2406" s="1" t="str">
        <f t="shared" si="305"/>
        <v/>
      </c>
      <c r="X2406" s="1"/>
      <c r="Y2406" s="1"/>
      <c r="Z2406" s="1"/>
      <c r="AA2406" s="1"/>
      <c r="AB2406" s="1"/>
      <c r="AC2406" s="1"/>
      <c r="AD2406" s="1">
        <f>IF($C2406="",0,SUMPRODUCT((AY_SONU!$O$7:$O$42="Evet")*(AY_SONU!$B$7:$B$42=DATE(YEAR($C2406),MONTH($C2406),1))))</f>
        <v>0</v>
      </c>
      <c r="AE2406" s="1" t="str">
        <f>IF($E2406="","",$E2406&amp;"|"&amp;COUNTIFS($E$7:$E2406,$E2406))</f>
        <v/>
      </c>
    </row>
    <row r="2407" spans="1:31" ht="18" customHeight="1" x14ac:dyDescent="0.3">
      <c r="A2407" s="2"/>
      <c r="B2407" s="65" t="str">
        <f t="shared" si="298"/>
        <v/>
      </c>
      <c r="C2407" s="66"/>
      <c r="D2407" s="60"/>
      <c r="E2407" s="61"/>
      <c r="F2407" s="61"/>
      <c r="G2407" s="67"/>
      <c r="H2407" s="60"/>
      <c r="I2407" s="60"/>
      <c r="J2407" s="61"/>
      <c r="K2407" s="61"/>
      <c r="L2407" s="60"/>
      <c r="M2407" s="74" t="str">
        <f t="shared" si="299"/>
        <v/>
      </c>
      <c r="N2407" s="74" t="str">
        <f t="shared" si="300"/>
        <v/>
      </c>
      <c r="O2407" s="73" t="str">
        <f t="shared" si="301"/>
        <v/>
      </c>
      <c r="P2407" s="65" t="str">
        <f t="shared" ca="1" si="302"/>
        <v/>
      </c>
      <c r="Q2407" s="2"/>
      <c r="R2407" s="2"/>
      <c r="S2407" s="1" t="str">
        <f t="shared" si="303"/>
        <v/>
      </c>
      <c r="T2407" s="1" t="str">
        <f>IF(OR($C2407="",$D2407&lt;&gt;"Gelir",$L2407=""),"",IFERROR(INDEX(MUSTERILER!$B$7:$B$156,MATCH($S2407,MUSTERILER!$T$7:$T$156,0)),""))</f>
        <v/>
      </c>
      <c r="U2407" s="1" t="str">
        <f>IF($T2407="","",$T2407&amp;"|"&amp;COUNTIFS($T$7:$T2407,$T2407))</f>
        <v/>
      </c>
      <c r="V2407" s="1">
        <f t="shared" si="304"/>
        <v>0</v>
      </c>
      <c r="W2407" s="1" t="str">
        <f t="shared" si="305"/>
        <v/>
      </c>
      <c r="X2407" s="1"/>
      <c r="Y2407" s="1"/>
      <c r="Z2407" s="1"/>
      <c r="AA2407" s="1"/>
      <c r="AB2407" s="1"/>
      <c r="AC2407" s="1"/>
      <c r="AD2407" s="1">
        <f>IF($C2407="",0,SUMPRODUCT((AY_SONU!$O$7:$O$42="Evet")*(AY_SONU!$B$7:$B$42=DATE(YEAR($C2407),MONTH($C2407),1))))</f>
        <v>0</v>
      </c>
      <c r="AE2407" s="1" t="str">
        <f>IF($E2407="","",$E2407&amp;"|"&amp;COUNTIFS($E$7:$E2407,$E2407))</f>
        <v/>
      </c>
    </row>
    <row r="2408" spans="1:31" ht="18" customHeight="1" x14ac:dyDescent="0.3">
      <c r="A2408" s="2"/>
      <c r="B2408" s="65" t="str">
        <f t="shared" si="298"/>
        <v/>
      </c>
      <c r="C2408" s="66"/>
      <c r="D2408" s="60"/>
      <c r="E2408" s="61"/>
      <c r="F2408" s="61"/>
      <c r="G2408" s="67"/>
      <c r="H2408" s="60"/>
      <c r="I2408" s="60"/>
      <c r="J2408" s="61"/>
      <c r="K2408" s="61"/>
      <c r="L2408" s="60"/>
      <c r="M2408" s="74" t="str">
        <f t="shared" si="299"/>
        <v/>
      </c>
      <c r="N2408" s="74" t="str">
        <f t="shared" si="300"/>
        <v/>
      </c>
      <c r="O2408" s="73" t="str">
        <f t="shared" si="301"/>
        <v/>
      </c>
      <c r="P2408" s="65" t="str">
        <f t="shared" ca="1" si="302"/>
        <v/>
      </c>
      <c r="Q2408" s="2"/>
      <c r="R2408" s="2"/>
      <c r="S2408" s="1" t="str">
        <f t="shared" si="303"/>
        <v/>
      </c>
      <c r="T2408" s="1" t="str">
        <f>IF(OR($C2408="",$D2408&lt;&gt;"Gelir",$L2408=""),"",IFERROR(INDEX(MUSTERILER!$B$7:$B$156,MATCH($S2408,MUSTERILER!$T$7:$T$156,0)),""))</f>
        <v/>
      </c>
      <c r="U2408" s="1" t="str">
        <f>IF($T2408="","",$T2408&amp;"|"&amp;COUNTIFS($T$7:$T2408,$T2408))</f>
        <v/>
      </c>
      <c r="V2408" s="1">
        <f t="shared" si="304"/>
        <v>0</v>
      </c>
      <c r="W2408" s="1" t="str">
        <f t="shared" si="305"/>
        <v/>
      </c>
      <c r="X2408" s="1"/>
      <c r="Y2408" s="1"/>
      <c r="Z2408" s="1"/>
      <c r="AA2408" s="1"/>
      <c r="AB2408" s="1"/>
      <c r="AC2408" s="1"/>
      <c r="AD2408" s="1">
        <f>IF($C2408="",0,SUMPRODUCT((AY_SONU!$O$7:$O$42="Evet")*(AY_SONU!$B$7:$B$42=DATE(YEAR($C2408),MONTH($C2408),1))))</f>
        <v>0</v>
      </c>
      <c r="AE2408" s="1" t="str">
        <f>IF($E2408="","",$E2408&amp;"|"&amp;COUNTIFS($E$7:$E2408,$E2408))</f>
        <v/>
      </c>
    </row>
    <row r="2409" spans="1:31" ht="18" customHeight="1" x14ac:dyDescent="0.3">
      <c r="A2409" s="2"/>
      <c r="B2409" s="65" t="str">
        <f t="shared" si="298"/>
        <v/>
      </c>
      <c r="C2409" s="66"/>
      <c r="D2409" s="60"/>
      <c r="E2409" s="61"/>
      <c r="F2409" s="61"/>
      <c r="G2409" s="67"/>
      <c r="H2409" s="60"/>
      <c r="I2409" s="60"/>
      <c r="J2409" s="61"/>
      <c r="K2409" s="61"/>
      <c r="L2409" s="60"/>
      <c r="M2409" s="74" t="str">
        <f t="shared" si="299"/>
        <v/>
      </c>
      <c r="N2409" s="74" t="str">
        <f t="shared" si="300"/>
        <v/>
      </c>
      <c r="O2409" s="73" t="str">
        <f t="shared" si="301"/>
        <v/>
      </c>
      <c r="P2409" s="65" t="str">
        <f t="shared" ca="1" si="302"/>
        <v/>
      </c>
      <c r="Q2409" s="2"/>
      <c r="R2409" s="2"/>
      <c r="S2409" s="1" t="str">
        <f t="shared" si="303"/>
        <v/>
      </c>
      <c r="T2409" s="1" t="str">
        <f>IF(OR($C2409="",$D2409&lt;&gt;"Gelir",$L2409=""),"",IFERROR(INDEX(MUSTERILER!$B$7:$B$156,MATCH($S2409,MUSTERILER!$T$7:$T$156,0)),""))</f>
        <v/>
      </c>
      <c r="U2409" s="1" t="str">
        <f>IF($T2409="","",$T2409&amp;"|"&amp;COUNTIFS($T$7:$T2409,$T2409))</f>
        <v/>
      </c>
      <c r="V2409" s="1">
        <f t="shared" si="304"/>
        <v>0</v>
      </c>
      <c r="W2409" s="1" t="str">
        <f t="shared" si="305"/>
        <v/>
      </c>
      <c r="X2409" s="1"/>
      <c r="Y2409" s="1"/>
      <c r="Z2409" s="1"/>
      <c r="AA2409" s="1"/>
      <c r="AB2409" s="1"/>
      <c r="AC2409" s="1"/>
      <c r="AD2409" s="1">
        <f>IF($C2409="",0,SUMPRODUCT((AY_SONU!$O$7:$O$42="Evet")*(AY_SONU!$B$7:$B$42=DATE(YEAR($C2409),MONTH($C2409),1))))</f>
        <v>0</v>
      </c>
      <c r="AE2409" s="1" t="str">
        <f>IF($E2409="","",$E2409&amp;"|"&amp;COUNTIFS($E$7:$E2409,$E2409))</f>
        <v/>
      </c>
    </row>
    <row r="2410" spans="1:31" ht="18" customHeight="1" x14ac:dyDescent="0.3">
      <c r="A2410" s="2"/>
      <c r="B2410" s="65" t="str">
        <f t="shared" si="298"/>
        <v/>
      </c>
      <c r="C2410" s="66"/>
      <c r="D2410" s="60"/>
      <c r="E2410" s="61"/>
      <c r="F2410" s="61"/>
      <c r="G2410" s="67"/>
      <c r="H2410" s="60"/>
      <c r="I2410" s="60"/>
      <c r="J2410" s="61"/>
      <c r="K2410" s="61"/>
      <c r="L2410" s="60"/>
      <c r="M2410" s="74" t="str">
        <f t="shared" si="299"/>
        <v/>
      </c>
      <c r="N2410" s="74" t="str">
        <f t="shared" si="300"/>
        <v/>
      </c>
      <c r="O2410" s="73" t="str">
        <f t="shared" si="301"/>
        <v/>
      </c>
      <c r="P2410" s="65" t="str">
        <f t="shared" ca="1" si="302"/>
        <v/>
      </c>
      <c r="Q2410" s="2"/>
      <c r="R2410" s="2"/>
      <c r="S2410" s="1" t="str">
        <f t="shared" si="303"/>
        <v/>
      </c>
      <c r="T2410" s="1" t="str">
        <f>IF(OR($C2410="",$D2410&lt;&gt;"Gelir",$L2410=""),"",IFERROR(INDEX(MUSTERILER!$B$7:$B$156,MATCH($S2410,MUSTERILER!$T$7:$T$156,0)),""))</f>
        <v/>
      </c>
      <c r="U2410" s="1" t="str">
        <f>IF($T2410="","",$T2410&amp;"|"&amp;COUNTIFS($T$7:$T2410,$T2410))</f>
        <v/>
      </c>
      <c r="V2410" s="1">
        <f t="shared" si="304"/>
        <v>0</v>
      </c>
      <c r="W2410" s="1" t="str">
        <f t="shared" si="305"/>
        <v/>
      </c>
      <c r="X2410" s="1"/>
      <c r="Y2410" s="1"/>
      <c r="Z2410" s="1"/>
      <c r="AA2410" s="1"/>
      <c r="AB2410" s="1"/>
      <c r="AC2410" s="1"/>
      <c r="AD2410" s="1">
        <f>IF($C2410="",0,SUMPRODUCT((AY_SONU!$O$7:$O$42="Evet")*(AY_SONU!$B$7:$B$42=DATE(YEAR($C2410),MONTH($C2410),1))))</f>
        <v>0</v>
      </c>
      <c r="AE2410" s="1" t="str">
        <f>IF($E2410="","",$E2410&amp;"|"&amp;COUNTIFS($E$7:$E2410,$E2410))</f>
        <v/>
      </c>
    </row>
    <row r="2411" spans="1:31" ht="18" customHeight="1" x14ac:dyDescent="0.3">
      <c r="A2411" s="2"/>
      <c r="B2411" s="65" t="str">
        <f t="shared" si="298"/>
        <v/>
      </c>
      <c r="C2411" s="66"/>
      <c r="D2411" s="60"/>
      <c r="E2411" s="61"/>
      <c r="F2411" s="61"/>
      <c r="G2411" s="67"/>
      <c r="H2411" s="60"/>
      <c r="I2411" s="60"/>
      <c r="J2411" s="61"/>
      <c r="K2411" s="61"/>
      <c r="L2411" s="60"/>
      <c r="M2411" s="74" t="str">
        <f t="shared" si="299"/>
        <v/>
      </c>
      <c r="N2411" s="74" t="str">
        <f t="shared" si="300"/>
        <v/>
      </c>
      <c r="O2411" s="73" t="str">
        <f t="shared" si="301"/>
        <v/>
      </c>
      <c r="P2411" s="65" t="str">
        <f t="shared" ca="1" si="302"/>
        <v/>
      </c>
      <c r="Q2411" s="2"/>
      <c r="R2411" s="2"/>
      <c r="S2411" s="1" t="str">
        <f t="shared" si="303"/>
        <v/>
      </c>
      <c r="T2411" s="1" t="str">
        <f>IF(OR($C2411="",$D2411&lt;&gt;"Gelir",$L2411=""),"",IFERROR(INDEX(MUSTERILER!$B$7:$B$156,MATCH($S2411,MUSTERILER!$T$7:$T$156,0)),""))</f>
        <v/>
      </c>
      <c r="U2411" s="1" t="str">
        <f>IF($T2411="","",$T2411&amp;"|"&amp;COUNTIFS($T$7:$T2411,$T2411))</f>
        <v/>
      </c>
      <c r="V2411" s="1">
        <f t="shared" si="304"/>
        <v>0</v>
      </c>
      <c r="W2411" s="1" t="str">
        <f t="shared" si="305"/>
        <v/>
      </c>
      <c r="X2411" s="1"/>
      <c r="Y2411" s="1"/>
      <c r="Z2411" s="1"/>
      <c r="AA2411" s="1"/>
      <c r="AB2411" s="1"/>
      <c r="AC2411" s="1"/>
      <c r="AD2411" s="1">
        <f>IF($C2411="",0,SUMPRODUCT((AY_SONU!$O$7:$O$42="Evet")*(AY_SONU!$B$7:$B$42=DATE(YEAR($C2411),MONTH($C2411),1))))</f>
        <v>0</v>
      </c>
      <c r="AE2411" s="1" t="str">
        <f>IF($E2411="","",$E2411&amp;"|"&amp;COUNTIFS($E$7:$E2411,$E2411))</f>
        <v/>
      </c>
    </row>
    <row r="2412" spans="1:31" ht="18" customHeight="1" x14ac:dyDescent="0.3">
      <c r="A2412" s="2"/>
      <c r="B2412" s="65" t="str">
        <f t="shared" si="298"/>
        <v/>
      </c>
      <c r="C2412" s="66"/>
      <c r="D2412" s="60"/>
      <c r="E2412" s="61"/>
      <c r="F2412" s="61"/>
      <c r="G2412" s="67"/>
      <c r="H2412" s="60"/>
      <c r="I2412" s="60"/>
      <c r="J2412" s="61"/>
      <c r="K2412" s="61"/>
      <c r="L2412" s="60"/>
      <c r="M2412" s="74" t="str">
        <f t="shared" si="299"/>
        <v/>
      </c>
      <c r="N2412" s="74" t="str">
        <f t="shared" si="300"/>
        <v/>
      </c>
      <c r="O2412" s="73" t="str">
        <f t="shared" si="301"/>
        <v/>
      </c>
      <c r="P2412" s="65" t="str">
        <f t="shared" ca="1" si="302"/>
        <v/>
      </c>
      <c r="Q2412" s="2"/>
      <c r="R2412" s="2"/>
      <c r="S2412" s="1" t="str">
        <f t="shared" si="303"/>
        <v/>
      </c>
      <c r="T2412" s="1" t="str">
        <f>IF(OR($C2412="",$D2412&lt;&gt;"Gelir",$L2412=""),"",IFERROR(INDEX(MUSTERILER!$B$7:$B$156,MATCH($S2412,MUSTERILER!$T$7:$T$156,0)),""))</f>
        <v/>
      </c>
      <c r="U2412" s="1" t="str">
        <f>IF($T2412="","",$T2412&amp;"|"&amp;COUNTIFS($T$7:$T2412,$T2412))</f>
        <v/>
      </c>
      <c r="V2412" s="1">
        <f t="shared" si="304"/>
        <v>0</v>
      </c>
      <c r="W2412" s="1" t="str">
        <f t="shared" si="305"/>
        <v/>
      </c>
      <c r="X2412" s="1"/>
      <c r="Y2412" s="1"/>
      <c r="Z2412" s="1"/>
      <c r="AA2412" s="1"/>
      <c r="AB2412" s="1"/>
      <c r="AC2412" s="1"/>
      <c r="AD2412" s="1">
        <f>IF($C2412="",0,SUMPRODUCT((AY_SONU!$O$7:$O$42="Evet")*(AY_SONU!$B$7:$B$42=DATE(YEAR($C2412),MONTH($C2412),1))))</f>
        <v>0</v>
      </c>
      <c r="AE2412" s="1" t="str">
        <f>IF($E2412="","",$E2412&amp;"|"&amp;COUNTIFS($E$7:$E2412,$E2412))</f>
        <v/>
      </c>
    </row>
    <row r="2413" spans="1:31" ht="18" customHeight="1" x14ac:dyDescent="0.3">
      <c r="A2413" s="2"/>
      <c r="B2413" s="65" t="str">
        <f t="shared" si="298"/>
        <v/>
      </c>
      <c r="C2413" s="66"/>
      <c r="D2413" s="60"/>
      <c r="E2413" s="61"/>
      <c r="F2413" s="61"/>
      <c r="G2413" s="67"/>
      <c r="H2413" s="60"/>
      <c r="I2413" s="60"/>
      <c r="J2413" s="61"/>
      <c r="K2413" s="61"/>
      <c r="L2413" s="60"/>
      <c r="M2413" s="74" t="str">
        <f t="shared" si="299"/>
        <v/>
      </c>
      <c r="N2413" s="74" t="str">
        <f t="shared" si="300"/>
        <v/>
      </c>
      <c r="O2413" s="73" t="str">
        <f t="shared" si="301"/>
        <v/>
      </c>
      <c r="P2413" s="65" t="str">
        <f t="shared" ca="1" si="302"/>
        <v/>
      </c>
      <c r="Q2413" s="2"/>
      <c r="R2413" s="2"/>
      <c r="S2413" s="1" t="str">
        <f t="shared" si="303"/>
        <v/>
      </c>
      <c r="T2413" s="1" t="str">
        <f>IF(OR($C2413="",$D2413&lt;&gt;"Gelir",$L2413=""),"",IFERROR(INDEX(MUSTERILER!$B$7:$B$156,MATCH($S2413,MUSTERILER!$T$7:$T$156,0)),""))</f>
        <v/>
      </c>
      <c r="U2413" s="1" t="str">
        <f>IF($T2413="","",$T2413&amp;"|"&amp;COUNTIFS($T$7:$T2413,$T2413))</f>
        <v/>
      </c>
      <c r="V2413" s="1">
        <f t="shared" si="304"/>
        <v>0</v>
      </c>
      <c r="W2413" s="1" t="str">
        <f t="shared" si="305"/>
        <v/>
      </c>
      <c r="X2413" s="1"/>
      <c r="Y2413" s="1"/>
      <c r="Z2413" s="1"/>
      <c r="AA2413" s="1"/>
      <c r="AB2413" s="1"/>
      <c r="AC2413" s="1"/>
      <c r="AD2413" s="1">
        <f>IF($C2413="",0,SUMPRODUCT((AY_SONU!$O$7:$O$42="Evet")*(AY_SONU!$B$7:$B$42=DATE(YEAR($C2413),MONTH($C2413),1))))</f>
        <v>0</v>
      </c>
      <c r="AE2413" s="1" t="str">
        <f>IF($E2413="","",$E2413&amp;"|"&amp;COUNTIFS($E$7:$E2413,$E2413))</f>
        <v/>
      </c>
    </row>
    <row r="2414" spans="1:31" ht="18" customHeight="1" x14ac:dyDescent="0.3">
      <c r="A2414" s="2"/>
      <c r="B2414" s="65" t="str">
        <f t="shared" si="298"/>
        <v/>
      </c>
      <c r="C2414" s="66"/>
      <c r="D2414" s="60"/>
      <c r="E2414" s="61"/>
      <c r="F2414" s="61"/>
      <c r="G2414" s="67"/>
      <c r="H2414" s="60"/>
      <c r="I2414" s="60"/>
      <c r="J2414" s="61"/>
      <c r="K2414" s="61"/>
      <c r="L2414" s="60"/>
      <c r="M2414" s="74" t="str">
        <f t="shared" si="299"/>
        <v/>
      </c>
      <c r="N2414" s="74" t="str">
        <f t="shared" si="300"/>
        <v/>
      </c>
      <c r="O2414" s="73" t="str">
        <f t="shared" si="301"/>
        <v/>
      </c>
      <c r="P2414" s="65" t="str">
        <f t="shared" ca="1" si="302"/>
        <v/>
      </c>
      <c r="Q2414" s="2"/>
      <c r="R2414" s="2"/>
      <c r="S2414" s="1" t="str">
        <f t="shared" si="303"/>
        <v/>
      </c>
      <c r="T2414" s="1" t="str">
        <f>IF(OR($C2414="",$D2414&lt;&gt;"Gelir",$L2414=""),"",IFERROR(INDEX(MUSTERILER!$B$7:$B$156,MATCH($S2414,MUSTERILER!$T$7:$T$156,0)),""))</f>
        <v/>
      </c>
      <c r="U2414" s="1" t="str">
        <f>IF($T2414="","",$T2414&amp;"|"&amp;COUNTIFS($T$7:$T2414,$T2414))</f>
        <v/>
      </c>
      <c r="V2414" s="1">
        <f t="shared" si="304"/>
        <v>0</v>
      </c>
      <c r="W2414" s="1" t="str">
        <f t="shared" si="305"/>
        <v/>
      </c>
      <c r="X2414" s="1"/>
      <c r="Y2414" s="1"/>
      <c r="Z2414" s="1"/>
      <c r="AA2414" s="1"/>
      <c r="AB2414" s="1"/>
      <c r="AC2414" s="1"/>
      <c r="AD2414" s="1">
        <f>IF($C2414="",0,SUMPRODUCT((AY_SONU!$O$7:$O$42="Evet")*(AY_SONU!$B$7:$B$42=DATE(YEAR($C2414),MONTH($C2414),1))))</f>
        <v>0</v>
      </c>
      <c r="AE2414" s="1" t="str">
        <f>IF($E2414="","",$E2414&amp;"|"&amp;COUNTIFS($E$7:$E2414,$E2414))</f>
        <v/>
      </c>
    </row>
    <row r="2415" spans="1:31" ht="18" customHeight="1" x14ac:dyDescent="0.3">
      <c r="A2415" s="2"/>
      <c r="B2415" s="65" t="str">
        <f t="shared" si="298"/>
        <v/>
      </c>
      <c r="C2415" s="66"/>
      <c r="D2415" s="60"/>
      <c r="E2415" s="61"/>
      <c r="F2415" s="61"/>
      <c r="G2415" s="67"/>
      <c r="H2415" s="60"/>
      <c r="I2415" s="60"/>
      <c r="J2415" s="61"/>
      <c r="K2415" s="61"/>
      <c r="L2415" s="60"/>
      <c r="M2415" s="74" t="str">
        <f t="shared" si="299"/>
        <v/>
      </c>
      <c r="N2415" s="74" t="str">
        <f t="shared" si="300"/>
        <v/>
      </c>
      <c r="O2415" s="73" t="str">
        <f t="shared" si="301"/>
        <v/>
      </c>
      <c r="P2415" s="65" t="str">
        <f t="shared" ca="1" si="302"/>
        <v/>
      </c>
      <c r="Q2415" s="2"/>
      <c r="R2415" s="2"/>
      <c r="S2415" s="1" t="str">
        <f t="shared" si="303"/>
        <v/>
      </c>
      <c r="T2415" s="1" t="str">
        <f>IF(OR($C2415="",$D2415&lt;&gt;"Gelir",$L2415=""),"",IFERROR(INDEX(MUSTERILER!$B$7:$B$156,MATCH($S2415,MUSTERILER!$T$7:$T$156,0)),""))</f>
        <v/>
      </c>
      <c r="U2415" s="1" t="str">
        <f>IF($T2415="","",$T2415&amp;"|"&amp;COUNTIFS($T$7:$T2415,$T2415))</f>
        <v/>
      </c>
      <c r="V2415" s="1">
        <f t="shared" si="304"/>
        <v>0</v>
      </c>
      <c r="W2415" s="1" t="str">
        <f t="shared" si="305"/>
        <v/>
      </c>
      <c r="X2415" s="1"/>
      <c r="Y2415" s="1"/>
      <c r="Z2415" s="1"/>
      <c r="AA2415" s="1"/>
      <c r="AB2415" s="1"/>
      <c r="AC2415" s="1"/>
      <c r="AD2415" s="1">
        <f>IF($C2415="",0,SUMPRODUCT((AY_SONU!$O$7:$O$42="Evet")*(AY_SONU!$B$7:$B$42=DATE(YEAR($C2415),MONTH($C2415),1))))</f>
        <v>0</v>
      </c>
      <c r="AE2415" s="1" t="str">
        <f>IF($E2415="","",$E2415&amp;"|"&amp;COUNTIFS($E$7:$E2415,$E2415))</f>
        <v/>
      </c>
    </row>
    <row r="2416" spans="1:31" ht="18" customHeight="1" x14ac:dyDescent="0.3">
      <c r="A2416" s="2"/>
      <c r="B2416" s="65" t="str">
        <f t="shared" si="298"/>
        <v/>
      </c>
      <c r="C2416" s="66"/>
      <c r="D2416" s="60"/>
      <c r="E2416" s="61"/>
      <c r="F2416" s="61"/>
      <c r="G2416" s="67"/>
      <c r="H2416" s="60"/>
      <c r="I2416" s="60"/>
      <c r="J2416" s="61"/>
      <c r="K2416" s="61"/>
      <c r="L2416" s="60"/>
      <c r="M2416" s="74" t="str">
        <f t="shared" si="299"/>
        <v/>
      </c>
      <c r="N2416" s="74" t="str">
        <f t="shared" si="300"/>
        <v/>
      </c>
      <c r="O2416" s="73" t="str">
        <f t="shared" si="301"/>
        <v/>
      </c>
      <c r="P2416" s="65" t="str">
        <f t="shared" ca="1" si="302"/>
        <v/>
      </c>
      <c r="Q2416" s="2"/>
      <c r="R2416" s="2"/>
      <c r="S2416" s="1" t="str">
        <f t="shared" si="303"/>
        <v/>
      </c>
      <c r="T2416" s="1" t="str">
        <f>IF(OR($C2416="",$D2416&lt;&gt;"Gelir",$L2416=""),"",IFERROR(INDEX(MUSTERILER!$B$7:$B$156,MATCH($S2416,MUSTERILER!$T$7:$T$156,0)),""))</f>
        <v/>
      </c>
      <c r="U2416" s="1" t="str">
        <f>IF($T2416="","",$T2416&amp;"|"&amp;COUNTIFS($T$7:$T2416,$T2416))</f>
        <v/>
      </c>
      <c r="V2416" s="1">
        <f t="shared" si="304"/>
        <v>0</v>
      </c>
      <c r="W2416" s="1" t="str">
        <f t="shared" si="305"/>
        <v/>
      </c>
      <c r="X2416" s="1"/>
      <c r="Y2416" s="1"/>
      <c r="Z2416" s="1"/>
      <c r="AA2416" s="1"/>
      <c r="AB2416" s="1"/>
      <c r="AC2416" s="1"/>
      <c r="AD2416" s="1">
        <f>IF($C2416="",0,SUMPRODUCT((AY_SONU!$O$7:$O$42="Evet")*(AY_SONU!$B$7:$B$42=DATE(YEAR($C2416),MONTH($C2416),1))))</f>
        <v>0</v>
      </c>
      <c r="AE2416" s="1" t="str">
        <f>IF($E2416="","",$E2416&amp;"|"&amp;COUNTIFS($E$7:$E2416,$E2416))</f>
        <v/>
      </c>
    </row>
    <row r="2417" spans="1:31" ht="18" customHeight="1" x14ac:dyDescent="0.3">
      <c r="A2417" s="2"/>
      <c r="B2417" s="65" t="str">
        <f t="shared" si="298"/>
        <v/>
      </c>
      <c r="C2417" s="66"/>
      <c r="D2417" s="60"/>
      <c r="E2417" s="61"/>
      <c r="F2417" s="61"/>
      <c r="G2417" s="67"/>
      <c r="H2417" s="60"/>
      <c r="I2417" s="60"/>
      <c r="J2417" s="61"/>
      <c r="K2417" s="61"/>
      <c r="L2417" s="60"/>
      <c r="M2417" s="74" t="str">
        <f t="shared" si="299"/>
        <v/>
      </c>
      <c r="N2417" s="74" t="str">
        <f t="shared" si="300"/>
        <v/>
      </c>
      <c r="O2417" s="73" t="str">
        <f t="shared" si="301"/>
        <v/>
      </c>
      <c r="P2417" s="65" t="str">
        <f t="shared" ca="1" si="302"/>
        <v/>
      </c>
      <c r="Q2417" s="2"/>
      <c r="R2417" s="2"/>
      <c r="S2417" s="1" t="str">
        <f t="shared" si="303"/>
        <v/>
      </c>
      <c r="T2417" s="1" t="str">
        <f>IF(OR($C2417="",$D2417&lt;&gt;"Gelir",$L2417=""),"",IFERROR(INDEX(MUSTERILER!$B$7:$B$156,MATCH($S2417,MUSTERILER!$T$7:$T$156,0)),""))</f>
        <v/>
      </c>
      <c r="U2417" s="1" t="str">
        <f>IF($T2417="","",$T2417&amp;"|"&amp;COUNTIFS($T$7:$T2417,$T2417))</f>
        <v/>
      </c>
      <c r="V2417" s="1">
        <f t="shared" si="304"/>
        <v>0</v>
      </c>
      <c r="W2417" s="1" t="str">
        <f t="shared" si="305"/>
        <v/>
      </c>
      <c r="X2417" s="1"/>
      <c r="Y2417" s="1"/>
      <c r="Z2417" s="1"/>
      <c r="AA2417" s="1"/>
      <c r="AB2417" s="1"/>
      <c r="AC2417" s="1"/>
      <c r="AD2417" s="1">
        <f>IF($C2417="",0,SUMPRODUCT((AY_SONU!$O$7:$O$42="Evet")*(AY_SONU!$B$7:$B$42=DATE(YEAR($C2417),MONTH($C2417),1))))</f>
        <v>0</v>
      </c>
      <c r="AE2417" s="1" t="str">
        <f>IF($E2417="","",$E2417&amp;"|"&amp;COUNTIFS($E$7:$E2417,$E2417))</f>
        <v/>
      </c>
    </row>
    <row r="2418" spans="1:31" ht="18" customHeight="1" x14ac:dyDescent="0.3">
      <c r="A2418" s="2"/>
      <c r="B2418" s="65" t="str">
        <f t="shared" si="298"/>
        <v/>
      </c>
      <c r="C2418" s="66"/>
      <c r="D2418" s="60"/>
      <c r="E2418" s="61"/>
      <c r="F2418" s="61"/>
      <c r="G2418" s="67"/>
      <c r="H2418" s="60"/>
      <c r="I2418" s="60"/>
      <c r="J2418" s="61"/>
      <c r="K2418" s="61"/>
      <c r="L2418" s="60"/>
      <c r="M2418" s="74" t="str">
        <f t="shared" si="299"/>
        <v/>
      </c>
      <c r="N2418" s="74" t="str">
        <f t="shared" si="300"/>
        <v/>
      </c>
      <c r="O2418" s="73" t="str">
        <f t="shared" si="301"/>
        <v/>
      </c>
      <c r="P2418" s="65" t="str">
        <f t="shared" ca="1" si="302"/>
        <v/>
      </c>
      <c r="Q2418" s="2"/>
      <c r="R2418" s="2"/>
      <c r="S2418" s="1" t="str">
        <f t="shared" si="303"/>
        <v/>
      </c>
      <c r="T2418" s="1" t="str">
        <f>IF(OR($C2418="",$D2418&lt;&gt;"Gelir",$L2418=""),"",IFERROR(INDEX(MUSTERILER!$B$7:$B$156,MATCH($S2418,MUSTERILER!$T$7:$T$156,0)),""))</f>
        <v/>
      </c>
      <c r="U2418" s="1" t="str">
        <f>IF($T2418="","",$T2418&amp;"|"&amp;COUNTIFS($T$7:$T2418,$T2418))</f>
        <v/>
      </c>
      <c r="V2418" s="1">
        <f t="shared" si="304"/>
        <v>0</v>
      </c>
      <c r="W2418" s="1" t="str">
        <f t="shared" si="305"/>
        <v/>
      </c>
      <c r="X2418" s="1"/>
      <c r="Y2418" s="1"/>
      <c r="Z2418" s="1"/>
      <c r="AA2418" s="1"/>
      <c r="AB2418" s="1"/>
      <c r="AC2418" s="1"/>
      <c r="AD2418" s="1">
        <f>IF($C2418="",0,SUMPRODUCT((AY_SONU!$O$7:$O$42="Evet")*(AY_SONU!$B$7:$B$42=DATE(YEAR($C2418),MONTH($C2418),1))))</f>
        <v>0</v>
      </c>
      <c r="AE2418" s="1" t="str">
        <f>IF($E2418="","",$E2418&amp;"|"&amp;COUNTIFS($E$7:$E2418,$E2418))</f>
        <v/>
      </c>
    </row>
    <row r="2419" spans="1:31" ht="18" customHeight="1" x14ac:dyDescent="0.3">
      <c r="A2419" s="2"/>
      <c r="B2419" s="65" t="str">
        <f t="shared" si="298"/>
        <v/>
      </c>
      <c r="C2419" s="66"/>
      <c r="D2419" s="60"/>
      <c r="E2419" s="61"/>
      <c r="F2419" s="61"/>
      <c r="G2419" s="67"/>
      <c r="H2419" s="60"/>
      <c r="I2419" s="60"/>
      <c r="J2419" s="61"/>
      <c r="K2419" s="61"/>
      <c r="L2419" s="60"/>
      <c r="M2419" s="74" t="str">
        <f t="shared" si="299"/>
        <v/>
      </c>
      <c r="N2419" s="74" t="str">
        <f t="shared" si="300"/>
        <v/>
      </c>
      <c r="O2419" s="73" t="str">
        <f t="shared" si="301"/>
        <v/>
      </c>
      <c r="P2419" s="65" t="str">
        <f t="shared" ca="1" si="302"/>
        <v/>
      </c>
      <c r="Q2419" s="2"/>
      <c r="R2419" s="2"/>
      <c r="S2419" s="1" t="str">
        <f t="shared" si="303"/>
        <v/>
      </c>
      <c r="T2419" s="1" t="str">
        <f>IF(OR($C2419="",$D2419&lt;&gt;"Gelir",$L2419=""),"",IFERROR(INDEX(MUSTERILER!$B$7:$B$156,MATCH($S2419,MUSTERILER!$T$7:$T$156,0)),""))</f>
        <v/>
      </c>
      <c r="U2419" s="1" t="str">
        <f>IF($T2419="","",$T2419&amp;"|"&amp;COUNTIFS($T$7:$T2419,$T2419))</f>
        <v/>
      </c>
      <c r="V2419" s="1">
        <f t="shared" si="304"/>
        <v>0</v>
      </c>
      <c r="W2419" s="1" t="str">
        <f t="shared" si="305"/>
        <v/>
      </c>
      <c r="X2419" s="1"/>
      <c r="Y2419" s="1"/>
      <c r="Z2419" s="1"/>
      <c r="AA2419" s="1"/>
      <c r="AB2419" s="1"/>
      <c r="AC2419" s="1"/>
      <c r="AD2419" s="1">
        <f>IF($C2419="",0,SUMPRODUCT((AY_SONU!$O$7:$O$42="Evet")*(AY_SONU!$B$7:$B$42=DATE(YEAR($C2419),MONTH($C2419),1))))</f>
        <v>0</v>
      </c>
      <c r="AE2419" s="1" t="str">
        <f>IF($E2419="","",$E2419&amp;"|"&amp;COUNTIFS($E$7:$E2419,$E2419))</f>
        <v/>
      </c>
    </row>
    <row r="2420" spans="1:31" ht="18" customHeight="1" x14ac:dyDescent="0.3">
      <c r="A2420" s="2"/>
      <c r="B2420" s="65" t="str">
        <f t="shared" si="298"/>
        <v/>
      </c>
      <c r="C2420" s="66"/>
      <c r="D2420" s="60"/>
      <c r="E2420" s="61"/>
      <c r="F2420" s="61"/>
      <c r="G2420" s="67"/>
      <c r="H2420" s="60"/>
      <c r="I2420" s="60"/>
      <c r="J2420" s="61"/>
      <c r="K2420" s="61"/>
      <c r="L2420" s="60"/>
      <c r="M2420" s="74" t="str">
        <f t="shared" si="299"/>
        <v/>
      </c>
      <c r="N2420" s="74" t="str">
        <f t="shared" si="300"/>
        <v/>
      </c>
      <c r="O2420" s="73" t="str">
        <f t="shared" si="301"/>
        <v/>
      </c>
      <c r="P2420" s="65" t="str">
        <f t="shared" ca="1" si="302"/>
        <v/>
      </c>
      <c r="Q2420" s="2"/>
      <c r="R2420" s="2"/>
      <c r="S2420" s="1" t="str">
        <f t="shared" si="303"/>
        <v/>
      </c>
      <c r="T2420" s="1" t="str">
        <f>IF(OR($C2420="",$D2420&lt;&gt;"Gelir",$L2420=""),"",IFERROR(INDEX(MUSTERILER!$B$7:$B$156,MATCH($S2420,MUSTERILER!$T$7:$T$156,0)),""))</f>
        <v/>
      </c>
      <c r="U2420" s="1" t="str">
        <f>IF($T2420="","",$T2420&amp;"|"&amp;COUNTIFS($T$7:$T2420,$T2420))</f>
        <v/>
      </c>
      <c r="V2420" s="1">
        <f t="shared" si="304"/>
        <v>0</v>
      </c>
      <c r="W2420" s="1" t="str">
        <f t="shared" si="305"/>
        <v/>
      </c>
      <c r="X2420" s="1"/>
      <c r="Y2420" s="1"/>
      <c r="Z2420" s="1"/>
      <c r="AA2420" s="1"/>
      <c r="AB2420" s="1"/>
      <c r="AC2420" s="1"/>
      <c r="AD2420" s="1">
        <f>IF($C2420="",0,SUMPRODUCT((AY_SONU!$O$7:$O$42="Evet")*(AY_SONU!$B$7:$B$42=DATE(YEAR($C2420),MONTH($C2420),1))))</f>
        <v>0</v>
      </c>
      <c r="AE2420" s="1" t="str">
        <f>IF($E2420="","",$E2420&amp;"|"&amp;COUNTIFS($E$7:$E2420,$E2420))</f>
        <v/>
      </c>
    </row>
    <row r="2421" spans="1:31" ht="18" customHeight="1" x14ac:dyDescent="0.3">
      <c r="A2421" s="2"/>
      <c r="B2421" s="65" t="str">
        <f t="shared" si="298"/>
        <v/>
      </c>
      <c r="C2421" s="66"/>
      <c r="D2421" s="60"/>
      <c r="E2421" s="61"/>
      <c r="F2421" s="61"/>
      <c r="G2421" s="67"/>
      <c r="H2421" s="60"/>
      <c r="I2421" s="60"/>
      <c r="J2421" s="61"/>
      <c r="K2421" s="61"/>
      <c r="L2421" s="60"/>
      <c r="M2421" s="74" t="str">
        <f t="shared" si="299"/>
        <v/>
      </c>
      <c r="N2421" s="74" t="str">
        <f t="shared" si="300"/>
        <v/>
      </c>
      <c r="O2421" s="73" t="str">
        <f t="shared" si="301"/>
        <v/>
      </c>
      <c r="P2421" s="65" t="str">
        <f t="shared" ca="1" si="302"/>
        <v/>
      </c>
      <c r="Q2421" s="2"/>
      <c r="R2421" s="2"/>
      <c r="S2421" s="1" t="str">
        <f t="shared" si="303"/>
        <v/>
      </c>
      <c r="T2421" s="1" t="str">
        <f>IF(OR($C2421="",$D2421&lt;&gt;"Gelir",$L2421=""),"",IFERROR(INDEX(MUSTERILER!$B$7:$B$156,MATCH($S2421,MUSTERILER!$T$7:$T$156,0)),""))</f>
        <v/>
      </c>
      <c r="U2421" s="1" t="str">
        <f>IF($T2421="","",$T2421&amp;"|"&amp;COUNTIFS($T$7:$T2421,$T2421))</f>
        <v/>
      </c>
      <c r="V2421" s="1">
        <f t="shared" si="304"/>
        <v>0</v>
      </c>
      <c r="W2421" s="1" t="str">
        <f t="shared" si="305"/>
        <v/>
      </c>
      <c r="X2421" s="1"/>
      <c r="Y2421" s="1"/>
      <c r="Z2421" s="1"/>
      <c r="AA2421" s="1"/>
      <c r="AB2421" s="1"/>
      <c r="AC2421" s="1"/>
      <c r="AD2421" s="1">
        <f>IF($C2421="",0,SUMPRODUCT((AY_SONU!$O$7:$O$42="Evet")*(AY_SONU!$B$7:$B$42=DATE(YEAR($C2421),MONTH($C2421),1))))</f>
        <v>0</v>
      </c>
      <c r="AE2421" s="1" t="str">
        <f>IF($E2421="","",$E2421&amp;"|"&amp;COUNTIFS($E$7:$E2421,$E2421))</f>
        <v/>
      </c>
    </row>
    <row r="2422" spans="1:31" ht="18" customHeight="1" x14ac:dyDescent="0.3">
      <c r="A2422" s="2"/>
      <c r="B2422" s="65" t="str">
        <f t="shared" si="298"/>
        <v/>
      </c>
      <c r="C2422" s="66"/>
      <c r="D2422" s="60"/>
      <c r="E2422" s="61"/>
      <c r="F2422" s="61"/>
      <c r="G2422" s="67"/>
      <c r="H2422" s="60"/>
      <c r="I2422" s="60"/>
      <c r="J2422" s="61"/>
      <c r="K2422" s="61"/>
      <c r="L2422" s="60"/>
      <c r="M2422" s="74" t="str">
        <f t="shared" si="299"/>
        <v/>
      </c>
      <c r="N2422" s="74" t="str">
        <f t="shared" si="300"/>
        <v/>
      </c>
      <c r="O2422" s="73" t="str">
        <f t="shared" si="301"/>
        <v/>
      </c>
      <c r="P2422" s="65" t="str">
        <f t="shared" ca="1" si="302"/>
        <v/>
      </c>
      <c r="Q2422" s="2"/>
      <c r="R2422" s="2"/>
      <c r="S2422" s="1" t="str">
        <f t="shared" si="303"/>
        <v/>
      </c>
      <c r="T2422" s="1" t="str">
        <f>IF(OR($C2422="",$D2422&lt;&gt;"Gelir",$L2422=""),"",IFERROR(INDEX(MUSTERILER!$B$7:$B$156,MATCH($S2422,MUSTERILER!$T$7:$T$156,0)),""))</f>
        <v/>
      </c>
      <c r="U2422" s="1" t="str">
        <f>IF($T2422="","",$T2422&amp;"|"&amp;COUNTIFS($T$7:$T2422,$T2422))</f>
        <v/>
      </c>
      <c r="V2422" s="1">
        <f t="shared" si="304"/>
        <v>0</v>
      </c>
      <c r="W2422" s="1" t="str">
        <f t="shared" si="305"/>
        <v/>
      </c>
      <c r="X2422" s="1"/>
      <c r="Y2422" s="1"/>
      <c r="Z2422" s="1"/>
      <c r="AA2422" s="1"/>
      <c r="AB2422" s="1"/>
      <c r="AC2422" s="1"/>
      <c r="AD2422" s="1">
        <f>IF($C2422="",0,SUMPRODUCT((AY_SONU!$O$7:$O$42="Evet")*(AY_SONU!$B$7:$B$42=DATE(YEAR($C2422),MONTH($C2422),1))))</f>
        <v>0</v>
      </c>
      <c r="AE2422" s="1" t="str">
        <f>IF($E2422="","",$E2422&amp;"|"&amp;COUNTIFS($E$7:$E2422,$E2422))</f>
        <v/>
      </c>
    </row>
    <row r="2423" spans="1:31" ht="18" customHeight="1" x14ac:dyDescent="0.3">
      <c r="A2423" s="2"/>
      <c r="B2423" s="65" t="str">
        <f t="shared" si="298"/>
        <v/>
      </c>
      <c r="C2423" s="66"/>
      <c r="D2423" s="60"/>
      <c r="E2423" s="61"/>
      <c r="F2423" s="61"/>
      <c r="G2423" s="67"/>
      <c r="H2423" s="60"/>
      <c r="I2423" s="60"/>
      <c r="J2423" s="61"/>
      <c r="K2423" s="61"/>
      <c r="L2423" s="60"/>
      <c r="M2423" s="74" t="str">
        <f t="shared" si="299"/>
        <v/>
      </c>
      <c r="N2423" s="74" t="str">
        <f t="shared" si="300"/>
        <v/>
      </c>
      <c r="O2423" s="73" t="str">
        <f t="shared" si="301"/>
        <v/>
      </c>
      <c r="P2423" s="65" t="str">
        <f t="shared" ca="1" si="302"/>
        <v/>
      </c>
      <c r="Q2423" s="2"/>
      <c r="R2423" s="2"/>
      <c r="S2423" s="1" t="str">
        <f t="shared" si="303"/>
        <v/>
      </c>
      <c r="T2423" s="1" t="str">
        <f>IF(OR($C2423="",$D2423&lt;&gt;"Gelir",$L2423=""),"",IFERROR(INDEX(MUSTERILER!$B$7:$B$156,MATCH($S2423,MUSTERILER!$T$7:$T$156,0)),""))</f>
        <v/>
      </c>
      <c r="U2423" s="1" t="str">
        <f>IF($T2423="","",$T2423&amp;"|"&amp;COUNTIFS($T$7:$T2423,$T2423))</f>
        <v/>
      </c>
      <c r="V2423" s="1">
        <f t="shared" si="304"/>
        <v>0</v>
      </c>
      <c r="W2423" s="1" t="str">
        <f t="shared" si="305"/>
        <v/>
      </c>
      <c r="X2423" s="1"/>
      <c r="Y2423" s="1"/>
      <c r="Z2423" s="1"/>
      <c r="AA2423" s="1"/>
      <c r="AB2423" s="1"/>
      <c r="AC2423" s="1"/>
      <c r="AD2423" s="1">
        <f>IF($C2423="",0,SUMPRODUCT((AY_SONU!$O$7:$O$42="Evet")*(AY_SONU!$B$7:$B$42=DATE(YEAR($C2423),MONTH($C2423),1))))</f>
        <v>0</v>
      </c>
      <c r="AE2423" s="1" t="str">
        <f>IF($E2423="","",$E2423&amp;"|"&amp;COUNTIFS($E$7:$E2423,$E2423))</f>
        <v/>
      </c>
    </row>
    <row r="2424" spans="1:31" ht="18" customHeight="1" x14ac:dyDescent="0.3">
      <c r="A2424" s="2"/>
      <c r="B2424" s="65" t="str">
        <f t="shared" si="298"/>
        <v/>
      </c>
      <c r="C2424" s="66"/>
      <c r="D2424" s="60"/>
      <c r="E2424" s="61"/>
      <c r="F2424" s="61"/>
      <c r="G2424" s="67"/>
      <c r="H2424" s="60"/>
      <c r="I2424" s="60"/>
      <c r="J2424" s="61"/>
      <c r="K2424" s="61"/>
      <c r="L2424" s="60"/>
      <c r="M2424" s="74" t="str">
        <f t="shared" si="299"/>
        <v/>
      </c>
      <c r="N2424" s="74" t="str">
        <f t="shared" si="300"/>
        <v/>
      </c>
      <c r="O2424" s="73" t="str">
        <f t="shared" si="301"/>
        <v/>
      </c>
      <c r="P2424" s="65" t="str">
        <f t="shared" ca="1" si="302"/>
        <v/>
      </c>
      <c r="Q2424" s="2"/>
      <c r="R2424" s="2"/>
      <c r="S2424" s="1" t="str">
        <f t="shared" si="303"/>
        <v/>
      </c>
      <c r="T2424" s="1" t="str">
        <f>IF(OR($C2424="",$D2424&lt;&gt;"Gelir",$L2424=""),"",IFERROR(INDEX(MUSTERILER!$B$7:$B$156,MATCH($S2424,MUSTERILER!$T$7:$T$156,0)),""))</f>
        <v/>
      </c>
      <c r="U2424" s="1" t="str">
        <f>IF($T2424="","",$T2424&amp;"|"&amp;COUNTIFS($T$7:$T2424,$T2424))</f>
        <v/>
      </c>
      <c r="V2424" s="1">
        <f t="shared" si="304"/>
        <v>0</v>
      </c>
      <c r="W2424" s="1" t="str">
        <f t="shared" si="305"/>
        <v/>
      </c>
      <c r="X2424" s="1"/>
      <c r="Y2424" s="1"/>
      <c r="Z2424" s="1"/>
      <c r="AA2424" s="1"/>
      <c r="AB2424" s="1"/>
      <c r="AC2424" s="1"/>
      <c r="AD2424" s="1">
        <f>IF($C2424="",0,SUMPRODUCT((AY_SONU!$O$7:$O$42="Evet")*(AY_SONU!$B$7:$B$42=DATE(YEAR($C2424),MONTH($C2424),1))))</f>
        <v>0</v>
      </c>
      <c r="AE2424" s="1" t="str">
        <f>IF($E2424="","",$E2424&amp;"|"&amp;COUNTIFS($E$7:$E2424,$E2424))</f>
        <v/>
      </c>
    </row>
    <row r="2425" spans="1:31" ht="18" customHeight="1" x14ac:dyDescent="0.3">
      <c r="A2425" s="2"/>
      <c r="B2425" s="65" t="str">
        <f t="shared" si="298"/>
        <v/>
      </c>
      <c r="C2425" s="66"/>
      <c r="D2425" s="60"/>
      <c r="E2425" s="61"/>
      <c r="F2425" s="61"/>
      <c r="G2425" s="67"/>
      <c r="H2425" s="60"/>
      <c r="I2425" s="60"/>
      <c r="J2425" s="61"/>
      <c r="K2425" s="61"/>
      <c r="L2425" s="60"/>
      <c r="M2425" s="74" t="str">
        <f t="shared" si="299"/>
        <v/>
      </c>
      <c r="N2425" s="74" t="str">
        <f t="shared" si="300"/>
        <v/>
      </c>
      <c r="O2425" s="73" t="str">
        <f t="shared" si="301"/>
        <v/>
      </c>
      <c r="P2425" s="65" t="str">
        <f t="shared" ca="1" si="302"/>
        <v/>
      </c>
      <c r="Q2425" s="2"/>
      <c r="R2425" s="2"/>
      <c r="S2425" s="1" t="str">
        <f t="shared" si="303"/>
        <v/>
      </c>
      <c r="T2425" s="1" t="str">
        <f>IF(OR($C2425="",$D2425&lt;&gt;"Gelir",$L2425=""),"",IFERROR(INDEX(MUSTERILER!$B$7:$B$156,MATCH($S2425,MUSTERILER!$T$7:$T$156,0)),""))</f>
        <v/>
      </c>
      <c r="U2425" s="1" t="str">
        <f>IF($T2425="","",$T2425&amp;"|"&amp;COUNTIFS($T$7:$T2425,$T2425))</f>
        <v/>
      </c>
      <c r="V2425" s="1">
        <f t="shared" si="304"/>
        <v>0</v>
      </c>
      <c r="W2425" s="1" t="str">
        <f t="shared" si="305"/>
        <v/>
      </c>
      <c r="X2425" s="1"/>
      <c r="Y2425" s="1"/>
      <c r="Z2425" s="1"/>
      <c r="AA2425" s="1"/>
      <c r="AB2425" s="1"/>
      <c r="AC2425" s="1"/>
      <c r="AD2425" s="1">
        <f>IF($C2425="",0,SUMPRODUCT((AY_SONU!$O$7:$O$42="Evet")*(AY_SONU!$B$7:$B$42=DATE(YEAR($C2425),MONTH($C2425),1))))</f>
        <v>0</v>
      </c>
      <c r="AE2425" s="1" t="str">
        <f>IF($E2425="","",$E2425&amp;"|"&amp;COUNTIFS($E$7:$E2425,$E2425))</f>
        <v/>
      </c>
    </row>
    <row r="2426" spans="1:31" ht="18" customHeight="1" x14ac:dyDescent="0.3">
      <c r="A2426" s="2"/>
      <c r="B2426" s="65" t="str">
        <f t="shared" si="298"/>
        <v/>
      </c>
      <c r="C2426" s="66"/>
      <c r="D2426" s="60"/>
      <c r="E2426" s="61"/>
      <c r="F2426" s="61"/>
      <c r="G2426" s="67"/>
      <c r="H2426" s="60"/>
      <c r="I2426" s="60"/>
      <c r="J2426" s="61"/>
      <c r="K2426" s="61"/>
      <c r="L2426" s="60"/>
      <c r="M2426" s="74" t="str">
        <f t="shared" si="299"/>
        <v/>
      </c>
      <c r="N2426" s="74" t="str">
        <f t="shared" si="300"/>
        <v/>
      </c>
      <c r="O2426" s="73" t="str">
        <f t="shared" si="301"/>
        <v/>
      </c>
      <c r="P2426" s="65" t="str">
        <f t="shared" ca="1" si="302"/>
        <v/>
      </c>
      <c r="Q2426" s="2"/>
      <c r="R2426" s="2"/>
      <c r="S2426" s="1" t="str">
        <f t="shared" si="303"/>
        <v/>
      </c>
      <c r="T2426" s="1" t="str">
        <f>IF(OR($C2426="",$D2426&lt;&gt;"Gelir",$L2426=""),"",IFERROR(INDEX(MUSTERILER!$B$7:$B$156,MATCH($S2426,MUSTERILER!$T$7:$T$156,0)),""))</f>
        <v/>
      </c>
      <c r="U2426" s="1" t="str">
        <f>IF($T2426="","",$T2426&amp;"|"&amp;COUNTIFS($T$7:$T2426,$T2426))</f>
        <v/>
      </c>
      <c r="V2426" s="1">
        <f t="shared" si="304"/>
        <v>0</v>
      </c>
      <c r="W2426" s="1" t="str">
        <f t="shared" si="305"/>
        <v/>
      </c>
      <c r="X2426" s="1"/>
      <c r="Y2426" s="1"/>
      <c r="Z2426" s="1"/>
      <c r="AA2426" s="1"/>
      <c r="AB2426" s="1"/>
      <c r="AC2426" s="1"/>
      <c r="AD2426" s="1">
        <f>IF($C2426="",0,SUMPRODUCT((AY_SONU!$O$7:$O$42="Evet")*(AY_SONU!$B$7:$B$42=DATE(YEAR($C2426),MONTH($C2426),1))))</f>
        <v>0</v>
      </c>
      <c r="AE2426" s="1" t="str">
        <f>IF($E2426="","",$E2426&amp;"|"&amp;COUNTIFS($E$7:$E2426,$E2426))</f>
        <v/>
      </c>
    </row>
    <row r="2427" spans="1:31" ht="18" customHeight="1" x14ac:dyDescent="0.3">
      <c r="A2427" s="2"/>
      <c r="B2427" s="65" t="str">
        <f t="shared" si="298"/>
        <v/>
      </c>
      <c r="C2427" s="66"/>
      <c r="D2427" s="60"/>
      <c r="E2427" s="61"/>
      <c r="F2427" s="61"/>
      <c r="G2427" s="67"/>
      <c r="H2427" s="60"/>
      <c r="I2427" s="60"/>
      <c r="J2427" s="61"/>
      <c r="K2427" s="61"/>
      <c r="L2427" s="60"/>
      <c r="M2427" s="74" t="str">
        <f t="shared" si="299"/>
        <v/>
      </c>
      <c r="N2427" s="74" t="str">
        <f t="shared" si="300"/>
        <v/>
      </c>
      <c r="O2427" s="73" t="str">
        <f t="shared" si="301"/>
        <v/>
      </c>
      <c r="P2427" s="65" t="str">
        <f t="shared" ca="1" si="302"/>
        <v/>
      </c>
      <c r="Q2427" s="2"/>
      <c r="R2427" s="2"/>
      <c r="S2427" s="1" t="str">
        <f t="shared" si="303"/>
        <v/>
      </c>
      <c r="T2427" s="1" t="str">
        <f>IF(OR($C2427="",$D2427&lt;&gt;"Gelir",$L2427=""),"",IFERROR(INDEX(MUSTERILER!$B$7:$B$156,MATCH($S2427,MUSTERILER!$T$7:$T$156,0)),""))</f>
        <v/>
      </c>
      <c r="U2427" s="1" t="str">
        <f>IF($T2427="","",$T2427&amp;"|"&amp;COUNTIFS($T$7:$T2427,$T2427))</f>
        <v/>
      </c>
      <c r="V2427" s="1">
        <f t="shared" si="304"/>
        <v>0</v>
      </c>
      <c r="W2427" s="1" t="str">
        <f t="shared" si="305"/>
        <v/>
      </c>
      <c r="X2427" s="1"/>
      <c r="Y2427" s="1"/>
      <c r="Z2427" s="1"/>
      <c r="AA2427" s="1"/>
      <c r="AB2427" s="1"/>
      <c r="AC2427" s="1"/>
      <c r="AD2427" s="1">
        <f>IF($C2427="",0,SUMPRODUCT((AY_SONU!$O$7:$O$42="Evet")*(AY_SONU!$B$7:$B$42=DATE(YEAR($C2427),MONTH($C2427),1))))</f>
        <v>0</v>
      </c>
      <c r="AE2427" s="1" t="str">
        <f>IF($E2427="","",$E2427&amp;"|"&amp;COUNTIFS($E$7:$E2427,$E2427))</f>
        <v/>
      </c>
    </row>
    <row r="2428" spans="1:31" ht="18" customHeight="1" x14ac:dyDescent="0.3">
      <c r="A2428" s="2"/>
      <c r="B2428" s="65" t="str">
        <f t="shared" si="298"/>
        <v/>
      </c>
      <c r="C2428" s="66"/>
      <c r="D2428" s="60"/>
      <c r="E2428" s="61"/>
      <c r="F2428" s="61"/>
      <c r="G2428" s="67"/>
      <c r="H2428" s="60"/>
      <c r="I2428" s="60"/>
      <c r="J2428" s="61"/>
      <c r="K2428" s="61"/>
      <c r="L2428" s="60"/>
      <c r="M2428" s="74" t="str">
        <f t="shared" si="299"/>
        <v/>
      </c>
      <c r="N2428" s="74" t="str">
        <f t="shared" si="300"/>
        <v/>
      </c>
      <c r="O2428" s="73" t="str">
        <f t="shared" si="301"/>
        <v/>
      </c>
      <c r="P2428" s="65" t="str">
        <f t="shared" ca="1" si="302"/>
        <v/>
      </c>
      <c r="Q2428" s="2"/>
      <c r="R2428" s="2"/>
      <c r="S2428" s="1" t="str">
        <f t="shared" si="303"/>
        <v/>
      </c>
      <c r="T2428" s="1" t="str">
        <f>IF(OR($C2428="",$D2428&lt;&gt;"Gelir",$L2428=""),"",IFERROR(INDEX(MUSTERILER!$B$7:$B$156,MATCH($S2428,MUSTERILER!$T$7:$T$156,0)),""))</f>
        <v/>
      </c>
      <c r="U2428" s="1" t="str">
        <f>IF($T2428="","",$T2428&amp;"|"&amp;COUNTIFS($T$7:$T2428,$T2428))</f>
        <v/>
      </c>
      <c r="V2428" s="1">
        <f t="shared" si="304"/>
        <v>0</v>
      </c>
      <c r="W2428" s="1" t="str">
        <f t="shared" si="305"/>
        <v/>
      </c>
      <c r="X2428" s="1"/>
      <c r="Y2428" s="1"/>
      <c r="Z2428" s="1"/>
      <c r="AA2428" s="1"/>
      <c r="AB2428" s="1"/>
      <c r="AC2428" s="1"/>
      <c r="AD2428" s="1">
        <f>IF($C2428="",0,SUMPRODUCT((AY_SONU!$O$7:$O$42="Evet")*(AY_SONU!$B$7:$B$42=DATE(YEAR($C2428),MONTH($C2428),1))))</f>
        <v>0</v>
      </c>
      <c r="AE2428" s="1" t="str">
        <f>IF($E2428="","",$E2428&amp;"|"&amp;COUNTIFS($E$7:$E2428,$E2428))</f>
        <v/>
      </c>
    </row>
    <row r="2429" spans="1:31" ht="18" customHeight="1" x14ac:dyDescent="0.3">
      <c r="A2429" s="2"/>
      <c r="B2429" s="65" t="str">
        <f t="shared" si="298"/>
        <v/>
      </c>
      <c r="C2429" s="66"/>
      <c r="D2429" s="60"/>
      <c r="E2429" s="61"/>
      <c r="F2429" s="61"/>
      <c r="G2429" s="67"/>
      <c r="H2429" s="60"/>
      <c r="I2429" s="60"/>
      <c r="J2429" s="61"/>
      <c r="K2429" s="61"/>
      <c r="L2429" s="60"/>
      <c r="M2429" s="74" t="str">
        <f t="shared" si="299"/>
        <v/>
      </c>
      <c r="N2429" s="74" t="str">
        <f t="shared" si="300"/>
        <v/>
      </c>
      <c r="O2429" s="73" t="str">
        <f t="shared" si="301"/>
        <v/>
      </c>
      <c r="P2429" s="65" t="str">
        <f t="shared" ca="1" si="302"/>
        <v/>
      </c>
      <c r="Q2429" s="2"/>
      <c r="R2429" s="2"/>
      <c r="S2429" s="1" t="str">
        <f t="shared" si="303"/>
        <v/>
      </c>
      <c r="T2429" s="1" t="str">
        <f>IF(OR($C2429="",$D2429&lt;&gt;"Gelir",$L2429=""),"",IFERROR(INDEX(MUSTERILER!$B$7:$B$156,MATCH($S2429,MUSTERILER!$T$7:$T$156,0)),""))</f>
        <v/>
      </c>
      <c r="U2429" s="1" t="str">
        <f>IF($T2429="","",$T2429&amp;"|"&amp;COUNTIFS($T$7:$T2429,$T2429))</f>
        <v/>
      </c>
      <c r="V2429" s="1">
        <f t="shared" si="304"/>
        <v>0</v>
      </c>
      <c r="W2429" s="1" t="str">
        <f t="shared" si="305"/>
        <v/>
      </c>
      <c r="X2429" s="1"/>
      <c r="Y2429" s="1"/>
      <c r="Z2429" s="1"/>
      <c r="AA2429" s="1"/>
      <c r="AB2429" s="1"/>
      <c r="AC2429" s="1"/>
      <c r="AD2429" s="1">
        <f>IF($C2429="",0,SUMPRODUCT((AY_SONU!$O$7:$O$42="Evet")*(AY_SONU!$B$7:$B$42=DATE(YEAR($C2429),MONTH($C2429),1))))</f>
        <v>0</v>
      </c>
      <c r="AE2429" s="1" t="str">
        <f>IF($E2429="","",$E2429&amp;"|"&amp;COUNTIFS($E$7:$E2429,$E2429))</f>
        <v/>
      </c>
    </row>
    <row r="2430" spans="1:31" ht="18" customHeight="1" x14ac:dyDescent="0.3">
      <c r="A2430" s="2"/>
      <c r="B2430" s="65" t="str">
        <f t="shared" si="298"/>
        <v/>
      </c>
      <c r="C2430" s="66"/>
      <c r="D2430" s="60"/>
      <c r="E2430" s="61"/>
      <c r="F2430" s="61"/>
      <c r="G2430" s="67"/>
      <c r="H2430" s="60"/>
      <c r="I2430" s="60"/>
      <c r="J2430" s="61"/>
      <c r="K2430" s="61"/>
      <c r="L2430" s="60"/>
      <c r="M2430" s="74" t="str">
        <f t="shared" si="299"/>
        <v/>
      </c>
      <c r="N2430" s="74" t="str">
        <f t="shared" si="300"/>
        <v/>
      </c>
      <c r="O2430" s="73" t="str">
        <f t="shared" si="301"/>
        <v/>
      </c>
      <c r="P2430" s="65" t="str">
        <f t="shared" ca="1" si="302"/>
        <v/>
      </c>
      <c r="Q2430" s="2"/>
      <c r="R2430" s="2"/>
      <c r="S2430" s="1" t="str">
        <f t="shared" si="303"/>
        <v/>
      </c>
      <c r="T2430" s="1" t="str">
        <f>IF(OR($C2430="",$D2430&lt;&gt;"Gelir",$L2430=""),"",IFERROR(INDEX(MUSTERILER!$B$7:$B$156,MATCH($S2430,MUSTERILER!$T$7:$T$156,0)),""))</f>
        <v/>
      </c>
      <c r="U2430" s="1" t="str">
        <f>IF($T2430="","",$T2430&amp;"|"&amp;COUNTIFS($T$7:$T2430,$T2430))</f>
        <v/>
      </c>
      <c r="V2430" s="1">
        <f t="shared" si="304"/>
        <v>0</v>
      </c>
      <c r="W2430" s="1" t="str">
        <f t="shared" si="305"/>
        <v/>
      </c>
      <c r="X2430" s="1"/>
      <c r="Y2430" s="1"/>
      <c r="Z2430" s="1"/>
      <c r="AA2430" s="1"/>
      <c r="AB2430" s="1"/>
      <c r="AC2430" s="1"/>
      <c r="AD2430" s="1">
        <f>IF($C2430="",0,SUMPRODUCT((AY_SONU!$O$7:$O$42="Evet")*(AY_SONU!$B$7:$B$42=DATE(YEAR($C2430),MONTH($C2430),1))))</f>
        <v>0</v>
      </c>
      <c r="AE2430" s="1" t="str">
        <f>IF($E2430="","",$E2430&amp;"|"&amp;COUNTIFS($E$7:$E2430,$E2430))</f>
        <v/>
      </c>
    </row>
    <row r="2431" spans="1:31" ht="18" customHeight="1" x14ac:dyDescent="0.3">
      <c r="A2431" s="2"/>
      <c r="B2431" s="65" t="str">
        <f t="shared" si="298"/>
        <v/>
      </c>
      <c r="C2431" s="66"/>
      <c r="D2431" s="60"/>
      <c r="E2431" s="61"/>
      <c r="F2431" s="61"/>
      <c r="G2431" s="67"/>
      <c r="H2431" s="60"/>
      <c r="I2431" s="60"/>
      <c r="J2431" s="61"/>
      <c r="K2431" s="61"/>
      <c r="L2431" s="60"/>
      <c r="M2431" s="74" t="str">
        <f t="shared" si="299"/>
        <v/>
      </c>
      <c r="N2431" s="74" t="str">
        <f t="shared" si="300"/>
        <v/>
      </c>
      <c r="O2431" s="73" t="str">
        <f t="shared" si="301"/>
        <v/>
      </c>
      <c r="P2431" s="65" t="str">
        <f t="shared" ca="1" si="302"/>
        <v/>
      </c>
      <c r="Q2431" s="2"/>
      <c r="R2431" s="2"/>
      <c r="S2431" s="1" t="str">
        <f t="shared" si="303"/>
        <v/>
      </c>
      <c r="T2431" s="1" t="str">
        <f>IF(OR($C2431="",$D2431&lt;&gt;"Gelir",$L2431=""),"",IFERROR(INDEX(MUSTERILER!$B$7:$B$156,MATCH($S2431,MUSTERILER!$T$7:$T$156,0)),""))</f>
        <v/>
      </c>
      <c r="U2431" s="1" t="str">
        <f>IF($T2431="","",$T2431&amp;"|"&amp;COUNTIFS($T$7:$T2431,$T2431))</f>
        <v/>
      </c>
      <c r="V2431" s="1">
        <f t="shared" si="304"/>
        <v>0</v>
      </c>
      <c r="W2431" s="1" t="str">
        <f t="shared" si="305"/>
        <v/>
      </c>
      <c r="X2431" s="1"/>
      <c r="Y2431" s="1"/>
      <c r="Z2431" s="1"/>
      <c r="AA2431" s="1"/>
      <c r="AB2431" s="1"/>
      <c r="AC2431" s="1"/>
      <c r="AD2431" s="1">
        <f>IF($C2431="",0,SUMPRODUCT((AY_SONU!$O$7:$O$42="Evet")*(AY_SONU!$B$7:$B$42=DATE(YEAR($C2431),MONTH($C2431),1))))</f>
        <v>0</v>
      </c>
      <c r="AE2431" s="1" t="str">
        <f>IF($E2431="","",$E2431&amp;"|"&amp;COUNTIFS($E$7:$E2431,$E2431))</f>
        <v/>
      </c>
    </row>
    <row r="2432" spans="1:31" ht="18" customHeight="1" x14ac:dyDescent="0.3">
      <c r="A2432" s="2"/>
      <c r="B2432" s="65" t="str">
        <f t="shared" si="298"/>
        <v/>
      </c>
      <c r="C2432" s="66"/>
      <c r="D2432" s="60"/>
      <c r="E2432" s="61"/>
      <c r="F2432" s="61"/>
      <c r="G2432" s="67"/>
      <c r="H2432" s="60"/>
      <c r="I2432" s="60"/>
      <c r="J2432" s="61"/>
      <c r="K2432" s="61"/>
      <c r="L2432" s="60"/>
      <c r="M2432" s="74" t="str">
        <f t="shared" si="299"/>
        <v/>
      </c>
      <c r="N2432" s="74" t="str">
        <f t="shared" si="300"/>
        <v/>
      </c>
      <c r="O2432" s="73" t="str">
        <f t="shared" si="301"/>
        <v/>
      </c>
      <c r="P2432" s="65" t="str">
        <f t="shared" ca="1" si="302"/>
        <v/>
      </c>
      <c r="Q2432" s="2"/>
      <c r="R2432" s="2"/>
      <c r="S2432" s="1" t="str">
        <f t="shared" si="303"/>
        <v/>
      </c>
      <c r="T2432" s="1" t="str">
        <f>IF(OR($C2432="",$D2432&lt;&gt;"Gelir",$L2432=""),"",IFERROR(INDEX(MUSTERILER!$B$7:$B$156,MATCH($S2432,MUSTERILER!$T$7:$T$156,0)),""))</f>
        <v/>
      </c>
      <c r="U2432" s="1" t="str">
        <f>IF($T2432="","",$T2432&amp;"|"&amp;COUNTIFS($T$7:$T2432,$T2432))</f>
        <v/>
      </c>
      <c r="V2432" s="1">
        <f t="shared" si="304"/>
        <v>0</v>
      </c>
      <c r="W2432" s="1" t="str">
        <f t="shared" si="305"/>
        <v/>
      </c>
      <c r="X2432" s="1"/>
      <c r="Y2432" s="1"/>
      <c r="Z2432" s="1"/>
      <c r="AA2432" s="1"/>
      <c r="AB2432" s="1"/>
      <c r="AC2432" s="1"/>
      <c r="AD2432" s="1">
        <f>IF($C2432="",0,SUMPRODUCT((AY_SONU!$O$7:$O$42="Evet")*(AY_SONU!$B$7:$B$42=DATE(YEAR($C2432),MONTH($C2432),1))))</f>
        <v>0</v>
      </c>
      <c r="AE2432" s="1" t="str">
        <f>IF($E2432="","",$E2432&amp;"|"&amp;COUNTIFS($E$7:$E2432,$E2432))</f>
        <v/>
      </c>
    </row>
    <row r="2433" spans="1:31" ht="18" customHeight="1" x14ac:dyDescent="0.3">
      <c r="A2433" s="2"/>
      <c r="B2433" s="65" t="str">
        <f t="shared" si="298"/>
        <v/>
      </c>
      <c r="C2433" s="66"/>
      <c r="D2433" s="60"/>
      <c r="E2433" s="61"/>
      <c r="F2433" s="61"/>
      <c r="G2433" s="67"/>
      <c r="H2433" s="60"/>
      <c r="I2433" s="60"/>
      <c r="J2433" s="61"/>
      <c r="K2433" s="61"/>
      <c r="L2433" s="60"/>
      <c r="M2433" s="74" t="str">
        <f t="shared" si="299"/>
        <v/>
      </c>
      <c r="N2433" s="74" t="str">
        <f t="shared" si="300"/>
        <v/>
      </c>
      <c r="O2433" s="73" t="str">
        <f t="shared" si="301"/>
        <v/>
      </c>
      <c r="P2433" s="65" t="str">
        <f t="shared" ca="1" si="302"/>
        <v/>
      </c>
      <c r="Q2433" s="2"/>
      <c r="R2433" s="2"/>
      <c r="S2433" s="1" t="str">
        <f t="shared" si="303"/>
        <v/>
      </c>
      <c r="T2433" s="1" t="str">
        <f>IF(OR($C2433="",$D2433&lt;&gt;"Gelir",$L2433=""),"",IFERROR(INDEX(MUSTERILER!$B$7:$B$156,MATCH($S2433,MUSTERILER!$T$7:$T$156,0)),""))</f>
        <v/>
      </c>
      <c r="U2433" s="1" t="str">
        <f>IF($T2433="","",$T2433&amp;"|"&amp;COUNTIFS($T$7:$T2433,$T2433))</f>
        <v/>
      </c>
      <c r="V2433" s="1">
        <f t="shared" si="304"/>
        <v>0</v>
      </c>
      <c r="W2433" s="1" t="str">
        <f t="shared" si="305"/>
        <v/>
      </c>
      <c r="X2433" s="1"/>
      <c r="Y2433" s="1"/>
      <c r="Z2433" s="1"/>
      <c r="AA2433" s="1"/>
      <c r="AB2433" s="1"/>
      <c r="AC2433" s="1"/>
      <c r="AD2433" s="1">
        <f>IF($C2433="",0,SUMPRODUCT((AY_SONU!$O$7:$O$42="Evet")*(AY_SONU!$B$7:$B$42=DATE(YEAR($C2433),MONTH($C2433),1))))</f>
        <v>0</v>
      </c>
      <c r="AE2433" s="1" t="str">
        <f>IF($E2433="","",$E2433&amp;"|"&amp;COUNTIFS($E$7:$E2433,$E2433))</f>
        <v/>
      </c>
    </row>
    <row r="2434" spans="1:31" ht="18" customHeight="1" x14ac:dyDescent="0.3">
      <c r="A2434" s="2"/>
      <c r="B2434" s="65" t="str">
        <f t="shared" si="298"/>
        <v/>
      </c>
      <c r="C2434" s="66"/>
      <c r="D2434" s="60"/>
      <c r="E2434" s="61"/>
      <c r="F2434" s="61"/>
      <c r="G2434" s="67"/>
      <c r="H2434" s="60"/>
      <c r="I2434" s="60"/>
      <c r="J2434" s="61"/>
      <c r="K2434" s="61"/>
      <c r="L2434" s="60"/>
      <c r="M2434" s="74" t="str">
        <f t="shared" si="299"/>
        <v/>
      </c>
      <c r="N2434" s="74" t="str">
        <f t="shared" si="300"/>
        <v/>
      </c>
      <c r="O2434" s="73" t="str">
        <f t="shared" si="301"/>
        <v/>
      </c>
      <c r="P2434" s="65" t="str">
        <f t="shared" ca="1" si="302"/>
        <v/>
      </c>
      <c r="Q2434" s="2"/>
      <c r="R2434" s="2"/>
      <c r="S2434" s="1" t="str">
        <f t="shared" si="303"/>
        <v/>
      </c>
      <c r="T2434" s="1" t="str">
        <f>IF(OR($C2434="",$D2434&lt;&gt;"Gelir",$L2434=""),"",IFERROR(INDEX(MUSTERILER!$B$7:$B$156,MATCH($S2434,MUSTERILER!$T$7:$T$156,0)),""))</f>
        <v/>
      </c>
      <c r="U2434" s="1" t="str">
        <f>IF($T2434="","",$T2434&amp;"|"&amp;COUNTIFS($T$7:$T2434,$T2434))</f>
        <v/>
      </c>
      <c r="V2434" s="1">
        <f t="shared" si="304"/>
        <v>0</v>
      </c>
      <c r="W2434" s="1" t="str">
        <f t="shared" si="305"/>
        <v/>
      </c>
      <c r="X2434" s="1"/>
      <c r="Y2434" s="1"/>
      <c r="Z2434" s="1"/>
      <c r="AA2434" s="1"/>
      <c r="AB2434" s="1"/>
      <c r="AC2434" s="1"/>
      <c r="AD2434" s="1">
        <f>IF($C2434="",0,SUMPRODUCT((AY_SONU!$O$7:$O$42="Evet")*(AY_SONU!$B$7:$B$42=DATE(YEAR($C2434),MONTH($C2434),1))))</f>
        <v>0</v>
      </c>
      <c r="AE2434" s="1" t="str">
        <f>IF($E2434="","",$E2434&amp;"|"&amp;COUNTIFS($E$7:$E2434,$E2434))</f>
        <v/>
      </c>
    </row>
    <row r="2435" spans="1:31" ht="18" customHeight="1" x14ac:dyDescent="0.3">
      <c r="A2435" s="2"/>
      <c r="B2435" s="65" t="str">
        <f t="shared" si="298"/>
        <v/>
      </c>
      <c r="C2435" s="66"/>
      <c r="D2435" s="60"/>
      <c r="E2435" s="61"/>
      <c r="F2435" s="61"/>
      <c r="G2435" s="67"/>
      <c r="H2435" s="60"/>
      <c r="I2435" s="60"/>
      <c r="J2435" s="61"/>
      <c r="K2435" s="61"/>
      <c r="L2435" s="60"/>
      <c r="M2435" s="74" t="str">
        <f t="shared" si="299"/>
        <v/>
      </c>
      <c r="N2435" s="74" t="str">
        <f t="shared" si="300"/>
        <v/>
      </c>
      <c r="O2435" s="73" t="str">
        <f t="shared" si="301"/>
        <v/>
      </c>
      <c r="P2435" s="65" t="str">
        <f t="shared" ca="1" si="302"/>
        <v/>
      </c>
      <c r="Q2435" s="2"/>
      <c r="R2435" s="2"/>
      <c r="S2435" s="1" t="str">
        <f t="shared" si="303"/>
        <v/>
      </c>
      <c r="T2435" s="1" t="str">
        <f>IF(OR($C2435="",$D2435&lt;&gt;"Gelir",$L2435=""),"",IFERROR(INDEX(MUSTERILER!$B$7:$B$156,MATCH($S2435,MUSTERILER!$T$7:$T$156,0)),""))</f>
        <v/>
      </c>
      <c r="U2435" s="1" t="str">
        <f>IF($T2435="","",$T2435&amp;"|"&amp;COUNTIFS($T$7:$T2435,$T2435))</f>
        <v/>
      </c>
      <c r="V2435" s="1">
        <f t="shared" si="304"/>
        <v>0</v>
      </c>
      <c r="W2435" s="1" t="str">
        <f t="shared" si="305"/>
        <v/>
      </c>
      <c r="X2435" s="1"/>
      <c r="Y2435" s="1"/>
      <c r="Z2435" s="1"/>
      <c r="AA2435" s="1"/>
      <c r="AB2435" s="1"/>
      <c r="AC2435" s="1"/>
      <c r="AD2435" s="1">
        <f>IF($C2435="",0,SUMPRODUCT((AY_SONU!$O$7:$O$42="Evet")*(AY_SONU!$B$7:$B$42=DATE(YEAR($C2435),MONTH($C2435),1))))</f>
        <v>0</v>
      </c>
      <c r="AE2435" s="1" t="str">
        <f>IF($E2435="","",$E2435&amp;"|"&amp;COUNTIFS($E$7:$E2435,$E2435))</f>
        <v/>
      </c>
    </row>
    <row r="2436" spans="1:31" ht="18" customHeight="1" x14ac:dyDescent="0.3">
      <c r="A2436" s="2"/>
      <c r="B2436" s="65" t="str">
        <f t="shared" si="298"/>
        <v/>
      </c>
      <c r="C2436" s="66"/>
      <c r="D2436" s="60"/>
      <c r="E2436" s="61"/>
      <c r="F2436" s="61"/>
      <c r="G2436" s="67"/>
      <c r="H2436" s="60"/>
      <c r="I2436" s="60"/>
      <c r="J2436" s="61"/>
      <c r="K2436" s="61"/>
      <c r="L2436" s="60"/>
      <c r="M2436" s="74" t="str">
        <f t="shared" si="299"/>
        <v/>
      </c>
      <c r="N2436" s="74" t="str">
        <f t="shared" si="300"/>
        <v/>
      </c>
      <c r="O2436" s="73" t="str">
        <f t="shared" si="301"/>
        <v/>
      </c>
      <c r="P2436" s="65" t="str">
        <f t="shared" ca="1" si="302"/>
        <v/>
      </c>
      <c r="Q2436" s="2"/>
      <c r="R2436" s="2"/>
      <c r="S2436" s="1" t="str">
        <f t="shared" si="303"/>
        <v/>
      </c>
      <c r="T2436" s="1" t="str">
        <f>IF(OR($C2436="",$D2436&lt;&gt;"Gelir",$L2436=""),"",IFERROR(INDEX(MUSTERILER!$B$7:$B$156,MATCH($S2436,MUSTERILER!$T$7:$T$156,0)),""))</f>
        <v/>
      </c>
      <c r="U2436" s="1" t="str">
        <f>IF($T2436="","",$T2436&amp;"|"&amp;COUNTIFS($T$7:$T2436,$T2436))</f>
        <v/>
      </c>
      <c r="V2436" s="1">
        <f t="shared" si="304"/>
        <v>0</v>
      </c>
      <c r="W2436" s="1" t="str">
        <f t="shared" si="305"/>
        <v/>
      </c>
      <c r="X2436" s="1"/>
      <c r="Y2436" s="1"/>
      <c r="Z2436" s="1"/>
      <c r="AA2436" s="1"/>
      <c r="AB2436" s="1"/>
      <c r="AC2436" s="1"/>
      <c r="AD2436" s="1">
        <f>IF($C2436="",0,SUMPRODUCT((AY_SONU!$O$7:$O$42="Evet")*(AY_SONU!$B$7:$B$42=DATE(YEAR($C2436),MONTH($C2436),1))))</f>
        <v>0</v>
      </c>
      <c r="AE2436" s="1" t="str">
        <f>IF($E2436="","",$E2436&amp;"|"&amp;COUNTIFS($E$7:$E2436,$E2436))</f>
        <v/>
      </c>
    </row>
    <row r="2437" spans="1:31" ht="18" customHeight="1" x14ac:dyDescent="0.3">
      <c r="A2437" s="2"/>
      <c r="B2437" s="65" t="str">
        <f t="shared" si="298"/>
        <v/>
      </c>
      <c r="C2437" s="66"/>
      <c r="D2437" s="60"/>
      <c r="E2437" s="61"/>
      <c r="F2437" s="61"/>
      <c r="G2437" s="67"/>
      <c r="H2437" s="60"/>
      <c r="I2437" s="60"/>
      <c r="J2437" s="61"/>
      <c r="K2437" s="61"/>
      <c r="L2437" s="60"/>
      <c r="M2437" s="74" t="str">
        <f t="shared" si="299"/>
        <v/>
      </c>
      <c r="N2437" s="74" t="str">
        <f t="shared" si="300"/>
        <v/>
      </c>
      <c r="O2437" s="73" t="str">
        <f t="shared" si="301"/>
        <v/>
      </c>
      <c r="P2437" s="65" t="str">
        <f t="shared" ca="1" si="302"/>
        <v/>
      </c>
      <c r="Q2437" s="2"/>
      <c r="R2437" s="2"/>
      <c r="S2437" s="1" t="str">
        <f t="shared" si="303"/>
        <v/>
      </c>
      <c r="T2437" s="1" t="str">
        <f>IF(OR($C2437="",$D2437&lt;&gt;"Gelir",$L2437=""),"",IFERROR(INDEX(MUSTERILER!$B$7:$B$156,MATCH($S2437,MUSTERILER!$T$7:$T$156,0)),""))</f>
        <v/>
      </c>
      <c r="U2437" s="1" t="str">
        <f>IF($T2437="","",$T2437&amp;"|"&amp;COUNTIFS($T$7:$T2437,$T2437))</f>
        <v/>
      </c>
      <c r="V2437" s="1">
        <f t="shared" si="304"/>
        <v>0</v>
      </c>
      <c r="W2437" s="1" t="str">
        <f t="shared" si="305"/>
        <v/>
      </c>
      <c r="X2437" s="1"/>
      <c r="Y2437" s="1"/>
      <c r="Z2437" s="1"/>
      <c r="AA2437" s="1"/>
      <c r="AB2437" s="1"/>
      <c r="AC2437" s="1"/>
      <c r="AD2437" s="1">
        <f>IF($C2437="",0,SUMPRODUCT((AY_SONU!$O$7:$O$42="Evet")*(AY_SONU!$B$7:$B$42=DATE(YEAR($C2437),MONTH($C2437),1))))</f>
        <v>0</v>
      </c>
      <c r="AE2437" s="1" t="str">
        <f>IF($E2437="","",$E2437&amp;"|"&amp;COUNTIFS($E$7:$E2437,$E2437))</f>
        <v/>
      </c>
    </row>
    <row r="2438" spans="1:31" ht="18" customHeight="1" x14ac:dyDescent="0.3">
      <c r="A2438" s="2"/>
      <c r="B2438" s="65" t="str">
        <f t="shared" si="298"/>
        <v/>
      </c>
      <c r="C2438" s="66"/>
      <c r="D2438" s="60"/>
      <c r="E2438" s="61"/>
      <c r="F2438" s="61"/>
      <c r="G2438" s="67"/>
      <c r="H2438" s="60"/>
      <c r="I2438" s="60"/>
      <c r="J2438" s="61"/>
      <c r="K2438" s="61"/>
      <c r="L2438" s="60"/>
      <c r="M2438" s="74" t="str">
        <f t="shared" si="299"/>
        <v/>
      </c>
      <c r="N2438" s="74" t="str">
        <f t="shared" si="300"/>
        <v/>
      </c>
      <c r="O2438" s="73" t="str">
        <f t="shared" si="301"/>
        <v/>
      </c>
      <c r="P2438" s="65" t="str">
        <f t="shared" ca="1" si="302"/>
        <v/>
      </c>
      <c r="Q2438" s="2"/>
      <c r="R2438" s="2"/>
      <c r="S2438" s="1" t="str">
        <f t="shared" si="303"/>
        <v/>
      </c>
      <c r="T2438" s="1" t="str">
        <f>IF(OR($C2438="",$D2438&lt;&gt;"Gelir",$L2438=""),"",IFERROR(INDEX(MUSTERILER!$B$7:$B$156,MATCH($S2438,MUSTERILER!$T$7:$T$156,0)),""))</f>
        <v/>
      </c>
      <c r="U2438" s="1" t="str">
        <f>IF($T2438="","",$T2438&amp;"|"&amp;COUNTIFS($T$7:$T2438,$T2438))</f>
        <v/>
      </c>
      <c r="V2438" s="1">
        <f t="shared" si="304"/>
        <v>0</v>
      </c>
      <c r="W2438" s="1" t="str">
        <f t="shared" si="305"/>
        <v/>
      </c>
      <c r="X2438" s="1"/>
      <c r="Y2438" s="1"/>
      <c r="Z2438" s="1"/>
      <c r="AA2438" s="1"/>
      <c r="AB2438" s="1"/>
      <c r="AC2438" s="1"/>
      <c r="AD2438" s="1">
        <f>IF($C2438="",0,SUMPRODUCT((AY_SONU!$O$7:$O$42="Evet")*(AY_SONU!$B$7:$B$42=DATE(YEAR($C2438),MONTH($C2438),1))))</f>
        <v>0</v>
      </c>
      <c r="AE2438" s="1" t="str">
        <f>IF($E2438="","",$E2438&amp;"|"&amp;COUNTIFS($E$7:$E2438,$E2438))</f>
        <v/>
      </c>
    </row>
    <row r="2439" spans="1:31" ht="18" customHeight="1" x14ac:dyDescent="0.3">
      <c r="A2439" s="2"/>
      <c r="B2439" s="65" t="str">
        <f t="shared" ref="B2439:B2502" si="306">IF($C2439="","","GG"&amp;TEXT(ROW()-6,"00000"))</f>
        <v/>
      </c>
      <c r="C2439" s="66"/>
      <c r="D2439" s="60"/>
      <c r="E2439" s="61"/>
      <c r="F2439" s="61"/>
      <c r="G2439" s="67"/>
      <c r="H2439" s="60"/>
      <c r="I2439" s="60"/>
      <c r="J2439" s="61"/>
      <c r="K2439" s="61"/>
      <c r="L2439" s="60"/>
      <c r="M2439" s="74" t="str">
        <f t="shared" ref="M2439:M2502" si="307">IF($C2439="","",IF($D2439="Gider",$E2439,IF($L2439&lt;&gt;"",$L2439,$H2439)))</f>
        <v/>
      </c>
      <c r="N2439" s="74" t="str">
        <f t="shared" ref="N2439:N2502" si="308">IF($C2439="","",IF($D2439="Gider",$H2439,$E2439))</f>
        <v/>
      </c>
      <c r="O2439" s="73" t="str">
        <f t="shared" ref="O2439:O2502" si="309">IF($C2439="","",DATE(YEAR($C2439),MONTH($C2439),1))</f>
        <v/>
      </c>
      <c r="P2439" s="65" t="str">
        <f t="shared" ref="P2439:P2502" ca="1" si="310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TARİH",IF(COUNTIF($W$7:$W$3006,$W2439)&gt;1,"MÜKERRER?",IF($AD2439&gt;0,"KAPALI DÖNEM",IF($I2439="Hayır","ÖDENECEK","UYGUN")))),"EKSİK"))))</f>
        <v/>
      </c>
      <c r="Q2439" s="2"/>
      <c r="R2439" s="2"/>
      <c r="S2439" s="1" t="str">
        <f t="shared" ref="S2439:S2502" si="311"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1" t="str">
        <f>IF(OR($C2439="",$D2439&lt;&gt;"Gelir",$L2439=""),"",IFERROR(INDEX(MUSTERILER!$B$7:$B$156,MATCH($S2439,MUSTERILER!$T$7:$T$156,0)),""))</f>
        <v/>
      </c>
      <c r="U2439" s="1" t="str">
        <f>IF($T2439="","",$T2439&amp;"|"&amp;COUNTIFS($T$7:$T2439,$T2439))</f>
        <v/>
      </c>
      <c r="V2439" s="1">
        <f t="shared" ref="V2439:V2502" si="312">IF($T2439="",0,1)</f>
        <v>0</v>
      </c>
      <c r="W2439" s="1" t="str">
        <f t="shared" ref="W2439:W2502" si="313">IF($C2439="","",$D2439&amp;"|"&amp;$E2439&amp;"|"&amp;TEXT($C2439,"0")&amp;"|"&amp;TEXT($G2439,"0")&amp;"|"&amp;$J2439)</f>
        <v/>
      </c>
      <c r="X2439" s="1"/>
      <c r="Y2439" s="1"/>
      <c r="Z2439" s="1"/>
      <c r="AA2439" s="1"/>
      <c r="AB2439" s="1"/>
      <c r="AC2439" s="1"/>
      <c r="AD2439" s="1">
        <f>IF($C2439="",0,SUMPRODUCT((AY_SONU!$O$7:$O$42="Evet")*(AY_SONU!$B$7:$B$42=DATE(YEAR($C2439),MONTH($C2439),1))))</f>
        <v>0</v>
      </c>
      <c r="AE2439" s="1" t="str">
        <f>IF($E2439="","",$E2439&amp;"|"&amp;COUNTIFS($E$7:$E2439,$E2439))</f>
        <v/>
      </c>
    </row>
    <row r="2440" spans="1:31" ht="18" customHeight="1" x14ac:dyDescent="0.3">
      <c r="A2440" s="2"/>
      <c r="B2440" s="65" t="str">
        <f t="shared" si="306"/>
        <v/>
      </c>
      <c r="C2440" s="66"/>
      <c r="D2440" s="60"/>
      <c r="E2440" s="61"/>
      <c r="F2440" s="61"/>
      <c r="G2440" s="67"/>
      <c r="H2440" s="60"/>
      <c r="I2440" s="60"/>
      <c r="J2440" s="61"/>
      <c r="K2440" s="61"/>
      <c r="L2440" s="60"/>
      <c r="M2440" s="74" t="str">
        <f t="shared" si="307"/>
        <v/>
      </c>
      <c r="N2440" s="74" t="str">
        <f t="shared" si="308"/>
        <v/>
      </c>
      <c r="O2440" s="73" t="str">
        <f t="shared" si="309"/>
        <v/>
      </c>
      <c r="P2440" s="65" t="str">
        <f t="shared" ca="1" si="310"/>
        <v/>
      </c>
      <c r="Q2440" s="2"/>
      <c r="R2440" s="2"/>
      <c r="S2440" s="1" t="str">
        <f t="shared" si="311"/>
        <v/>
      </c>
      <c r="T2440" s="1" t="str">
        <f>IF(OR($C2440="",$D2440&lt;&gt;"Gelir",$L2440=""),"",IFERROR(INDEX(MUSTERILER!$B$7:$B$156,MATCH($S2440,MUSTERILER!$T$7:$T$156,0)),""))</f>
        <v/>
      </c>
      <c r="U2440" s="1" t="str">
        <f>IF($T2440="","",$T2440&amp;"|"&amp;COUNTIFS($T$7:$T2440,$T2440))</f>
        <v/>
      </c>
      <c r="V2440" s="1">
        <f t="shared" si="312"/>
        <v>0</v>
      </c>
      <c r="W2440" s="1" t="str">
        <f t="shared" si="313"/>
        <v/>
      </c>
      <c r="X2440" s="1"/>
      <c r="Y2440" s="1"/>
      <c r="Z2440" s="1"/>
      <c r="AA2440" s="1"/>
      <c r="AB2440" s="1"/>
      <c r="AC2440" s="1"/>
      <c r="AD2440" s="1">
        <f>IF($C2440="",0,SUMPRODUCT((AY_SONU!$O$7:$O$42="Evet")*(AY_SONU!$B$7:$B$42=DATE(YEAR($C2440),MONTH($C2440),1))))</f>
        <v>0</v>
      </c>
      <c r="AE2440" s="1" t="str">
        <f>IF($E2440="","",$E2440&amp;"|"&amp;COUNTIFS($E$7:$E2440,$E2440))</f>
        <v/>
      </c>
    </row>
    <row r="2441" spans="1:31" ht="18" customHeight="1" x14ac:dyDescent="0.3">
      <c r="A2441" s="2"/>
      <c r="B2441" s="65" t="str">
        <f t="shared" si="306"/>
        <v/>
      </c>
      <c r="C2441" s="66"/>
      <c r="D2441" s="60"/>
      <c r="E2441" s="61"/>
      <c r="F2441" s="61"/>
      <c r="G2441" s="67"/>
      <c r="H2441" s="60"/>
      <c r="I2441" s="60"/>
      <c r="J2441" s="61"/>
      <c r="K2441" s="61"/>
      <c r="L2441" s="60"/>
      <c r="M2441" s="74" t="str">
        <f t="shared" si="307"/>
        <v/>
      </c>
      <c r="N2441" s="74" t="str">
        <f t="shared" si="308"/>
        <v/>
      </c>
      <c r="O2441" s="73" t="str">
        <f t="shared" si="309"/>
        <v/>
      </c>
      <c r="P2441" s="65" t="str">
        <f t="shared" ca="1" si="310"/>
        <v/>
      </c>
      <c r="Q2441" s="2"/>
      <c r="R2441" s="2"/>
      <c r="S2441" s="1" t="str">
        <f t="shared" si="311"/>
        <v/>
      </c>
      <c r="T2441" s="1" t="str">
        <f>IF(OR($C2441="",$D2441&lt;&gt;"Gelir",$L2441=""),"",IFERROR(INDEX(MUSTERILER!$B$7:$B$156,MATCH($S2441,MUSTERILER!$T$7:$T$156,0)),""))</f>
        <v/>
      </c>
      <c r="U2441" s="1" t="str">
        <f>IF($T2441="","",$T2441&amp;"|"&amp;COUNTIFS($T$7:$T2441,$T2441))</f>
        <v/>
      </c>
      <c r="V2441" s="1">
        <f t="shared" si="312"/>
        <v>0</v>
      </c>
      <c r="W2441" s="1" t="str">
        <f t="shared" si="313"/>
        <v/>
      </c>
      <c r="X2441" s="1"/>
      <c r="Y2441" s="1"/>
      <c r="Z2441" s="1"/>
      <c r="AA2441" s="1"/>
      <c r="AB2441" s="1"/>
      <c r="AC2441" s="1"/>
      <c r="AD2441" s="1">
        <f>IF($C2441="",0,SUMPRODUCT((AY_SONU!$O$7:$O$42="Evet")*(AY_SONU!$B$7:$B$42=DATE(YEAR($C2441),MONTH($C2441),1))))</f>
        <v>0</v>
      </c>
      <c r="AE2441" s="1" t="str">
        <f>IF($E2441="","",$E2441&amp;"|"&amp;COUNTIFS($E$7:$E2441,$E2441))</f>
        <v/>
      </c>
    </row>
    <row r="2442" spans="1:31" ht="18" customHeight="1" x14ac:dyDescent="0.3">
      <c r="A2442" s="2"/>
      <c r="B2442" s="65" t="str">
        <f t="shared" si="306"/>
        <v/>
      </c>
      <c r="C2442" s="66"/>
      <c r="D2442" s="60"/>
      <c r="E2442" s="61"/>
      <c r="F2442" s="61"/>
      <c r="G2442" s="67"/>
      <c r="H2442" s="60"/>
      <c r="I2442" s="60"/>
      <c r="J2442" s="61"/>
      <c r="K2442" s="61"/>
      <c r="L2442" s="60"/>
      <c r="M2442" s="74" t="str">
        <f t="shared" si="307"/>
        <v/>
      </c>
      <c r="N2442" s="74" t="str">
        <f t="shared" si="308"/>
        <v/>
      </c>
      <c r="O2442" s="73" t="str">
        <f t="shared" si="309"/>
        <v/>
      </c>
      <c r="P2442" s="65" t="str">
        <f t="shared" ca="1" si="310"/>
        <v/>
      </c>
      <c r="Q2442" s="2"/>
      <c r="R2442" s="2"/>
      <c r="S2442" s="1" t="str">
        <f t="shared" si="311"/>
        <v/>
      </c>
      <c r="T2442" s="1" t="str">
        <f>IF(OR($C2442="",$D2442&lt;&gt;"Gelir",$L2442=""),"",IFERROR(INDEX(MUSTERILER!$B$7:$B$156,MATCH($S2442,MUSTERILER!$T$7:$T$156,0)),""))</f>
        <v/>
      </c>
      <c r="U2442" s="1" t="str">
        <f>IF($T2442="","",$T2442&amp;"|"&amp;COUNTIFS($T$7:$T2442,$T2442))</f>
        <v/>
      </c>
      <c r="V2442" s="1">
        <f t="shared" si="312"/>
        <v>0</v>
      </c>
      <c r="W2442" s="1" t="str">
        <f t="shared" si="313"/>
        <v/>
      </c>
      <c r="X2442" s="1"/>
      <c r="Y2442" s="1"/>
      <c r="Z2442" s="1"/>
      <c r="AA2442" s="1"/>
      <c r="AB2442" s="1"/>
      <c r="AC2442" s="1"/>
      <c r="AD2442" s="1">
        <f>IF($C2442="",0,SUMPRODUCT((AY_SONU!$O$7:$O$42="Evet")*(AY_SONU!$B$7:$B$42=DATE(YEAR($C2442),MONTH($C2442),1))))</f>
        <v>0</v>
      </c>
      <c r="AE2442" s="1" t="str">
        <f>IF($E2442="","",$E2442&amp;"|"&amp;COUNTIFS($E$7:$E2442,$E2442))</f>
        <v/>
      </c>
    </row>
    <row r="2443" spans="1:31" ht="18" customHeight="1" x14ac:dyDescent="0.3">
      <c r="A2443" s="2"/>
      <c r="B2443" s="65" t="str">
        <f t="shared" si="306"/>
        <v/>
      </c>
      <c r="C2443" s="66"/>
      <c r="D2443" s="60"/>
      <c r="E2443" s="61"/>
      <c r="F2443" s="61"/>
      <c r="G2443" s="67"/>
      <c r="H2443" s="60"/>
      <c r="I2443" s="60"/>
      <c r="J2443" s="61"/>
      <c r="K2443" s="61"/>
      <c r="L2443" s="60"/>
      <c r="M2443" s="74" t="str">
        <f t="shared" si="307"/>
        <v/>
      </c>
      <c r="N2443" s="74" t="str">
        <f t="shared" si="308"/>
        <v/>
      </c>
      <c r="O2443" s="73" t="str">
        <f t="shared" si="309"/>
        <v/>
      </c>
      <c r="P2443" s="65" t="str">
        <f t="shared" ca="1" si="310"/>
        <v/>
      </c>
      <c r="Q2443" s="2"/>
      <c r="R2443" s="2"/>
      <c r="S2443" s="1" t="str">
        <f t="shared" si="311"/>
        <v/>
      </c>
      <c r="T2443" s="1" t="str">
        <f>IF(OR($C2443="",$D2443&lt;&gt;"Gelir",$L2443=""),"",IFERROR(INDEX(MUSTERILER!$B$7:$B$156,MATCH($S2443,MUSTERILER!$T$7:$T$156,0)),""))</f>
        <v/>
      </c>
      <c r="U2443" s="1" t="str">
        <f>IF($T2443="","",$T2443&amp;"|"&amp;COUNTIFS($T$7:$T2443,$T2443))</f>
        <v/>
      </c>
      <c r="V2443" s="1">
        <f t="shared" si="312"/>
        <v>0</v>
      </c>
      <c r="W2443" s="1" t="str">
        <f t="shared" si="313"/>
        <v/>
      </c>
      <c r="X2443" s="1"/>
      <c r="Y2443" s="1"/>
      <c r="Z2443" s="1"/>
      <c r="AA2443" s="1"/>
      <c r="AB2443" s="1"/>
      <c r="AC2443" s="1"/>
      <c r="AD2443" s="1">
        <f>IF($C2443="",0,SUMPRODUCT((AY_SONU!$O$7:$O$42="Evet")*(AY_SONU!$B$7:$B$42=DATE(YEAR($C2443),MONTH($C2443),1))))</f>
        <v>0</v>
      </c>
      <c r="AE2443" s="1" t="str">
        <f>IF($E2443="","",$E2443&amp;"|"&amp;COUNTIFS($E$7:$E2443,$E2443))</f>
        <v/>
      </c>
    </row>
    <row r="2444" spans="1:31" ht="18" customHeight="1" x14ac:dyDescent="0.3">
      <c r="A2444" s="2"/>
      <c r="B2444" s="65" t="str">
        <f t="shared" si="306"/>
        <v/>
      </c>
      <c r="C2444" s="66"/>
      <c r="D2444" s="60"/>
      <c r="E2444" s="61"/>
      <c r="F2444" s="61"/>
      <c r="G2444" s="67"/>
      <c r="H2444" s="60"/>
      <c r="I2444" s="60"/>
      <c r="J2444" s="61"/>
      <c r="K2444" s="61"/>
      <c r="L2444" s="60"/>
      <c r="M2444" s="74" t="str">
        <f t="shared" si="307"/>
        <v/>
      </c>
      <c r="N2444" s="74" t="str">
        <f t="shared" si="308"/>
        <v/>
      </c>
      <c r="O2444" s="73" t="str">
        <f t="shared" si="309"/>
        <v/>
      </c>
      <c r="P2444" s="65" t="str">
        <f t="shared" ca="1" si="310"/>
        <v/>
      </c>
      <c r="Q2444" s="2"/>
      <c r="R2444" s="2"/>
      <c r="S2444" s="1" t="str">
        <f t="shared" si="311"/>
        <v/>
      </c>
      <c r="T2444" s="1" t="str">
        <f>IF(OR($C2444="",$D2444&lt;&gt;"Gelir",$L2444=""),"",IFERROR(INDEX(MUSTERILER!$B$7:$B$156,MATCH($S2444,MUSTERILER!$T$7:$T$156,0)),""))</f>
        <v/>
      </c>
      <c r="U2444" s="1" t="str">
        <f>IF($T2444="","",$T2444&amp;"|"&amp;COUNTIFS($T$7:$T2444,$T2444))</f>
        <v/>
      </c>
      <c r="V2444" s="1">
        <f t="shared" si="312"/>
        <v>0</v>
      </c>
      <c r="W2444" s="1" t="str">
        <f t="shared" si="313"/>
        <v/>
      </c>
      <c r="X2444" s="1"/>
      <c r="Y2444" s="1"/>
      <c r="Z2444" s="1"/>
      <c r="AA2444" s="1"/>
      <c r="AB2444" s="1"/>
      <c r="AC2444" s="1"/>
      <c r="AD2444" s="1">
        <f>IF($C2444="",0,SUMPRODUCT((AY_SONU!$O$7:$O$42="Evet")*(AY_SONU!$B$7:$B$42=DATE(YEAR($C2444),MONTH($C2444),1))))</f>
        <v>0</v>
      </c>
      <c r="AE2444" s="1" t="str">
        <f>IF($E2444="","",$E2444&amp;"|"&amp;COUNTIFS($E$7:$E2444,$E2444))</f>
        <v/>
      </c>
    </row>
    <row r="2445" spans="1:31" ht="18" customHeight="1" x14ac:dyDescent="0.3">
      <c r="A2445" s="2"/>
      <c r="B2445" s="65" t="str">
        <f t="shared" si="306"/>
        <v/>
      </c>
      <c r="C2445" s="66"/>
      <c r="D2445" s="60"/>
      <c r="E2445" s="61"/>
      <c r="F2445" s="61"/>
      <c r="G2445" s="67"/>
      <c r="H2445" s="60"/>
      <c r="I2445" s="60"/>
      <c r="J2445" s="61"/>
      <c r="K2445" s="61"/>
      <c r="L2445" s="60"/>
      <c r="M2445" s="74" t="str">
        <f t="shared" si="307"/>
        <v/>
      </c>
      <c r="N2445" s="74" t="str">
        <f t="shared" si="308"/>
        <v/>
      </c>
      <c r="O2445" s="73" t="str">
        <f t="shared" si="309"/>
        <v/>
      </c>
      <c r="P2445" s="65" t="str">
        <f t="shared" ca="1" si="310"/>
        <v/>
      </c>
      <c r="Q2445" s="2"/>
      <c r="R2445" s="2"/>
      <c r="S2445" s="1" t="str">
        <f t="shared" si="311"/>
        <v/>
      </c>
      <c r="T2445" s="1" t="str">
        <f>IF(OR($C2445="",$D2445&lt;&gt;"Gelir",$L2445=""),"",IFERROR(INDEX(MUSTERILER!$B$7:$B$156,MATCH($S2445,MUSTERILER!$T$7:$T$156,0)),""))</f>
        <v/>
      </c>
      <c r="U2445" s="1" t="str">
        <f>IF($T2445="","",$T2445&amp;"|"&amp;COUNTIFS($T$7:$T2445,$T2445))</f>
        <v/>
      </c>
      <c r="V2445" s="1">
        <f t="shared" si="312"/>
        <v>0</v>
      </c>
      <c r="W2445" s="1" t="str">
        <f t="shared" si="313"/>
        <v/>
      </c>
      <c r="X2445" s="1"/>
      <c r="Y2445" s="1"/>
      <c r="Z2445" s="1"/>
      <c r="AA2445" s="1"/>
      <c r="AB2445" s="1"/>
      <c r="AC2445" s="1"/>
      <c r="AD2445" s="1">
        <f>IF($C2445="",0,SUMPRODUCT((AY_SONU!$O$7:$O$42="Evet")*(AY_SONU!$B$7:$B$42=DATE(YEAR($C2445),MONTH($C2445),1))))</f>
        <v>0</v>
      </c>
      <c r="AE2445" s="1" t="str">
        <f>IF($E2445="","",$E2445&amp;"|"&amp;COUNTIFS($E$7:$E2445,$E2445))</f>
        <v/>
      </c>
    </row>
    <row r="2446" spans="1:31" ht="18" customHeight="1" x14ac:dyDescent="0.3">
      <c r="A2446" s="2"/>
      <c r="B2446" s="65" t="str">
        <f t="shared" si="306"/>
        <v/>
      </c>
      <c r="C2446" s="66"/>
      <c r="D2446" s="60"/>
      <c r="E2446" s="61"/>
      <c r="F2446" s="61"/>
      <c r="G2446" s="67"/>
      <c r="H2446" s="60"/>
      <c r="I2446" s="60"/>
      <c r="J2446" s="61"/>
      <c r="K2446" s="61"/>
      <c r="L2446" s="60"/>
      <c r="M2446" s="74" t="str">
        <f t="shared" si="307"/>
        <v/>
      </c>
      <c r="N2446" s="74" t="str">
        <f t="shared" si="308"/>
        <v/>
      </c>
      <c r="O2446" s="73" t="str">
        <f t="shared" si="309"/>
        <v/>
      </c>
      <c r="P2446" s="65" t="str">
        <f t="shared" ca="1" si="310"/>
        <v/>
      </c>
      <c r="Q2446" s="2"/>
      <c r="R2446" s="2"/>
      <c r="S2446" s="1" t="str">
        <f t="shared" si="311"/>
        <v/>
      </c>
      <c r="T2446" s="1" t="str">
        <f>IF(OR($C2446="",$D2446&lt;&gt;"Gelir",$L2446=""),"",IFERROR(INDEX(MUSTERILER!$B$7:$B$156,MATCH($S2446,MUSTERILER!$T$7:$T$156,0)),""))</f>
        <v/>
      </c>
      <c r="U2446" s="1" t="str">
        <f>IF($T2446="","",$T2446&amp;"|"&amp;COUNTIFS($T$7:$T2446,$T2446))</f>
        <v/>
      </c>
      <c r="V2446" s="1">
        <f t="shared" si="312"/>
        <v>0</v>
      </c>
      <c r="W2446" s="1" t="str">
        <f t="shared" si="313"/>
        <v/>
      </c>
      <c r="X2446" s="1"/>
      <c r="Y2446" s="1"/>
      <c r="Z2446" s="1"/>
      <c r="AA2446" s="1"/>
      <c r="AB2446" s="1"/>
      <c r="AC2446" s="1"/>
      <c r="AD2446" s="1">
        <f>IF($C2446="",0,SUMPRODUCT((AY_SONU!$O$7:$O$42="Evet")*(AY_SONU!$B$7:$B$42=DATE(YEAR($C2446),MONTH($C2446),1))))</f>
        <v>0</v>
      </c>
      <c r="AE2446" s="1" t="str">
        <f>IF($E2446="","",$E2446&amp;"|"&amp;COUNTIFS($E$7:$E2446,$E2446))</f>
        <v/>
      </c>
    </row>
    <row r="2447" spans="1:31" ht="18" customHeight="1" x14ac:dyDescent="0.3">
      <c r="A2447" s="2"/>
      <c r="B2447" s="65" t="str">
        <f t="shared" si="306"/>
        <v/>
      </c>
      <c r="C2447" s="66"/>
      <c r="D2447" s="60"/>
      <c r="E2447" s="61"/>
      <c r="F2447" s="61"/>
      <c r="G2447" s="67"/>
      <c r="H2447" s="60"/>
      <c r="I2447" s="60"/>
      <c r="J2447" s="61"/>
      <c r="K2447" s="61"/>
      <c r="L2447" s="60"/>
      <c r="M2447" s="74" t="str">
        <f t="shared" si="307"/>
        <v/>
      </c>
      <c r="N2447" s="74" t="str">
        <f t="shared" si="308"/>
        <v/>
      </c>
      <c r="O2447" s="73" t="str">
        <f t="shared" si="309"/>
        <v/>
      </c>
      <c r="P2447" s="65" t="str">
        <f t="shared" ca="1" si="310"/>
        <v/>
      </c>
      <c r="Q2447" s="2"/>
      <c r="R2447" s="2"/>
      <c r="S2447" s="1" t="str">
        <f t="shared" si="311"/>
        <v/>
      </c>
      <c r="T2447" s="1" t="str">
        <f>IF(OR($C2447="",$D2447&lt;&gt;"Gelir",$L2447=""),"",IFERROR(INDEX(MUSTERILER!$B$7:$B$156,MATCH($S2447,MUSTERILER!$T$7:$T$156,0)),""))</f>
        <v/>
      </c>
      <c r="U2447" s="1" t="str">
        <f>IF($T2447="","",$T2447&amp;"|"&amp;COUNTIFS($T$7:$T2447,$T2447))</f>
        <v/>
      </c>
      <c r="V2447" s="1">
        <f t="shared" si="312"/>
        <v>0</v>
      </c>
      <c r="W2447" s="1" t="str">
        <f t="shared" si="313"/>
        <v/>
      </c>
      <c r="X2447" s="1"/>
      <c r="Y2447" s="1"/>
      <c r="Z2447" s="1"/>
      <c r="AA2447" s="1"/>
      <c r="AB2447" s="1"/>
      <c r="AC2447" s="1"/>
      <c r="AD2447" s="1">
        <f>IF($C2447="",0,SUMPRODUCT((AY_SONU!$O$7:$O$42="Evet")*(AY_SONU!$B$7:$B$42=DATE(YEAR($C2447),MONTH($C2447),1))))</f>
        <v>0</v>
      </c>
      <c r="AE2447" s="1" t="str">
        <f>IF($E2447="","",$E2447&amp;"|"&amp;COUNTIFS($E$7:$E2447,$E2447))</f>
        <v/>
      </c>
    </row>
    <row r="2448" spans="1:31" ht="18" customHeight="1" x14ac:dyDescent="0.3">
      <c r="A2448" s="2"/>
      <c r="B2448" s="65" t="str">
        <f t="shared" si="306"/>
        <v/>
      </c>
      <c r="C2448" s="66"/>
      <c r="D2448" s="60"/>
      <c r="E2448" s="61"/>
      <c r="F2448" s="61"/>
      <c r="G2448" s="67"/>
      <c r="H2448" s="60"/>
      <c r="I2448" s="60"/>
      <c r="J2448" s="61"/>
      <c r="K2448" s="61"/>
      <c r="L2448" s="60"/>
      <c r="M2448" s="74" t="str">
        <f t="shared" si="307"/>
        <v/>
      </c>
      <c r="N2448" s="74" t="str">
        <f t="shared" si="308"/>
        <v/>
      </c>
      <c r="O2448" s="73" t="str">
        <f t="shared" si="309"/>
        <v/>
      </c>
      <c r="P2448" s="65" t="str">
        <f t="shared" ca="1" si="310"/>
        <v/>
      </c>
      <c r="Q2448" s="2"/>
      <c r="R2448" s="2"/>
      <c r="S2448" s="1" t="str">
        <f t="shared" si="311"/>
        <v/>
      </c>
      <c r="T2448" s="1" t="str">
        <f>IF(OR($C2448="",$D2448&lt;&gt;"Gelir",$L2448=""),"",IFERROR(INDEX(MUSTERILER!$B$7:$B$156,MATCH($S2448,MUSTERILER!$T$7:$T$156,0)),""))</f>
        <v/>
      </c>
      <c r="U2448" s="1" t="str">
        <f>IF($T2448="","",$T2448&amp;"|"&amp;COUNTIFS($T$7:$T2448,$T2448))</f>
        <v/>
      </c>
      <c r="V2448" s="1">
        <f t="shared" si="312"/>
        <v>0</v>
      </c>
      <c r="W2448" s="1" t="str">
        <f t="shared" si="313"/>
        <v/>
      </c>
      <c r="X2448" s="1"/>
      <c r="Y2448" s="1"/>
      <c r="Z2448" s="1"/>
      <c r="AA2448" s="1"/>
      <c r="AB2448" s="1"/>
      <c r="AC2448" s="1"/>
      <c r="AD2448" s="1">
        <f>IF($C2448="",0,SUMPRODUCT((AY_SONU!$O$7:$O$42="Evet")*(AY_SONU!$B$7:$B$42=DATE(YEAR($C2448),MONTH($C2448),1))))</f>
        <v>0</v>
      </c>
      <c r="AE2448" s="1" t="str">
        <f>IF($E2448="","",$E2448&amp;"|"&amp;COUNTIFS($E$7:$E2448,$E2448))</f>
        <v/>
      </c>
    </row>
    <row r="2449" spans="1:31" ht="18" customHeight="1" x14ac:dyDescent="0.3">
      <c r="A2449" s="2"/>
      <c r="B2449" s="65" t="str">
        <f t="shared" si="306"/>
        <v/>
      </c>
      <c r="C2449" s="66"/>
      <c r="D2449" s="60"/>
      <c r="E2449" s="61"/>
      <c r="F2449" s="61"/>
      <c r="G2449" s="67"/>
      <c r="H2449" s="60"/>
      <c r="I2449" s="60"/>
      <c r="J2449" s="61"/>
      <c r="K2449" s="61"/>
      <c r="L2449" s="60"/>
      <c r="M2449" s="74" t="str">
        <f t="shared" si="307"/>
        <v/>
      </c>
      <c r="N2449" s="74" t="str">
        <f t="shared" si="308"/>
        <v/>
      </c>
      <c r="O2449" s="73" t="str">
        <f t="shared" si="309"/>
        <v/>
      </c>
      <c r="P2449" s="65" t="str">
        <f t="shared" ca="1" si="310"/>
        <v/>
      </c>
      <c r="Q2449" s="2"/>
      <c r="R2449" s="2"/>
      <c r="S2449" s="1" t="str">
        <f t="shared" si="311"/>
        <v/>
      </c>
      <c r="T2449" s="1" t="str">
        <f>IF(OR($C2449="",$D2449&lt;&gt;"Gelir",$L2449=""),"",IFERROR(INDEX(MUSTERILER!$B$7:$B$156,MATCH($S2449,MUSTERILER!$T$7:$T$156,0)),""))</f>
        <v/>
      </c>
      <c r="U2449" s="1" t="str">
        <f>IF($T2449="","",$T2449&amp;"|"&amp;COUNTIFS($T$7:$T2449,$T2449))</f>
        <v/>
      </c>
      <c r="V2449" s="1">
        <f t="shared" si="312"/>
        <v>0</v>
      </c>
      <c r="W2449" s="1" t="str">
        <f t="shared" si="313"/>
        <v/>
      </c>
      <c r="X2449" s="1"/>
      <c r="Y2449" s="1"/>
      <c r="Z2449" s="1"/>
      <c r="AA2449" s="1"/>
      <c r="AB2449" s="1"/>
      <c r="AC2449" s="1"/>
      <c r="AD2449" s="1">
        <f>IF($C2449="",0,SUMPRODUCT((AY_SONU!$O$7:$O$42="Evet")*(AY_SONU!$B$7:$B$42=DATE(YEAR($C2449),MONTH($C2449),1))))</f>
        <v>0</v>
      </c>
      <c r="AE2449" s="1" t="str">
        <f>IF($E2449="","",$E2449&amp;"|"&amp;COUNTIFS($E$7:$E2449,$E2449))</f>
        <v/>
      </c>
    </row>
    <row r="2450" spans="1:31" ht="18" customHeight="1" x14ac:dyDescent="0.3">
      <c r="A2450" s="2"/>
      <c r="B2450" s="65" t="str">
        <f t="shared" si="306"/>
        <v/>
      </c>
      <c r="C2450" s="66"/>
      <c r="D2450" s="60"/>
      <c r="E2450" s="61"/>
      <c r="F2450" s="61"/>
      <c r="G2450" s="67"/>
      <c r="H2450" s="60"/>
      <c r="I2450" s="60"/>
      <c r="J2450" s="61"/>
      <c r="K2450" s="61"/>
      <c r="L2450" s="60"/>
      <c r="M2450" s="74" t="str">
        <f t="shared" si="307"/>
        <v/>
      </c>
      <c r="N2450" s="74" t="str">
        <f t="shared" si="308"/>
        <v/>
      </c>
      <c r="O2450" s="73" t="str">
        <f t="shared" si="309"/>
        <v/>
      </c>
      <c r="P2450" s="65" t="str">
        <f t="shared" ca="1" si="310"/>
        <v/>
      </c>
      <c r="Q2450" s="2"/>
      <c r="R2450" s="2"/>
      <c r="S2450" s="1" t="str">
        <f t="shared" si="311"/>
        <v/>
      </c>
      <c r="T2450" s="1" t="str">
        <f>IF(OR($C2450="",$D2450&lt;&gt;"Gelir",$L2450=""),"",IFERROR(INDEX(MUSTERILER!$B$7:$B$156,MATCH($S2450,MUSTERILER!$T$7:$T$156,0)),""))</f>
        <v/>
      </c>
      <c r="U2450" s="1" t="str">
        <f>IF($T2450="","",$T2450&amp;"|"&amp;COUNTIFS($T$7:$T2450,$T2450))</f>
        <v/>
      </c>
      <c r="V2450" s="1">
        <f t="shared" si="312"/>
        <v>0</v>
      </c>
      <c r="W2450" s="1" t="str">
        <f t="shared" si="313"/>
        <v/>
      </c>
      <c r="X2450" s="1"/>
      <c r="Y2450" s="1"/>
      <c r="Z2450" s="1"/>
      <c r="AA2450" s="1"/>
      <c r="AB2450" s="1"/>
      <c r="AC2450" s="1"/>
      <c r="AD2450" s="1">
        <f>IF($C2450="",0,SUMPRODUCT((AY_SONU!$O$7:$O$42="Evet")*(AY_SONU!$B$7:$B$42=DATE(YEAR($C2450),MONTH($C2450),1))))</f>
        <v>0</v>
      </c>
      <c r="AE2450" s="1" t="str">
        <f>IF($E2450="","",$E2450&amp;"|"&amp;COUNTIFS($E$7:$E2450,$E2450))</f>
        <v/>
      </c>
    </row>
    <row r="2451" spans="1:31" ht="18" customHeight="1" x14ac:dyDescent="0.3">
      <c r="A2451" s="2"/>
      <c r="B2451" s="65" t="str">
        <f t="shared" si="306"/>
        <v/>
      </c>
      <c r="C2451" s="66"/>
      <c r="D2451" s="60"/>
      <c r="E2451" s="61"/>
      <c r="F2451" s="61"/>
      <c r="G2451" s="67"/>
      <c r="H2451" s="60"/>
      <c r="I2451" s="60"/>
      <c r="J2451" s="61"/>
      <c r="K2451" s="61"/>
      <c r="L2451" s="60"/>
      <c r="M2451" s="74" t="str">
        <f t="shared" si="307"/>
        <v/>
      </c>
      <c r="N2451" s="74" t="str">
        <f t="shared" si="308"/>
        <v/>
      </c>
      <c r="O2451" s="73" t="str">
        <f t="shared" si="309"/>
        <v/>
      </c>
      <c r="P2451" s="65" t="str">
        <f t="shared" ca="1" si="310"/>
        <v/>
      </c>
      <c r="Q2451" s="2"/>
      <c r="R2451" s="2"/>
      <c r="S2451" s="1" t="str">
        <f t="shared" si="311"/>
        <v/>
      </c>
      <c r="T2451" s="1" t="str">
        <f>IF(OR($C2451="",$D2451&lt;&gt;"Gelir",$L2451=""),"",IFERROR(INDEX(MUSTERILER!$B$7:$B$156,MATCH($S2451,MUSTERILER!$T$7:$T$156,0)),""))</f>
        <v/>
      </c>
      <c r="U2451" s="1" t="str">
        <f>IF($T2451="","",$T2451&amp;"|"&amp;COUNTIFS($T$7:$T2451,$T2451))</f>
        <v/>
      </c>
      <c r="V2451" s="1">
        <f t="shared" si="312"/>
        <v>0</v>
      </c>
      <c r="W2451" s="1" t="str">
        <f t="shared" si="313"/>
        <v/>
      </c>
      <c r="X2451" s="1"/>
      <c r="Y2451" s="1"/>
      <c r="Z2451" s="1"/>
      <c r="AA2451" s="1"/>
      <c r="AB2451" s="1"/>
      <c r="AC2451" s="1"/>
      <c r="AD2451" s="1">
        <f>IF($C2451="",0,SUMPRODUCT((AY_SONU!$O$7:$O$42="Evet")*(AY_SONU!$B$7:$B$42=DATE(YEAR($C2451),MONTH($C2451),1))))</f>
        <v>0</v>
      </c>
      <c r="AE2451" s="1" t="str">
        <f>IF($E2451="","",$E2451&amp;"|"&amp;COUNTIFS($E$7:$E2451,$E2451))</f>
        <v/>
      </c>
    </row>
    <row r="2452" spans="1:31" ht="18" customHeight="1" x14ac:dyDescent="0.3">
      <c r="A2452" s="2"/>
      <c r="B2452" s="65" t="str">
        <f t="shared" si="306"/>
        <v/>
      </c>
      <c r="C2452" s="66"/>
      <c r="D2452" s="60"/>
      <c r="E2452" s="61"/>
      <c r="F2452" s="61"/>
      <c r="G2452" s="67"/>
      <c r="H2452" s="60"/>
      <c r="I2452" s="60"/>
      <c r="J2452" s="61"/>
      <c r="K2452" s="61"/>
      <c r="L2452" s="60"/>
      <c r="M2452" s="74" t="str">
        <f t="shared" si="307"/>
        <v/>
      </c>
      <c r="N2452" s="74" t="str">
        <f t="shared" si="308"/>
        <v/>
      </c>
      <c r="O2452" s="73" t="str">
        <f t="shared" si="309"/>
        <v/>
      </c>
      <c r="P2452" s="65" t="str">
        <f t="shared" ca="1" si="310"/>
        <v/>
      </c>
      <c r="Q2452" s="2"/>
      <c r="R2452" s="2"/>
      <c r="S2452" s="1" t="str">
        <f t="shared" si="311"/>
        <v/>
      </c>
      <c r="T2452" s="1" t="str">
        <f>IF(OR($C2452="",$D2452&lt;&gt;"Gelir",$L2452=""),"",IFERROR(INDEX(MUSTERILER!$B$7:$B$156,MATCH($S2452,MUSTERILER!$T$7:$T$156,0)),""))</f>
        <v/>
      </c>
      <c r="U2452" s="1" t="str">
        <f>IF($T2452="","",$T2452&amp;"|"&amp;COUNTIFS($T$7:$T2452,$T2452))</f>
        <v/>
      </c>
      <c r="V2452" s="1">
        <f t="shared" si="312"/>
        <v>0</v>
      </c>
      <c r="W2452" s="1" t="str">
        <f t="shared" si="313"/>
        <v/>
      </c>
      <c r="X2452" s="1"/>
      <c r="Y2452" s="1"/>
      <c r="Z2452" s="1"/>
      <c r="AA2452" s="1"/>
      <c r="AB2452" s="1"/>
      <c r="AC2452" s="1"/>
      <c r="AD2452" s="1">
        <f>IF($C2452="",0,SUMPRODUCT((AY_SONU!$O$7:$O$42="Evet")*(AY_SONU!$B$7:$B$42=DATE(YEAR($C2452),MONTH($C2452),1))))</f>
        <v>0</v>
      </c>
      <c r="AE2452" s="1" t="str">
        <f>IF($E2452="","",$E2452&amp;"|"&amp;COUNTIFS($E$7:$E2452,$E2452))</f>
        <v/>
      </c>
    </row>
    <row r="2453" spans="1:31" ht="18" customHeight="1" x14ac:dyDescent="0.3">
      <c r="A2453" s="2"/>
      <c r="B2453" s="65" t="str">
        <f t="shared" si="306"/>
        <v/>
      </c>
      <c r="C2453" s="66"/>
      <c r="D2453" s="60"/>
      <c r="E2453" s="61"/>
      <c r="F2453" s="61"/>
      <c r="G2453" s="67"/>
      <c r="H2453" s="60"/>
      <c r="I2453" s="60"/>
      <c r="J2453" s="61"/>
      <c r="K2453" s="61"/>
      <c r="L2453" s="60"/>
      <c r="M2453" s="74" t="str">
        <f t="shared" si="307"/>
        <v/>
      </c>
      <c r="N2453" s="74" t="str">
        <f t="shared" si="308"/>
        <v/>
      </c>
      <c r="O2453" s="73" t="str">
        <f t="shared" si="309"/>
        <v/>
      </c>
      <c r="P2453" s="65" t="str">
        <f t="shared" ca="1" si="310"/>
        <v/>
      </c>
      <c r="Q2453" s="2"/>
      <c r="R2453" s="2"/>
      <c r="S2453" s="1" t="str">
        <f t="shared" si="311"/>
        <v/>
      </c>
      <c r="T2453" s="1" t="str">
        <f>IF(OR($C2453="",$D2453&lt;&gt;"Gelir",$L2453=""),"",IFERROR(INDEX(MUSTERILER!$B$7:$B$156,MATCH($S2453,MUSTERILER!$T$7:$T$156,0)),""))</f>
        <v/>
      </c>
      <c r="U2453" s="1" t="str">
        <f>IF($T2453="","",$T2453&amp;"|"&amp;COUNTIFS($T$7:$T2453,$T2453))</f>
        <v/>
      </c>
      <c r="V2453" s="1">
        <f t="shared" si="312"/>
        <v>0</v>
      </c>
      <c r="W2453" s="1" t="str">
        <f t="shared" si="313"/>
        <v/>
      </c>
      <c r="X2453" s="1"/>
      <c r="Y2453" s="1"/>
      <c r="Z2453" s="1"/>
      <c r="AA2453" s="1"/>
      <c r="AB2453" s="1"/>
      <c r="AC2453" s="1"/>
      <c r="AD2453" s="1">
        <f>IF($C2453="",0,SUMPRODUCT((AY_SONU!$O$7:$O$42="Evet")*(AY_SONU!$B$7:$B$42=DATE(YEAR($C2453),MONTH($C2453),1))))</f>
        <v>0</v>
      </c>
      <c r="AE2453" s="1" t="str">
        <f>IF($E2453="","",$E2453&amp;"|"&amp;COUNTIFS($E$7:$E2453,$E2453))</f>
        <v/>
      </c>
    </row>
    <row r="2454" spans="1:31" ht="18" customHeight="1" x14ac:dyDescent="0.3">
      <c r="A2454" s="2"/>
      <c r="B2454" s="65" t="str">
        <f t="shared" si="306"/>
        <v/>
      </c>
      <c r="C2454" s="66"/>
      <c r="D2454" s="60"/>
      <c r="E2454" s="61"/>
      <c r="F2454" s="61"/>
      <c r="G2454" s="67"/>
      <c r="H2454" s="60"/>
      <c r="I2454" s="60"/>
      <c r="J2454" s="61"/>
      <c r="K2454" s="61"/>
      <c r="L2454" s="60"/>
      <c r="M2454" s="74" t="str">
        <f t="shared" si="307"/>
        <v/>
      </c>
      <c r="N2454" s="74" t="str">
        <f t="shared" si="308"/>
        <v/>
      </c>
      <c r="O2454" s="73" t="str">
        <f t="shared" si="309"/>
        <v/>
      </c>
      <c r="P2454" s="65" t="str">
        <f t="shared" ca="1" si="310"/>
        <v/>
      </c>
      <c r="Q2454" s="2"/>
      <c r="R2454" s="2"/>
      <c r="S2454" s="1" t="str">
        <f t="shared" si="311"/>
        <v/>
      </c>
      <c r="T2454" s="1" t="str">
        <f>IF(OR($C2454="",$D2454&lt;&gt;"Gelir",$L2454=""),"",IFERROR(INDEX(MUSTERILER!$B$7:$B$156,MATCH($S2454,MUSTERILER!$T$7:$T$156,0)),""))</f>
        <v/>
      </c>
      <c r="U2454" s="1" t="str">
        <f>IF($T2454="","",$T2454&amp;"|"&amp;COUNTIFS($T$7:$T2454,$T2454))</f>
        <v/>
      </c>
      <c r="V2454" s="1">
        <f t="shared" si="312"/>
        <v>0</v>
      </c>
      <c r="W2454" s="1" t="str">
        <f t="shared" si="313"/>
        <v/>
      </c>
      <c r="X2454" s="1"/>
      <c r="Y2454" s="1"/>
      <c r="Z2454" s="1"/>
      <c r="AA2454" s="1"/>
      <c r="AB2454" s="1"/>
      <c r="AC2454" s="1"/>
      <c r="AD2454" s="1">
        <f>IF($C2454="",0,SUMPRODUCT((AY_SONU!$O$7:$O$42="Evet")*(AY_SONU!$B$7:$B$42=DATE(YEAR($C2454),MONTH($C2454),1))))</f>
        <v>0</v>
      </c>
      <c r="AE2454" s="1" t="str">
        <f>IF($E2454="","",$E2454&amp;"|"&amp;COUNTIFS($E$7:$E2454,$E2454))</f>
        <v/>
      </c>
    </row>
    <row r="2455" spans="1:31" ht="18" customHeight="1" x14ac:dyDescent="0.3">
      <c r="A2455" s="2"/>
      <c r="B2455" s="65" t="str">
        <f t="shared" si="306"/>
        <v/>
      </c>
      <c r="C2455" s="66"/>
      <c r="D2455" s="60"/>
      <c r="E2455" s="61"/>
      <c r="F2455" s="61"/>
      <c r="G2455" s="67"/>
      <c r="H2455" s="60"/>
      <c r="I2455" s="60"/>
      <c r="J2455" s="61"/>
      <c r="K2455" s="61"/>
      <c r="L2455" s="60"/>
      <c r="M2455" s="74" t="str">
        <f t="shared" si="307"/>
        <v/>
      </c>
      <c r="N2455" s="74" t="str">
        <f t="shared" si="308"/>
        <v/>
      </c>
      <c r="O2455" s="73" t="str">
        <f t="shared" si="309"/>
        <v/>
      </c>
      <c r="P2455" s="65" t="str">
        <f t="shared" ca="1" si="310"/>
        <v/>
      </c>
      <c r="Q2455" s="2"/>
      <c r="R2455" s="2"/>
      <c r="S2455" s="1" t="str">
        <f t="shared" si="311"/>
        <v/>
      </c>
      <c r="T2455" s="1" t="str">
        <f>IF(OR($C2455="",$D2455&lt;&gt;"Gelir",$L2455=""),"",IFERROR(INDEX(MUSTERILER!$B$7:$B$156,MATCH($S2455,MUSTERILER!$T$7:$T$156,0)),""))</f>
        <v/>
      </c>
      <c r="U2455" s="1" t="str">
        <f>IF($T2455="","",$T2455&amp;"|"&amp;COUNTIFS($T$7:$T2455,$T2455))</f>
        <v/>
      </c>
      <c r="V2455" s="1">
        <f t="shared" si="312"/>
        <v>0</v>
      </c>
      <c r="W2455" s="1" t="str">
        <f t="shared" si="313"/>
        <v/>
      </c>
      <c r="X2455" s="1"/>
      <c r="Y2455" s="1"/>
      <c r="Z2455" s="1"/>
      <c r="AA2455" s="1"/>
      <c r="AB2455" s="1"/>
      <c r="AC2455" s="1"/>
      <c r="AD2455" s="1">
        <f>IF($C2455="",0,SUMPRODUCT((AY_SONU!$O$7:$O$42="Evet")*(AY_SONU!$B$7:$B$42=DATE(YEAR($C2455),MONTH($C2455),1))))</f>
        <v>0</v>
      </c>
      <c r="AE2455" s="1" t="str">
        <f>IF($E2455="","",$E2455&amp;"|"&amp;COUNTIFS($E$7:$E2455,$E2455))</f>
        <v/>
      </c>
    </row>
    <row r="2456" spans="1:31" ht="18" customHeight="1" x14ac:dyDescent="0.3">
      <c r="A2456" s="2"/>
      <c r="B2456" s="65" t="str">
        <f t="shared" si="306"/>
        <v/>
      </c>
      <c r="C2456" s="66"/>
      <c r="D2456" s="60"/>
      <c r="E2456" s="61"/>
      <c r="F2456" s="61"/>
      <c r="G2456" s="67"/>
      <c r="H2456" s="60"/>
      <c r="I2456" s="60"/>
      <c r="J2456" s="61"/>
      <c r="K2456" s="61"/>
      <c r="L2456" s="60"/>
      <c r="M2456" s="74" t="str">
        <f t="shared" si="307"/>
        <v/>
      </c>
      <c r="N2456" s="74" t="str">
        <f t="shared" si="308"/>
        <v/>
      </c>
      <c r="O2456" s="73" t="str">
        <f t="shared" si="309"/>
        <v/>
      </c>
      <c r="P2456" s="65" t="str">
        <f t="shared" ca="1" si="310"/>
        <v/>
      </c>
      <c r="Q2456" s="2"/>
      <c r="R2456" s="2"/>
      <c r="S2456" s="1" t="str">
        <f t="shared" si="311"/>
        <v/>
      </c>
      <c r="T2456" s="1" t="str">
        <f>IF(OR($C2456="",$D2456&lt;&gt;"Gelir",$L2456=""),"",IFERROR(INDEX(MUSTERILER!$B$7:$B$156,MATCH($S2456,MUSTERILER!$T$7:$T$156,0)),""))</f>
        <v/>
      </c>
      <c r="U2456" s="1" t="str">
        <f>IF($T2456="","",$T2456&amp;"|"&amp;COUNTIFS($T$7:$T2456,$T2456))</f>
        <v/>
      </c>
      <c r="V2456" s="1">
        <f t="shared" si="312"/>
        <v>0</v>
      </c>
      <c r="W2456" s="1" t="str">
        <f t="shared" si="313"/>
        <v/>
      </c>
      <c r="X2456" s="1"/>
      <c r="Y2456" s="1"/>
      <c r="Z2456" s="1"/>
      <c r="AA2456" s="1"/>
      <c r="AB2456" s="1"/>
      <c r="AC2456" s="1"/>
      <c r="AD2456" s="1">
        <f>IF($C2456="",0,SUMPRODUCT((AY_SONU!$O$7:$O$42="Evet")*(AY_SONU!$B$7:$B$42=DATE(YEAR($C2456),MONTH($C2456),1))))</f>
        <v>0</v>
      </c>
      <c r="AE2456" s="1" t="str">
        <f>IF($E2456="","",$E2456&amp;"|"&amp;COUNTIFS($E$7:$E2456,$E2456))</f>
        <v/>
      </c>
    </row>
    <row r="2457" spans="1:31" ht="18" customHeight="1" x14ac:dyDescent="0.3">
      <c r="A2457" s="2"/>
      <c r="B2457" s="65" t="str">
        <f t="shared" si="306"/>
        <v/>
      </c>
      <c r="C2457" s="66"/>
      <c r="D2457" s="60"/>
      <c r="E2457" s="61"/>
      <c r="F2457" s="61"/>
      <c r="G2457" s="67"/>
      <c r="H2457" s="60"/>
      <c r="I2457" s="60"/>
      <c r="J2457" s="61"/>
      <c r="K2457" s="61"/>
      <c r="L2457" s="60"/>
      <c r="M2457" s="74" t="str">
        <f t="shared" si="307"/>
        <v/>
      </c>
      <c r="N2457" s="74" t="str">
        <f t="shared" si="308"/>
        <v/>
      </c>
      <c r="O2457" s="73" t="str">
        <f t="shared" si="309"/>
        <v/>
      </c>
      <c r="P2457" s="65" t="str">
        <f t="shared" ca="1" si="310"/>
        <v/>
      </c>
      <c r="Q2457" s="2"/>
      <c r="R2457" s="2"/>
      <c r="S2457" s="1" t="str">
        <f t="shared" si="311"/>
        <v/>
      </c>
      <c r="T2457" s="1" t="str">
        <f>IF(OR($C2457="",$D2457&lt;&gt;"Gelir",$L2457=""),"",IFERROR(INDEX(MUSTERILER!$B$7:$B$156,MATCH($S2457,MUSTERILER!$T$7:$T$156,0)),""))</f>
        <v/>
      </c>
      <c r="U2457" s="1" t="str">
        <f>IF($T2457="","",$T2457&amp;"|"&amp;COUNTIFS($T$7:$T2457,$T2457))</f>
        <v/>
      </c>
      <c r="V2457" s="1">
        <f t="shared" si="312"/>
        <v>0</v>
      </c>
      <c r="W2457" s="1" t="str">
        <f t="shared" si="313"/>
        <v/>
      </c>
      <c r="X2457" s="1"/>
      <c r="Y2457" s="1"/>
      <c r="Z2457" s="1"/>
      <c r="AA2457" s="1"/>
      <c r="AB2457" s="1"/>
      <c r="AC2457" s="1"/>
      <c r="AD2457" s="1">
        <f>IF($C2457="",0,SUMPRODUCT((AY_SONU!$O$7:$O$42="Evet")*(AY_SONU!$B$7:$B$42=DATE(YEAR($C2457),MONTH($C2457),1))))</f>
        <v>0</v>
      </c>
      <c r="AE2457" s="1" t="str">
        <f>IF($E2457="","",$E2457&amp;"|"&amp;COUNTIFS($E$7:$E2457,$E2457))</f>
        <v/>
      </c>
    </row>
    <row r="2458" spans="1:31" ht="18" customHeight="1" x14ac:dyDescent="0.3">
      <c r="A2458" s="2"/>
      <c r="B2458" s="65" t="str">
        <f t="shared" si="306"/>
        <v/>
      </c>
      <c r="C2458" s="66"/>
      <c r="D2458" s="60"/>
      <c r="E2458" s="61"/>
      <c r="F2458" s="61"/>
      <c r="G2458" s="67"/>
      <c r="H2458" s="60"/>
      <c r="I2458" s="60"/>
      <c r="J2458" s="61"/>
      <c r="K2458" s="61"/>
      <c r="L2458" s="60"/>
      <c r="M2458" s="74" t="str">
        <f t="shared" si="307"/>
        <v/>
      </c>
      <c r="N2458" s="74" t="str">
        <f t="shared" si="308"/>
        <v/>
      </c>
      <c r="O2458" s="73" t="str">
        <f t="shared" si="309"/>
        <v/>
      </c>
      <c r="P2458" s="65" t="str">
        <f t="shared" ca="1" si="310"/>
        <v/>
      </c>
      <c r="Q2458" s="2"/>
      <c r="R2458" s="2"/>
      <c r="S2458" s="1" t="str">
        <f t="shared" si="311"/>
        <v/>
      </c>
      <c r="T2458" s="1" t="str">
        <f>IF(OR($C2458="",$D2458&lt;&gt;"Gelir",$L2458=""),"",IFERROR(INDEX(MUSTERILER!$B$7:$B$156,MATCH($S2458,MUSTERILER!$T$7:$T$156,0)),""))</f>
        <v/>
      </c>
      <c r="U2458" s="1" t="str">
        <f>IF($T2458="","",$T2458&amp;"|"&amp;COUNTIFS($T$7:$T2458,$T2458))</f>
        <v/>
      </c>
      <c r="V2458" s="1">
        <f t="shared" si="312"/>
        <v>0</v>
      </c>
      <c r="W2458" s="1" t="str">
        <f t="shared" si="313"/>
        <v/>
      </c>
      <c r="X2458" s="1"/>
      <c r="Y2458" s="1"/>
      <c r="Z2458" s="1"/>
      <c r="AA2458" s="1"/>
      <c r="AB2458" s="1"/>
      <c r="AC2458" s="1"/>
      <c r="AD2458" s="1">
        <f>IF($C2458="",0,SUMPRODUCT((AY_SONU!$O$7:$O$42="Evet")*(AY_SONU!$B$7:$B$42=DATE(YEAR($C2458),MONTH($C2458),1))))</f>
        <v>0</v>
      </c>
      <c r="AE2458" s="1" t="str">
        <f>IF($E2458="","",$E2458&amp;"|"&amp;COUNTIFS($E$7:$E2458,$E2458))</f>
        <v/>
      </c>
    </row>
    <row r="2459" spans="1:31" ht="18" customHeight="1" x14ac:dyDescent="0.3">
      <c r="A2459" s="2"/>
      <c r="B2459" s="65" t="str">
        <f t="shared" si="306"/>
        <v/>
      </c>
      <c r="C2459" s="66"/>
      <c r="D2459" s="60"/>
      <c r="E2459" s="61"/>
      <c r="F2459" s="61"/>
      <c r="G2459" s="67"/>
      <c r="H2459" s="60"/>
      <c r="I2459" s="60"/>
      <c r="J2459" s="61"/>
      <c r="K2459" s="61"/>
      <c r="L2459" s="60"/>
      <c r="M2459" s="74" t="str">
        <f t="shared" si="307"/>
        <v/>
      </c>
      <c r="N2459" s="74" t="str">
        <f t="shared" si="308"/>
        <v/>
      </c>
      <c r="O2459" s="73" t="str">
        <f t="shared" si="309"/>
        <v/>
      </c>
      <c r="P2459" s="65" t="str">
        <f t="shared" ca="1" si="310"/>
        <v/>
      </c>
      <c r="Q2459" s="2"/>
      <c r="R2459" s="2"/>
      <c r="S2459" s="1" t="str">
        <f t="shared" si="311"/>
        <v/>
      </c>
      <c r="T2459" s="1" t="str">
        <f>IF(OR($C2459="",$D2459&lt;&gt;"Gelir",$L2459=""),"",IFERROR(INDEX(MUSTERILER!$B$7:$B$156,MATCH($S2459,MUSTERILER!$T$7:$T$156,0)),""))</f>
        <v/>
      </c>
      <c r="U2459" s="1" t="str">
        <f>IF($T2459="","",$T2459&amp;"|"&amp;COUNTIFS($T$7:$T2459,$T2459))</f>
        <v/>
      </c>
      <c r="V2459" s="1">
        <f t="shared" si="312"/>
        <v>0</v>
      </c>
      <c r="W2459" s="1" t="str">
        <f t="shared" si="313"/>
        <v/>
      </c>
      <c r="X2459" s="1"/>
      <c r="Y2459" s="1"/>
      <c r="Z2459" s="1"/>
      <c r="AA2459" s="1"/>
      <c r="AB2459" s="1"/>
      <c r="AC2459" s="1"/>
      <c r="AD2459" s="1">
        <f>IF($C2459="",0,SUMPRODUCT((AY_SONU!$O$7:$O$42="Evet")*(AY_SONU!$B$7:$B$42=DATE(YEAR($C2459),MONTH($C2459),1))))</f>
        <v>0</v>
      </c>
      <c r="AE2459" s="1" t="str">
        <f>IF($E2459="","",$E2459&amp;"|"&amp;COUNTIFS($E$7:$E2459,$E2459))</f>
        <v/>
      </c>
    </row>
    <row r="2460" spans="1:31" ht="18" customHeight="1" x14ac:dyDescent="0.3">
      <c r="A2460" s="2"/>
      <c r="B2460" s="65" t="str">
        <f t="shared" si="306"/>
        <v/>
      </c>
      <c r="C2460" s="66"/>
      <c r="D2460" s="60"/>
      <c r="E2460" s="61"/>
      <c r="F2460" s="61"/>
      <c r="G2460" s="67"/>
      <c r="H2460" s="60"/>
      <c r="I2460" s="60"/>
      <c r="J2460" s="61"/>
      <c r="K2460" s="61"/>
      <c r="L2460" s="60"/>
      <c r="M2460" s="74" t="str">
        <f t="shared" si="307"/>
        <v/>
      </c>
      <c r="N2460" s="74" t="str">
        <f t="shared" si="308"/>
        <v/>
      </c>
      <c r="O2460" s="73" t="str">
        <f t="shared" si="309"/>
        <v/>
      </c>
      <c r="P2460" s="65" t="str">
        <f t="shared" ca="1" si="310"/>
        <v/>
      </c>
      <c r="Q2460" s="2"/>
      <c r="R2460" s="2"/>
      <c r="S2460" s="1" t="str">
        <f t="shared" si="311"/>
        <v/>
      </c>
      <c r="T2460" s="1" t="str">
        <f>IF(OR($C2460="",$D2460&lt;&gt;"Gelir",$L2460=""),"",IFERROR(INDEX(MUSTERILER!$B$7:$B$156,MATCH($S2460,MUSTERILER!$T$7:$T$156,0)),""))</f>
        <v/>
      </c>
      <c r="U2460" s="1" t="str">
        <f>IF($T2460="","",$T2460&amp;"|"&amp;COUNTIFS($T$7:$T2460,$T2460))</f>
        <v/>
      </c>
      <c r="V2460" s="1">
        <f t="shared" si="312"/>
        <v>0</v>
      </c>
      <c r="W2460" s="1" t="str">
        <f t="shared" si="313"/>
        <v/>
      </c>
      <c r="X2460" s="1"/>
      <c r="Y2460" s="1"/>
      <c r="Z2460" s="1"/>
      <c r="AA2460" s="1"/>
      <c r="AB2460" s="1"/>
      <c r="AC2460" s="1"/>
      <c r="AD2460" s="1">
        <f>IF($C2460="",0,SUMPRODUCT((AY_SONU!$O$7:$O$42="Evet")*(AY_SONU!$B$7:$B$42=DATE(YEAR($C2460),MONTH($C2460),1))))</f>
        <v>0</v>
      </c>
      <c r="AE2460" s="1" t="str">
        <f>IF($E2460="","",$E2460&amp;"|"&amp;COUNTIFS($E$7:$E2460,$E2460))</f>
        <v/>
      </c>
    </row>
    <row r="2461" spans="1:31" ht="18" customHeight="1" x14ac:dyDescent="0.3">
      <c r="A2461" s="2"/>
      <c r="B2461" s="65" t="str">
        <f t="shared" si="306"/>
        <v/>
      </c>
      <c r="C2461" s="66"/>
      <c r="D2461" s="60"/>
      <c r="E2461" s="61"/>
      <c r="F2461" s="61"/>
      <c r="G2461" s="67"/>
      <c r="H2461" s="60"/>
      <c r="I2461" s="60"/>
      <c r="J2461" s="61"/>
      <c r="K2461" s="61"/>
      <c r="L2461" s="60"/>
      <c r="M2461" s="74" t="str">
        <f t="shared" si="307"/>
        <v/>
      </c>
      <c r="N2461" s="74" t="str">
        <f t="shared" si="308"/>
        <v/>
      </c>
      <c r="O2461" s="73" t="str">
        <f t="shared" si="309"/>
        <v/>
      </c>
      <c r="P2461" s="65" t="str">
        <f t="shared" ca="1" si="310"/>
        <v/>
      </c>
      <c r="Q2461" s="2"/>
      <c r="R2461" s="2"/>
      <c r="S2461" s="1" t="str">
        <f t="shared" si="311"/>
        <v/>
      </c>
      <c r="T2461" s="1" t="str">
        <f>IF(OR($C2461="",$D2461&lt;&gt;"Gelir",$L2461=""),"",IFERROR(INDEX(MUSTERILER!$B$7:$B$156,MATCH($S2461,MUSTERILER!$T$7:$T$156,0)),""))</f>
        <v/>
      </c>
      <c r="U2461" s="1" t="str">
        <f>IF($T2461="","",$T2461&amp;"|"&amp;COUNTIFS($T$7:$T2461,$T2461))</f>
        <v/>
      </c>
      <c r="V2461" s="1">
        <f t="shared" si="312"/>
        <v>0</v>
      </c>
      <c r="W2461" s="1" t="str">
        <f t="shared" si="313"/>
        <v/>
      </c>
      <c r="X2461" s="1"/>
      <c r="Y2461" s="1"/>
      <c r="Z2461" s="1"/>
      <c r="AA2461" s="1"/>
      <c r="AB2461" s="1"/>
      <c r="AC2461" s="1"/>
      <c r="AD2461" s="1">
        <f>IF($C2461="",0,SUMPRODUCT((AY_SONU!$O$7:$O$42="Evet")*(AY_SONU!$B$7:$B$42=DATE(YEAR($C2461),MONTH($C2461),1))))</f>
        <v>0</v>
      </c>
      <c r="AE2461" s="1" t="str">
        <f>IF($E2461="","",$E2461&amp;"|"&amp;COUNTIFS($E$7:$E2461,$E2461))</f>
        <v/>
      </c>
    </row>
    <row r="2462" spans="1:31" ht="18" customHeight="1" x14ac:dyDescent="0.3">
      <c r="A2462" s="2"/>
      <c r="B2462" s="65" t="str">
        <f t="shared" si="306"/>
        <v/>
      </c>
      <c r="C2462" s="66"/>
      <c r="D2462" s="60"/>
      <c r="E2462" s="61"/>
      <c r="F2462" s="61"/>
      <c r="G2462" s="67"/>
      <c r="H2462" s="60"/>
      <c r="I2462" s="60"/>
      <c r="J2462" s="61"/>
      <c r="K2462" s="61"/>
      <c r="L2462" s="60"/>
      <c r="M2462" s="74" t="str">
        <f t="shared" si="307"/>
        <v/>
      </c>
      <c r="N2462" s="74" t="str">
        <f t="shared" si="308"/>
        <v/>
      </c>
      <c r="O2462" s="73" t="str">
        <f t="shared" si="309"/>
        <v/>
      </c>
      <c r="P2462" s="65" t="str">
        <f t="shared" ca="1" si="310"/>
        <v/>
      </c>
      <c r="Q2462" s="2"/>
      <c r="R2462" s="2"/>
      <c r="S2462" s="1" t="str">
        <f t="shared" si="311"/>
        <v/>
      </c>
      <c r="T2462" s="1" t="str">
        <f>IF(OR($C2462="",$D2462&lt;&gt;"Gelir",$L2462=""),"",IFERROR(INDEX(MUSTERILER!$B$7:$B$156,MATCH($S2462,MUSTERILER!$T$7:$T$156,0)),""))</f>
        <v/>
      </c>
      <c r="U2462" s="1" t="str">
        <f>IF($T2462="","",$T2462&amp;"|"&amp;COUNTIFS($T$7:$T2462,$T2462))</f>
        <v/>
      </c>
      <c r="V2462" s="1">
        <f t="shared" si="312"/>
        <v>0</v>
      </c>
      <c r="W2462" s="1" t="str">
        <f t="shared" si="313"/>
        <v/>
      </c>
      <c r="X2462" s="1"/>
      <c r="Y2462" s="1"/>
      <c r="Z2462" s="1"/>
      <c r="AA2462" s="1"/>
      <c r="AB2462" s="1"/>
      <c r="AC2462" s="1"/>
      <c r="AD2462" s="1">
        <f>IF($C2462="",0,SUMPRODUCT((AY_SONU!$O$7:$O$42="Evet")*(AY_SONU!$B$7:$B$42=DATE(YEAR($C2462),MONTH($C2462),1))))</f>
        <v>0</v>
      </c>
      <c r="AE2462" s="1" t="str">
        <f>IF($E2462="","",$E2462&amp;"|"&amp;COUNTIFS($E$7:$E2462,$E2462))</f>
        <v/>
      </c>
    </row>
    <row r="2463" spans="1:31" ht="18" customHeight="1" x14ac:dyDescent="0.3">
      <c r="A2463" s="2"/>
      <c r="B2463" s="65" t="str">
        <f t="shared" si="306"/>
        <v/>
      </c>
      <c r="C2463" s="66"/>
      <c r="D2463" s="60"/>
      <c r="E2463" s="61"/>
      <c r="F2463" s="61"/>
      <c r="G2463" s="67"/>
      <c r="H2463" s="60"/>
      <c r="I2463" s="60"/>
      <c r="J2463" s="61"/>
      <c r="K2463" s="61"/>
      <c r="L2463" s="60"/>
      <c r="M2463" s="74" t="str">
        <f t="shared" si="307"/>
        <v/>
      </c>
      <c r="N2463" s="74" t="str">
        <f t="shared" si="308"/>
        <v/>
      </c>
      <c r="O2463" s="73" t="str">
        <f t="shared" si="309"/>
        <v/>
      </c>
      <c r="P2463" s="65" t="str">
        <f t="shared" ca="1" si="310"/>
        <v/>
      </c>
      <c r="Q2463" s="2"/>
      <c r="R2463" s="2"/>
      <c r="S2463" s="1" t="str">
        <f t="shared" si="311"/>
        <v/>
      </c>
      <c r="T2463" s="1" t="str">
        <f>IF(OR($C2463="",$D2463&lt;&gt;"Gelir",$L2463=""),"",IFERROR(INDEX(MUSTERILER!$B$7:$B$156,MATCH($S2463,MUSTERILER!$T$7:$T$156,0)),""))</f>
        <v/>
      </c>
      <c r="U2463" s="1" t="str">
        <f>IF($T2463="","",$T2463&amp;"|"&amp;COUNTIFS($T$7:$T2463,$T2463))</f>
        <v/>
      </c>
      <c r="V2463" s="1">
        <f t="shared" si="312"/>
        <v>0</v>
      </c>
      <c r="W2463" s="1" t="str">
        <f t="shared" si="313"/>
        <v/>
      </c>
      <c r="X2463" s="1"/>
      <c r="Y2463" s="1"/>
      <c r="Z2463" s="1"/>
      <c r="AA2463" s="1"/>
      <c r="AB2463" s="1"/>
      <c r="AC2463" s="1"/>
      <c r="AD2463" s="1">
        <f>IF($C2463="",0,SUMPRODUCT((AY_SONU!$O$7:$O$42="Evet")*(AY_SONU!$B$7:$B$42=DATE(YEAR($C2463),MONTH($C2463),1))))</f>
        <v>0</v>
      </c>
      <c r="AE2463" s="1" t="str">
        <f>IF($E2463="","",$E2463&amp;"|"&amp;COUNTIFS($E$7:$E2463,$E2463))</f>
        <v/>
      </c>
    </row>
    <row r="2464" spans="1:31" ht="18" customHeight="1" x14ac:dyDescent="0.3">
      <c r="A2464" s="2"/>
      <c r="B2464" s="65" t="str">
        <f t="shared" si="306"/>
        <v/>
      </c>
      <c r="C2464" s="66"/>
      <c r="D2464" s="60"/>
      <c r="E2464" s="61"/>
      <c r="F2464" s="61"/>
      <c r="G2464" s="67"/>
      <c r="H2464" s="60"/>
      <c r="I2464" s="60"/>
      <c r="J2464" s="61"/>
      <c r="K2464" s="61"/>
      <c r="L2464" s="60"/>
      <c r="M2464" s="74" t="str">
        <f t="shared" si="307"/>
        <v/>
      </c>
      <c r="N2464" s="74" t="str">
        <f t="shared" si="308"/>
        <v/>
      </c>
      <c r="O2464" s="73" t="str">
        <f t="shared" si="309"/>
        <v/>
      </c>
      <c r="P2464" s="65" t="str">
        <f t="shared" ca="1" si="310"/>
        <v/>
      </c>
      <c r="Q2464" s="2"/>
      <c r="R2464" s="2"/>
      <c r="S2464" s="1" t="str">
        <f t="shared" si="311"/>
        <v/>
      </c>
      <c r="T2464" s="1" t="str">
        <f>IF(OR($C2464="",$D2464&lt;&gt;"Gelir",$L2464=""),"",IFERROR(INDEX(MUSTERILER!$B$7:$B$156,MATCH($S2464,MUSTERILER!$T$7:$T$156,0)),""))</f>
        <v/>
      </c>
      <c r="U2464" s="1" t="str">
        <f>IF($T2464="","",$T2464&amp;"|"&amp;COUNTIFS($T$7:$T2464,$T2464))</f>
        <v/>
      </c>
      <c r="V2464" s="1">
        <f t="shared" si="312"/>
        <v>0</v>
      </c>
      <c r="W2464" s="1" t="str">
        <f t="shared" si="313"/>
        <v/>
      </c>
      <c r="X2464" s="1"/>
      <c r="Y2464" s="1"/>
      <c r="Z2464" s="1"/>
      <c r="AA2464" s="1"/>
      <c r="AB2464" s="1"/>
      <c r="AC2464" s="1"/>
      <c r="AD2464" s="1">
        <f>IF($C2464="",0,SUMPRODUCT((AY_SONU!$O$7:$O$42="Evet")*(AY_SONU!$B$7:$B$42=DATE(YEAR($C2464),MONTH($C2464),1))))</f>
        <v>0</v>
      </c>
      <c r="AE2464" s="1" t="str">
        <f>IF($E2464="","",$E2464&amp;"|"&amp;COUNTIFS($E$7:$E2464,$E2464))</f>
        <v/>
      </c>
    </row>
    <row r="2465" spans="1:31" ht="18" customHeight="1" x14ac:dyDescent="0.3">
      <c r="A2465" s="2"/>
      <c r="B2465" s="65" t="str">
        <f t="shared" si="306"/>
        <v/>
      </c>
      <c r="C2465" s="66"/>
      <c r="D2465" s="60"/>
      <c r="E2465" s="61"/>
      <c r="F2465" s="61"/>
      <c r="G2465" s="67"/>
      <c r="H2465" s="60"/>
      <c r="I2465" s="60"/>
      <c r="J2465" s="61"/>
      <c r="K2465" s="61"/>
      <c r="L2465" s="60"/>
      <c r="M2465" s="74" t="str">
        <f t="shared" si="307"/>
        <v/>
      </c>
      <c r="N2465" s="74" t="str">
        <f t="shared" si="308"/>
        <v/>
      </c>
      <c r="O2465" s="73" t="str">
        <f t="shared" si="309"/>
        <v/>
      </c>
      <c r="P2465" s="65" t="str">
        <f t="shared" ca="1" si="310"/>
        <v/>
      </c>
      <c r="Q2465" s="2"/>
      <c r="R2465" s="2"/>
      <c r="S2465" s="1" t="str">
        <f t="shared" si="311"/>
        <v/>
      </c>
      <c r="T2465" s="1" t="str">
        <f>IF(OR($C2465="",$D2465&lt;&gt;"Gelir",$L2465=""),"",IFERROR(INDEX(MUSTERILER!$B$7:$B$156,MATCH($S2465,MUSTERILER!$T$7:$T$156,0)),""))</f>
        <v/>
      </c>
      <c r="U2465" s="1" t="str">
        <f>IF($T2465="","",$T2465&amp;"|"&amp;COUNTIFS($T$7:$T2465,$T2465))</f>
        <v/>
      </c>
      <c r="V2465" s="1">
        <f t="shared" si="312"/>
        <v>0</v>
      </c>
      <c r="W2465" s="1" t="str">
        <f t="shared" si="313"/>
        <v/>
      </c>
      <c r="X2465" s="1"/>
      <c r="Y2465" s="1"/>
      <c r="Z2465" s="1"/>
      <c r="AA2465" s="1"/>
      <c r="AB2465" s="1"/>
      <c r="AC2465" s="1"/>
      <c r="AD2465" s="1">
        <f>IF($C2465="",0,SUMPRODUCT((AY_SONU!$O$7:$O$42="Evet")*(AY_SONU!$B$7:$B$42=DATE(YEAR($C2465),MONTH($C2465),1))))</f>
        <v>0</v>
      </c>
      <c r="AE2465" s="1" t="str">
        <f>IF($E2465="","",$E2465&amp;"|"&amp;COUNTIFS($E$7:$E2465,$E2465))</f>
        <v/>
      </c>
    </row>
    <row r="2466" spans="1:31" ht="18" customHeight="1" x14ac:dyDescent="0.3">
      <c r="A2466" s="2"/>
      <c r="B2466" s="65" t="str">
        <f t="shared" si="306"/>
        <v/>
      </c>
      <c r="C2466" s="66"/>
      <c r="D2466" s="60"/>
      <c r="E2466" s="61"/>
      <c r="F2466" s="61"/>
      <c r="G2466" s="67"/>
      <c r="H2466" s="60"/>
      <c r="I2466" s="60"/>
      <c r="J2466" s="61"/>
      <c r="K2466" s="61"/>
      <c r="L2466" s="60"/>
      <c r="M2466" s="74" t="str">
        <f t="shared" si="307"/>
        <v/>
      </c>
      <c r="N2466" s="74" t="str">
        <f t="shared" si="308"/>
        <v/>
      </c>
      <c r="O2466" s="73" t="str">
        <f t="shared" si="309"/>
        <v/>
      </c>
      <c r="P2466" s="65" t="str">
        <f t="shared" ca="1" si="310"/>
        <v/>
      </c>
      <c r="Q2466" s="2"/>
      <c r="R2466" s="2"/>
      <c r="S2466" s="1" t="str">
        <f t="shared" si="311"/>
        <v/>
      </c>
      <c r="T2466" s="1" t="str">
        <f>IF(OR($C2466="",$D2466&lt;&gt;"Gelir",$L2466=""),"",IFERROR(INDEX(MUSTERILER!$B$7:$B$156,MATCH($S2466,MUSTERILER!$T$7:$T$156,0)),""))</f>
        <v/>
      </c>
      <c r="U2466" s="1" t="str">
        <f>IF($T2466="","",$T2466&amp;"|"&amp;COUNTIFS($T$7:$T2466,$T2466))</f>
        <v/>
      </c>
      <c r="V2466" s="1">
        <f t="shared" si="312"/>
        <v>0</v>
      </c>
      <c r="W2466" s="1" t="str">
        <f t="shared" si="313"/>
        <v/>
      </c>
      <c r="X2466" s="1"/>
      <c r="Y2466" s="1"/>
      <c r="Z2466" s="1"/>
      <c r="AA2466" s="1"/>
      <c r="AB2466" s="1"/>
      <c r="AC2466" s="1"/>
      <c r="AD2466" s="1">
        <f>IF($C2466="",0,SUMPRODUCT((AY_SONU!$O$7:$O$42="Evet")*(AY_SONU!$B$7:$B$42=DATE(YEAR($C2466),MONTH($C2466),1))))</f>
        <v>0</v>
      </c>
      <c r="AE2466" s="1" t="str">
        <f>IF($E2466="","",$E2466&amp;"|"&amp;COUNTIFS($E$7:$E2466,$E2466))</f>
        <v/>
      </c>
    </row>
    <row r="2467" spans="1:31" ht="18" customHeight="1" x14ac:dyDescent="0.3">
      <c r="A2467" s="2"/>
      <c r="B2467" s="65" t="str">
        <f t="shared" si="306"/>
        <v/>
      </c>
      <c r="C2467" s="66"/>
      <c r="D2467" s="60"/>
      <c r="E2467" s="61"/>
      <c r="F2467" s="61"/>
      <c r="G2467" s="67"/>
      <c r="H2467" s="60"/>
      <c r="I2467" s="60"/>
      <c r="J2467" s="61"/>
      <c r="K2467" s="61"/>
      <c r="L2467" s="60"/>
      <c r="M2467" s="74" t="str">
        <f t="shared" si="307"/>
        <v/>
      </c>
      <c r="N2467" s="74" t="str">
        <f t="shared" si="308"/>
        <v/>
      </c>
      <c r="O2467" s="73" t="str">
        <f t="shared" si="309"/>
        <v/>
      </c>
      <c r="P2467" s="65" t="str">
        <f t="shared" ca="1" si="310"/>
        <v/>
      </c>
      <c r="Q2467" s="2"/>
      <c r="R2467" s="2"/>
      <c r="S2467" s="1" t="str">
        <f t="shared" si="311"/>
        <v/>
      </c>
      <c r="T2467" s="1" t="str">
        <f>IF(OR($C2467="",$D2467&lt;&gt;"Gelir",$L2467=""),"",IFERROR(INDEX(MUSTERILER!$B$7:$B$156,MATCH($S2467,MUSTERILER!$T$7:$T$156,0)),""))</f>
        <v/>
      </c>
      <c r="U2467" s="1" t="str">
        <f>IF($T2467="","",$T2467&amp;"|"&amp;COUNTIFS($T$7:$T2467,$T2467))</f>
        <v/>
      </c>
      <c r="V2467" s="1">
        <f t="shared" si="312"/>
        <v>0</v>
      </c>
      <c r="W2467" s="1" t="str">
        <f t="shared" si="313"/>
        <v/>
      </c>
      <c r="X2467" s="1"/>
      <c r="Y2467" s="1"/>
      <c r="Z2467" s="1"/>
      <c r="AA2467" s="1"/>
      <c r="AB2467" s="1"/>
      <c r="AC2467" s="1"/>
      <c r="AD2467" s="1">
        <f>IF($C2467="",0,SUMPRODUCT((AY_SONU!$O$7:$O$42="Evet")*(AY_SONU!$B$7:$B$42=DATE(YEAR($C2467),MONTH($C2467),1))))</f>
        <v>0</v>
      </c>
      <c r="AE2467" s="1" t="str">
        <f>IF($E2467="","",$E2467&amp;"|"&amp;COUNTIFS($E$7:$E2467,$E2467))</f>
        <v/>
      </c>
    </row>
    <row r="2468" spans="1:31" ht="18" customHeight="1" x14ac:dyDescent="0.3">
      <c r="A2468" s="2"/>
      <c r="B2468" s="65" t="str">
        <f t="shared" si="306"/>
        <v/>
      </c>
      <c r="C2468" s="66"/>
      <c r="D2468" s="60"/>
      <c r="E2468" s="61"/>
      <c r="F2468" s="61"/>
      <c r="G2468" s="67"/>
      <c r="H2468" s="60"/>
      <c r="I2468" s="60"/>
      <c r="J2468" s="61"/>
      <c r="K2468" s="61"/>
      <c r="L2468" s="60"/>
      <c r="M2468" s="74" t="str">
        <f t="shared" si="307"/>
        <v/>
      </c>
      <c r="N2468" s="74" t="str">
        <f t="shared" si="308"/>
        <v/>
      </c>
      <c r="O2468" s="73" t="str">
        <f t="shared" si="309"/>
        <v/>
      </c>
      <c r="P2468" s="65" t="str">
        <f t="shared" ca="1" si="310"/>
        <v/>
      </c>
      <c r="Q2468" s="2"/>
      <c r="R2468" s="2"/>
      <c r="S2468" s="1" t="str">
        <f t="shared" si="311"/>
        <v/>
      </c>
      <c r="T2468" s="1" t="str">
        <f>IF(OR($C2468="",$D2468&lt;&gt;"Gelir",$L2468=""),"",IFERROR(INDEX(MUSTERILER!$B$7:$B$156,MATCH($S2468,MUSTERILER!$T$7:$T$156,0)),""))</f>
        <v/>
      </c>
      <c r="U2468" s="1" t="str">
        <f>IF($T2468="","",$T2468&amp;"|"&amp;COUNTIFS($T$7:$T2468,$T2468))</f>
        <v/>
      </c>
      <c r="V2468" s="1">
        <f t="shared" si="312"/>
        <v>0</v>
      </c>
      <c r="W2468" s="1" t="str">
        <f t="shared" si="313"/>
        <v/>
      </c>
      <c r="X2468" s="1"/>
      <c r="Y2468" s="1"/>
      <c r="Z2468" s="1"/>
      <c r="AA2468" s="1"/>
      <c r="AB2468" s="1"/>
      <c r="AC2468" s="1"/>
      <c r="AD2468" s="1">
        <f>IF($C2468="",0,SUMPRODUCT((AY_SONU!$O$7:$O$42="Evet")*(AY_SONU!$B$7:$B$42=DATE(YEAR($C2468),MONTH($C2468),1))))</f>
        <v>0</v>
      </c>
      <c r="AE2468" s="1" t="str">
        <f>IF($E2468="","",$E2468&amp;"|"&amp;COUNTIFS($E$7:$E2468,$E2468))</f>
        <v/>
      </c>
    </row>
    <row r="2469" spans="1:31" ht="18" customHeight="1" x14ac:dyDescent="0.3">
      <c r="A2469" s="2"/>
      <c r="B2469" s="65" t="str">
        <f t="shared" si="306"/>
        <v/>
      </c>
      <c r="C2469" s="66"/>
      <c r="D2469" s="60"/>
      <c r="E2469" s="61"/>
      <c r="F2469" s="61"/>
      <c r="G2469" s="67"/>
      <c r="H2469" s="60"/>
      <c r="I2469" s="60"/>
      <c r="J2469" s="61"/>
      <c r="K2469" s="61"/>
      <c r="L2469" s="60"/>
      <c r="M2469" s="74" t="str">
        <f t="shared" si="307"/>
        <v/>
      </c>
      <c r="N2469" s="74" t="str">
        <f t="shared" si="308"/>
        <v/>
      </c>
      <c r="O2469" s="73" t="str">
        <f t="shared" si="309"/>
        <v/>
      </c>
      <c r="P2469" s="65" t="str">
        <f t="shared" ca="1" si="310"/>
        <v/>
      </c>
      <c r="Q2469" s="2"/>
      <c r="R2469" s="2"/>
      <c r="S2469" s="1" t="str">
        <f t="shared" si="311"/>
        <v/>
      </c>
      <c r="T2469" s="1" t="str">
        <f>IF(OR($C2469="",$D2469&lt;&gt;"Gelir",$L2469=""),"",IFERROR(INDEX(MUSTERILER!$B$7:$B$156,MATCH($S2469,MUSTERILER!$T$7:$T$156,0)),""))</f>
        <v/>
      </c>
      <c r="U2469" s="1" t="str">
        <f>IF($T2469="","",$T2469&amp;"|"&amp;COUNTIFS($T$7:$T2469,$T2469))</f>
        <v/>
      </c>
      <c r="V2469" s="1">
        <f t="shared" si="312"/>
        <v>0</v>
      </c>
      <c r="W2469" s="1" t="str">
        <f t="shared" si="313"/>
        <v/>
      </c>
      <c r="X2469" s="1"/>
      <c r="Y2469" s="1"/>
      <c r="Z2469" s="1"/>
      <c r="AA2469" s="1"/>
      <c r="AB2469" s="1"/>
      <c r="AC2469" s="1"/>
      <c r="AD2469" s="1">
        <f>IF($C2469="",0,SUMPRODUCT((AY_SONU!$O$7:$O$42="Evet")*(AY_SONU!$B$7:$B$42=DATE(YEAR($C2469),MONTH($C2469),1))))</f>
        <v>0</v>
      </c>
      <c r="AE2469" s="1" t="str">
        <f>IF($E2469="","",$E2469&amp;"|"&amp;COUNTIFS($E$7:$E2469,$E2469))</f>
        <v/>
      </c>
    </row>
    <row r="2470" spans="1:31" ht="18" customHeight="1" x14ac:dyDescent="0.3">
      <c r="A2470" s="2"/>
      <c r="B2470" s="65" t="str">
        <f t="shared" si="306"/>
        <v/>
      </c>
      <c r="C2470" s="66"/>
      <c r="D2470" s="60"/>
      <c r="E2470" s="61"/>
      <c r="F2470" s="61"/>
      <c r="G2470" s="67"/>
      <c r="H2470" s="60"/>
      <c r="I2470" s="60"/>
      <c r="J2470" s="61"/>
      <c r="K2470" s="61"/>
      <c r="L2470" s="60"/>
      <c r="M2470" s="74" t="str">
        <f t="shared" si="307"/>
        <v/>
      </c>
      <c r="N2470" s="74" t="str">
        <f t="shared" si="308"/>
        <v/>
      </c>
      <c r="O2470" s="73" t="str">
        <f t="shared" si="309"/>
        <v/>
      </c>
      <c r="P2470" s="65" t="str">
        <f t="shared" ca="1" si="310"/>
        <v/>
      </c>
      <c r="Q2470" s="2"/>
      <c r="R2470" s="2"/>
      <c r="S2470" s="1" t="str">
        <f t="shared" si="311"/>
        <v/>
      </c>
      <c r="T2470" s="1" t="str">
        <f>IF(OR($C2470="",$D2470&lt;&gt;"Gelir",$L2470=""),"",IFERROR(INDEX(MUSTERILER!$B$7:$B$156,MATCH($S2470,MUSTERILER!$T$7:$T$156,0)),""))</f>
        <v/>
      </c>
      <c r="U2470" s="1" t="str">
        <f>IF($T2470="","",$T2470&amp;"|"&amp;COUNTIFS($T$7:$T2470,$T2470))</f>
        <v/>
      </c>
      <c r="V2470" s="1">
        <f t="shared" si="312"/>
        <v>0</v>
      </c>
      <c r="W2470" s="1" t="str">
        <f t="shared" si="313"/>
        <v/>
      </c>
      <c r="X2470" s="1"/>
      <c r="Y2470" s="1"/>
      <c r="Z2470" s="1"/>
      <c r="AA2470" s="1"/>
      <c r="AB2470" s="1"/>
      <c r="AC2470" s="1"/>
      <c r="AD2470" s="1">
        <f>IF($C2470="",0,SUMPRODUCT((AY_SONU!$O$7:$O$42="Evet")*(AY_SONU!$B$7:$B$42=DATE(YEAR($C2470),MONTH($C2470),1))))</f>
        <v>0</v>
      </c>
      <c r="AE2470" s="1" t="str">
        <f>IF($E2470="","",$E2470&amp;"|"&amp;COUNTIFS($E$7:$E2470,$E2470))</f>
        <v/>
      </c>
    </row>
    <row r="2471" spans="1:31" ht="18" customHeight="1" x14ac:dyDescent="0.3">
      <c r="A2471" s="2"/>
      <c r="B2471" s="65" t="str">
        <f t="shared" si="306"/>
        <v/>
      </c>
      <c r="C2471" s="66"/>
      <c r="D2471" s="60"/>
      <c r="E2471" s="61"/>
      <c r="F2471" s="61"/>
      <c r="G2471" s="67"/>
      <c r="H2471" s="60"/>
      <c r="I2471" s="60"/>
      <c r="J2471" s="61"/>
      <c r="K2471" s="61"/>
      <c r="L2471" s="60"/>
      <c r="M2471" s="74" t="str">
        <f t="shared" si="307"/>
        <v/>
      </c>
      <c r="N2471" s="74" t="str">
        <f t="shared" si="308"/>
        <v/>
      </c>
      <c r="O2471" s="73" t="str">
        <f t="shared" si="309"/>
        <v/>
      </c>
      <c r="P2471" s="65" t="str">
        <f t="shared" ca="1" si="310"/>
        <v/>
      </c>
      <c r="Q2471" s="2"/>
      <c r="R2471" s="2"/>
      <c r="S2471" s="1" t="str">
        <f t="shared" si="311"/>
        <v/>
      </c>
      <c r="T2471" s="1" t="str">
        <f>IF(OR($C2471="",$D2471&lt;&gt;"Gelir",$L2471=""),"",IFERROR(INDEX(MUSTERILER!$B$7:$B$156,MATCH($S2471,MUSTERILER!$T$7:$T$156,0)),""))</f>
        <v/>
      </c>
      <c r="U2471" s="1" t="str">
        <f>IF($T2471="","",$T2471&amp;"|"&amp;COUNTIFS($T$7:$T2471,$T2471))</f>
        <v/>
      </c>
      <c r="V2471" s="1">
        <f t="shared" si="312"/>
        <v>0</v>
      </c>
      <c r="W2471" s="1" t="str">
        <f t="shared" si="313"/>
        <v/>
      </c>
      <c r="X2471" s="1"/>
      <c r="Y2471" s="1"/>
      <c r="Z2471" s="1"/>
      <c r="AA2471" s="1"/>
      <c r="AB2471" s="1"/>
      <c r="AC2471" s="1"/>
      <c r="AD2471" s="1">
        <f>IF($C2471="",0,SUMPRODUCT((AY_SONU!$O$7:$O$42="Evet")*(AY_SONU!$B$7:$B$42=DATE(YEAR($C2471),MONTH($C2471),1))))</f>
        <v>0</v>
      </c>
      <c r="AE2471" s="1" t="str">
        <f>IF($E2471="","",$E2471&amp;"|"&amp;COUNTIFS($E$7:$E2471,$E2471))</f>
        <v/>
      </c>
    </row>
    <row r="2472" spans="1:31" ht="18" customHeight="1" x14ac:dyDescent="0.3">
      <c r="A2472" s="2"/>
      <c r="B2472" s="65" t="str">
        <f t="shared" si="306"/>
        <v/>
      </c>
      <c r="C2472" s="66"/>
      <c r="D2472" s="60"/>
      <c r="E2472" s="61"/>
      <c r="F2472" s="61"/>
      <c r="G2472" s="67"/>
      <c r="H2472" s="60"/>
      <c r="I2472" s="60"/>
      <c r="J2472" s="61"/>
      <c r="K2472" s="61"/>
      <c r="L2472" s="60"/>
      <c r="M2472" s="74" t="str">
        <f t="shared" si="307"/>
        <v/>
      </c>
      <c r="N2472" s="74" t="str">
        <f t="shared" si="308"/>
        <v/>
      </c>
      <c r="O2472" s="73" t="str">
        <f t="shared" si="309"/>
        <v/>
      </c>
      <c r="P2472" s="65" t="str">
        <f t="shared" ca="1" si="310"/>
        <v/>
      </c>
      <c r="Q2472" s="2"/>
      <c r="R2472" s="2"/>
      <c r="S2472" s="1" t="str">
        <f t="shared" si="311"/>
        <v/>
      </c>
      <c r="T2472" s="1" t="str">
        <f>IF(OR($C2472="",$D2472&lt;&gt;"Gelir",$L2472=""),"",IFERROR(INDEX(MUSTERILER!$B$7:$B$156,MATCH($S2472,MUSTERILER!$T$7:$T$156,0)),""))</f>
        <v/>
      </c>
      <c r="U2472" s="1" t="str">
        <f>IF($T2472="","",$T2472&amp;"|"&amp;COUNTIFS($T$7:$T2472,$T2472))</f>
        <v/>
      </c>
      <c r="V2472" s="1">
        <f t="shared" si="312"/>
        <v>0</v>
      </c>
      <c r="W2472" s="1" t="str">
        <f t="shared" si="313"/>
        <v/>
      </c>
      <c r="X2472" s="1"/>
      <c r="Y2472" s="1"/>
      <c r="Z2472" s="1"/>
      <c r="AA2472" s="1"/>
      <c r="AB2472" s="1"/>
      <c r="AC2472" s="1"/>
      <c r="AD2472" s="1">
        <f>IF($C2472="",0,SUMPRODUCT((AY_SONU!$O$7:$O$42="Evet")*(AY_SONU!$B$7:$B$42=DATE(YEAR($C2472),MONTH($C2472),1))))</f>
        <v>0</v>
      </c>
      <c r="AE2472" s="1" t="str">
        <f>IF($E2472="","",$E2472&amp;"|"&amp;COUNTIFS($E$7:$E2472,$E2472))</f>
        <v/>
      </c>
    </row>
    <row r="2473" spans="1:31" ht="18" customHeight="1" x14ac:dyDescent="0.3">
      <c r="A2473" s="2"/>
      <c r="B2473" s="65" t="str">
        <f t="shared" si="306"/>
        <v/>
      </c>
      <c r="C2473" s="66"/>
      <c r="D2473" s="60"/>
      <c r="E2473" s="61"/>
      <c r="F2473" s="61"/>
      <c r="G2473" s="67"/>
      <c r="H2473" s="60"/>
      <c r="I2473" s="60"/>
      <c r="J2473" s="61"/>
      <c r="K2473" s="61"/>
      <c r="L2473" s="60"/>
      <c r="M2473" s="74" t="str">
        <f t="shared" si="307"/>
        <v/>
      </c>
      <c r="N2473" s="74" t="str">
        <f t="shared" si="308"/>
        <v/>
      </c>
      <c r="O2473" s="73" t="str">
        <f t="shared" si="309"/>
        <v/>
      </c>
      <c r="P2473" s="65" t="str">
        <f t="shared" ca="1" si="310"/>
        <v/>
      </c>
      <c r="Q2473" s="2"/>
      <c r="R2473" s="2"/>
      <c r="S2473" s="1" t="str">
        <f t="shared" si="311"/>
        <v/>
      </c>
      <c r="T2473" s="1" t="str">
        <f>IF(OR($C2473="",$D2473&lt;&gt;"Gelir",$L2473=""),"",IFERROR(INDEX(MUSTERILER!$B$7:$B$156,MATCH($S2473,MUSTERILER!$T$7:$T$156,0)),""))</f>
        <v/>
      </c>
      <c r="U2473" s="1" t="str">
        <f>IF($T2473="","",$T2473&amp;"|"&amp;COUNTIFS($T$7:$T2473,$T2473))</f>
        <v/>
      </c>
      <c r="V2473" s="1">
        <f t="shared" si="312"/>
        <v>0</v>
      </c>
      <c r="W2473" s="1" t="str">
        <f t="shared" si="313"/>
        <v/>
      </c>
      <c r="X2473" s="1"/>
      <c r="Y2473" s="1"/>
      <c r="Z2473" s="1"/>
      <c r="AA2473" s="1"/>
      <c r="AB2473" s="1"/>
      <c r="AC2473" s="1"/>
      <c r="AD2473" s="1">
        <f>IF($C2473="",0,SUMPRODUCT((AY_SONU!$O$7:$O$42="Evet")*(AY_SONU!$B$7:$B$42=DATE(YEAR($C2473),MONTH($C2473),1))))</f>
        <v>0</v>
      </c>
      <c r="AE2473" s="1" t="str">
        <f>IF($E2473="","",$E2473&amp;"|"&amp;COUNTIFS($E$7:$E2473,$E2473))</f>
        <v/>
      </c>
    </row>
    <row r="2474" spans="1:31" ht="18" customHeight="1" x14ac:dyDescent="0.3">
      <c r="A2474" s="2"/>
      <c r="B2474" s="65" t="str">
        <f t="shared" si="306"/>
        <v/>
      </c>
      <c r="C2474" s="66"/>
      <c r="D2474" s="60"/>
      <c r="E2474" s="61"/>
      <c r="F2474" s="61"/>
      <c r="G2474" s="67"/>
      <c r="H2474" s="60"/>
      <c r="I2474" s="60"/>
      <c r="J2474" s="61"/>
      <c r="K2474" s="61"/>
      <c r="L2474" s="60"/>
      <c r="M2474" s="74" t="str">
        <f t="shared" si="307"/>
        <v/>
      </c>
      <c r="N2474" s="74" t="str">
        <f t="shared" si="308"/>
        <v/>
      </c>
      <c r="O2474" s="73" t="str">
        <f t="shared" si="309"/>
        <v/>
      </c>
      <c r="P2474" s="65" t="str">
        <f t="shared" ca="1" si="310"/>
        <v/>
      </c>
      <c r="Q2474" s="2"/>
      <c r="R2474" s="2"/>
      <c r="S2474" s="1" t="str">
        <f t="shared" si="311"/>
        <v/>
      </c>
      <c r="T2474" s="1" t="str">
        <f>IF(OR($C2474="",$D2474&lt;&gt;"Gelir",$L2474=""),"",IFERROR(INDEX(MUSTERILER!$B$7:$B$156,MATCH($S2474,MUSTERILER!$T$7:$T$156,0)),""))</f>
        <v/>
      </c>
      <c r="U2474" s="1" t="str">
        <f>IF($T2474="","",$T2474&amp;"|"&amp;COUNTIFS($T$7:$T2474,$T2474))</f>
        <v/>
      </c>
      <c r="V2474" s="1">
        <f t="shared" si="312"/>
        <v>0</v>
      </c>
      <c r="W2474" s="1" t="str">
        <f t="shared" si="313"/>
        <v/>
      </c>
      <c r="X2474" s="1"/>
      <c r="Y2474" s="1"/>
      <c r="Z2474" s="1"/>
      <c r="AA2474" s="1"/>
      <c r="AB2474" s="1"/>
      <c r="AC2474" s="1"/>
      <c r="AD2474" s="1">
        <f>IF($C2474="",0,SUMPRODUCT((AY_SONU!$O$7:$O$42="Evet")*(AY_SONU!$B$7:$B$42=DATE(YEAR($C2474),MONTH($C2474),1))))</f>
        <v>0</v>
      </c>
      <c r="AE2474" s="1" t="str">
        <f>IF($E2474="","",$E2474&amp;"|"&amp;COUNTIFS($E$7:$E2474,$E2474))</f>
        <v/>
      </c>
    </row>
    <row r="2475" spans="1:31" ht="18" customHeight="1" x14ac:dyDescent="0.3">
      <c r="A2475" s="2"/>
      <c r="B2475" s="65" t="str">
        <f t="shared" si="306"/>
        <v/>
      </c>
      <c r="C2475" s="66"/>
      <c r="D2475" s="60"/>
      <c r="E2475" s="61"/>
      <c r="F2475" s="61"/>
      <c r="G2475" s="67"/>
      <c r="H2475" s="60"/>
      <c r="I2475" s="60"/>
      <c r="J2475" s="61"/>
      <c r="K2475" s="61"/>
      <c r="L2475" s="60"/>
      <c r="M2475" s="74" t="str">
        <f t="shared" si="307"/>
        <v/>
      </c>
      <c r="N2475" s="74" t="str">
        <f t="shared" si="308"/>
        <v/>
      </c>
      <c r="O2475" s="73" t="str">
        <f t="shared" si="309"/>
        <v/>
      </c>
      <c r="P2475" s="65" t="str">
        <f t="shared" ca="1" si="310"/>
        <v/>
      </c>
      <c r="Q2475" s="2"/>
      <c r="R2475" s="2"/>
      <c r="S2475" s="1" t="str">
        <f t="shared" si="311"/>
        <v/>
      </c>
      <c r="T2475" s="1" t="str">
        <f>IF(OR($C2475="",$D2475&lt;&gt;"Gelir",$L2475=""),"",IFERROR(INDEX(MUSTERILER!$B$7:$B$156,MATCH($S2475,MUSTERILER!$T$7:$T$156,0)),""))</f>
        <v/>
      </c>
      <c r="U2475" s="1" t="str">
        <f>IF($T2475="","",$T2475&amp;"|"&amp;COUNTIFS($T$7:$T2475,$T2475))</f>
        <v/>
      </c>
      <c r="V2475" s="1">
        <f t="shared" si="312"/>
        <v>0</v>
      </c>
      <c r="W2475" s="1" t="str">
        <f t="shared" si="313"/>
        <v/>
      </c>
      <c r="X2475" s="1"/>
      <c r="Y2475" s="1"/>
      <c r="Z2475" s="1"/>
      <c r="AA2475" s="1"/>
      <c r="AB2475" s="1"/>
      <c r="AC2475" s="1"/>
      <c r="AD2475" s="1">
        <f>IF($C2475="",0,SUMPRODUCT((AY_SONU!$O$7:$O$42="Evet")*(AY_SONU!$B$7:$B$42=DATE(YEAR($C2475),MONTH($C2475),1))))</f>
        <v>0</v>
      </c>
      <c r="AE2475" s="1" t="str">
        <f>IF($E2475="","",$E2475&amp;"|"&amp;COUNTIFS($E$7:$E2475,$E2475))</f>
        <v/>
      </c>
    </row>
    <row r="2476" spans="1:31" ht="18" customHeight="1" x14ac:dyDescent="0.3">
      <c r="A2476" s="2"/>
      <c r="B2476" s="65" t="str">
        <f t="shared" si="306"/>
        <v/>
      </c>
      <c r="C2476" s="66"/>
      <c r="D2476" s="60"/>
      <c r="E2476" s="61"/>
      <c r="F2476" s="61"/>
      <c r="G2476" s="67"/>
      <c r="H2476" s="60"/>
      <c r="I2476" s="60"/>
      <c r="J2476" s="61"/>
      <c r="K2476" s="61"/>
      <c r="L2476" s="60"/>
      <c r="M2476" s="74" t="str">
        <f t="shared" si="307"/>
        <v/>
      </c>
      <c r="N2476" s="74" t="str">
        <f t="shared" si="308"/>
        <v/>
      </c>
      <c r="O2476" s="73" t="str">
        <f t="shared" si="309"/>
        <v/>
      </c>
      <c r="P2476" s="65" t="str">
        <f t="shared" ca="1" si="310"/>
        <v/>
      </c>
      <c r="Q2476" s="2"/>
      <c r="R2476" s="2"/>
      <c r="S2476" s="1" t="str">
        <f t="shared" si="311"/>
        <v/>
      </c>
      <c r="T2476" s="1" t="str">
        <f>IF(OR($C2476="",$D2476&lt;&gt;"Gelir",$L2476=""),"",IFERROR(INDEX(MUSTERILER!$B$7:$B$156,MATCH($S2476,MUSTERILER!$T$7:$T$156,0)),""))</f>
        <v/>
      </c>
      <c r="U2476" s="1" t="str">
        <f>IF($T2476="","",$T2476&amp;"|"&amp;COUNTIFS($T$7:$T2476,$T2476))</f>
        <v/>
      </c>
      <c r="V2476" s="1">
        <f t="shared" si="312"/>
        <v>0</v>
      </c>
      <c r="W2476" s="1" t="str">
        <f t="shared" si="313"/>
        <v/>
      </c>
      <c r="X2476" s="1"/>
      <c r="Y2476" s="1"/>
      <c r="Z2476" s="1"/>
      <c r="AA2476" s="1"/>
      <c r="AB2476" s="1"/>
      <c r="AC2476" s="1"/>
      <c r="AD2476" s="1">
        <f>IF($C2476="",0,SUMPRODUCT((AY_SONU!$O$7:$O$42="Evet")*(AY_SONU!$B$7:$B$42=DATE(YEAR($C2476),MONTH($C2476),1))))</f>
        <v>0</v>
      </c>
      <c r="AE2476" s="1" t="str">
        <f>IF($E2476="","",$E2476&amp;"|"&amp;COUNTIFS($E$7:$E2476,$E2476))</f>
        <v/>
      </c>
    </row>
    <row r="2477" spans="1:31" ht="18" customHeight="1" x14ac:dyDescent="0.3">
      <c r="A2477" s="2"/>
      <c r="B2477" s="65" t="str">
        <f t="shared" si="306"/>
        <v/>
      </c>
      <c r="C2477" s="66"/>
      <c r="D2477" s="60"/>
      <c r="E2477" s="61"/>
      <c r="F2477" s="61"/>
      <c r="G2477" s="67"/>
      <c r="H2477" s="60"/>
      <c r="I2477" s="60"/>
      <c r="J2477" s="61"/>
      <c r="K2477" s="61"/>
      <c r="L2477" s="60"/>
      <c r="M2477" s="74" t="str">
        <f t="shared" si="307"/>
        <v/>
      </c>
      <c r="N2477" s="74" t="str">
        <f t="shared" si="308"/>
        <v/>
      </c>
      <c r="O2477" s="73" t="str">
        <f t="shared" si="309"/>
        <v/>
      </c>
      <c r="P2477" s="65" t="str">
        <f t="shared" ca="1" si="310"/>
        <v/>
      </c>
      <c r="Q2477" s="2"/>
      <c r="R2477" s="2"/>
      <c r="S2477" s="1" t="str">
        <f t="shared" si="311"/>
        <v/>
      </c>
      <c r="T2477" s="1" t="str">
        <f>IF(OR($C2477="",$D2477&lt;&gt;"Gelir",$L2477=""),"",IFERROR(INDEX(MUSTERILER!$B$7:$B$156,MATCH($S2477,MUSTERILER!$T$7:$T$156,0)),""))</f>
        <v/>
      </c>
      <c r="U2477" s="1" t="str">
        <f>IF($T2477="","",$T2477&amp;"|"&amp;COUNTIFS($T$7:$T2477,$T2477))</f>
        <v/>
      </c>
      <c r="V2477" s="1">
        <f t="shared" si="312"/>
        <v>0</v>
      </c>
      <c r="W2477" s="1" t="str">
        <f t="shared" si="313"/>
        <v/>
      </c>
      <c r="X2477" s="1"/>
      <c r="Y2477" s="1"/>
      <c r="Z2477" s="1"/>
      <c r="AA2477" s="1"/>
      <c r="AB2477" s="1"/>
      <c r="AC2477" s="1"/>
      <c r="AD2477" s="1">
        <f>IF($C2477="",0,SUMPRODUCT((AY_SONU!$O$7:$O$42="Evet")*(AY_SONU!$B$7:$B$42=DATE(YEAR($C2477),MONTH($C2477),1))))</f>
        <v>0</v>
      </c>
      <c r="AE2477" s="1" t="str">
        <f>IF($E2477="","",$E2477&amp;"|"&amp;COUNTIFS($E$7:$E2477,$E2477))</f>
        <v/>
      </c>
    </row>
    <row r="2478" spans="1:31" ht="18" customHeight="1" x14ac:dyDescent="0.3">
      <c r="A2478" s="2"/>
      <c r="B2478" s="65" t="str">
        <f t="shared" si="306"/>
        <v/>
      </c>
      <c r="C2478" s="66"/>
      <c r="D2478" s="60"/>
      <c r="E2478" s="61"/>
      <c r="F2478" s="61"/>
      <c r="G2478" s="67"/>
      <c r="H2478" s="60"/>
      <c r="I2478" s="60"/>
      <c r="J2478" s="61"/>
      <c r="K2478" s="61"/>
      <c r="L2478" s="60"/>
      <c r="M2478" s="74" t="str">
        <f t="shared" si="307"/>
        <v/>
      </c>
      <c r="N2478" s="74" t="str">
        <f t="shared" si="308"/>
        <v/>
      </c>
      <c r="O2478" s="73" t="str">
        <f t="shared" si="309"/>
        <v/>
      </c>
      <c r="P2478" s="65" t="str">
        <f t="shared" ca="1" si="310"/>
        <v/>
      </c>
      <c r="Q2478" s="2"/>
      <c r="R2478" s="2"/>
      <c r="S2478" s="1" t="str">
        <f t="shared" si="311"/>
        <v/>
      </c>
      <c r="T2478" s="1" t="str">
        <f>IF(OR($C2478="",$D2478&lt;&gt;"Gelir",$L2478=""),"",IFERROR(INDEX(MUSTERILER!$B$7:$B$156,MATCH($S2478,MUSTERILER!$T$7:$T$156,0)),""))</f>
        <v/>
      </c>
      <c r="U2478" s="1" t="str">
        <f>IF($T2478="","",$T2478&amp;"|"&amp;COUNTIFS($T$7:$T2478,$T2478))</f>
        <v/>
      </c>
      <c r="V2478" s="1">
        <f t="shared" si="312"/>
        <v>0</v>
      </c>
      <c r="W2478" s="1" t="str">
        <f t="shared" si="313"/>
        <v/>
      </c>
      <c r="X2478" s="1"/>
      <c r="Y2478" s="1"/>
      <c r="Z2478" s="1"/>
      <c r="AA2478" s="1"/>
      <c r="AB2478" s="1"/>
      <c r="AC2478" s="1"/>
      <c r="AD2478" s="1">
        <f>IF($C2478="",0,SUMPRODUCT((AY_SONU!$O$7:$O$42="Evet")*(AY_SONU!$B$7:$B$42=DATE(YEAR($C2478),MONTH($C2478),1))))</f>
        <v>0</v>
      </c>
      <c r="AE2478" s="1" t="str">
        <f>IF($E2478="","",$E2478&amp;"|"&amp;COUNTIFS($E$7:$E2478,$E2478))</f>
        <v/>
      </c>
    </row>
    <row r="2479" spans="1:31" ht="18" customHeight="1" x14ac:dyDescent="0.3">
      <c r="A2479" s="2"/>
      <c r="B2479" s="65" t="str">
        <f t="shared" si="306"/>
        <v/>
      </c>
      <c r="C2479" s="66"/>
      <c r="D2479" s="60"/>
      <c r="E2479" s="61"/>
      <c r="F2479" s="61"/>
      <c r="G2479" s="67"/>
      <c r="H2479" s="60"/>
      <c r="I2479" s="60"/>
      <c r="J2479" s="61"/>
      <c r="K2479" s="61"/>
      <c r="L2479" s="60"/>
      <c r="M2479" s="74" t="str">
        <f t="shared" si="307"/>
        <v/>
      </c>
      <c r="N2479" s="74" t="str">
        <f t="shared" si="308"/>
        <v/>
      </c>
      <c r="O2479" s="73" t="str">
        <f t="shared" si="309"/>
        <v/>
      </c>
      <c r="P2479" s="65" t="str">
        <f t="shared" ca="1" si="310"/>
        <v/>
      </c>
      <c r="Q2479" s="2"/>
      <c r="R2479" s="2"/>
      <c r="S2479" s="1" t="str">
        <f t="shared" si="311"/>
        <v/>
      </c>
      <c r="T2479" s="1" t="str">
        <f>IF(OR($C2479="",$D2479&lt;&gt;"Gelir",$L2479=""),"",IFERROR(INDEX(MUSTERILER!$B$7:$B$156,MATCH($S2479,MUSTERILER!$T$7:$T$156,0)),""))</f>
        <v/>
      </c>
      <c r="U2479" s="1" t="str">
        <f>IF($T2479="","",$T2479&amp;"|"&amp;COUNTIFS($T$7:$T2479,$T2479))</f>
        <v/>
      </c>
      <c r="V2479" s="1">
        <f t="shared" si="312"/>
        <v>0</v>
      </c>
      <c r="W2479" s="1" t="str">
        <f t="shared" si="313"/>
        <v/>
      </c>
      <c r="X2479" s="1"/>
      <c r="Y2479" s="1"/>
      <c r="Z2479" s="1"/>
      <c r="AA2479" s="1"/>
      <c r="AB2479" s="1"/>
      <c r="AC2479" s="1"/>
      <c r="AD2479" s="1">
        <f>IF($C2479="",0,SUMPRODUCT((AY_SONU!$O$7:$O$42="Evet")*(AY_SONU!$B$7:$B$42=DATE(YEAR($C2479),MONTH($C2479),1))))</f>
        <v>0</v>
      </c>
      <c r="AE2479" s="1" t="str">
        <f>IF($E2479="","",$E2479&amp;"|"&amp;COUNTIFS($E$7:$E2479,$E2479))</f>
        <v/>
      </c>
    </row>
    <row r="2480" spans="1:31" ht="18" customHeight="1" x14ac:dyDescent="0.3">
      <c r="A2480" s="2"/>
      <c r="B2480" s="65" t="str">
        <f t="shared" si="306"/>
        <v/>
      </c>
      <c r="C2480" s="66"/>
      <c r="D2480" s="60"/>
      <c r="E2480" s="61"/>
      <c r="F2480" s="61"/>
      <c r="G2480" s="67"/>
      <c r="H2480" s="60"/>
      <c r="I2480" s="60"/>
      <c r="J2480" s="61"/>
      <c r="K2480" s="61"/>
      <c r="L2480" s="60"/>
      <c r="M2480" s="74" t="str">
        <f t="shared" si="307"/>
        <v/>
      </c>
      <c r="N2480" s="74" t="str">
        <f t="shared" si="308"/>
        <v/>
      </c>
      <c r="O2480" s="73" t="str">
        <f t="shared" si="309"/>
        <v/>
      </c>
      <c r="P2480" s="65" t="str">
        <f t="shared" ca="1" si="310"/>
        <v/>
      </c>
      <c r="Q2480" s="2"/>
      <c r="R2480" s="2"/>
      <c r="S2480" s="1" t="str">
        <f t="shared" si="311"/>
        <v/>
      </c>
      <c r="T2480" s="1" t="str">
        <f>IF(OR($C2480="",$D2480&lt;&gt;"Gelir",$L2480=""),"",IFERROR(INDEX(MUSTERILER!$B$7:$B$156,MATCH($S2480,MUSTERILER!$T$7:$T$156,0)),""))</f>
        <v/>
      </c>
      <c r="U2480" s="1" t="str">
        <f>IF($T2480="","",$T2480&amp;"|"&amp;COUNTIFS($T$7:$T2480,$T2480))</f>
        <v/>
      </c>
      <c r="V2480" s="1">
        <f t="shared" si="312"/>
        <v>0</v>
      </c>
      <c r="W2480" s="1" t="str">
        <f t="shared" si="313"/>
        <v/>
      </c>
      <c r="X2480" s="1"/>
      <c r="Y2480" s="1"/>
      <c r="Z2480" s="1"/>
      <c r="AA2480" s="1"/>
      <c r="AB2480" s="1"/>
      <c r="AC2480" s="1"/>
      <c r="AD2480" s="1">
        <f>IF($C2480="",0,SUMPRODUCT((AY_SONU!$O$7:$O$42="Evet")*(AY_SONU!$B$7:$B$42=DATE(YEAR($C2480),MONTH($C2480),1))))</f>
        <v>0</v>
      </c>
      <c r="AE2480" s="1" t="str">
        <f>IF($E2480="","",$E2480&amp;"|"&amp;COUNTIFS($E$7:$E2480,$E2480))</f>
        <v/>
      </c>
    </row>
    <row r="2481" spans="1:31" ht="18" customHeight="1" x14ac:dyDescent="0.3">
      <c r="A2481" s="2"/>
      <c r="B2481" s="65" t="str">
        <f t="shared" si="306"/>
        <v/>
      </c>
      <c r="C2481" s="66"/>
      <c r="D2481" s="60"/>
      <c r="E2481" s="61"/>
      <c r="F2481" s="61"/>
      <c r="G2481" s="67"/>
      <c r="H2481" s="60"/>
      <c r="I2481" s="60"/>
      <c r="J2481" s="61"/>
      <c r="K2481" s="61"/>
      <c r="L2481" s="60"/>
      <c r="M2481" s="74" t="str">
        <f t="shared" si="307"/>
        <v/>
      </c>
      <c r="N2481" s="74" t="str">
        <f t="shared" si="308"/>
        <v/>
      </c>
      <c r="O2481" s="73" t="str">
        <f t="shared" si="309"/>
        <v/>
      </c>
      <c r="P2481" s="65" t="str">
        <f t="shared" ca="1" si="310"/>
        <v/>
      </c>
      <c r="Q2481" s="2"/>
      <c r="R2481" s="2"/>
      <c r="S2481" s="1" t="str">
        <f t="shared" si="311"/>
        <v/>
      </c>
      <c r="T2481" s="1" t="str">
        <f>IF(OR($C2481="",$D2481&lt;&gt;"Gelir",$L2481=""),"",IFERROR(INDEX(MUSTERILER!$B$7:$B$156,MATCH($S2481,MUSTERILER!$T$7:$T$156,0)),""))</f>
        <v/>
      </c>
      <c r="U2481" s="1" t="str">
        <f>IF($T2481="","",$T2481&amp;"|"&amp;COUNTIFS($T$7:$T2481,$T2481))</f>
        <v/>
      </c>
      <c r="V2481" s="1">
        <f t="shared" si="312"/>
        <v>0</v>
      </c>
      <c r="W2481" s="1" t="str">
        <f t="shared" si="313"/>
        <v/>
      </c>
      <c r="X2481" s="1"/>
      <c r="Y2481" s="1"/>
      <c r="Z2481" s="1"/>
      <c r="AA2481" s="1"/>
      <c r="AB2481" s="1"/>
      <c r="AC2481" s="1"/>
      <c r="AD2481" s="1">
        <f>IF($C2481="",0,SUMPRODUCT((AY_SONU!$O$7:$O$42="Evet")*(AY_SONU!$B$7:$B$42=DATE(YEAR($C2481),MONTH($C2481),1))))</f>
        <v>0</v>
      </c>
      <c r="AE2481" s="1" t="str">
        <f>IF($E2481="","",$E2481&amp;"|"&amp;COUNTIFS($E$7:$E2481,$E2481))</f>
        <v/>
      </c>
    </row>
    <row r="2482" spans="1:31" ht="18" customHeight="1" x14ac:dyDescent="0.3">
      <c r="A2482" s="2"/>
      <c r="B2482" s="65" t="str">
        <f t="shared" si="306"/>
        <v/>
      </c>
      <c r="C2482" s="66"/>
      <c r="D2482" s="60"/>
      <c r="E2482" s="61"/>
      <c r="F2482" s="61"/>
      <c r="G2482" s="67"/>
      <c r="H2482" s="60"/>
      <c r="I2482" s="60"/>
      <c r="J2482" s="61"/>
      <c r="K2482" s="61"/>
      <c r="L2482" s="60"/>
      <c r="M2482" s="74" t="str">
        <f t="shared" si="307"/>
        <v/>
      </c>
      <c r="N2482" s="74" t="str">
        <f t="shared" si="308"/>
        <v/>
      </c>
      <c r="O2482" s="73" t="str">
        <f t="shared" si="309"/>
        <v/>
      </c>
      <c r="P2482" s="65" t="str">
        <f t="shared" ca="1" si="310"/>
        <v/>
      </c>
      <c r="Q2482" s="2"/>
      <c r="R2482" s="2"/>
      <c r="S2482" s="1" t="str">
        <f t="shared" si="311"/>
        <v/>
      </c>
      <c r="T2482" s="1" t="str">
        <f>IF(OR($C2482="",$D2482&lt;&gt;"Gelir",$L2482=""),"",IFERROR(INDEX(MUSTERILER!$B$7:$B$156,MATCH($S2482,MUSTERILER!$T$7:$T$156,0)),""))</f>
        <v/>
      </c>
      <c r="U2482" s="1" t="str">
        <f>IF($T2482="","",$T2482&amp;"|"&amp;COUNTIFS($T$7:$T2482,$T2482))</f>
        <v/>
      </c>
      <c r="V2482" s="1">
        <f t="shared" si="312"/>
        <v>0</v>
      </c>
      <c r="W2482" s="1" t="str">
        <f t="shared" si="313"/>
        <v/>
      </c>
      <c r="X2482" s="1"/>
      <c r="Y2482" s="1"/>
      <c r="Z2482" s="1"/>
      <c r="AA2482" s="1"/>
      <c r="AB2482" s="1"/>
      <c r="AC2482" s="1"/>
      <c r="AD2482" s="1">
        <f>IF($C2482="",0,SUMPRODUCT((AY_SONU!$O$7:$O$42="Evet")*(AY_SONU!$B$7:$B$42=DATE(YEAR($C2482),MONTH($C2482),1))))</f>
        <v>0</v>
      </c>
      <c r="AE2482" s="1" t="str">
        <f>IF($E2482="","",$E2482&amp;"|"&amp;COUNTIFS($E$7:$E2482,$E2482))</f>
        <v/>
      </c>
    </row>
    <row r="2483" spans="1:31" ht="18" customHeight="1" x14ac:dyDescent="0.3">
      <c r="A2483" s="2"/>
      <c r="B2483" s="65" t="str">
        <f t="shared" si="306"/>
        <v/>
      </c>
      <c r="C2483" s="66"/>
      <c r="D2483" s="60"/>
      <c r="E2483" s="61"/>
      <c r="F2483" s="61"/>
      <c r="G2483" s="67"/>
      <c r="H2483" s="60"/>
      <c r="I2483" s="60"/>
      <c r="J2483" s="61"/>
      <c r="K2483" s="61"/>
      <c r="L2483" s="60"/>
      <c r="M2483" s="74" t="str">
        <f t="shared" si="307"/>
        <v/>
      </c>
      <c r="N2483" s="74" t="str">
        <f t="shared" si="308"/>
        <v/>
      </c>
      <c r="O2483" s="73" t="str">
        <f t="shared" si="309"/>
        <v/>
      </c>
      <c r="P2483" s="65" t="str">
        <f t="shared" ca="1" si="310"/>
        <v/>
      </c>
      <c r="Q2483" s="2"/>
      <c r="R2483" s="2"/>
      <c r="S2483" s="1" t="str">
        <f t="shared" si="311"/>
        <v/>
      </c>
      <c r="T2483" s="1" t="str">
        <f>IF(OR($C2483="",$D2483&lt;&gt;"Gelir",$L2483=""),"",IFERROR(INDEX(MUSTERILER!$B$7:$B$156,MATCH($S2483,MUSTERILER!$T$7:$T$156,0)),""))</f>
        <v/>
      </c>
      <c r="U2483" s="1" t="str">
        <f>IF($T2483="","",$T2483&amp;"|"&amp;COUNTIFS($T$7:$T2483,$T2483))</f>
        <v/>
      </c>
      <c r="V2483" s="1">
        <f t="shared" si="312"/>
        <v>0</v>
      </c>
      <c r="W2483" s="1" t="str">
        <f t="shared" si="313"/>
        <v/>
      </c>
      <c r="X2483" s="1"/>
      <c r="Y2483" s="1"/>
      <c r="Z2483" s="1"/>
      <c r="AA2483" s="1"/>
      <c r="AB2483" s="1"/>
      <c r="AC2483" s="1"/>
      <c r="AD2483" s="1">
        <f>IF($C2483="",0,SUMPRODUCT((AY_SONU!$O$7:$O$42="Evet")*(AY_SONU!$B$7:$B$42=DATE(YEAR($C2483),MONTH($C2483),1))))</f>
        <v>0</v>
      </c>
      <c r="AE2483" s="1" t="str">
        <f>IF($E2483="","",$E2483&amp;"|"&amp;COUNTIFS($E$7:$E2483,$E2483))</f>
        <v/>
      </c>
    </row>
    <row r="2484" spans="1:31" ht="18" customHeight="1" x14ac:dyDescent="0.3">
      <c r="A2484" s="2"/>
      <c r="B2484" s="65" t="str">
        <f t="shared" si="306"/>
        <v/>
      </c>
      <c r="C2484" s="66"/>
      <c r="D2484" s="60"/>
      <c r="E2484" s="61"/>
      <c r="F2484" s="61"/>
      <c r="G2484" s="67"/>
      <c r="H2484" s="60"/>
      <c r="I2484" s="60"/>
      <c r="J2484" s="61"/>
      <c r="K2484" s="61"/>
      <c r="L2484" s="60"/>
      <c r="M2484" s="74" t="str">
        <f t="shared" si="307"/>
        <v/>
      </c>
      <c r="N2484" s="74" t="str">
        <f t="shared" si="308"/>
        <v/>
      </c>
      <c r="O2484" s="73" t="str">
        <f t="shared" si="309"/>
        <v/>
      </c>
      <c r="P2484" s="65" t="str">
        <f t="shared" ca="1" si="310"/>
        <v/>
      </c>
      <c r="Q2484" s="2"/>
      <c r="R2484" s="2"/>
      <c r="S2484" s="1" t="str">
        <f t="shared" si="311"/>
        <v/>
      </c>
      <c r="T2484" s="1" t="str">
        <f>IF(OR($C2484="",$D2484&lt;&gt;"Gelir",$L2484=""),"",IFERROR(INDEX(MUSTERILER!$B$7:$B$156,MATCH($S2484,MUSTERILER!$T$7:$T$156,0)),""))</f>
        <v/>
      </c>
      <c r="U2484" s="1" t="str">
        <f>IF($T2484="","",$T2484&amp;"|"&amp;COUNTIFS($T$7:$T2484,$T2484))</f>
        <v/>
      </c>
      <c r="V2484" s="1">
        <f t="shared" si="312"/>
        <v>0</v>
      </c>
      <c r="W2484" s="1" t="str">
        <f t="shared" si="313"/>
        <v/>
      </c>
      <c r="X2484" s="1"/>
      <c r="Y2484" s="1"/>
      <c r="Z2484" s="1"/>
      <c r="AA2484" s="1"/>
      <c r="AB2484" s="1"/>
      <c r="AC2484" s="1"/>
      <c r="AD2484" s="1">
        <f>IF($C2484="",0,SUMPRODUCT((AY_SONU!$O$7:$O$42="Evet")*(AY_SONU!$B$7:$B$42=DATE(YEAR($C2484),MONTH($C2484),1))))</f>
        <v>0</v>
      </c>
      <c r="AE2484" s="1" t="str">
        <f>IF($E2484="","",$E2484&amp;"|"&amp;COUNTIFS($E$7:$E2484,$E2484))</f>
        <v/>
      </c>
    </row>
    <row r="2485" spans="1:31" ht="18" customHeight="1" x14ac:dyDescent="0.3">
      <c r="A2485" s="2"/>
      <c r="B2485" s="65" t="str">
        <f t="shared" si="306"/>
        <v/>
      </c>
      <c r="C2485" s="66"/>
      <c r="D2485" s="60"/>
      <c r="E2485" s="61"/>
      <c r="F2485" s="61"/>
      <c r="G2485" s="67"/>
      <c r="H2485" s="60"/>
      <c r="I2485" s="60"/>
      <c r="J2485" s="61"/>
      <c r="K2485" s="61"/>
      <c r="L2485" s="60"/>
      <c r="M2485" s="74" t="str">
        <f t="shared" si="307"/>
        <v/>
      </c>
      <c r="N2485" s="74" t="str">
        <f t="shared" si="308"/>
        <v/>
      </c>
      <c r="O2485" s="73" t="str">
        <f t="shared" si="309"/>
        <v/>
      </c>
      <c r="P2485" s="65" t="str">
        <f t="shared" ca="1" si="310"/>
        <v/>
      </c>
      <c r="Q2485" s="2"/>
      <c r="R2485" s="2"/>
      <c r="S2485" s="1" t="str">
        <f t="shared" si="311"/>
        <v/>
      </c>
      <c r="T2485" s="1" t="str">
        <f>IF(OR($C2485="",$D2485&lt;&gt;"Gelir",$L2485=""),"",IFERROR(INDEX(MUSTERILER!$B$7:$B$156,MATCH($S2485,MUSTERILER!$T$7:$T$156,0)),""))</f>
        <v/>
      </c>
      <c r="U2485" s="1" t="str">
        <f>IF($T2485="","",$T2485&amp;"|"&amp;COUNTIFS($T$7:$T2485,$T2485))</f>
        <v/>
      </c>
      <c r="V2485" s="1">
        <f t="shared" si="312"/>
        <v>0</v>
      </c>
      <c r="W2485" s="1" t="str">
        <f t="shared" si="313"/>
        <v/>
      </c>
      <c r="X2485" s="1"/>
      <c r="Y2485" s="1"/>
      <c r="Z2485" s="1"/>
      <c r="AA2485" s="1"/>
      <c r="AB2485" s="1"/>
      <c r="AC2485" s="1"/>
      <c r="AD2485" s="1">
        <f>IF($C2485="",0,SUMPRODUCT((AY_SONU!$O$7:$O$42="Evet")*(AY_SONU!$B$7:$B$42=DATE(YEAR($C2485),MONTH($C2485),1))))</f>
        <v>0</v>
      </c>
      <c r="AE2485" s="1" t="str">
        <f>IF($E2485="","",$E2485&amp;"|"&amp;COUNTIFS($E$7:$E2485,$E2485))</f>
        <v/>
      </c>
    </row>
    <row r="2486" spans="1:31" ht="18" customHeight="1" x14ac:dyDescent="0.3">
      <c r="A2486" s="2"/>
      <c r="B2486" s="65" t="str">
        <f t="shared" si="306"/>
        <v/>
      </c>
      <c r="C2486" s="66"/>
      <c r="D2486" s="60"/>
      <c r="E2486" s="61"/>
      <c r="F2486" s="61"/>
      <c r="G2486" s="67"/>
      <c r="H2486" s="60"/>
      <c r="I2486" s="60"/>
      <c r="J2486" s="61"/>
      <c r="K2486" s="61"/>
      <c r="L2486" s="60"/>
      <c r="M2486" s="74" t="str">
        <f t="shared" si="307"/>
        <v/>
      </c>
      <c r="N2486" s="74" t="str">
        <f t="shared" si="308"/>
        <v/>
      </c>
      <c r="O2486" s="73" t="str">
        <f t="shared" si="309"/>
        <v/>
      </c>
      <c r="P2486" s="65" t="str">
        <f t="shared" ca="1" si="310"/>
        <v/>
      </c>
      <c r="Q2486" s="2"/>
      <c r="R2486" s="2"/>
      <c r="S2486" s="1" t="str">
        <f t="shared" si="311"/>
        <v/>
      </c>
      <c r="T2486" s="1" t="str">
        <f>IF(OR($C2486="",$D2486&lt;&gt;"Gelir",$L2486=""),"",IFERROR(INDEX(MUSTERILER!$B$7:$B$156,MATCH($S2486,MUSTERILER!$T$7:$T$156,0)),""))</f>
        <v/>
      </c>
      <c r="U2486" s="1" t="str">
        <f>IF($T2486="","",$T2486&amp;"|"&amp;COUNTIFS($T$7:$T2486,$T2486))</f>
        <v/>
      </c>
      <c r="V2486" s="1">
        <f t="shared" si="312"/>
        <v>0</v>
      </c>
      <c r="W2486" s="1" t="str">
        <f t="shared" si="313"/>
        <v/>
      </c>
      <c r="X2486" s="1"/>
      <c r="Y2486" s="1"/>
      <c r="Z2486" s="1"/>
      <c r="AA2486" s="1"/>
      <c r="AB2486" s="1"/>
      <c r="AC2486" s="1"/>
      <c r="AD2486" s="1">
        <f>IF($C2486="",0,SUMPRODUCT((AY_SONU!$O$7:$O$42="Evet")*(AY_SONU!$B$7:$B$42=DATE(YEAR($C2486),MONTH($C2486),1))))</f>
        <v>0</v>
      </c>
      <c r="AE2486" s="1" t="str">
        <f>IF($E2486="","",$E2486&amp;"|"&amp;COUNTIFS($E$7:$E2486,$E2486))</f>
        <v/>
      </c>
    </row>
    <row r="2487" spans="1:31" ht="18" customHeight="1" x14ac:dyDescent="0.3">
      <c r="A2487" s="2"/>
      <c r="B2487" s="65" t="str">
        <f t="shared" si="306"/>
        <v/>
      </c>
      <c r="C2487" s="66"/>
      <c r="D2487" s="60"/>
      <c r="E2487" s="61"/>
      <c r="F2487" s="61"/>
      <c r="G2487" s="67"/>
      <c r="H2487" s="60"/>
      <c r="I2487" s="60"/>
      <c r="J2487" s="61"/>
      <c r="K2487" s="61"/>
      <c r="L2487" s="60"/>
      <c r="M2487" s="74" t="str">
        <f t="shared" si="307"/>
        <v/>
      </c>
      <c r="N2487" s="74" t="str">
        <f t="shared" si="308"/>
        <v/>
      </c>
      <c r="O2487" s="73" t="str">
        <f t="shared" si="309"/>
        <v/>
      </c>
      <c r="P2487" s="65" t="str">
        <f t="shared" ca="1" si="310"/>
        <v/>
      </c>
      <c r="Q2487" s="2"/>
      <c r="R2487" s="2"/>
      <c r="S2487" s="1" t="str">
        <f t="shared" si="311"/>
        <v/>
      </c>
      <c r="T2487" s="1" t="str">
        <f>IF(OR($C2487="",$D2487&lt;&gt;"Gelir",$L2487=""),"",IFERROR(INDEX(MUSTERILER!$B$7:$B$156,MATCH($S2487,MUSTERILER!$T$7:$T$156,0)),""))</f>
        <v/>
      </c>
      <c r="U2487" s="1" t="str">
        <f>IF($T2487="","",$T2487&amp;"|"&amp;COUNTIFS($T$7:$T2487,$T2487))</f>
        <v/>
      </c>
      <c r="V2487" s="1">
        <f t="shared" si="312"/>
        <v>0</v>
      </c>
      <c r="W2487" s="1" t="str">
        <f t="shared" si="313"/>
        <v/>
      </c>
      <c r="X2487" s="1"/>
      <c r="Y2487" s="1"/>
      <c r="Z2487" s="1"/>
      <c r="AA2487" s="1"/>
      <c r="AB2487" s="1"/>
      <c r="AC2487" s="1"/>
      <c r="AD2487" s="1">
        <f>IF($C2487="",0,SUMPRODUCT((AY_SONU!$O$7:$O$42="Evet")*(AY_SONU!$B$7:$B$42=DATE(YEAR($C2487),MONTH($C2487),1))))</f>
        <v>0</v>
      </c>
      <c r="AE2487" s="1" t="str">
        <f>IF($E2487="","",$E2487&amp;"|"&amp;COUNTIFS($E$7:$E2487,$E2487))</f>
        <v/>
      </c>
    </row>
    <row r="2488" spans="1:31" ht="18" customHeight="1" x14ac:dyDescent="0.3">
      <c r="A2488" s="2"/>
      <c r="B2488" s="65" t="str">
        <f t="shared" si="306"/>
        <v/>
      </c>
      <c r="C2488" s="66"/>
      <c r="D2488" s="60"/>
      <c r="E2488" s="61"/>
      <c r="F2488" s="61"/>
      <c r="G2488" s="67"/>
      <c r="H2488" s="60"/>
      <c r="I2488" s="60"/>
      <c r="J2488" s="61"/>
      <c r="K2488" s="61"/>
      <c r="L2488" s="60"/>
      <c r="M2488" s="74" t="str">
        <f t="shared" si="307"/>
        <v/>
      </c>
      <c r="N2488" s="74" t="str">
        <f t="shared" si="308"/>
        <v/>
      </c>
      <c r="O2488" s="73" t="str">
        <f t="shared" si="309"/>
        <v/>
      </c>
      <c r="P2488" s="65" t="str">
        <f t="shared" ca="1" si="310"/>
        <v/>
      </c>
      <c r="Q2488" s="2"/>
      <c r="R2488" s="2"/>
      <c r="S2488" s="1" t="str">
        <f t="shared" si="311"/>
        <v/>
      </c>
      <c r="T2488" s="1" t="str">
        <f>IF(OR($C2488="",$D2488&lt;&gt;"Gelir",$L2488=""),"",IFERROR(INDEX(MUSTERILER!$B$7:$B$156,MATCH($S2488,MUSTERILER!$T$7:$T$156,0)),""))</f>
        <v/>
      </c>
      <c r="U2488" s="1" t="str">
        <f>IF($T2488="","",$T2488&amp;"|"&amp;COUNTIFS($T$7:$T2488,$T2488))</f>
        <v/>
      </c>
      <c r="V2488" s="1">
        <f t="shared" si="312"/>
        <v>0</v>
      </c>
      <c r="W2488" s="1" t="str">
        <f t="shared" si="313"/>
        <v/>
      </c>
      <c r="X2488" s="1"/>
      <c r="Y2488" s="1"/>
      <c r="Z2488" s="1"/>
      <c r="AA2488" s="1"/>
      <c r="AB2488" s="1"/>
      <c r="AC2488" s="1"/>
      <c r="AD2488" s="1">
        <f>IF($C2488="",0,SUMPRODUCT((AY_SONU!$O$7:$O$42="Evet")*(AY_SONU!$B$7:$B$42=DATE(YEAR($C2488),MONTH($C2488),1))))</f>
        <v>0</v>
      </c>
      <c r="AE2488" s="1" t="str">
        <f>IF($E2488="","",$E2488&amp;"|"&amp;COUNTIFS($E$7:$E2488,$E2488))</f>
        <v/>
      </c>
    </row>
    <row r="2489" spans="1:31" ht="18" customHeight="1" x14ac:dyDescent="0.3">
      <c r="A2489" s="2"/>
      <c r="B2489" s="65" t="str">
        <f t="shared" si="306"/>
        <v/>
      </c>
      <c r="C2489" s="66"/>
      <c r="D2489" s="60"/>
      <c r="E2489" s="61"/>
      <c r="F2489" s="61"/>
      <c r="G2489" s="67"/>
      <c r="H2489" s="60"/>
      <c r="I2489" s="60"/>
      <c r="J2489" s="61"/>
      <c r="K2489" s="61"/>
      <c r="L2489" s="60"/>
      <c r="M2489" s="74" t="str">
        <f t="shared" si="307"/>
        <v/>
      </c>
      <c r="N2489" s="74" t="str">
        <f t="shared" si="308"/>
        <v/>
      </c>
      <c r="O2489" s="73" t="str">
        <f t="shared" si="309"/>
        <v/>
      </c>
      <c r="P2489" s="65" t="str">
        <f t="shared" ca="1" si="310"/>
        <v/>
      </c>
      <c r="Q2489" s="2"/>
      <c r="R2489" s="2"/>
      <c r="S2489" s="1" t="str">
        <f t="shared" si="311"/>
        <v/>
      </c>
      <c r="T2489" s="1" t="str">
        <f>IF(OR($C2489="",$D2489&lt;&gt;"Gelir",$L2489=""),"",IFERROR(INDEX(MUSTERILER!$B$7:$B$156,MATCH($S2489,MUSTERILER!$T$7:$T$156,0)),""))</f>
        <v/>
      </c>
      <c r="U2489" s="1" t="str">
        <f>IF($T2489="","",$T2489&amp;"|"&amp;COUNTIFS($T$7:$T2489,$T2489))</f>
        <v/>
      </c>
      <c r="V2489" s="1">
        <f t="shared" si="312"/>
        <v>0</v>
      </c>
      <c r="W2489" s="1" t="str">
        <f t="shared" si="313"/>
        <v/>
      </c>
      <c r="X2489" s="1"/>
      <c r="Y2489" s="1"/>
      <c r="Z2489" s="1"/>
      <c r="AA2489" s="1"/>
      <c r="AB2489" s="1"/>
      <c r="AC2489" s="1"/>
      <c r="AD2489" s="1">
        <f>IF($C2489="",0,SUMPRODUCT((AY_SONU!$O$7:$O$42="Evet")*(AY_SONU!$B$7:$B$42=DATE(YEAR($C2489),MONTH($C2489),1))))</f>
        <v>0</v>
      </c>
      <c r="AE2489" s="1" t="str">
        <f>IF($E2489="","",$E2489&amp;"|"&amp;COUNTIFS($E$7:$E2489,$E2489))</f>
        <v/>
      </c>
    </row>
    <row r="2490" spans="1:31" ht="18" customHeight="1" x14ac:dyDescent="0.3">
      <c r="A2490" s="2"/>
      <c r="B2490" s="65" t="str">
        <f t="shared" si="306"/>
        <v/>
      </c>
      <c r="C2490" s="66"/>
      <c r="D2490" s="60"/>
      <c r="E2490" s="61"/>
      <c r="F2490" s="61"/>
      <c r="G2490" s="67"/>
      <c r="H2490" s="60"/>
      <c r="I2490" s="60"/>
      <c r="J2490" s="61"/>
      <c r="K2490" s="61"/>
      <c r="L2490" s="60"/>
      <c r="M2490" s="74" t="str">
        <f t="shared" si="307"/>
        <v/>
      </c>
      <c r="N2490" s="74" t="str">
        <f t="shared" si="308"/>
        <v/>
      </c>
      <c r="O2490" s="73" t="str">
        <f t="shared" si="309"/>
        <v/>
      </c>
      <c r="P2490" s="65" t="str">
        <f t="shared" ca="1" si="310"/>
        <v/>
      </c>
      <c r="Q2490" s="2"/>
      <c r="R2490" s="2"/>
      <c r="S2490" s="1" t="str">
        <f t="shared" si="311"/>
        <v/>
      </c>
      <c r="T2490" s="1" t="str">
        <f>IF(OR($C2490="",$D2490&lt;&gt;"Gelir",$L2490=""),"",IFERROR(INDEX(MUSTERILER!$B$7:$B$156,MATCH($S2490,MUSTERILER!$T$7:$T$156,0)),""))</f>
        <v/>
      </c>
      <c r="U2490" s="1" t="str">
        <f>IF($T2490="","",$T2490&amp;"|"&amp;COUNTIFS($T$7:$T2490,$T2490))</f>
        <v/>
      </c>
      <c r="V2490" s="1">
        <f t="shared" si="312"/>
        <v>0</v>
      </c>
      <c r="W2490" s="1" t="str">
        <f t="shared" si="313"/>
        <v/>
      </c>
      <c r="X2490" s="1"/>
      <c r="Y2490" s="1"/>
      <c r="Z2490" s="1"/>
      <c r="AA2490" s="1"/>
      <c r="AB2490" s="1"/>
      <c r="AC2490" s="1"/>
      <c r="AD2490" s="1">
        <f>IF($C2490="",0,SUMPRODUCT((AY_SONU!$O$7:$O$42="Evet")*(AY_SONU!$B$7:$B$42=DATE(YEAR($C2490),MONTH($C2490),1))))</f>
        <v>0</v>
      </c>
      <c r="AE2490" s="1" t="str">
        <f>IF($E2490="","",$E2490&amp;"|"&amp;COUNTIFS($E$7:$E2490,$E2490))</f>
        <v/>
      </c>
    </row>
    <row r="2491" spans="1:31" ht="18" customHeight="1" x14ac:dyDescent="0.3">
      <c r="A2491" s="2"/>
      <c r="B2491" s="65" t="str">
        <f t="shared" si="306"/>
        <v/>
      </c>
      <c r="C2491" s="66"/>
      <c r="D2491" s="60"/>
      <c r="E2491" s="61"/>
      <c r="F2491" s="61"/>
      <c r="G2491" s="67"/>
      <c r="H2491" s="60"/>
      <c r="I2491" s="60"/>
      <c r="J2491" s="61"/>
      <c r="K2491" s="61"/>
      <c r="L2491" s="60"/>
      <c r="M2491" s="74" t="str">
        <f t="shared" si="307"/>
        <v/>
      </c>
      <c r="N2491" s="74" t="str">
        <f t="shared" si="308"/>
        <v/>
      </c>
      <c r="O2491" s="73" t="str">
        <f t="shared" si="309"/>
        <v/>
      </c>
      <c r="P2491" s="65" t="str">
        <f t="shared" ca="1" si="310"/>
        <v/>
      </c>
      <c r="Q2491" s="2"/>
      <c r="R2491" s="2"/>
      <c r="S2491" s="1" t="str">
        <f t="shared" si="311"/>
        <v/>
      </c>
      <c r="T2491" s="1" t="str">
        <f>IF(OR($C2491="",$D2491&lt;&gt;"Gelir",$L2491=""),"",IFERROR(INDEX(MUSTERILER!$B$7:$B$156,MATCH($S2491,MUSTERILER!$T$7:$T$156,0)),""))</f>
        <v/>
      </c>
      <c r="U2491" s="1" t="str">
        <f>IF($T2491="","",$T2491&amp;"|"&amp;COUNTIFS($T$7:$T2491,$T2491))</f>
        <v/>
      </c>
      <c r="V2491" s="1">
        <f t="shared" si="312"/>
        <v>0</v>
      </c>
      <c r="W2491" s="1" t="str">
        <f t="shared" si="313"/>
        <v/>
      </c>
      <c r="X2491" s="1"/>
      <c r="Y2491" s="1"/>
      <c r="Z2491" s="1"/>
      <c r="AA2491" s="1"/>
      <c r="AB2491" s="1"/>
      <c r="AC2491" s="1"/>
      <c r="AD2491" s="1">
        <f>IF($C2491="",0,SUMPRODUCT((AY_SONU!$O$7:$O$42="Evet")*(AY_SONU!$B$7:$B$42=DATE(YEAR($C2491),MONTH($C2491),1))))</f>
        <v>0</v>
      </c>
      <c r="AE2491" s="1" t="str">
        <f>IF($E2491="","",$E2491&amp;"|"&amp;COUNTIFS($E$7:$E2491,$E2491))</f>
        <v/>
      </c>
    </row>
    <row r="2492" spans="1:31" ht="18" customHeight="1" x14ac:dyDescent="0.3">
      <c r="A2492" s="2"/>
      <c r="B2492" s="65" t="str">
        <f t="shared" si="306"/>
        <v/>
      </c>
      <c r="C2492" s="66"/>
      <c r="D2492" s="60"/>
      <c r="E2492" s="61"/>
      <c r="F2492" s="61"/>
      <c r="G2492" s="67"/>
      <c r="H2492" s="60"/>
      <c r="I2492" s="60"/>
      <c r="J2492" s="61"/>
      <c r="K2492" s="61"/>
      <c r="L2492" s="60"/>
      <c r="M2492" s="74" t="str">
        <f t="shared" si="307"/>
        <v/>
      </c>
      <c r="N2492" s="74" t="str">
        <f t="shared" si="308"/>
        <v/>
      </c>
      <c r="O2492" s="73" t="str">
        <f t="shared" si="309"/>
        <v/>
      </c>
      <c r="P2492" s="65" t="str">
        <f t="shared" ca="1" si="310"/>
        <v/>
      </c>
      <c r="Q2492" s="2"/>
      <c r="R2492" s="2"/>
      <c r="S2492" s="1" t="str">
        <f t="shared" si="311"/>
        <v/>
      </c>
      <c r="T2492" s="1" t="str">
        <f>IF(OR($C2492="",$D2492&lt;&gt;"Gelir",$L2492=""),"",IFERROR(INDEX(MUSTERILER!$B$7:$B$156,MATCH($S2492,MUSTERILER!$T$7:$T$156,0)),""))</f>
        <v/>
      </c>
      <c r="U2492" s="1" t="str">
        <f>IF($T2492="","",$T2492&amp;"|"&amp;COUNTIFS($T$7:$T2492,$T2492))</f>
        <v/>
      </c>
      <c r="V2492" s="1">
        <f t="shared" si="312"/>
        <v>0</v>
      </c>
      <c r="W2492" s="1" t="str">
        <f t="shared" si="313"/>
        <v/>
      </c>
      <c r="X2492" s="1"/>
      <c r="Y2492" s="1"/>
      <c r="Z2492" s="1"/>
      <c r="AA2492" s="1"/>
      <c r="AB2492" s="1"/>
      <c r="AC2492" s="1"/>
      <c r="AD2492" s="1">
        <f>IF($C2492="",0,SUMPRODUCT((AY_SONU!$O$7:$O$42="Evet")*(AY_SONU!$B$7:$B$42=DATE(YEAR($C2492),MONTH($C2492),1))))</f>
        <v>0</v>
      </c>
      <c r="AE2492" s="1" t="str">
        <f>IF($E2492="","",$E2492&amp;"|"&amp;COUNTIFS($E$7:$E2492,$E2492))</f>
        <v/>
      </c>
    </row>
    <row r="2493" spans="1:31" ht="18" customHeight="1" x14ac:dyDescent="0.3">
      <c r="A2493" s="2"/>
      <c r="B2493" s="65" t="str">
        <f t="shared" si="306"/>
        <v/>
      </c>
      <c r="C2493" s="66"/>
      <c r="D2493" s="60"/>
      <c r="E2493" s="61"/>
      <c r="F2493" s="61"/>
      <c r="G2493" s="67"/>
      <c r="H2493" s="60"/>
      <c r="I2493" s="60"/>
      <c r="J2493" s="61"/>
      <c r="K2493" s="61"/>
      <c r="L2493" s="60"/>
      <c r="M2493" s="74" t="str">
        <f t="shared" si="307"/>
        <v/>
      </c>
      <c r="N2493" s="74" t="str">
        <f t="shared" si="308"/>
        <v/>
      </c>
      <c r="O2493" s="73" t="str">
        <f t="shared" si="309"/>
        <v/>
      </c>
      <c r="P2493" s="65" t="str">
        <f t="shared" ca="1" si="310"/>
        <v/>
      </c>
      <c r="Q2493" s="2"/>
      <c r="R2493" s="2"/>
      <c r="S2493" s="1" t="str">
        <f t="shared" si="311"/>
        <v/>
      </c>
      <c r="T2493" s="1" t="str">
        <f>IF(OR($C2493="",$D2493&lt;&gt;"Gelir",$L2493=""),"",IFERROR(INDEX(MUSTERILER!$B$7:$B$156,MATCH($S2493,MUSTERILER!$T$7:$T$156,0)),""))</f>
        <v/>
      </c>
      <c r="U2493" s="1" t="str">
        <f>IF($T2493="","",$T2493&amp;"|"&amp;COUNTIFS($T$7:$T2493,$T2493))</f>
        <v/>
      </c>
      <c r="V2493" s="1">
        <f t="shared" si="312"/>
        <v>0</v>
      </c>
      <c r="W2493" s="1" t="str">
        <f t="shared" si="313"/>
        <v/>
      </c>
      <c r="X2493" s="1"/>
      <c r="Y2493" s="1"/>
      <c r="Z2493" s="1"/>
      <c r="AA2493" s="1"/>
      <c r="AB2493" s="1"/>
      <c r="AC2493" s="1"/>
      <c r="AD2493" s="1">
        <f>IF($C2493="",0,SUMPRODUCT((AY_SONU!$O$7:$O$42="Evet")*(AY_SONU!$B$7:$B$42=DATE(YEAR($C2493),MONTH($C2493),1))))</f>
        <v>0</v>
      </c>
      <c r="AE2493" s="1" t="str">
        <f>IF($E2493="","",$E2493&amp;"|"&amp;COUNTIFS($E$7:$E2493,$E2493))</f>
        <v/>
      </c>
    </row>
    <row r="2494" spans="1:31" ht="18" customHeight="1" x14ac:dyDescent="0.3">
      <c r="A2494" s="2"/>
      <c r="B2494" s="65" t="str">
        <f t="shared" si="306"/>
        <v/>
      </c>
      <c r="C2494" s="66"/>
      <c r="D2494" s="60"/>
      <c r="E2494" s="61"/>
      <c r="F2494" s="61"/>
      <c r="G2494" s="67"/>
      <c r="H2494" s="60"/>
      <c r="I2494" s="60"/>
      <c r="J2494" s="61"/>
      <c r="K2494" s="61"/>
      <c r="L2494" s="60"/>
      <c r="M2494" s="74" t="str">
        <f t="shared" si="307"/>
        <v/>
      </c>
      <c r="N2494" s="74" t="str">
        <f t="shared" si="308"/>
        <v/>
      </c>
      <c r="O2494" s="73" t="str">
        <f t="shared" si="309"/>
        <v/>
      </c>
      <c r="P2494" s="65" t="str">
        <f t="shared" ca="1" si="310"/>
        <v/>
      </c>
      <c r="Q2494" s="2"/>
      <c r="R2494" s="2"/>
      <c r="S2494" s="1" t="str">
        <f t="shared" si="311"/>
        <v/>
      </c>
      <c r="T2494" s="1" t="str">
        <f>IF(OR($C2494="",$D2494&lt;&gt;"Gelir",$L2494=""),"",IFERROR(INDEX(MUSTERILER!$B$7:$B$156,MATCH($S2494,MUSTERILER!$T$7:$T$156,0)),""))</f>
        <v/>
      </c>
      <c r="U2494" s="1" t="str">
        <f>IF($T2494="","",$T2494&amp;"|"&amp;COUNTIFS($T$7:$T2494,$T2494))</f>
        <v/>
      </c>
      <c r="V2494" s="1">
        <f t="shared" si="312"/>
        <v>0</v>
      </c>
      <c r="W2494" s="1" t="str">
        <f t="shared" si="313"/>
        <v/>
      </c>
      <c r="X2494" s="1"/>
      <c r="Y2494" s="1"/>
      <c r="Z2494" s="1"/>
      <c r="AA2494" s="1"/>
      <c r="AB2494" s="1"/>
      <c r="AC2494" s="1"/>
      <c r="AD2494" s="1">
        <f>IF($C2494="",0,SUMPRODUCT((AY_SONU!$O$7:$O$42="Evet")*(AY_SONU!$B$7:$B$42=DATE(YEAR($C2494),MONTH($C2494),1))))</f>
        <v>0</v>
      </c>
      <c r="AE2494" s="1" t="str">
        <f>IF($E2494="","",$E2494&amp;"|"&amp;COUNTIFS($E$7:$E2494,$E2494))</f>
        <v/>
      </c>
    </row>
    <row r="2495" spans="1:31" ht="18" customHeight="1" x14ac:dyDescent="0.3">
      <c r="A2495" s="2"/>
      <c r="B2495" s="65" t="str">
        <f t="shared" si="306"/>
        <v/>
      </c>
      <c r="C2495" s="66"/>
      <c r="D2495" s="60"/>
      <c r="E2495" s="61"/>
      <c r="F2495" s="61"/>
      <c r="G2495" s="67"/>
      <c r="H2495" s="60"/>
      <c r="I2495" s="60"/>
      <c r="J2495" s="61"/>
      <c r="K2495" s="61"/>
      <c r="L2495" s="60"/>
      <c r="M2495" s="74" t="str">
        <f t="shared" si="307"/>
        <v/>
      </c>
      <c r="N2495" s="74" t="str">
        <f t="shared" si="308"/>
        <v/>
      </c>
      <c r="O2495" s="73" t="str">
        <f t="shared" si="309"/>
        <v/>
      </c>
      <c r="P2495" s="65" t="str">
        <f t="shared" ca="1" si="310"/>
        <v/>
      </c>
      <c r="Q2495" s="2"/>
      <c r="R2495" s="2"/>
      <c r="S2495" s="1" t="str">
        <f t="shared" si="311"/>
        <v/>
      </c>
      <c r="T2495" s="1" t="str">
        <f>IF(OR($C2495="",$D2495&lt;&gt;"Gelir",$L2495=""),"",IFERROR(INDEX(MUSTERILER!$B$7:$B$156,MATCH($S2495,MUSTERILER!$T$7:$T$156,0)),""))</f>
        <v/>
      </c>
      <c r="U2495" s="1" t="str">
        <f>IF($T2495="","",$T2495&amp;"|"&amp;COUNTIFS($T$7:$T2495,$T2495))</f>
        <v/>
      </c>
      <c r="V2495" s="1">
        <f t="shared" si="312"/>
        <v>0</v>
      </c>
      <c r="W2495" s="1" t="str">
        <f t="shared" si="313"/>
        <v/>
      </c>
      <c r="X2495" s="1"/>
      <c r="Y2495" s="1"/>
      <c r="Z2495" s="1"/>
      <c r="AA2495" s="1"/>
      <c r="AB2495" s="1"/>
      <c r="AC2495" s="1"/>
      <c r="AD2495" s="1">
        <f>IF($C2495="",0,SUMPRODUCT((AY_SONU!$O$7:$O$42="Evet")*(AY_SONU!$B$7:$B$42=DATE(YEAR($C2495),MONTH($C2495),1))))</f>
        <v>0</v>
      </c>
      <c r="AE2495" s="1" t="str">
        <f>IF($E2495="","",$E2495&amp;"|"&amp;COUNTIFS($E$7:$E2495,$E2495))</f>
        <v/>
      </c>
    </row>
    <row r="2496" spans="1:31" ht="18" customHeight="1" x14ac:dyDescent="0.3">
      <c r="A2496" s="2"/>
      <c r="B2496" s="65" t="str">
        <f t="shared" si="306"/>
        <v/>
      </c>
      <c r="C2496" s="66"/>
      <c r="D2496" s="60"/>
      <c r="E2496" s="61"/>
      <c r="F2496" s="61"/>
      <c r="G2496" s="67"/>
      <c r="H2496" s="60"/>
      <c r="I2496" s="60"/>
      <c r="J2496" s="61"/>
      <c r="K2496" s="61"/>
      <c r="L2496" s="60"/>
      <c r="M2496" s="74" t="str">
        <f t="shared" si="307"/>
        <v/>
      </c>
      <c r="N2496" s="74" t="str">
        <f t="shared" si="308"/>
        <v/>
      </c>
      <c r="O2496" s="73" t="str">
        <f t="shared" si="309"/>
        <v/>
      </c>
      <c r="P2496" s="65" t="str">
        <f t="shared" ca="1" si="310"/>
        <v/>
      </c>
      <c r="Q2496" s="2"/>
      <c r="R2496" s="2"/>
      <c r="S2496" s="1" t="str">
        <f t="shared" si="311"/>
        <v/>
      </c>
      <c r="T2496" s="1" t="str">
        <f>IF(OR($C2496="",$D2496&lt;&gt;"Gelir",$L2496=""),"",IFERROR(INDEX(MUSTERILER!$B$7:$B$156,MATCH($S2496,MUSTERILER!$T$7:$T$156,0)),""))</f>
        <v/>
      </c>
      <c r="U2496" s="1" t="str">
        <f>IF($T2496="","",$T2496&amp;"|"&amp;COUNTIFS($T$7:$T2496,$T2496))</f>
        <v/>
      </c>
      <c r="V2496" s="1">
        <f t="shared" si="312"/>
        <v>0</v>
      </c>
      <c r="W2496" s="1" t="str">
        <f t="shared" si="313"/>
        <v/>
      </c>
      <c r="X2496" s="1"/>
      <c r="Y2496" s="1"/>
      <c r="Z2496" s="1"/>
      <c r="AA2496" s="1"/>
      <c r="AB2496" s="1"/>
      <c r="AC2496" s="1"/>
      <c r="AD2496" s="1">
        <f>IF($C2496="",0,SUMPRODUCT((AY_SONU!$O$7:$O$42="Evet")*(AY_SONU!$B$7:$B$42=DATE(YEAR($C2496),MONTH($C2496),1))))</f>
        <v>0</v>
      </c>
      <c r="AE2496" s="1" t="str">
        <f>IF($E2496="","",$E2496&amp;"|"&amp;COUNTIFS($E$7:$E2496,$E2496))</f>
        <v/>
      </c>
    </row>
    <row r="2497" spans="1:31" ht="18" customHeight="1" x14ac:dyDescent="0.3">
      <c r="A2497" s="2"/>
      <c r="B2497" s="65" t="str">
        <f t="shared" si="306"/>
        <v/>
      </c>
      <c r="C2497" s="66"/>
      <c r="D2497" s="60"/>
      <c r="E2497" s="61"/>
      <c r="F2497" s="61"/>
      <c r="G2497" s="67"/>
      <c r="H2497" s="60"/>
      <c r="I2497" s="60"/>
      <c r="J2497" s="61"/>
      <c r="K2497" s="61"/>
      <c r="L2497" s="60"/>
      <c r="M2497" s="74" t="str">
        <f t="shared" si="307"/>
        <v/>
      </c>
      <c r="N2497" s="74" t="str">
        <f t="shared" si="308"/>
        <v/>
      </c>
      <c r="O2497" s="73" t="str">
        <f t="shared" si="309"/>
        <v/>
      </c>
      <c r="P2497" s="65" t="str">
        <f t="shared" ca="1" si="310"/>
        <v/>
      </c>
      <c r="Q2497" s="2"/>
      <c r="R2497" s="2"/>
      <c r="S2497" s="1" t="str">
        <f t="shared" si="311"/>
        <v/>
      </c>
      <c r="T2497" s="1" t="str">
        <f>IF(OR($C2497="",$D2497&lt;&gt;"Gelir",$L2497=""),"",IFERROR(INDEX(MUSTERILER!$B$7:$B$156,MATCH($S2497,MUSTERILER!$T$7:$T$156,0)),""))</f>
        <v/>
      </c>
      <c r="U2497" s="1" t="str">
        <f>IF($T2497="","",$T2497&amp;"|"&amp;COUNTIFS($T$7:$T2497,$T2497))</f>
        <v/>
      </c>
      <c r="V2497" s="1">
        <f t="shared" si="312"/>
        <v>0</v>
      </c>
      <c r="W2497" s="1" t="str">
        <f t="shared" si="313"/>
        <v/>
      </c>
      <c r="X2497" s="1"/>
      <c r="Y2497" s="1"/>
      <c r="Z2497" s="1"/>
      <c r="AA2497" s="1"/>
      <c r="AB2497" s="1"/>
      <c r="AC2497" s="1"/>
      <c r="AD2497" s="1">
        <f>IF($C2497="",0,SUMPRODUCT((AY_SONU!$O$7:$O$42="Evet")*(AY_SONU!$B$7:$B$42=DATE(YEAR($C2497),MONTH($C2497),1))))</f>
        <v>0</v>
      </c>
      <c r="AE2497" s="1" t="str">
        <f>IF($E2497="","",$E2497&amp;"|"&amp;COUNTIFS($E$7:$E2497,$E2497))</f>
        <v/>
      </c>
    </row>
    <row r="2498" spans="1:31" ht="18" customHeight="1" x14ac:dyDescent="0.3">
      <c r="A2498" s="2"/>
      <c r="B2498" s="65" t="str">
        <f t="shared" si="306"/>
        <v/>
      </c>
      <c r="C2498" s="66"/>
      <c r="D2498" s="60"/>
      <c r="E2498" s="61"/>
      <c r="F2498" s="61"/>
      <c r="G2498" s="67"/>
      <c r="H2498" s="60"/>
      <c r="I2498" s="60"/>
      <c r="J2498" s="61"/>
      <c r="K2498" s="61"/>
      <c r="L2498" s="60"/>
      <c r="M2498" s="74" t="str">
        <f t="shared" si="307"/>
        <v/>
      </c>
      <c r="N2498" s="74" t="str">
        <f t="shared" si="308"/>
        <v/>
      </c>
      <c r="O2498" s="73" t="str">
        <f t="shared" si="309"/>
        <v/>
      </c>
      <c r="P2498" s="65" t="str">
        <f t="shared" ca="1" si="310"/>
        <v/>
      </c>
      <c r="Q2498" s="2"/>
      <c r="R2498" s="2"/>
      <c r="S2498" s="1" t="str">
        <f t="shared" si="311"/>
        <v/>
      </c>
      <c r="T2498" s="1" t="str">
        <f>IF(OR($C2498="",$D2498&lt;&gt;"Gelir",$L2498=""),"",IFERROR(INDEX(MUSTERILER!$B$7:$B$156,MATCH($S2498,MUSTERILER!$T$7:$T$156,0)),""))</f>
        <v/>
      </c>
      <c r="U2498" s="1" t="str">
        <f>IF($T2498="","",$T2498&amp;"|"&amp;COUNTIFS($T$7:$T2498,$T2498))</f>
        <v/>
      </c>
      <c r="V2498" s="1">
        <f t="shared" si="312"/>
        <v>0</v>
      </c>
      <c r="W2498" s="1" t="str">
        <f t="shared" si="313"/>
        <v/>
      </c>
      <c r="X2498" s="1"/>
      <c r="Y2498" s="1"/>
      <c r="Z2498" s="1"/>
      <c r="AA2498" s="1"/>
      <c r="AB2498" s="1"/>
      <c r="AC2498" s="1"/>
      <c r="AD2498" s="1">
        <f>IF($C2498="",0,SUMPRODUCT((AY_SONU!$O$7:$O$42="Evet")*(AY_SONU!$B$7:$B$42=DATE(YEAR($C2498),MONTH($C2498),1))))</f>
        <v>0</v>
      </c>
      <c r="AE2498" s="1" t="str">
        <f>IF($E2498="","",$E2498&amp;"|"&amp;COUNTIFS($E$7:$E2498,$E2498))</f>
        <v/>
      </c>
    </row>
    <row r="2499" spans="1:31" ht="18" customHeight="1" x14ac:dyDescent="0.3">
      <c r="A2499" s="2"/>
      <c r="B2499" s="65" t="str">
        <f t="shared" si="306"/>
        <v/>
      </c>
      <c r="C2499" s="66"/>
      <c r="D2499" s="60"/>
      <c r="E2499" s="61"/>
      <c r="F2499" s="61"/>
      <c r="G2499" s="67"/>
      <c r="H2499" s="60"/>
      <c r="I2499" s="60"/>
      <c r="J2499" s="61"/>
      <c r="K2499" s="61"/>
      <c r="L2499" s="60"/>
      <c r="M2499" s="74" t="str">
        <f t="shared" si="307"/>
        <v/>
      </c>
      <c r="N2499" s="74" t="str">
        <f t="shared" si="308"/>
        <v/>
      </c>
      <c r="O2499" s="73" t="str">
        <f t="shared" si="309"/>
        <v/>
      </c>
      <c r="P2499" s="65" t="str">
        <f t="shared" ca="1" si="310"/>
        <v/>
      </c>
      <c r="Q2499" s="2"/>
      <c r="R2499" s="2"/>
      <c r="S2499" s="1" t="str">
        <f t="shared" si="311"/>
        <v/>
      </c>
      <c r="T2499" s="1" t="str">
        <f>IF(OR($C2499="",$D2499&lt;&gt;"Gelir",$L2499=""),"",IFERROR(INDEX(MUSTERILER!$B$7:$B$156,MATCH($S2499,MUSTERILER!$T$7:$T$156,0)),""))</f>
        <v/>
      </c>
      <c r="U2499" s="1" t="str">
        <f>IF($T2499="","",$T2499&amp;"|"&amp;COUNTIFS($T$7:$T2499,$T2499))</f>
        <v/>
      </c>
      <c r="V2499" s="1">
        <f t="shared" si="312"/>
        <v>0</v>
      </c>
      <c r="W2499" s="1" t="str">
        <f t="shared" si="313"/>
        <v/>
      </c>
      <c r="X2499" s="1"/>
      <c r="Y2499" s="1"/>
      <c r="Z2499" s="1"/>
      <c r="AA2499" s="1"/>
      <c r="AB2499" s="1"/>
      <c r="AC2499" s="1"/>
      <c r="AD2499" s="1">
        <f>IF($C2499="",0,SUMPRODUCT((AY_SONU!$O$7:$O$42="Evet")*(AY_SONU!$B$7:$B$42=DATE(YEAR($C2499),MONTH($C2499),1))))</f>
        <v>0</v>
      </c>
      <c r="AE2499" s="1" t="str">
        <f>IF($E2499="","",$E2499&amp;"|"&amp;COUNTIFS($E$7:$E2499,$E2499))</f>
        <v/>
      </c>
    </row>
    <row r="2500" spans="1:31" ht="18" customHeight="1" x14ac:dyDescent="0.3">
      <c r="A2500" s="2"/>
      <c r="B2500" s="65" t="str">
        <f t="shared" si="306"/>
        <v/>
      </c>
      <c r="C2500" s="66"/>
      <c r="D2500" s="60"/>
      <c r="E2500" s="61"/>
      <c r="F2500" s="61"/>
      <c r="G2500" s="67"/>
      <c r="H2500" s="60"/>
      <c r="I2500" s="60"/>
      <c r="J2500" s="61"/>
      <c r="K2500" s="61"/>
      <c r="L2500" s="60"/>
      <c r="M2500" s="74" t="str">
        <f t="shared" si="307"/>
        <v/>
      </c>
      <c r="N2500" s="74" t="str">
        <f t="shared" si="308"/>
        <v/>
      </c>
      <c r="O2500" s="73" t="str">
        <f t="shared" si="309"/>
        <v/>
      </c>
      <c r="P2500" s="65" t="str">
        <f t="shared" ca="1" si="310"/>
        <v/>
      </c>
      <c r="Q2500" s="2"/>
      <c r="R2500" s="2"/>
      <c r="S2500" s="1" t="str">
        <f t="shared" si="311"/>
        <v/>
      </c>
      <c r="T2500" s="1" t="str">
        <f>IF(OR($C2500="",$D2500&lt;&gt;"Gelir",$L2500=""),"",IFERROR(INDEX(MUSTERILER!$B$7:$B$156,MATCH($S2500,MUSTERILER!$T$7:$T$156,0)),""))</f>
        <v/>
      </c>
      <c r="U2500" s="1" t="str">
        <f>IF($T2500="","",$T2500&amp;"|"&amp;COUNTIFS($T$7:$T2500,$T2500))</f>
        <v/>
      </c>
      <c r="V2500" s="1">
        <f t="shared" si="312"/>
        <v>0</v>
      </c>
      <c r="W2500" s="1" t="str">
        <f t="shared" si="313"/>
        <v/>
      </c>
      <c r="X2500" s="1"/>
      <c r="Y2500" s="1"/>
      <c r="Z2500" s="1"/>
      <c r="AA2500" s="1"/>
      <c r="AB2500" s="1"/>
      <c r="AC2500" s="1"/>
      <c r="AD2500" s="1">
        <f>IF($C2500="",0,SUMPRODUCT((AY_SONU!$O$7:$O$42="Evet")*(AY_SONU!$B$7:$B$42=DATE(YEAR($C2500),MONTH($C2500),1))))</f>
        <v>0</v>
      </c>
      <c r="AE2500" s="1" t="str">
        <f>IF($E2500="","",$E2500&amp;"|"&amp;COUNTIFS($E$7:$E2500,$E2500))</f>
        <v/>
      </c>
    </row>
    <row r="2501" spans="1:31" ht="18" customHeight="1" x14ac:dyDescent="0.3">
      <c r="A2501" s="2"/>
      <c r="B2501" s="65" t="str">
        <f t="shared" si="306"/>
        <v/>
      </c>
      <c r="C2501" s="66"/>
      <c r="D2501" s="60"/>
      <c r="E2501" s="61"/>
      <c r="F2501" s="61"/>
      <c r="G2501" s="67"/>
      <c r="H2501" s="60"/>
      <c r="I2501" s="60"/>
      <c r="J2501" s="61"/>
      <c r="K2501" s="61"/>
      <c r="L2501" s="60"/>
      <c r="M2501" s="74" t="str">
        <f t="shared" si="307"/>
        <v/>
      </c>
      <c r="N2501" s="74" t="str">
        <f t="shared" si="308"/>
        <v/>
      </c>
      <c r="O2501" s="73" t="str">
        <f t="shared" si="309"/>
        <v/>
      </c>
      <c r="P2501" s="65" t="str">
        <f t="shared" ca="1" si="310"/>
        <v/>
      </c>
      <c r="Q2501" s="2"/>
      <c r="R2501" s="2"/>
      <c r="S2501" s="1" t="str">
        <f t="shared" si="311"/>
        <v/>
      </c>
      <c r="T2501" s="1" t="str">
        <f>IF(OR($C2501="",$D2501&lt;&gt;"Gelir",$L2501=""),"",IFERROR(INDEX(MUSTERILER!$B$7:$B$156,MATCH($S2501,MUSTERILER!$T$7:$T$156,0)),""))</f>
        <v/>
      </c>
      <c r="U2501" s="1" t="str">
        <f>IF($T2501="","",$T2501&amp;"|"&amp;COUNTIFS($T$7:$T2501,$T2501))</f>
        <v/>
      </c>
      <c r="V2501" s="1">
        <f t="shared" si="312"/>
        <v>0</v>
      </c>
      <c r="W2501" s="1" t="str">
        <f t="shared" si="313"/>
        <v/>
      </c>
      <c r="X2501" s="1"/>
      <c r="Y2501" s="1"/>
      <c r="Z2501" s="1"/>
      <c r="AA2501" s="1"/>
      <c r="AB2501" s="1"/>
      <c r="AC2501" s="1"/>
      <c r="AD2501" s="1">
        <f>IF($C2501="",0,SUMPRODUCT((AY_SONU!$O$7:$O$42="Evet")*(AY_SONU!$B$7:$B$42=DATE(YEAR($C2501),MONTH($C2501),1))))</f>
        <v>0</v>
      </c>
      <c r="AE2501" s="1" t="str">
        <f>IF($E2501="","",$E2501&amp;"|"&amp;COUNTIFS($E$7:$E2501,$E2501))</f>
        <v/>
      </c>
    </row>
    <row r="2502" spans="1:31" ht="18" customHeight="1" x14ac:dyDescent="0.3">
      <c r="A2502" s="2"/>
      <c r="B2502" s="65" t="str">
        <f t="shared" si="306"/>
        <v/>
      </c>
      <c r="C2502" s="66"/>
      <c r="D2502" s="60"/>
      <c r="E2502" s="61"/>
      <c r="F2502" s="61"/>
      <c r="G2502" s="67"/>
      <c r="H2502" s="60"/>
      <c r="I2502" s="60"/>
      <c r="J2502" s="61"/>
      <c r="K2502" s="61"/>
      <c r="L2502" s="60"/>
      <c r="M2502" s="74" t="str">
        <f t="shared" si="307"/>
        <v/>
      </c>
      <c r="N2502" s="74" t="str">
        <f t="shared" si="308"/>
        <v/>
      </c>
      <c r="O2502" s="73" t="str">
        <f t="shared" si="309"/>
        <v/>
      </c>
      <c r="P2502" s="65" t="str">
        <f t="shared" ca="1" si="310"/>
        <v/>
      </c>
      <c r="Q2502" s="2"/>
      <c r="R2502" s="2"/>
      <c r="S2502" s="1" t="str">
        <f t="shared" si="311"/>
        <v/>
      </c>
      <c r="T2502" s="1" t="str">
        <f>IF(OR($C2502="",$D2502&lt;&gt;"Gelir",$L2502=""),"",IFERROR(INDEX(MUSTERILER!$B$7:$B$156,MATCH($S2502,MUSTERILER!$T$7:$T$156,0)),""))</f>
        <v/>
      </c>
      <c r="U2502" s="1" t="str">
        <f>IF($T2502="","",$T2502&amp;"|"&amp;COUNTIFS($T$7:$T2502,$T2502))</f>
        <v/>
      </c>
      <c r="V2502" s="1">
        <f t="shared" si="312"/>
        <v>0</v>
      </c>
      <c r="W2502" s="1" t="str">
        <f t="shared" si="313"/>
        <v/>
      </c>
      <c r="X2502" s="1"/>
      <c r="Y2502" s="1"/>
      <c r="Z2502" s="1"/>
      <c r="AA2502" s="1"/>
      <c r="AB2502" s="1"/>
      <c r="AC2502" s="1"/>
      <c r="AD2502" s="1">
        <f>IF($C2502="",0,SUMPRODUCT((AY_SONU!$O$7:$O$42="Evet")*(AY_SONU!$B$7:$B$42=DATE(YEAR($C2502),MONTH($C2502),1))))</f>
        <v>0</v>
      </c>
      <c r="AE2502" s="1" t="str">
        <f>IF($E2502="","",$E2502&amp;"|"&amp;COUNTIFS($E$7:$E2502,$E2502))</f>
        <v/>
      </c>
    </row>
    <row r="2503" spans="1:31" ht="18" customHeight="1" x14ac:dyDescent="0.3">
      <c r="A2503" s="2"/>
      <c r="B2503" s="65" t="str">
        <f t="shared" ref="B2503:B2566" si="314">IF($C2503="","","GG"&amp;TEXT(ROW()-6,"00000"))</f>
        <v/>
      </c>
      <c r="C2503" s="66"/>
      <c r="D2503" s="60"/>
      <c r="E2503" s="61"/>
      <c r="F2503" s="61"/>
      <c r="G2503" s="67"/>
      <c r="H2503" s="60"/>
      <c r="I2503" s="60"/>
      <c r="J2503" s="61"/>
      <c r="K2503" s="61"/>
      <c r="L2503" s="60"/>
      <c r="M2503" s="74" t="str">
        <f t="shared" ref="M2503:M2566" si="315">IF($C2503="","",IF($D2503="Gider",$E2503,IF($L2503&lt;&gt;"",$L2503,$H2503)))</f>
        <v/>
      </c>
      <c r="N2503" s="74" t="str">
        <f t="shared" ref="N2503:N2566" si="316">IF($C2503="","",IF($D2503="Gider",$H2503,$E2503))</f>
        <v/>
      </c>
      <c r="O2503" s="73" t="str">
        <f t="shared" ref="O2503:O2566" si="317">IF($C2503="","",DATE(YEAR($C2503),MONTH($C2503),1))</f>
        <v/>
      </c>
      <c r="P2503" s="65" t="str">
        <f t="shared" ref="P2503:P2566" ca="1" si="318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TARİH",IF(COUNTIF($W$7:$W$3006,$W2503)&gt;1,"MÜKERRER?",IF($AD2503&gt;0,"KAPALI DÖNEM",IF($I2503="Hayır","ÖDENECEK","UYGUN")))),"EKSİK"))))</f>
        <v/>
      </c>
      <c r="Q2503" s="2"/>
      <c r="R2503" s="2"/>
      <c r="S2503" s="1" t="str">
        <f t="shared" ref="S2503:S2566" si="319"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1" t="str">
        <f>IF(OR($C2503="",$D2503&lt;&gt;"Gelir",$L2503=""),"",IFERROR(INDEX(MUSTERILER!$B$7:$B$156,MATCH($S2503,MUSTERILER!$T$7:$T$156,0)),""))</f>
        <v/>
      </c>
      <c r="U2503" s="1" t="str">
        <f>IF($T2503="","",$T2503&amp;"|"&amp;COUNTIFS($T$7:$T2503,$T2503))</f>
        <v/>
      </c>
      <c r="V2503" s="1">
        <f t="shared" ref="V2503:V2566" si="320">IF($T2503="",0,1)</f>
        <v>0</v>
      </c>
      <c r="W2503" s="1" t="str">
        <f t="shared" ref="W2503:W2566" si="321">IF($C2503="","",$D2503&amp;"|"&amp;$E2503&amp;"|"&amp;TEXT($C2503,"0")&amp;"|"&amp;TEXT($G2503,"0")&amp;"|"&amp;$J2503)</f>
        <v/>
      </c>
      <c r="X2503" s="1"/>
      <c r="Y2503" s="1"/>
      <c r="Z2503" s="1"/>
      <c r="AA2503" s="1"/>
      <c r="AB2503" s="1"/>
      <c r="AC2503" s="1"/>
      <c r="AD2503" s="1">
        <f>IF($C2503="",0,SUMPRODUCT((AY_SONU!$O$7:$O$42="Evet")*(AY_SONU!$B$7:$B$42=DATE(YEAR($C2503),MONTH($C2503),1))))</f>
        <v>0</v>
      </c>
      <c r="AE2503" s="1" t="str">
        <f>IF($E2503="","",$E2503&amp;"|"&amp;COUNTIFS($E$7:$E2503,$E2503))</f>
        <v/>
      </c>
    </row>
    <row r="2504" spans="1:31" ht="18" customHeight="1" x14ac:dyDescent="0.3">
      <c r="A2504" s="2"/>
      <c r="B2504" s="65" t="str">
        <f t="shared" si="314"/>
        <v/>
      </c>
      <c r="C2504" s="66"/>
      <c r="D2504" s="60"/>
      <c r="E2504" s="61"/>
      <c r="F2504" s="61"/>
      <c r="G2504" s="67"/>
      <c r="H2504" s="60"/>
      <c r="I2504" s="60"/>
      <c r="J2504" s="61"/>
      <c r="K2504" s="61"/>
      <c r="L2504" s="60"/>
      <c r="M2504" s="74" t="str">
        <f t="shared" si="315"/>
        <v/>
      </c>
      <c r="N2504" s="74" t="str">
        <f t="shared" si="316"/>
        <v/>
      </c>
      <c r="O2504" s="73" t="str">
        <f t="shared" si="317"/>
        <v/>
      </c>
      <c r="P2504" s="65" t="str">
        <f t="shared" ca="1" si="318"/>
        <v/>
      </c>
      <c r="Q2504" s="2"/>
      <c r="R2504" s="2"/>
      <c r="S2504" s="1" t="str">
        <f t="shared" si="319"/>
        <v/>
      </c>
      <c r="T2504" s="1" t="str">
        <f>IF(OR($C2504="",$D2504&lt;&gt;"Gelir",$L2504=""),"",IFERROR(INDEX(MUSTERILER!$B$7:$B$156,MATCH($S2504,MUSTERILER!$T$7:$T$156,0)),""))</f>
        <v/>
      </c>
      <c r="U2504" s="1" t="str">
        <f>IF($T2504="","",$T2504&amp;"|"&amp;COUNTIFS($T$7:$T2504,$T2504))</f>
        <v/>
      </c>
      <c r="V2504" s="1">
        <f t="shared" si="320"/>
        <v>0</v>
      </c>
      <c r="W2504" s="1" t="str">
        <f t="shared" si="321"/>
        <v/>
      </c>
      <c r="X2504" s="1"/>
      <c r="Y2504" s="1"/>
      <c r="Z2504" s="1"/>
      <c r="AA2504" s="1"/>
      <c r="AB2504" s="1"/>
      <c r="AC2504" s="1"/>
      <c r="AD2504" s="1">
        <f>IF($C2504="",0,SUMPRODUCT((AY_SONU!$O$7:$O$42="Evet")*(AY_SONU!$B$7:$B$42=DATE(YEAR($C2504),MONTH($C2504),1))))</f>
        <v>0</v>
      </c>
      <c r="AE2504" s="1" t="str">
        <f>IF($E2504="","",$E2504&amp;"|"&amp;COUNTIFS($E$7:$E2504,$E2504))</f>
        <v/>
      </c>
    </row>
    <row r="2505" spans="1:31" ht="18" customHeight="1" x14ac:dyDescent="0.3">
      <c r="A2505" s="2"/>
      <c r="B2505" s="65" t="str">
        <f t="shared" si="314"/>
        <v/>
      </c>
      <c r="C2505" s="66"/>
      <c r="D2505" s="60"/>
      <c r="E2505" s="61"/>
      <c r="F2505" s="61"/>
      <c r="G2505" s="67"/>
      <c r="H2505" s="60"/>
      <c r="I2505" s="60"/>
      <c r="J2505" s="61"/>
      <c r="K2505" s="61"/>
      <c r="L2505" s="60"/>
      <c r="M2505" s="74" t="str">
        <f t="shared" si="315"/>
        <v/>
      </c>
      <c r="N2505" s="74" t="str">
        <f t="shared" si="316"/>
        <v/>
      </c>
      <c r="O2505" s="73" t="str">
        <f t="shared" si="317"/>
        <v/>
      </c>
      <c r="P2505" s="65" t="str">
        <f t="shared" ca="1" si="318"/>
        <v/>
      </c>
      <c r="Q2505" s="2"/>
      <c r="R2505" s="2"/>
      <c r="S2505" s="1" t="str">
        <f t="shared" si="319"/>
        <v/>
      </c>
      <c r="T2505" s="1" t="str">
        <f>IF(OR($C2505="",$D2505&lt;&gt;"Gelir",$L2505=""),"",IFERROR(INDEX(MUSTERILER!$B$7:$B$156,MATCH($S2505,MUSTERILER!$T$7:$T$156,0)),""))</f>
        <v/>
      </c>
      <c r="U2505" s="1" t="str">
        <f>IF($T2505="","",$T2505&amp;"|"&amp;COUNTIFS($T$7:$T2505,$T2505))</f>
        <v/>
      </c>
      <c r="V2505" s="1">
        <f t="shared" si="320"/>
        <v>0</v>
      </c>
      <c r="W2505" s="1" t="str">
        <f t="shared" si="321"/>
        <v/>
      </c>
      <c r="X2505" s="1"/>
      <c r="Y2505" s="1"/>
      <c r="Z2505" s="1"/>
      <c r="AA2505" s="1"/>
      <c r="AB2505" s="1"/>
      <c r="AC2505" s="1"/>
      <c r="AD2505" s="1">
        <f>IF($C2505="",0,SUMPRODUCT((AY_SONU!$O$7:$O$42="Evet")*(AY_SONU!$B$7:$B$42=DATE(YEAR($C2505),MONTH($C2505),1))))</f>
        <v>0</v>
      </c>
      <c r="AE2505" s="1" t="str">
        <f>IF($E2505="","",$E2505&amp;"|"&amp;COUNTIFS($E$7:$E2505,$E2505))</f>
        <v/>
      </c>
    </row>
    <row r="2506" spans="1:31" ht="18" customHeight="1" x14ac:dyDescent="0.3">
      <c r="A2506" s="2"/>
      <c r="B2506" s="65" t="str">
        <f t="shared" si="314"/>
        <v/>
      </c>
      <c r="C2506" s="66"/>
      <c r="D2506" s="60"/>
      <c r="E2506" s="61"/>
      <c r="F2506" s="61"/>
      <c r="G2506" s="67"/>
      <c r="H2506" s="60"/>
      <c r="I2506" s="60"/>
      <c r="J2506" s="61"/>
      <c r="K2506" s="61"/>
      <c r="L2506" s="60"/>
      <c r="M2506" s="74" t="str">
        <f t="shared" si="315"/>
        <v/>
      </c>
      <c r="N2506" s="74" t="str">
        <f t="shared" si="316"/>
        <v/>
      </c>
      <c r="O2506" s="73" t="str">
        <f t="shared" si="317"/>
        <v/>
      </c>
      <c r="P2506" s="65" t="str">
        <f t="shared" ca="1" si="318"/>
        <v/>
      </c>
      <c r="Q2506" s="2"/>
      <c r="R2506" s="2"/>
      <c r="S2506" s="1" t="str">
        <f t="shared" si="319"/>
        <v/>
      </c>
      <c r="T2506" s="1" t="str">
        <f>IF(OR($C2506="",$D2506&lt;&gt;"Gelir",$L2506=""),"",IFERROR(INDEX(MUSTERILER!$B$7:$B$156,MATCH($S2506,MUSTERILER!$T$7:$T$156,0)),""))</f>
        <v/>
      </c>
      <c r="U2506" s="1" t="str">
        <f>IF($T2506="","",$T2506&amp;"|"&amp;COUNTIFS($T$7:$T2506,$T2506))</f>
        <v/>
      </c>
      <c r="V2506" s="1">
        <f t="shared" si="320"/>
        <v>0</v>
      </c>
      <c r="W2506" s="1" t="str">
        <f t="shared" si="321"/>
        <v/>
      </c>
      <c r="X2506" s="1"/>
      <c r="Y2506" s="1"/>
      <c r="Z2506" s="1"/>
      <c r="AA2506" s="1"/>
      <c r="AB2506" s="1"/>
      <c r="AC2506" s="1"/>
      <c r="AD2506" s="1">
        <f>IF($C2506="",0,SUMPRODUCT((AY_SONU!$O$7:$O$42="Evet")*(AY_SONU!$B$7:$B$42=DATE(YEAR($C2506),MONTH($C2506),1))))</f>
        <v>0</v>
      </c>
      <c r="AE2506" s="1" t="str">
        <f>IF($E2506="","",$E2506&amp;"|"&amp;COUNTIFS($E$7:$E2506,$E2506))</f>
        <v/>
      </c>
    </row>
    <row r="2507" spans="1:31" ht="18" customHeight="1" x14ac:dyDescent="0.3">
      <c r="A2507" s="2"/>
      <c r="B2507" s="65" t="str">
        <f t="shared" si="314"/>
        <v/>
      </c>
      <c r="C2507" s="66"/>
      <c r="D2507" s="60"/>
      <c r="E2507" s="61"/>
      <c r="F2507" s="61"/>
      <c r="G2507" s="67"/>
      <c r="H2507" s="60"/>
      <c r="I2507" s="60"/>
      <c r="J2507" s="61"/>
      <c r="K2507" s="61"/>
      <c r="L2507" s="60"/>
      <c r="M2507" s="74" t="str">
        <f t="shared" si="315"/>
        <v/>
      </c>
      <c r="N2507" s="74" t="str">
        <f t="shared" si="316"/>
        <v/>
      </c>
      <c r="O2507" s="73" t="str">
        <f t="shared" si="317"/>
        <v/>
      </c>
      <c r="P2507" s="65" t="str">
        <f t="shared" ca="1" si="318"/>
        <v/>
      </c>
      <c r="Q2507" s="2"/>
      <c r="R2507" s="2"/>
      <c r="S2507" s="1" t="str">
        <f t="shared" si="319"/>
        <v/>
      </c>
      <c r="T2507" s="1" t="str">
        <f>IF(OR($C2507="",$D2507&lt;&gt;"Gelir",$L2507=""),"",IFERROR(INDEX(MUSTERILER!$B$7:$B$156,MATCH($S2507,MUSTERILER!$T$7:$T$156,0)),""))</f>
        <v/>
      </c>
      <c r="U2507" s="1" t="str">
        <f>IF($T2507="","",$T2507&amp;"|"&amp;COUNTIFS($T$7:$T2507,$T2507))</f>
        <v/>
      </c>
      <c r="V2507" s="1">
        <f t="shared" si="320"/>
        <v>0</v>
      </c>
      <c r="W2507" s="1" t="str">
        <f t="shared" si="321"/>
        <v/>
      </c>
      <c r="X2507" s="1"/>
      <c r="Y2507" s="1"/>
      <c r="Z2507" s="1"/>
      <c r="AA2507" s="1"/>
      <c r="AB2507" s="1"/>
      <c r="AC2507" s="1"/>
      <c r="AD2507" s="1">
        <f>IF($C2507="",0,SUMPRODUCT((AY_SONU!$O$7:$O$42="Evet")*(AY_SONU!$B$7:$B$42=DATE(YEAR($C2507),MONTH($C2507),1))))</f>
        <v>0</v>
      </c>
      <c r="AE2507" s="1" t="str">
        <f>IF($E2507="","",$E2507&amp;"|"&amp;COUNTIFS($E$7:$E2507,$E2507))</f>
        <v/>
      </c>
    </row>
    <row r="2508" spans="1:31" ht="18" customHeight="1" x14ac:dyDescent="0.3">
      <c r="A2508" s="2"/>
      <c r="B2508" s="65" t="str">
        <f t="shared" si="314"/>
        <v/>
      </c>
      <c r="C2508" s="66"/>
      <c r="D2508" s="60"/>
      <c r="E2508" s="61"/>
      <c r="F2508" s="61"/>
      <c r="G2508" s="67"/>
      <c r="H2508" s="60"/>
      <c r="I2508" s="60"/>
      <c r="J2508" s="61"/>
      <c r="K2508" s="61"/>
      <c r="L2508" s="60"/>
      <c r="M2508" s="74" t="str">
        <f t="shared" si="315"/>
        <v/>
      </c>
      <c r="N2508" s="74" t="str">
        <f t="shared" si="316"/>
        <v/>
      </c>
      <c r="O2508" s="73" t="str">
        <f t="shared" si="317"/>
        <v/>
      </c>
      <c r="P2508" s="65" t="str">
        <f t="shared" ca="1" si="318"/>
        <v/>
      </c>
      <c r="Q2508" s="2"/>
      <c r="R2508" s="2"/>
      <c r="S2508" s="1" t="str">
        <f t="shared" si="319"/>
        <v/>
      </c>
      <c r="T2508" s="1" t="str">
        <f>IF(OR($C2508="",$D2508&lt;&gt;"Gelir",$L2508=""),"",IFERROR(INDEX(MUSTERILER!$B$7:$B$156,MATCH($S2508,MUSTERILER!$T$7:$T$156,0)),""))</f>
        <v/>
      </c>
      <c r="U2508" s="1" t="str">
        <f>IF($T2508="","",$T2508&amp;"|"&amp;COUNTIFS($T$7:$T2508,$T2508))</f>
        <v/>
      </c>
      <c r="V2508" s="1">
        <f t="shared" si="320"/>
        <v>0</v>
      </c>
      <c r="W2508" s="1" t="str">
        <f t="shared" si="321"/>
        <v/>
      </c>
      <c r="X2508" s="1"/>
      <c r="Y2508" s="1"/>
      <c r="Z2508" s="1"/>
      <c r="AA2508" s="1"/>
      <c r="AB2508" s="1"/>
      <c r="AC2508" s="1"/>
      <c r="AD2508" s="1">
        <f>IF($C2508="",0,SUMPRODUCT((AY_SONU!$O$7:$O$42="Evet")*(AY_SONU!$B$7:$B$42=DATE(YEAR($C2508),MONTH($C2508),1))))</f>
        <v>0</v>
      </c>
      <c r="AE2508" s="1" t="str">
        <f>IF($E2508="","",$E2508&amp;"|"&amp;COUNTIFS($E$7:$E2508,$E2508))</f>
        <v/>
      </c>
    </row>
    <row r="2509" spans="1:31" ht="18" customHeight="1" x14ac:dyDescent="0.3">
      <c r="A2509" s="2"/>
      <c r="B2509" s="65" t="str">
        <f t="shared" si="314"/>
        <v/>
      </c>
      <c r="C2509" s="66"/>
      <c r="D2509" s="60"/>
      <c r="E2509" s="61"/>
      <c r="F2509" s="61"/>
      <c r="G2509" s="67"/>
      <c r="H2509" s="60"/>
      <c r="I2509" s="60"/>
      <c r="J2509" s="61"/>
      <c r="K2509" s="61"/>
      <c r="L2509" s="60"/>
      <c r="M2509" s="74" t="str">
        <f t="shared" si="315"/>
        <v/>
      </c>
      <c r="N2509" s="74" t="str">
        <f t="shared" si="316"/>
        <v/>
      </c>
      <c r="O2509" s="73" t="str">
        <f t="shared" si="317"/>
        <v/>
      </c>
      <c r="P2509" s="65" t="str">
        <f t="shared" ca="1" si="318"/>
        <v/>
      </c>
      <c r="Q2509" s="2"/>
      <c r="R2509" s="2"/>
      <c r="S2509" s="1" t="str">
        <f t="shared" si="319"/>
        <v/>
      </c>
      <c r="T2509" s="1" t="str">
        <f>IF(OR($C2509="",$D2509&lt;&gt;"Gelir",$L2509=""),"",IFERROR(INDEX(MUSTERILER!$B$7:$B$156,MATCH($S2509,MUSTERILER!$T$7:$T$156,0)),""))</f>
        <v/>
      </c>
      <c r="U2509" s="1" t="str">
        <f>IF($T2509="","",$T2509&amp;"|"&amp;COUNTIFS($T$7:$T2509,$T2509))</f>
        <v/>
      </c>
      <c r="V2509" s="1">
        <f t="shared" si="320"/>
        <v>0</v>
      </c>
      <c r="W2509" s="1" t="str">
        <f t="shared" si="321"/>
        <v/>
      </c>
      <c r="X2509" s="1"/>
      <c r="Y2509" s="1"/>
      <c r="Z2509" s="1"/>
      <c r="AA2509" s="1"/>
      <c r="AB2509" s="1"/>
      <c r="AC2509" s="1"/>
      <c r="AD2509" s="1">
        <f>IF($C2509="",0,SUMPRODUCT((AY_SONU!$O$7:$O$42="Evet")*(AY_SONU!$B$7:$B$42=DATE(YEAR($C2509),MONTH($C2509),1))))</f>
        <v>0</v>
      </c>
      <c r="AE2509" s="1" t="str">
        <f>IF($E2509="","",$E2509&amp;"|"&amp;COUNTIFS($E$7:$E2509,$E2509))</f>
        <v/>
      </c>
    </row>
    <row r="2510" spans="1:31" ht="18" customHeight="1" x14ac:dyDescent="0.3">
      <c r="A2510" s="2"/>
      <c r="B2510" s="65" t="str">
        <f t="shared" si="314"/>
        <v/>
      </c>
      <c r="C2510" s="66"/>
      <c r="D2510" s="60"/>
      <c r="E2510" s="61"/>
      <c r="F2510" s="61"/>
      <c r="G2510" s="67"/>
      <c r="H2510" s="60"/>
      <c r="I2510" s="60"/>
      <c r="J2510" s="61"/>
      <c r="K2510" s="61"/>
      <c r="L2510" s="60"/>
      <c r="M2510" s="74" t="str">
        <f t="shared" si="315"/>
        <v/>
      </c>
      <c r="N2510" s="74" t="str">
        <f t="shared" si="316"/>
        <v/>
      </c>
      <c r="O2510" s="73" t="str">
        <f t="shared" si="317"/>
        <v/>
      </c>
      <c r="P2510" s="65" t="str">
        <f t="shared" ca="1" si="318"/>
        <v/>
      </c>
      <c r="Q2510" s="2"/>
      <c r="R2510" s="2"/>
      <c r="S2510" s="1" t="str">
        <f t="shared" si="319"/>
        <v/>
      </c>
      <c r="T2510" s="1" t="str">
        <f>IF(OR($C2510="",$D2510&lt;&gt;"Gelir",$L2510=""),"",IFERROR(INDEX(MUSTERILER!$B$7:$B$156,MATCH($S2510,MUSTERILER!$T$7:$T$156,0)),""))</f>
        <v/>
      </c>
      <c r="U2510" s="1" t="str">
        <f>IF($T2510="","",$T2510&amp;"|"&amp;COUNTIFS($T$7:$T2510,$T2510))</f>
        <v/>
      </c>
      <c r="V2510" s="1">
        <f t="shared" si="320"/>
        <v>0</v>
      </c>
      <c r="W2510" s="1" t="str">
        <f t="shared" si="321"/>
        <v/>
      </c>
      <c r="X2510" s="1"/>
      <c r="Y2510" s="1"/>
      <c r="Z2510" s="1"/>
      <c r="AA2510" s="1"/>
      <c r="AB2510" s="1"/>
      <c r="AC2510" s="1"/>
      <c r="AD2510" s="1">
        <f>IF($C2510="",0,SUMPRODUCT((AY_SONU!$O$7:$O$42="Evet")*(AY_SONU!$B$7:$B$42=DATE(YEAR($C2510),MONTH($C2510),1))))</f>
        <v>0</v>
      </c>
      <c r="AE2510" s="1" t="str">
        <f>IF($E2510="","",$E2510&amp;"|"&amp;COUNTIFS($E$7:$E2510,$E2510))</f>
        <v/>
      </c>
    </row>
    <row r="2511" spans="1:31" ht="18" customHeight="1" x14ac:dyDescent="0.3">
      <c r="A2511" s="2"/>
      <c r="B2511" s="65" t="str">
        <f t="shared" si="314"/>
        <v/>
      </c>
      <c r="C2511" s="66"/>
      <c r="D2511" s="60"/>
      <c r="E2511" s="61"/>
      <c r="F2511" s="61"/>
      <c r="G2511" s="67"/>
      <c r="H2511" s="60"/>
      <c r="I2511" s="60"/>
      <c r="J2511" s="61"/>
      <c r="K2511" s="61"/>
      <c r="L2511" s="60"/>
      <c r="M2511" s="74" t="str">
        <f t="shared" si="315"/>
        <v/>
      </c>
      <c r="N2511" s="74" t="str">
        <f t="shared" si="316"/>
        <v/>
      </c>
      <c r="O2511" s="73" t="str">
        <f t="shared" si="317"/>
        <v/>
      </c>
      <c r="P2511" s="65" t="str">
        <f t="shared" ca="1" si="318"/>
        <v/>
      </c>
      <c r="Q2511" s="2"/>
      <c r="R2511" s="2"/>
      <c r="S2511" s="1" t="str">
        <f t="shared" si="319"/>
        <v/>
      </c>
      <c r="T2511" s="1" t="str">
        <f>IF(OR($C2511="",$D2511&lt;&gt;"Gelir",$L2511=""),"",IFERROR(INDEX(MUSTERILER!$B$7:$B$156,MATCH($S2511,MUSTERILER!$T$7:$T$156,0)),""))</f>
        <v/>
      </c>
      <c r="U2511" s="1" t="str">
        <f>IF($T2511="","",$T2511&amp;"|"&amp;COUNTIFS($T$7:$T2511,$T2511))</f>
        <v/>
      </c>
      <c r="V2511" s="1">
        <f t="shared" si="320"/>
        <v>0</v>
      </c>
      <c r="W2511" s="1" t="str">
        <f t="shared" si="321"/>
        <v/>
      </c>
      <c r="X2511" s="1"/>
      <c r="Y2511" s="1"/>
      <c r="Z2511" s="1"/>
      <c r="AA2511" s="1"/>
      <c r="AB2511" s="1"/>
      <c r="AC2511" s="1"/>
      <c r="AD2511" s="1">
        <f>IF($C2511="",0,SUMPRODUCT((AY_SONU!$O$7:$O$42="Evet")*(AY_SONU!$B$7:$B$42=DATE(YEAR($C2511),MONTH($C2511),1))))</f>
        <v>0</v>
      </c>
      <c r="AE2511" s="1" t="str">
        <f>IF($E2511="","",$E2511&amp;"|"&amp;COUNTIFS($E$7:$E2511,$E2511))</f>
        <v/>
      </c>
    </row>
    <row r="2512" spans="1:31" ht="18" customHeight="1" x14ac:dyDescent="0.3">
      <c r="A2512" s="2"/>
      <c r="B2512" s="65" t="str">
        <f t="shared" si="314"/>
        <v/>
      </c>
      <c r="C2512" s="66"/>
      <c r="D2512" s="60"/>
      <c r="E2512" s="61"/>
      <c r="F2512" s="61"/>
      <c r="G2512" s="67"/>
      <c r="H2512" s="60"/>
      <c r="I2512" s="60"/>
      <c r="J2512" s="61"/>
      <c r="K2512" s="61"/>
      <c r="L2512" s="60"/>
      <c r="M2512" s="74" t="str">
        <f t="shared" si="315"/>
        <v/>
      </c>
      <c r="N2512" s="74" t="str">
        <f t="shared" si="316"/>
        <v/>
      </c>
      <c r="O2512" s="73" t="str">
        <f t="shared" si="317"/>
        <v/>
      </c>
      <c r="P2512" s="65" t="str">
        <f t="shared" ca="1" si="318"/>
        <v/>
      </c>
      <c r="Q2512" s="2"/>
      <c r="R2512" s="2"/>
      <c r="S2512" s="1" t="str">
        <f t="shared" si="319"/>
        <v/>
      </c>
      <c r="T2512" s="1" t="str">
        <f>IF(OR($C2512="",$D2512&lt;&gt;"Gelir",$L2512=""),"",IFERROR(INDEX(MUSTERILER!$B$7:$B$156,MATCH($S2512,MUSTERILER!$T$7:$T$156,0)),""))</f>
        <v/>
      </c>
      <c r="U2512" s="1" t="str">
        <f>IF($T2512="","",$T2512&amp;"|"&amp;COUNTIFS($T$7:$T2512,$T2512))</f>
        <v/>
      </c>
      <c r="V2512" s="1">
        <f t="shared" si="320"/>
        <v>0</v>
      </c>
      <c r="W2512" s="1" t="str">
        <f t="shared" si="321"/>
        <v/>
      </c>
      <c r="X2512" s="1"/>
      <c r="Y2512" s="1"/>
      <c r="Z2512" s="1"/>
      <c r="AA2512" s="1"/>
      <c r="AB2512" s="1"/>
      <c r="AC2512" s="1"/>
      <c r="AD2512" s="1">
        <f>IF($C2512="",0,SUMPRODUCT((AY_SONU!$O$7:$O$42="Evet")*(AY_SONU!$B$7:$B$42=DATE(YEAR($C2512),MONTH($C2512),1))))</f>
        <v>0</v>
      </c>
      <c r="AE2512" s="1" t="str">
        <f>IF($E2512="","",$E2512&amp;"|"&amp;COUNTIFS($E$7:$E2512,$E2512))</f>
        <v/>
      </c>
    </row>
    <row r="2513" spans="1:31" ht="18" customHeight="1" x14ac:dyDescent="0.3">
      <c r="A2513" s="2"/>
      <c r="B2513" s="65" t="str">
        <f t="shared" si="314"/>
        <v/>
      </c>
      <c r="C2513" s="66"/>
      <c r="D2513" s="60"/>
      <c r="E2513" s="61"/>
      <c r="F2513" s="61"/>
      <c r="G2513" s="67"/>
      <c r="H2513" s="60"/>
      <c r="I2513" s="60"/>
      <c r="J2513" s="61"/>
      <c r="K2513" s="61"/>
      <c r="L2513" s="60"/>
      <c r="M2513" s="74" t="str">
        <f t="shared" si="315"/>
        <v/>
      </c>
      <c r="N2513" s="74" t="str">
        <f t="shared" si="316"/>
        <v/>
      </c>
      <c r="O2513" s="73" t="str">
        <f t="shared" si="317"/>
        <v/>
      </c>
      <c r="P2513" s="65" t="str">
        <f t="shared" ca="1" si="318"/>
        <v/>
      </c>
      <c r="Q2513" s="2"/>
      <c r="R2513" s="2"/>
      <c r="S2513" s="1" t="str">
        <f t="shared" si="319"/>
        <v/>
      </c>
      <c r="T2513" s="1" t="str">
        <f>IF(OR($C2513="",$D2513&lt;&gt;"Gelir",$L2513=""),"",IFERROR(INDEX(MUSTERILER!$B$7:$B$156,MATCH($S2513,MUSTERILER!$T$7:$T$156,0)),""))</f>
        <v/>
      </c>
      <c r="U2513" s="1" t="str">
        <f>IF($T2513="","",$T2513&amp;"|"&amp;COUNTIFS($T$7:$T2513,$T2513))</f>
        <v/>
      </c>
      <c r="V2513" s="1">
        <f t="shared" si="320"/>
        <v>0</v>
      </c>
      <c r="W2513" s="1" t="str">
        <f t="shared" si="321"/>
        <v/>
      </c>
      <c r="X2513" s="1"/>
      <c r="Y2513" s="1"/>
      <c r="Z2513" s="1"/>
      <c r="AA2513" s="1"/>
      <c r="AB2513" s="1"/>
      <c r="AC2513" s="1"/>
      <c r="AD2513" s="1">
        <f>IF($C2513="",0,SUMPRODUCT((AY_SONU!$O$7:$O$42="Evet")*(AY_SONU!$B$7:$B$42=DATE(YEAR($C2513),MONTH($C2513),1))))</f>
        <v>0</v>
      </c>
      <c r="AE2513" s="1" t="str">
        <f>IF($E2513="","",$E2513&amp;"|"&amp;COUNTIFS($E$7:$E2513,$E2513))</f>
        <v/>
      </c>
    </row>
    <row r="2514" spans="1:31" ht="18" customHeight="1" x14ac:dyDescent="0.3">
      <c r="A2514" s="2"/>
      <c r="B2514" s="65" t="str">
        <f t="shared" si="314"/>
        <v/>
      </c>
      <c r="C2514" s="66"/>
      <c r="D2514" s="60"/>
      <c r="E2514" s="61"/>
      <c r="F2514" s="61"/>
      <c r="G2514" s="67"/>
      <c r="H2514" s="60"/>
      <c r="I2514" s="60"/>
      <c r="J2514" s="61"/>
      <c r="K2514" s="61"/>
      <c r="L2514" s="60"/>
      <c r="M2514" s="74" t="str">
        <f t="shared" si="315"/>
        <v/>
      </c>
      <c r="N2514" s="74" t="str">
        <f t="shared" si="316"/>
        <v/>
      </c>
      <c r="O2514" s="73" t="str">
        <f t="shared" si="317"/>
        <v/>
      </c>
      <c r="P2514" s="65" t="str">
        <f t="shared" ca="1" si="318"/>
        <v/>
      </c>
      <c r="Q2514" s="2"/>
      <c r="R2514" s="2"/>
      <c r="S2514" s="1" t="str">
        <f t="shared" si="319"/>
        <v/>
      </c>
      <c r="T2514" s="1" t="str">
        <f>IF(OR($C2514="",$D2514&lt;&gt;"Gelir",$L2514=""),"",IFERROR(INDEX(MUSTERILER!$B$7:$B$156,MATCH($S2514,MUSTERILER!$T$7:$T$156,0)),""))</f>
        <v/>
      </c>
      <c r="U2514" s="1" t="str">
        <f>IF($T2514="","",$T2514&amp;"|"&amp;COUNTIFS($T$7:$T2514,$T2514))</f>
        <v/>
      </c>
      <c r="V2514" s="1">
        <f t="shared" si="320"/>
        <v>0</v>
      </c>
      <c r="W2514" s="1" t="str">
        <f t="shared" si="321"/>
        <v/>
      </c>
      <c r="X2514" s="1"/>
      <c r="Y2514" s="1"/>
      <c r="Z2514" s="1"/>
      <c r="AA2514" s="1"/>
      <c r="AB2514" s="1"/>
      <c r="AC2514" s="1"/>
      <c r="AD2514" s="1">
        <f>IF($C2514="",0,SUMPRODUCT((AY_SONU!$O$7:$O$42="Evet")*(AY_SONU!$B$7:$B$42=DATE(YEAR($C2514),MONTH($C2514),1))))</f>
        <v>0</v>
      </c>
      <c r="AE2514" s="1" t="str">
        <f>IF($E2514="","",$E2514&amp;"|"&amp;COUNTIFS($E$7:$E2514,$E2514))</f>
        <v/>
      </c>
    </row>
    <row r="2515" spans="1:31" ht="18" customHeight="1" x14ac:dyDescent="0.3">
      <c r="A2515" s="2"/>
      <c r="B2515" s="65" t="str">
        <f t="shared" si="314"/>
        <v/>
      </c>
      <c r="C2515" s="66"/>
      <c r="D2515" s="60"/>
      <c r="E2515" s="61"/>
      <c r="F2515" s="61"/>
      <c r="G2515" s="67"/>
      <c r="H2515" s="60"/>
      <c r="I2515" s="60"/>
      <c r="J2515" s="61"/>
      <c r="K2515" s="61"/>
      <c r="L2515" s="60"/>
      <c r="M2515" s="74" t="str">
        <f t="shared" si="315"/>
        <v/>
      </c>
      <c r="N2515" s="74" t="str">
        <f t="shared" si="316"/>
        <v/>
      </c>
      <c r="O2515" s="73" t="str">
        <f t="shared" si="317"/>
        <v/>
      </c>
      <c r="P2515" s="65" t="str">
        <f t="shared" ca="1" si="318"/>
        <v/>
      </c>
      <c r="Q2515" s="2"/>
      <c r="R2515" s="2"/>
      <c r="S2515" s="1" t="str">
        <f t="shared" si="319"/>
        <v/>
      </c>
      <c r="T2515" s="1" t="str">
        <f>IF(OR($C2515="",$D2515&lt;&gt;"Gelir",$L2515=""),"",IFERROR(INDEX(MUSTERILER!$B$7:$B$156,MATCH($S2515,MUSTERILER!$T$7:$T$156,0)),""))</f>
        <v/>
      </c>
      <c r="U2515" s="1" t="str">
        <f>IF($T2515="","",$T2515&amp;"|"&amp;COUNTIFS($T$7:$T2515,$T2515))</f>
        <v/>
      </c>
      <c r="V2515" s="1">
        <f t="shared" si="320"/>
        <v>0</v>
      </c>
      <c r="W2515" s="1" t="str">
        <f t="shared" si="321"/>
        <v/>
      </c>
      <c r="X2515" s="1"/>
      <c r="Y2515" s="1"/>
      <c r="Z2515" s="1"/>
      <c r="AA2515" s="1"/>
      <c r="AB2515" s="1"/>
      <c r="AC2515" s="1"/>
      <c r="AD2515" s="1">
        <f>IF($C2515="",0,SUMPRODUCT((AY_SONU!$O$7:$O$42="Evet")*(AY_SONU!$B$7:$B$42=DATE(YEAR($C2515),MONTH($C2515),1))))</f>
        <v>0</v>
      </c>
      <c r="AE2515" s="1" t="str">
        <f>IF($E2515="","",$E2515&amp;"|"&amp;COUNTIFS($E$7:$E2515,$E2515))</f>
        <v/>
      </c>
    </row>
    <row r="2516" spans="1:31" ht="18" customHeight="1" x14ac:dyDescent="0.3">
      <c r="A2516" s="2"/>
      <c r="B2516" s="65" t="str">
        <f t="shared" si="314"/>
        <v/>
      </c>
      <c r="C2516" s="66"/>
      <c r="D2516" s="60"/>
      <c r="E2516" s="61"/>
      <c r="F2516" s="61"/>
      <c r="G2516" s="67"/>
      <c r="H2516" s="60"/>
      <c r="I2516" s="60"/>
      <c r="J2516" s="61"/>
      <c r="K2516" s="61"/>
      <c r="L2516" s="60"/>
      <c r="M2516" s="74" t="str">
        <f t="shared" si="315"/>
        <v/>
      </c>
      <c r="N2516" s="74" t="str">
        <f t="shared" si="316"/>
        <v/>
      </c>
      <c r="O2516" s="73" t="str">
        <f t="shared" si="317"/>
        <v/>
      </c>
      <c r="P2516" s="65" t="str">
        <f t="shared" ca="1" si="318"/>
        <v/>
      </c>
      <c r="Q2516" s="2"/>
      <c r="R2516" s="2"/>
      <c r="S2516" s="1" t="str">
        <f t="shared" si="319"/>
        <v/>
      </c>
      <c r="T2516" s="1" t="str">
        <f>IF(OR($C2516="",$D2516&lt;&gt;"Gelir",$L2516=""),"",IFERROR(INDEX(MUSTERILER!$B$7:$B$156,MATCH($S2516,MUSTERILER!$T$7:$T$156,0)),""))</f>
        <v/>
      </c>
      <c r="U2516" s="1" t="str">
        <f>IF($T2516="","",$T2516&amp;"|"&amp;COUNTIFS($T$7:$T2516,$T2516))</f>
        <v/>
      </c>
      <c r="V2516" s="1">
        <f t="shared" si="320"/>
        <v>0</v>
      </c>
      <c r="W2516" s="1" t="str">
        <f t="shared" si="321"/>
        <v/>
      </c>
      <c r="X2516" s="1"/>
      <c r="Y2516" s="1"/>
      <c r="Z2516" s="1"/>
      <c r="AA2516" s="1"/>
      <c r="AB2516" s="1"/>
      <c r="AC2516" s="1"/>
      <c r="AD2516" s="1">
        <f>IF($C2516="",0,SUMPRODUCT((AY_SONU!$O$7:$O$42="Evet")*(AY_SONU!$B$7:$B$42=DATE(YEAR($C2516),MONTH($C2516),1))))</f>
        <v>0</v>
      </c>
      <c r="AE2516" s="1" t="str">
        <f>IF($E2516="","",$E2516&amp;"|"&amp;COUNTIFS($E$7:$E2516,$E2516))</f>
        <v/>
      </c>
    </row>
    <row r="2517" spans="1:31" ht="18" customHeight="1" x14ac:dyDescent="0.3">
      <c r="A2517" s="2"/>
      <c r="B2517" s="65" t="str">
        <f t="shared" si="314"/>
        <v/>
      </c>
      <c r="C2517" s="66"/>
      <c r="D2517" s="60"/>
      <c r="E2517" s="61"/>
      <c r="F2517" s="61"/>
      <c r="G2517" s="67"/>
      <c r="H2517" s="60"/>
      <c r="I2517" s="60"/>
      <c r="J2517" s="61"/>
      <c r="K2517" s="61"/>
      <c r="L2517" s="60"/>
      <c r="M2517" s="74" t="str">
        <f t="shared" si="315"/>
        <v/>
      </c>
      <c r="N2517" s="74" t="str">
        <f t="shared" si="316"/>
        <v/>
      </c>
      <c r="O2517" s="73" t="str">
        <f t="shared" si="317"/>
        <v/>
      </c>
      <c r="P2517" s="65" t="str">
        <f t="shared" ca="1" si="318"/>
        <v/>
      </c>
      <c r="Q2517" s="2"/>
      <c r="R2517" s="2"/>
      <c r="S2517" s="1" t="str">
        <f t="shared" si="319"/>
        <v/>
      </c>
      <c r="T2517" s="1" t="str">
        <f>IF(OR($C2517="",$D2517&lt;&gt;"Gelir",$L2517=""),"",IFERROR(INDEX(MUSTERILER!$B$7:$B$156,MATCH($S2517,MUSTERILER!$T$7:$T$156,0)),""))</f>
        <v/>
      </c>
      <c r="U2517" s="1" t="str">
        <f>IF($T2517="","",$T2517&amp;"|"&amp;COUNTIFS($T$7:$T2517,$T2517))</f>
        <v/>
      </c>
      <c r="V2517" s="1">
        <f t="shared" si="320"/>
        <v>0</v>
      </c>
      <c r="W2517" s="1" t="str">
        <f t="shared" si="321"/>
        <v/>
      </c>
      <c r="X2517" s="1"/>
      <c r="Y2517" s="1"/>
      <c r="Z2517" s="1"/>
      <c r="AA2517" s="1"/>
      <c r="AB2517" s="1"/>
      <c r="AC2517" s="1"/>
      <c r="AD2517" s="1">
        <f>IF($C2517="",0,SUMPRODUCT((AY_SONU!$O$7:$O$42="Evet")*(AY_SONU!$B$7:$B$42=DATE(YEAR($C2517),MONTH($C2517),1))))</f>
        <v>0</v>
      </c>
      <c r="AE2517" s="1" t="str">
        <f>IF($E2517="","",$E2517&amp;"|"&amp;COUNTIFS($E$7:$E2517,$E2517))</f>
        <v/>
      </c>
    </row>
    <row r="2518" spans="1:31" ht="18" customHeight="1" x14ac:dyDescent="0.3">
      <c r="A2518" s="2"/>
      <c r="B2518" s="65" t="str">
        <f t="shared" si="314"/>
        <v/>
      </c>
      <c r="C2518" s="66"/>
      <c r="D2518" s="60"/>
      <c r="E2518" s="61"/>
      <c r="F2518" s="61"/>
      <c r="G2518" s="67"/>
      <c r="H2518" s="60"/>
      <c r="I2518" s="60"/>
      <c r="J2518" s="61"/>
      <c r="K2518" s="61"/>
      <c r="L2518" s="60"/>
      <c r="M2518" s="74" t="str">
        <f t="shared" si="315"/>
        <v/>
      </c>
      <c r="N2518" s="74" t="str">
        <f t="shared" si="316"/>
        <v/>
      </c>
      <c r="O2518" s="73" t="str">
        <f t="shared" si="317"/>
        <v/>
      </c>
      <c r="P2518" s="65" t="str">
        <f t="shared" ca="1" si="318"/>
        <v/>
      </c>
      <c r="Q2518" s="2"/>
      <c r="R2518" s="2"/>
      <c r="S2518" s="1" t="str">
        <f t="shared" si="319"/>
        <v/>
      </c>
      <c r="T2518" s="1" t="str">
        <f>IF(OR($C2518="",$D2518&lt;&gt;"Gelir",$L2518=""),"",IFERROR(INDEX(MUSTERILER!$B$7:$B$156,MATCH($S2518,MUSTERILER!$T$7:$T$156,0)),""))</f>
        <v/>
      </c>
      <c r="U2518" s="1" t="str">
        <f>IF($T2518="","",$T2518&amp;"|"&amp;COUNTIFS($T$7:$T2518,$T2518))</f>
        <v/>
      </c>
      <c r="V2518" s="1">
        <f t="shared" si="320"/>
        <v>0</v>
      </c>
      <c r="W2518" s="1" t="str">
        <f t="shared" si="321"/>
        <v/>
      </c>
      <c r="X2518" s="1"/>
      <c r="Y2518" s="1"/>
      <c r="Z2518" s="1"/>
      <c r="AA2518" s="1"/>
      <c r="AB2518" s="1"/>
      <c r="AC2518" s="1"/>
      <c r="AD2518" s="1">
        <f>IF($C2518="",0,SUMPRODUCT((AY_SONU!$O$7:$O$42="Evet")*(AY_SONU!$B$7:$B$42=DATE(YEAR($C2518),MONTH($C2518),1))))</f>
        <v>0</v>
      </c>
      <c r="AE2518" s="1" t="str">
        <f>IF($E2518="","",$E2518&amp;"|"&amp;COUNTIFS($E$7:$E2518,$E2518))</f>
        <v/>
      </c>
    </row>
    <row r="2519" spans="1:31" ht="18" customHeight="1" x14ac:dyDescent="0.3">
      <c r="A2519" s="2"/>
      <c r="B2519" s="65" t="str">
        <f t="shared" si="314"/>
        <v/>
      </c>
      <c r="C2519" s="66"/>
      <c r="D2519" s="60"/>
      <c r="E2519" s="61"/>
      <c r="F2519" s="61"/>
      <c r="G2519" s="67"/>
      <c r="H2519" s="60"/>
      <c r="I2519" s="60"/>
      <c r="J2519" s="61"/>
      <c r="K2519" s="61"/>
      <c r="L2519" s="60"/>
      <c r="M2519" s="74" t="str">
        <f t="shared" si="315"/>
        <v/>
      </c>
      <c r="N2519" s="74" t="str">
        <f t="shared" si="316"/>
        <v/>
      </c>
      <c r="O2519" s="73" t="str">
        <f t="shared" si="317"/>
        <v/>
      </c>
      <c r="P2519" s="65" t="str">
        <f t="shared" ca="1" si="318"/>
        <v/>
      </c>
      <c r="Q2519" s="2"/>
      <c r="R2519" s="2"/>
      <c r="S2519" s="1" t="str">
        <f t="shared" si="319"/>
        <v/>
      </c>
      <c r="T2519" s="1" t="str">
        <f>IF(OR($C2519="",$D2519&lt;&gt;"Gelir",$L2519=""),"",IFERROR(INDEX(MUSTERILER!$B$7:$B$156,MATCH($S2519,MUSTERILER!$T$7:$T$156,0)),""))</f>
        <v/>
      </c>
      <c r="U2519" s="1" t="str">
        <f>IF($T2519="","",$T2519&amp;"|"&amp;COUNTIFS($T$7:$T2519,$T2519))</f>
        <v/>
      </c>
      <c r="V2519" s="1">
        <f t="shared" si="320"/>
        <v>0</v>
      </c>
      <c r="W2519" s="1" t="str">
        <f t="shared" si="321"/>
        <v/>
      </c>
      <c r="X2519" s="1"/>
      <c r="Y2519" s="1"/>
      <c r="Z2519" s="1"/>
      <c r="AA2519" s="1"/>
      <c r="AB2519" s="1"/>
      <c r="AC2519" s="1"/>
      <c r="AD2519" s="1">
        <f>IF($C2519="",0,SUMPRODUCT((AY_SONU!$O$7:$O$42="Evet")*(AY_SONU!$B$7:$B$42=DATE(YEAR($C2519),MONTH($C2519),1))))</f>
        <v>0</v>
      </c>
      <c r="AE2519" s="1" t="str">
        <f>IF($E2519="","",$E2519&amp;"|"&amp;COUNTIFS($E$7:$E2519,$E2519))</f>
        <v/>
      </c>
    </row>
    <row r="2520" spans="1:31" ht="18" customHeight="1" x14ac:dyDescent="0.3">
      <c r="A2520" s="2"/>
      <c r="B2520" s="65" t="str">
        <f t="shared" si="314"/>
        <v/>
      </c>
      <c r="C2520" s="66"/>
      <c r="D2520" s="60"/>
      <c r="E2520" s="61"/>
      <c r="F2520" s="61"/>
      <c r="G2520" s="67"/>
      <c r="H2520" s="60"/>
      <c r="I2520" s="60"/>
      <c r="J2520" s="61"/>
      <c r="K2520" s="61"/>
      <c r="L2520" s="60"/>
      <c r="M2520" s="74" t="str">
        <f t="shared" si="315"/>
        <v/>
      </c>
      <c r="N2520" s="74" t="str">
        <f t="shared" si="316"/>
        <v/>
      </c>
      <c r="O2520" s="73" t="str">
        <f t="shared" si="317"/>
        <v/>
      </c>
      <c r="P2520" s="65" t="str">
        <f t="shared" ca="1" si="318"/>
        <v/>
      </c>
      <c r="Q2520" s="2"/>
      <c r="R2520" s="2"/>
      <c r="S2520" s="1" t="str">
        <f t="shared" si="319"/>
        <v/>
      </c>
      <c r="T2520" s="1" t="str">
        <f>IF(OR($C2520="",$D2520&lt;&gt;"Gelir",$L2520=""),"",IFERROR(INDEX(MUSTERILER!$B$7:$B$156,MATCH($S2520,MUSTERILER!$T$7:$T$156,0)),""))</f>
        <v/>
      </c>
      <c r="U2520" s="1" t="str">
        <f>IF($T2520="","",$T2520&amp;"|"&amp;COUNTIFS($T$7:$T2520,$T2520))</f>
        <v/>
      </c>
      <c r="V2520" s="1">
        <f t="shared" si="320"/>
        <v>0</v>
      </c>
      <c r="W2520" s="1" t="str">
        <f t="shared" si="321"/>
        <v/>
      </c>
      <c r="X2520" s="1"/>
      <c r="Y2520" s="1"/>
      <c r="Z2520" s="1"/>
      <c r="AA2520" s="1"/>
      <c r="AB2520" s="1"/>
      <c r="AC2520" s="1"/>
      <c r="AD2520" s="1">
        <f>IF($C2520="",0,SUMPRODUCT((AY_SONU!$O$7:$O$42="Evet")*(AY_SONU!$B$7:$B$42=DATE(YEAR($C2520),MONTH($C2520),1))))</f>
        <v>0</v>
      </c>
      <c r="AE2520" s="1" t="str">
        <f>IF($E2520="","",$E2520&amp;"|"&amp;COUNTIFS($E$7:$E2520,$E2520))</f>
        <v/>
      </c>
    </row>
    <row r="2521" spans="1:31" ht="18" customHeight="1" x14ac:dyDescent="0.3">
      <c r="A2521" s="2"/>
      <c r="B2521" s="65" t="str">
        <f t="shared" si="314"/>
        <v/>
      </c>
      <c r="C2521" s="66"/>
      <c r="D2521" s="60"/>
      <c r="E2521" s="61"/>
      <c r="F2521" s="61"/>
      <c r="G2521" s="67"/>
      <c r="H2521" s="60"/>
      <c r="I2521" s="60"/>
      <c r="J2521" s="61"/>
      <c r="K2521" s="61"/>
      <c r="L2521" s="60"/>
      <c r="M2521" s="74" t="str">
        <f t="shared" si="315"/>
        <v/>
      </c>
      <c r="N2521" s="74" t="str">
        <f t="shared" si="316"/>
        <v/>
      </c>
      <c r="O2521" s="73" t="str">
        <f t="shared" si="317"/>
        <v/>
      </c>
      <c r="P2521" s="65" t="str">
        <f t="shared" ca="1" si="318"/>
        <v/>
      </c>
      <c r="Q2521" s="2"/>
      <c r="R2521" s="2"/>
      <c r="S2521" s="1" t="str">
        <f t="shared" si="319"/>
        <v/>
      </c>
      <c r="T2521" s="1" t="str">
        <f>IF(OR($C2521="",$D2521&lt;&gt;"Gelir",$L2521=""),"",IFERROR(INDEX(MUSTERILER!$B$7:$B$156,MATCH($S2521,MUSTERILER!$T$7:$T$156,0)),""))</f>
        <v/>
      </c>
      <c r="U2521" s="1" t="str">
        <f>IF($T2521="","",$T2521&amp;"|"&amp;COUNTIFS($T$7:$T2521,$T2521))</f>
        <v/>
      </c>
      <c r="V2521" s="1">
        <f t="shared" si="320"/>
        <v>0</v>
      </c>
      <c r="W2521" s="1" t="str">
        <f t="shared" si="321"/>
        <v/>
      </c>
      <c r="X2521" s="1"/>
      <c r="Y2521" s="1"/>
      <c r="Z2521" s="1"/>
      <c r="AA2521" s="1"/>
      <c r="AB2521" s="1"/>
      <c r="AC2521" s="1"/>
      <c r="AD2521" s="1">
        <f>IF($C2521="",0,SUMPRODUCT((AY_SONU!$O$7:$O$42="Evet")*(AY_SONU!$B$7:$B$42=DATE(YEAR($C2521),MONTH($C2521),1))))</f>
        <v>0</v>
      </c>
      <c r="AE2521" s="1" t="str">
        <f>IF($E2521="","",$E2521&amp;"|"&amp;COUNTIFS($E$7:$E2521,$E2521))</f>
        <v/>
      </c>
    </row>
    <row r="2522" spans="1:31" ht="18" customHeight="1" x14ac:dyDescent="0.3">
      <c r="A2522" s="2"/>
      <c r="B2522" s="65" t="str">
        <f t="shared" si="314"/>
        <v/>
      </c>
      <c r="C2522" s="66"/>
      <c r="D2522" s="60"/>
      <c r="E2522" s="61"/>
      <c r="F2522" s="61"/>
      <c r="G2522" s="67"/>
      <c r="H2522" s="60"/>
      <c r="I2522" s="60"/>
      <c r="J2522" s="61"/>
      <c r="K2522" s="61"/>
      <c r="L2522" s="60"/>
      <c r="M2522" s="74" t="str">
        <f t="shared" si="315"/>
        <v/>
      </c>
      <c r="N2522" s="74" t="str">
        <f t="shared" si="316"/>
        <v/>
      </c>
      <c r="O2522" s="73" t="str">
        <f t="shared" si="317"/>
        <v/>
      </c>
      <c r="P2522" s="65" t="str">
        <f t="shared" ca="1" si="318"/>
        <v/>
      </c>
      <c r="Q2522" s="2"/>
      <c r="R2522" s="2"/>
      <c r="S2522" s="1" t="str">
        <f t="shared" si="319"/>
        <v/>
      </c>
      <c r="T2522" s="1" t="str">
        <f>IF(OR($C2522="",$D2522&lt;&gt;"Gelir",$L2522=""),"",IFERROR(INDEX(MUSTERILER!$B$7:$B$156,MATCH($S2522,MUSTERILER!$T$7:$T$156,0)),""))</f>
        <v/>
      </c>
      <c r="U2522" s="1" t="str">
        <f>IF($T2522="","",$T2522&amp;"|"&amp;COUNTIFS($T$7:$T2522,$T2522))</f>
        <v/>
      </c>
      <c r="V2522" s="1">
        <f t="shared" si="320"/>
        <v>0</v>
      </c>
      <c r="W2522" s="1" t="str">
        <f t="shared" si="321"/>
        <v/>
      </c>
      <c r="X2522" s="1"/>
      <c r="Y2522" s="1"/>
      <c r="Z2522" s="1"/>
      <c r="AA2522" s="1"/>
      <c r="AB2522" s="1"/>
      <c r="AC2522" s="1"/>
      <c r="AD2522" s="1">
        <f>IF($C2522="",0,SUMPRODUCT((AY_SONU!$O$7:$O$42="Evet")*(AY_SONU!$B$7:$B$42=DATE(YEAR($C2522),MONTH($C2522),1))))</f>
        <v>0</v>
      </c>
      <c r="AE2522" s="1" t="str">
        <f>IF($E2522="","",$E2522&amp;"|"&amp;COUNTIFS($E$7:$E2522,$E2522))</f>
        <v/>
      </c>
    </row>
    <row r="2523" spans="1:31" ht="18" customHeight="1" x14ac:dyDescent="0.3">
      <c r="A2523" s="2"/>
      <c r="B2523" s="65" t="str">
        <f t="shared" si="314"/>
        <v/>
      </c>
      <c r="C2523" s="66"/>
      <c r="D2523" s="60"/>
      <c r="E2523" s="61"/>
      <c r="F2523" s="61"/>
      <c r="G2523" s="67"/>
      <c r="H2523" s="60"/>
      <c r="I2523" s="60"/>
      <c r="J2523" s="61"/>
      <c r="K2523" s="61"/>
      <c r="L2523" s="60"/>
      <c r="M2523" s="74" t="str">
        <f t="shared" si="315"/>
        <v/>
      </c>
      <c r="N2523" s="74" t="str">
        <f t="shared" si="316"/>
        <v/>
      </c>
      <c r="O2523" s="73" t="str">
        <f t="shared" si="317"/>
        <v/>
      </c>
      <c r="P2523" s="65" t="str">
        <f t="shared" ca="1" si="318"/>
        <v/>
      </c>
      <c r="Q2523" s="2"/>
      <c r="R2523" s="2"/>
      <c r="S2523" s="1" t="str">
        <f t="shared" si="319"/>
        <v/>
      </c>
      <c r="T2523" s="1" t="str">
        <f>IF(OR($C2523="",$D2523&lt;&gt;"Gelir",$L2523=""),"",IFERROR(INDEX(MUSTERILER!$B$7:$B$156,MATCH($S2523,MUSTERILER!$T$7:$T$156,0)),""))</f>
        <v/>
      </c>
      <c r="U2523" s="1" t="str">
        <f>IF($T2523="","",$T2523&amp;"|"&amp;COUNTIFS($T$7:$T2523,$T2523))</f>
        <v/>
      </c>
      <c r="V2523" s="1">
        <f t="shared" si="320"/>
        <v>0</v>
      </c>
      <c r="W2523" s="1" t="str">
        <f t="shared" si="321"/>
        <v/>
      </c>
      <c r="X2523" s="1"/>
      <c r="Y2523" s="1"/>
      <c r="Z2523" s="1"/>
      <c r="AA2523" s="1"/>
      <c r="AB2523" s="1"/>
      <c r="AC2523" s="1"/>
      <c r="AD2523" s="1">
        <f>IF($C2523="",0,SUMPRODUCT((AY_SONU!$O$7:$O$42="Evet")*(AY_SONU!$B$7:$B$42=DATE(YEAR($C2523),MONTH($C2523),1))))</f>
        <v>0</v>
      </c>
      <c r="AE2523" s="1" t="str">
        <f>IF($E2523="","",$E2523&amp;"|"&amp;COUNTIFS($E$7:$E2523,$E2523))</f>
        <v/>
      </c>
    </row>
    <row r="2524" spans="1:31" ht="18" customHeight="1" x14ac:dyDescent="0.3">
      <c r="A2524" s="2"/>
      <c r="B2524" s="65" t="str">
        <f t="shared" si="314"/>
        <v/>
      </c>
      <c r="C2524" s="66"/>
      <c r="D2524" s="60"/>
      <c r="E2524" s="61"/>
      <c r="F2524" s="61"/>
      <c r="G2524" s="67"/>
      <c r="H2524" s="60"/>
      <c r="I2524" s="60"/>
      <c r="J2524" s="61"/>
      <c r="K2524" s="61"/>
      <c r="L2524" s="60"/>
      <c r="M2524" s="74" t="str">
        <f t="shared" si="315"/>
        <v/>
      </c>
      <c r="N2524" s="74" t="str">
        <f t="shared" si="316"/>
        <v/>
      </c>
      <c r="O2524" s="73" t="str">
        <f t="shared" si="317"/>
        <v/>
      </c>
      <c r="P2524" s="65" t="str">
        <f t="shared" ca="1" si="318"/>
        <v/>
      </c>
      <c r="Q2524" s="2"/>
      <c r="R2524" s="2"/>
      <c r="S2524" s="1" t="str">
        <f t="shared" si="319"/>
        <v/>
      </c>
      <c r="T2524" s="1" t="str">
        <f>IF(OR($C2524="",$D2524&lt;&gt;"Gelir",$L2524=""),"",IFERROR(INDEX(MUSTERILER!$B$7:$B$156,MATCH($S2524,MUSTERILER!$T$7:$T$156,0)),""))</f>
        <v/>
      </c>
      <c r="U2524" s="1" t="str">
        <f>IF($T2524="","",$T2524&amp;"|"&amp;COUNTIFS($T$7:$T2524,$T2524))</f>
        <v/>
      </c>
      <c r="V2524" s="1">
        <f t="shared" si="320"/>
        <v>0</v>
      </c>
      <c r="W2524" s="1" t="str">
        <f t="shared" si="321"/>
        <v/>
      </c>
      <c r="X2524" s="1"/>
      <c r="Y2524" s="1"/>
      <c r="Z2524" s="1"/>
      <c r="AA2524" s="1"/>
      <c r="AB2524" s="1"/>
      <c r="AC2524" s="1"/>
      <c r="AD2524" s="1">
        <f>IF($C2524="",0,SUMPRODUCT((AY_SONU!$O$7:$O$42="Evet")*(AY_SONU!$B$7:$B$42=DATE(YEAR($C2524),MONTH($C2524),1))))</f>
        <v>0</v>
      </c>
      <c r="AE2524" s="1" t="str">
        <f>IF($E2524="","",$E2524&amp;"|"&amp;COUNTIFS($E$7:$E2524,$E2524))</f>
        <v/>
      </c>
    </row>
    <row r="2525" spans="1:31" ht="18" customHeight="1" x14ac:dyDescent="0.3">
      <c r="A2525" s="2"/>
      <c r="B2525" s="65" t="str">
        <f t="shared" si="314"/>
        <v/>
      </c>
      <c r="C2525" s="66"/>
      <c r="D2525" s="60"/>
      <c r="E2525" s="61"/>
      <c r="F2525" s="61"/>
      <c r="G2525" s="67"/>
      <c r="H2525" s="60"/>
      <c r="I2525" s="60"/>
      <c r="J2525" s="61"/>
      <c r="K2525" s="61"/>
      <c r="L2525" s="60"/>
      <c r="M2525" s="74" t="str">
        <f t="shared" si="315"/>
        <v/>
      </c>
      <c r="N2525" s="74" t="str">
        <f t="shared" si="316"/>
        <v/>
      </c>
      <c r="O2525" s="73" t="str">
        <f t="shared" si="317"/>
        <v/>
      </c>
      <c r="P2525" s="65" t="str">
        <f t="shared" ca="1" si="318"/>
        <v/>
      </c>
      <c r="Q2525" s="2"/>
      <c r="R2525" s="2"/>
      <c r="S2525" s="1" t="str">
        <f t="shared" si="319"/>
        <v/>
      </c>
      <c r="T2525" s="1" t="str">
        <f>IF(OR($C2525="",$D2525&lt;&gt;"Gelir",$L2525=""),"",IFERROR(INDEX(MUSTERILER!$B$7:$B$156,MATCH($S2525,MUSTERILER!$T$7:$T$156,0)),""))</f>
        <v/>
      </c>
      <c r="U2525" s="1" t="str">
        <f>IF($T2525="","",$T2525&amp;"|"&amp;COUNTIFS($T$7:$T2525,$T2525))</f>
        <v/>
      </c>
      <c r="V2525" s="1">
        <f t="shared" si="320"/>
        <v>0</v>
      </c>
      <c r="W2525" s="1" t="str">
        <f t="shared" si="321"/>
        <v/>
      </c>
      <c r="X2525" s="1"/>
      <c r="Y2525" s="1"/>
      <c r="Z2525" s="1"/>
      <c r="AA2525" s="1"/>
      <c r="AB2525" s="1"/>
      <c r="AC2525" s="1"/>
      <c r="AD2525" s="1">
        <f>IF($C2525="",0,SUMPRODUCT((AY_SONU!$O$7:$O$42="Evet")*(AY_SONU!$B$7:$B$42=DATE(YEAR($C2525),MONTH($C2525),1))))</f>
        <v>0</v>
      </c>
      <c r="AE2525" s="1" t="str">
        <f>IF($E2525="","",$E2525&amp;"|"&amp;COUNTIFS($E$7:$E2525,$E2525))</f>
        <v/>
      </c>
    </row>
    <row r="2526" spans="1:31" ht="18" customHeight="1" x14ac:dyDescent="0.3">
      <c r="A2526" s="2"/>
      <c r="B2526" s="65" t="str">
        <f t="shared" si="314"/>
        <v/>
      </c>
      <c r="C2526" s="66"/>
      <c r="D2526" s="60"/>
      <c r="E2526" s="61"/>
      <c r="F2526" s="61"/>
      <c r="G2526" s="67"/>
      <c r="H2526" s="60"/>
      <c r="I2526" s="60"/>
      <c r="J2526" s="61"/>
      <c r="K2526" s="61"/>
      <c r="L2526" s="60"/>
      <c r="M2526" s="74" t="str">
        <f t="shared" si="315"/>
        <v/>
      </c>
      <c r="N2526" s="74" t="str">
        <f t="shared" si="316"/>
        <v/>
      </c>
      <c r="O2526" s="73" t="str">
        <f t="shared" si="317"/>
        <v/>
      </c>
      <c r="P2526" s="65" t="str">
        <f t="shared" ca="1" si="318"/>
        <v/>
      </c>
      <c r="Q2526" s="2"/>
      <c r="R2526" s="2"/>
      <c r="S2526" s="1" t="str">
        <f t="shared" si="319"/>
        <v/>
      </c>
      <c r="T2526" s="1" t="str">
        <f>IF(OR($C2526="",$D2526&lt;&gt;"Gelir",$L2526=""),"",IFERROR(INDEX(MUSTERILER!$B$7:$B$156,MATCH($S2526,MUSTERILER!$T$7:$T$156,0)),""))</f>
        <v/>
      </c>
      <c r="U2526" s="1" t="str">
        <f>IF($T2526="","",$T2526&amp;"|"&amp;COUNTIFS($T$7:$T2526,$T2526))</f>
        <v/>
      </c>
      <c r="V2526" s="1">
        <f t="shared" si="320"/>
        <v>0</v>
      </c>
      <c r="W2526" s="1" t="str">
        <f t="shared" si="321"/>
        <v/>
      </c>
      <c r="X2526" s="1"/>
      <c r="Y2526" s="1"/>
      <c r="Z2526" s="1"/>
      <c r="AA2526" s="1"/>
      <c r="AB2526" s="1"/>
      <c r="AC2526" s="1"/>
      <c r="AD2526" s="1">
        <f>IF($C2526="",0,SUMPRODUCT((AY_SONU!$O$7:$O$42="Evet")*(AY_SONU!$B$7:$B$42=DATE(YEAR($C2526),MONTH($C2526),1))))</f>
        <v>0</v>
      </c>
      <c r="AE2526" s="1" t="str">
        <f>IF($E2526="","",$E2526&amp;"|"&amp;COUNTIFS($E$7:$E2526,$E2526))</f>
        <v/>
      </c>
    </row>
    <row r="2527" spans="1:31" ht="18" customHeight="1" x14ac:dyDescent="0.3">
      <c r="A2527" s="2"/>
      <c r="B2527" s="65" t="str">
        <f t="shared" si="314"/>
        <v/>
      </c>
      <c r="C2527" s="66"/>
      <c r="D2527" s="60"/>
      <c r="E2527" s="61"/>
      <c r="F2527" s="61"/>
      <c r="G2527" s="67"/>
      <c r="H2527" s="60"/>
      <c r="I2527" s="60"/>
      <c r="J2527" s="61"/>
      <c r="K2527" s="61"/>
      <c r="L2527" s="60"/>
      <c r="M2527" s="74" t="str">
        <f t="shared" si="315"/>
        <v/>
      </c>
      <c r="N2527" s="74" t="str">
        <f t="shared" si="316"/>
        <v/>
      </c>
      <c r="O2527" s="73" t="str">
        <f t="shared" si="317"/>
        <v/>
      </c>
      <c r="P2527" s="65" t="str">
        <f t="shared" ca="1" si="318"/>
        <v/>
      </c>
      <c r="Q2527" s="2"/>
      <c r="R2527" s="2"/>
      <c r="S2527" s="1" t="str">
        <f t="shared" si="319"/>
        <v/>
      </c>
      <c r="T2527" s="1" t="str">
        <f>IF(OR($C2527="",$D2527&lt;&gt;"Gelir",$L2527=""),"",IFERROR(INDEX(MUSTERILER!$B$7:$B$156,MATCH($S2527,MUSTERILER!$T$7:$T$156,0)),""))</f>
        <v/>
      </c>
      <c r="U2527" s="1" t="str">
        <f>IF($T2527="","",$T2527&amp;"|"&amp;COUNTIFS($T$7:$T2527,$T2527))</f>
        <v/>
      </c>
      <c r="V2527" s="1">
        <f t="shared" si="320"/>
        <v>0</v>
      </c>
      <c r="W2527" s="1" t="str">
        <f t="shared" si="321"/>
        <v/>
      </c>
      <c r="X2527" s="1"/>
      <c r="Y2527" s="1"/>
      <c r="Z2527" s="1"/>
      <c r="AA2527" s="1"/>
      <c r="AB2527" s="1"/>
      <c r="AC2527" s="1"/>
      <c r="AD2527" s="1">
        <f>IF($C2527="",0,SUMPRODUCT((AY_SONU!$O$7:$O$42="Evet")*(AY_SONU!$B$7:$B$42=DATE(YEAR($C2527),MONTH($C2527),1))))</f>
        <v>0</v>
      </c>
      <c r="AE2527" s="1" t="str">
        <f>IF($E2527="","",$E2527&amp;"|"&amp;COUNTIFS($E$7:$E2527,$E2527))</f>
        <v/>
      </c>
    </row>
    <row r="2528" spans="1:31" ht="18" customHeight="1" x14ac:dyDescent="0.3">
      <c r="A2528" s="2"/>
      <c r="B2528" s="65" t="str">
        <f t="shared" si="314"/>
        <v/>
      </c>
      <c r="C2528" s="66"/>
      <c r="D2528" s="60"/>
      <c r="E2528" s="61"/>
      <c r="F2528" s="61"/>
      <c r="G2528" s="67"/>
      <c r="H2528" s="60"/>
      <c r="I2528" s="60"/>
      <c r="J2528" s="61"/>
      <c r="K2528" s="61"/>
      <c r="L2528" s="60"/>
      <c r="M2528" s="74" t="str">
        <f t="shared" si="315"/>
        <v/>
      </c>
      <c r="N2528" s="74" t="str">
        <f t="shared" si="316"/>
        <v/>
      </c>
      <c r="O2528" s="73" t="str">
        <f t="shared" si="317"/>
        <v/>
      </c>
      <c r="P2528" s="65" t="str">
        <f t="shared" ca="1" si="318"/>
        <v/>
      </c>
      <c r="Q2528" s="2"/>
      <c r="R2528" s="2"/>
      <c r="S2528" s="1" t="str">
        <f t="shared" si="319"/>
        <v/>
      </c>
      <c r="T2528" s="1" t="str">
        <f>IF(OR($C2528="",$D2528&lt;&gt;"Gelir",$L2528=""),"",IFERROR(INDEX(MUSTERILER!$B$7:$B$156,MATCH($S2528,MUSTERILER!$T$7:$T$156,0)),""))</f>
        <v/>
      </c>
      <c r="U2528" s="1" t="str">
        <f>IF($T2528="","",$T2528&amp;"|"&amp;COUNTIFS($T$7:$T2528,$T2528))</f>
        <v/>
      </c>
      <c r="V2528" s="1">
        <f t="shared" si="320"/>
        <v>0</v>
      </c>
      <c r="W2528" s="1" t="str">
        <f t="shared" si="321"/>
        <v/>
      </c>
      <c r="X2528" s="1"/>
      <c r="Y2528" s="1"/>
      <c r="Z2528" s="1"/>
      <c r="AA2528" s="1"/>
      <c r="AB2528" s="1"/>
      <c r="AC2528" s="1"/>
      <c r="AD2528" s="1">
        <f>IF($C2528="",0,SUMPRODUCT((AY_SONU!$O$7:$O$42="Evet")*(AY_SONU!$B$7:$B$42=DATE(YEAR($C2528),MONTH($C2528),1))))</f>
        <v>0</v>
      </c>
      <c r="AE2528" s="1" t="str">
        <f>IF($E2528="","",$E2528&amp;"|"&amp;COUNTIFS($E$7:$E2528,$E2528))</f>
        <v/>
      </c>
    </row>
    <row r="2529" spans="1:31" ht="18" customHeight="1" x14ac:dyDescent="0.3">
      <c r="A2529" s="2"/>
      <c r="B2529" s="65" t="str">
        <f t="shared" si="314"/>
        <v/>
      </c>
      <c r="C2529" s="66"/>
      <c r="D2529" s="60"/>
      <c r="E2529" s="61"/>
      <c r="F2529" s="61"/>
      <c r="G2529" s="67"/>
      <c r="H2529" s="60"/>
      <c r="I2529" s="60"/>
      <c r="J2529" s="61"/>
      <c r="K2529" s="61"/>
      <c r="L2529" s="60"/>
      <c r="M2529" s="74" t="str">
        <f t="shared" si="315"/>
        <v/>
      </c>
      <c r="N2529" s="74" t="str">
        <f t="shared" si="316"/>
        <v/>
      </c>
      <c r="O2529" s="73" t="str">
        <f t="shared" si="317"/>
        <v/>
      </c>
      <c r="P2529" s="65" t="str">
        <f t="shared" ca="1" si="318"/>
        <v/>
      </c>
      <c r="Q2529" s="2"/>
      <c r="R2529" s="2"/>
      <c r="S2529" s="1" t="str">
        <f t="shared" si="319"/>
        <v/>
      </c>
      <c r="T2529" s="1" t="str">
        <f>IF(OR($C2529="",$D2529&lt;&gt;"Gelir",$L2529=""),"",IFERROR(INDEX(MUSTERILER!$B$7:$B$156,MATCH($S2529,MUSTERILER!$T$7:$T$156,0)),""))</f>
        <v/>
      </c>
      <c r="U2529" s="1" t="str">
        <f>IF($T2529="","",$T2529&amp;"|"&amp;COUNTIFS($T$7:$T2529,$T2529))</f>
        <v/>
      </c>
      <c r="V2529" s="1">
        <f t="shared" si="320"/>
        <v>0</v>
      </c>
      <c r="W2529" s="1" t="str">
        <f t="shared" si="321"/>
        <v/>
      </c>
      <c r="X2529" s="1"/>
      <c r="Y2529" s="1"/>
      <c r="Z2529" s="1"/>
      <c r="AA2529" s="1"/>
      <c r="AB2529" s="1"/>
      <c r="AC2529" s="1"/>
      <c r="AD2529" s="1">
        <f>IF($C2529="",0,SUMPRODUCT((AY_SONU!$O$7:$O$42="Evet")*(AY_SONU!$B$7:$B$42=DATE(YEAR($C2529),MONTH($C2529),1))))</f>
        <v>0</v>
      </c>
      <c r="AE2529" s="1" t="str">
        <f>IF($E2529="","",$E2529&amp;"|"&amp;COUNTIFS($E$7:$E2529,$E2529))</f>
        <v/>
      </c>
    </row>
    <row r="2530" spans="1:31" ht="18" customHeight="1" x14ac:dyDescent="0.3">
      <c r="A2530" s="2"/>
      <c r="B2530" s="65" t="str">
        <f t="shared" si="314"/>
        <v/>
      </c>
      <c r="C2530" s="66"/>
      <c r="D2530" s="60"/>
      <c r="E2530" s="61"/>
      <c r="F2530" s="61"/>
      <c r="G2530" s="67"/>
      <c r="H2530" s="60"/>
      <c r="I2530" s="60"/>
      <c r="J2530" s="61"/>
      <c r="K2530" s="61"/>
      <c r="L2530" s="60"/>
      <c r="M2530" s="74" t="str">
        <f t="shared" si="315"/>
        <v/>
      </c>
      <c r="N2530" s="74" t="str">
        <f t="shared" si="316"/>
        <v/>
      </c>
      <c r="O2530" s="73" t="str">
        <f t="shared" si="317"/>
        <v/>
      </c>
      <c r="P2530" s="65" t="str">
        <f t="shared" ca="1" si="318"/>
        <v/>
      </c>
      <c r="Q2530" s="2"/>
      <c r="R2530" s="2"/>
      <c r="S2530" s="1" t="str">
        <f t="shared" si="319"/>
        <v/>
      </c>
      <c r="T2530" s="1" t="str">
        <f>IF(OR($C2530="",$D2530&lt;&gt;"Gelir",$L2530=""),"",IFERROR(INDEX(MUSTERILER!$B$7:$B$156,MATCH($S2530,MUSTERILER!$T$7:$T$156,0)),""))</f>
        <v/>
      </c>
      <c r="U2530" s="1" t="str">
        <f>IF($T2530="","",$T2530&amp;"|"&amp;COUNTIFS($T$7:$T2530,$T2530))</f>
        <v/>
      </c>
      <c r="V2530" s="1">
        <f t="shared" si="320"/>
        <v>0</v>
      </c>
      <c r="W2530" s="1" t="str">
        <f t="shared" si="321"/>
        <v/>
      </c>
      <c r="X2530" s="1"/>
      <c r="Y2530" s="1"/>
      <c r="Z2530" s="1"/>
      <c r="AA2530" s="1"/>
      <c r="AB2530" s="1"/>
      <c r="AC2530" s="1"/>
      <c r="AD2530" s="1">
        <f>IF($C2530="",0,SUMPRODUCT((AY_SONU!$O$7:$O$42="Evet")*(AY_SONU!$B$7:$B$42=DATE(YEAR($C2530),MONTH($C2530),1))))</f>
        <v>0</v>
      </c>
      <c r="AE2530" s="1" t="str">
        <f>IF($E2530="","",$E2530&amp;"|"&amp;COUNTIFS($E$7:$E2530,$E2530))</f>
        <v/>
      </c>
    </row>
    <row r="2531" spans="1:31" ht="18" customHeight="1" x14ac:dyDescent="0.3">
      <c r="A2531" s="2"/>
      <c r="B2531" s="65" t="str">
        <f t="shared" si="314"/>
        <v/>
      </c>
      <c r="C2531" s="66"/>
      <c r="D2531" s="60"/>
      <c r="E2531" s="61"/>
      <c r="F2531" s="61"/>
      <c r="G2531" s="67"/>
      <c r="H2531" s="60"/>
      <c r="I2531" s="60"/>
      <c r="J2531" s="61"/>
      <c r="K2531" s="61"/>
      <c r="L2531" s="60"/>
      <c r="M2531" s="74" t="str">
        <f t="shared" si="315"/>
        <v/>
      </c>
      <c r="N2531" s="74" t="str">
        <f t="shared" si="316"/>
        <v/>
      </c>
      <c r="O2531" s="73" t="str">
        <f t="shared" si="317"/>
        <v/>
      </c>
      <c r="P2531" s="65" t="str">
        <f t="shared" ca="1" si="318"/>
        <v/>
      </c>
      <c r="Q2531" s="2"/>
      <c r="R2531" s="2"/>
      <c r="S2531" s="1" t="str">
        <f t="shared" si="319"/>
        <v/>
      </c>
      <c r="T2531" s="1" t="str">
        <f>IF(OR($C2531="",$D2531&lt;&gt;"Gelir",$L2531=""),"",IFERROR(INDEX(MUSTERILER!$B$7:$B$156,MATCH($S2531,MUSTERILER!$T$7:$T$156,0)),""))</f>
        <v/>
      </c>
      <c r="U2531" s="1" t="str">
        <f>IF($T2531="","",$T2531&amp;"|"&amp;COUNTIFS($T$7:$T2531,$T2531))</f>
        <v/>
      </c>
      <c r="V2531" s="1">
        <f t="shared" si="320"/>
        <v>0</v>
      </c>
      <c r="W2531" s="1" t="str">
        <f t="shared" si="321"/>
        <v/>
      </c>
      <c r="X2531" s="1"/>
      <c r="Y2531" s="1"/>
      <c r="Z2531" s="1"/>
      <c r="AA2531" s="1"/>
      <c r="AB2531" s="1"/>
      <c r="AC2531" s="1"/>
      <c r="AD2531" s="1">
        <f>IF($C2531="",0,SUMPRODUCT((AY_SONU!$O$7:$O$42="Evet")*(AY_SONU!$B$7:$B$42=DATE(YEAR($C2531),MONTH($C2531),1))))</f>
        <v>0</v>
      </c>
      <c r="AE2531" s="1" t="str">
        <f>IF($E2531="","",$E2531&amp;"|"&amp;COUNTIFS($E$7:$E2531,$E2531))</f>
        <v/>
      </c>
    </row>
    <row r="2532" spans="1:31" ht="18" customHeight="1" x14ac:dyDescent="0.3">
      <c r="A2532" s="2"/>
      <c r="B2532" s="65" t="str">
        <f t="shared" si="314"/>
        <v/>
      </c>
      <c r="C2532" s="66"/>
      <c r="D2532" s="60"/>
      <c r="E2532" s="61"/>
      <c r="F2532" s="61"/>
      <c r="G2532" s="67"/>
      <c r="H2532" s="60"/>
      <c r="I2532" s="60"/>
      <c r="J2532" s="61"/>
      <c r="K2532" s="61"/>
      <c r="L2532" s="60"/>
      <c r="M2532" s="74" t="str">
        <f t="shared" si="315"/>
        <v/>
      </c>
      <c r="N2532" s="74" t="str">
        <f t="shared" si="316"/>
        <v/>
      </c>
      <c r="O2532" s="73" t="str">
        <f t="shared" si="317"/>
        <v/>
      </c>
      <c r="P2532" s="65" t="str">
        <f t="shared" ca="1" si="318"/>
        <v/>
      </c>
      <c r="Q2532" s="2"/>
      <c r="R2532" s="2"/>
      <c r="S2532" s="1" t="str">
        <f t="shared" si="319"/>
        <v/>
      </c>
      <c r="T2532" s="1" t="str">
        <f>IF(OR($C2532="",$D2532&lt;&gt;"Gelir",$L2532=""),"",IFERROR(INDEX(MUSTERILER!$B$7:$B$156,MATCH($S2532,MUSTERILER!$T$7:$T$156,0)),""))</f>
        <v/>
      </c>
      <c r="U2532" s="1" t="str">
        <f>IF($T2532="","",$T2532&amp;"|"&amp;COUNTIFS($T$7:$T2532,$T2532))</f>
        <v/>
      </c>
      <c r="V2532" s="1">
        <f t="shared" si="320"/>
        <v>0</v>
      </c>
      <c r="W2532" s="1" t="str">
        <f t="shared" si="321"/>
        <v/>
      </c>
      <c r="X2532" s="1"/>
      <c r="Y2532" s="1"/>
      <c r="Z2532" s="1"/>
      <c r="AA2532" s="1"/>
      <c r="AB2532" s="1"/>
      <c r="AC2532" s="1"/>
      <c r="AD2532" s="1">
        <f>IF($C2532="",0,SUMPRODUCT((AY_SONU!$O$7:$O$42="Evet")*(AY_SONU!$B$7:$B$42=DATE(YEAR($C2532),MONTH($C2532),1))))</f>
        <v>0</v>
      </c>
      <c r="AE2532" s="1" t="str">
        <f>IF($E2532="","",$E2532&amp;"|"&amp;COUNTIFS($E$7:$E2532,$E2532))</f>
        <v/>
      </c>
    </row>
    <row r="2533" spans="1:31" ht="18" customHeight="1" x14ac:dyDescent="0.3">
      <c r="A2533" s="2"/>
      <c r="B2533" s="65" t="str">
        <f t="shared" si="314"/>
        <v/>
      </c>
      <c r="C2533" s="66"/>
      <c r="D2533" s="60"/>
      <c r="E2533" s="61"/>
      <c r="F2533" s="61"/>
      <c r="G2533" s="67"/>
      <c r="H2533" s="60"/>
      <c r="I2533" s="60"/>
      <c r="J2533" s="61"/>
      <c r="K2533" s="61"/>
      <c r="L2533" s="60"/>
      <c r="M2533" s="74" t="str">
        <f t="shared" si="315"/>
        <v/>
      </c>
      <c r="N2533" s="74" t="str">
        <f t="shared" si="316"/>
        <v/>
      </c>
      <c r="O2533" s="73" t="str">
        <f t="shared" si="317"/>
        <v/>
      </c>
      <c r="P2533" s="65" t="str">
        <f t="shared" ca="1" si="318"/>
        <v/>
      </c>
      <c r="Q2533" s="2"/>
      <c r="R2533" s="2"/>
      <c r="S2533" s="1" t="str">
        <f t="shared" si="319"/>
        <v/>
      </c>
      <c r="T2533" s="1" t="str">
        <f>IF(OR($C2533="",$D2533&lt;&gt;"Gelir",$L2533=""),"",IFERROR(INDEX(MUSTERILER!$B$7:$B$156,MATCH($S2533,MUSTERILER!$T$7:$T$156,0)),""))</f>
        <v/>
      </c>
      <c r="U2533" s="1" t="str">
        <f>IF($T2533="","",$T2533&amp;"|"&amp;COUNTIFS($T$7:$T2533,$T2533))</f>
        <v/>
      </c>
      <c r="V2533" s="1">
        <f t="shared" si="320"/>
        <v>0</v>
      </c>
      <c r="W2533" s="1" t="str">
        <f t="shared" si="321"/>
        <v/>
      </c>
      <c r="X2533" s="1"/>
      <c r="Y2533" s="1"/>
      <c r="Z2533" s="1"/>
      <c r="AA2533" s="1"/>
      <c r="AB2533" s="1"/>
      <c r="AC2533" s="1"/>
      <c r="AD2533" s="1">
        <f>IF($C2533="",0,SUMPRODUCT((AY_SONU!$O$7:$O$42="Evet")*(AY_SONU!$B$7:$B$42=DATE(YEAR($C2533),MONTH($C2533),1))))</f>
        <v>0</v>
      </c>
      <c r="AE2533" s="1" t="str">
        <f>IF($E2533="","",$E2533&amp;"|"&amp;COUNTIFS($E$7:$E2533,$E2533))</f>
        <v/>
      </c>
    </row>
    <row r="2534" spans="1:31" ht="18" customHeight="1" x14ac:dyDescent="0.3">
      <c r="A2534" s="2"/>
      <c r="B2534" s="65" t="str">
        <f t="shared" si="314"/>
        <v/>
      </c>
      <c r="C2534" s="66"/>
      <c r="D2534" s="60"/>
      <c r="E2534" s="61"/>
      <c r="F2534" s="61"/>
      <c r="G2534" s="67"/>
      <c r="H2534" s="60"/>
      <c r="I2534" s="60"/>
      <c r="J2534" s="61"/>
      <c r="K2534" s="61"/>
      <c r="L2534" s="60"/>
      <c r="M2534" s="74" t="str">
        <f t="shared" si="315"/>
        <v/>
      </c>
      <c r="N2534" s="74" t="str">
        <f t="shared" si="316"/>
        <v/>
      </c>
      <c r="O2534" s="73" t="str">
        <f t="shared" si="317"/>
        <v/>
      </c>
      <c r="P2534" s="65" t="str">
        <f t="shared" ca="1" si="318"/>
        <v/>
      </c>
      <c r="Q2534" s="2"/>
      <c r="R2534" s="2"/>
      <c r="S2534" s="1" t="str">
        <f t="shared" si="319"/>
        <v/>
      </c>
      <c r="T2534" s="1" t="str">
        <f>IF(OR($C2534="",$D2534&lt;&gt;"Gelir",$L2534=""),"",IFERROR(INDEX(MUSTERILER!$B$7:$B$156,MATCH($S2534,MUSTERILER!$T$7:$T$156,0)),""))</f>
        <v/>
      </c>
      <c r="U2534" s="1" t="str">
        <f>IF($T2534="","",$T2534&amp;"|"&amp;COUNTIFS($T$7:$T2534,$T2534))</f>
        <v/>
      </c>
      <c r="V2534" s="1">
        <f t="shared" si="320"/>
        <v>0</v>
      </c>
      <c r="W2534" s="1" t="str">
        <f t="shared" si="321"/>
        <v/>
      </c>
      <c r="X2534" s="1"/>
      <c r="Y2534" s="1"/>
      <c r="Z2534" s="1"/>
      <c r="AA2534" s="1"/>
      <c r="AB2534" s="1"/>
      <c r="AC2534" s="1"/>
      <c r="AD2534" s="1">
        <f>IF($C2534="",0,SUMPRODUCT((AY_SONU!$O$7:$O$42="Evet")*(AY_SONU!$B$7:$B$42=DATE(YEAR($C2534),MONTH($C2534),1))))</f>
        <v>0</v>
      </c>
      <c r="AE2534" s="1" t="str">
        <f>IF($E2534="","",$E2534&amp;"|"&amp;COUNTIFS($E$7:$E2534,$E2534))</f>
        <v/>
      </c>
    </row>
    <row r="2535" spans="1:31" ht="18" customHeight="1" x14ac:dyDescent="0.3">
      <c r="A2535" s="2"/>
      <c r="B2535" s="65" t="str">
        <f t="shared" si="314"/>
        <v/>
      </c>
      <c r="C2535" s="66"/>
      <c r="D2535" s="60"/>
      <c r="E2535" s="61"/>
      <c r="F2535" s="61"/>
      <c r="G2535" s="67"/>
      <c r="H2535" s="60"/>
      <c r="I2535" s="60"/>
      <c r="J2535" s="61"/>
      <c r="K2535" s="61"/>
      <c r="L2535" s="60"/>
      <c r="M2535" s="74" t="str">
        <f t="shared" si="315"/>
        <v/>
      </c>
      <c r="N2535" s="74" t="str">
        <f t="shared" si="316"/>
        <v/>
      </c>
      <c r="O2535" s="73" t="str">
        <f t="shared" si="317"/>
        <v/>
      </c>
      <c r="P2535" s="65" t="str">
        <f t="shared" ca="1" si="318"/>
        <v/>
      </c>
      <c r="Q2535" s="2"/>
      <c r="R2535" s="2"/>
      <c r="S2535" s="1" t="str">
        <f t="shared" si="319"/>
        <v/>
      </c>
      <c r="T2535" s="1" t="str">
        <f>IF(OR($C2535="",$D2535&lt;&gt;"Gelir",$L2535=""),"",IFERROR(INDEX(MUSTERILER!$B$7:$B$156,MATCH($S2535,MUSTERILER!$T$7:$T$156,0)),""))</f>
        <v/>
      </c>
      <c r="U2535" s="1" t="str">
        <f>IF($T2535="","",$T2535&amp;"|"&amp;COUNTIFS($T$7:$T2535,$T2535))</f>
        <v/>
      </c>
      <c r="V2535" s="1">
        <f t="shared" si="320"/>
        <v>0</v>
      </c>
      <c r="W2535" s="1" t="str">
        <f t="shared" si="321"/>
        <v/>
      </c>
      <c r="X2535" s="1"/>
      <c r="Y2535" s="1"/>
      <c r="Z2535" s="1"/>
      <c r="AA2535" s="1"/>
      <c r="AB2535" s="1"/>
      <c r="AC2535" s="1"/>
      <c r="AD2535" s="1">
        <f>IF($C2535="",0,SUMPRODUCT((AY_SONU!$O$7:$O$42="Evet")*(AY_SONU!$B$7:$B$42=DATE(YEAR($C2535),MONTH($C2535),1))))</f>
        <v>0</v>
      </c>
      <c r="AE2535" s="1" t="str">
        <f>IF($E2535="","",$E2535&amp;"|"&amp;COUNTIFS($E$7:$E2535,$E2535))</f>
        <v/>
      </c>
    </row>
    <row r="2536" spans="1:31" ht="18" customHeight="1" x14ac:dyDescent="0.3">
      <c r="A2536" s="2"/>
      <c r="B2536" s="65" t="str">
        <f t="shared" si="314"/>
        <v/>
      </c>
      <c r="C2536" s="66"/>
      <c r="D2536" s="60"/>
      <c r="E2536" s="61"/>
      <c r="F2536" s="61"/>
      <c r="G2536" s="67"/>
      <c r="H2536" s="60"/>
      <c r="I2536" s="60"/>
      <c r="J2536" s="61"/>
      <c r="K2536" s="61"/>
      <c r="L2536" s="60"/>
      <c r="M2536" s="74" t="str">
        <f t="shared" si="315"/>
        <v/>
      </c>
      <c r="N2536" s="74" t="str">
        <f t="shared" si="316"/>
        <v/>
      </c>
      <c r="O2536" s="73" t="str">
        <f t="shared" si="317"/>
        <v/>
      </c>
      <c r="P2536" s="65" t="str">
        <f t="shared" ca="1" si="318"/>
        <v/>
      </c>
      <c r="Q2536" s="2"/>
      <c r="R2536" s="2"/>
      <c r="S2536" s="1" t="str">
        <f t="shared" si="319"/>
        <v/>
      </c>
      <c r="T2536" s="1" t="str">
        <f>IF(OR($C2536="",$D2536&lt;&gt;"Gelir",$L2536=""),"",IFERROR(INDEX(MUSTERILER!$B$7:$B$156,MATCH($S2536,MUSTERILER!$T$7:$T$156,0)),""))</f>
        <v/>
      </c>
      <c r="U2536" s="1" t="str">
        <f>IF($T2536="","",$T2536&amp;"|"&amp;COUNTIFS($T$7:$T2536,$T2536))</f>
        <v/>
      </c>
      <c r="V2536" s="1">
        <f t="shared" si="320"/>
        <v>0</v>
      </c>
      <c r="W2536" s="1" t="str">
        <f t="shared" si="321"/>
        <v/>
      </c>
      <c r="X2536" s="1"/>
      <c r="Y2536" s="1"/>
      <c r="Z2536" s="1"/>
      <c r="AA2536" s="1"/>
      <c r="AB2536" s="1"/>
      <c r="AC2536" s="1"/>
      <c r="AD2536" s="1">
        <f>IF($C2536="",0,SUMPRODUCT((AY_SONU!$O$7:$O$42="Evet")*(AY_SONU!$B$7:$B$42=DATE(YEAR($C2536),MONTH($C2536),1))))</f>
        <v>0</v>
      </c>
      <c r="AE2536" s="1" t="str">
        <f>IF($E2536="","",$E2536&amp;"|"&amp;COUNTIFS($E$7:$E2536,$E2536))</f>
        <v/>
      </c>
    </row>
    <row r="2537" spans="1:31" ht="18" customHeight="1" x14ac:dyDescent="0.3">
      <c r="A2537" s="2"/>
      <c r="B2537" s="65" t="str">
        <f t="shared" si="314"/>
        <v/>
      </c>
      <c r="C2537" s="66"/>
      <c r="D2537" s="60"/>
      <c r="E2537" s="61"/>
      <c r="F2537" s="61"/>
      <c r="G2537" s="67"/>
      <c r="H2537" s="60"/>
      <c r="I2537" s="60"/>
      <c r="J2537" s="61"/>
      <c r="K2537" s="61"/>
      <c r="L2537" s="60"/>
      <c r="M2537" s="74" t="str">
        <f t="shared" si="315"/>
        <v/>
      </c>
      <c r="N2537" s="74" t="str">
        <f t="shared" si="316"/>
        <v/>
      </c>
      <c r="O2537" s="73" t="str">
        <f t="shared" si="317"/>
        <v/>
      </c>
      <c r="P2537" s="65" t="str">
        <f t="shared" ca="1" si="318"/>
        <v/>
      </c>
      <c r="Q2537" s="2"/>
      <c r="R2537" s="2"/>
      <c r="S2537" s="1" t="str">
        <f t="shared" si="319"/>
        <v/>
      </c>
      <c r="T2537" s="1" t="str">
        <f>IF(OR($C2537="",$D2537&lt;&gt;"Gelir",$L2537=""),"",IFERROR(INDEX(MUSTERILER!$B$7:$B$156,MATCH($S2537,MUSTERILER!$T$7:$T$156,0)),""))</f>
        <v/>
      </c>
      <c r="U2537" s="1" t="str">
        <f>IF($T2537="","",$T2537&amp;"|"&amp;COUNTIFS($T$7:$T2537,$T2537))</f>
        <v/>
      </c>
      <c r="V2537" s="1">
        <f t="shared" si="320"/>
        <v>0</v>
      </c>
      <c r="W2537" s="1" t="str">
        <f t="shared" si="321"/>
        <v/>
      </c>
      <c r="X2537" s="1"/>
      <c r="Y2537" s="1"/>
      <c r="Z2537" s="1"/>
      <c r="AA2537" s="1"/>
      <c r="AB2537" s="1"/>
      <c r="AC2537" s="1"/>
      <c r="AD2537" s="1">
        <f>IF($C2537="",0,SUMPRODUCT((AY_SONU!$O$7:$O$42="Evet")*(AY_SONU!$B$7:$B$42=DATE(YEAR($C2537),MONTH($C2537),1))))</f>
        <v>0</v>
      </c>
      <c r="AE2537" s="1" t="str">
        <f>IF($E2537="","",$E2537&amp;"|"&amp;COUNTIFS($E$7:$E2537,$E2537))</f>
        <v/>
      </c>
    </row>
    <row r="2538" spans="1:31" ht="18" customHeight="1" x14ac:dyDescent="0.3">
      <c r="A2538" s="2"/>
      <c r="B2538" s="65" t="str">
        <f t="shared" si="314"/>
        <v/>
      </c>
      <c r="C2538" s="66"/>
      <c r="D2538" s="60"/>
      <c r="E2538" s="61"/>
      <c r="F2538" s="61"/>
      <c r="G2538" s="67"/>
      <c r="H2538" s="60"/>
      <c r="I2538" s="60"/>
      <c r="J2538" s="61"/>
      <c r="K2538" s="61"/>
      <c r="L2538" s="60"/>
      <c r="M2538" s="74" t="str">
        <f t="shared" si="315"/>
        <v/>
      </c>
      <c r="N2538" s="74" t="str">
        <f t="shared" si="316"/>
        <v/>
      </c>
      <c r="O2538" s="73" t="str">
        <f t="shared" si="317"/>
        <v/>
      </c>
      <c r="P2538" s="65" t="str">
        <f t="shared" ca="1" si="318"/>
        <v/>
      </c>
      <c r="Q2538" s="2"/>
      <c r="R2538" s="2"/>
      <c r="S2538" s="1" t="str">
        <f t="shared" si="319"/>
        <v/>
      </c>
      <c r="T2538" s="1" t="str">
        <f>IF(OR($C2538="",$D2538&lt;&gt;"Gelir",$L2538=""),"",IFERROR(INDEX(MUSTERILER!$B$7:$B$156,MATCH($S2538,MUSTERILER!$T$7:$T$156,0)),""))</f>
        <v/>
      </c>
      <c r="U2538" s="1" t="str">
        <f>IF($T2538="","",$T2538&amp;"|"&amp;COUNTIFS($T$7:$T2538,$T2538))</f>
        <v/>
      </c>
      <c r="V2538" s="1">
        <f t="shared" si="320"/>
        <v>0</v>
      </c>
      <c r="W2538" s="1" t="str">
        <f t="shared" si="321"/>
        <v/>
      </c>
      <c r="X2538" s="1"/>
      <c r="Y2538" s="1"/>
      <c r="Z2538" s="1"/>
      <c r="AA2538" s="1"/>
      <c r="AB2538" s="1"/>
      <c r="AC2538" s="1"/>
      <c r="AD2538" s="1">
        <f>IF($C2538="",0,SUMPRODUCT((AY_SONU!$O$7:$O$42="Evet")*(AY_SONU!$B$7:$B$42=DATE(YEAR($C2538),MONTH($C2538),1))))</f>
        <v>0</v>
      </c>
      <c r="AE2538" s="1" t="str">
        <f>IF($E2538="","",$E2538&amp;"|"&amp;COUNTIFS($E$7:$E2538,$E2538))</f>
        <v/>
      </c>
    </row>
    <row r="2539" spans="1:31" ht="18" customHeight="1" x14ac:dyDescent="0.3">
      <c r="A2539" s="2"/>
      <c r="B2539" s="65" t="str">
        <f t="shared" si="314"/>
        <v/>
      </c>
      <c r="C2539" s="66"/>
      <c r="D2539" s="60"/>
      <c r="E2539" s="61"/>
      <c r="F2539" s="61"/>
      <c r="G2539" s="67"/>
      <c r="H2539" s="60"/>
      <c r="I2539" s="60"/>
      <c r="J2539" s="61"/>
      <c r="K2539" s="61"/>
      <c r="L2539" s="60"/>
      <c r="M2539" s="74" t="str">
        <f t="shared" si="315"/>
        <v/>
      </c>
      <c r="N2539" s="74" t="str">
        <f t="shared" si="316"/>
        <v/>
      </c>
      <c r="O2539" s="73" t="str">
        <f t="shared" si="317"/>
        <v/>
      </c>
      <c r="P2539" s="65" t="str">
        <f t="shared" ca="1" si="318"/>
        <v/>
      </c>
      <c r="Q2539" s="2"/>
      <c r="R2539" s="2"/>
      <c r="S2539" s="1" t="str">
        <f t="shared" si="319"/>
        <v/>
      </c>
      <c r="T2539" s="1" t="str">
        <f>IF(OR($C2539="",$D2539&lt;&gt;"Gelir",$L2539=""),"",IFERROR(INDEX(MUSTERILER!$B$7:$B$156,MATCH($S2539,MUSTERILER!$T$7:$T$156,0)),""))</f>
        <v/>
      </c>
      <c r="U2539" s="1" t="str">
        <f>IF($T2539="","",$T2539&amp;"|"&amp;COUNTIFS($T$7:$T2539,$T2539))</f>
        <v/>
      </c>
      <c r="V2539" s="1">
        <f t="shared" si="320"/>
        <v>0</v>
      </c>
      <c r="W2539" s="1" t="str">
        <f t="shared" si="321"/>
        <v/>
      </c>
      <c r="X2539" s="1"/>
      <c r="Y2539" s="1"/>
      <c r="Z2539" s="1"/>
      <c r="AA2539" s="1"/>
      <c r="AB2539" s="1"/>
      <c r="AC2539" s="1"/>
      <c r="AD2539" s="1">
        <f>IF($C2539="",0,SUMPRODUCT((AY_SONU!$O$7:$O$42="Evet")*(AY_SONU!$B$7:$B$42=DATE(YEAR($C2539),MONTH($C2539),1))))</f>
        <v>0</v>
      </c>
      <c r="AE2539" s="1" t="str">
        <f>IF($E2539="","",$E2539&amp;"|"&amp;COUNTIFS($E$7:$E2539,$E2539))</f>
        <v/>
      </c>
    </row>
    <row r="2540" spans="1:31" ht="18" customHeight="1" x14ac:dyDescent="0.3">
      <c r="A2540" s="2"/>
      <c r="B2540" s="65" t="str">
        <f t="shared" si="314"/>
        <v/>
      </c>
      <c r="C2540" s="66"/>
      <c r="D2540" s="60"/>
      <c r="E2540" s="61"/>
      <c r="F2540" s="61"/>
      <c r="G2540" s="67"/>
      <c r="H2540" s="60"/>
      <c r="I2540" s="60"/>
      <c r="J2540" s="61"/>
      <c r="K2540" s="61"/>
      <c r="L2540" s="60"/>
      <c r="M2540" s="74" t="str">
        <f t="shared" si="315"/>
        <v/>
      </c>
      <c r="N2540" s="74" t="str">
        <f t="shared" si="316"/>
        <v/>
      </c>
      <c r="O2540" s="73" t="str">
        <f t="shared" si="317"/>
        <v/>
      </c>
      <c r="P2540" s="65" t="str">
        <f t="shared" ca="1" si="318"/>
        <v/>
      </c>
      <c r="Q2540" s="2"/>
      <c r="R2540" s="2"/>
      <c r="S2540" s="1" t="str">
        <f t="shared" si="319"/>
        <v/>
      </c>
      <c r="T2540" s="1" t="str">
        <f>IF(OR($C2540="",$D2540&lt;&gt;"Gelir",$L2540=""),"",IFERROR(INDEX(MUSTERILER!$B$7:$B$156,MATCH($S2540,MUSTERILER!$T$7:$T$156,0)),""))</f>
        <v/>
      </c>
      <c r="U2540" s="1" t="str">
        <f>IF($T2540="","",$T2540&amp;"|"&amp;COUNTIFS($T$7:$T2540,$T2540))</f>
        <v/>
      </c>
      <c r="V2540" s="1">
        <f t="shared" si="320"/>
        <v>0</v>
      </c>
      <c r="W2540" s="1" t="str">
        <f t="shared" si="321"/>
        <v/>
      </c>
      <c r="X2540" s="1"/>
      <c r="Y2540" s="1"/>
      <c r="Z2540" s="1"/>
      <c r="AA2540" s="1"/>
      <c r="AB2540" s="1"/>
      <c r="AC2540" s="1"/>
      <c r="AD2540" s="1">
        <f>IF($C2540="",0,SUMPRODUCT((AY_SONU!$O$7:$O$42="Evet")*(AY_SONU!$B$7:$B$42=DATE(YEAR($C2540),MONTH($C2540),1))))</f>
        <v>0</v>
      </c>
      <c r="AE2540" s="1" t="str">
        <f>IF($E2540="","",$E2540&amp;"|"&amp;COUNTIFS($E$7:$E2540,$E2540))</f>
        <v/>
      </c>
    </row>
    <row r="2541" spans="1:31" ht="18" customHeight="1" x14ac:dyDescent="0.3">
      <c r="A2541" s="2"/>
      <c r="B2541" s="65" t="str">
        <f t="shared" si="314"/>
        <v/>
      </c>
      <c r="C2541" s="66"/>
      <c r="D2541" s="60"/>
      <c r="E2541" s="61"/>
      <c r="F2541" s="61"/>
      <c r="G2541" s="67"/>
      <c r="H2541" s="60"/>
      <c r="I2541" s="60"/>
      <c r="J2541" s="61"/>
      <c r="K2541" s="61"/>
      <c r="L2541" s="60"/>
      <c r="M2541" s="74" t="str">
        <f t="shared" si="315"/>
        <v/>
      </c>
      <c r="N2541" s="74" t="str">
        <f t="shared" si="316"/>
        <v/>
      </c>
      <c r="O2541" s="73" t="str">
        <f t="shared" si="317"/>
        <v/>
      </c>
      <c r="P2541" s="65" t="str">
        <f t="shared" ca="1" si="318"/>
        <v/>
      </c>
      <c r="Q2541" s="2"/>
      <c r="R2541" s="2"/>
      <c r="S2541" s="1" t="str">
        <f t="shared" si="319"/>
        <v/>
      </c>
      <c r="T2541" s="1" t="str">
        <f>IF(OR($C2541="",$D2541&lt;&gt;"Gelir",$L2541=""),"",IFERROR(INDEX(MUSTERILER!$B$7:$B$156,MATCH($S2541,MUSTERILER!$T$7:$T$156,0)),""))</f>
        <v/>
      </c>
      <c r="U2541" s="1" t="str">
        <f>IF($T2541="","",$T2541&amp;"|"&amp;COUNTIFS($T$7:$T2541,$T2541))</f>
        <v/>
      </c>
      <c r="V2541" s="1">
        <f t="shared" si="320"/>
        <v>0</v>
      </c>
      <c r="W2541" s="1" t="str">
        <f t="shared" si="321"/>
        <v/>
      </c>
      <c r="X2541" s="1"/>
      <c r="Y2541" s="1"/>
      <c r="Z2541" s="1"/>
      <c r="AA2541" s="1"/>
      <c r="AB2541" s="1"/>
      <c r="AC2541" s="1"/>
      <c r="AD2541" s="1">
        <f>IF($C2541="",0,SUMPRODUCT((AY_SONU!$O$7:$O$42="Evet")*(AY_SONU!$B$7:$B$42=DATE(YEAR($C2541),MONTH($C2541),1))))</f>
        <v>0</v>
      </c>
      <c r="AE2541" s="1" t="str">
        <f>IF($E2541="","",$E2541&amp;"|"&amp;COUNTIFS($E$7:$E2541,$E2541))</f>
        <v/>
      </c>
    </row>
    <row r="2542" spans="1:31" ht="18" customHeight="1" x14ac:dyDescent="0.3">
      <c r="A2542" s="2"/>
      <c r="B2542" s="65" t="str">
        <f t="shared" si="314"/>
        <v/>
      </c>
      <c r="C2542" s="66"/>
      <c r="D2542" s="60"/>
      <c r="E2542" s="61"/>
      <c r="F2542" s="61"/>
      <c r="G2542" s="67"/>
      <c r="H2542" s="60"/>
      <c r="I2542" s="60"/>
      <c r="J2542" s="61"/>
      <c r="K2542" s="61"/>
      <c r="L2542" s="60"/>
      <c r="M2542" s="74" t="str">
        <f t="shared" si="315"/>
        <v/>
      </c>
      <c r="N2542" s="74" t="str">
        <f t="shared" si="316"/>
        <v/>
      </c>
      <c r="O2542" s="73" t="str">
        <f t="shared" si="317"/>
        <v/>
      </c>
      <c r="P2542" s="65" t="str">
        <f t="shared" ca="1" si="318"/>
        <v/>
      </c>
      <c r="Q2542" s="2"/>
      <c r="R2542" s="2"/>
      <c r="S2542" s="1" t="str">
        <f t="shared" si="319"/>
        <v/>
      </c>
      <c r="T2542" s="1" t="str">
        <f>IF(OR($C2542="",$D2542&lt;&gt;"Gelir",$L2542=""),"",IFERROR(INDEX(MUSTERILER!$B$7:$B$156,MATCH($S2542,MUSTERILER!$T$7:$T$156,0)),""))</f>
        <v/>
      </c>
      <c r="U2542" s="1" t="str">
        <f>IF($T2542="","",$T2542&amp;"|"&amp;COUNTIFS($T$7:$T2542,$T2542))</f>
        <v/>
      </c>
      <c r="V2542" s="1">
        <f t="shared" si="320"/>
        <v>0</v>
      </c>
      <c r="W2542" s="1" t="str">
        <f t="shared" si="321"/>
        <v/>
      </c>
      <c r="X2542" s="1"/>
      <c r="Y2542" s="1"/>
      <c r="Z2542" s="1"/>
      <c r="AA2542" s="1"/>
      <c r="AB2542" s="1"/>
      <c r="AC2542" s="1"/>
      <c r="AD2542" s="1">
        <f>IF($C2542="",0,SUMPRODUCT((AY_SONU!$O$7:$O$42="Evet")*(AY_SONU!$B$7:$B$42=DATE(YEAR($C2542),MONTH($C2542),1))))</f>
        <v>0</v>
      </c>
      <c r="AE2542" s="1" t="str">
        <f>IF($E2542="","",$E2542&amp;"|"&amp;COUNTIFS($E$7:$E2542,$E2542))</f>
        <v/>
      </c>
    </row>
    <row r="2543" spans="1:31" ht="18" customHeight="1" x14ac:dyDescent="0.3">
      <c r="A2543" s="2"/>
      <c r="B2543" s="65" t="str">
        <f t="shared" si="314"/>
        <v/>
      </c>
      <c r="C2543" s="66"/>
      <c r="D2543" s="60"/>
      <c r="E2543" s="61"/>
      <c r="F2543" s="61"/>
      <c r="G2543" s="67"/>
      <c r="H2543" s="60"/>
      <c r="I2543" s="60"/>
      <c r="J2543" s="61"/>
      <c r="K2543" s="61"/>
      <c r="L2543" s="60"/>
      <c r="M2543" s="74" t="str">
        <f t="shared" si="315"/>
        <v/>
      </c>
      <c r="N2543" s="74" t="str">
        <f t="shared" si="316"/>
        <v/>
      </c>
      <c r="O2543" s="73" t="str">
        <f t="shared" si="317"/>
        <v/>
      </c>
      <c r="P2543" s="65" t="str">
        <f t="shared" ca="1" si="318"/>
        <v/>
      </c>
      <c r="Q2543" s="2"/>
      <c r="R2543" s="2"/>
      <c r="S2543" s="1" t="str">
        <f t="shared" si="319"/>
        <v/>
      </c>
      <c r="T2543" s="1" t="str">
        <f>IF(OR($C2543="",$D2543&lt;&gt;"Gelir",$L2543=""),"",IFERROR(INDEX(MUSTERILER!$B$7:$B$156,MATCH($S2543,MUSTERILER!$T$7:$T$156,0)),""))</f>
        <v/>
      </c>
      <c r="U2543" s="1" t="str">
        <f>IF($T2543="","",$T2543&amp;"|"&amp;COUNTIFS($T$7:$T2543,$T2543))</f>
        <v/>
      </c>
      <c r="V2543" s="1">
        <f t="shared" si="320"/>
        <v>0</v>
      </c>
      <c r="W2543" s="1" t="str">
        <f t="shared" si="321"/>
        <v/>
      </c>
      <c r="X2543" s="1"/>
      <c r="Y2543" s="1"/>
      <c r="Z2543" s="1"/>
      <c r="AA2543" s="1"/>
      <c r="AB2543" s="1"/>
      <c r="AC2543" s="1"/>
      <c r="AD2543" s="1">
        <f>IF($C2543="",0,SUMPRODUCT((AY_SONU!$O$7:$O$42="Evet")*(AY_SONU!$B$7:$B$42=DATE(YEAR($C2543),MONTH($C2543),1))))</f>
        <v>0</v>
      </c>
      <c r="AE2543" s="1" t="str">
        <f>IF($E2543="","",$E2543&amp;"|"&amp;COUNTIFS($E$7:$E2543,$E2543))</f>
        <v/>
      </c>
    </row>
    <row r="2544" spans="1:31" ht="18" customHeight="1" x14ac:dyDescent="0.3">
      <c r="A2544" s="2"/>
      <c r="B2544" s="65" t="str">
        <f t="shared" si="314"/>
        <v/>
      </c>
      <c r="C2544" s="66"/>
      <c r="D2544" s="60"/>
      <c r="E2544" s="61"/>
      <c r="F2544" s="61"/>
      <c r="G2544" s="67"/>
      <c r="H2544" s="60"/>
      <c r="I2544" s="60"/>
      <c r="J2544" s="61"/>
      <c r="K2544" s="61"/>
      <c r="L2544" s="60"/>
      <c r="M2544" s="74" t="str">
        <f t="shared" si="315"/>
        <v/>
      </c>
      <c r="N2544" s="74" t="str">
        <f t="shared" si="316"/>
        <v/>
      </c>
      <c r="O2544" s="73" t="str">
        <f t="shared" si="317"/>
        <v/>
      </c>
      <c r="P2544" s="65" t="str">
        <f t="shared" ca="1" si="318"/>
        <v/>
      </c>
      <c r="Q2544" s="2"/>
      <c r="R2544" s="2"/>
      <c r="S2544" s="1" t="str">
        <f t="shared" si="319"/>
        <v/>
      </c>
      <c r="T2544" s="1" t="str">
        <f>IF(OR($C2544="",$D2544&lt;&gt;"Gelir",$L2544=""),"",IFERROR(INDEX(MUSTERILER!$B$7:$B$156,MATCH($S2544,MUSTERILER!$T$7:$T$156,0)),""))</f>
        <v/>
      </c>
      <c r="U2544" s="1" t="str">
        <f>IF($T2544="","",$T2544&amp;"|"&amp;COUNTIFS($T$7:$T2544,$T2544))</f>
        <v/>
      </c>
      <c r="V2544" s="1">
        <f t="shared" si="320"/>
        <v>0</v>
      </c>
      <c r="W2544" s="1" t="str">
        <f t="shared" si="321"/>
        <v/>
      </c>
      <c r="X2544" s="1"/>
      <c r="Y2544" s="1"/>
      <c r="Z2544" s="1"/>
      <c r="AA2544" s="1"/>
      <c r="AB2544" s="1"/>
      <c r="AC2544" s="1"/>
      <c r="AD2544" s="1">
        <f>IF($C2544="",0,SUMPRODUCT((AY_SONU!$O$7:$O$42="Evet")*(AY_SONU!$B$7:$B$42=DATE(YEAR($C2544),MONTH($C2544),1))))</f>
        <v>0</v>
      </c>
      <c r="AE2544" s="1" t="str">
        <f>IF($E2544="","",$E2544&amp;"|"&amp;COUNTIFS($E$7:$E2544,$E2544))</f>
        <v/>
      </c>
    </row>
    <row r="2545" spans="1:31" ht="18" customHeight="1" x14ac:dyDescent="0.3">
      <c r="A2545" s="2"/>
      <c r="B2545" s="65" t="str">
        <f t="shared" si="314"/>
        <v/>
      </c>
      <c r="C2545" s="66"/>
      <c r="D2545" s="60"/>
      <c r="E2545" s="61"/>
      <c r="F2545" s="61"/>
      <c r="G2545" s="67"/>
      <c r="H2545" s="60"/>
      <c r="I2545" s="60"/>
      <c r="J2545" s="61"/>
      <c r="K2545" s="61"/>
      <c r="L2545" s="60"/>
      <c r="M2545" s="74" t="str">
        <f t="shared" si="315"/>
        <v/>
      </c>
      <c r="N2545" s="74" t="str">
        <f t="shared" si="316"/>
        <v/>
      </c>
      <c r="O2545" s="73" t="str">
        <f t="shared" si="317"/>
        <v/>
      </c>
      <c r="P2545" s="65" t="str">
        <f t="shared" ca="1" si="318"/>
        <v/>
      </c>
      <c r="Q2545" s="2"/>
      <c r="R2545" s="2"/>
      <c r="S2545" s="1" t="str">
        <f t="shared" si="319"/>
        <v/>
      </c>
      <c r="T2545" s="1" t="str">
        <f>IF(OR($C2545="",$D2545&lt;&gt;"Gelir",$L2545=""),"",IFERROR(INDEX(MUSTERILER!$B$7:$B$156,MATCH($S2545,MUSTERILER!$T$7:$T$156,0)),""))</f>
        <v/>
      </c>
      <c r="U2545" s="1" t="str">
        <f>IF($T2545="","",$T2545&amp;"|"&amp;COUNTIFS($T$7:$T2545,$T2545))</f>
        <v/>
      </c>
      <c r="V2545" s="1">
        <f t="shared" si="320"/>
        <v>0</v>
      </c>
      <c r="W2545" s="1" t="str">
        <f t="shared" si="321"/>
        <v/>
      </c>
      <c r="X2545" s="1"/>
      <c r="Y2545" s="1"/>
      <c r="Z2545" s="1"/>
      <c r="AA2545" s="1"/>
      <c r="AB2545" s="1"/>
      <c r="AC2545" s="1"/>
      <c r="AD2545" s="1">
        <f>IF($C2545="",0,SUMPRODUCT((AY_SONU!$O$7:$O$42="Evet")*(AY_SONU!$B$7:$B$42=DATE(YEAR($C2545),MONTH($C2545),1))))</f>
        <v>0</v>
      </c>
      <c r="AE2545" s="1" t="str">
        <f>IF($E2545="","",$E2545&amp;"|"&amp;COUNTIFS($E$7:$E2545,$E2545))</f>
        <v/>
      </c>
    </row>
    <row r="2546" spans="1:31" ht="18" customHeight="1" x14ac:dyDescent="0.3">
      <c r="A2546" s="2"/>
      <c r="B2546" s="65" t="str">
        <f t="shared" si="314"/>
        <v/>
      </c>
      <c r="C2546" s="66"/>
      <c r="D2546" s="60"/>
      <c r="E2546" s="61"/>
      <c r="F2546" s="61"/>
      <c r="G2546" s="67"/>
      <c r="H2546" s="60"/>
      <c r="I2546" s="60"/>
      <c r="J2546" s="61"/>
      <c r="K2546" s="61"/>
      <c r="L2546" s="60"/>
      <c r="M2546" s="74" t="str">
        <f t="shared" si="315"/>
        <v/>
      </c>
      <c r="N2546" s="74" t="str">
        <f t="shared" si="316"/>
        <v/>
      </c>
      <c r="O2546" s="73" t="str">
        <f t="shared" si="317"/>
        <v/>
      </c>
      <c r="P2546" s="65" t="str">
        <f t="shared" ca="1" si="318"/>
        <v/>
      </c>
      <c r="Q2546" s="2"/>
      <c r="R2546" s="2"/>
      <c r="S2546" s="1" t="str">
        <f t="shared" si="319"/>
        <v/>
      </c>
      <c r="T2546" s="1" t="str">
        <f>IF(OR($C2546="",$D2546&lt;&gt;"Gelir",$L2546=""),"",IFERROR(INDEX(MUSTERILER!$B$7:$B$156,MATCH($S2546,MUSTERILER!$T$7:$T$156,0)),""))</f>
        <v/>
      </c>
      <c r="U2546" s="1" t="str">
        <f>IF($T2546="","",$T2546&amp;"|"&amp;COUNTIFS($T$7:$T2546,$T2546))</f>
        <v/>
      </c>
      <c r="V2546" s="1">
        <f t="shared" si="320"/>
        <v>0</v>
      </c>
      <c r="W2546" s="1" t="str">
        <f t="shared" si="321"/>
        <v/>
      </c>
      <c r="X2546" s="1"/>
      <c r="Y2546" s="1"/>
      <c r="Z2546" s="1"/>
      <c r="AA2546" s="1"/>
      <c r="AB2546" s="1"/>
      <c r="AC2546" s="1"/>
      <c r="AD2546" s="1">
        <f>IF($C2546="",0,SUMPRODUCT((AY_SONU!$O$7:$O$42="Evet")*(AY_SONU!$B$7:$B$42=DATE(YEAR($C2546),MONTH($C2546),1))))</f>
        <v>0</v>
      </c>
      <c r="AE2546" s="1" t="str">
        <f>IF($E2546="","",$E2546&amp;"|"&amp;COUNTIFS($E$7:$E2546,$E2546))</f>
        <v/>
      </c>
    </row>
    <row r="2547" spans="1:31" ht="18" customHeight="1" x14ac:dyDescent="0.3">
      <c r="A2547" s="2"/>
      <c r="B2547" s="65" t="str">
        <f t="shared" si="314"/>
        <v/>
      </c>
      <c r="C2547" s="66"/>
      <c r="D2547" s="60"/>
      <c r="E2547" s="61"/>
      <c r="F2547" s="61"/>
      <c r="G2547" s="67"/>
      <c r="H2547" s="60"/>
      <c r="I2547" s="60"/>
      <c r="J2547" s="61"/>
      <c r="K2547" s="61"/>
      <c r="L2547" s="60"/>
      <c r="M2547" s="74" t="str">
        <f t="shared" si="315"/>
        <v/>
      </c>
      <c r="N2547" s="74" t="str">
        <f t="shared" si="316"/>
        <v/>
      </c>
      <c r="O2547" s="73" t="str">
        <f t="shared" si="317"/>
        <v/>
      </c>
      <c r="P2547" s="65" t="str">
        <f t="shared" ca="1" si="318"/>
        <v/>
      </c>
      <c r="Q2547" s="2"/>
      <c r="R2547" s="2"/>
      <c r="S2547" s="1" t="str">
        <f t="shared" si="319"/>
        <v/>
      </c>
      <c r="T2547" s="1" t="str">
        <f>IF(OR($C2547="",$D2547&lt;&gt;"Gelir",$L2547=""),"",IFERROR(INDEX(MUSTERILER!$B$7:$B$156,MATCH($S2547,MUSTERILER!$T$7:$T$156,0)),""))</f>
        <v/>
      </c>
      <c r="U2547" s="1" t="str">
        <f>IF($T2547="","",$T2547&amp;"|"&amp;COUNTIFS($T$7:$T2547,$T2547))</f>
        <v/>
      </c>
      <c r="V2547" s="1">
        <f t="shared" si="320"/>
        <v>0</v>
      </c>
      <c r="W2547" s="1" t="str">
        <f t="shared" si="321"/>
        <v/>
      </c>
      <c r="X2547" s="1"/>
      <c r="Y2547" s="1"/>
      <c r="Z2547" s="1"/>
      <c r="AA2547" s="1"/>
      <c r="AB2547" s="1"/>
      <c r="AC2547" s="1"/>
      <c r="AD2547" s="1">
        <f>IF($C2547="",0,SUMPRODUCT((AY_SONU!$O$7:$O$42="Evet")*(AY_SONU!$B$7:$B$42=DATE(YEAR($C2547),MONTH($C2547),1))))</f>
        <v>0</v>
      </c>
      <c r="AE2547" s="1" t="str">
        <f>IF($E2547="","",$E2547&amp;"|"&amp;COUNTIFS($E$7:$E2547,$E2547))</f>
        <v/>
      </c>
    </row>
    <row r="2548" spans="1:31" ht="18" customHeight="1" x14ac:dyDescent="0.3">
      <c r="A2548" s="2"/>
      <c r="B2548" s="65" t="str">
        <f t="shared" si="314"/>
        <v/>
      </c>
      <c r="C2548" s="66"/>
      <c r="D2548" s="60"/>
      <c r="E2548" s="61"/>
      <c r="F2548" s="61"/>
      <c r="G2548" s="67"/>
      <c r="H2548" s="60"/>
      <c r="I2548" s="60"/>
      <c r="J2548" s="61"/>
      <c r="K2548" s="61"/>
      <c r="L2548" s="60"/>
      <c r="M2548" s="74" t="str">
        <f t="shared" si="315"/>
        <v/>
      </c>
      <c r="N2548" s="74" t="str">
        <f t="shared" si="316"/>
        <v/>
      </c>
      <c r="O2548" s="73" t="str">
        <f t="shared" si="317"/>
        <v/>
      </c>
      <c r="P2548" s="65" t="str">
        <f t="shared" ca="1" si="318"/>
        <v/>
      </c>
      <c r="Q2548" s="2"/>
      <c r="R2548" s="2"/>
      <c r="S2548" s="1" t="str">
        <f t="shared" si="319"/>
        <v/>
      </c>
      <c r="T2548" s="1" t="str">
        <f>IF(OR($C2548="",$D2548&lt;&gt;"Gelir",$L2548=""),"",IFERROR(INDEX(MUSTERILER!$B$7:$B$156,MATCH($S2548,MUSTERILER!$T$7:$T$156,0)),""))</f>
        <v/>
      </c>
      <c r="U2548" s="1" t="str">
        <f>IF($T2548="","",$T2548&amp;"|"&amp;COUNTIFS($T$7:$T2548,$T2548))</f>
        <v/>
      </c>
      <c r="V2548" s="1">
        <f t="shared" si="320"/>
        <v>0</v>
      </c>
      <c r="W2548" s="1" t="str">
        <f t="shared" si="321"/>
        <v/>
      </c>
      <c r="X2548" s="1"/>
      <c r="Y2548" s="1"/>
      <c r="Z2548" s="1"/>
      <c r="AA2548" s="1"/>
      <c r="AB2548" s="1"/>
      <c r="AC2548" s="1"/>
      <c r="AD2548" s="1">
        <f>IF($C2548="",0,SUMPRODUCT((AY_SONU!$O$7:$O$42="Evet")*(AY_SONU!$B$7:$B$42=DATE(YEAR($C2548),MONTH($C2548),1))))</f>
        <v>0</v>
      </c>
      <c r="AE2548" s="1" t="str">
        <f>IF($E2548="","",$E2548&amp;"|"&amp;COUNTIFS($E$7:$E2548,$E2548))</f>
        <v/>
      </c>
    </row>
    <row r="2549" spans="1:31" ht="18" customHeight="1" x14ac:dyDescent="0.3">
      <c r="A2549" s="2"/>
      <c r="B2549" s="65" t="str">
        <f t="shared" si="314"/>
        <v/>
      </c>
      <c r="C2549" s="66"/>
      <c r="D2549" s="60"/>
      <c r="E2549" s="61"/>
      <c r="F2549" s="61"/>
      <c r="G2549" s="67"/>
      <c r="H2549" s="60"/>
      <c r="I2549" s="60"/>
      <c r="J2549" s="61"/>
      <c r="K2549" s="61"/>
      <c r="L2549" s="60"/>
      <c r="M2549" s="74" t="str">
        <f t="shared" si="315"/>
        <v/>
      </c>
      <c r="N2549" s="74" t="str">
        <f t="shared" si="316"/>
        <v/>
      </c>
      <c r="O2549" s="73" t="str">
        <f t="shared" si="317"/>
        <v/>
      </c>
      <c r="P2549" s="65" t="str">
        <f t="shared" ca="1" si="318"/>
        <v/>
      </c>
      <c r="Q2549" s="2"/>
      <c r="R2549" s="2"/>
      <c r="S2549" s="1" t="str">
        <f t="shared" si="319"/>
        <v/>
      </c>
      <c r="T2549" s="1" t="str">
        <f>IF(OR($C2549="",$D2549&lt;&gt;"Gelir",$L2549=""),"",IFERROR(INDEX(MUSTERILER!$B$7:$B$156,MATCH($S2549,MUSTERILER!$T$7:$T$156,0)),""))</f>
        <v/>
      </c>
      <c r="U2549" s="1" t="str">
        <f>IF($T2549="","",$T2549&amp;"|"&amp;COUNTIFS($T$7:$T2549,$T2549))</f>
        <v/>
      </c>
      <c r="V2549" s="1">
        <f t="shared" si="320"/>
        <v>0</v>
      </c>
      <c r="W2549" s="1" t="str">
        <f t="shared" si="321"/>
        <v/>
      </c>
      <c r="X2549" s="1"/>
      <c r="Y2549" s="1"/>
      <c r="Z2549" s="1"/>
      <c r="AA2549" s="1"/>
      <c r="AB2549" s="1"/>
      <c r="AC2549" s="1"/>
      <c r="AD2549" s="1">
        <f>IF($C2549="",0,SUMPRODUCT((AY_SONU!$O$7:$O$42="Evet")*(AY_SONU!$B$7:$B$42=DATE(YEAR($C2549),MONTH($C2549),1))))</f>
        <v>0</v>
      </c>
      <c r="AE2549" s="1" t="str">
        <f>IF($E2549="","",$E2549&amp;"|"&amp;COUNTIFS($E$7:$E2549,$E2549))</f>
        <v/>
      </c>
    </row>
    <row r="2550" spans="1:31" ht="18" customHeight="1" x14ac:dyDescent="0.3">
      <c r="A2550" s="2"/>
      <c r="B2550" s="65" t="str">
        <f t="shared" si="314"/>
        <v/>
      </c>
      <c r="C2550" s="66"/>
      <c r="D2550" s="60"/>
      <c r="E2550" s="61"/>
      <c r="F2550" s="61"/>
      <c r="G2550" s="67"/>
      <c r="H2550" s="60"/>
      <c r="I2550" s="60"/>
      <c r="J2550" s="61"/>
      <c r="K2550" s="61"/>
      <c r="L2550" s="60"/>
      <c r="M2550" s="74" t="str">
        <f t="shared" si="315"/>
        <v/>
      </c>
      <c r="N2550" s="74" t="str">
        <f t="shared" si="316"/>
        <v/>
      </c>
      <c r="O2550" s="73" t="str">
        <f t="shared" si="317"/>
        <v/>
      </c>
      <c r="P2550" s="65" t="str">
        <f t="shared" ca="1" si="318"/>
        <v/>
      </c>
      <c r="Q2550" s="2"/>
      <c r="R2550" s="2"/>
      <c r="S2550" s="1" t="str">
        <f t="shared" si="319"/>
        <v/>
      </c>
      <c r="T2550" s="1" t="str">
        <f>IF(OR($C2550="",$D2550&lt;&gt;"Gelir",$L2550=""),"",IFERROR(INDEX(MUSTERILER!$B$7:$B$156,MATCH($S2550,MUSTERILER!$T$7:$T$156,0)),""))</f>
        <v/>
      </c>
      <c r="U2550" s="1" t="str">
        <f>IF($T2550="","",$T2550&amp;"|"&amp;COUNTIFS($T$7:$T2550,$T2550))</f>
        <v/>
      </c>
      <c r="V2550" s="1">
        <f t="shared" si="320"/>
        <v>0</v>
      </c>
      <c r="W2550" s="1" t="str">
        <f t="shared" si="321"/>
        <v/>
      </c>
      <c r="X2550" s="1"/>
      <c r="Y2550" s="1"/>
      <c r="Z2550" s="1"/>
      <c r="AA2550" s="1"/>
      <c r="AB2550" s="1"/>
      <c r="AC2550" s="1"/>
      <c r="AD2550" s="1">
        <f>IF($C2550="",0,SUMPRODUCT((AY_SONU!$O$7:$O$42="Evet")*(AY_SONU!$B$7:$B$42=DATE(YEAR($C2550),MONTH($C2550),1))))</f>
        <v>0</v>
      </c>
      <c r="AE2550" s="1" t="str">
        <f>IF($E2550="","",$E2550&amp;"|"&amp;COUNTIFS($E$7:$E2550,$E2550))</f>
        <v/>
      </c>
    </row>
    <row r="2551" spans="1:31" ht="18" customHeight="1" x14ac:dyDescent="0.3">
      <c r="A2551" s="2"/>
      <c r="B2551" s="65" t="str">
        <f t="shared" si="314"/>
        <v/>
      </c>
      <c r="C2551" s="66"/>
      <c r="D2551" s="60"/>
      <c r="E2551" s="61"/>
      <c r="F2551" s="61"/>
      <c r="G2551" s="67"/>
      <c r="H2551" s="60"/>
      <c r="I2551" s="60"/>
      <c r="J2551" s="61"/>
      <c r="K2551" s="61"/>
      <c r="L2551" s="60"/>
      <c r="M2551" s="74" t="str">
        <f t="shared" si="315"/>
        <v/>
      </c>
      <c r="N2551" s="74" t="str">
        <f t="shared" si="316"/>
        <v/>
      </c>
      <c r="O2551" s="73" t="str">
        <f t="shared" si="317"/>
        <v/>
      </c>
      <c r="P2551" s="65" t="str">
        <f t="shared" ca="1" si="318"/>
        <v/>
      </c>
      <c r="Q2551" s="2"/>
      <c r="R2551" s="2"/>
      <c r="S2551" s="1" t="str">
        <f t="shared" si="319"/>
        <v/>
      </c>
      <c r="T2551" s="1" t="str">
        <f>IF(OR($C2551="",$D2551&lt;&gt;"Gelir",$L2551=""),"",IFERROR(INDEX(MUSTERILER!$B$7:$B$156,MATCH($S2551,MUSTERILER!$T$7:$T$156,0)),""))</f>
        <v/>
      </c>
      <c r="U2551" s="1" t="str">
        <f>IF($T2551="","",$T2551&amp;"|"&amp;COUNTIFS($T$7:$T2551,$T2551))</f>
        <v/>
      </c>
      <c r="V2551" s="1">
        <f t="shared" si="320"/>
        <v>0</v>
      </c>
      <c r="W2551" s="1" t="str">
        <f t="shared" si="321"/>
        <v/>
      </c>
      <c r="X2551" s="1"/>
      <c r="Y2551" s="1"/>
      <c r="Z2551" s="1"/>
      <c r="AA2551" s="1"/>
      <c r="AB2551" s="1"/>
      <c r="AC2551" s="1"/>
      <c r="AD2551" s="1">
        <f>IF($C2551="",0,SUMPRODUCT((AY_SONU!$O$7:$O$42="Evet")*(AY_SONU!$B$7:$B$42=DATE(YEAR($C2551),MONTH($C2551),1))))</f>
        <v>0</v>
      </c>
      <c r="AE2551" s="1" t="str">
        <f>IF($E2551="","",$E2551&amp;"|"&amp;COUNTIFS($E$7:$E2551,$E2551))</f>
        <v/>
      </c>
    </row>
    <row r="2552" spans="1:31" ht="18" customHeight="1" x14ac:dyDescent="0.3">
      <c r="A2552" s="2"/>
      <c r="B2552" s="65" t="str">
        <f t="shared" si="314"/>
        <v/>
      </c>
      <c r="C2552" s="66"/>
      <c r="D2552" s="60"/>
      <c r="E2552" s="61"/>
      <c r="F2552" s="61"/>
      <c r="G2552" s="67"/>
      <c r="H2552" s="60"/>
      <c r="I2552" s="60"/>
      <c r="J2552" s="61"/>
      <c r="K2552" s="61"/>
      <c r="L2552" s="60"/>
      <c r="M2552" s="74" t="str">
        <f t="shared" si="315"/>
        <v/>
      </c>
      <c r="N2552" s="74" t="str">
        <f t="shared" si="316"/>
        <v/>
      </c>
      <c r="O2552" s="73" t="str">
        <f t="shared" si="317"/>
        <v/>
      </c>
      <c r="P2552" s="65" t="str">
        <f t="shared" ca="1" si="318"/>
        <v/>
      </c>
      <c r="Q2552" s="2"/>
      <c r="R2552" s="2"/>
      <c r="S2552" s="1" t="str">
        <f t="shared" si="319"/>
        <v/>
      </c>
      <c r="T2552" s="1" t="str">
        <f>IF(OR($C2552="",$D2552&lt;&gt;"Gelir",$L2552=""),"",IFERROR(INDEX(MUSTERILER!$B$7:$B$156,MATCH($S2552,MUSTERILER!$T$7:$T$156,0)),""))</f>
        <v/>
      </c>
      <c r="U2552" s="1" t="str">
        <f>IF($T2552="","",$T2552&amp;"|"&amp;COUNTIFS($T$7:$T2552,$T2552))</f>
        <v/>
      </c>
      <c r="V2552" s="1">
        <f t="shared" si="320"/>
        <v>0</v>
      </c>
      <c r="W2552" s="1" t="str">
        <f t="shared" si="321"/>
        <v/>
      </c>
      <c r="X2552" s="1"/>
      <c r="Y2552" s="1"/>
      <c r="Z2552" s="1"/>
      <c r="AA2552" s="1"/>
      <c r="AB2552" s="1"/>
      <c r="AC2552" s="1"/>
      <c r="AD2552" s="1">
        <f>IF($C2552="",0,SUMPRODUCT((AY_SONU!$O$7:$O$42="Evet")*(AY_SONU!$B$7:$B$42=DATE(YEAR($C2552),MONTH($C2552),1))))</f>
        <v>0</v>
      </c>
      <c r="AE2552" s="1" t="str">
        <f>IF($E2552="","",$E2552&amp;"|"&amp;COUNTIFS($E$7:$E2552,$E2552))</f>
        <v/>
      </c>
    </row>
    <row r="2553" spans="1:31" ht="18" customHeight="1" x14ac:dyDescent="0.3">
      <c r="A2553" s="2"/>
      <c r="B2553" s="65" t="str">
        <f t="shared" si="314"/>
        <v/>
      </c>
      <c r="C2553" s="66"/>
      <c r="D2553" s="60"/>
      <c r="E2553" s="61"/>
      <c r="F2553" s="61"/>
      <c r="G2553" s="67"/>
      <c r="H2553" s="60"/>
      <c r="I2553" s="60"/>
      <c r="J2553" s="61"/>
      <c r="K2553" s="61"/>
      <c r="L2553" s="60"/>
      <c r="M2553" s="74" t="str">
        <f t="shared" si="315"/>
        <v/>
      </c>
      <c r="N2553" s="74" t="str">
        <f t="shared" si="316"/>
        <v/>
      </c>
      <c r="O2553" s="73" t="str">
        <f t="shared" si="317"/>
        <v/>
      </c>
      <c r="P2553" s="65" t="str">
        <f t="shared" ca="1" si="318"/>
        <v/>
      </c>
      <c r="Q2553" s="2"/>
      <c r="R2553" s="2"/>
      <c r="S2553" s="1" t="str">
        <f t="shared" si="319"/>
        <v/>
      </c>
      <c r="T2553" s="1" t="str">
        <f>IF(OR($C2553="",$D2553&lt;&gt;"Gelir",$L2553=""),"",IFERROR(INDEX(MUSTERILER!$B$7:$B$156,MATCH($S2553,MUSTERILER!$T$7:$T$156,0)),""))</f>
        <v/>
      </c>
      <c r="U2553" s="1" t="str">
        <f>IF($T2553="","",$T2553&amp;"|"&amp;COUNTIFS($T$7:$T2553,$T2553))</f>
        <v/>
      </c>
      <c r="V2553" s="1">
        <f t="shared" si="320"/>
        <v>0</v>
      </c>
      <c r="W2553" s="1" t="str">
        <f t="shared" si="321"/>
        <v/>
      </c>
      <c r="X2553" s="1"/>
      <c r="Y2553" s="1"/>
      <c r="Z2553" s="1"/>
      <c r="AA2553" s="1"/>
      <c r="AB2553" s="1"/>
      <c r="AC2553" s="1"/>
      <c r="AD2553" s="1">
        <f>IF($C2553="",0,SUMPRODUCT((AY_SONU!$O$7:$O$42="Evet")*(AY_SONU!$B$7:$B$42=DATE(YEAR($C2553),MONTH($C2553),1))))</f>
        <v>0</v>
      </c>
      <c r="AE2553" s="1" t="str">
        <f>IF($E2553="","",$E2553&amp;"|"&amp;COUNTIFS($E$7:$E2553,$E2553))</f>
        <v/>
      </c>
    </row>
    <row r="2554" spans="1:31" ht="18" customHeight="1" x14ac:dyDescent="0.3">
      <c r="A2554" s="2"/>
      <c r="B2554" s="65" t="str">
        <f t="shared" si="314"/>
        <v/>
      </c>
      <c r="C2554" s="66"/>
      <c r="D2554" s="60"/>
      <c r="E2554" s="61"/>
      <c r="F2554" s="61"/>
      <c r="G2554" s="67"/>
      <c r="H2554" s="60"/>
      <c r="I2554" s="60"/>
      <c r="J2554" s="61"/>
      <c r="K2554" s="61"/>
      <c r="L2554" s="60"/>
      <c r="M2554" s="74" t="str">
        <f t="shared" si="315"/>
        <v/>
      </c>
      <c r="N2554" s="74" t="str">
        <f t="shared" si="316"/>
        <v/>
      </c>
      <c r="O2554" s="73" t="str">
        <f t="shared" si="317"/>
        <v/>
      </c>
      <c r="P2554" s="65" t="str">
        <f t="shared" ca="1" si="318"/>
        <v/>
      </c>
      <c r="Q2554" s="2"/>
      <c r="R2554" s="2"/>
      <c r="S2554" s="1" t="str">
        <f t="shared" si="319"/>
        <v/>
      </c>
      <c r="T2554" s="1" t="str">
        <f>IF(OR($C2554="",$D2554&lt;&gt;"Gelir",$L2554=""),"",IFERROR(INDEX(MUSTERILER!$B$7:$B$156,MATCH($S2554,MUSTERILER!$T$7:$T$156,0)),""))</f>
        <v/>
      </c>
      <c r="U2554" s="1" t="str">
        <f>IF($T2554="","",$T2554&amp;"|"&amp;COUNTIFS($T$7:$T2554,$T2554))</f>
        <v/>
      </c>
      <c r="V2554" s="1">
        <f t="shared" si="320"/>
        <v>0</v>
      </c>
      <c r="W2554" s="1" t="str">
        <f t="shared" si="321"/>
        <v/>
      </c>
      <c r="X2554" s="1"/>
      <c r="Y2554" s="1"/>
      <c r="Z2554" s="1"/>
      <c r="AA2554" s="1"/>
      <c r="AB2554" s="1"/>
      <c r="AC2554" s="1"/>
      <c r="AD2554" s="1">
        <f>IF($C2554="",0,SUMPRODUCT((AY_SONU!$O$7:$O$42="Evet")*(AY_SONU!$B$7:$B$42=DATE(YEAR($C2554),MONTH($C2554),1))))</f>
        <v>0</v>
      </c>
      <c r="AE2554" s="1" t="str">
        <f>IF($E2554="","",$E2554&amp;"|"&amp;COUNTIFS($E$7:$E2554,$E2554))</f>
        <v/>
      </c>
    </row>
    <row r="2555" spans="1:31" ht="18" customHeight="1" x14ac:dyDescent="0.3">
      <c r="A2555" s="2"/>
      <c r="B2555" s="65" t="str">
        <f t="shared" si="314"/>
        <v/>
      </c>
      <c r="C2555" s="66"/>
      <c r="D2555" s="60"/>
      <c r="E2555" s="61"/>
      <c r="F2555" s="61"/>
      <c r="G2555" s="67"/>
      <c r="H2555" s="60"/>
      <c r="I2555" s="60"/>
      <c r="J2555" s="61"/>
      <c r="K2555" s="61"/>
      <c r="L2555" s="60"/>
      <c r="M2555" s="74" t="str">
        <f t="shared" si="315"/>
        <v/>
      </c>
      <c r="N2555" s="74" t="str">
        <f t="shared" si="316"/>
        <v/>
      </c>
      <c r="O2555" s="73" t="str">
        <f t="shared" si="317"/>
        <v/>
      </c>
      <c r="P2555" s="65" t="str">
        <f t="shared" ca="1" si="318"/>
        <v/>
      </c>
      <c r="Q2555" s="2"/>
      <c r="R2555" s="2"/>
      <c r="S2555" s="1" t="str">
        <f t="shared" si="319"/>
        <v/>
      </c>
      <c r="T2555" s="1" t="str">
        <f>IF(OR($C2555="",$D2555&lt;&gt;"Gelir",$L2555=""),"",IFERROR(INDEX(MUSTERILER!$B$7:$B$156,MATCH($S2555,MUSTERILER!$T$7:$T$156,0)),""))</f>
        <v/>
      </c>
      <c r="U2555" s="1" t="str">
        <f>IF($T2555="","",$T2555&amp;"|"&amp;COUNTIFS($T$7:$T2555,$T2555))</f>
        <v/>
      </c>
      <c r="V2555" s="1">
        <f t="shared" si="320"/>
        <v>0</v>
      </c>
      <c r="W2555" s="1" t="str">
        <f t="shared" si="321"/>
        <v/>
      </c>
      <c r="X2555" s="1"/>
      <c r="Y2555" s="1"/>
      <c r="Z2555" s="1"/>
      <c r="AA2555" s="1"/>
      <c r="AB2555" s="1"/>
      <c r="AC2555" s="1"/>
      <c r="AD2555" s="1">
        <f>IF($C2555="",0,SUMPRODUCT((AY_SONU!$O$7:$O$42="Evet")*(AY_SONU!$B$7:$B$42=DATE(YEAR($C2555),MONTH($C2555),1))))</f>
        <v>0</v>
      </c>
      <c r="AE2555" s="1" t="str">
        <f>IF($E2555="","",$E2555&amp;"|"&amp;COUNTIFS($E$7:$E2555,$E2555))</f>
        <v/>
      </c>
    </row>
    <row r="2556" spans="1:31" ht="18" customHeight="1" x14ac:dyDescent="0.3">
      <c r="A2556" s="2"/>
      <c r="B2556" s="65" t="str">
        <f t="shared" si="314"/>
        <v/>
      </c>
      <c r="C2556" s="66"/>
      <c r="D2556" s="60"/>
      <c r="E2556" s="61"/>
      <c r="F2556" s="61"/>
      <c r="G2556" s="67"/>
      <c r="H2556" s="60"/>
      <c r="I2556" s="60"/>
      <c r="J2556" s="61"/>
      <c r="K2556" s="61"/>
      <c r="L2556" s="60"/>
      <c r="M2556" s="74" t="str">
        <f t="shared" si="315"/>
        <v/>
      </c>
      <c r="N2556" s="74" t="str">
        <f t="shared" si="316"/>
        <v/>
      </c>
      <c r="O2556" s="73" t="str">
        <f t="shared" si="317"/>
        <v/>
      </c>
      <c r="P2556" s="65" t="str">
        <f t="shared" ca="1" si="318"/>
        <v/>
      </c>
      <c r="Q2556" s="2"/>
      <c r="R2556" s="2"/>
      <c r="S2556" s="1" t="str">
        <f t="shared" si="319"/>
        <v/>
      </c>
      <c r="T2556" s="1" t="str">
        <f>IF(OR($C2556="",$D2556&lt;&gt;"Gelir",$L2556=""),"",IFERROR(INDEX(MUSTERILER!$B$7:$B$156,MATCH($S2556,MUSTERILER!$T$7:$T$156,0)),""))</f>
        <v/>
      </c>
      <c r="U2556" s="1" t="str">
        <f>IF($T2556="","",$T2556&amp;"|"&amp;COUNTIFS($T$7:$T2556,$T2556))</f>
        <v/>
      </c>
      <c r="V2556" s="1">
        <f t="shared" si="320"/>
        <v>0</v>
      </c>
      <c r="W2556" s="1" t="str">
        <f t="shared" si="321"/>
        <v/>
      </c>
      <c r="X2556" s="1"/>
      <c r="Y2556" s="1"/>
      <c r="Z2556" s="1"/>
      <c r="AA2556" s="1"/>
      <c r="AB2556" s="1"/>
      <c r="AC2556" s="1"/>
      <c r="AD2556" s="1">
        <f>IF($C2556="",0,SUMPRODUCT((AY_SONU!$O$7:$O$42="Evet")*(AY_SONU!$B$7:$B$42=DATE(YEAR($C2556),MONTH($C2556),1))))</f>
        <v>0</v>
      </c>
      <c r="AE2556" s="1" t="str">
        <f>IF($E2556="","",$E2556&amp;"|"&amp;COUNTIFS($E$7:$E2556,$E2556))</f>
        <v/>
      </c>
    </row>
    <row r="2557" spans="1:31" ht="18" customHeight="1" x14ac:dyDescent="0.3">
      <c r="A2557" s="2"/>
      <c r="B2557" s="65" t="str">
        <f t="shared" si="314"/>
        <v/>
      </c>
      <c r="C2557" s="66"/>
      <c r="D2557" s="60"/>
      <c r="E2557" s="61"/>
      <c r="F2557" s="61"/>
      <c r="G2557" s="67"/>
      <c r="H2557" s="60"/>
      <c r="I2557" s="60"/>
      <c r="J2557" s="61"/>
      <c r="K2557" s="61"/>
      <c r="L2557" s="60"/>
      <c r="M2557" s="74" t="str">
        <f t="shared" si="315"/>
        <v/>
      </c>
      <c r="N2557" s="74" t="str">
        <f t="shared" si="316"/>
        <v/>
      </c>
      <c r="O2557" s="73" t="str">
        <f t="shared" si="317"/>
        <v/>
      </c>
      <c r="P2557" s="65" t="str">
        <f t="shared" ca="1" si="318"/>
        <v/>
      </c>
      <c r="Q2557" s="2"/>
      <c r="R2557" s="2"/>
      <c r="S2557" s="1" t="str">
        <f t="shared" si="319"/>
        <v/>
      </c>
      <c r="T2557" s="1" t="str">
        <f>IF(OR($C2557="",$D2557&lt;&gt;"Gelir",$L2557=""),"",IFERROR(INDEX(MUSTERILER!$B$7:$B$156,MATCH($S2557,MUSTERILER!$T$7:$T$156,0)),""))</f>
        <v/>
      </c>
      <c r="U2557" s="1" t="str">
        <f>IF($T2557="","",$T2557&amp;"|"&amp;COUNTIFS($T$7:$T2557,$T2557))</f>
        <v/>
      </c>
      <c r="V2557" s="1">
        <f t="shared" si="320"/>
        <v>0</v>
      </c>
      <c r="W2557" s="1" t="str">
        <f t="shared" si="321"/>
        <v/>
      </c>
      <c r="X2557" s="1"/>
      <c r="Y2557" s="1"/>
      <c r="Z2557" s="1"/>
      <c r="AA2557" s="1"/>
      <c r="AB2557" s="1"/>
      <c r="AC2557" s="1"/>
      <c r="AD2557" s="1">
        <f>IF($C2557="",0,SUMPRODUCT((AY_SONU!$O$7:$O$42="Evet")*(AY_SONU!$B$7:$B$42=DATE(YEAR($C2557),MONTH($C2557),1))))</f>
        <v>0</v>
      </c>
      <c r="AE2557" s="1" t="str">
        <f>IF($E2557="","",$E2557&amp;"|"&amp;COUNTIFS($E$7:$E2557,$E2557))</f>
        <v/>
      </c>
    </row>
    <row r="2558" spans="1:31" ht="18" customHeight="1" x14ac:dyDescent="0.3">
      <c r="A2558" s="2"/>
      <c r="B2558" s="65" t="str">
        <f t="shared" si="314"/>
        <v/>
      </c>
      <c r="C2558" s="66"/>
      <c r="D2558" s="60"/>
      <c r="E2558" s="61"/>
      <c r="F2558" s="61"/>
      <c r="G2558" s="67"/>
      <c r="H2558" s="60"/>
      <c r="I2558" s="60"/>
      <c r="J2558" s="61"/>
      <c r="K2558" s="61"/>
      <c r="L2558" s="60"/>
      <c r="M2558" s="74" t="str">
        <f t="shared" si="315"/>
        <v/>
      </c>
      <c r="N2558" s="74" t="str">
        <f t="shared" si="316"/>
        <v/>
      </c>
      <c r="O2558" s="73" t="str">
        <f t="shared" si="317"/>
        <v/>
      </c>
      <c r="P2558" s="65" t="str">
        <f t="shared" ca="1" si="318"/>
        <v/>
      </c>
      <c r="Q2558" s="2"/>
      <c r="R2558" s="2"/>
      <c r="S2558" s="1" t="str">
        <f t="shared" si="319"/>
        <v/>
      </c>
      <c r="T2558" s="1" t="str">
        <f>IF(OR($C2558="",$D2558&lt;&gt;"Gelir",$L2558=""),"",IFERROR(INDEX(MUSTERILER!$B$7:$B$156,MATCH($S2558,MUSTERILER!$T$7:$T$156,0)),""))</f>
        <v/>
      </c>
      <c r="U2558" s="1" t="str">
        <f>IF($T2558="","",$T2558&amp;"|"&amp;COUNTIFS($T$7:$T2558,$T2558))</f>
        <v/>
      </c>
      <c r="V2558" s="1">
        <f t="shared" si="320"/>
        <v>0</v>
      </c>
      <c r="W2558" s="1" t="str">
        <f t="shared" si="321"/>
        <v/>
      </c>
      <c r="X2558" s="1"/>
      <c r="Y2558" s="1"/>
      <c r="Z2558" s="1"/>
      <c r="AA2558" s="1"/>
      <c r="AB2558" s="1"/>
      <c r="AC2558" s="1"/>
      <c r="AD2558" s="1">
        <f>IF($C2558="",0,SUMPRODUCT((AY_SONU!$O$7:$O$42="Evet")*(AY_SONU!$B$7:$B$42=DATE(YEAR($C2558),MONTH($C2558),1))))</f>
        <v>0</v>
      </c>
      <c r="AE2558" s="1" t="str">
        <f>IF($E2558="","",$E2558&amp;"|"&amp;COUNTIFS($E$7:$E2558,$E2558))</f>
        <v/>
      </c>
    </row>
    <row r="2559" spans="1:31" ht="18" customHeight="1" x14ac:dyDescent="0.3">
      <c r="A2559" s="2"/>
      <c r="B2559" s="65" t="str">
        <f t="shared" si="314"/>
        <v/>
      </c>
      <c r="C2559" s="66"/>
      <c r="D2559" s="60"/>
      <c r="E2559" s="61"/>
      <c r="F2559" s="61"/>
      <c r="G2559" s="67"/>
      <c r="H2559" s="60"/>
      <c r="I2559" s="60"/>
      <c r="J2559" s="61"/>
      <c r="K2559" s="61"/>
      <c r="L2559" s="60"/>
      <c r="M2559" s="74" t="str">
        <f t="shared" si="315"/>
        <v/>
      </c>
      <c r="N2559" s="74" t="str">
        <f t="shared" si="316"/>
        <v/>
      </c>
      <c r="O2559" s="73" t="str">
        <f t="shared" si="317"/>
        <v/>
      </c>
      <c r="P2559" s="65" t="str">
        <f t="shared" ca="1" si="318"/>
        <v/>
      </c>
      <c r="Q2559" s="2"/>
      <c r="R2559" s="2"/>
      <c r="S2559" s="1" t="str">
        <f t="shared" si="319"/>
        <v/>
      </c>
      <c r="T2559" s="1" t="str">
        <f>IF(OR($C2559="",$D2559&lt;&gt;"Gelir",$L2559=""),"",IFERROR(INDEX(MUSTERILER!$B$7:$B$156,MATCH($S2559,MUSTERILER!$T$7:$T$156,0)),""))</f>
        <v/>
      </c>
      <c r="U2559" s="1" t="str">
        <f>IF($T2559="","",$T2559&amp;"|"&amp;COUNTIFS($T$7:$T2559,$T2559))</f>
        <v/>
      </c>
      <c r="V2559" s="1">
        <f t="shared" si="320"/>
        <v>0</v>
      </c>
      <c r="W2559" s="1" t="str">
        <f t="shared" si="321"/>
        <v/>
      </c>
      <c r="X2559" s="1"/>
      <c r="Y2559" s="1"/>
      <c r="Z2559" s="1"/>
      <c r="AA2559" s="1"/>
      <c r="AB2559" s="1"/>
      <c r="AC2559" s="1"/>
      <c r="AD2559" s="1">
        <f>IF($C2559="",0,SUMPRODUCT((AY_SONU!$O$7:$O$42="Evet")*(AY_SONU!$B$7:$B$42=DATE(YEAR($C2559),MONTH($C2559),1))))</f>
        <v>0</v>
      </c>
      <c r="AE2559" s="1" t="str">
        <f>IF($E2559="","",$E2559&amp;"|"&amp;COUNTIFS($E$7:$E2559,$E2559))</f>
        <v/>
      </c>
    </row>
    <row r="2560" spans="1:31" ht="18" customHeight="1" x14ac:dyDescent="0.3">
      <c r="A2560" s="2"/>
      <c r="B2560" s="65" t="str">
        <f t="shared" si="314"/>
        <v/>
      </c>
      <c r="C2560" s="66"/>
      <c r="D2560" s="60"/>
      <c r="E2560" s="61"/>
      <c r="F2560" s="61"/>
      <c r="G2560" s="67"/>
      <c r="H2560" s="60"/>
      <c r="I2560" s="60"/>
      <c r="J2560" s="61"/>
      <c r="K2560" s="61"/>
      <c r="L2560" s="60"/>
      <c r="M2560" s="74" t="str">
        <f t="shared" si="315"/>
        <v/>
      </c>
      <c r="N2560" s="74" t="str">
        <f t="shared" si="316"/>
        <v/>
      </c>
      <c r="O2560" s="73" t="str">
        <f t="shared" si="317"/>
        <v/>
      </c>
      <c r="P2560" s="65" t="str">
        <f t="shared" ca="1" si="318"/>
        <v/>
      </c>
      <c r="Q2560" s="2"/>
      <c r="R2560" s="2"/>
      <c r="S2560" s="1" t="str">
        <f t="shared" si="319"/>
        <v/>
      </c>
      <c r="T2560" s="1" t="str">
        <f>IF(OR($C2560="",$D2560&lt;&gt;"Gelir",$L2560=""),"",IFERROR(INDEX(MUSTERILER!$B$7:$B$156,MATCH($S2560,MUSTERILER!$T$7:$T$156,0)),""))</f>
        <v/>
      </c>
      <c r="U2560" s="1" t="str">
        <f>IF($T2560="","",$T2560&amp;"|"&amp;COUNTIFS($T$7:$T2560,$T2560))</f>
        <v/>
      </c>
      <c r="V2560" s="1">
        <f t="shared" si="320"/>
        <v>0</v>
      </c>
      <c r="W2560" s="1" t="str">
        <f t="shared" si="321"/>
        <v/>
      </c>
      <c r="X2560" s="1"/>
      <c r="Y2560" s="1"/>
      <c r="Z2560" s="1"/>
      <c r="AA2560" s="1"/>
      <c r="AB2560" s="1"/>
      <c r="AC2560" s="1"/>
      <c r="AD2560" s="1">
        <f>IF($C2560="",0,SUMPRODUCT((AY_SONU!$O$7:$O$42="Evet")*(AY_SONU!$B$7:$B$42=DATE(YEAR($C2560),MONTH($C2560),1))))</f>
        <v>0</v>
      </c>
      <c r="AE2560" s="1" t="str">
        <f>IF($E2560="","",$E2560&amp;"|"&amp;COUNTIFS($E$7:$E2560,$E2560))</f>
        <v/>
      </c>
    </row>
    <row r="2561" spans="1:31" ht="18" customHeight="1" x14ac:dyDescent="0.3">
      <c r="A2561" s="2"/>
      <c r="B2561" s="65" t="str">
        <f t="shared" si="314"/>
        <v/>
      </c>
      <c r="C2561" s="66"/>
      <c r="D2561" s="60"/>
      <c r="E2561" s="61"/>
      <c r="F2561" s="61"/>
      <c r="G2561" s="67"/>
      <c r="H2561" s="60"/>
      <c r="I2561" s="60"/>
      <c r="J2561" s="61"/>
      <c r="K2561" s="61"/>
      <c r="L2561" s="60"/>
      <c r="M2561" s="74" t="str">
        <f t="shared" si="315"/>
        <v/>
      </c>
      <c r="N2561" s="74" t="str">
        <f t="shared" si="316"/>
        <v/>
      </c>
      <c r="O2561" s="73" t="str">
        <f t="shared" si="317"/>
        <v/>
      </c>
      <c r="P2561" s="65" t="str">
        <f t="shared" ca="1" si="318"/>
        <v/>
      </c>
      <c r="Q2561" s="2"/>
      <c r="R2561" s="2"/>
      <c r="S2561" s="1" t="str">
        <f t="shared" si="319"/>
        <v/>
      </c>
      <c r="T2561" s="1" t="str">
        <f>IF(OR($C2561="",$D2561&lt;&gt;"Gelir",$L2561=""),"",IFERROR(INDEX(MUSTERILER!$B$7:$B$156,MATCH($S2561,MUSTERILER!$T$7:$T$156,0)),""))</f>
        <v/>
      </c>
      <c r="U2561" s="1" t="str">
        <f>IF($T2561="","",$T2561&amp;"|"&amp;COUNTIFS($T$7:$T2561,$T2561))</f>
        <v/>
      </c>
      <c r="V2561" s="1">
        <f t="shared" si="320"/>
        <v>0</v>
      </c>
      <c r="W2561" s="1" t="str">
        <f t="shared" si="321"/>
        <v/>
      </c>
      <c r="X2561" s="1"/>
      <c r="Y2561" s="1"/>
      <c r="Z2561" s="1"/>
      <c r="AA2561" s="1"/>
      <c r="AB2561" s="1"/>
      <c r="AC2561" s="1"/>
      <c r="AD2561" s="1">
        <f>IF($C2561="",0,SUMPRODUCT((AY_SONU!$O$7:$O$42="Evet")*(AY_SONU!$B$7:$B$42=DATE(YEAR($C2561),MONTH($C2561),1))))</f>
        <v>0</v>
      </c>
      <c r="AE2561" s="1" t="str">
        <f>IF($E2561="","",$E2561&amp;"|"&amp;COUNTIFS($E$7:$E2561,$E2561))</f>
        <v/>
      </c>
    </row>
    <row r="2562" spans="1:31" ht="18" customHeight="1" x14ac:dyDescent="0.3">
      <c r="A2562" s="2"/>
      <c r="B2562" s="65" t="str">
        <f t="shared" si="314"/>
        <v/>
      </c>
      <c r="C2562" s="66"/>
      <c r="D2562" s="60"/>
      <c r="E2562" s="61"/>
      <c r="F2562" s="61"/>
      <c r="G2562" s="67"/>
      <c r="H2562" s="60"/>
      <c r="I2562" s="60"/>
      <c r="J2562" s="61"/>
      <c r="K2562" s="61"/>
      <c r="L2562" s="60"/>
      <c r="M2562" s="74" t="str">
        <f t="shared" si="315"/>
        <v/>
      </c>
      <c r="N2562" s="74" t="str">
        <f t="shared" si="316"/>
        <v/>
      </c>
      <c r="O2562" s="73" t="str">
        <f t="shared" si="317"/>
        <v/>
      </c>
      <c r="P2562" s="65" t="str">
        <f t="shared" ca="1" si="318"/>
        <v/>
      </c>
      <c r="Q2562" s="2"/>
      <c r="R2562" s="2"/>
      <c r="S2562" s="1" t="str">
        <f t="shared" si="319"/>
        <v/>
      </c>
      <c r="T2562" s="1" t="str">
        <f>IF(OR($C2562="",$D2562&lt;&gt;"Gelir",$L2562=""),"",IFERROR(INDEX(MUSTERILER!$B$7:$B$156,MATCH($S2562,MUSTERILER!$T$7:$T$156,0)),""))</f>
        <v/>
      </c>
      <c r="U2562" s="1" t="str">
        <f>IF($T2562="","",$T2562&amp;"|"&amp;COUNTIFS($T$7:$T2562,$T2562))</f>
        <v/>
      </c>
      <c r="V2562" s="1">
        <f t="shared" si="320"/>
        <v>0</v>
      </c>
      <c r="W2562" s="1" t="str">
        <f t="shared" si="321"/>
        <v/>
      </c>
      <c r="X2562" s="1"/>
      <c r="Y2562" s="1"/>
      <c r="Z2562" s="1"/>
      <c r="AA2562" s="1"/>
      <c r="AB2562" s="1"/>
      <c r="AC2562" s="1"/>
      <c r="AD2562" s="1">
        <f>IF($C2562="",0,SUMPRODUCT((AY_SONU!$O$7:$O$42="Evet")*(AY_SONU!$B$7:$B$42=DATE(YEAR($C2562),MONTH($C2562),1))))</f>
        <v>0</v>
      </c>
      <c r="AE2562" s="1" t="str">
        <f>IF($E2562="","",$E2562&amp;"|"&amp;COUNTIFS($E$7:$E2562,$E2562))</f>
        <v/>
      </c>
    </row>
    <row r="2563" spans="1:31" ht="18" customHeight="1" x14ac:dyDescent="0.3">
      <c r="A2563" s="2"/>
      <c r="B2563" s="65" t="str">
        <f t="shared" si="314"/>
        <v/>
      </c>
      <c r="C2563" s="66"/>
      <c r="D2563" s="60"/>
      <c r="E2563" s="61"/>
      <c r="F2563" s="61"/>
      <c r="G2563" s="67"/>
      <c r="H2563" s="60"/>
      <c r="I2563" s="60"/>
      <c r="J2563" s="61"/>
      <c r="K2563" s="61"/>
      <c r="L2563" s="60"/>
      <c r="M2563" s="74" t="str">
        <f t="shared" si="315"/>
        <v/>
      </c>
      <c r="N2563" s="74" t="str">
        <f t="shared" si="316"/>
        <v/>
      </c>
      <c r="O2563" s="73" t="str">
        <f t="shared" si="317"/>
        <v/>
      </c>
      <c r="P2563" s="65" t="str">
        <f t="shared" ca="1" si="318"/>
        <v/>
      </c>
      <c r="Q2563" s="2"/>
      <c r="R2563" s="2"/>
      <c r="S2563" s="1" t="str">
        <f t="shared" si="319"/>
        <v/>
      </c>
      <c r="T2563" s="1" t="str">
        <f>IF(OR($C2563="",$D2563&lt;&gt;"Gelir",$L2563=""),"",IFERROR(INDEX(MUSTERILER!$B$7:$B$156,MATCH($S2563,MUSTERILER!$T$7:$T$156,0)),""))</f>
        <v/>
      </c>
      <c r="U2563" s="1" t="str">
        <f>IF($T2563="","",$T2563&amp;"|"&amp;COUNTIFS($T$7:$T2563,$T2563))</f>
        <v/>
      </c>
      <c r="V2563" s="1">
        <f t="shared" si="320"/>
        <v>0</v>
      </c>
      <c r="W2563" s="1" t="str">
        <f t="shared" si="321"/>
        <v/>
      </c>
      <c r="X2563" s="1"/>
      <c r="Y2563" s="1"/>
      <c r="Z2563" s="1"/>
      <c r="AA2563" s="1"/>
      <c r="AB2563" s="1"/>
      <c r="AC2563" s="1"/>
      <c r="AD2563" s="1">
        <f>IF($C2563="",0,SUMPRODUCT((AY_SONU!$O$7:$O$42="Evet")*(AY_SONU!$B$7:$B$42=DATE(YEAR($C2563),MONTH($C2563),1))))</f>
        <v>0</v>
      </c>
      <c r="AE2563" s="1" t="str">
        <f>IF($E2563="","",$E2563&amp;"|"&amp;COUNTIFS($E$7:$E2563,$E2563))</f>
        <v/>
      </c>
    </row>
    <row r="2564" spans="1:31" ht="18" customHeight="1" x14ac:dyDescent="0.3">
      <c r="A2564" s="2"/>
      <c r="B2564" s="65" t="str">
        <f t="shared" si="314"/>
        <v/>
      </c>
      <c r="C2564" s="66"/>
      <c r="D2564" s="60"/>
      <c r="E2564" s="61"/>
      <c r="F2564" s="61"/>
      <c r="G2564" s="67"/>
      <c r="H2564" s="60"/>
      <c r="I2564" s="60"/>
      <c r="J2564" s="61"/>
      <c r="K2564" s="61"/>
      <c r="L2564" s="60"/>
      <c r="M2564" s="74" t="str">
        <f t="shared" si="315"/>
        <v/>
      </c>
      <c r="N2564" s="74" t="str">
        <f t="shared" si="316"/>
        <v/>
      </c>
      <c r="O2564" s="73" t="str">
        <f t="shared" si="317"/>
        <v/>
      </c>
      <c r="P2564" s="65" t="str">
        <f t="shared" ca="1" si="318"/>
        <v/>
      </c>
      <c r="Q2564" s="2"/>
      <c r="R2564" s="2"/>
      <c r="S2564" s="1" t="str">
        <f t="shared" si="319"/>
        <v/>
      </c>
      <c r="T2564" s="1" t="str">
        <f>IF(OR($C2564="",$D2564&lt;&gt;"Gelir",$L2564=""),"",IFERROR(INDEX(MUSTERILER!$B$7:$B$156,MATCH($S2564,MUSTERILER!$T$7:$T$156,0)),""))</f>
        <v/>
      </c>
      <c r="U2564" s="1" t="str">
        <f>IF($T2564="","",$T2564&amp;"|"&amp;COUNTIFS($T$7:$T2564,$T2564))</f>
        <v/>
      </c>
      <c r="V2564" s="1">
        <f t="shared" si="320"/>
        <v>0</v>
      </c>
      <c r="W2564" s="1" t="str">
        <f t="shared" si="321"/>
        <v/>
      </c>
      <c r="X2564" s="1"/>
      <c r="Y2564" s="1"/>
      <c r="Z2564" s="1"/>
      <c r="AA2564" s="1"/>
      <c r="AB2564" s="1"/>
      <c r="AC2564" s="1"/>
      <c r="AD2564" s="1">
        <f>IF($C2564="",0,SUMPRODUCT((AY_SONU!$O$7:$O$42="Evet")*(AY_SONU!$B$7:$B$42=DATE(YEAR($C2564),MONTH($C2564),1))))</f>
        <v>0</v>
      </c>
      <c r="AE2564" s="1" t="str">
        <f>IF($E2564="","",$E2564&amp;"|"&amp;COUNTIFS($E$7:$E2564,$E2564))</f>
        <v/>
      </c>
    </row>
    <row r="2565" spans="1:31" ht="18" customHeight="1" x14ac:dyDescent="0.3">
      <c r="A2565" s="2"/>
      <c r="B2565" s="65" t="str">
        <f t="shared" si="314"/>
        <v/>
      </c>
      <c r="C2565" s="66"/>
      <c r="D2565" s="60"/>
      <c r="E2565" s="61"/>
      <c r="F2565" s="61"/>
      <c r="G2565" s="67"/>
      <c r="H2565" s="60"/>
      <c r="I2565" s="60"/>
      <c r="J2565" s="61"/>
      <c r="K2565" s="61"/>
      <c r="L2565" s="60"/>
      <c r="M2565" s="74" t="str">
        <f t="shared" si="315"/>
        <v/>
      </c>
      <c r="N2565" s="74" t="str">
        <f t="shared" si="316"/>
        <v/>
      </c>
      <c r="O2565" s="73" t="str">
        <f t="shared" si="317"/>
        <v/>
      </c>
      <c r="P2565" s="65" t="str">
        <f t="shared" ca="1" si="318"/>
        <v/>
      </c>
      <c r="Q2565" s="2"/>
      <c r="R2565" s="2"/>
      <c r="S2565" s="1" t="str">
        <f t="shared" si="319"/>
        <v/>
      </c>
      <c r="T2565" s="1" t="str">
        <f>IF(OR($C2565="",$D2565&lt;&gt;"Gelir",$L2565=""),"",IFERROR(INDEX(MUSTERILER!$B$7:$B$156,MATCH($S2565,MUSTERILER!$T$7:$T$156,0)),""))</f>
        <v/>
      </c>
      <c r="U2565" s="1" t="str">
        <f>IF($T2565="","",$T2565&amp;"|"&amp;COUNTIFS($T$7:$T2565,$T2565))</f>
        <v/>
      </c>
      <c r="V2565" s="1">
        <f t="shared" si="320"/>
        <v>0</v>
      </c>
      <c r="W2565" s="1" t="str">
        <f t="shared" si="321"/>
        <v/>
      </c>
      <c r="X2565" s="1"/>
      <c r="Y2565" s="1"/>
      <c r="Z2565" s="1"/>
      <c r="AA2565" s="1"/>
      <c r="AB2565" s="1"/>
      <c r="AC2565" s="1"/>
      <c r="AD2565" s="1">
        <f>IF($C2565="",0,SUMPRODUCT((AY_SONU!$O$7:$O$42="Evet")*(AY_SONU!$B$7:$B$42=DATE(YEAR($C2565),MONTH($C2565),1))))</f>
        <v>0</v>
      </c>
      <c r="AE2565" s="1" t="str">
        <f>IF($E2565="","",$E2565&amp;"|"&amp;COUNTIFS($E$7:$E2565,$E2565))</f>
        <v/>
      </c>
    </row>
    <row r="2566" spans="1:31" ht="18" customHeight="1" x14ac:dyDescent="0.3">
      <c r="A2566" s="2"/>
      <c r="B2566" s="65" t="str">
        <f t="shared" si="314"/>
        <v/>
      </c>
      <c r="C2566" s="66"/>
      <c r="D2566" s="60"/>
      <c r="E2566" s="61"/>
      <c r="F2566" s="61"/>
      <c r="G2566" s="67"/>
      <c r="H2566" s="60"/>
      <c r="I2566" s="60"/>
      <c r="J2566" s="61"/>
      <c r="K2566" s="61"/>
      <c r="L2566" s="60"/>
      <c r="M2566" s="74" t="str">
        <f t="shared" si="315"/>
        <v/>
      </c>
      <c r="N2566" s="74" t="str">
        <f t="shared" si="316"/>
        <v/>
      </c>
      <c r="O2566" s="73" t="str">
        <f t="shared" si="317"/>
        <v/>
      </c>
      <c r="P2566" s="65" t="str">
        <f t="shared" ca="1" si="318"/>
        <v/>
      </c>
      <c r="Q2566" s="2"/>
      <c r="R2566" s="2"/>
      <c r="S2566" s="1" t="str">
        <f t="shared" si="319"/>
        <v/>
      </c>
      <c r="T2566" s="1" t="str">
        <f>IF(OR($C2566="",$D2566&lt;&gt;"Gelir",$L2566=""),"",IFERROR(INDEX(MUSTERILER!$B$7:$B$156,MATCH($S2566,MUSTERILER!$T$7:$T$156,0)),""))</f>
        <v/>
      </c>
      <c r="U2566" s="1" t="str">
        <f>IF($T2566="","",$T2566&amp;"|"&amp;COUNTIFS($T$7:$T2566,$T2566))</f>
        <v/>
      </c>
      <c r="V2566" s="1">
        <f t="shared" si="320"/>
        <v>0</v>
      </c>
      <c r="W2566" s="1" t="str">
        <f t="shared" si="321"/>
        <v/>
      </c>
      <c r="X2566" s="1"/>
      <c r="Y2566" s="1"/>
      <c r="Z2566" s="1"/>
      <c r="AA2566" s="1"/>
      <c r="AB2566" s="1"/>
      <c r="AC2566" s="1"/>
      <c r="AD2566" s="1">
        <f>IF($C2566="",0,SUMPRODUCT((AY_SONU!$O$7:$O$42="Evet")*(AY_SONU!$B$7:$B$42=DATE(YEAR($C2566),MONTH($C2566),1))))</f>
        <v>0</v>
      </c>
      <c r="AE2566" s="1" t="str">
        <f>IF($E2566="","",$E2566&amp;"|"&amp;COUNTIFS($E$7:$E2566,$E2566))</f>
        <v/>
      </c>
    </row>
    <row r="2567" spans="1:31" ht="18" customHeight="1" x14ac:dyDescent="0.3">
      <c r="A2567" s="2"/>
      <c r="B2567" s="65" t="str">
        <f t="shared" ref="B2567:B2630" si="322">IF($C2567="","","GG"&amp;TEXT(ROW()-6,"00000"))</f>
        <v/>
      </c>
      <c r="C2567" s="66"/>
      <c r="D2567" s="60"/>
      <c r="E2567" s="61"/>
      <c r="F2567" s="61"/>
      <c r="G2567" s="67"/>
      <c r="H2567" s="60"/>
      <c r="I2567" s="60"/>
      <c r="J2567" s="61"/>
      <c r="K2567" s="61"/>
      <c r="L2567" s="60"/>
      <c r="M2567" s="74" t="str">
        <f t="shared" ref="M2567:M2630" si="323">IF($C2567="","",IF($D2567="Gider",$E2567,IF($L2567&lt;&gt;"",$L2567,$H2567)))</f>
        <v/>
      </c>
      <c r="N2567" s="74" t="str">
        <f t="shared" ref="N2567:N2630" si="324">IF($C2567="","",IF($D2567="Gider",$H2567,$E2567))</f>
        <v/>
      </c>
      <c r="O2567" s="73" t="str">
        <f t="shared" ref="O2567:O2630" si="325">IF($C2567="","",DATE(YEAR($C2567),MONTH($C2567),1))</f>
        <v/>
      </c>
      <c r="P2567" s="65" t="str">
        <f t="shared" ref="P2567:P2630" ca="1" si="326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TARİH",IF(COUNTIF($W$7:$W$3006,$W2567)&gt;1,"MÜKERRER?",IF($AD2567&gt;0,"KAPALI DÖNEM",IF($I2567="Hayır","ÖDENECEK","UYGUN")))),"EKSİK"))))</f>
        <v/>
      </c>
      <c r="Q2567" s="2"/>
      <c r="R2567" s="2"/>
      <c r="S2567" s="1" t="str">
        <f t="shared" ref="S2567:S2630" si="327"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1" t="str">
        <f>IF(OR($C2567="",$D2567&lt;&gt;"Gelir",$L2567=""),"",IFERROR(INDEX(MUSTERILER!$B$7:$B$156,MATCH($S2567,MUSTERILER!$T$7:$T$156,0)),""))</f>
        <v/>
      </c>
      <c r="U2567" s="1" t="str">
        <f>IF($T2567="","",$T2567&amp;"|"&amp;COUNTIFS($T$7:$T2567,$T2567))</f>
        <v/>
      </c>
      <c r="V2567" s="1">
        <f t="shared" ref="V2567:V2630" si="328">IF($T2567="",0,1)</f>
        <v>0</v>
      </c>
      <c r="W2567" s="1" t="str">
        <f t="shared" ref="W2567:W2630" si="329">IF($C2567="","",$D2567&amp;"|"&amp;$E2567&amp;"|"&amp;TEXT($C2567,"0")&amp;"|"&amp;TEXT($G2567,"0")&amp;"|"&amp;$J2567)</f>
        <v/>
      </c>
      <c r="X2567" s="1"/>
      <c r="Y2567" s="1"/>
      <c r="Z2567" s="1"/>
      <c r="AA2567" s="1"/>
      <c r="AB2567" s="1"/>
      <c r="AC2567" s="1"/>
      <c r="AD2567" s="1">
        <f>IF($C2567="",0,SUMPRODUCT((AY_SONU!$O$7:$O$42="Evet")*(AY_SONU!$B$7:$B$42=DATE(YEAR($C2567),MONTH($C2567),1))))</f>
        <v>0</v>
      </c>
      <c r="AE2567" s="1" t="str">
        <f>IF($E2567="","",$E2567&amp;"|"&amp;COUNTIFS($E$7:$E2567,$E2567))</f>
        <v/>
      </c>
    </row>
    <row r="2568" spans="1:31" ht="18" customHeight="1" x14ac:dyDescent="0.3">
      <c r="A2568" s="2"/>
      <c r="B2568" s="65" t="str">
        <f t="shared" si="322"/>
        <v/>
      </c>
      <c r="C2568" s="66"/>
      <c r="D2568" s="60"/>
      <c r="E2568" s="61"/>
      <c r="F2568" s="61"/>
      <c r="G2568" s="67"/>
      <c r="H2568" s="60"/>
      <c r="I2568" s="60"/>
      <c r="J2568" s="61"/>
      <c r="K2568" s="61"/>
      <c r="L2568" s="60"/>
      <c r="M2568" s="74" t="str">
        <f t="shared" si="323"/>
        <v/>
      </c>
      <c r="N2568" s="74" t="str">
        <f t="shared" si="324"/>
        <v/>
      </c>
      <c r="O2568" s="73" t="str">
        <f t="shared" si="325"/>
        <v/>
      </c>
      <c r="P2568" s="65" t="str">
        <f t="shared" ca="1" si="326"/>
        <v/>
      </c>
      <c r="Q2568" s="2"/>
      <c r="R2568" s="2"/>
      <c r="S2568" s="1" t="str">
        <f t="shared" si="327"/>
        <v/>
      </c>
      <c r="T2568" s="1" t="str">
        <f>IF(OR($C2568="",$D2568&lt;&gt;"Gelir",$L2568=""),"",IFERROR(INDEX(MUSTERILER!$B$7:$B$156,MATCH($S2568,MUSTERILER!$T$7:$T$156,0)),""))</f>
        <v/>
      </c>
      <c r="U2568" s="1" t="str">
        <f>IF($T2568="","",$T2568&amp;"|"&amp;COUNTIFS($T$7:$T2568,$T2568))</f>
        <v/>
      </c>
      <c r="V2568" s="1">
        <f t="shared" si="328"/>
        <v>0</v>
      </c>
      <c r="W2568" s="1" t="str">
        <f t="shared" si="329"/>
        <v/>
      </c>
      <c r="X2568" s="1"/>
      <c r="Y2568" s="1"/>
      <c r="Z2568" s="1"/>
      <c r="AA2568" s="1"/>
      <c r="AB2568" s="1"/>
      <c r="AC2568" s="1"/>
      <c r="AD2568" s="1">
        <f>IF($C2568="",0,SUMPRODUCT((AY_SONU!$O$7:$O$42="Evet")*(AY_SONU!$B$7:$B$42=DATE(YEAR($C2568),MONTH($C2568),1))))</f>
        <v>0</v>
      </c>
      <c r="AE2568" s="1" t="str">
        <f>IF($E2568="","",$E2568&amp;"|"&amp;COUNTIFS($E$7:$E2568,$E2568))</f>
        <v/>
      </c>
    </row>
    <row r="2569" spans="1:31" ht="18" customHeight="1" x14ac:dyDescent="0.3">
      <c r="A2569" s="2"/>
      <c r="B2569" s="65" t="str">
        <f t="shared" si="322"/>
        <v/>
      </c>
      <c r="C2569" s="66"/>
      <c r="D2569" s="60"/>
      <c r="E2569" s="61"/>
      <c r="F2569" s="61"/>
      <c r="G2569" s="67"/>
      <c r="H2569" s="60"/>
      <c r="I2569" s="60"/>
      <c r="J2569" s="61"/>
      <c r="K2569" s="61"/>
      <c r="L2569" s="60"/>
      <c r="M2569" s="74" t="str">
        <f t="shared" si="323"/>
        <v/>
      </c>
      <c r="N2569" s="74" t="str">
        <f t="shared" si="324"/>
        <v/>
      </c>
      <c r="O2569" s="73" t="str">
        <f t="shared" si="325"/>
        <v/>
      </c>
      <c r="P2569" s="65" t="str">
        <f t="shared" ca="1" si="326"/>
        <v/>
      </c>
      <c r="Q2569" s="2"/>
      <c r="R2569" s="2"/>
      <c r="S2569" s="1" t="str">
        <f t="shared" si="327"/>
        <v/>
      </c>
      <c r="T2569" s="1" t="str">
        <f>IF(OR($C2569="",$D2569&lt;&gt;"Gelir",$L2569=""),"",IFERROR(INDEX(MUSTERILER!$B$7:$B$156,MATCH($S2569,MUSTERILER!$T$7:$T$156,0)),""))</f>
        <v/>
      </c>
      <c r="U2569" s="1" t="str">
        <f>IF($T2569="","",$T2569&amp;"|"&amp;COUNTIFS($T$7:$T2569,$T2569))</f>
        <v/>
      </c>
      <c r="V2569" s="1">
        <f t="shared" si="328"/>
        <v>0</v>
      </c>
      <c r="W2569" s="1" t="str">
        <f t="shared" si="329"/>
        <v/>
      </c>
      <c r="X2569" s="1"/>
      <c r="Y2569" s="1"/>
      <c r="Z2569" s="1"/>
      <c r="AA2569" s="1"/>
      <c r="AB2569" s="1"/>
      <c r="AC2569" s="1"/>
      <c r="AD2569" s="1">
        <f>IF($C2569="",0,SUMPRODUCT((AY_SONU!$O$7:$O$42="Evet")*(AY_SONU!$B$7:$B$42=DATE(YEAR($C2569),MONTH($C2569),1))))</f>
        <v>0</v>
      </c>
      <c r="AE2569" s="1" t="str">
        <f>IF($E2569="","",$E2569&amp;"|"&amp;COUNTIFS($E$7:$E2569,$E2569))</f>
        <v/>
      </c>
    </row>
    <row r="2570" spans="1:31" ht="18" customHeight="1" x14ac:dyDescent="0.3">
      <c r="A2570" s="2"/>
      <c r="B2570" s="65" t="str">
        <f t="shared" si="322"/>
        <v/>
      </c>
      <c r="C2570" s="66"/>
      <c r="D2570" s="60"/>
      <c r="E2570" s="61"/>
      <c r="F2570" s="61"/>
      <c r="G2570" s="67"/>
      <c r="H2570" s="60"/>
      <c r="I2570" s="60"/>
      <c r="J2570" s="61"/>
      <c r="K2570" s="61"/>
      <c r="L2570" s="60"/>
      <c r="M2570" s="74" t="str">
        <f t="shared" si="323"/>
        <v/>
      </c>
      <c r="N2570" s="74" t="str">
        <f t="shared" si="324"/>
        <v/>
      </c>
      <c r="O2570" s="73" t="str">
        <f t="shared" si="325"/>
        <v/>
      </c>
      <c r="P2570" s="65" t="str">
        <f t="shared" ca="1" si="326"/>
        <v/>
      </c>
      <c r="Q2570" s="2"/>
      <c r="R2570" s="2"/>
      <c r="S2570" s="1" t="str">
        <f t="shared" si="327"/>
        <v/>
      </c>
      <c r="T2570" s="1" t="str">
        <f>IF(OR($C2570="",$D2570&lt;&gt;"Gelir",$L2570=""),"",IFERROR(INDEX(MUSTERILER!$B$7:$B$156,MATCH($S2570,MUSTERILER!$T$7:$T$156,0)),""))</f>
        <v/>
      </c>
      <c r="U2570" s="1" t="str">
        <f>IF($T2570="","",$T2570&amp;"|"&amp;COUNTIFS($T$7:$T2570,$T2570))</f>
        <v/>
      </c>
      <c r="V2570" s="1">
        <f t="shared" si="328"/>
        <v>0</v>
      </c>
      <c r="W2570" s="1" t="str">
        <f t="shared" si="329"/>
        <v/>
      </c>
      <c r="X2570" s="1"/>
      <c r="Y2570" s="1"/>
      <c r="Z2570" s="1"/>
      <c r="AA2570" s="1"/>
      <c r="AB2570" s="1"/>
      <c r="AC2570" s="1"/>
      <c r="AD2570" s="1">
        <f>IF($C2570="",0,SUMPRODUCT((AY_SONU!$O$7:$O$42="Evet")*(AY_SONU!$B$7:$B$42=DATE(YEAR($C2570),MONTH($C2570),1))))</f>
        <v>0</v>
      </c>
      <c r="AE2570" s="1" t="str">
        <f>IF($E2570="","",$E2570&amp;"|"&amp;COUNTIFS($E$7:$E2570,$E2570))</f>
        <v/>
      </c>
    </row>
    <row r="2571" spans="1:31" ht="18" customHeight="1" x14ac:dyDescent="0.3">
      <c r="A2571" s="2"/>
      <c r="B2571" s="65" t="str">
        <f t="shared" si="322"/>
        <v/>
      </c>
      <c r="C2571" s="66"/>
      <c r="D2571" s="60"/>
      <c r="E2571" s="61"/>
      <c r="F2571" s="61"/>
      <c r="G2571" s="67"/>
      <c r="H2571" s="60"/>
      <c r="I2571" s="60"/>
      <c r="J2571" s="61"/>
      <c r="K2571" s="61"/>
      <c r="L2571" s="60"/>
      <c r="M2571" s="74" t="str">
        <f t="shared" si="323"/>
        <v/>
      </c>
      <c r="N2571" s="74" t="str">
        <f t="shared" si="324"/>
        <v/>
      </c>
      <c r="O2571" s="73" t="str">
        <f t="shared" si="325"/>
        <v/>
      </c>
      <c r="P2571" s="65" t="str">
        <f t="shared" ca="1" si="326"/>
        <v/>
      </c>
      <c r="Q2571" s="2"/>
      <c r="R2571" s="2"/>
      <c r="S2571" s="1" t="str">
        <f t="shared" si="327"/>
        <v/>
      </c>
      <c r="T2571" s="1" t="str">
        <f>IF(OR($C2571="",$D2571&lt;&gt;"Gelir",$L2571=""),"",IFERROR(INDEX(MUSTERILER!$B$7:$B$156,MATCH($S2571,MUSTERILER!$T$7:$T$156,0)),""))</f>
        <v/>
      </c>
      <c r="U2571" s="1" t="str">
        <f>IF($T2571="","",$T2571&amp;"|"&amp;COUNTIFS($T$7:$T2571,$T2571))</f>
        <v/>
      </c>
      <c r="V2571" s="1">
        <f t="shared" si="328"/>
        <v>0</v>
      </c>
      <c r="W2571" s="1" t="str">
        <f t="shared" si="329"/>
        <v/>
      </c>
      <c r="X2571" s="1"/>
      <c r="Y2571" s="1"/>
      <c r="Z2571" s="1"/>
      <c r="AA2571" s="1"/>
      <c r="AB2571" s="1"/>
      <c r="AC2571" s="1"/>
      <c r="AD2571" s="1">
        <f>IF($C2571="",0,SUMPRODUCT((AY_SONU!$O$7:$O$42="Evet")*(AY_SONU!$B$7:$B$42=DATE(YEAR($C2571),MONTH($C2571),1))))</f>
        <v>0</v>
      </c>
      <c r="AE2571" s="1" t="str">
        <f>IF($E2571="","",$E2571&amp;"|"&amp;COUNTIFS($E$7:$E2571,$E2571))</f>
        <v/>
      </c>
    </row>
    <row r="2572" spans="1:31" ht="18" customHeight="1" x14ac:dyDescent="0.3">
      <c r="A2572" s="2"/>
      <c r="B2572" s="65" t="str">
        <f t="shared" si="322"/>
        <v/>
      </c>
      <c r="C2572" s="66"/>
      <c r="D2572" s="60"/>
      <c r="E2572" s="61"/>
      <c r="F2572" s="61"/>
      <c r="G2572" s="67"/>
      <c r="H2572" s="60"/>
      <c r="I2572" s="60"/>
      <c r="J2572" s="61"/>
      <c r="K2572" s="61"/>
      <c r="L2572" s="60"/>
      <c r="M2572" s="74" t="str">
        <f t="shared" si="323"/>
        <v/>
      </c>
      <c r="N2572" s="74" t="str">
        <f t="shared" si="324"/>
        <v/>
      </c>
      <c r="O2572" s="73" t="str">
        <f t="shared" si="325"/>
        <v/>
      </c>
      <c r="P2572" s="65" t="str">
        <f t="shared" ca="1" si="326"/>
        <v/>
      </c>
      <c r="Q2572" s="2"/>
      <c r="R2572" s="2"/>
      <c r="S2572" s="1" t="str">
        <f t="shared" si="327"/>
        <v/>
      </c>
      <c r="T2572" s="1" t="str">
        <f>IF(OR($C2572="",$D2572&lt;&gt;"Gelir",$L2572=""),"",IFERROR(INDEX(MUSTERILER!$B$7:$B$156,MATCH($S2572,MUSTERILER!$T$7:$T$156,0)),""))</f>
        <v/>
      </c>
      <c r="U2572" s="1" t="str">
        <f>IF($T2572="","",$T2572&amp;"|"&amp;COUNTIFS($T$7:$T2572,$T2572))</f>
        <v/>
      </c>
      <c r="V2572" s="1">
        <f t="shared" si="328"/>
        <v>0</v>
      </c>
      <c r="W2572" s="1" t="str">
        <f t="shared" si="329"/>
        <v/>
      </c>
      <c r="X2572" s="1"/>
      <c r="Y2572" s="1"/>
      <c r="Z2572" s="1"/>
      <c r="AA2572" s="1"/>
      <c r="AB2572" s="1"/>
      <c r="AC2572" s="1"/>
      <c r="AD2572" s="1">
        <f>IF($C2572="",0,SUMPRODUCT((AY_SONU!$O$7:$O$42="Evet")*(AY_SONU!$B$7:$B$42=DATE(YEAR($C2572),MONTH($C2572),1))))</f>
        <v>0</v>
      </c>
      <c r="AE2572" s="1" t="str">
        <f>IF($E2572="","",$E2572&amp;"|"&amp;COUNTIFS($E$7:$E2572,$E2572))</f>
        <v/>
      </c>
    </row>
    <row r="2573" spans="1:31" ht="18" customHeight="1" x14ac:dyDescent="0.3">
      <c r="A2573" s="2"/>
      <c r="B2573" s="65" t="str">
        <f t="shared" si="322"/>
        <v/>
      </c>
      <c r="C2573" s="66"/>
      <c r="D2573" s="60"/>
      <c r="E2573" s="61"/>
      <c r="F2573" s="61"/>
      <c r="G2573" s="67"/>
      <c r="H2573" s="60"/>
      <c r="I2573" s="60"/>
      <c r="J2573" s="61"/>
      <c r="K2573" s="61"/>
      <c r="L2573" s="60"/>
      <c r="M2573" s="74" t="str">
        <f t="shared" si="323"/>
        <v/>
      </c>
      <c r="N2573" s="74" t="str">
        <f t="shared" si="324"/>
        <v/>
      </c>
      <c r="O2573" s="73" t="str">
        <f t="shared" si="325"/>
        <v/>
      </c>
      <c r="P2573" s="65" t="str">
        <f t="shared" ca="1" si="326"/>
        <v/>
      </c>
      <c r="Q2573" s="2"/>
      <c r="R2573" s="2"/>
      <c r="S2573" s="1" t="str">
        <f t="shared" si="327"/>
        <v/>
      </c>
      <c r="T2573" s="1" t="str">
        <f>IF(OR($C2573="",$D2573&lt;&gt;"Gelir",$L2573=""),"",IFERROR(INDEX(MUSTERILER!$B$7:$B$156,MATCH($S2573,MUSTERILER!$T$7:$T$156,0)),""))</f>
        <v/>
      </c>
      <c r="U2573" s="1" t="str">
        <f>IF($T2573="","",$T2573&amp;"|"&amp;COUNTIFS($T$7:$T2573,$T2573))</f>
        <v/>
      </c>
      <c r="V2573" s="1">
        <f t="shared" si="328"/>
        <v>0</v>
      </c>
      <c r="W2573" s="1" t="str">
        <f t="shared" si="329"/>
        <v/>
      </c>
      <c r="X2573" s="1"/>
      <c r="Y2573" s="1"/>
      <c r="Z2573" s="1"/>
      <c r="AA2573" s="1"/>
      <c r="AB2573" s="1"/>
      <c r="AC2573" s="1"/>
      <c r="AD2573" s="1">
        <f>IF($C2573="",0,SUMPRODUCT((AY_SONU!$O$7:$O$42="Evet")*(AY_SONU!$B$7:$B$42=DATE(YEAR($C2573),MONTH($C2573),1))))</f>
        <v>0</v>
      </c>
      <c r="AE2573" s="1" t="str">
        <f>IF($E2573="","",$E2573&amp;"|"&amp;COUNTIFS($E$7:$E2573,$E2573))</f>
        <v/>
      </c>
    </row>
    <row r="2574" spans="1:31" ht="18" customHeight="1" x14ac:dyDescent="0.3">
      <c r="A2574" s="2"/>
      <c r="B2574" s="65" t="str">
        <f t="shared" si="322"/>
        <v/>
      </c>
      <c r="C2574" s="66"/>
      <c r="D2574" s="60"/>
      <c r="E2574" s="61"/>
      <c r="F2574" s="61"/>
      <c r="G2574" s="67"/>
      <c r="H2574" s="60"/>
      <c r="I2574" s="60"/>
      <c r="J2574" s="61"/>
      <c r="K2574" s="61"/>
      <c r="L2574" s="60"/>
      <c r="M2574" s="74" t="str">
        <f t="shared" si="323"/>
        <v/>
      </c>
      <c r="N2574" s="74" t="str">
        <f t="shared" si="324"/>
        <v/>
      </c>
      <c r="O2574" s="73" t="str">
        <f t="shared" si="325"/>
        <v/>
      </c>
      <c r="P2574" s="65" t="str">
        <f t="shared" ca="1" si="326"/>
        <v/>
      </c>
      <c r="Q2574" s="2"/>
      <c r="R2574" s="2"/>
      <c r="S2574" s="1" t="str">
        <f t="shared" si="327"/>
        <v/>
      </c>
      <c r="T2574" s="1" t="str">
        <f>IF(OR($C2574="",$D2574&lt;&gt;"Gelir",$L2574=""),"",IFERROR(INDEX(MUSTERILER!$B$7:$B$156,MATCH($S2574,MUSTERILER!$T$7:$T$156,0)),""))</f>
        <v/>
      </c>
      <c r="U2574" s="1" t="str">
        <f>IF($T2574="","",$T2574&amp;"|"&amp;COUNTIFS($T$7:$T2574,$T2574))</f>
        <v/>
      </c>
      <c r="V2574" s="1">
        <f t="shared" si="328"/>
        <v>0</v>
      </c>
      <c r="W2574" s="1" t="str">
        <f t="shared" si="329"/>
        <v/>
      </c>
      <c r="X2574" s="1"/>
      <c r="Y2574" s="1"/>
      <c r="Z2574" s="1"/>
      <c r="AA2574" s="1"/>
      <c r="AB2574" s="1"/>
      <c r="AC2574" s="1"/>
      <c r="AD2574" s="1">
        <f>IF($C2574="",0,SUMPRODUCT((AY_SONU!$O$7:$O$42="Evet")*(AY_SONU!$B$7:$B$42=DATE(YEAR($C2574),MONTH($C2574),1))))</f>
        <v>0</v>
      </c>
      <c r="AE2574" s="1" t="str">
        <f>IF($E2574="","",$E2574&amp;"|"&amp;COUNTIFS($E$7:$E2574,$E2574))</f>
        <v/>
      </c>
    </row>
    <row r="2575" spans="1:31" ht="18" customHeight="1" x14ac:dyDescent="0.3">
      <c r="A2575" s="2"/>
      <c r="B2575" s="65" t="str">
        <f t="shared" si="322"/>
        <v/>
      </c>
      <c r="C2575" s="66"/>
      <c r="D2575" s="60"/>
      <c r="E2575" s="61"/>
      <c r="F2575" s="61"/>
      <c r="G2575" s="67"/>
      <c r="H2575" s="60"/>
      <c r="I2575" s="60"/>
      <c r="J2575" s="61"/>
      <c r="K2575" s="61"/>
      <c r="L2575" s="60"/>
      <c r="M2575" s="74" t="str">
        <f t="shared" si="323"/>
        <v/>
      </c>
      <c r="N2575" s="74" t="str">
        <f t="shared" si="324"/>
        <v/>
      </c>
      <c r="O2575" s="73" t="str">
        <f t="shared" si="325"/>
        <v/>
      </c>
      <c r="P2575" s="65" t="str">
        <f t="shared" ca="1" si="326"/>
        <v/>
      </c>
      <c r="Q2575" s="2"/>
      <c r="R2575" s="2"/>
      <c r="S2575" s="1" t="str">
        <f t="shared" si="327"/>
        <v/>
      </c>
      <c r="T2575" s="1" t="str">
        <f>IF(OR($C2575="",$D2575&lt;&gt;"Gelir",$L2575=""),"",IFERROR(INDEX(MUSTERILER!$B$7:$B$156,MATCH($S2575,MUSTERILER!$T$7:$T$156,0)),""))</f>
        <v/>
      </c>
      <c r="U2575" s="1" t="str">
        <f>IF($T2575="","",$T2575&amp;"|"&amp;COUNTIFS($T$7:$T2575,$T2575))</f>
        <v/>
      </c>
      <c r="V2575" s="1">
        <f t="shared" si="328"/>
        <v>0</v>
      </c>
      <c r="W2575" s="1" t="str">
        <f t="shared" si="329"/>
        <v/>
      </c>
      <c r="X2575" s="1"/>
      <c r="Y2575" s="1"/>
      <c r="Z2575" s="1"/>
      <c r="AA2575" s="1"/>
      <c r="AB2575" s="1"/>
      <c r="AC2575" s="1"/>
      <c r="AD2575" s="1">
        <f>IF($C2575="",0,SUMPRODUCT((AY_SONU!$O$7:$O$42="Evet")*(AY_SONU!$B$7:$B$42=DATE(YEAR($C2575),MONTH($C2575),1))))</f>
        <v>0</v>
      </c>
      <c r="AE2575" s="1" t="str">
        <f>IF($E2575="","",$E2575&amp;"|"&amp;COUNTIFS($E$7:$E2575,$E2575))</f>
        <v/>
      </c>
    </row>
    <row r="2576" spans="1:31" ht="18" customHeight="1" x14ac:dyDescent="0.3">
      <c r="A2576" s="2"/>
      <c r="B2576" s="65" t="str">
        <f t="shared" si="322"/>
        <v/>
      </c>
      <c r="C2576" s="66"/>
      <c r="D2576" s="60"/>
      <c r="E2576" s="61"/>
      <c r="F2576" s="61"/>
      <c r="G2576" s="67"/>
      <c r="H2576" s="60"/>
      <c r="I2576" s="60"/>
      <c r="J2576" s="61"/>
      <c r="K2576" s="61"/>
      <c r="L2576" s="60"/>
      <c r="M2576" s="74" t="str">
        <f t="shared" si="323"/>
        <v/>
      </c>
      <c r="N2576" s="74" t="str">
        <f t="shared" si="324"/>
        <v/>
      </c>
      <c r="O2576" s="73" t="str">
        <f t="shared" si="325"/>
        <v/>
      </c>
      <c r="P2576" s="65" t="str">
        <f t="shared" ca="1" si="326"/>
        <v/>
      </c>
      <c r="Q2576" s="2"/>
      <c r="R2576" s="2"/>
      <c r="S2576" s="1" t="str">
        <f t="shared" si="327"/>
        <v/>
      </c>
      <c r="T2576" s="1" t="str">
        <f>IF(OR($C2576="",$D2576&lt;&gt;"Gelir",$L2576=""),"",IFERROR(INDEX(MUSTERILER!$B$7:$B$156,MATCH($S2576,MUSTERILER!$T$7:$T$156,0)),""))</f>
        <v/>
      </c>
      <c r="U2576" s="1" t="str">
        <f>IF($T2576="","",$T2576&amp;"|"&amp;COUNTIFS($T$7:$T2576,$T2576))</f>
        <v/>
      </c>
      <c r="V2576" s="1">
        <f t="shared" si="328"/>
        <v>0</v>
      </c>
      <c r="W2576" s="1" t="str">
        <f t="shared" si="329"/>
        <v/>
      </c>
      <c r="X2576" s="1"/>
      <c r="Y2576" s="1"/>
      <c r="Z2576" s="1"/>
      <c r="AA2576" s="1"/>
      <c r="AB2576" s="1"/>
      <c r="AC2576" s="1"/>
      <c r="AD2576" s="1">
        <f>IF($C2576="",0,SUMPRODUCT((AY_SONU!$O$7:$O$42="Evet")*(AY_SONU!$B$7:$B$42=DATE(YEAR($C2576),MONTH($C2576),1))))</f>
        <v>0</v>
      </c>
      <c r="AE2576" s="1" t="str">
        <f>IF($E2576="","",$E2576&amp;"|"&amp;COUNTIFS($E$7:$E2576,$E2576))</f>
        <v/>
      </c>
    </row>
    <row r="2577" spans="1:31" ht="18" customHeight="1" x14ac:dyDescent="0.3">
      <c r="A2577" s="2"/>
      <c r="B2577" s="65" t="str">
        <f t="shared" si="322"/>
        <v/>
      </c>
      <c r="C2577" s="66"/>
      <c r="D2577" s="60"/>
      <c r="E2577" s="61"/>
      <c r="F2577" s="61"/>
      <c r="G2577" s="67"/>
      <c r="H2577" s="60"/>
      <c r="I2577" s="60"/>
      <c r="J2577" s="61"/>
      <c r="K2577" s="61"/>
      <c r="L2577" s="60"/>
      <c r="M2577" s="74" t="str">
        <f t="shared" si="323"/>
        <v/>
      </c>
      <c r="N2577" s="74" t="str">
        <f t="shared" si="324"/>
        <v/>
      </c>
      <c r="O2577" s="73" t="str">
        <f t="shared" si="325"/>
        <v/>
      </c>
      <c r="P2577" s="65" t="str">
        <f t="shared" ca="1" si="326"/>
        <v/>
      </c>
      <c r="Q2577" s="2"/>
      <c r="R2577" s="2"/>
      <c r="S2577" s="1" t="str">
        <f t="shared" si="327"/>
        <v/>
      </c>
      <c r="T2577" s="1" t="str">
        <f>IF(OR($C2577="",$D2577&lt;&gt;"Gelir",$L2577=""),"",IFERROR(INDEX(MUSTERILER!$B$7:$B$156,MATCH($S2577,MUSTERILER!$T$7:$T$156,0)),""))</f>
        <v/>
      </c>
      <c r="U2577" s="1" t="str">
        <f>IF($T2577="","",$T2577&amp;"|"&amp;COUNTIFS($T$7:$T2577,$T2577))</f>
        <v/>
      </c>
      <c r="V2577" s="1">
        <f t="shared" si="328"/>
        <v>0</v>
      </c>
      <c r="W2577" s="1" t="str">
        <f t="shared" si="329"/>
        <v/>
      </c>
      <c r="X2577" s="1"/>
      <c r="Y2577" s="1"/>
      <c r="Z2577" s="1"/>
      <c r="AA2577" s="1"/>
      <c r="AB2577" s="1"/>
      <c r="AC2577" s="1"/>
      <c r="AD2577" s="1">
        <f>IF($C2577="",0,SUMPRODUCT((AY_SONU!$O$7:$O$42="Evet")*(AY_SONU!$B$7:$B$42=DATE(YEAR($C2577),MONTH($C2577),1))))</f>
        <v>0</v>
      </c>
      <c r="AE2577" s="1" t="str">
        <f>IF($E2577="","",$E2577&amp;"|"&amp;COUNTIFS($E$7:$E2577,$E2577))</f>
        <v/>
      </c>
    </row>
    <row r="2578" spans="1:31" ht="18" customHeight="1" x14ac:dyDescent="0.3">
      <c r="A2578" s="2"/>
      <c r="B2578" s="65" t="str">
        <f t="shared" si="322"/>
        <v/>
      </c>
      <c r="C2578" s="66"/>
      <c r="D2578" s="60"/>
      <c r="E2578" s="61"/>
      <c r="F2578" s="61"/>
      <c r="G2578" s="67"/>
      <c r="H2578" s="60"/>
      <c r="I2578" s="60"/>
      <c r="J2578" s="61"/>
      <c r="K2578" s="61"/>
      <c r="L2578" s="60"/>
      <c r="M2578" s="74" t="str">
        <f t="shared" si="323"/>
        <v/>
      </c>
      <c r="N2578" s="74" t="str">
        <f t="shared" si="324"/>
        <v/>
      </c>
      <c r="O2578" s="73" t="str">
        <f t="shared" si="325"/>
        <v/>
      </c>
      <c r="P2578" s="65" t="str">
        <f t="shared" ca="1" si="326"/>
        <v/>
      </c>
      <c r="Q2578" s="2"/>
      <c r="R2578" s="2"/>
      <c r="S2578" s="1" t="str">
        <f t="shared" si="327"/>
        <v/>
      </c>
      <c r="T2578" s="1" t="str">
        <f>IF(OR($C2578="",$D2578&lt;&gt;"Gelir",$L2578=""),"",IFERROR(INDEX(MUSTERILER!$B$7:$B$156,MATCH($S2578,MUSTERILER!$T$7:$T$156,0)),""))</f>
        <v/>
      </c>
      <c r="U2578" s="1" t="str">
        <f>IF($T2578="","",$T2578&amp;"|"&amp;COUNTIFS($T$7:$T2578,$T2578))</f>
        <v/>
      </c>
      <c r="V2578" s="1">
        <f t="shared" si="328"/>
        <v>0</v>
      </c>
      <c r="W2578" s="1" t="str">
        <f t="shared" si="329"/>
        <v/>
      </c>
      <c r="X2578" s="1"/>
      <c r="Y2578" s="1"/>
      <c r="Z2578" s="1"/>
      <c r="AA2578" s="1"/>
      <c r="AB2578" s="1"/>
      <c r="AC2578" s="1"/>
      <c r="AD2578" s="1">
        <f>IF($C2578="",0,SUMPRODUCT((AY_SONU!$O$7:$O$42="Evet")*(AY_SONU!$B$7:$B$42=DATE(YEAR($C2578),MONTH($C2578),1))))</f>
        <v>0</v>
      </c>
      <c r="AE2578" s="1" t="str">
        <f>IF($E2578="","",$E2578&amp;"|"&amp;COUNTIFS($E$7:$E2578,$E2578))</f>
        <v/>
      </c>
    </row>
    <row r="2579" spans="1:31" ht="18" customHeight="1" x14ac:dyDescent="0.3">
      <c r="A2579" s="2"/>
      <c r="B2579" s="65" t="str">
        <f t="shared" si="322"/>
        <v/>
      </c>
      <c r="C2579" s="66"/>
      <c r="D2579" s="60"/>
      <c r="E2579" s="61"/>
      <c r="F2579" s="61"/>
      <c r="G2579" s="67"/>
      <c r="H2579" s="60"/>
      <c r="I2579" s="60"/>
      <c r="J2579" s="61"/>
      <c r="K2579" s="61"/>
      <c r="L2579" s="60"/>
      <c r="M2579" s="74" t="str">
        <f t="shared" si="323"/>
        <v/>
      </c>
      <c r="N2579" s="74" t="str">
        <f t="shared" si="324"/>
        <v/>
      </c>
      <c r="O2579" s="73" t="str">
        <f t="shared" si="325"/>
        <v/>
      </c>
      <c r="P2579" s="65" t="str">
        <f t="shared" ca="1" si="326"/>
        <v/>
      </c>
      <c r="Q2579" s="2"/>
      <c r="R2579" s="2"/>
      <c r="S2579" s="1" t="str">
        <f t="shared" si="327"/>
        <v/>
      </c>
      <c r="T2579" s="1" t="str">
        <f>IF(OR($C2579="",$D2579&lt;&gt;"Gelir",$L2579=""),"",IFERROR(INDEX(MUSTERILER!$B$7:$B$156,MATCH($S2579,MUSTERILER!$T$7:$T$156,0)),""))</f>
        <v/>
      </c>
      <c r="U2579" s="1" t="str">
        <f>IF($T2579="","",$T2579&amp;"|"&amp;COUNTIFS($T$7:$T2579,$T2579))</f>
        <v/>
      </c>
      <c r="V2579" s="1">
        <f t="shared" si="328"/>
        <v>0</v>
      </c>
      <c r="W2579" s="1" t="str">
        <f t="shared" si="329"/>
        <v/>
      </c>
      <c r="X2579" s="1"/>
      <c r="Y2579" s="1"/>
      <c r="Z2579" s="1"/>
      <c r="AA2579" s="1"/>
      <c r="AB2579" s="1"/>
      <c r="AC2579" s="1"/>
      <c r="AD2579" s="1">
        <f>IF($C2579="",0,SUMPRODUCT((AY_SONU!$O$7:$O$42="Evet")*(AY_SONU!$B$7:$B$42=DATE(YEAR($C2579),MONTH($C2579),1))))</f>
        <v>0</v>
      </c>
      <c r="AE2579" s="1" t="str">
        <f>IF($E2579="","",$E2579&amp;"|"&amp;COUNTIFS($E$7:$E2579,$E2579))</f>
        <v/>
      </c>
    </row>
    <row r="2580" spans="1:31" ht="18" customHeight="1" x14ac:dyDescent="0.3">
      <c r="A2580" s="2"/>
      <c r="B2580" s="65" t="str">
        <f t="shared" si="322"/>
        <v/>
      </c>
      <c r="C2580" s="66"/>
      <c r="D2580" s="60"/>
      <c r="E2580" s="61"/>
      <c r="F2580" s="61"/>
      <c r="G2580" s="67"/>
      <c r="H2580" s="60"/>
      <c r="I2580" s="60"/>
      <c r="J2580" s="61"/>
      <c r="K2580" s="61"/>
      <c r="L2580" s="60"/>
      <c r="M2580" s="74" t="str">
        <f t="shared" si="323"/>
        <v/>
      </c>
      <c r="N2580" s="74" t="str">
        <f t="shared" si="324"/>
        <v/>
      </c>
      <c r="O2580" s="73" t="str">
        <f t="shared" si="325"/>
        <v/>
      </c>
      <c r="P2580" s="65" t="str">
        <f t="shared" ca="1" si="326"/>
        <v/>
      </c>
      <c r="Q2580" s="2"/>
      <c r="R2580" s="2"/>
      <c r="S2580" s="1" t="str">
        <f t="shared" si="327"/>
        <v/>
      </c>
      <c r="T2580" s="1" t="str">
        <f>IF(OR($C2580="",$D2580&lt;&gt;"Gelir",$L2580=""),"",IFERROR(INDEX(MUSTERILER!$B$7:$B$156,MATCH($S2580,MUSTERILER!$T$7:$T$156,0)),""))</f>
        <v/>
      </c>
      <c r="U2580" s="1" t="str">
        <f>IF($T2580="","",$T2580&amp;"|"&amp;COUNTIFS($T$7:$T2580,$T2580))</f>
        <v/>
      </c>
      <c r="V2580" s="1">
        <f t="shared" si="328"/>
        <v>0</v>
      </c>
      <c r="W2580" s="1" t="str">
        <f t="shared" si="329"/>
        <v/>
      </c>
      <c r="X2580" s="1"/>
      <c r="Y2580" s="1"/>
      <c r="Z2580" s="1"/>
      <c r="AA2580" s="1"/>
      <c r="AB2580" s="1"/>
      <c r="AC2580" s="1"/>
      <c r="AD2580" s="1">
        <f>IF($C2580="",0,SUMPRODUCT((AY_SONU!$O$7:$O$42="Evet")*(AY_SONU!$B$7:$B$42=DATE(YEAR($C2580),MONTH($C2580),1))))</f>
        <v>0</v>
      </c>
      <c r="AE2580" s="1" t="str">
        <f>IF($E2580="","",$E2580&amp;"|"&amp;COUNTIFS($E$7:$E2580,$E2580))</f>
        <v/>
      </c>
    </row>
    <row r="2581" spans="1:31" ht="18" customHeight="1" x14ac:dyDescent="0.3">
      <c r="A2581" s="2"/>
      <c r="B2581" s="65" t="str">
        <f t="shared" si="322"/>
        <v/>
      </c>
      <c r="C2581" s="66"/>
      <c r="D2581" s="60"/>
      <c r="E2581" s="61"/>
      <c r="F2581" s="61"/>
      <c r="G2581" s="67"/>
      <c r="H2581" s="60"/>
      <c r="I2581" s="60"/>
      <c r="J2581" s="61"/>
      <c r="K2581" s="61"/>
      <c r="L2581" s="60"/>
      <c r="M2581" s="74" t="str">
        <f t="shared" si="323"/>
        <v/>
      </c>
      <c r="N2581" s="74" t="str">
        <f t="shared" si="324"/>
        <v/>
      </c>
      <c r="O2581" s="73" t="str">
        <f t="shared" si="325"/>
        <v/>
      </c>
      <c r="P2581" s="65" t="str">
        <f t="shared" ca="1" si="326"/>
        <v/>
      </c>
      <c r="Q2581" s="2"/>
      <c r="R2581" s="2"/>
      <c r="S2581" s="1" t="str">
        <f t="shared" si="327"/>
        <v/>
      </c>
      <c r="T2581" s="1" t="str">
        <f>IF(OR($C2581="",$D2581&lt;&gt;"Gelir",$L2581=""),"",IFERROR(INDEX(MUSTERILER!$B$7:$B$156,MATCH($S2581,MUSTERILER!$T$7:$T$156,0)),""))</f>
        <v/>
      </c>
      <c r="U2581" s="1" t="str">
        <f>IF($T2581="","",$T2581&amp;"|"&amp;COUNTIFS($T$7:$T2581,$T2581))</f>
        <v/>
      </c>
      <c r="V2581" s="1">
        <f t="shared" si="328"/>
        <v>0</v>
      </c>
      <c r="W2581" s="1" t="str">
        <f t="shared" si="329"/>
        <v/>
      </c>
      <c r="X2581" s="1"/>
      <c r="Y2581" s="1"/>
      <c r="Z2581" s="1"/>
      <c r="AA2581" s="1"/>
      <c r="AB2581" s="1"/>
      <c r="AC2581" s="1"/>
      <c r="AD2581" s="1">
        <f>IF($C2581="",0,SUMPRODUCT((AY_SONU!$O$7:$O$42="Evet")*(AY_SONU!$B$7:$B$42=DATE(YEAR($C2581),MONTH($C2581),1))))</f>
        <v>0</v>
      </c>
      <c r="AE2581" s="1" t="str">
        <f>IF($E2581="","",$E2581&amp;"|"&amp;COUNTIFS($E$7:$E2581,$E2581))</f>
        <v/>
      </c>
    </row>
    <row r="2582" spans="1:31" ht="18" customHeight="1" x14ac:dyDescent="0.3">
      <c r="A2582" s="2"/>
      <c r="B2582" s="65" t="str">
        <f t="shared" si="322"/>
        <v/>
      </c>
      <c r="C2582" s="66"/>
      <c r="D2582" s="60"/>
      <c r="E2582" s="61"/>
      <c r="F2582" s="61"/>
      <c r="G2582" s="67"/>
      <c r="H2582" s="60"/>
      <c r="I2582" s="60"/>
      <c r="J2582" s="61"/>
      <c r="K2582" s="61"/>
      <c r="L2582" s="60"/>
      <c r="M2582" s="74" t="str">
        <f t="shared" si="323"/>
        <v/>
      </c>
      <c r="N2582" s="74" t="str">
        <f t="shared" si="324"/>
        <v/>
      </c>
      <c r="O2582" s="73" t="str">
        <f t="shared" si="325"/>
        <v/>
      </c>
      <c r="P2582" s="65" t="str">
        <f t="shared" ca="1" si="326"/>
        <v/>
      </c>
      <c r="Q2582" s="2"/>
      <c r="R2582" s="2"/>
      <c r="S2582" s="1" t="str">
        <f t="shared" si="327"/>
        <v/>
      </c>
      <c r="T2582" s="1" t="str">
        <f>IF(OR($C2582="",$D2582&lt;&gt;"Gelir",$L2582=""),"",IFERROR(INDEX(MUSTERILER!$B$7:$B$156,MATCH($S2582,MUSTERILER!$T$7:$T$156,0)),""))</f>
        <v/>
      </c>
      <c r="U2582" s="1" t="str">
        <f>IF($T2582="","",$T2582&amp;"|"&amp;COUNTIFS($T$7:$T2582,$T2582))</f>
        <v/>
      </c>
      <c r="V2582" s="1">
        <f t="shared" si="328"/>
        <v>0</v>
      </c>
      <c r="W2582" s="1" t="str">
        <f t="shared" si="329"/>
        <v/>
      </c>
      <c r="X2582" s="1"/>
      <c r="Y2582" s="1"/>
      <c r="Z2582" s="1"/>
      <c r="AA2582" s="1"/>
      <c r="AB2582" s="1"/>
      <c r="AC2582" s="1"/>
      <c r="AD2582" s="1">
        <f>IF($C2582="",0,SUMPRODUCT((AY_SONU!$O$7:$O$42="Evet")*(AY_SONU!$B$7:$B$42=DATE(YEAR($C2582),MONTH($C2582),1))))</f>
        <v>0</v>
      </c>
      <c r="AE2582" s="1" t="str">
        <f>IF($E2582="","",$E2582&amp;"|"&amp;COUNTIFS($E$7:$E2582,$E2582))</f>
        <v/>
      </c>
    </row>
    <row r="2583" spans="1:31" ht="18" customHeight="1" x14ac:dyDescent="0.3">
      <c r="A2583" s="2"/>
      <c r="B2583" s="65" t="str">
        <f t="shared" si="322"/>
        <v/>
      </c>
      <c r="C2583" s="66"/>
      <c r="D2583" s="60"/>
      <c r="E2583" s="61"/>
      <c r="F2583" s="61"/>
      <c r="G2583" s="67"/>
      <c r="H2583" s="60"/>
      <c r="I2583" s="60"/>
      <c r="J2583" s="61"/>
      <c r="K2583" s="61"/>
      <c r="L2583" s="60"/>
      <c r="M2583" s="74" t="str">
        <f t="shared" si="323"/>
        <v/>
      </c>
      <c r="N2583" s="74" t="str">
        <f t="shared" si="324"/>
        <v/>
      </c>
      <c r="O2583" s="73" t="str">
        <f t="shared" si="325"/>
        <v/>
      </c>
      <c r="P2583" s="65" t="str">
        <f t="shared" ca="1" si="326"/>
        <v/>
      </c>
      <c r="Q2583" s="2"/>
      <c r="R2583" s="2"/>
      <c r="S2583" s="1" t="str">
        <f t="shared" si="327"/>
        <v/>
      </c>
      <c r="T2583" s="1" t="str">
        <f>IF(OR($C2583="",$D2583&lt;&gt;"Gelir",$L2583=""),"",IFERROR(INDEX(MUSTERILER!$B$7:$B$156,MATCH($S2583,MUSTERILER!$T$7:$T$156,0)),""))</f>
        <v/>
      </c>
      <c r="U2583" s="1" t="str">
        <f>IF($T2583="","",$T2583&amp;"|"&amp;COUNTIFS($T$7:$T2583,$T2583))</f>
        <v/>
      </c>
      <c r="V2583" s="1">
        <f t="shared" si="328"/>
        <v>0</v>
      </c>
      <c r="W2583" s="1" t="str">
        <f t="shared" si="329"/>
        <v/>
      </c>
      <c r="X2583" s="1"/>
      <c r="Y2583" s="1"/>
      <c r="Z2583" s="1"/>
      <c r="AA2583" s="1"/>
      <c r="AB2583" s="1"/>
      <c r="AC2583" s="1"/>
      <c r="AD2583" s="1">
        <f>IF($C2583="",0,SUMPRODUCT((AY_SONU!$O$7:$O$42="Evet")*(AY_SONU!$B$7:$B$42=DATE(YEAR($C2583),MONTH($C2583),1))))</f>
        <v>0</v>
      </c>
      <c r="AE2583" s="1" t="str">
        <f>IF($E2583="","",$E2583&amp;"|"&amp;COUNTIFS($E$7:$E2583,$E2583))</f>
        <v/>
      </c>
    </row>
    <row r="2584" spans="1:31" ht="18" customHeight="1" x14ac:dyDescent="0.3">
      <c r="A2584" s="2"/>
      <c r="B2584" s="65" t="str">
        <f t="shared" si="322"/>
        <v/>
      </c>
      <c r="C2584" s="66"/>
      <c r="D2584" s="60"/>
      <c r="E2584" s="61"/>
      <c r="F2584" s="61"/>
      <c r="G2584" s="67"/>
      <c r="H2584" s="60"/>
      <c r="I2584" s="60"/>
      <c r="J2584" s="61"/>
      <c r="K2584" s="61"/>
      <c r="L2584" s="60"/>
      <c r="M2584" s="74" t="str">
        <f t="shared" si="323"/>
        <v/>
      </c>
      <c r="N2584" s="74" t="str">
        <f t="shared" si="324"/>
        <v/>
      </c>
      <c r="O2584" s="73" t="str">
        <f t="shared" si="325"/>
        <v/>
      </c>
      <c r="P2584" s="65" t="str">
        <f t="shared" ca="1" si="326"/>
        <v/>
      </c>
      <c r="Q2584" s="2"/>
      <c r="R2584" s="2"/>
      <c r="S2584" s="1" t="str">
        <f t="shared" si="327"/>
        <v/>
      </c>
      <c r="T2584" s="1" t="str">
        <f>IF(OR($C2584="",$D2584&lt;&gt;"Gelir",$L2584=""),"",IFERROR(INDEX(MUSTERILER!$B$7:$B$156,MATCH($S2584,MUSTERILER!$T$7:$T$156,0)),""))</f>
        <v/>
      </c>
      <c r="U2584" s="1" t="str">
        <f>IF($T2584="","",$T2584&amp;"|"&amp;COUNTIFS($T$7:$T2584,$T2584))</f>
        <v/>
      </c>
      <c r="V2584" s="1">
        <f t="shared" si="328"/>
        <v>0</v>
      </c>
      <c r="W2584" s="1" t="str">
        <f t="shared" si="329"/>
        <v/>
      </c>
      <c r="X2584" s="1"/>
      <c r="Y2584" s="1"/>
      <c r="Z2584" s="1"/>
      <c r="AA2584" s="1"/>
      <c r="AB2584" s="1"/>
      <c r="AC2584" s="1"/>
      <c r="AD2584" s="1">
        <f>IF($C2584="",0,SUMPRODUCT((AY_SONU!$O$7:$O$42="Evet")*(AY_SONU!$B$7:$B$42=DATE(YEAR($C2584),MONTH($C2584),1))))</f>
        <v>0</v>
      </c>
      <c r="AE2584" s="1" t="str">
        <f>IF($E2584="","",$E2584&amp;"|"&amp;COUNTIFS($E$7:$E2584,$E2584))</f>
        <v/>
      </c>
    </row>
    <row r="2585" spans="1:31" ht="18" customHeight="1" x14ac:dyDescent="0.3">
      <c r="A2585" s="2"/>
      <c r="B2585" s="65" t="str">
        <f t="shared" si="322"/>
        <v/>
      </c>
      <c r="C2585" s="66"/>
      <c r="D2585" s="60"/>
      <c r="E2585" s="61"/>
      <c r="F2585" s="61"/>
      <c r="G2585" s="67"/>
      <c r="H2585" s="60"/>
      <c r="I2585" s="60"/>
      <c r="J2585" s="61"/>
      <c r="K2585" s="61"/>
      <c r="L2585" s="60"/>
      <c r="M2585" s="74" t="str">
        <f t="shared" si="323"/>
        <v/>
      </c>
      <c r="N2585" s="74" t="str">
        <f t="shared" si="324"/>
        <v/>
      </c>
      <c r="O2585" s="73" t="str">
        <f t="shared" si="325"/>
        <v/>
      </c>
      <c r="P2585" s="65" t="str">
        <f t="shared" ca="1" si="326"/>
        <v/>
      </c>
      <c r="Q2585" s="2"/>
      <c r="R2585" s="2"/>
      <c r="S2585" s="1" t="str">
        <f t="shared" si="327"/>
        <v/>
      </c>
      <c r="T2585" s="1" t="str">
        <f>IF(OR($C2585="",$D2585&lt;&gt;"Gelir",$L2585=""),"",IFERROR(INDEX(MUSTERILER!$B$7:$B$156,MATCH($S2585,MUSTERILER!$T$7:$T$156,0)),""))</f>
        <v/>
      </c>
      <c r="U2585" s="1" t="str">
        <f>IF($T2585="","",$T2585&amp;"|"&amp;COUNTIFS($T$7:$T2585,$T2585))</f>
        <v/>
      </c>
      <c r="V2585" s="1">
        <f t="shared" si="328"/>
        <v>0</v>
      </c>
      <c r="W2585" s="1" t="str">
        <f t="shared" si="329"/>
        <v/>
      </c>
      <c r="X2585" s="1"/>
      <c r="Y2585" s="1"/>
      <c r="Z2585" s="1"/>
      <c r="AA2585" s="1"/>
      <c r="AB2585" s="1"/>
      <c r="AC2585" s="1"/>
      <c r="AD2585" s="1">
        <f>IF($C2585="",0,SUMPRODUCT((AY_SONU!$O$7:$O$42="Evet")*(AY_SONU!$B$7:$B$42=DATE(YEAR($C2585),MONTH($C2585),1))))</f>
        <v>0</v>
      </c>
      <c r="AE2585" s="1" t="str">
        <f>IF($E2585="","",$E2585&amp;"|"&amp;COUNTIFS($E$7:$E2585,$E2585))</f>
        <v/>
      </c>
    </row>
    <row r="2586" spans="1:31" ht="18" customHeight="1" x14ac:dyDescent="0.3">
      <c r="A2586" s="2"/>
      <c r="B2586" s="65" t="str">
        <f t="shared" si="322"/>
        <v/>
      </c>
      <c r="C2586" s="66"/>
      <c r="D2586" s="60"/>
      <c r="E2586" s="61"/>
      <c r="F2586" s="61"/>
      <c r="G2586" s="67"/>
      <c r="H2586" s="60"/>
      <c r="I2586" s="60"/>
      <c r="J2586" s="61"/>
      <c r="K2586" s="61"/>
      <c r="L2586" s="60"/>
      <c r="M2586" s="74" t="str">
        <f t="shared" si="323"/>
        <v/>
      </c>
      <c r="N2586" s="74" t="str">
        <f t="shared" si="324"/>
        <v/>
      </c>
      <c r="O2586" s="73" t="str">
        <f t="shared" si="325"/>
        <v/>
      </c>
      <c r="P2586" s="65" t="str">
        <f t="shared" ca="1" si="326"/>
        <v/>
      </c>
      <c r="Q2586" s="2"/>
      <c r="R2586" s="2"/>
      <c r="S2586" s="1" t="str">
        <f t="shared" si="327"/>
        <v/>
      </c>
      <c r="T2586" s="1" t="str">
        <f>IF(OR($C2586="",$D2586&lt;&gt;"Gelir",$L2586=""),"",IFERROR(INDEX(MUSTERILER!$B$7:$B$156,MATCH($S2586,MUSTERILER!$T$7:$T$156,0)),""))</f>
        <v/>
      </c>
      <c r="U2586" s="1" t="str">
        <f>IF($T2586="","",$T2586&amp;"|"&amp;COUNTIFS($T$7:$T2586,$T2586))</f>
        <v/>
      </c>
      <c r="V2586" s="1">
        <f t="shared" si="328"/>
        <v>0</v>
      </c>
      <c r="W2586" s="1" t="str">
        <f t="shared" si="329"/>
        <v/>
      </c>
      <c r="X2586" s="1"/>
      <c r="Y2586" s="1"/>
      <c r="Z2586" s="1"/>
      <c r="AA2586" s="1"/>
      <c r="AB2586" s="1"/>
      <c r="AC2586" s="1"/>
      <c r="AD2586" s="1">
        <f>IF($C2586="",0,SUMPRODUCT((AY_SONU!$O$7:$O$42="Evet")*(AY_SONU!$B$7:$B$42=DATE(YEAR($C2586),MONTH($C2586),1))))</f>
        <v>0</v>
      </c>
      <c r="AE2586" s="1" t="str">
        <f>IF($E2586="","",$E2586&amp;"|"&amp;COUNTIFS($E$7:$E2586,$E2586))</f>
        <v/>
      </c>
    </row>
    <row r="2587" spans="1:31" ht="18" customHeight="1" x14ac:dyDescent="0.3">
      <c r="A2587" s="2"/>
      <c r="B2587" s="65" t="str">
        <f t="shared" si="322"/>
        <v/>
      </c>
      <c r="C2587" s="66"/>
      <c r="D2587" s="60"/>
      <c r="E2587" s="61"/>
      <c r="F2587" s="61"/>
      <c r="G2587" s="67"/>
      <c r="H2587" s="60"/>
      <c r="I2587" s="60"/>
      <c r="J2587" s="61"/>
      <c r="K2587" s="61"/>
      <c r="L2587" s="60"/>
      <c r="M2587" s="74" t="str">
        <f t="shared" si="323"/>
        <v/>
      </c>
      <c r="N2587" s="74" t="str">
        <f t="shared" si="324"/>
        <v/>
      </c>
      <c r="O2587" s="73" t="str">
        <f t="shared" si="325"/>
        <v/>
      </c>
      <c r="P2587" s="65" t="str">
        <f t="shared" ca="1" si="326"/>
        <v/>
      </c>
      <c r="Q2587" s="2"/>
      <c r="R2587" s="2"/>
      <c r="S2587" s="1" t="str">
        <f t="shared" si="327"/>
        <v/>
      </c>
      <c r="T2587" s="1" t="str">
        <f>IF(OR($C2587="",$D2587&lt;&gt;"Gelir",$L2587=""),"",IFERROR(INDEX(MUSTERILER!$B$7:$B$156,MATCH($S2587,MUSTERILER!$T$7:$T$156,0)),""))</f>
        <v/>
      </c>
      <c r="U2587" s="1" t="str">
        <f>IF($T2587="","",$T2587&amp;"|"&amp;COUNTIFS($T$7:$T2587,$T2587))</f>
        <v/>
      </c>
      <c r="V2587" s="1">
        <f t="shared" si="328"/>
        <v>0</v>
      </c>
      <c r="W2587" s="1" t="str">
        <f t="shared" si="329"/>
        <v/>
      </c>
      <c r="X2587" s="1"/>
      <c r="Y2587" s="1"/>
      <c r="Z2587" s="1"/>
      <c r="AA2587" s="1"/>
      <c r="AB2587" s="1"/>
      <c r="AC2587" s="1"/>
      <c r="AD2587" s="1">
        <f>IF($C2587="",0,SUMPRODUCT((AY_SONU!$O$7:$O$42="Evet")*(AY_SONU!$B$7:$B$42=DATE(YEAR($C2587),MONTH($C2587),1))))</f>
        <v>0</v>
      </c>
      <c r="AE2587" s="1" t="str">
        <f>IF($E2587="","",$E2587&amp;"|"&amp;COUNTIFS($E$7:$E2587,$E2587))</f>
        <v/>
      </c>
    </row>
    <row r="2588" spans="1:31" ht="18" customHeight="1" x14ac:dyDescent="0.3">
      <c r="A2588" s="2"/>
      <c r="B2588" s="65" t="str">
        <f t="shared" si="322"/>
        <v/>
      </c>
      <c r="C2588" s="66"/>
      <c r="D2588" s="60"/>
      <c r="E2588" s="61"/>
      <c r="F2588" s="61"/>
      <c r="G2588" s="67"/>
      <c r="H2588" s="60"/>
      <c r="I2588" s="60"/>
      <c r="J2588" s="61"/>
      <c r="K2588" s="61"/>
      <c r="L2588" s="60"/>
      <c r="M2588" s="74" t="str">
        <f t="shared" si="323"/>
        <v/>
      </c>
      <c r="N2588" s="74" t="str">
        <f t="shared" si="324"/>
        <v/>
      </c>
      <c r="O2588" s="73" t="str">
        <f t="shared" si="325"/>
        <v/>
      </c>
      <c r="P2588" s="65" t="str">
        <f t="shared" ca="1" si="326"/>
        <v/>
      </c>
      <c r="Q2588" s="2"/>
      <c r="R2588" s="2"/>
      <c r="S2588" s="1" t="str">
        <f t="shared" si="327"/>
        <v/>
      </c>
      <c r="T2588" s="1" t="str">
        <f>IF(OR($C2588="",$D2588&lt;&gt;"Gelir",$L2588=""),"",IFERROR(INDEX(MUSTERILER!$B$7:$B$156,MATCH($S2588,MUSTERILER!$T$7:$T$156,0)),""))</f>
        <v/>
      </c>
      <c r="U2588" s="1" t="str">
        <f>IF($T2588="","",$T2588&amp;"|"&amp;COUNTIFS($T$7:$T2588,$T2588))</f>
        <v/>
      </c>
      <c r="V2588" s="1">
        <f t="shared" si="328"/>
        <v>0</v>
      </c>
      <c r="W2588" s="1" t="str">
        <f t="shared" si="329"/>
        <v/>
      </c>
      <c r="X2588" s="1"/>
      <c r="Y2588" s="1"/>
      <c r="Z2588" s="1"/>
      <c r="AA2588" s="1"/>
      <c r="AB2588" s="1"/>
      <c r="AC2588" s="1"/>
      <c r="AD2588" s="1">
        <f>IF($C2588="",0,SUMPRODUCT((AY_SONU!$O$7:$O$42="Evet")*(AY_SONU!$B$7:$B$42=DATE(YEAR($C2588),MONTH($C2588),1))))</f>
        <v>0</v>
      </c>
      <c r="AE2588" s="1" t="str">
        <f>IF($E2588="","",$E2588&amp;"|"&amp;COUNTIFS($E$7:$E2588,$E2588))</f>
        <v/>
      </c>
    </row>
    <row r="2589" spans="1:31" ht="18" customHeight="1" x14ac:dyDescent="0.3">
      <c r="A2589" s="2"/>
      <c r="B2589" s="65" t="str">
        <f t="shared" si="322"/>
        <v/>
      </c>
      <c r="C2589" s="66"/>
      <c r="D2589" s="60"/>
      <c r="E2589" s="61"/>
      <c r="F2589" s="61"/>
      <c r="G2589" s="67"/>
      <c r="H2589" s="60"/>
      <c r="I2589" s="60"/>
      <c r="J2589" s="61"/>
      <c r="K2589" s="61"/>
      <c r="L2589" s="60"/>
      <c r="M2589" s="74" t="str">
        <f t="shared" si="323"/>
        <v/>
      </c>
      <c r="N2589" s="74" t="str">
        <f t="shared" si="324"/>
        <v/>
      </c>
      <c r="O2589" s="73" t="str">
        <f t="shared" si="325"/>
        <v/>
      </c>
      <c r="P2589" s="65" t="str">
        <f t="shared" ca="1" si="326"/>
        <v/>
      </c>
      <c r="Q2589" s="2"/>
      <c r="R2589" s="2"/>
      <c r="S2589" s="1" t="str">
        <f t="shared" si="327"/>
        <v/>
      </c>
      <c r="T2589" s="1" t="str">
        <f>IF(OR($C2589="",$D2589&lt;&gt;"Gelir",$L2589=""),"",IFERROR(INDEX(MUSTERILER!$B$7:$B$156,MATCH($S2589,MUSTERILER!$T$7:$T$156,0)),""))</f>
        <v/>
      </c>
      <c r="U2589" s="1" t="str">
        <f>IF($T2589="","",$T2589&amp;"|"&amp;COUNTIFS($T$7:$T2589,$T2589))</f>
        <v/>
      </c>
      <c r="V2589" s="1">
        <f t="shared" si="328"/>
        <v>0</v>
      </c>
      <c r="W2589" s="1" t="str">
        <f t="shared" si="329"/>
        <v/>
      </c>
      <c r="X2589" s="1"/>
      <c r="Y2589" s="1"/>
      <c r="Z2589" s="1"/>
      <c r="AA2589" s="1"/>
      <c r="AB2589" s="1"/>
      <c r="AC2589" s="1"/>
      <c r="AD2589" s="1">
        <f>IF($C2589="",0,SUMPRODUCT((AY_SONU!$O$7:$O$42="Evet")*(AY_SONU!$B$7:$B$42=DATE(YEAR($C2589),MONTH($C2589),1))))</f>
        <v>0</v>
      </c>
      <c r="AE2589" s="1" t="str">
        <f>IF($E2589="","",$E2589&amp;"|"&amp;COUNTIFS($E$7:$E2589,$E2589))</f>
        <v/>
      </c>
    </row>
    <row r="2590" spans="1:31" ht="18" customHeight="1" x14ac:dyDescent="0.3">
      <c r="A2590" s="2"/>
      <c r="B2590" s="65" t="str">
        <f t="shared" si="322"/>
        <v/>
      </c>
      <c r="C2590" s="66"/>
      <c r="D2590" s="60"/>
      <c r="E2590" s="61"/>
      <c r="F2590" s="61"/>
      <c r="G2590" s="67"/>
      <c r="H2590" s="60"/>
      <c r="I2590" s="60"/>
      <c r="J2590" s="61"/>
      <c r="K2590" s="61"/>
      <c r="L2590" s="60"/>
      <c r="M2590" s="74" t="str">
        <f t="shared" si="323"/>
        <v/>
      </c>
      <c r="N2590" s="74" t="str">
        <f t="shared" si="324"/>
        <v/>
      </c>
      <c r="O2590" s="73" t="str">
        <f t="shared" si="325"/>
        <v/>
      </c>
      <c r="P2590" s="65" t="str">
        <f t="shared" ca="1" si="326"/>
        <v/>
      </c>
      <c r="Q2590" s="2"/>
      <c r="R2590" s="2"/>
      <c r="S2590" s="1" t="str">
        <f t="shared" si="327"/>
        <v/>
      </c>
      <c r="T2590" s="1" t="str">
        <f>IF(OR($C2590="",$D2590&lt;&gt;"Gelir",$L2590=""),"",IFERROR(INDEX(MUSTERILER!$B$7:$B$156,MATCH($S2590,MUSTERILER!$T$7:$T$156,0)),""))</f>
        <v/>
      </c>
      <c r="U2590" s="1" t="str">
        <f>IF($T2590="","",$T2590&amp;"|"&amp;COUNTIFS($T$7:$T2590,$T2590))</f>
        <v/>
      </c>
      <c r="V2590" s="1">
        <f t="shared" si="328"/>
        <v>0</v>
      </c>
      <c r="W2590" s="1" t="str">
        <f t="shared" si="329"/>
        <v/>
      </c>
      <c r="X2590" s="1"/>
      <c r="Y2590" s="1"/>
      <c r="Z2590" s="1"/>
      <c r="AA2590" s="1"/>
      <c r="AB2590" s="1"/>
      <c r="AC2590" s="1"/>
      <c r="AD2590" s="1">
        <f>IF($C2590="",0,SUMPRODUCT((AY_SONU!$O$7:$O$42="Evet")*(AY_SONU!$B$7:$B$42=DATE(YEAR($C2590),MONTH($C2590),1))))</f>
        <v>0</v>
      </c>
      <c r="AE2590" s="1" t="str">
        <f>IF($E2590="","",$E2590&amp;"|"&amp;COUNTIFS($E$7:$E2590,$E2590))</f>
        <v/>
      </c>
    </row>
    <row r="2591" spans="1:31" ht="18" customHeight="1" x14ac:dyDescent="0.3">
      <c r="A2591" s="2"/>
      <c r="B2591" s="65" t="str">
        <f t="shared" si="322"/>
        <v/>
      </c>
      <c r="C2591" s="66"/>
      <c r="D2591" s="60"/>
      <c r="E2591" s="61"/>
      <c r="F2591" s="61"/>
      <c r="G2591" s="67"/>
      <c r="H2591" s="60"/>
      <c r="I2591" s="60"/>
      <c r="J2591" s="61"/>
      <c r="K2591" s="61"/>
      <c r="L2591" s="60"/>
      <c r="M2591" s="74" t="str">
        <f t="shared" si="323"/>
        <v/>
      </c>
      <c r="N2591" s="74" t="str">
        <f t="shared" si="324"/>
        <v/>
      </c>
      <c r="O2591" s="73" t="str">
        <f t="shared" si="325"/>
        <v/>
      </c>
      <c r="P2591" s="65" t="str">
        <f t="shared" ca="1" si="326"/>
        <v/>
      </c>
      <c r="Q2591" s="2"/>
      <c r="R2591" s="2"/>
      <c r="S2591" s="1" t="str">
        <f t="shared" si="327"/>
        <v/>
      </c>
      <c r="T2591" s="1" t="str">
        <f>IF(OR($C2591="",$D2591&lt;&gt;"Gelir",$L2591=""),"",IFERROR(INDEX(MUSTERILER!$B$7:$B$156,MATCH($S2591,MUSTERILER!$T$7:$T$156,0)),""))</f>
        <v/>
      </c>
      <c r="U2591" s="1" t="str">
        <f>IF($T2591="","",$T2591&amp;"|"&amp;COUNTIFS($T$7:$T2591,$T2591))</f>
        <v/>
      </c>
      <c r="V2591" s="1">
        <f t="shared" si="328"/>
        <v>0</v>
      </c>
      <c r="W2591" s="1" t="str">
        <f t="shared" si="329"/>
        <v/>
      </c>
      <c r="X2591" s="1"/>
      <c r="Y2591" s="1"/>
      <c r="Z2591" s="1"/>
      <c r="AA2591" s="1"/>
      <c r="AB2591" s="1"/>
      <c r="AC2591" s="1"/>
      <c r="AD2591" s="1">
        <f>IF($C2591="",0,SUMPRODUCT((AY_SONU!$O$7:$O$42="Evet")*(AY_SONU!$B$7:$B$42=DATE(YEAR($C2591),MONTH($C2591),1))))</f>
        <v>0</v>
      </c>
      <c r="AE2591" s="1" t="str">
        <f>IF($E2591="","",$E2591&amp;"|"&amp;COUNTIFS($E$7:$E2591,$E2591))</f>
        <v/>
      </c>
    </row>
    <row r="2592" spans="1:31" ht="18" customHeight="1" x14ac:dyDescent="0.3">
      <c r="A2592" s="2"/>
      <c r="B2592" s="65" t="str">
        <f t="shared" si="322"/>
        <v/>
      </c>
      <c r="C2592" s="66"/>
      <c r="D2592" s="60"/>
      <c r="E2592" s="61"/>
      <c r="F2592" s="61"/>
      <c r="G2592" s="67"/>
      <c r="H2592" s="60"/>
      <c r="I2592" s="60"/>
      <c r="J2592" s="61"/>
      <c r="K2592" s="61"/>
      <c r="L2592" s="60"/>
      <c r="M2592" s="74" t="str">
        <f t="shared" si="323"/>
        <v/>
      </c>
      <c r="N2592" s="74" t="str">
        <f t="shared" si="324"/>
        <v/>
      </c>
      <c r="O2592" s="73" t="str">
        <f t="shared" si="325"/>
        <v/>
      </c>
      <c r="P2592" s="65" t="str">
        <f t="shared" ca="1" si="326"/>
        <v/>
      </c>
      <c r="Q2592" s="2"/>
      <c r="R2592" s="2"/>
      <c r="S2592" s="1" t="str">
        <f t="shared" si="327"/>
        <v/>
      </c>
      <c r="T2592" s="1" t="str">
        <f>IF(OR($C2592="",$D2592&lt;&gt;"Gelir",$L2592=""),"",IFERROR(INDEX(MUSTERILER!$B$7:$B$156,MATCH($S2592,MUSTERILER!$T$7:$T$156,0)),""))</f>
        <v/>
      </c>
      <c r="U2592" s="1" t="str">
        <f>IF($T2592="","",$T2592&amp;"|"&amp;COUNTIFS($T$7:$T2592,$T2592))</f>
        <v/>
      </c>
      <c r="V2592" s="1">
        <f t="shared" si="328"/>
        <v>0</v>
      </c>
      <c r="W2592" s="1" t="str">
        <f t="shared" si="329"/>
        <v/>
      </c>
      <c r="X2592" s="1"/>
      <c r="Y2592" s="1"/>
      <c r="Z2592" s="1"/>
      <c r="AA2592" s="1"/>
      <c r="AB2592" s="1"/>
      <c r="AC2592" s="1"/>
      <c r="AD2592" s="1">
        <f>IF($C2592="",0,SUMPRODUCT((AY_SONU!$O$7:$O$42="Evet")*(AY_SONU!$B$7:$B$42=DATE(YEAR($C2592),MONTH($C2592),1))))</f>
        <v>0</v>
      </c>
      <c r="AE2592" s="1" t="str">
        <f>IF($E2592="","",$E2592&amp;"|"&amp;COUNTIFS($E$7:$E2592,$E2592))</f>
        <v/>
      </c>
    </row>
    <row r="2593" spans="1:31" ht="18" customHeight="1" x14ac:dyDescent="0.3">
      <c r="A2593" s="2"/>
      <c r="B2593" s="65" t="str">
        <f t="shared" si="322"/>
        <v/>
      </c>
      <c r="C2593" s="66"/>
      <c r="D2593" s="60"/>
      <c r="E2593" s="61"/>
      <c r="F2593" s="61"/>
      <c r="G2593" s="67"/>
      <c r="H2593" s="60"/>
      <c r="I2593" s="60"/>
      <c r="J2593" s="61"/>
      <c r="K2593" s="61"/>
      <c r="L2593" s="60"/>
      <c r="M2593" s="74" t="str">
        <f t="shared" si="323"/>
        <v/>
      </c>
      <c r="N2593" s="74" t="str">
        <f t="shared" si="324"/>
        <v/>
      </c>
      <c r="O2593" s="73" t="str">
        <f t="shared" si="325"/>
        <v/>
      </c>
      <c r="P2593" s="65" t="str">
        <f t="shared" ca="1" si="326"/>
        <v/>
      </c>
      <c r="Q2593" s="2"/>
      <c r="R2593" s="2"/>
      <c r="S2593" s="1" t="str">
        <f t="shared" si="327"/>
        <v/>
      </c>
      <c r="T2593" s="1" t="str">
        <f>IF(OR($C2593="",$D2593&lt;&gt;"Gelir",$L2593=""),"",IFERROR(INDEX(MUSTERILER!$B$7:$B$156,MATCH($S2593,MUSTERILER!$T$7:$T$156,0)),""))</f>
        <v/>
      </c>
      <c r="U2593" s="1" t="str">
        <f>IF($T2593="","",$T2593&amp;"|"&amp;COUNTIFS($T$7:$T2593,$T2593))</f>
        <v/>
      </c>
      <c r="V2593" s="1">
        <f t="shared" si="328"/>
        <v>0</v>
      </c>
      <c r="W2593" s="1" t="str">
        <f t="shared" si="329"/>
        <v/>
      </c>
      <c r="X2593" s="1"/>
      <c r="Y2593" s="1"/>
      <c r="Z2593" s="1"/>
      <c r="AA2593" s="1"/>
      <c r="AB2593" s="1"/>
      <c r="AC2593" s="1"/>
      <c r="AD2593" s="1">
        <f>IF($C2593="",0,SUMPRODUCT((AY_SONU!$O$7:$O$42="Evet")*(AY_SONU!$B$7:$B$42=DATE(YEAR($C2593),MONTH($C2593),1))))</f>
        <v>0</v>
      </c>
      <c r="AE2593" s="1" t="str">
        <f>IF($E2593="","",$E2593&amp;"|"&amp;COUNTIFS($E$7:$E2593,$E2593))</f>
        <v/>
      </c>
    </row>
    <row r="2594" spans="1:31" ht="18" customHeight="1" x14ac:dyDescent="0.3">
      <c r="A2594" s="2"/>
      <c r="B2594" s="65" t="str">
        <f t="shared" si="322"/>
        <v/>
      </c>
      <c r="C2594" s="66"/>
      <c r="D2594" s="60"/>
      <c r="E2594" s="61"/>
      <c r="F2594" s="61"/>
      <c r="G2594" s="67"/>
      <c r="H2594" s="60"/>
      <c r="I2594" s="60"/>
      <c r="J2594" s="61"/>
      <c r="K2594" s="61"/>
      <c r="L2594" s="60"/>
      <c r="M2594" s="74" t="str">
        <f t="shared" si="323"/>
        <v/>
      </c>
      <c r="N2594" s="74" t="str">
        <f t="shared" si="324"/>
        <v/>
      </c>
      <c r="O2594" s="73" t="str">
        <f t="shared" si="325"/>
        <v/>
      </c>
      <c r="P2594" s="65" t="str">
        <f t="shared" ca="1" si="326"/>
        <v/>
      </c>
      <c r="Q2594" s="2"/>
      <c r="R2594" s="2"/>
      <c r="S2594" s="1" t="str">
        <f t="shared" si="327"/>
        <v/>
      </c>
      <c r="T2594" s="1" t="str">
        <f>IF(OR($C2594="",$D2594&lt;&gt;"Gelir",$L2594=""),"",IFERROR(INDEX(MUSTERILER!$B$7:$B$156,MATCH($S2594,MUSTERILER!$T$7:$T$156,0)),""))</f>
        <v/>
      </c>
      <c r="U2594" s="1" t="str">
        <f>IF($T2594="","",$T2594&amp;"|"&amp;COUNTIFS($T$7:$T2594,$T2594))</f>
        <v/>
      </c>
      <c r="V2594" s="1">
        <f t="shared" si="328"/>
        <v>0</v>
      </c>
      <c r="W2594" s="1" t="str">
        <f t="shared" si="329"/>
        <v/>
      </c>
      <c r="X2594" s="1"/>
      <c r="Y2594" s="1"/>
      <c r="Z2594" s="1"/>
      <c r="AA2594" s="1"/>
      <c r="AB2594" s="1"/>
      <c r="AC2594" s="1"/>
      <c r="AD2594" s="1">
        <f>IF($C2594="",0,SUMPRODUCT((AY_SONU!$O$7:$O$42="Evet")*(AY_SONU!$B$7:$B$42=DATE(YEAR($C2594),MONTH($C2594),1))))</f>
        <v>0</v>
      </c>
      <c r="AE2594" s="1" t="str">
        <f>IF($E2594="","",$E2594&amp;"|"&amp;COUNTIFS($E$7:$E2594,$E2594))</f>
        <v/>
      </c>
    </row>
    <row r="2595" spans="1:31" ht="18" customHeight="1" x14ac:dyDescent="0.3">
      <c r="A2595" s="2"/>
      <c r="B2595" s="65" t="str">
        <f t="shared" si="322"/>
        <v/>
      </c>
      <c r="C2595" s="66"/>
      <c r="D2595" s="60"/>
      <c r="E2595" s="61"/>
      <c r="F2595" s="61"/>
      <c r="G2595" s="67"/>
      <c r="H2595" s="60"/>
      <c r="I2595" s="60"/>
      <c r="J2595" s="61"/>
      <c r="K2595" s="61"/>
      <c r="L2595" s="60"/>
      <c r="M2595" s="74" t="str">
        <f t="shared" si="323"/>
        <v/>
      </c>
      <c r="N2595" s="74" t="str">
        <f t="shared" si="324"/>
        <v/>
      </c>
      <c r="O2595" s="73" t="str">
        <f t="shared" si="325"/>
        <v/>
      </c>
      <c r="P2595" s="65" t="str">
        <f t="shared" ca="1" si="326"/>
        <v/>
      </c>
      <c r="Q2595" s="2"/>
      <c r="R2595" s="2"/>
      <c r="S2595" s="1" t="str">
        <f t="shared" si="327"/>
        <v/>
      </c>
      <c r="T2595" s="1" t="str">
        <f>IF(OR($C2595="",$D2595&lt;&gt;"Gelir",$L2595=""),"",IFERROR(INDEX(MUSTERILER!$B$7:$B$156,MATCH($S2595,MUSTERILER!$T$7:$T$156,0)),""))</f>
        <v/>
      </c>
      <c r="U2595" s="1" t="str">
        <f>IF($T2595="","",$T2595&amp;"|"&amp;COUNTIFS($T$7:$T2595,$T2595))</f>
        <v/>
      </c>
      <c r="V2595" s="1">
        <f t="shared" si="328"/>
        <v>0</v>
      </c>
      <c r="W2595" s="1" t="str">
        <f t="shared" si="329"/>
        <v/>
      </c>
      <c r="X2595" s="1"/>
      <c r="Y2595" s="1"/>
      <c r="Z2595" s="1"/>
      <c r="AA2595" s="1"/>
      <c r="AB2595" s="1"/>
      <c r="AC2595" s="1"/>
      <c r="AD2595" s="1">
        <f>IF($C2595="",0,SUMPRODUCT((AY_SONU!$O$7:$O$42="Evet")*(AY_SONU!$B$7:$B$42=DATE(YEAR($C2595),MONTH($C2595),1))))</f>
        <v>0</v>
      </c>
      <c r="AE2595" s="1" t="str">
        <f>IF($E2595="","",$E2595&amp;"|"&amp;COUNTIFS($E$7:$E2595,$E2595))</f>
        <v/>
      </c>
    </row>
    <row r="2596" spans="1:31" ht="18" customHeight="1" x14ac:dyDescent="0.3">
      <c r="A2596" s="2"/>
      <c r="B2596" s="65" t="str">
        <f t="shared" si="322"/>
        <v/>
      </c>
      <c r="C2596" s="66"/>
      <c r="D2596" s="60"/>
      <c r="E2596" s="61"/>
      <c r="F2596" s="61"/>
      <c r="G2596" s="67"/>
      <c r="H2596" s="60"/>
      <c r="I2596" s="60"/>
      <c r="J2596" s="61"/>
      <c r="K2596" s="61"/>
      <c r="L2596" s="60"/>
      <c r="M2596" s="74" t="str">
        <f t="shared" si="323"/>
        <v/>
      </c>
      <c r="N2596" s="74" t="str">
        <f t="shared" si="324"/>
        <v/>
      </c>
      <c r="O2596" s="73" t="str">
        <f t="shared" si="325"/>
        <v/>
      </c>
      <c r="P2596" s="65" t="str">
        <f t="shared" ca="1" si="326"/>
        <v/>
      </c>
      <c r="Q2596" s="2"/>
      <c r="R2596" s="2"/>
      <c r="S2596" s="1" t="str">
        <f t="shared" si="327"/>
        <v/>
      </c>
      <c r="T2596" s="1" t="str">
        <f>IF(OR($C2596="",$D2596&lt;&gt;"Gelir",$L2596=""),"",IFERROR(INDEX(MUSTERILER!$B$7:$B$156,MATCH($S2596,MUSTERILER!$T$7:$T$156,0)),""))</f>
        <v/>
      </c>
      <c r="U2596" s="1" t="str">
        <f>IF($T2596="","",$T2596&amp;"|"&amp;COUNTIFS($T$7:$T2596,$T2596))</f>
        <v/>
      </c>
      <c r="V2596" s="1">
        <f t="shared" si="328"/>
        <v>0</v>
      </c>
      <c r="W2596" s="1" t="str">
        <f t="shared" si="329"/>
        <v/>
      </c>
      <c r="X2596" s="1"/>
      <c r="Y2596" s="1"/>
      <c r="Z2596" s="1"/>
      <c r="AA2596" s="1"/>
      <c r="AB2596" s="1"/>
      <c r="AC2596" s="1"/>
      <c r="AD2596" s="1">
        <f>IF($C2596="",0,SUMPRODUCT((AY_SONU!$O$7:$O$42="Evet")*(AY_SONU!$B$7:$B$42=DATE(YEAR($C2596),MONTH($C2596),1))))</f>
        <v>0</v>
      </c>
      <c r="AE2596" s="1" t="str">
        <f>IF($E2596="","",$E2596&amp;"|"&amp;COUNTIFS($E$7:$E2596,$E2596))</f>
        <v/>
      </c>
    </row>
    <row r="2597" spans="1:31" ht="18" customHeight="1" x14ac:dyDescent="0.3">
      <c r="A2597" s="2"/>
      <c r="B2597" s="65" t="str">
        <f t="shared" si="322"/>
        <v/>
      </c>
      <c r="C2597" s="66"/>
      <c r="D2597" s="60"/>
      <c r="E2597" s="61"/>
      <c r="F2597" s="61"/>
      <c r="G2597" s="67"/>
      <c r="H2597" s="60"/>
      <c r="I2597" s="60"/>
      <c r="J2597" s="61"/>
      <c r="K2597" s="61"/>
      <c r="L2597" s="60"/>
      <c r="M2597" s="74" t="str">
        <f t="shared" si="323"/>
        <v/>
      </c>
      <c r="N2597" s="74" t="str">
        <f t="shared" si="324"/>
        <v/>
      </c>
      <c r="O2597" s="73" t="str">
        <f t="shared" si="325"/>
        <v/>
      </c>
      <c r="P2597" s="65" t="str">
        <f t="shared" ca="1" si="326"/>
        <v/>
      </c>
      <c r="Q2597" s="2"/>
      <c r="R2597" s="2"/>
      <c r="S2597" s="1" t="str">
        <f t="shared" si="327"/>
        <v/>
      </c>
      <c r="T2597" s="1" t="str">
        <f>IF(OR($C2597="",$D2597&lt;&gt;"Gelir",$L2597=""),"",IFERROR(INDEX(MUSTERILER!$B$7:$B$156,MATCH($S2597,MUSTERILER!$T$7:$T$156,0)),""))</f>
        <v/>
      </c>
      <c r="U2597" s="1" t="str">
        <f>IF($T2597="","",$T2597&amp;"|"&amp;COUNTIFS($T$7:$T2597,$T2597))</f>
        <v/>
      </c>
      <c r="V2597" s="1">
        <f t="shared" si="328"/>
        <v>0</v>
      </c>
      <c r="W2597" s="1" t="str">
        <f t="shared" si="329"/>
        <v/>
      </c>
      <c r="X2597" s="1"/>
      <c r="Y2597" s="1"/>
      <c r="Z2597" s="1"/>
      <c r="AA2597" s="1"/>
      <c r="AB2597" s="1"/>
      <c r="AC2597" s="1"/>
      <c r="AD2597" s="1">
        <f>IF($C2597="",0,SUMPRODUCT((AY_SONU!$O$7:$O$42="Evet")*(AY_SONU!$B$7:$B$42=DATE(YEAR($C2597),MONTH($C2597),1))))</f>
        <v>0</v>
      </c>
      <c r="AE2597" s="1" t="str">
        <f>IF($E2597="","",$E2597&amp;"|"&amp;COUNTIFS($E$7:$E2597,$E2597))</f>
        <v/>
      </c>
    </row>
    <row r="2598" spans="1:31" ht="18" customHeight="1" x14ac:dyDescent="0.3">
      <c r="A2598" s="2"/>
      <c r="B2598" s="65" t="str">
        <f t="shared" si="322"/>
        <v/>
      </c>
      <c r="C2598" s="66"/>
      <c r="D2598" s="60"/>
      <c r="E2598" s="61"/>
      <c r="F2598" s="61"/>
      <c r="G2598" s="67"/>
      <c r="H2598" s="60"/>
      <c r="I2598" s="60"/>
      <c r="J2598" s="61"/>
      <c r="K2598" s="61"/>
      <c r="L2598" s="60"/>
      <c r="M2598" s="74" t="str">
        <f t="shared" si="323"/>
        <v/>
      </c>
      <c r="N2598" s="74" t="str">
        <f t="shared" si="324"/>
        <v/>
      </c>
      <c r="O2598" s="73" t="str">
        <f t="shared" si="325"/>
        <v/>
      </c>
      <c r="P2598" s="65" t="str">
        <f t="shared" ca="1" si="326"/>
        <v/>
      </c>
      <c r="Q2598" s="2"/>
      <c r="R2598" s="2"/>
      <c r="S2598" s="1" t="str">
        <f t="shared" si="327"/>
        <v/>
      </c>
      <c r="T2598" s="1" t="str">
        <f>IF(OR($C2598="",$D2598&lt;&gt;"Gelir",$L2598=""),"",IFERROR(INDEX(MUSTERILER!$B$7:$B$156,MATCH($S2598,MUSTERILER!$T$7:$T$156,0)),""))</f>
        <v/>
      </c>
      <c r="U2598" s="1" t="str">
        <f>IF($T2598="","",$T2598&amp;"|"&amp;COUNTIFS($T$7:$T2598,$T2598))</f>
        <v/>
      </c>
      <c r="V2598" s="1">
        <f t="shared" si="328"/>
        <v>0</v>
      </c>
      <c r="W2598" s="1" t="str">
        <f t="shared" si="329"/>
        <v/>
      </c>
      <c r="X2598" s="1"/>
      <c r="Y2598" s="1"/>
      <c r="Z2598" s="1"/>
      <c r="AA2598" s="1"/>
      <c r="AB2598" s="1"/>
      <c r="AC2598" s="1"/>
      <c r="AD2598" s="1">
        <f>IF($C2598="",0,SUMPRODUCT((AY_SONU!$O$7:$O$42="Evet")*(AY_SONU!$B$7:$B$42=DATE(YEAR($C2598),MONTH($C2598),1))))</f>
        <v>0</v>
      </c>
      <c r="AE2598" s="1" t="str">
        <f>IF($E2598="","",$E2598&amp;"|"&amp;COUNTIFS($E$7:$E2598,$E2598))</f>
        <v/>
      </c>
    </row>
    <row r="2599" spans="1:31" ht="18" customHeight="1" x14ac:dyDescent="0.3">
      <c r="A2599" s="2"/>
      <c r="B2599" s="65" t="str">
        <f t="shared" si="322"/>
        <v/>
      </c>
      <c r="C2599" s="66"/>
      <c r="D2599" s="60"/>
      <c r="E2599" s="61"/>
      <c r="F2599" s="61"/>
      <c r="G2599" s="67"/>
      <c r="H2599" s="60"/>
      <c r="I2599" s="60"/>
      <c r="J2599" s="61"/>
      <c r="K2599" s="61"/>
      <c r="L2599" s="60"/>
      <c r="M2599" s="74" t="str">
        <f t="shared" si="323"/>
        <v/>
      </c>
      <c r="N2599" s="74" t="str">
        <f t="shared" si="324"/>
        <v/>
      </c>
      <c r="O2599" s="73" t="str">
        <f t="shared" si="325"/>
        <v/>
      </c>
      <c r="P2599" s="65" t="str">
        <f t="shared" ca="1" si="326"/>
        <v/>
      </c>
      <c r="Q2599" s="2"/>
      <c r="R2599" s="2"/>
      <c r="S2599" s="1" t="str">
        <f t="shared" si="327"/>
        <v/>
      </c>
      <c r="T2599" s="1" t="str">
        <f>IF(OR($C2599="",$D2599&lt;&gt;"Gelir",$L2599=""),"",IFERROR(INDEX(MUSTERILER!$B$7:$B$156,MATCH($S2599,MUSTERILER!$T$7:$T$156,0)),""))</f>
        <v/>
      </c>
      <c r="U2599" s="1" t="str">
        <f>IF($T2599="","",$T2599&amp;"|"&amp;COUNTIFS($T$7:$T2599,$T2599))</f>
        <v/>
      </c>
      <c r="V2599" s="1">
        <f t="shared" si="328"/>
        <v>0</v>
      </c>
      <c r="W2599" s="1" t="str">
        <f t="shared" si="329"/>
        <v/>
      </c>
      <c r="X2599" s="1"/>
      <c r="Y2599" s="1"/>
      <c r="Z2599" s="1"/>
      <c r="AA2599" s="1"/>
      <c r="AB2599" s="1"/>
      <c r="AC2599" s="1"/>
      <c r="AD2599" s="1">
        <f>IF($C2599="",0,SUMPRODUCT((AY_SONU!$O$7:$O$42="Evet")*(AY_SONU!$B$7:$B$42=DATE(YEAR($C2599),MONTH($C2599),1))))</f>
        <v>0</v>
      </c>
      <c r="AE2599" s="1" t="str">
        <f>IF($E2599="","",$E2599&amp;"|"&amp;COUNTIFS($E$7:$E2599,$E2599))</f>
        <v/>
      </c>
    </row>
    <row r="2600" spans="1:31" ht="18" customHeight="1" x14ac:dyDescent="0.3">
      <c r="A2600" s="2"/>
      <c r="B2600" s="65" t="str">
        <f t="shared" si="322"/>
        <v/>
      </c>
      <c r="C2600" s="66"/>
      <c r="D2600" s="60"/>
      <c r="E2600" s="61"/>
      <c r="F2600" s="61"/>
      <c r="G2600" s="67"/>
      <c r="H2600" s="60"/>
      <c r="I2600" s="60"/>
      <c r="J2600" s="61"/>
      <c r="K2600" s="61"/>
      <c r="L2600" s="60"/>
      <c r="M2600" s="74" t="str">
        <f t="shared" si="323"/>
        <v/>
      </c>
      <c r="N2600" s="74" t="str">
        <f t="shared" si="324"/>
        <v/>
      </c>
      <c r="O2600" s="73" t="str">
        <f t="shared" si="325"/>
        <v/>
      </c>
      <c r="P2600" s="65" t="str">
        <f t="shared" ca="1" si="326"/>
        <v/>
      </c>
      <c r="Q2600" s="2"/>
      <c r="R2600" s="2"/>
      <c r="S2600" s="1" t="str">
        <f t="shared" si="327"/>
        <v/>
      </c>
      <c r="T2600" s="1" t="str">
        <f>IF(OR($C2600="",$D2600&lt;&gt;"Gelir",$L2600=""),"",IFERROR(INDEX(MUSTERILER!$B$7:$B$156,MATCH($S2600,MUSTERILER!$T$7:$T$156,0)),""))</f>
        <v/>
      </c>
      <c r="U2600" s="1" t="str">
        <f>IF($T2600="","",$T2600&amp;"|"&amp;COUNTIFS($T$7:$T2600,$T2600))</f>
        <v/>
      </c>
      <c r="V2600" s="1">
        <f t="shared" si="328"/>
        <v>0</v>
      </c>
      <c r="W2600" s="1" t="str">
        <f t="shared" si="329"/>
        <v/>
      </c>
      <c r="X2600" s="1"/>
      <c r="Y2600" s="1"/>
      <c r="Z2600" s="1"/>
      <c r="AA2600" s="1"/>
      <c r="AB2600" s="1"/>
      <c r="AC2600" s="1"/>
      <c r="AD2600" s="1">
        <f>IF($C2600="",0,SUMPRODUCT((AY_SONU!$O$7:$O$42="Evet")*(AY_SONU!$B$7:$B$42=DATE(YEAR($C2600),MONTH($C2600),1))))</f>
        <v>0</v>
      </c>
      <c r="AE2600" s="1" t="str">
        <f>IF($E2600="","",$E2600&amp;"|"&amp;COUNTIFS($E$7:$E2600,$E2600))</f>
        <v/>
      </c>
    </row>
    <row r="2601" spans="1:31" ht="18" customHeight="1" x14ac:dyDescent="0.3">
      <c r="A2601" s="2"/>
      <c r="B2601" s="65" t="str">
        <f t="shared" si="322"/>
        <v/>
      </c>
      <c r="C2601" s="66"/>
      <c r="D2601" s="60"/>
      <c r="E2601" s="61"/>
      <c r="F2601" s="61"/>
      <c r="G2601" s="67"/>
      <c r="H2601" s="60"/>
      <c r="I2601" s="60"/>
      <c r="J2601" s="61"/>
      <c r="K2601" s="61"/>
      <c r="L2601" s="60"/>
      <c r="M2601" s="74" t="str">
        <f t="shared" si="323"/>
        <v/>
      </c>
      <c r="N2601" s="74" t="str">
        <f t="shared" si="324"/>
        <v/>
      </c>
      <c r="O2601" s="73" t="str">
        <f t="shared" si="325"/>
        <v/>
      </c>
      <c r="P2601" s="65" t="str">
        <f t="shared" ca="1" si="326"/>
        <v/>
      </c>
      <c r="Q2601" s="2"/>
      <c r="R2601" s="2"/>
      <c r="S2601" s="1" t="str">
        <f t="shared" si="327"/>
        <v/>
      </c>
      <c r="T2601" s="1" t="str">
        <f>IF(OR($C2601="",$D2601&lt;&gt;"Gelir",$L2601=""),"",IFERROR(INDEX(MUSTERILER!$B$7:$B$156,MATCH($S2601,MUSTERILER!$T$7:$T$156,0)),""))</f>
        <v/>
      </c>
      <c r="U2601" s="1" t="str">
        <f>IF($T2601="","",$T2601&amp;"|"&amp;COUNTIFS($T$7:$T2601,$T2601))</f>
        <v/>
      </c>
      <c r="V2601" s="1">
        <f t="shared" si="328"/>
        <v>0</v>
      </c>
      <c r="W2601" s="1" t="str">
        <f t="shared" si="329"/>
        <v/>
      </c>
      <c r="X2601" s="1"/>
      <c r="Y2601" s="1"/>
      <c r="Z2601" s="1"/>
      <c r="AA2601" s="1"/>
      <c r="AB2601" s="1"/>
      <c r="AC2601" s="1"/>
      <c r="AD2601" s="1">
        <f>IF($C2601="",0,SUMPRODUCT((AY_SONU!$O$7:$O$42="Evet")*(AY_SONU!$B$7:$B$42=DATE(YEAR($C2601),MONTH($C2601),1))))</f>
        <v>0</v>
      </c>
      <c r="AE2601" s="1" t="str">
        <f>IF($E2601="","",$E2601&amp;"|"&amp;COUNTIFS($E$7:$E2601,$E2601))</f>
        <v/>
      </c>
    </row>
    <row r="2602" spans="1:31" ht="18" customHeight="1" x14ac:dyDescent="0.3">
      <c r="A2602" s="2"/>
      <c r="B2602" s="65" t="str">
        <f t="shared" si="322"/>
        <v/>
      </c>
      <c r="C2602" s="66"/>
      <c r="D2602" s="60"/>
      <c r="E2602" s="61"/>
      <c r="F2602" s="61"/>
      <c r="G2602" s="67"/>
      <c r="H2602" s="60"/>
      <c r="I2602" s="60"/>
      <c r="J2602" s="61"/>
      <c r="K2602" s="61"/>
      <c r="L2602" s="60"/>
      <c r="M2602" s="74" t="str">
        <f t="shared" si="323"/>
        <v/>
      </c>
      <c r="N2602" s="74" t="str">
        <f t="shared" si="324"/>
        <v/>
      </c>
      <c r="O2602" s="73" t="str">
        <f t="shared" si="325"/>
        <v/>
      </c>
      <c r="P2602" s="65" t="str">
        <f t="shared" ca="1" si="326"/>
        <v/>
      </c>
      <c r="Q2602" s="2"/>
      <c r="R2602" s="2"/>
      <c r="S2602" s="1" t="str">
        <f t="shared" si="327"/>
        <v/>
      </c>
      <c r="T2602" s="1" t="str">
        <f>IF(OR($C2602="",$D2602&lt;&gt;"Gelir",$L2602=""),"",IFERROR(INDEX(MUSTERILER!$B$7:$B$156,MATCH($S2602,MUSTERILER!$T$7:$T$156,0)),""))</f>
        <v/>
      </c>
      <c r="U2602" s="1" t="str">
        <f>IF($T2602="","",$T2602&amp;"|"&amp;COUNTIFS($T$7:$T2602,$T2602))</f>
        <v/>
      </c>
      <c r="V2602" s="1">
        <f t="shared" si="328"/>
        <v>0</v>
      </c>
      <c r="W2602" s="1" t="str">
        <f t="shared" si="329"/>
        <v/>
      </c>
      <c r="X2602" s="1"/>
      <c r="Y2602" s="1"/>
      <c r="Z2602" s="1"/>
      <c r="AA2602" s="1"/>
      <c r="AB2602" s="1"/>
      <c r="AC2602" s="1"/>
      <c r="AD2602" s="1">
        <f>IF($C2602="",0,SUMPRODUCT((AY_SONU!$O$7:$O$42="Evet")*(AY_SONU!$B$7:$B$42=DATE(YEAR($C2602),MONTH($C2602),1))))</f>
        <v>0</v>
      </c>
      <c r="AE2602" s="1" t="str">
        <f>IF($E2602="","",$E2602&amp;"|"&amp;COUNTIFS($E$7:$E2602,$E2602))</f>
        <v/>
      </c>
    </row>
    <row r="2603" spans="1:31" ht="18" customHeight="1" x14ac:dyDescent="0.3">
      <c r="A2603" s="2"/>
      <c r="B2603" s="65" t="str">
        <f t="shared" si="322"/>
        <v/>
      </c>
      <c r="C2603" s="66"/>
      <c r="D2603" s="60"/>
      <c r="E2603" s="61"/>
      <c r="F2603" s="61"/>
      <c r="G2603" s="67"/>
      <c r="H2603" s="60"/>
      <c r="I2603" s="60"/>
      <c r="J2603" s="61"/>
      <c r="K2603" s="61"/>
      <c r="L2603" s="60"/>
      <c r="M2603" s="74" t="str">
        <f t="shared" si="323"/>
        <v/>
      </c>
      <c r="N2603" s="74" t="str">
        <f t="shared" si="324"/>
        <v/>
      </c>
      <c r="O2603" s="73" t="str">
        <f t="shared" si="325"/>
        <v/>
      </c>
      <c r="P2603" s="65" t="str">
        <f t="shared" ca="1" si="326"/>
        <v/>
      </c>
      <c r="Q2603" s="2"/>
      <c r="R2603" s="2"/>
      <c r="S2603" s="1" t="str">
        <f t="shared" si="327"/>
        <v/>
      </c>
      <c r="T2603" s="1" t="str">
        <f>IF(OR($C2603="",$D2603&lt;&gt;"Gelir",$L2603=""),"",IFERROR(INDEX(MUSTERILER!$B$7:$B$156,MATCH($S2603,MUSTERILER!$T$7:$T$156,0)),""))</f>
        <v/>
      </c>
      <c r="U2603" s="1" t="str">
        <f>IF($T2603="","",$T2603&amp;"|"&amp;COUNTIFS($T$7:$T2603,$T2603))</f>
        <v/>
      </c>
      <c r="V2603" s="1">
        <f t="shared" si="328"/>
        <v>0</v>
      </c>
      <c r="W2603" s="1" t="str">
        <f t="shared" si="329"/>
        <v/>
      </c>
      <c r="X2603" s="1"/>
      <c r="Y2603" s="1"/>
      <c r="Z2603" s="1"/>
      <c r="AA2603" s="1"/>
      <c r="AB2603" s="1"/>
      <c r="AC2603" s="1"/>
      <c r="AD2603" s="1">
        <f>IF($C2603="",0,SUMPRODUCT((AY_SONU!$O$7:$O$42="Evet")*(AY_SONU!$B$7:$B$42=DATE(YEAR($C2603),MONTH($C2603),1))))</f>
        <v>0</v>
      </c>
      <c r="AE2603" s="1" t="str">
        <f>IF($E2603="","",$E2603&amp;"|"&amp;COUNTIFS($E$7:$E2603,$E2603))</f>
        <v/>
      </c>
    </row>
    <row r="2604" spans="1:31" ht="18" customHeight="1" x14ac:dyDescent="0.3">
      <c r="A2604" s="2"/>
      <c r="B2604" s="65" t="str">
        <f t="shared" si="322"/>
        <v/>
      </c>
      <c r="C2604" s="66"/>
      <c r="D2604" s="60"/>
      <c r="E2604" s="61"/>
      <c r="F2604" s="61"/>
      <c r="G2604" s="67"/>
      <c r="H2604" s="60"/>
      <c r="I2604" s="60"/>
      <c r="J2604" s="61"/>
      <c r="K2604" s="61"/>
      <c r="L2604" s="60"/>
      <c r="M2604" s="74" t="str">
        <f t="shared" si="323"/>
        <v/>
      </c>
      <c r="N2604" s="74" t="str">
        <f t="shared" si="324"/>
        <v/>
      </c>
      <c r="O2604" s="73" t="str">
        <f t="shared" si="325"/>
        <v/>
      </c>
      <c r="P2604" s="65" t="str">
        <f t="shared" ca="1" si="326"/>
        <v/>
      </c>
      <c r="Q2604" s="2"/>
      <c r="R2604" s="2"/>
      <c r="S2604" s="1" t="str">
        <f t="shared" si="327"/>
        <v/>
      </c>
      <c r="T2604" s="1" t="str">
        <f>IF(OR($C2604="",$D2604&lt;&gt;"Gelir",$L2604=""),"",IFERROR(INDEX(MUSTERILER!$B$7:$B$156,MATCH($S2604,MUSTERILER!$T$7:$T$156,0)),""))</f>
        <v/>
      </c>
      <c r="U2604" s="1" t="str">
        <f>IF($T2604="","",$T2604&amp;"|"&amp;COUNTIFS($T$7:$T2604,$T2604))</f>
        <v/>
      </c>
      <c r="V2604" s="1">
        <f t="shared" si="328"/>
        <v>0</v>
      </c>
      <c r="W2604" s="1" t="str">
        <f t="shared" si="329"/>
        <v/>
      </c>
      <c r="X2604" s="1"/>
      <c r="Y2604" s="1"/>
      <c r="Z2604" s="1"/>
      <c r="AA2604" s="1"/>
      <c r="AB2604" s="1"/>
      <c r="AC2604" s="1"/>
      <c r="AD2604" s="1">
        <f>IF($C2604="",0,SUMPRODUCT((AY_SONU!$O$7:$O$42="Evet")*(AY_SONU!$B$7:$B$42=DATE(YEAR($C2604),MONTH($C2604),1))))</f>
        <v>0</v>
      </c>
      <c r="AE2604" s="1" t="str">
        <f>IF($E2604="","",$E2604&amp;"|"&amp;COUNTIFS($E$7:$E2604,$E2604))</f>
        <v/>
      </c>
    </row>
    <row r="2605" spans="1:31" ht="18" customHeight="1" x14ac:dyDescent="0.3">
      <c r="A2605" s="2"/>
      <c r="B2605" s="65" t="str">
        <f t="shared" si="322"/>
        <v/>
      </c>
      <c r="C2605" s="66"/>
      <c r="D2605" s="60"/>
      <c r="E2605" s="61"/>
      <c r="F2605" s="61"/>
      <c r="G2605" s="67"/>
      <c r="H2605" s="60"/>
      <c r="I2605" s="60"/>
      <c r="J2605" s="61"/>
      <c r="K2605" s="61"/>
      <c r="L2605" s="60"/>
      <c r="M2605" s="74" t="str">
        <f t="shared" si="323"/>
        <v/>
      </c>
      <c r="N2605" s="74" t="str">
        <f t="shared" si="324"/>
        <v/>
      </c>
      <c r="O2605" s="73" t="str">
        <f t="shared" si="325"/>
        <v/>
      </c>
      <c r="P2605" s="65" t="str">
        <f t="shared" ca="1" si="326"/>
        <v/>
      </c>
      <c r="Q2605" s="2"/>
      <c r="R2605" s="2"/>
      <c r="S2605" s="1" t="str">
        <f t="shared" si="327"/>
        <v/>
      </c>
      <c r="T2605" s="1" t="str">
        <f>IF(OR($C2605="",$D2605&lt;&gt;"Gelir",$L2605=""),"",IFERROR(INDEX(MUSTERILER!$B$7:$B$156,MATCH($S2605,MUSTERILER!$T$7:$T$156,0)),""))</f>
        <v/>
      </c>
      <c r="U2605" s="1" t="str">
        <f>IF($T2605="","",$T2605&amp;"|"&amp;COUNTIFS($T$7:$T2605,$T2605))</f>
        <v/>
      </c>
      <c r="V2605" s="1">
        <f t="shared" si="328"/>
        <v>0</v>
      </c>
      <c r="W2605" s="1" t="str">
        <f t="shared" si="329"/>
        <v/>
      </c>
      <c r="X2605" s="1"/>
      <c r="Y2605" s="1"/>
      <c r="Z2605" s="1"/>
      <c r="AA2605" s="1"/>
      <c r="AB2605" s="1"/>
      <c r="AC2605" s="1"/>
      <c r="AD2605" s="1">
        <f>IF($C2605="",0,SUMPRODUCT((AY_SONU!$O$7:$O$42="Evet")*(AY_SONU!$B$7:$B$42=DATE(YEAR($C2605),MONTH($C2605),1))))</f>
        <v>0</v>
      </c>
      <c r="AE2605" s="1" t="str">
        <f>IF($E2605="","",$E2605&amp;"|"&amp;COUNTIFS($E$7:$E2605,$E2605))</f>
        <v/>
      </c>
    </row>
    <row r="2606" spans="1:31" ht="18" customHeight="1" x14ac:dyDescent="0.3">
      <c r="A2606" s="2"/>
      <c r="B2606" s="65" t="str">
        <f t="shared" si="322"/>
        <v/>
      </c>
      <c r="C2606" s="66"/>
      <c r="D2606" s="60"/>
      <c r="E2606" s="61"/>
      <c r="F2606" s="61"/>
      <c r="G2606" s="67"/>
      <c r="H2606" s="60"/>
      <c r="I2606" s="60"/>
      <c r="J2606" s="61"/>
      <c r="K2606" s="61"/>
      <c r="L2606" s="60"/>
      <c r="M2606" s="74" t="str">
        <f t="shared" si="323"/>
        <v/>
      </c>
      <c r="N2606" s="74" t="str">
        <f t="shared" si="324"/>
        <v/>
      </c>
      <c r="O2606" s="73" t="str">
        <f t="shared" si="325"/>
        <v/>
      </c>
      <c r="P2606" s="65" t="str">
        <f t="shared" ca="1" si="326"/>
        <v/>
      </c>
      <c r="Q2606" s="2"/>
      <c r="R2606" s="2"/>
      <c r="S2606" s="1" t="str">
        <f t="shared" si="327"/>
        <v/>
      </c>
      <c r="T2606" s="1" t="str">
        <f>IF(OR($C2606="",$D2606&lt;&gt;"Gelir",$L2606=""),"",IFERROR(INDEX(MUSTERILER!$B$7:$B$156,MATCH($S2606,MUSTERILER!$T$7:$T$156,0)),""))</f>
        <v/>
      </c>
      <c r="U2606" s="1" t="str">
        <f>IF($T2606="","",$T2606&amp;"|"&amp;COUNTIFS($T$7:$T2606,$T2606))</f>
        <v/>
      </c>
      <c r="V2606" s="1">
        <f t="shared" si="328"/>
        <v>0</v>
      </c>
      <c r="W2606" s="1" t="str">
        <f t="shared" si="329"/>
        <v/>
      </c>
      <c r="X2606" s="1"/>
      <c r="Y2606" s="1"/>
      <c r="Z2606" s="1"/>
      <c r="AA2606" s="1"/>
      <c r="AB2606" s="1"/>
      <c r="AC2606" s="1"/>
      <c r="AD2606" s="1">
        <f>IF($C2606="",0,SUMPRODUCT((AY_SONU!$O$7:$O$42="Evet")*(AY_SONU!$B$7:$B$42=DATE(YEAR($C2606),MONTH($C2606),1))))</f>
        <v>0</v>
      </c>
      <c r="AE2606" s="1" t="str">
        <f>IF($E2606="","",$E2606&amp;"|"&amp;COUNTIFS($E$7:$E2606,$E2606))</f>
        <v/>
      </c>
    </row>
    <row r="2607" spans="1:31" ht="18" customHeight="1" x14ac:dyDescent="0.3">
      <c r="A2607" s="2"/>
      <c r="B2607" s="65" t="str">
        <f t="shared" si="322"/>
        <v/>
      </c>
      <c r="C2607" s="66"/>
      <c r="D2607" s="60"/>
      <c r="E2607" s="61"/>
      <c r="F2607" s="61"/>
      <c r="G2607" s="67"/>
      <c r="H2607" s="60"/>
      <c r="I2607" s="60"/>
      <c r="J2607" s="61"/>
      <c r="K2607" s="61"/>
      <c r="L2607" s="60"/>
      <c r="M2607" s="74" t="str">
        <f t="shared" si="323"/>
        <v/>
      </c>
      <c r="N2607" s="74" t="str">
        <f t="shared" si="324"/>
        <v/>
      </c>
      <c r="O2607" s="73" t="str">
        <f t="shared" si="325"/>
        <v/>
      </c>
      <c r="P2607" s="65" t="str">
        <f t="shared" ca="1" si="326"/>
        <v/>
      </c>
      <c r="Q2607" s="2"/>
      <c r="R2607" s="2"/>
      <c r="S2607" s="1" t="str">
        <f t="shared" si="327"/>
        <v/>
      </c>
      <c r="T2607" s="1" t="str">
        <f>IF(OR($C2607="",$D2607&lt;&gt;"Gelir",$L2607=""),"",IFERROR(INDEX(MUSTERILER!$B$7:$B$156,MATCH($S2607,MUSTERILER!$T$7:$T$156,0)),""))</f>
        <v/>
      </c>
      <c r="U2607" s="1" t="str">
        <f>IF($T2607="","",$T2607&amp;"|"&amp;COUNTIFS($T$7:$T2607,$T2607))</f>
        <v/>
      </c>
      <c r="V2607" s="1">
        <f t="shared" si="328"/>
        <v>0</v>
      </c>
      <c r="W2607" s="1" t="str">
        <f t="shared" si="329"/>
        <v/>
      </c>
      <c r="X2607" s="1"/>
      <c r="Y2607" s="1"/>
      <c r="Z2607" s="1"/>
      <c r="AA2607" s="1"/>
      <c r="AB2607" s="1"/>
      <c r="AC2607" s="1"/>
      <c r="AD2607" s="1">
        <f>IF($C2607="",0,SUMPRODUCT((AY_SONU!$O$7:$O$42="Evet")*(AY_SONU!$B$7:$B$42=DATE(YEAR($C2607),MONTH($C2607),1))))</f>
        <v>0</v>
      </c>
      <c r="AE2607" s="1" t="str">
        <f>IF($E2607="","",$E2607&amp;"|"&amp;COUNTIFS($E$7:$E2607,$E2607))</f>
        <v/>
      </c>
    </row>
    <row r="2608" spans="1:31" ht="18" customHeight="1" x14ac:dyDescent="0.3">
      <c r="A2608" s="2"/>
      <c r="B2608" s="65" t="str">
        <f t="shared" si="322"/>
        <v/>
      </c>
      <c r="C2608" s="66"/>
      <c r="D2608" s="60"/>
      <c r="E2608" s="61"/>
      <c r="F2608" s="61"/>
      <c r="G2608" s="67"/>
      <c r="H2608" s="60"/>
      <c r="I2608" s="60"/>
      <c r="J2608" s="61"/>
      <c r="K2608" s="61"/>
      <c r="L2608" s="60"/>
      <c r="M2608" s="74" t="str">
        <f t="shared" si="323"/>
        <v/>
      </c>
      <c r="N2608" s="74" t="str">
        <f t="shared" si="324"/>
        <v/>
      </c>
      <c r="O2608" s="73" t="str">
        <f t="shared" si="325"/>
        <v/>
      </c>
      <c r="P2608" s="65" t="str">
        <f t="shared" ca="1" si="326"/>
        <v/>
      </c>
      <c r="Q2608" s="2"/>
      <c r="R2608" s="2"/>
      <c r="S2608" s="1" t="str">
        <f t="shared" si="327"/>
        <v/>
      </c>
      <c r="T2608" s="1" t="str">
        <f>IF(OR($C2608="",$D2608&lt;&gt;"Gelir",$L2608=""),"",IFERROR(INDEX(MUSTERILER!$B$7:$B$156,MATCH($S2608,MUSTERILER!$T$7:$T$156,0)),""))</f>
        <v/>
      </c>
      <c r="U2608" s="1" t="str">
        <f>IF($T2608="","",$T2608&amp;"|"&amp;COUNTIFS($T$7:$T2608,$T2608))</f>
        <v/>
      </c>
      <c r="V2608" s="1">
        <f t="shared" si="328"/>
        <v>0</v>
      </c>
      <c r="W2608" s="1" t="str">
        <f t="shared" si="329"/>
        <v/>
      </c>
      <c r="X2608" s="1"/>
      <c r="Y2608" s="1"/>
      <c r="Z2608" s="1"/>
      <c r="AA2608" s="1"/>
      <c r="AB2608" s="1"/>
      <c r="AC2608" s="1"/>
      <c r="AD2608" s="1">
        <f>IF($C2608="",0,SUMPRODUCT((AY_SONU!$O$7:$O$42="Evet")*(AY_SONU!$B$7:$B$42=DATE(YEAR($C2608),MONTH($C2608),1))))</f>
        <v>0</v>
      </c>
      <c r="AE2608" s="1" t="str">
        <f>IF($E2608="","",$E2608&amp;"|"&amp;COUNTIFS($E$7:$E2608,$E2608))</f>
        <v/>
      </c>
    </row>
    <row r="2609" spans="1:31" ht="18" customHeight="1" x14ac:dyDescent="0.3">
      <c r="A2609" s="2"/>
      <c r="B2609" s="65" t="str">
        <f t="shared" si="322"/>
        <v/>
      </c>
      <c r="C2609" s="66"/>
      <c r="D2609" s="60"/>
      <c r="E2609" s="61"/>
      <c r="F2609" s="61"/>
      <c r="G2609" s="67"/>
      <c r="H2609" s="60"/>
      <c r="I2609" s="60"/>
      <c r="J2609" s="61"/>
      <c r="K2609" s="61"/>
      <c r="L2609" s="60"/>
      <c r="M2609" s="74" t="str">
        <f t="shared" si="323"/>
        <v/>
      </c>
      <c r="N2609" s="74" t="str">
        <f t="shared" si="324"/>
        <v/>
      </c>
      <c r="O2609" s="73" t="str">
        <f t="shared" si="325"/>
        <v/>
      </c>
      <c r="P2609" s="65" t="str">
        <f t="shared" ca="1" si="326"/>
        <v/>
      </c>
      <c r="Q2609" s="2"/>
      <c r="R2609" s="2"/>
      <c r="S2609" s="1" t="str">
        <f t="shared" si="327"/>
        <v/>
      </c>
      <c r="T2609" s="1" t="str">
        <f>IF(OR($C2609="",$D2609&lt;&gt;"Gelir",$L2609=""),"",IFERROR(INDEX(MUSTERILER!$B$7:$B$156,MATCH($S2609,MUSTERILER!$T$7:$T$156,0)),""))</f>
        <v/>
      </c>
      <c r="U2609" s="1" t="str">
        <f>IF($T2609="","",$T2609&amp;"|"&amp;COUNTIFS($T$7:$T2609,$T2609))</f>
        <v/>
      </c>
      <c r="V2609" s="1">
        <f t="shared" si="328"/>
        <v>0</v>
      </c>
      <c r="W2609" s="1" t="str">
        <f t="shared" si="329"/>
        <v/>
      </c>
      <c r="X2609" s="1"/>
      <c r="Y2609" s="1"/>
      <c r="Z2609" s="1"/>
      <c r="AA2609" s="1"/>
      <c r="AB2609" s="1"/>
      <c r="AC2609" s="1"/>
      <c r="AD2609" s="1">
        <f>IF($C2609="",0,SUMPRODUCT((AY_SONU!$O$7:$O$42="Evet")*(AY_SONU!$B$7:$B$42=DATE(YEAR($C2609),MONTH($C2609),1))))</f>
        <v>0</v>
      </c>
      <c r="AE2609" s="1" t="str">
        <f>IF($E2609="","",$E2609&amp;"|"&amp;COUNTIFS($E$7:$E2609,$E2609))</f>
        <v/>
      </c>
    </row>
    <row r="2610" spans="1:31" ht="18" customHeight="1" x14ac:dyDescent="0.3">
      <c r="A2610" s="2"/>
      <c r="B2610" s="65" t="str">
        <f t="shared" si="322"/>
        <v/>
      </c>
      <c r="C2610" s="66"/>
      <c r="D2610" s="60"/>
      <c r="E2610" s="61"/>
      <c r="F2610" s="61"/>
      <c r="G2610" s="67"/>
      <c r="H2610" s="60"/>
      <c r="I2610" s="60"/>
      <c r="J2610" s="61"/>
      <c r="K2610" s="61"/>
      <c r="L2610" s="60"/>
      <c r="M2610" s="74" t="str">
        <f t="shared" si="323"/>
        <v/>
      </c>
      <c r="N2610" s="74" t="str">
        <f t="shared" si="324"/>
        <v/>
      </c>
      <c r="O2610" s="73" t="str">
        <f t="shared" si="325"/>
        <v/>
      </c>
      <c r="P2610" s="65" t="str">
        <f t="shared" ca="1" si="326"/>
        <v/>
      </c>
      <c r="Q2610" s="2"/>
      <c r="R2610" s="2"/>
      <c r="S2610" s="1" t="str">
        <f t="shared" si="327"/>
        <v/>
      </c>
      <c r="T2610" s="1" t="str">
        <f>IF(OR($C2610="",$D2610&lt;&gt;"Gelir",$L2610=""),"",IFERROR(INDEX(MUSTERILER!$B$7:$B$156,MATCH($S2610,MUSTERILER!$T$7:$T$156,0)),""))</f>
        <v/>
      </c>
      <c r="U2610" s="1" t="str">
        <f>IF($T2610="","",$T2610&amp;"|"&amp;COUNTIFS($T$7:$T2610,$T2610))</f>
        <v/>
      </c>
      <c r="V2610" s="1">
        <f t="shared" si="328"/>
        <v>0</v>
      </c>
      <c r="W2610" s="1" t="str">
        <f t="shared" si="329"/>
        <v/>
      </c>
      <c r="X2610" s="1"/>
      <c r="Y2610" s="1"/>
      <c r="Z2610" s="1"/>
      <c r="AA2610" s="1"/>
      <c r="AB2610" s="1"/>
      <c r="AC2610" s="1"/>
      <c r="AD2610" s="1">
        <f>IF($C2610="",0,SUMPRODUCT((AY_SONU!$O$7:$O$42="Evet")*(AY_SONU!$B$7:$B$42=DATE(YEAR($C2610),MONTH($C2610),1))))</f>
        <v>0</v>
      </c>
      <c r="AE2610" s="1" t="str">
        <f>IF($E2610="","",$E2610&amp;"|"&amp;COUNTIFS($E$7:$E2610,$E2610))</f>
        <v/>
      </c>
    </row>
    <row r="2611" spans="1:31" ht="18" customHeight="1" x14ac:dyDescent="0.3">
      <c r="A2611" s="2"/>
      <c r="B2611" s="65" t="str">
        <f t="shared" si="322"/>
        <v/>
      </c>
      <c r="C2611" s="66"/>
      <c r="D2611" s="60"/>
      <c r="E2611" s="61"/>
      <c r="F2611" s="61"/>
      <c r="G2611" s="67"/>
      <c r="H2611" s="60"/>
      <c r="I2611" s="60"/>
      <c r="J2611" s="61"/>
      <c r="K2611" s="61"/>
      <c r="L2611" s="60"/>
      <c r="M2611" s="74" t="str">
        <f t="shared" si="323"/>
        <v/>
      </c>
      <c r="N2611" s="74" t="str">
        <f t="shared" si="324"/>
        <v/>
      </c>
      <c r="O2611" s="73" t="str">
        <f t="shared" si="325"/>
        <v/>
      </c>
      <c r="P2611" s="65" t="str">
        <f t="shared" ca="1" si="326"/>
        <v/>
      </c>
      <c r="Q2611" s="2"/>
      <c r="R2611" s="2"/>
      <c r="S2611" s="1" t="str">
        <f t="shared" si="327"/>
        <v/>
      </c>
      <c r="T2611" s="1" t="str">
        <f>IF(OR($C2611="",$D2611&lt;&gt;"Gelir",$L2611=""),"",IFERROR(INDEX(MUSTERILER!$B$7:$B$156,MATCH($S2611,MUSTERILER!$T$7:$T$156,0)),""))</f>
        <v/>
      </c>
      <c r="U2611" s="1" t="str">
        <f>IF($T2611="","",$T2611&amp;"|"&amp;COUNTIFS($T$7:$T2611,$T2611))</f>
        <v/>
      </c>
      <c r="V2611" s="1">
        <f t="shared" si="328"/>
        <v>0</v>
      </c>
      <c r="W2611" s="1" t="str">
        <f t="shared" si="329"/>
        <v/>
      </c>
      <c r="X2611" s="1"/>
      <c r="Y2611" s="1"/>
      <c r="Z2611" s="1"/>
      <c r="AA2611" s="1"/>
      <c r="AB2611" s="1"/>
      <c r="AC2611" s="1"/>
      <c r="AD2611" s="1">
        <f>IF($C2611="",0,SUMPRODUCT((AY_SONU!$O$7:$O$42="Evet")*(AY_SONU!$B$7:$B$42=DATE(YEAR($C2611),MONTH($C2611),1))))</f>
        <v>0</v>
      </c>
      <c r="AE2611" s="1" t="str">
        <f>IF($E2611="","",$E2611&amp;"|"&amp;COUNTIFS($E$7:$E2611,$E2611))</f>
        <v/>
      </c>
    </row>
    <row r="2612" spans="1:31" ht="18" customHeight="1" x14ac:dyDescent="0.3">
      <c r="A2612" s="2"/>
      <c r="B2612" s="65" t="str">
        <f t="shared" si="322"/>
        <v/>
      </c>
      <c r="C2612" s="66"/>
      <c r="D2612" s="60"/>
      <c r="E2612" s="61"/>
      <c r="F2612" s="61"/>
      <c r="G2612" s="67"/>
      <c r="H2612" s="60"/>
      <c r="I2612" s="60"/>
      <c r="J2612" s="61"/>
      <c r="K2612" s="61"/>
      <c r="L2612" s="60"/>
      <c r="M2612" s="74" t="str">
        <f t="shared" si="323"/>
        <v/>
      </c>
      <c r="N2612" s="74" t="str">
        <f t="shared" si="324"/>
        <v/>
      </c>
      <c r="O2612" s="73" t="str">
        <f t="shared" si="325"/>
        <v/>
      </c>
      <c r="P2612" s="65" t="str">
        <f t="shared" ca="1" si="326"/>
        <v/>
      </c>
      <c r="Q2612" s="2"/>
      <c r="R2612" s="2"/>
      <c r="S2612" s="1" t="str">
        <f t="shared" si="327"/>
        <v/>
      </c>
      <c r="T2612" s="1" t="str">
        <f>IF(OR($C2612="",$D2612&lt;&gt;"Gelir",$L2612=""),"",IFERROR(INDEX(MUSTERILER!$B$7:$B$156,MATCH($S2612,MUSTERILER!$T$7:$T$156,0)),""))</f>
        <v/>
      </c>
      <c r="U2612" s="1" t="str">
        <f>IF($T2612="","",$T2612&amp;"|"&amp;COUNTIFS($T$7:$T2612,$T2612))</f>
        <v/>
      </c>
      <c r="V2612" s="1">
        <f t="shared" si="328"/>
        <v>0</v>
      </c>
      <c r="W2612" s="1" t="str">
        <f t="shared" si="329"/>
        <v/>
      </c>
      <c r="X2612" s="1"/>
      <c r="Y2612" s="1"/>
      <c r="Z2612" s="1"/>
      <c r="AA2612" s="1"/>
      <c r="AB2612" s="1"/>
      <c r="AC2612" s="1"/>
      <c r="AD2612" s="1">
        <f>IF($C2612="",0,SUMPRODUCT((AY_SONU!$O$7:$O$42="Evet")*(AY_SONU!$B$7:$B$42=DATE(YEAR($C2612),MONTH($C2612),1))))</f>
        <v>0</v>
      </c>
      <c r="AE2612" s="1" t="str">
        <f>IF($E2612="","",$E2612&amp;"|"&amp;COUNTIFS($E$7:$E2612,$E2612))</f>
        <v/>
      </c>
    </row>
    <row r="2613" spans="1:31" ht="18" customHeight="1" x14ac:dyDescent="0.3">
      <c r="A2613" s="2"/>
      <c r="B2613" s="65" t="str">
        <f t="shared" si="322"/>
        <v/>
      </c>
      <c r="C2613" s="66"/>
      <c r="D2613" s="60"/>
      <c r="E2613" s="61"/>
      <c r="F2613" s="61"/>
      <c r="G2613" s="67"/>
      <c r="H2613" s="60"/>
      <c r="I2613" s="60"/>
      <c r="J2613" s="61"/>
      <c r="K2613" s="61"/>
      <c r="L2613" s="60"/>
      <c r="M2613" s="74" t="str">
        <f t="shared" si="323"/>
        <v/>
      </c>
      <c r="N2613" s="74" t="str">
        <f t="shared" si="324"/>
        <v/>
      </c>
      <c r="O2613" s="73" t="str">
        <f t="shared" si="325"/>
        <v/>
      </c>
      <c r="P2613" s="65" t="str">
        <f t="shared" ca="1" si="326"/>
        <v/>
      </c>
      <c r="Q2613" s="2"/>
      <c r="R2613" s="2"/>
      <c r="S2613" s="1" t="str">
        <f t="shared" si="327"/>
        <v/>
      </c>
      <c r="T2613" s="1" t="str">
        <f>IF(OR($C2613="",$D2613&lt;&gt;"Gelir",$L2613=""),"",IFERROR(INDEX(MUSTERILER!$B$7:$B$156,MATCH($S2613,MUSTERILER!$T$7:$T$156,0)),""))</f>
        <v/>
      </c>
      <c r="U2613" s="1" t="str">
        <f>IF($T2613="","",$T2613&amp;"|"&amp;COUNTIFS($T$7:$T2613,$T2613))</f>
        <v/>
      </c>
      <c r="V2613" s="1">
        <f t="shared" si="328"/>
        <v>0</v>
      </c>
      <c r="W2613" s="1" t="str">
        <f t="shared" si="329"/>
        <v/>
      </c>
      <c r="X2613" s="1"/>
      <c r="Y2613" s="1"/>
      <c r="Z2613" s="1"/>
      <c r="AA2613" s="1"/>
      <c r="AB2613" s="1"/>
      <c r="AC2613" s="1"/>
      <c r="AD2613" s="1">
        <f>IF($C2613="",0,SUMPRODUCT((AY_SONU!$O$7:$O$42="Evet")*(AY_SONU!$B$7:$B$42=DATE(YEAR($C2613),MONTH($C2613),1))))</f>
        <v>0</v>
      </c>
      <c r="AE2613" s="1" t="str">
        <f>IF($E2613="","",$E2613&amp;"|"&amp;COUNTIFS($E$7:$E2613,$E2613))</f>
        <v/>
      </c>
    </row>
    <row r="2614" spans="1:31" ht="18" customHeight="1" x14ac:dyDescent="0.3">
      <c r="A2614" s="2"/>
      <c r="B2614" s="65" t="str">
        <f t="shared" si="322"/>
        <v/>
      </c>
      <c r="C2614" s="66"/>
      <c r="D2614" s="60"/>
      <c r="E2614" s="61"/>
      <c r="F2614" s="61"/>
      <c r="G2614" s="67"/>
      <c r="H2614" s="60"/>
      <c r="I2614" s="60"/>
      <c r="J2614" s="61"/>
      <c r="K2614" s="61"/>
      <c r="L2614" s="60"/>
      <c r="M2614" s="74" t="str">
        <f t="shared" si="323"/>
        <v/>
      </c>
      <c r="N2614" s="74" t="str">
        <f t="shared" si="324"/>
        <v/>
      </c>
      <c r="O2614" s="73" t="str">
        <f t="shared" si="325"/>
        <v/>
      </c>
      <c r="P2614" s="65" t="str">
        <f t="shared" ca="1" si="326"/>
        <v/>
      </c>
      <c r="Q2614" s="2"/>
      <c r="R2614" s="2"/>
      <c r="S2614" s="1" t="str">
        <f t="shared" si="327"/>
        <v/>
      </c>
      <c r="T2614" s="1" t="str">
        <f>IF(OR($C2614="",$D2614&lt;&gt;"Gelir",$L2614=""),"",IFERROR(INDEX(MUSTERILER!$B$7:$B$156,MATCH($S2614,MUSTERILER!$T$7:$T$156,0)),""))</f>
        <v/>
      </c>
      <c r="U2614" s="1" t="str">
        <f>IF($T2614="","",$T2614&amp;"|"&amp;COUNTIFS($T$7:$T2614,$T2614))</f>
        <v/>
      </c>
      <c r="V2614" s="1">
        <f t="shared" si="328"/>
        <v>0</v>
      </c>
      <c r="W2614" s="1" t="str">
        <f t="shared" si="329"/>
        <v/>
      </c>
      <c r="X2614" s="1"/>
      <c r="Y2614" s="1"/>
      <c r="Z2614" s="1"/>
      <c r="AA2614" s="1"/>
      <c r="AB2614" s="1"/>
      <c r="AC2614" s="1"/>
      <c r="AD2614" s="1">
        <f>IF($C2614="",0,SUMPRODUCT((AY_SONU!$O$7:$O$42="Evet")*(AY_SONU!$B$7:$B$42=DATE(YEAR($C2614),MONTH($C2614),1))))</f>
        <v>0</v>
      </c>
      <c r="AE2614" s="1" t="str">
        <f>IF($E2614="","",$E2614&amp;"|"&amp;COUNTIFS($E$7:$E2614,$E2614))</f>
        <v/>
      </c>
    </row>
    <row r="2615" spans="1:31" ht="18" customHeight="1" x14ac:dyDescent="0.3">
      <c r="A2615" s="2"/>
      <c r="B2615" s="65" t="str">
        <f t="shared" si="322"/>
        <v/>
      </c>
      <c r="C2615" s="66"/>
      <c r="D2615" s="60"/>
      <c r="E2615" s="61"/>
      <c r="F2615" s="61"/>
      <c r="G2615" s="67"/>
      <c r="H2615" s="60"/>
      <c r="I2615" s="60"/>
      <c r="J2615" s="61"/>
      <c r="K2615" s="61"/>
      <c r="L2615" s="60"/>
      <c r="M2615" s="74" t="str">
        <f t="shared" si="323"/>
        <v/>
      </c>
      <c r="N2615" s="74" t="str">
        <f t="shared" si="324"/>
        <v/>
      </c>
      <c r="O2615" s="73" t="str">
        <f t="shared" si="325"/>
        <v/>
      </c>
      <c r="P2615" s="65" t="str">
        <f t="shared" ca="1" si="326"/>
        <v/>
      </c>
      <c r="Q2615" s="2"/>
      <c r="R2615" s="2"/>
      <c r="S2615" s="1" t="str">
        <f t="shared" si="327"/>
        <v/>
      </c>
      <c r="T2615" s="1" t="str">
        <f>IF(OR($C2615="",$D2615&lt;&gt;"Gelir",$L2615=""),"",IFERROR(INDEX(MUSTERILER!$B$7:$B$156,MATCH($S2615,MUSTERILER!$T$7:$T$156,0)),""))</f>
        <v/>
      </c>
      <c r="U2615" s="1" t="str">
        <f>IF($T2615="","",$T2615&amp;"|"&amp;COUNTIFS($T$7:$T2615,$T2615))</f>
        <v/>
      </c>
      <c r="V2615" s="1">
        <f t="shared" si="328"/>
        <v>0</v>
      </c>
      <c r="W2615" s="1" t="str">
        <f t="shared" si="329"/>
        <v/>
      </c>
      <c r="X2615" s="1"/>
      <c r="Y2615" s="1"/>
      <c r="Z2615" s="1"/>
      <c r="AA2615" s="1"/>
      <c r="AB2615" s="1"/>
      <c r="AC2615" s="1"/>
      <c r="AD2615" s="1">
        <f>IF($C2615="",0,SUMPRODUCT((AY_SONU!$O$7:$O$42="Evet")*(AY_SONU!$B$7:$B$42=DATE(YEAR($C2615),MONTH($C2615),1))))</f>
        <v>0</v>
      </c>
      <c r="AE2615" s="1" t="str">
        <f>IF($E2615="","",$E2615&amp;"|"&amp;COUNTIFS($E$7:$E2615,$E2615))</f>
        <v/>
      </c>
    </row>
    <row r="2616" spans="1:31" ht="18" customHeight="1" x14ac:dyDescent="0.3">
      <c r="A2616" s="2"/>
      <c r="B2616" s="65" t="str">
        <f t="shared" si="322"/>
        <v/>
      </c>
      <c r="C2616" s="66"/>
      <c r="D2616" s="60"/>
      <c r="E2616" s="61"/>
      <c r="F2616" s="61"/>
      <c r="G2616" s="67"/>
      <c r="H2616" s="60"/>
      <c r="I2616" s="60"/>
      <c r="J2616" s="61"/>
      <c r="K2616" s="61"/>
      <c r="L2616" s="60"/>
      <c r="M2616" s="74" t="str">
        <f t="shared" si="323"/>
        <v/>
      </c>
      <c r="N2616" s="74" t="str">
        <f t="shared" si="324"/>
        <v/>
      </c>
      <c r="O2616" s="73" t="str">
        <f t="shared" si="325"/>
        <v/>
      </c>
      <c r="P2616" s="65" t="str">
        <f t="shared" ca="1" si="326"/>
        <v/>
      </c>
      <c r="Q2616" s="2"/>
      <c r="R2616" s="2"/>
      <c r="S2616" s="1" t="str">
        <f t="shared" si="327"/>
        <v/>
      </c>
      <c r="T2616" s="1" t="str">
        <f>IF(OR($C2616="",$D2616&lt;&gt;"Gelir",$L2616=""),"",IFERROR(INDEX(MUSTERILER!$B$7:$B$156,MATCH($S2616,MUSTERILER!$T$7:$T$156,0)),""))</f>
        <v/>
      </c>
      <c r="U2616" s="1" t="str">
        <f>IF($T2616="","",$T2616&amp;"|"&amp;COUNTIFS($T$7:$T2616,$T2616))</f>
        <v/>
      </c>
      <c r="V2616" s="1">
        <f t="shared" si="328"/>
        <v>0</v>
      </c>
      <c r="W2616" s="1" t="str">
        <f t="shared" si="329"/>
        <v/>
      </c>
      <c r="X2616" s="1"/>
      <c r="Y2616" s="1"/>
      <c r="Z2616" s="1"/>
      <c r="AA2616" s="1"/>
      <c r="AB2616" s="1"/>
      <c r="AC2616" s="1"/>
      <c r="AD2616" s="1">
        <f>IF($C2616="",0,SUMPRODUCT((AY_SONU!$O$7:$O$42="Evet")*(AY_SONU!$B$7:$B$42=DATE(YEAR($C2616),MONTH($C2616),1))))</f>
        <v>0</v>
      </c>
      <c r="AE2616" s="1" t="str">
        <f>IF($E2616="","",$E2616&amp;"|"&amp;COUNTIFS($E$7:$E2616,$E2616))</f>
        <v/>
      </c>
    </row>
    <row r="2617" spans="1:31" ht="18" customHeight="1" x14ac:dyDescent="0.3">
      <c r="A2617" s="2"/>
      <c r="B2617" s="65" t="str">
        <f t="shared" si="322"/>
        <v/>
      </c>
      <c r="C2617" s="66"/>
      <c r="D2617" s="60"/>
      <c r="E2617" s="61"/>
      <c r="F2617" s="61"/>
      <c r="G2617" s="67"/>
      <c r="H2617" s="60"/>
      <c r="I2617" s="60"/>
      <c r="J2617" s="61"/>
      <c r="K2617" s="61"/>
      <c r="L2617" s="60"/>
      <c r="M2617" s="74" t="str">
        <f t="shared" si="323"/>
        <v/>
      </c>
      <c r="N2617" s="74" t="str">
        <f t="shared" si="324"/>
        <v/>
      </c>
      <c r="O2617" s="73" t="str">
        <f t="shared" si="325"/>
        <v/>
      </c>
      <c r="P2617" s="65" t="str">
        <f t="shared" ca="1" si="326"/>
        <v/>
      </c>
      <c r="Q2617" s="2"/>
      <c r="R2617" s="2"/>
      <c r="S2617" s="1" t="str">
        <f t="shared" si="327"/>
        <v/>
      </c>
      <c r="T2617" s="1" t="str">
        <f>IF(OR($C2617="",$D2617&lt;&gt;"Gelir",$L2617=""),"",IFERROR(INDEX(MUSTERILER!$B$7:$B$156,MATCH($S2617,MUSTERILER!$T$7:$T$156,0)),""))</f>
        <v/>
      </c>
      <c r="U2617" s="1" t="str">
        <f>IF($T2617="","",$T2617&amp;"|"&amp;COUNTIFS($T$7:$T2617,$T2617))</f>
        <v/>
      </c>
      <c r="V2617" s="1">
        <f t="shared" si="328"/>
        <v>0</v>
      </c>
      <c r="W2617" s="1" t="str">
        <f t="shared" si="329"/>
        <v/>
      </c>
      <c r="X2617" s="1"/>
      <c r="Y2617" s="1"/>
      <c r="Z2617" s="1"/>
      <c r="AA2617" s="1"/>
      <c r="AB2617" s="1"/>
      <c r="AC2617" s="1"/>
      <c r="AD2617" s="1">
        <f>IF($C2617="",0,SUMPRODUCT((AY_SONU!$O$7:$O$42="Evet")*(AY_SONU!$B$7:$B$42=DATE(YEAR($C2617),MONTH($C2617),1))))</f>
        <v>0</v>
      </c>
      <c r="AE2617" s="1" t="str">
        <f>IF($E2617="","",$E2617&amp;"|"&amp;COUNTIFS($E$7:$E2617,$E2617))</f>
        <v/>
      </c>
    </row>
    <row r="2618" spans="1:31" ht="18" customHeight="1" x14ac:dyDescent="0.3">
      <c r="A2618" s="2"/>
      <c r="B2618" s="65" t="str">
        <f t="shared" si="322"/>
        <v/>
      </c>
      <c r="C2618" s="66"/>
      <c r="D2618" s="60"/>
      <c r="E2618" s="61"/>
      <c r="F2618" s="61"/>
      <c r="G2618" s="67"/>
      <c r="H2618" s="60"/>
      <c r="I2618" s="60"/>
      <c r="J2618" s="61"/>
      <c r="K2618" s="61"/>
      <c r="L2618" s="60"/>
      <c r="M2618" s="74" t="str">
        <f t="shared" si="323"/>
        <v/>
      </c>
      <c r="N2618" s="74" t="str">
        <f t="shared" si="324"/>
        <v/>
      </c>
      <c r="O2618" s="73" t="str">
        <f t="shared" si="325"/>
        <v/>
      </c>
      <c r="P2618" s="65" t="str">
        <f t="shared" ca="1" si="326"/>
        <v/>
      </c>
      <c r="Q2618" s="2"/>
      <c r="R2618" s="2"/>
      <c r="S2618" s="1" t="str">
        <f t="shared" si="327"/>
        <v/>
      </c>
      <c r="T2618" s="1" t="str">
        <f>IF(OR($C2618="",$D2618&lt;&gt;"Gelir",$L2618=""),"",IFERROR(INDEX(MUSTERILER!$B$7:$B$156,MATCH($S2618,MUSTERILER!$T$7:$T$156,0)),""))</f>
        <v/>
      </c>
      <c r="U2618" s="1" t="str">
        <f>IF($T2618="","",$T2618&amp;"|"&amp;COUNTIFS($T$7:$T2618,$T2618))</f>
        <v/>
      </c>
      <c r="V2618" s="1">
        <f t="shared" si="328"/>
        <v>0</v>
      </c>
      <c r="W2618" s="1" t="str">
        <f t="shared" si="329"/>
        <v/>
      </c>
      <c r="X2618" s="1"/>
      <c r="Y2618" s="1"/>
      <c r="Z2618" s="1"/>
      <c r="AA2618" s="1"/>
      <c r="AB2618" s="1"/>
      <c r="AC2618" s="1"/>
      <c r="AD2618" s="1">
        <f>IF($C2618="",0,SUMPRODUCT((AY_SONU!$O$7:$O$42="Evet")*(AY_SONU!$B$7:$B$42=DATE(YEAR($C2618),MONTH($C2618),1))))</f>
        <v>0</v>
      </c>
      <c r="AE2618" s="1" t="str">
        <f>IF($E2618="","",$E2618&amp;"|"&amp;COUNTIFS($E$7:$E2618,$E2618))</f>
        <v/>
      </c>
    </row>
    <row r="2619" spans="1:31" ht="18" customHeight="1" x14ac:dyDescent="0.3">
      <c r="A2619" s="2"/>
      <c r="B2619" s="65" t="str">
        <f t="shared" si="322"/>
        <v/>
      </c>
      <c r="C2619" s="66"/>
      <c r="D2619" s="60"/>
      <c r="E2619" s="61"/>
      <c r="F2619" s="61"/>
      <c r="G2619" s="67"/>
      <c r="H2619" s="60"/>
      <c r="I2619" s="60"/>
      <c r="J2619" s="61"/>
      <c r="K2619" s="61"/>
      <c r="L2619" s="60"/>
      <c r="M2619" s="74" t="str">
        <f t="shared" si="323"/>
        <v/>
      </c>
      <c r="N2619" s="74" t="str">
        <f t="shared" si="324"/>
        <v/>
      </c>
      <c r="O2619" s="73" t="str">
        <f t="shared" si="325"/>
        <v/>
      </c>
      <c r="P2619" s="65" t="str">
        <f t="shared" ca="1" si="326"/>
        <v/>
      </c>
      <c r="Q2619" s="2"/>
      <c r="R2619" s="2"/>
      <c r="S2619" s="1" t="str">
        <f t="shared" si="327"/>
        <v/>
      </c>
      <c r="T2619" s="1" t="str">
        <f>IF(OR($C2619="",$D2619&lt;&gt;"Gelir",$L2619=""),"",IFERROR(INDEX(MUSTERILER!$B$7:$B$156,MATCH($S2619,MUSTERILER!$T$7:$T$156,0)),""))</f>
        <v/>
      </c>
      <c r="U2619" s="1" t="str">
        <f>IF($T2619="","",$T2619&amp;"|"&amp;COUNTIFS($T$7:$T2619,$T2619))</f>
        <v/>
      </c>
      <c r="V2619" s="1">
        <f t="shared" si="328"/>
        <v>0</v>
      </c>
      <c r="W2619" s="1" t="str">
        <f t="shared" si="329"/>
        <v/>
      </c>
      <c r="X2619" s="1"/>
      <c r="Y2619" s="1"/>
      <c r="Z2619" s="1"/>
      <c r="AA2619" s="1"/>
      <c r="AB2619" s="1"/>
      <c r="AC2619" s="1"/>
      <c r="AD2619" s="1">
        <f>IF($C2619="",0,SUMPRODUCT((AY_SONU!$O$7:$O$42="Evet")*(AY_SONU!$B$7:$B$42=DATE(YEAR($C2619),MONTH($C2619),1))))</f>
        <v>0</v>
      </c>
      <c r="AE2619" s="1" t="str">
        <f>IF($E2619="","",$E2619&amp;"|"&amp;COUNTIFS($E$7:$E2619,$E2619))</f>
        <v/>
      </c>
    </row>
    <row r="2620" spans="1:31" ht="18" customHeight="1" x14ac:dyDescent="0.3">
      <c r="A2620" s="2"/>
      <c r="B2620" s="65" t="str">
        <f t="shared" si="322"/>
        <v/>
      </c>
      <c r="C2620" s="66"/>
      <c r="D2620" s="60"/>
      <c r="E2620" s="61"/>
      <c r="F2620" s="61"/>
      <c r="G2620" s="67"/>
      <c r="H2620" s="60"/>
      <c r="I2620" s="60"/>
      <c r="J2620" s="61"/>
      <c r="K2620" s="61"/>
      <c r="L2620" s="60"/>
      <c r="M2620" s="74" t="str">
        <f t="shared" si="323"/>
        <v/>
      </c>
      <c r="N2620" s="74" t="str">
        <f t="shared" si="324"/>
        <v/>
      </c>
      <c r="O2620" s="73" t="str">
        <f t="shared" si="325"/>
        <v/>
      </c>
      <c r="P2620" s="65" t="str">
        <f t="shared" ca="1" si="326"/>
        <v/>
      </c>
      <c r="Q2620" s="2"/>
      <c r="R2620" s="2"/>
      <c r="S2620" s="1" t="str">
        <f t="shared" si="327"/>
        <v/>
      </c>
      <c r="T2620" s="1" t="str">
        <f>IF(OR($C2620="",$D2620&lt;&gt;"Gelir",$L2620=""),"",IFERROR(INDEX(MUSTERILER!$B$7:$B$156,MATCH($S2620,MUSTERILER!$T$7:$T$156,0)),""))</f>
        <v/>
      </c>
      <c r="U2620" s="1" t="str">
        <f>IF($T2620="","",$T2620&amp;"|"&amp;COUNTIFS($T$7:$T2620,$T2620))</f>
        <v/>
      </c>
      <c r="V2620" s="1">
        <f t="shared" si="328"/>
        <v>0</v>
      </c>
      <c r="W2620" s="1" t="str">
        <f t="shared" si="329"/>
        <v/>
      </c>
      <c r="X2620" s="1"/>
      <c r="Y2620" s="1"/>
      <c r="Z2620" s="1"/>
      <c r="AA2620" s="1"/>
      <c r="AB2620" s="1"/>
      <c r="AC2620" s="1"/>
      <c r="AD2620" s="1">
        <f>IF($C2620="",0,SUMPRODUCT((AY_SONU!$O$7:$O$42="Evet")*(AY_SONU!$B$7:$B$42=DATE(YEAR($C2620),MONTH($C2620),1))))</f>
        <v>0</v>
      </c>
      <c r="AE2620" s="1" t="str">
        <f>IF($E2620="","",$E2620&amp;"|"&amp;COUNTIFS($E$7:$E2620,$E2620))</f>
        <v/>
      </c>
    </row>
    <row r="2621" spans="1:31" ht="18" customHeight="1" x14ac:dyDescent="0.3">
      <c r="A2621" s="2"/>
      <c r="B2621" s="65" t="str">
        <f t="shared" si="322"/>
        <v/>
      </c>
      <c r="C2621" s="66"/>
      <c r="D2621" s="60"/>
      <c r="E2621" s="61"/>
      <c r="F2621" s="61"/>
      <c r="G2621" s="67"/>
      <c r="H2621" s="60"/>
      <c r="I2621" s="60"/>
      <c r="J2621" s="61"/>
      <c r="K2621" s="61"/>
      <c r="L2621" s="60"/>
      <c r="M2621" s="74" t="str">
        <f t="shared" si="323"/>
        <v/>
      </c>
      <c r="N2621" s="74" t="str">
        <f t="shared" si="324"/>
        <v/>
      </c>
      <c r="O2621" s="73" t="str">
        <f t="shared" si="325"/>
        <v/>
      </c>
      <c r="P2621" s="65" t="str">
        <f t="shared" ca="1" si="326"/>
        <v/>
      </c>
      <c r="Q2621" s="2"/>
      <c r="R2621" s="2"/>
      <c r="S2621" s="1" t="str">
        <f t="shared" si="327"/>
        <v/>
      </c>
      <c r="T2621" s="1" t="str">
        <f>IF(OR($C2621="",$D2621&lt;&gt;"Gelir",$L2621=""),"",IFERROR(INDEX(MUSTERILER!$B$7:$B$156,MATCH($S2621,MUSTERILER!$T$7:$T$156,0)),""))</f>
        <v/>
      </c>
      <c r="U2621" s="1" t="str">
        <f>IF($T2621="","",$T2621&amp;"|"&amp;COUNTIFS($T$7:$T2621,$T2621))</f>
        <v/>
      </c>
      <c r="V2621" s="1">
        <f t="shared" si="328"/>
        <v>0</v>
      </c>
      <c r="W2621" s="1" t="str">
        <f t="shared" si="329"/>
        <v/>
      </c>
      <c r="X2621" s="1"/>
      <c r="Y2621" s="1"/>
      <c r="Z2621" s="1"/>
      <c r="AA2621" s="1"/>
      <c r="AB2621" s="1"/>
      <c r="AC2621" s="1"/>
      <c r="AD2621" s="1">
        <f>IF($C2621="",0,SUMPRODUCT((AY_SONU!$O$7:$O$42="Evet")*(AY_SONU!$B$7:$B$42=DATE(YEAR($C2621),MONTH($C2621),1))))</f>
        <v>0</v>
      </c>
      <c r="AE2621" s="1" t="str">
        <f>IF($E2621="","",$E2621&amp;"|"&amp;COUNTIFS($E$7:$E2621,$E2621))</f>
        <v/>
      </c>
    </row>
    <row r="2622" spans="1:31" ht="18" customHeight="1" x14ac:dyDescent="0.3">
      <c r="A2622" s="2"/>
      <c r="B2622" s="65" t="str">
        <f t="shared" si="322"/>
        <v/>
      </c>
      <c r="C2622" s="66"/>
      <c r="D2622" s="60"/>
      <c r="E2622" s="61"/>
      <c r="F2622" s="61"/>
      <c r="G2622" s="67"/>
      <c r="H2622" s="60"/>
      <c r="I2622" s="60"/>
      <c r="J2622" s="61"/>
      <c r="K2622" s="61"/>
      <c r="L2622" s="60"/>
      <c r="M2622" s="74" t="str">
        <f t="shared" si="323"/>
        <v/>
      </c>
      <c r="N2622" s="74" t="str">
        <f t="shared" si="324"/>
        <v/>
      </c>
      <c r="O2622" s="73" t="str">
        <f t="shared" si="325"/>
        <v/>
      </c>
      <c r="P2622" s="65" t="str">
        <f t="shared" ca="1" si="326"/>
        <v/>
      </c>
      <c r="Q2622" s="2"/>
      <c r="R2622" s="2"/>
      <c r="S2622" s="1" t="str">
        <f t="shared" si="327"/>
        <v/>
      </c>
      <c r="T2622" s="1" t="str">
        <f>IF(OR($C2622="",$D2622&lt;&gt;"Gelir",$L2622=""),"",IFERROR(INDEX(MUSTERILER!$B$7:$B$156,MATCH($S2622,MUSTERILER!$T$7:$T$156,0)),""))</f>
        <v/>
      </c>
      <c r="U2622" s="1" t="str">
        <f>IF($T2622="","",$T2622&amp;"|"&amp;COUNTIFS($T$7:$T2622,$T2622))</f>
        <v/>
      </c>
      <c r="V2622" s="1">
        <f t="shared" si="328"/>
        <v>0</v>
      </c>
      <c r="W2622" s="1" t="str">
        <f t="shared" si="329"/>
        <v/>
      </c>
      <c r="X2622" s="1"/>
      <c r="Y2622" s="1"/>
      <c r="Z2622" s="1"/>
      <c r="AA2622" s="1"/>
      <c r="AB2622" s="1"/>
      <c r="AC2622" s="1"/>
      <c r="AD2622" s="1">
        <f>IF($C2622="",0,SUMPRODUCT((AY_SONU!$O$7:$O$42="Evet")*(AY_SONU!$B$7:$B$42=DATE(YEAR($C2622),MONTH($C2622),1))))</f>
        <v>0</v>
      </c>
      <c r="AE2622" s="1" t="str">
        <f>IF($E2622="","",$E2622&amp;"|"&amp;COUNTIFS($E$7:$E2622,$E2622))</f>
        <v/>
      </c>
    </row>
    <row r="2623" spans="1:31" ht="18" customHeight="1" x14ac:dyDescent="0.3">
      <c r="A2623" s="2"/>
      <c r="B2623" s="65" t="str">
        <f t="shared" si="322"/>
        <v/>
      </c>
      <c r="C2623" s="66"/>
      <c r="D2623" s="60"/>
      <c r="E2623" s="61"/>
      <c r="F2623" s="61"/>
      <c r="G2623" s="67"/>
      <c r="H2623" s="60"/>
      <c r="I2623" s="60"/>
      <c r="J2623" s="61"/>
      <c r="K2623" s="61"/>
      <c r="L2623" s="60"/>
      <c r="M2623" s="74" t="str">
        <f t="shared" si="323"/>
        <v/>
      </c>
      <c r="N2623" s="74" t="str">
        <f t="shared" si="324"/>
        <v/>
      </c>
      <c r="O2623" s="73" t="str">
        <f t="shared" si="325"/>
        <v/>
      </c>
      <c r="P2623" s="65" t="str">
        <f t="shared" ca="1" si="326"/>
        <v/>
      </c>
      <c r="Q2623" s="2"/>
      <c r="R2623" s="2"/>
      <c r="S2623" s="1" t="str">
        <f t="shared" si="327"/>
        <v/>
      </c>
      <c r="T2623" s="1" t="str">
        <f>IF(OR($C2623="",$D2623&lt;&gt;"Gelir",$L2623=""),"",IFERROR(INDEX(MUSTERILER!$B$7:$B$156,MATCH($S2623,MUSTERILER!$T$7:$T$156,0)),""))</f>
        <v/>
      </c>
      <c r="U2623" s="1" t="str">
        <f>IF($T2623="","",$T2623&amp;"|"&amp;COUNTIFS($T$7:$T2623,$T2623))</f>
        <v/>
      </c>
      <c r="V2623" s="1">
        <f t="shared" si="328"/>
        <v>0</v>
      </c>
      <c r="W2623" s="1" t="str">
        <f t="shared" si="329"/>
        <v/>
      </c>
      <c r="X2623" s="1"/>
      <c r="Y2623" s="1"/>
      <c r="Z2623" s="1"/>
      <c r="AA2623" s="1"/>
      <c r="AB2623" s="1"/>
      <c r="AC2623" s="1"/>
      <c r="AD2623" s="1">
        <f>IF($C2623="",0,SUMPRODUCT((AY_SONU!$O$7:$O$42="Evet")*(AY_SONU!$B$7:$B$42=DATE(YEAR($C2623),MONTH($C2623),1))))</f>
        <v>0</v>
      </c>
      <c r="AE2623" s="1" t="str">
        <f>IF($E2623="","",$E2623&amp;"|"&amp;COUNTIFS($E$7:$E2623,$E2623))</f>
        <v/>
      </c>
    </row>
    <row r="2624" spans="1:31" ht="18" customHeight="1" x14ac:dyDescent="0.3">
      <c r="A2624" s="2"/>
      <c r="B2624" s="65" t="str">
        <f t="shared" si="322"/>
        <v/>
      </c>
      <c r="C2624" s="66"/>
      <c r="D2624" s="60"/>
      <c r="E2624" s="61"/>
      <c r="F2624" s="61"/>
      <c r="G2624" s="67"/>
      <c r="H2624" s="60"/>
      <c r="I2624" s="60"/>
      <c r="J2624" s="61"/>
      <c r="K2624" s="61"/>
      <c r="L2624" s="60"/>
      <c r="M2624" s="74" t="str">
        <f t="shared" si="323"/>
        <v/>
      </c>
      <c r="N2624" s="74" t="str">
        <f t="shared" si="324"/>
        <v/>
      </c>
      <c r="O2624" s="73" t="str">
        <f t="shared" si="325"/>
        <v/>
      </c>
      <c r="P2624" s="65" t="str">
        <f t="shared" ca="1" si="326"/>
        <v/>
      </c>
      <c r="Q2624" s="2"/>
      <c r="R2624" s="2"/>
      <c r="S2624" s="1" t="str">
        <f t="shared" si="327"/>
        <v/>
      </c>
      <c r="T2624" s="1" t="str">
        <f>IF(OR($C2624="",$D2624&lt;&gt;"Gelir",$L2624=""),"",IFERROR(INDEX(MUSTERILER!$B$7:$B$156,MATCH($S2624,MUSTERILER!$T$7:$T$156,0)),""))</f>
        <v/>
      </c>
      <c r="U2624" s="1" t="str">
        <f>IF($T2624="","",$T2624&amp;"|"&amp;COUNTIFS($T$7:$T2624,$T2624))</f>
        <v/>
      </c>
      <c r="V2624" s="1">
        <f t="shared" si="328"/>
        <v>0</v>
      </c>
      <c r="W2624" s="1" t="str">
        <f t="shared" si="329"/>
        <v/>
      </c>
      <c r="X2624" s="1"/>
      <c r="Y2624" s="1"/>
      <c r="Z2624" s="1"/>
      <c r="AA2624" s="1"/>
      <c r="AB2624" s="1"/>
      <c r="AC2624" s="1"/>
      <c r="AD2624" s="1">
        <f>IF($C2624="",0,SUMPRODUCT((AY_SONU!$O$7:$O$42="Evet")*(AY_SONU!$B$7:$B$42=DATE(YEAR($C2624),MONTH($C2624),1))))</f>
        <v>0</v>
      </c>
      <c r="AE2624" s="1" t="str">
        <f>IF($E2624="","",$E2624&amp;"|"&amp;COUNTIFS($E$7:$E2624,$E2624))</f>
        <v/>
      </c>
    </row>
    <row r="2625" spans="1:31" ht="18" customHeight="1" x14ac:dyDescent="0.3">
      <c r="A2625" s="2"/>
      <c r="B2625" s="65" t="str">
        <f t="shared" si="322"/>
        <v/>
      </c>
      <c r="C2625" s="66"/>
      <c r="D2625" s="60"/>
      <c r="E2625" s="61"/>
      <c r="F2625" s="61"/>
      <c r="G2625" s="67"/>
      <c r="H2625" s="60"/>
      <c r="I2625" s="60"/>
      <c r="J2625" s="61"/>
      <c r="K2625" s="61"/>
      <c r="L2625" s="60"/>
      <c r="M2625" s="74" t="str">
        <f t="shared" si="323"/>
        <v/>
      </c>
      <c r="N2625" s="74" t="str">
        <f t="shared" si="324"/>
        <v/>
      </c>
      <c r="O2625" s="73" t="str">
        <f t="shared" si="325"/>
        <v/>
      </c>
      <c r="P2625" s="65" t="str">
        <f t="shared" ca="1" si="326"/>
        <v/>
      </c>
      <c r="Q2625" s="2"/>
      <c r="R2625" s="2"/>
      <c r="S2625" s="1" t="str">
        <f t="shared" si="327"/>
        <v/>
      </c>
      <c r="T2625" s="1" t="str">
        <f>IF(OR($C2625="",$D2625&lt;&gt;"Gelir",$L2625=""),"",IFERROR(INDEX(MUSTERILER!$B$7:$B$156,MATCH($S2625,MUSTERILER!$T$7:$T$156,0)),""))</f>
        <v/>
      </c>
      <c r="U2625" s="1" t="str">
        <f>IF($T2625="","",$T2625&amp;"|"&amp;COUNTIFS($T$7:$T2625,$T2625))</f>
        <v/>
      </c>
      <c r="V2625" s="1">
        <f t="shared" si="328"/>
        <v>0</v>
      </c>
      <c r="W2625" s="1" t="str">
        <f t="shared" si="329"/>
        <v/>
      </c>
      <c r="X2625" s="1"/>
      <c r="Y2625" s="1"/>
      <c r="Z2625" s="1"/>
      <c r="AA2625" s="1"/>
      <c r="AB2625" s="1"/>
      <c r="AC2625" s="1"/>
      <c r="AD2625" s="1">
        <f>IF($C2625="",0,SUMPRODUCT((AY_SONU!$O$7:$O$42="Evet")*(AY_SONU!$B$7:$B$42=DATE(YEAR($C2625),MONTH($C2625),1))))</f>
        <v>0</v>
      </c>
      <c r="AE2625" s="1" t="str">
        <f>IF($E2625="","",$E2625&amp;"|"&amp;COUNTIFS($E$7:$E2625,$E2625))</f>
        <v/>
      </c>
    </row>
    <row r="2626" spans="1:31" ht="18" customHeight="1" x14ac:dyDescent="0.3">
      <c r="A2626" s="2"/>
      <c r="B2626" s="65" t="str">
        <f t="shared" si="322"/>
        <v/>
      </c>
      <c r="C2626" s="66"/>
      <c r="D2626" s="60"/>
      <c r="E2626" s="61"/>
      <c r="F2626" s="61"/>
      <c r="G2626" s="67"/>
      <c r="H2626" s="60"/>
      <c r="I2626" s="60"/>
      <c r="J2626" s="61"/>
      <c r="K2626" s="61"/>
      <c r="L2626" s="60"/>
      <c r="M2626" s="74" t="str">
        <f t="shared" si="323"/>
        <v/>
      </c>
      <c r="N2626" s="74" t="str">
        <f t="shared" si="324"/>
        <v/>
      </c>
      <c r="O2626" s="73" t="str">
        <f t="shared" si="325"/>
        <v/>
      </c>
      <c r="P2626" s="65" t="str">
        <f t="shared" ca="1" si="326"/>
        <v/>
      </c>
      <c r="Q2626" s="2"/>
      <c r="R2626" s="2"/>
      <c r="S2626" s="1" t="str">
        <f t="shared" si="327"/>
        <v/>
      </c>
      <c r="T2626" s="1" t="str">
        <f>IF(OR($C2626="",$D2626&lt;&gt;"Gelir",$L2626=""),"",IFERROR(INDEX(MUSTERILER!$B$7:$B$156,MATCH($S2626,MUSTERILER!$T$7:$T$156,0)),""))</f>
        <v/>
      </c>
      <c r="U2626" s="1" t="str">
        <f>IF($T2626="","",$T2626&amp;"|"&amp;COUNTIFS($T$7:$T2626,$T2626))</f>
        <v/>
      </c>
      <c r="V2626" s="1">
        <f t="shared" si="328"/>
        <v>0</v>
      </c>
      <c r="W2626" s="1" t="str">
        <f t="shared" si="329"/>
        <v/>
      </c>
      <c r="X2626" s="1"/>
      <c r="Y2626" s="1"/>
      <c r="Z2626" s="1"/>
      <c r="AA2626" s="1"/>
      <c r="AB2626" s="1"/>
      <c r="AC2626" s="1"/>
      <c r="AD2626" s="1">
        <f>IF($C2626="",0,SUMPRODUCT((AY_SONU!$O$7:$O$42="Evet")*(AY_SONU!$B$7:$B$42=DATE(YEAR($C2626),MONTH($C2626),1))))</f>
        <v>0</v>
      </c>
      <c r="AE2626" s="1" t="str">
        <f>IF($E2626="","",$E2626&amp;"|"&amp;COUNTIFS($E$7:$E2626,$E2626))</f>
        <v/>
      </c>
    </row>
    <row r="2627" spans="1:31" ht="18" customHeight="1" x14ac:dyDescent="0.3">
      <c r="A2627" s="2"/>
      <c r="B2627" s="65" t="str">
        <f t="shared" si="322"/>
        <v/>
      </c>
      <c r="C2627" s="66"/>
      <c r="D2627" s="60"/>
      <c r="E2627" s="61"/>
      <c r="F2627" s="61"/>
      <c r="G2627" s="67"/>
      <c r="H2627" s="60"/>
      <c r="I2627" s="60"/>
      <c r="J2627" s="61"/>
      <c r="K2627" s="61"/>
      <c r="L2627" s="60"/>
      <c r="M2627" s="74" t="str">
        <f t="shared" si="323"/>
        <v/>
      </c>
      <c r="N2627" s="74" t="str">
        <f t="shared" si="324"/>
        <v/>
      </c>
      <c r="O2627" s="73" t="str">
        <f t="shared" si="325"/>
        <v/>
      </c>
      <c r="P2627" s="65" t="str">
        <f t="shared" ca="1" si="326"/>
        <v/>
      </c>
      <c r="Q2627" s="2"/>
      <c r="R2627" s="2"/>
      <c r="S2627" s="1" t="str">
        <f t="shared" si="327"/>
        <v/>
      </c>
      <c r="T2627" s="1" t="str">
        <f>IF(OR($C2627="",$D2627&lt;&gt;"Gelir",$L2627=""),"",IFERROR(INDEX(MUSTERILER!$B$7:$B$156,MATCH($S2627,MUSTERILER!$T$7:$T$156,0)),""))</f>
        <v/>
      </c>
      <c r="U2627" s="1" t="str">
        <f>IF($T2627="","",$T2627&amp;"|"&amp;COUNTIFS($T$7:$T2627,$T2627))</f>
        <v/>
      </c>
      <c r="V2627" s="1">
        <f t="shared" si="328"/>
        <v>0</v>
      </c>
      <c r="W2627" s="1" t="str">
        <f t="shared" si="329"/>
        <v/>
      </c>
      <c r="X2627" s="1"/>
      <c r="Y2627" s="1"/>
      <c r="Z2627" s="1"/>
      <c r="AA2627" s="1"/>
      <c r="AB2627" s="1"/>
      <c r="AC2627" s="1"/>
      <c r="AD2627" s="1">
        <f>IF($C2627="",0,SUMPRODUCT((AY_SONU!$O$7:$O$42="Evet")*(AY_SONU!$B$7:$B$42=DATE(YEAR($C2627),MONTH($C2627),1))))</f>
        <v>0</v>
      </c>
      <c r="AE2627" s="1" t="str">
        <f>IF($E2627="","",$E2627&amp;"|"&amp;COUNTIFS($E$7:$E2627,$E2627))</f>
        <v/>
      </c>
    </row>
    <row r="2628" spans="1:31" ht="18" customHeight="1" x14ac:dyDescent="0.3">
      <c r="A2628" s="2"/>
      <c r="B2628" s="65" t="str">
        <f t="shared" si="322"/>
        <v/>
      </c>
      <c r="C2628" s="66"/>
      <c r="D2628" s="60"/>
      <c r="E2628" s="61"/>
      <c r="F2628" s="61"/>
      <c r="G2628" s="67"/>
      <c r="H2628" s="60"/>
      <c r="I2628" s="60"/>
      <c r="J2628" s="61"/>
      <c r="K2628" s="61"/>
      <c r="L2628" s="60"/>
      <c r="M2628" s="74" t="str">
        <f t="shared" si="323"/>
        <v/>
      </c>
      <c r="N2628" s="74" t="str">
        <f t="shared" si="324"/>
        <v/>
      </c>
      <c r="O2628" s="73" t="str">
        <f t="shared" si="325"/>
        <v/>
      </c>
      <c r="P2628" s="65" t="str">
        <f t="shared" ca="1" si="326"/>
        <v/>
      </c>
      <c r="Q2628" s="2"/>
      <c r="R2628" s="2"/>
      <c r="S2628" s="1" t="str">
        <f t="shared" si="327"/>
        <v/>
      </c>
      <c r="T2628" s="1" t="str">
        <f>IF(OR($C2628="",$D2628&lt;&gt;"Gelir",$L2628=""),"",IFERROR(INDEX(MUSTERILER!$B$7:$B$156,MATCH($S2628,MUSTERILER!$T$7:$T$156,0)),""))</f>
        <v/>
      </c>
      <c r="U2628" s="1" t="str">
        <f>IF($T2628="","",$T2628&amp;"|"&amp;COUNTIFS($T$7:$T2628,$T2628))</f>
        <v/>
      </c>
      <c r="V2628" s="1">
        <f t="shared" si="328"/>
        <v>0</v>
      </c>
      <c r="W2628" s="1" t="str">
        <f t="shared" si="329"/>
        <v/>
      </c>
      <c r="X2628" s="1"/>
      <c r="Y2628" s="1"/>
      <c r="Z2628" s="1"/>
      <c r="AA2628" s="1"/>
      <c r="AB2628" s="1"/>
      <c r="AC2628" s="1"/>
      <c r="AD2628" s="1">
        <f>IF($C2628="",0,SUMPRODUCT((AY_SONU!$O$7:$O$42="Evet")*(AY_SONU!$B$7:$B$42=DATE(YEAR($C2628),MONTH($C2628),1))))</f>
        <v>0</v>
      </c>
      <c r="AE2628" s="1" t="str">
        <f>IF($E2628="","",$E2628&amp;"|"&amp;COUNTIFS($E$7:$E2628,$E2628))</f>
        <v/>
      </c>
    </row>
    <row r="2629" spans="1:31" ht="18" customHeight="1" x14ac:dyDescent="0.3">
      <c r="A2629" s="2"/>
      <c r="B2629" s="65" t="str">
        <f t="shared" si="322"/>
        <v/>
      </c>
      <c r="C2629" s="66"/>
      <c r="D2629" s="60"/>
      <c r="E2629" s="61"/>
      <c r="F2629" s="61"/>
      <c r="G2629" s="67"/>
      <c r="H2629" s="60"/>
      <c r="I2629" s="60"/>
      <c r="J2629" s="61"/>
      <c r="K2629" s="61"/>
      <c r="L2629" s="60"/>
      <c r="M2629" s="74" t="str">
        <f t="shared" si="323"/>
        <v/>
      </c>
      <c r="N2629" s="74" t="str">
        <f t="shared" si="324"/>
        <v/>
      </c>
      <c r="O2629" s="73" t="str">
        <f t="shared" si="325"/>
        <v/>
      </c>
      <c r="P2629" s="65" t="str">
        <f t="shared" ca="1" si="326"/>
        <v/>
      </c>
      <c r="Q2629" s="2"/>
      <c r="R2629" s="2"/>
      <c r="S2629" s="1" t="str">
        <f t="shared" si="327"/>
        <v/>
      </c>
      <c r="T2629" s="1" t="str">
        <f>IF(OR($C2629="",$D2629&lt;&gt;"Gelir",$L2629=""),"",IFERROR(INDEX(MUSTERILER!$B$7:$B$156,MATCH($S2629,MUSTERILER!$T$7:$T$156,0)),""))</f>
        <v/>
      </c>
      <c r="U2629" s="1" t="str">
        <f>IF($T2629="","",$T2629&amp;"|"&amp;COUNTIFS($T$7:$T2629,$T2629))</f>
        <v/>
      </c>
      <c r="V2629" s="1">
        <f t="shared" si="328"/>
        <v>0</v>
      </c>
      <c r="W2629" s="1" t="str">
        <f t="shared" si="329"/>
        <v/>
      </c>
      <c r="X2629" s="1"/>
      <c r="Y2629" s="1"/>
      <c r="Z2629" s="1"/>
      <c r="AA2629" s="1"/>
      <c r="AB2629" s="1"/>
      <c r="AC2629" s="1"/>
      <c r="AD2629" s="1">
        <f>IF($C2629="",0,SUMPRODUCT((AY_SONU!$O$7:$O$42="Evet")*(AY_SONU!$B$7:$B$42=DATE(YEAR($C2629),MONTH($C2629),1))))</f>
        <v>0</v>
      </c>
      <c r="AE2629" s="1" t="str">
        <f>IF($E2629="","",$E2629&amp;"|"&amp;COUNTIFS($E$7:$E2629,$E2629))</f>
        <v/>
      </c>
    </row>
    <row r="2630" spans="1:31" ht="18" customHeight="1" x14ac:dyDescent="0.3">
      <c r="A2630" s="2"/>
      <c r="B2630" s="65" t="str">
        <f t="shared" si="322"/>
        <v/>
      </c>
      <c r="C2630" s="66"/>
      <c r="D2630" s="60"/>
      <c r="E2630" s="61"/>
      <c r="F2630" s="61"/>
      <c r="G2630" s="67"/>
      <c r="H2630" s="60"/>
      <c r="I2630" s="60"/>
      <c r="J2630" s="61"/>
      <c r="K2630" s="61"/>
      <c r="L2630" s="60"/>
      <c r="M2630" s="74" t="str">
        <f t="shared" si="323"/>
        <v/>
      </c>
      <c r="N2630" s="74" t="str">
        <f t="shared" si="324"/>
        <v/>
      </c>
      <c r="O2630" s="73" t="str">
        <f t="shared" si="325"/>
        <v/>
      </c>
      <c r="P2630" s="65" t="str">
        <f t="shared" ca="1" si="326"/>
        <v/>
      </c>
      <c r="Q2630" s="2"/>
      <c r="R2630" s="2"/>
      <c r="S2630" s="1" t="str">
        <f t="shared" si="327"/>
        <v/>
      </c>
      <c r="T2630" s="1" t="str">
        <f>IF(OR($C2630="",$D2630&lt;&gt;"Gelir",$L2630=""),"",IFERROR(INDEX(MUSTERILER!$B$7:$B$156,MATCH($S2630,MUSTERILER!$T$7:$T$156,0)),""))</f>
        <v/>
      </c>
      <c r="U2630" s="1" t="str">
        <f>IF($T2630="","",$T2630&amp;"|"&amp;COUNTIFS($T$7:$T2630,$T2630))</f>
        <v/>
      </c>
      <c r="V2630" s="1">
        <f t="shared" si="328"/>
        <v>0</v>
      </c>
      <c r="W2630" s="1" t="str">
        <f t="shared" si="329"/>
        <v/>
      </c>
      <c r="X2630" s="1"/>
      <c r="Y2630" s="1"/>
      <c r="Z2630" s="1"/>
      <c r="AA2630" s="1"/>
      <c r="AB2630" s="1"/>
      <c r="AC2630" s="1"/>
      <c r="AD2630" s="1">
        <f>IF($C2630="",0,SUMPRODUCT((AY_SONU!$O$7:$O$42="Evet")*(AY_SONU!$B$7:$B$42=DATE(YEAR($C2630),MONTH($C2630),1))))</f>
        <v>0</v>
      </c>
      <c r="AE2630" s="1" t="str">
        <f>IF($E2630="","",$E2630&amp;"|"&amp;COUNTIFS($E$7:$E2630,$E2630))</f>
        <v/>
      </c>
    </row>
    <row r="2631" spans="1:31" ht="18" customHeight="1" x14ac:dyDescent="0.3">
      <c r="A2631" s="2"/>
      <c r="B2631" s="65" t="str">
        <f t="shared" ref="B2631:B2694" si="330">IF($C2631="","","GG"&amp;TEXT(ROW()-6,"00000"))</f>
        <v/>
      </c>
      <c r="C2631" s="66"/>
      <c r="D2631" s="60"/>
      <c r="E2631" s="61"/>
      <c r="F2631" s="61"/>
      <c r="G2631" s="67"/>
      <c r="H2631" s="60"/>
      <c r="I2631" s="60"/>
      <c r="J2631" s="61"/>
      <c r="K2631" s="61"/>
      <c r="L2631" s="60"/>
      <c r="M2631" s="74" t="str">
        <f t="shared" ref="M2631:M2694" si="331">IF($C2631="","",IF($D2631="Gider",$E2631,IF($L2631&lt;&gt;"",$L2631,$H2631)))</f>
        <v/>
      </c>
      <c r="N2631" s="74" t="str">
        <f t="shared" ref="N2631:N2694" si="332">IF($C2631="","",IF($D2631="Gider",$H2631,$E2631))</f>
        <v/>
      </c>
      <c r="O2631" s="73" t="str">
        <f t="shared" ref="O2631:O2694" si="333">IF($C2631="","",DATE(YEAR($C2631),MONTH($C2631),1))</f>
        <v/>
      </c>
      <c r="P2631" s="65" t="str">
        <f t="shared" ref="P2631:P2694" ca="1" si="334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TARİH",IF(COUNTIF($W$7:$W$3006,$W2631)&gt;1,"MÜKERRER?",IF($AD2631&gt;0,"KAPALI DÖNEM",IF($I2631="Hayır","ÖDENECEK","UYGUN")))),"EKSİK"))))</f>
        <v/>
      </c>
      <c r="Q2631" s="2"/>
      <c r="R2631" s="2"/>
      <c r="S2631" s="1" t="str">
        <f t="shared" ref="S2631:S2694" si="335"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1" t="str">
        <f>IF(OR($C2631="",$D2631&lt;&gt;"Gelir",$L2631=""),"",IFERROR(INDEX(MUSTERILER!$B$7:$B$156,MATCH($S2631,MUSTERILER!$T$7:$T$156,0)),""))</f>
        <v/>
      </c>
      <c r="U2631" s="1" t="str">
        <f>IF($T2631="","",$T2631&amp;"|"&amp;COUNTIFS($T$7:$T2631,$T2631))</f>
        <v/>
      </c>
      <c r="V2631" s="1">
        <f t="shared" ref="V2631:V2694" si="336">IF($T2631="",0,1)</f>
        <v>0</v>
      </c>
      <c r="W2631" s="1" t="str">
        <f t="shared" ref="W2631:W2694" si="337">IF($C2631="","",$D2631&amp;"|"&amp;$E2631&amp;"|"&amp;TEXT($C2631,"0")&amp;"|"&amp;TEXT($G2631,"0")&amp;"|"&amp;$J2631)</f>
        <v/>
      </c>
      <c r="X2631" s="1"/>
      <c r="Y2631" s="1"/>
      <c r="Z2631" s="1"/>
      <c r="AA2631" s="1"/>
      <c r="AB2631" s="1"/>
      <c r="AC2631" s="1"/>
      <c r="AD2631" s="1">
        <f>IF($C2631="",0,SUMPRODUCT((AY_SONU!$O$7:$O$42="Evet")*(AY_SONU!$B$7:$B$42=DATE(YEAR($C2631),MONTH($C2631),1))))</f>
        <v>0</v>
      </c>
      <c r="AE2631" s="1" t="str">
        <f>IF($E2631="","",$E2631&amp;"|"&amp;COUNTIFS($E$7:$E2631,$E2631))</f>
        <v/>
      </c>
    </row>
    <row r="2632" spans="1:31" ht="18" customHeight="1" x14ac:dyDescent="0.3">
      <c r="A2632" s="2"/>
      <c r="B2632" s="65" t="str">
        <f t="shared" si="330"/>
        <v/>
      </c>
      <c r="C2632" s="66"/>
      <c r="D2632" s="60"/>
      <c r="E2632" s="61"/>
      <c r="F2632" s="61"/>
      <c r="G2632" s="67"/>
      <c r="H2632" s="60"/>
      <c r="I2632" s="60"/>
      <c r="J2632" s="61"/>
      <c r="K2632" s="61"/>
      <c r="L2632" s="60"/>
      <c r="M2632" s="74" t="str">
        <f t="shared" si="331"/>
        <v/>
      </c>
      <c r="N2632" s="74" t="str">
        <f t="shared" si="332"/>
        <v/>
      </c>
      <c r="O2632" s="73" t="str">
        <f t="shared" si="333"/>
        <v/>
      </c>
      <c r="P2632" s="65" t="str">
        <f t="shared" ca="1" si="334"/>
        <v/>
      </c>
      <c r="Q2632" s="2"/>
      <c r="R2632" s="2"/>
      <c r="S2632" s="1" t="str">
        <f t="shared" si="335"/>
        <v/>
      </c>
      <c r="T2632" s="1" t="str">
        <f>IF(OR($C2632="",$D2632&lt;&gt;"Gelir",$L2632=""),"",IFERROR(INDEX(MUSTERILER!$B$7:$B$156,MATCH($S2632,MUSTERILER!$T$7:$T$156,0)),""))</f>
        <v/>
      </c>
      <c r="U2632" s="1" t="str">
        <f>IF($T2632="","",$T2632&amp;"|"&amp;COUNTIFS($T$7:$T2632,$T2632))</f>
        <v/>
      </c>
      <c r="V2632" s="1">
        <f t="shared" si="336"/>
        <v>0</v>
      </c>
      <c r="W2632" s="1" t="str">
        <f t="shared" si="337"/>
        <v/>
      </c>
      <c r="X2632" s="1"/>
      <c r="Y2632" s="1"/>
      <c r="Z2632" s="1"/>
      <c r="AA2632" s="1"/>
      <c r="AB2632" s="1"/>
      <c r="AC2632" s="1"/>
      <c r="AD2632" s="1">
        <f>IF($C2632="",0,SUMPRODUCT((AY_SONU!$O$7:$O$42="Evet")*(AY_SONU!$B$7:$B$42=DATE(YEAR($C2632),MONTH($C2632),1))))</f>
        <v>0</v>
      </c>
      <c r="AE2632" s="1" t="str">
        <f>IF($E2632="","",$E2632&amp;"|"&amp;COUNTIFS($E$7:$E2632,$E2632))</f>
        <v/>
      </c>
    </row>
    <row r="2633" spans="1:31" ht="18" customHeight="1" x14ac:dyDescent="0.3">
      <c r="A2633" s="2"/>
      <c r="B2633" s="65" t="str">
        <f t="shared" si="330"/>
        <v/>
      </c>
      <c r="C2633" s="66"/>
      <c r="D2633" s="60"/>
      <c r="E2633" s="61"/>
      <c r="F2633" s="61"/>
      <c r="G2633" s="67"/>
      <c r="H2633" s="60"/>
      <c r="I2633" s="60"/>
      <c r="J2633" s="61"/>
      <c r="K2633" s="61"/>
      <c r="L2633" s="60"/>
      <c r="M2633" s="74" t="str">
        <f t="shared" si="331"/>
        <v/>
      </c>
      <c r="N2633" s="74" t="str">
        <f t="shared" si="332"/>
        <v/>
      </c>
      <c r="O2633" s="73" t="str">
        <f t="shared" si="333"/>
        <v/>
      </c>
      <c r="P2633" s="65" t="str">
        <f t="shared" ca="1" si="334"/>
        <v/>
      </c>
      <c r="Q2633" s="2"/>
      <c r="R2633" s="2"/>
      <c r="S2633" s="1" t="str">
        <f t="shared" si="335"/>
        <v/>
      </c>
      <c r="T2633" s="1" t="str">
        <f>IF(OR($C2633="",$D2633&lt;&gt;"Gelir",$L2633=""),"",IFERROR(INDEX(MUSTERILER!$B$7:$B$156,MATCH($S2633,MUSTERILER!$T$7:$T$156,0)),""))</f>
        <v/>
      </c>
      <c r="U2633" s="1" t="str">
        <f>IF($T2633="","",$T2633&amp;"|"&amp;COUNTIFS($T$7:$T2633,$T2633))</f>
        <v/>
      </c>
      <c r="V2633" s="1">
        <f t="shared" si="336"/>
        <v>0</v>
      </c>
      <c r="W2633" s="1" t="str">
        <f t="shared" si="337"/>
        <v/>
      </c>
      <c r="X2633" s="1"/>
      <c r="Y2633" s="1"/>
      <c r="Z2633" s="1"/>
      <c r="AA2633" s="1"/>
      <c r="AB2633" s="1"/>
      <c r="AC2633" s="1"/>
      <c r="AD2633" s="1">
        <f>IF($C2633="",0,SUMPRODUCT((AY_SONU!$O$7:$O$42="Evet")*(AY_SONU!$B$7:$B$42=DATE(YEAR($C2633),MONTH($C2633),1))))</f>
        <v>0</v>
      </c>
      <c r="AE2633" s="1" t="str">
        <f>IF($E2633="","",$E2633&amp;"|"&amp;COUNTIFS($E$7:$E2633,$E2633))</f>
        <v/>
      </c>
    </row>
    <row r="2634" spans="1:31" ht="18" customHeight="1" x14ac:dyDescent="0.3">
      <c r="A2634" s="2"/>
      <c r="B2634" s="65" t="str">
        <f t="shared" si="330"/>
        <v/>
      </c>
      <c r="C2634" s="66"/>
      <c r="D2634" s="60"/>
      <c r="E2634" s="61"/>
      <c r="F2634" s="61"/>
      <c r="G2634" s="67"/>
      <c r="H2634" s="60"/>
      <c r="I2634" s="60"/>
      <c r="J2634" s="61"/>
      <c r="K2634" s="61"/>
      <c r="L2634" s="60"/>
      <c r="M2634" s="74" t="str">
        <f t="shared" si="331"/>
        <v/>
      </c>
      <c r="N2634" s="74" t="str">
        <f t="shared" si="332"/>
        <v/>
      </c>
      <c r="O2634" s="73" t="str">
        <f t="shared" si="333"/>
        <v/>
      </c>
      <c r="P2634" s="65" t="str">
        <f t="shared" ca="1" si="334"/>
        <v/>
      </c>
      <c r="Q2634" s="2"/>
      <c r="R2634" s="2"/>
      <c r="S2634" s="1" t="str">
        <f t="shared" si="335"/>
        <v/>
      </c>
      <c r="T2634" s="1" t="str">
        <f>IF(OR($C2634="",$D2634&lt;&gt;"Gelir",$L2634=""),"",IFERROR(INDEX(MUSTERILER!$B$7:$B$156,MATCH($S2634,MUSTERILER!$T$7:$T$156,0)),""))</f>
        <v/>
      </c>
      <c r="U2634" s="1" t="str">
        <f>IF($T2634="","",$T2634&amp;"|"&amp;COUNTIFS($T$7:$T2634,$T2634))</f>
        <v/>
      </c>
      <c r="V2634" s="1">
        <f t="shared" si="336"/>
        <v>0</v>
      </c>
      <c r="W2634" s="1" t="str">
        <f t="shared" si="337"/>
        <v/>
      </c>
      <c r="X2634" s="1"/>
      <c r="Y2634" s="1"/>
      <c r="Z2634" s="1"/>
      <c r="AA2634" s="1"/>
      <c r="AB2634" s="1"/>
      <c r="AC2634" s="1"/>
      <c r="AD2634" s="1">
        <f>IF($C2634="",0,SUMPRODUCT((AY_SONU!$O$7:$O$42="Evet")*(AY_SONU!$B$7:$B$42=DATE(YEAR($C2634),MONTH($C2634),1))))</f>
        <v>0</v>
      </c>
      <c r="AE2634" s="1" t="str">
        <f>IF($E2634="","",$E2634&amp;"|"&amp;COUNTIFS($E$7:$E2634,$E2634))</f>
        <v/>
      </c>
    </row>
    <row r="2635" spans="1:31" ht="18" customHeight="1" x14ac:dyDescent="0.3">
      <c r="A2635" s="2"/>
      <c r="B2635" s="65" t="str">
        <f t="shared" si="330"/>
        <v/>
      </c>
      <c r="C2635" s="66"/>
      <c r="D2635" s="60"/>
      <c r="E2635" s="61"/>
      <c r="F2635" s="61"/>
      <c r="G2635" s="67"/>
      <c r="H2635" s="60"/>
      <c r="I2635" s="60"/>
      <c r="J2635" s="61"/>
      <c r="K2635" s="61"/>
      <c r="L2635" s="60"/>
      <c r="M2635" s="74" t="str">
        <f t="shared" si="331"/>
        <v/>
      </c>
      <c r="N2635" s="74" t="str">
        <f t="shared" si="332"/>
        <v/>
      </c>
      <c r="O2635" s="73" t="str">
        <f t="shared" si="333"/>
        <v/>
      </c>
      <c r="P2635" s="65" t="str">
        <f t="shared" ca="1" si="334"/>
        <v/>
      </c>
      <c r="Q2635" s="2"/>
      <c r="R2635" s="2"/>
      <c r="S2635" s="1" t="str">
        <f t="shared" si="335"/>
        <v/>
      </c>
      <c r="T2635" s="1" t="str">
        <f>IF(OR($C2635="",$D2635&lt;&gt;"Gelir",$L2635=""),"",IFERROR(INDEX(MUSTERILER!$B$7:$B$156,MATCH($S2635,MUSTERILER!$T$7:$T$156,0)),""))</f>
        <v/>
      </c>
      <c r="U2635" s="1" t="str">
        <f>IF($T2635="","",$T2635&amp;"|"&amp;COUNTIFS($T$7:$T2635,$T2635))</f>
        <v/>
      </c>
      <c r="V2635" s="1">
        <f t="shared" si="336"/>
        <v>0</v>
      </c>
      <c r="W2635" s="1" t="str">
        <f t="shared" si="337"/>
        <v/>
      </c>
      <c r="X2635" s="1"/>
      <c r="Y2635" s="1"/>
      <c r="Z2635" s="1"/>
      <c r="AA2635" s="1"/>
      <c r="AB2635" s="1"/>
      <c r="AC2635" s="1"/>
      <c r="AD2635" s="1">
        <f>IF($C2635="",0,SUMPRODUCT((AY_SONU!$O$7:$O$42="Evet")*(AY_SONU!$B$7:$B$42=DATE(YEAR($C2635),MONTH($C2635),1))))</f>
        <v>0</v>
      </c>
      <c r="AE2635" s="1" t="str">
        <f>IF($E2635="","",$E2635&amp;"|"&amp;COUNTIFS($E$7:$E2635,$E2635))</f>
        <v/>
      </c>
    </row>
    <row r="2636" spans="1:31" ht="18" customHeight="1" x14ac:dyDescent="0.3">
      <c r="A2636" s="2"/>
      <c r="B2636" s="65" t="str">
        <f t="shared" si="330"/>
        <v/>
      </c>
      <c r="C2636" s="66"/>
      <c r="D2636" s="60"/>
      <c r="E2636" s="61"/>
      <c r="F2636" s="61"/>
      <c r="G2636" s="67"/>
      <c r="H2636" s="60"/>
      <c r="I2636" s="60"/>
      <c r="J2636" s="61"/>
      <c r="K2636" s="61"/>
      <c r="L2636" s="60"/>
      <c r="M2636" s="74" t="str">
        <f t="shared" si="331"/>
        <v/>
      </c>
      <c r="N2636" s="74" t="str">
        <f t="shared" si="332"/>
        <v/>
      </c>
      <c r="O2636" s="73" t="str">
        <f t="shared" si="333"/>
        <v/>
      </c>
      <c r="P2636" s="65" t="str">
        <f t="shared" ca="1" si="334"/>
        <v/>
      </c>
      <c r="Q2636" s="2"/>
      <c r="R2636" s="2"/>
      <c r="S2636" s="1" t="str">
        <f t="shared" si="335"/>
        <v/>
      </c>
      <c r="T2636" s="1" t="str">
        <f>IF(OR($C2636="",$D2636&lt;&gt;"Gelir",$L2636=""),"",IFERROR(INDEX(MUSTERILER!$B$7:$B$156,MATCH($S2636,MUSTERILER!$T$7:$T$156,0)),""))</f>
        <v/>
      </c>
      <c r="U2636" s="1" t="str">
        <f>IF($T2636="","",$T2636&amp;"|"&amp;COUNTIFS($T$7:$T2636,$T2636))</f>
        <v/>
      </c>
      <c r="V2636" s="1">
        <f t="shared" si="336"/>
        <v>0</v>
      </c>
      <c r="W2636" s="1" t="str">
        <f t="shared" si="337"/>
        <v/>
      </c>
      <c r="X2636" s="1"/>
      <c r="Y2636" s="1"/>
      <c r="Z2636" s="1"/>
      <c r="AA2636" s="1"/>
      <c r="AB2636" s="1"/>
      <c r="AC2636" s="1"/>
      <c r="AD2636" s="1">
        <f>IF($C2636="",0,SUMPRODUCT((AY_SONU!$O$7:$O$42="Evet")*(AY_SONU!$B$7:$B$42=DATE(YEAR($C2636),MONTH($C2636),1))))</f>
        <v>0</v>
      </c>
      <c r="AE2636" s="1" t="str">
        <f>IF($E2636="","",$E2636&amp;"|"&amp;COUNTIFS($E$7:$E2636,$E2636))</f>
        <v/>
      </c>
    </row>
    <row r="2637" spans="1:31" ht="18" customHeight="1" x14ac:dyDescent="0.3">
      <c r="A2637" s="2"/>
      <c r="B2637" s="65" t="str">
        <f t="shared" si="330"/>
        <v/>
      </c>
      <c r="C2637" s="66"/>
      <c r="D2637" s="60"/>
      <c r="E2637" s="61"/>
      <c r="F2637" s="61"/>
      <c r="G2637" s="67"/>
      <c r="H2637" s="60"/>
      <c r="I2637" s="60"/>
      <c r="J2637" s="61"/>
      <c r="K2637" s="61"/>
      <c r="L2637" s="60"/>
      <c r="M2637" s="74" t="str">
        <f t="shared" si="331"/>
        <v/>
      </c>
      <c r="N2637" s="74" t="str">
        <f t="shared" si="332"/>
        <v/>
      </c>
      <c r="O2637" s="73" t="str">
        <f t="shared" si="333"/>
        <v/>
      </c>
      <c r="P2637" s="65" t="str">
        <f t="shared" ca="1" si="334"/>
        <v/>
      </c>
      <c r="Q2637" s="2"/>
      <c r="R2637" s="2"/>
      <c r="S2637" s="1" t="str">
        <f t="shared" si="335"/>
        <v/>
      </c>
      <c r="T2637" s="1" t="str">
        <f>IF(OR($C2637="",$D2637&lt;&gt;"Gelir",$L2637=""),"",IFERROR(INDEX(MUSTERILER!$B$7:$B$156,MATCH($S2637,MUSTERILER!$T$7:$T$156,0)),""))</f>
        <v/>
      </c>
      <c r="U2637" s="1" t="str">
        <f>IF($T2637="","",$T2637&amp;"|"&amp;COUNTIFS($T$7:$T2637,$T2637))</f>
        <v/>
      </c>
      <c r="V2637" s="1">
        <f t="shared" si="336"/>
        <v>0</v>
      </c>
      <c r="W2637" s="1" t="str">
        <f t="shared" si="337"/>
        <v/>
      </c>
      <c r="X2637" s="1"/>
      <c r="Y2637" s="1"/>
      <c r="Z2637" s="1"/>
      <c r="AA2637" s="1"/>
      <c r="AB2637" s="1"/>
      <c r="AC2637" s="1"/>
      <c r="AD2637" s="1">
        <f>IF($C2637="",0,SUMPRODUCT((AY_SONU!$O$7:$O$42="Evet")*(AY_SONU!$B$7:$B$42=DATE(YEAR($C2637),MONTH($C2637),1))))</f>
        <v>0</v>
      </c>
      <c r="AE2637" s="1" t="str">
        <f>IF($E2637="","",$E2637&amp;"|"&amp;COUNTIFS($E$7:$E2637,$E2637))</f>
        <v/>
      </c>
    </row>
    <row r="2638" spans="1:31" ht="18" customHeight="1" x14ac:dyDescent="0.3">
      <c r="A2638" s="2"/>
      <c r="B2638" s="65" t="str">
        <f t="shared" si="330"/>
        <v/>
      </c>
      <c r="C2638" s="66"/>
      <c r="D2638" s="60"/>
      <c r="E2638" s="61"/>
      <c r="F2638" s="61"/>
      <c r="G2638" s="67"/>
      <c r="H2638" s="60"/>
      <c r="I2638" s="60"/>
      <c r="J2638" s="61"/>
      <c r="K2638" s="61"/>
      <c r="L2638" s="60"/>
      <c r="M2638" s="74" t="str">
        <f t="shared" si="331"/>
        <v/>
      </c>
      <c r="N2638" s="74" t="str">
        <f t="shared" si="332"/>
        <v/>
      </c>
      <c r="O2638" s="73" t="str">
        <f t="shared" si="333"/>
        <v/>
      </c>
      <c r="P2638" s="65" t="str">
        <f t="shared" ca="1" si="334"/>
        <v/>
      </c>
      <c r="Q2638" s="2"/>
      <c r="R2638" s="2"/>
      <c r="S2638" s="1" t="str">
        <f t="shared" si="335"/>
        <v/>
      </c>
      <c r="T2638" s="1" t="str">
        <f>IF(OR($C2638="",$D2638&lt;&gt;"Gelir",$L2638=""),"",IFERROR(INDEX(MUSTERILER!$B$7:$B$156,MATCH($S2638,MUSTERILER!$T$7:$T$156,0)),""))</f>
        <v/>
      </c>
      <c r="U2638" s="1" t="str">
        <f>IF($T2638="","",$T2638&amp;"|"&amp;COUNTIFS($T$7:$T2638,$T2638))</f>
        <v/>
      </c>
      <c r="V2638" s="1">
        <f t="shared" si="336"/>
        <v>0</v>
      </c>
      <c r="W2638" s="1" t="str">
        <f t="shared" si="337"/>
        <v/>
      </c>
      <c r="X2638" s="1"/>
      <c r="Y2638" s="1"/>
      <c r="Z2638" s="1"/>
      <c r="AA2638" s="1"/>
      <c r="AB2638" s="1"/>
      <c r="AC2638" s="1"/>
      <c r="AD2638" s="1">
        <f>IF($C2638="",0,SUMPRODUCT((AY_SONU!$O$7:$O$42="Evet")*(AY_SONU!$B$7:$B$42=DATE(YEAR($C2638),MONTH($C2638),1))))</f>
        <v>0</v>
      </c>
      <c r="AE2638" s="1" t="str">
        <f>IF($E2638="","",$E2638&amp;"|"&amp;COUNTIFS($E$7:$E2638,$E2638))</f>
        <v/>
      </c>
    </row>
    <row r="2639" spans="1:31" ht="18" customHeight="1" x14ac:dyDescent="0.3">
      <c r="A2639" s="2"/>
      <c r="B2639" s="65" t="str">
        <f t="shared" si="330"/>
        <v/>
      </c>
      <c r="C2639" s="66"/>
      <c r="D2639" s="60"/>
      <c r="E2639" s="61"/>
      <c r="F2639" s="61"/>
      <c r="G2639" s="67"/>
      <c r="H2639" s="60"/>
      <c r="I2639" s="60"/>
      <c r="J2639" s="61"/>
      <c r="K2639" s="61"/>
      <c r="L2639" s="60"/>
      <c r="M2639" s="74" t="str">
        <f t="shared" si="331"/>
        <v/>
      </c>
      <c r="N2639" s="74" t="str">
        <f t="shared" si="332"/>
        <v/>
      </c>
      <c r="O2639" s="73" t="str">
        <f t="shared" si="333"/>
        <v/>
      </c>
      <c r="P2639" s="65" t="str">
        <f t="shared" ca="1" si="334"/>
        <v/>
      </c>
      <c r="Q2639" s="2"/>
      <c r="R2639" s="2"/>
      <c r="S2639" s="1" t="str">
        <f t="shared" si="335"/>
        <v/>
      </c>
      <c r="T2639" s="1" t="str">
        <f>IF(OR($C2639="",$D2639&lt;&gt;"Gelir",$L2639=""),"",IFERROR(INDEX(MUSTERILER!$B$7:$B$156,MATCH($S2639,MUSTERILER!$T$7:$T$156,0)),""))</f>
        <v/>
      </c>
      <c r="U2639" s="1" t="str">
        <f>IF($T2639="","",$T2639&amp;"|"&amp;COUNTIFS($T$7:$T2639,$T2639))</f>
        <v/>
      </c>
      <c r="V2639" s="1">
        <f t="shared" si="336"/>
        <v>0</v>
      </c>
      <c r="W2639" s="1" t="str">
        <f t="shared" si="337"/>
        <v/>
      </c>
      <c r="X2639" s="1"/>
      <c r="Y2639" s="1"/>
      <c r="Z2639" s="1"/>
      <c r="AA2639" s="1"/>
      <c r="AB2639" s="1"/>
      <c r="AC2639" s="1"/>
      <c r="AD2639" s="1">
        <f>IF($C2639="",0,SUMPRODUCT((AY_SONU!$O$7:$O$42="Evet")*(AY_SONU!$B$7:$B$42=DATE(YEAR($C2639),MONTH($C2639),1))))</f>
        <v>0</v>
      </c>
      <c r="AE2639" s="1" t="str">
        <f>IF($E2639="","",$E2639&amp;"|"&amp;COUNTIFS($E$7:$E2639,$E2639))</f>
        <v/>
      </c>
    </row>
    <row r="2640" spans="1:31" ht="18" customHeight="1" x14ac:dyDescent="0.3">
      <c r="A2640" s="2"/>
      <c r="B2640" s="65" t="str">
        <f t="shared" si="330"/>
        <v/>
      </c>
      <c r="C2640" s="66"/>
      <c r="D2640" s="60"/>
      <c r="E2640" s="61"/>
      <c r="F2640" s="61"/>
      <c r="G2640" s="67"/>
      <c r="H2640" s="60"/>
      <c r="I2640" s="60"/>
      <c r="J2640" s="61"/>
      <c r="K2640" s="61"/>
      <c r="L2640" s="60"/>
      <c r="M2640" s="74" t="str">
        <f t="shared" si="331"/>
        <v/>
      </c>
      <c r="N2640" s="74" t="str">
        <f t="shared" si="332"/>
        <v/>
      </c>
      <c r="O2640" s="73" t="str">
        <f t="shared" si="333"/>
        <v/>
      </c>
      <c r="P2640" s="65" t="str">
        <f t="shared" ca="1" si="334"/>
        <v/>
      </c>
      <c r="Q2640" s="2"/>
      <c r="R2640" s="2"/>
      <c r="S2640" s="1" t="str">
        <f t="shared" si="335"/>
        <v/>
      </c>
      <c r="T2640" s="1" t="str">
        <f>IF(OR($C2640="",$D2640&lt;&gt;"Gelir",$L2640=""),"",IFERROR(INDEX(MUSTERILER!$B$7:$B$156,MATCH($S2640,MUSTERILER!$T$7:$T$156,0)),""))</f>
        <v/>
      </c>
      <c r="U2640" s="1" t="str">
        <f>IF($T2640="","",$T2640&amp;"|"&amp;COUNTIFS($T$7:$T2640,$T2640))</f>
        <v/>
      </c>
      <c r="V2640" s="1">
        <f t="shared" si="336"/>
        <v>0</v>
      </c>
      <c r="W2640" s="1" t="str">
        <f t="shared" si="337"/>
        <v/>
      </c>
      <c r="X2640" s="1"/>
      <c r="Y2640" s="1"/>
      <c r="Z2640" s="1"/>
      <c r="AA2640" s="1"/>
      <c r="AB2640" s="1"/>
      <c r="AC2640" s="1"/>
      <c r="AD2640" s="1">
        <f>IF($C2640="",0,SUMPRODUCT((AY_SONU!$O$7:$O$42="Evet")*(AY_SONU!$B$7:$B$42=DATE(YEAR($C2640),MONTH($C2640),1))))</f>
        <v>0</v>
      </c>
      <c r="AE2640" s="1" t="str">
        <f>IF($E2640="","",$E2640&amp;"|"&amp;COUNTIFS($E$7:$E2640,$E2640))</f>
        <v/>
      </c>
    </row>
    <row r="2641" spans="1:31" ht="18" customHeight="1" x14ac:dyDescent="0.3">
      <c r="A2641" s="2"/>
      <c r="B2641" s="65" t="str">
        <f t="shared" si="330"/>
        <v/>
      </c>
      <c r="C2641" s="66"/>
      <c r="D2641" s="60"/>
      <c r="E2641" s="61"/>
      <c r="F2641" s="61"/>
      <c r="G2641" s="67"/>
      <c r="H2641" s="60"/>
      <c r="I2641" s="60"/>
      <c r="J2641" s="61"/>
      <c r="K2641" s="61"/>
      <c r="L2641" s="60"/>
      <c r="M2641" s="74" t="str">
        <f t="shared" si="331"/>
        <v/>
      </c>
      <c r="N2641" s="74" t="str">
        <f t="shared" si="332"/>
        <v/>
      </c>
      <c r="O2641" s="73" t="str">
        <f t="shared" si="333"/>
        <v/>
      </c>
      <c r="P2641" s="65" t="str">
        <f t="shared" ca="1" si="334"/>
        <v/>
      </c>
      <c r="Q2641" s="2"/>
      <c r="R2641" s="2"/>
      <c r="S2641" s="1" t="str">
        <f t="shared" si="335"/>
        <v/>
      </c>
      <c r="T2641" s="1" t="str">
        <f>IF(OR($C2641="",$D2641&lt;&gt;"Gelir",$L2641=""),"",IFERROR(INDEX(MUSTERILER!$B$7:$B$156,MATCH($S2641,MUSTERILER!$T$7:$T$156,0)),""))</f>
        <v/>
      </c>
      <c r="U2641" s="1" t="str">
        <f>IF($T2641="","",$T2641&amp;"|"&amp;COUNTIFS($T$7:$T2641,$T2641))</f>
        <v/>
      </c>
      <c r="V2641" s="1">
        <f t="shared" si="336"/>
        <v>0</v>
      </c>
      <c r="W2641" s="1" t="str">
        <f t="shared" si="337"/>
        <v/>
      </c>
      <c r="X2641" s="1"/>
      <c r="Y2641" s="1"/>
      <c r="Z2641" s="1"/>
      <c r="AA2641" s="1"/>
      <c r="AB2641" s="1"/>
      <c r="AC2641" s="1"/>
      <c r="AD2641" s="1">
        <f>IF($C2641="",0,SUMPRODUCT((AY_SONU!$O$7:$O$42="Evet")*(AY_SONU!$B$7:$B$42=DATE(YEAR($C2641),MONTH($C2641),1))))</f>
        <v>0</v>
      </c>
      <c r="AE2641" s="1" t="str">
        <f>IF($E2641="","",$E2641&amp;"|"&amp;COUNTIFS($E$7:$E2641,$E2641))</f>
        <v/>
      </c>
    </row>
    <row r="2642" spans="1:31" ht="18" customHeight="1" x14ac:dyDescent="0.3">
      <c r="A2642" s="2"/>
      <c r="B2642" s="65" t="str">
        <f t="shared" si="330"/>
        <v/>
      </c>
      <c r="C2642" s="66"/>
      <c r="D2642" s="60"/>
      <c r="E2642" s="61"/>
      <c r="F2642" s="61"/>
      <c r="G2642" s="67"/>
      <c r="H2642" s="60"/>
      <c r="I2642" s="60"/>
      <c r="J2642" s="61"/>
      <c r="K2642" s="61"/>
      <c r="L2642" s="60"/>
      <c r="M2642" s="74" t="str">
        <f t="shared" si="331"/>
        <v/>
      </c>
      <c r="N2642" s="74" t="str">
        <f t="shared" si="332"/>
        <v/>
      </c>
      <c r="O2642" s="73" t="str">
        <f t="shared" si="333"/>
        <v/>
      </c>
      <c r="P2642" s="65" t="str">
        <f t="shared" ca="1" si="334"/>
        <v/>
      </c>
      <c r="Q2642" s="2"/>
      <c r="R2642" s="2"/>
      <c r="S2642" s="1" t="str">
        <f t="shared" si="335"/>
        <v/>
      </c>
      <c r="T2642" s="1" t="str">
        <f>IF(OR($C2642="",$D2642&lt;&gt;"Gelir",$L2642=""),"",IFERROR(INDEX(MUSTERILER!$B$7:$B$156,MATCH($S2642,MUSTERILER!$T$7:$T$156,0)),""))</f>
        <v/>
      </c>
      <c r="U2642" s="1" t="str">
        <f>IF($T2642="","",$T2642&amp;"|"&amp;COUNTIFS($T$7:$T2642,$T2642))</f>
        <v/>
      </c>
      <c r="V2642" s="1">
        <f t="shared" si="336"/>
        <v>0</v>
      </c>
      <c r="W2642" s="1" t="str">
        <f t="shared" si="337"/>
        <v/>
      </c>
      <c r="X2642" s="1"/>
      <c r="Y2642" s="1"/>
      <c r="Z2642" s="1"/>
      <c r="AA2642" s="1"/>
      <c r="AB2642" s="1"/>
      <c r="AC2642" s="1"/>
      <c r="AD2642" s="1">
        <f>IF($C2642="",0,SUMPRODUCT((AY_SONU!$O$7:$O$42="Evet")*(AY_SONU!$B$7:$B$42=DATE(YEAR($C2642),MONTH($C2642),1))))</f>
        <v>0</v>
      </c>
      <c r="AE2642" s="1" t="str">
        <f>IF($E2642="","",$E2642&amp;"|"&amp;COUNTIFS($E$7:$E2642,$E2642))</f>
        <v/>
      </c>
    </row>
    <row r="2643" spans="1:31" ht="18" customHeight="1" x14ac:dyDescent="0.3">
      <c r="A2643" s="2"/>
      <c r="B2643" s="65" t="str">
        <f t="shared" si="330"/>
        <v/>
      </c>
      <c r="C2643" s="66"/>
      <c r="D2643" s="60"/>
      <c r="E2643" s="61"/>
      <c r="F2643" s="61"/>
      <c r="G2643" s="67"/>
      <c r="H2643" s="60"/>
      <c r="I2643" s="60"/>
      <c r="J2643" s="61"/>
      <c r="K2643" s="61"/>
      <c r="L2643" s="60"/>
      <c r="M2643" s="74" t="str">
        <f t="shared" si="331"/>
        <v/>
      </c>
      <c r="N2643" s="74" t="str">
        <f t="shared" si="332"/>
        <v/>
      </c>
      <c r="O2643" s="73" t="str">
        <f t="shared" si="333"/>
        <v/>
      </c>
      <c r="P2643" s="65" t="str">
        <f t="shared" ca="1" si="334"/>
        <v/>
      </c>
      <c r="Q2643" s="2"/>
      <c r="R2643" s="2"/>
      <c r="S2643" s="1" t="str">
        <f t="shared" si="335"/>
        <v/>
      </c>
      <c r="T2643" s="1" t="str">
        <f>IF(OR($C2643="",$D2643&lt;&gt;"Gelir",$L2643=""),"",IFERROR(INDEX(MUSTERILER!$B$7:$B$156,MATCH($S2643,MUSTERILER!$T$7:$T$156,0)),""))</f>
        <v/>
      </c>
      <c r="U2643" s="1" t="str">
        <f>IF($T2643="","",$T2643&amp;"|"&amp;COUNTIFS($T$7:$T2643,$T2643))</f>
        <v/>
      </c>
      <c r="V2643" s="1">
        <f t="shared" si="336"/>
        <v>0</v>
      </c>
      <c r="W2643" s="1" t="str">
        <f t="shared" si="337"/>
        <v/>
      </c>
      <c r="X2643" s="1"/>
      <c r="Y2643" s="1"/>
      <c r="Z2643" s="1"/>
      <c r="AA2643" s="1"/>
      <c r="AB2643" s="1"/>
      <c r="AC2643" s="1"/>
      <c r="AD2643" s="1">
        <f>IF($C2643="",0,SUMPRODUCT((AY_SONU!$O$7:$O$42="Evet")*(AY_SONU!$B$7:$B$42=DATE(YEAR($C2643),MONTH($C2643),1))))</f>
        <v>0</v>
      </c>
      <c r="AE2643" s="1" t="str">
        <f>IF($E2643="","",$E2643&amp;"|"&amp;COUNTIFS($E$7:$E2643,$E2643))</f>
        <v/>
      </c>
    </row>
    <row r="2644" spans="1:31" ht="18" customHeight="1" x14ac:dyDescent="0.3">
      <c r="A2644" s="2"/>
      <c r="B2644" s="65" t="str">
        <f t="shared" si="330"/>
        <v/>
      </c>
      <c r="C2644" s="66"/>
      <c r="D2644" s="60"/>
      <c r="E2644" s="61"/>
      <c r="F2644" s="61"/>
      <c r="G2644" s="67"/>
      <c r="H2644" s="60"/>
      <c r="I2644" s="60"/>
      <c r="J2644" s="61"/>
      <c r="K2644" s="61"/>
      <c r="L2644" s="60"/>
      <c r="M2644" s="74" t="str">
        <f t="shared" si="331"/>
        <v/>
      </c>
      <c r="N2644" s="74" t="str">
        <f t="shared" si="332"/>
        <v/>
      </c>
      <c r="O2644" s="73" t="str">
        <f t="shared" si="333"/>
        <v/>
      </c>
      <c r="P2644" s="65" t="str">
        <f t="shared" ca="1" si="334"/>
        <v/>
      </c>
      <c r="Q2644" s="2"/>
      <c r="R2644" s="2"/>
      <c r="S2644" s="1" t="str">
        <f t="shared" si="335"/>
        <v/>
      </c>
      <c r="T2644" s="1" t="str">
        <f>IF(OR($C2644="",$D2644&lt;&gt;"Gelir",$L2644=""),"",IFERROR(INDEX(MUSTERILER!$B$7:$B$156,MATCH($S2644,MUSTERILER!$T$7:$T$156,0)),""))</f>
        <v/>
      </c>
      <c r="U2644" s="1" t="str">
        <f>IF($T2644="","",$T2644&amp;"|"&amp;COUNTIFS($T$7:$T2644,$T2644))</f>
        <v/>
      </c>
      <c r="V2644" s="1">
        <f t="shared" si="336"/>
        <v>0</v>
      </c>
      <c r="W2644" s="1" t="str">
        <f t="shared" si="337"/>
        <v/>
      </c>
      <c r="X2644" s="1"/>
      <c r="Y2644" s="1"/>
      <c r="Z2644" s="1"/>
      <c r="AA2644" s="1"/>
      <c r="AB2644" s="1"/>
      <c r="AC2644" s="1"/>
      <c r="AD2644" s="1">
        <f>IF($C2644="",0,SUMPRODUCT((AY_SONU!$O$7:$O$42="Evet")*(AY_SONU!$B$7:$B$42=DATE(YEAR($C2644),MONTH($C2644),1))))</f>
        <v>0</v>
      </c>
      <c r="AE2644" s="1" t="str">
        <f>IF($E2644="","",$E2644&amp;"|"&amp;COUNTIFS($E$7:$E2644,$E2644))</f>
        <v/>
      </c>
    </row>
    <row r="2645" spans="1:31" ht="18" customHeight="1" x14ac:dyDescent="0.3">
      <c r="A2645" s="2"/>
      <c r="B2645" s="65" t="str">
        <f t="shared" si="330"/>
        <v/>
      </c>
      <c r="C2645" s="66"/>
      <c r="D2645" s="60"/>
      <c r="E2645" s="61"/>
      <c r="F2645" s="61"/>
      <c r="G2645" s="67"/>
      <c r="H2645" s="60"/>
      <c r="I2645" s="60"/>
      <c r="J2645" s="61"/>
      <c r="K2645" s="61"/>
      <c r="L2645" s="60"/>
      <c r="M2645" s="74" t="str">
        <f t="shared" si="331"/>
        <v/>
      </c>
      <c r="N2645" s="74" t="str">
        <f t="shared" si="332"/>
        <v/>
      </c>
      <c r="O2645" s="73" t="str">
        <f t="shared" si="333"/>
        <v/>
      </c>
      <c r="P2645" s="65" t="str">
        <f t="shared" ca="1" si="334"/>
        <v/>
      </c>
      <c r="Q2645" s="2"/>
      <c r="R2645" s="2"/>
      <c r="S2645" s="1" t="str">
        <f t="shared" si="335"/>
        <v/>
      </c>
      <c r="T2645" s="1" t="str">
        <f>IF(OR($C2645="",$D2645&lt;&gt;"Gelir",$L2645=""),"",IFERROR(INDEX(MUSTERILER!$B$7:$B$156,MATCH($S2645,MUSTERILER!$T$7:$T$156,0)),""))</f>
        <v/>
      </c>
      <c r="U2645" s="1" t="str">
        <f>IF($T2645="","",$T2645&amp;"|"&amp;COUNTIFS($T$7:$T2645,$T2645))</f>
        <v/>
      </c>
      <c r="V2645" s="1">
        <f t="shared" si="336"/>
        <v>0</v>
      </c>
      <c r="W2645" s="1" t="str">
        <f t="shared" si="337"/>
        <v/>
      </c>
      <c r="X2645" s="1"/>
      <c r="Y2645" s="1"/>
      <c r="Z2645" s="1"/>
      <c r="AA2645" s="1"/>
      <c r="AB2645" s="1"/>
      <c r="AC2645" s="1"/>
      <c r="AD2645" s="1">
        <f>IF($C2645="",0,SUMPRODUCT((AY_SONU!$O$7:$O$42="Evet")*(AY_SONU!$B$7:$B$42=DATE(YEAR($C2645),MONTH($C2645),1))))</f>
        <v>0</v>
      </c>
      <c r="AE2645" s="1" t="str">
        <f>IF($E2645="","",$E2645&amp;"|"&amp;COUNTIFS($E$7:$E2645,$E2645))</f>
        <v/>
      </c>
    </row>
    <row r="2646" spans="1:31" ht="18" customHeight="1" x14ac:dyDescent="0.3">
      <c r="A2646" s="2"/>
      <c r="B2646" s="65" t="str">
        <f t="shared" si="330"/>
        <v/>
      </c>
      <c r="C2646" s="66"/>
      <c r="D2646" s="60"/>
      <c r="E2646" s="61"/>
      <c r="F2646" s="61"/>
      <c r="G2646" s="67"/>
      <c r="H2646" s="60"/>
      <c r="I2646" s="60"/>
      <c r="J2646" s="61"/>
      <c r="K2646" s="61"/>
      <c r="L2646" s="60"/>
      <c r="M2646" s="74" t="str">
        <f t="shared" si="331"/>
        <v/>
      </c>
      <c r="N2646" s="74" t="str">
        <f t="shared" si="332"/>
        <v/>
      </c>
      <c r="O2646" s="73" t="str">
        <f t="shared" si="333"/>
        <v/>
      </c>
      <c r="P2646" s="65" t="str">
        <f t="shared" ca="1" si="334"/>
        <v/>
      </c>
      <c r="Q2646" s="2"/>
      <c r="R2646" s="2"/>
      <c r="S2646" s="1" t="str">
        <f t="shared" si="335"/>
        <v/>
      </c>
      <c r="T2646" s="1" t="str">
        <f>IF(OR($C2646="",$D2646&lt;&gt;"Gelir",$L2646=""),"",IFERROR(INDEX(MUSTERILER!$B$7:$B$156,MATCH($S2646,MUSTERILER!$T$7:$T$156,0)),""))</f>
        <v/>
      </c>
      <c r="U2646" s="1" t="str">
        <f>IF($T2646="","",$T2646&amp;"|"&amp;COUNTIFS($T$7:$T2646,$T2646))</f>
        <v/>
      </c>
      <c r="V2646" s="1">
        <f t="shared" si="336"/>
        <v>0</v>
      </c>
      <c r="W2646" s="1" t="str">
        <f t="shared" si="337"/>
        <v/>
      </c>
      <c r="X2646" s="1"/>
      <c r="Y2646" s="1"/>
      <c r="Z2646" s="1"/>
      <c r="AA2646" s="1"/>
      <c r="AB2646" s="1"/>
      <c r="AC2646" s="1"/>
      <c r="AD2646" s="1">
        <f>IF($C2646="",0,SUMPRODUCT((AY_SONU!$O$7:$O$42="Evet")*(AY_SONU!$B$7:$B$42=DATE(YEAR($C2646),MONTH($C2646),1))))</f>
        <v>0</v>
      </c>
      <c r="AE2646" s="1" t="str">
        <f>IF($E2646="","",$E2646&amp;"|"&amp;COUNTIFS($E$7:$E2646,$E2646))</f>
        <v/>
      </c>
    </row>
    <row r="2647" spans="1:31" ht="18" customHeight="1" x14ac:dyDescent="0.3">
      <c r="A2647" s="2"/>
      <c r="B2647" s="65" t="str">
        <f t="shared" si="330"/>
        <v/>
      </c>
      <c r="C2647" s="66"/>
      <c r="D2647" s="60"/>
      <c r="E2647" s="61"/>
      <c r="F2647" s="61"/>
      <c r="G2647" s="67"/>
      <c r="H2647" s="60"/>
      <c r="I2647" s="60"/>
      <c r="J2647" s="61"/>
      <c r="K2647" s="61"/>
      <c r="L2647" s="60"/>
      <c r="M2647" s="74" t="str">
        <f t="shared" si="331"/>
        <v/>
      </c>
      <c r="N2647" s="74" t="str">
        <f t="shared" si="332"/>
        <v/>
      </c>
      <c r="O2647" s="73" t="str">
        <f t="shared" si="333"/>
        <v/>
      </c>
      <c r="P2647" s="65" t="str">
        <f t="shared" ca="1" si="334"/>
        <v/>
      </c>
      <c r="Q2647" s="2"/>
      <c r="R2647" s="2"/>
      <c r="S2647" s="1" t="str">
        <f t="shared" si="335"/>
        <v/>
      </c>
      <c r="T2647" s="1" t="str">
        <f>IF(OR($C2647="",$D2647&lt;&gt;"Gelir",$L2647=""),"",IFERROR(INDEX(MUSTERILER!$B$7:$B$156,MATCH($S2647,MUSTERILER!$T$7:$T$156,0)),""))</f>
        <v/>
      </c>
      <c r="U2647" s="1" t="str">
        <f>IF($T2647="","",$T2647&amp;"|"&amp;COUNTIFS($T$7:$T2647,$T2647))</f>
        <v/>
      </c>
      <c r="V2647" s="1">
        <f t="shared" si="336"/>
        <v>0</v>
      </c>
      <c r="W2647" s="1" t="str">
        <f t="shared" si="337"/>
        <v/>
      </c>
      <c r="X2647" s="1"/>
      <c r="Y2647" s="1"/>
      <c r="Z2647" s="1"/>
      <c r="AA2647" s="1"/>
      <c r="AB2647" s="1"/>
      <c r="AC2647" s="1"/>
      <c r="AD2647" s="1">
        <f>IF($C2647="",0,SUMPRODUCT((AY_SONU!$O$7:$O$42="Evet")*(AY_SONU!$B$7:$B$42=DATE(YEAR($C2647),MONTH($C2647),1))))</f>
        <v>0</v>
      </c>
      <c r="AE2647" s="1" t="str">
        <f>IF($E2647="","",$E2647&amp;"|"&amp;COUNTIFS($E$7:$E2647,$E2647))</f>
        <v/>
      </c>
    </row>
    <row r="2648" spans="1:31" ht="18" customHeight="1" x14ac:dyDescent="0.3">
      <c r="A2648" s="2"/>
      <c r="B2648" s="65" t="str">
        <f t="shared" si="330"/>
        <v/>
      </c>
      <c r="C2648" s="66"/>
      <c r="D2648" s="60"/>
      <c r="E2648" s="61"/>
      <c r="F2648" s="61"/>
      <c r="G2648" s="67"/>
      <c r="H2648" s="60"/>
      <c r="I2648" s="60"/>
      <c r="J2648" s="61"/>
      <c r="K2648" s="61"/>
      <c r="L2648" s="60"/>
      <c r="M2648" s="74" t="str">
        <f t="shared" si="331"/>
        <v/>
      </c>
      <c r="N2648" s="74" t="str">
        <f t="shared" si="332"/>
        <v/>
      </c>
      <c r="O2648" s="73" t="str">
        <f t="shared" si="333"/>
        <v/>
      </c>
      <c r="P2648" s="65" t="str">
        <f t="shared" ca="1" si="334"/>
        <v/>
      </c>
      <c r="Q2648" s="2"/>
      <c r="R2648" s="2"/>
      <c r="S2648" s="1" t="str">
        <f t="shared" si="335"/>
        <v/>
      </c>
      <c r="T2648" s="1" t="str">
        <f>IF(OR($C2648="",$D2648&lt;&gt;"Gelir",$L2648=""),"",IFERROR(INDEX(MUSTERILER!$B$7:$B$156,MATCH($S2648,MUSTERILER!$T$7:$T$156,0)),""))</f>
        <v/>
      </c>
      <c r="U2648" s="1" t="str">
        <f>IF($T2648="","",$T2648&amp;"|"&amp;COUNTIFS($T$7:$T2648,$T2648))</f>
        <v/>
      </c>
      <c r="V2648" s="1">
        <f t="shared" si="336"/>
        <v>0</v>
      </c>
      <c r="W2648" s="1" t="str">
        <f t="shared" si="337"/>
        <v/>
      </c>
      <c r="X2648" s="1"/>
      <c r="Y2648" s="1"/>
      <c r="Z2648" s="1"/>
      <c r="AA2648" s="1"/>
      <c r="AB2648" s="1"/>
      <c r="AC2648" s="1"/>
      <c r="AD2648" s="1">
        <f>IF($C2648="",0,SUMPRODUCT((AY_SONU!$O$7:$O$42="Evet")*(AY_SONU!$B$7:$B$42=DATE(YEAR($C2648),MONTH($C2648),1))))</f>
        <v>0</v>
      </c>
      <c r="AE2648" s="1" t="str">
        <f>IF($E2648="","",$E2648&amp;"|"&amp;COUNTIFS($E$7:$E2648,$E2648))</f>
        <v/>
      </c>
    </row>
    <row r="2649" spans="1:31" ht="18" customHeight="1" x14ac:dyDescent="0.3">
      <c r="A2649" s="2"/>
      <c r="B2649" s="65" t="str">
        <f t="shared" si="330"/>
        <v/>
      </c>
      <c r="C2649" s="66"/>
      <c r="D2649" s="60"/>
      <c r="E2649" s="61"/>
      <c r="F2649" s="61"/>
      <c r="G2649" s="67"/>
      <c r="H2649" s="60"/>
      <c r="I2649" s="60"/>
      <c r="J2649" s="61"/>
      <c r="K2649" s="61"/>
      <c r="L2649" s="60"/>
      <c r="M2649" s="74" t="str">
        <f t="shared" si="331"/>
        <v/>
      </c>
      <c r="N2649" s="74" t="str">
        <f t="shared" si="332"/>
        <v/>
      </c>
      <c r="O2649" s="73" t="str">
        <f t="shared" si="333"/>
        <v/>
      </c>
      <c r="P2649" s="65" t="str">
        <f t="shared" ca="1" si="334"/>
        <v/>
      </c>
      <c r="Q2649" s="2"/>
      <c r="R2649" s="2"/>
      <c r="S2649" s="1" t="str">
        <f t="shared" si="335"/>
        <v/>
      </c>
      <c r="T2649" s="1" t="str">
        <f>IF(OR($C2649="",$D2649&lt;&gt;"Gelir",$L2649=""),"",IFERROR(INDEX(MUSTERILER!$B$7:$B$156,MATCH($S2649,MUSTERILER!$T$7:$T$156,0)),""))</f>
        <v/>
      </c>
      <c r="U2649" s="1" t="str">
        <f>IF($T2649="","",$T2649&amp;"|"&amp;COUNTIFS($T$7:$T2649,$T2649))</f>
        <v/>
      </c>
      <c r="V2649" s="1">
        <f t="shared" si="336"/>
        <v>0</v>
      </c>
      <c r="W2649" s="1" t="str">
        <f t="shared" si="337"/>
        <v/>
      </c>
      <c r="X2649" s="1"/>
      <c r="Y2649" s="1"/>
      <c r="Z2649" s="1"/>
      <c r="AA2649" s="1"/>
      <c r="AB2649" s="1"/>
      <c r="AC2649" s="1"/>
      <c r="AD2649" s="1">
        <f>IF($C2649="",0,SUMPRODUCT((AY_SONU!$O$7:$O$42="Evet")*(AY_SONU!$B$7:$B$42=DATE(YEAR($C2649),MONTH($C2649),1))))</f>
        <v>0</v>
      </c>
      <c r="AE2649" s="1" t="str">
        <f>IF($E2649="","",$E2649&amp;"|"&amp;COUNTIFS($E$7:$E2649,$E2649))</f>
        <v/>
      </c>
    </row>
    <row r="2650" spans="1:31" ht="18" customHeight="1" x14ac:dyDescent="0.3">
      <c r="A2650" s="2"/>
      <c r="B2650" s="65" t="str">
        <f t="shared" si="330"/>
        <v/>
      </c>
      <c r="C2650" s="66"/>
      <c r="D2650" s="60"/>
      <c r="E2650" s="61"/>
      <c r="F2650" s="61"/>
      <c r="G2650" s="67"/>
      <c r="H2650" s="60"/>
      <c r="I2650" s="60"/>
      <c r="J2650" s="61"/>
      <c r="K2650" s="61"/>
      <c r="L2650" s="60"/>
      <c r="M2650" s="74" t="str">
        <f t="shared" si="331"/>
        <v/>
      </c>
      <c r="N2650" s="74" t="str">
        <f t="shared" si="332"/>
        <v/>
      </c>
      <c r="O2650" s="73" t="str">
        <f t="shared" si="333"/>
        <v/>
      </c>
      <c r="P2650" s="65" t="str">
        <f t="shared" ca="1" si="334"/>
        <v/>
      </c>
      <c r="Q2650" s="2"/>
      <c r="R2650" s="2"/>
      <c r="S2650" s="1" t="str">
        <f t="shared" si="335"/>
        <v/>
      </c>
      <c r="T2650" s="1" t="str">
        <f>IF(OR($C2650="",$D2650&lt;&gt;"Gelir",$L2650=""),"",IFERROR(INDEX(MUSTERILER!$B$7:$B$156,MATCH($S2650,MUSTERILER!$T$7:$T$156,0)),""))</f>
        <v/>
      </c>
      <c r="U2650" s="1" t="str">
        <f>IF($T2650="","",$T2650&amp;"|"&amp;COUNTIFS($T$7:$T2650,$T2650))</f>
        <v/>
      </c>
      <c r="V2650" s="1">
        <f t="shared" si="336"/>
        <v>0</v>
      </c>
      <c r="W2650" s="1" t="str">
        <f t="shared" si="337"/>
        <v/>
      </c>
      <c r="X2650" s="1"/>
      <c r="Y2650" s="1"/>
      <c r="Z2650" s="1"/>
      <c r="AA2650" s="1"/>
      <c r="AB2650" s="1"/>
      <c r="AC2650" s="1"/>
      <c r="AD2650" s="1">
        <f>IF($C2650="",0,SUMPRODUCT((AY_SONU!$O$7:$O$42="Evet")*(AY_SONU!$B$7:$B$42=DATE(YEAR($C2650),MONTH($C2650),1))))</f>
        <v>0</v>
      </c>
      <c r="AE2650" s="1" t="str">
        <f>IF($E2650="","",$E2650&amp;"|"&amp;COUNTIFS($E$7:$E2650,$E2650))</f>
        <v/>
      </c>
    </row>
    <row r="2651" spans="1:31" ht="18" customHeight="1" x14ac:dyDescent="0.3">
      <c r="A2651" s="2"/>
      <c r="B2651" s="65" t="str">
        <f t="shared" si="330"/>
        <v/>
      </c>
      <c r="C2651" s="66"/>
      <c r="D2651" s="60"/>
      <c r="E2651" s="61"/>
      <c r="F2651" s="61"/>
      <c r="G2651" s="67"/>
      <c r="H2651" s="60"/>
      <c r="I2651" s="60"/>
      <c r="J2651" s="61"/>
      <c r="K2651" s="61"/>
      <c r="L2651" s="60"/>
      <c r="M2651" s="74" t="str">
        <f t="shared" si="331"/>
        <v/>
      </c>
      <c r="N2651" s="74" t="str">
        <f t="shared" si="332"/>
        <v/>
      </c>
      <c r="O2651" s="73" t="str">
        <f t="shared" si="333"/>
        <v/>
      </c>
      <c r="P2651" s="65" t="str">
        <f t="shared" ca="1" si="334"/>
        <v/>
      </c>
      <c r="Q2651" s="2"/>
      <c r="R2651" s="2"/>
      <c r="S2651" s="1" t="str">
        <f t="shared" si="335"/>
        <v/>
      </c>
      <c r="T2651" s="1" t="str">
        <f>IF(OR($C2651="",$D2651&lt;&gt;"Gelir",$L2651=""),"",IFERROR(INDEX(MUSTERILER!$B$7:$B$156,MATCH($S2651,MUSTERILER!$T$7:$T$156,0)),""))</f>
        <v/>
      </c>
      <c r="U2651" s="1" t="str">
        <f>IF($T2651="","",$T2651&amp;"|"&amp;COUNTIFS($T$7:$T2651,$T2651))</f>
        <v/>
      </c>
      <c r="V2651" s="1">
        <f t="shared" si="336"/>
        <v>0</v>
      </c>
      <c r="W2651" s="1" t="str">
        <f t="shared" si="337"/>
        <v/>
      </c>
      <c r="X2651" s="1"/>
      <c r="Y2651" s="1"/>
      <c r="Z2651" s="1"/>
      <c r="AA2651" s="1"/>
      <c r="AB2651" s="1"/>
      <c r="AC2651" s="1"/>
      <c r="AD2651" s="1">
        <f>IF($C2651="",0,SUMPRODUCT((AY_SONU!$O$7:$O$42="Evet")*(AY_SONU!$B$7:$B$42=DATE(YEAR($C2651),MONTH($C2651),1))))</f>
        <v>0</v>
      </c>
      <c r="AE2651" s="1" t="str">
        <f>IF($E2651="","",$E2651&amp;"|"&amp;COUNTIFS($E$7:$E2651,$E2651))</f>
        <v/>
      </c>
    </row>
    <row r="2652" spans="1:31" ht="18" customHeight="1" x14ac:dyDescent="0.3">
      <c r="A2652" s="2"/>
      <c r="B2652" s="65" t="str">
        <f t="shared" si="330"/>
        <v/>
      </c>
      <c r="C2652" s="66"/>
      <c r="D2652" s="60"/>
      <c r="E2652" s="61"/>
      <c r="F2652" s="61"/>
      <c r="G2652" s="67"/>
      <c r="H2652" s="60"/>
      <c r="I2652" s="60"/>
      <c r="J2652" s="61"/>
      <c r="K2652" s="61"/>
      <c r="L2652" s="60"/>
      <c r="M2652" s="74" t="str">
        <f t="shared" si="331"/>
        <v/>
      </c>
      <c r="N2652" s="74" t="str">
        <f t="shared" si="332"/>
        <v/>
      </c>
      <c r="O2652" s="73" t="str">
        <f t="shared" si="333"/>
        <v/>
      </c>
      <c r="P2652" s="65" t="str">
        <f t="shared" ca="1" si="334"/>
        <v/>
      </c>
      <c r="Q2652" s="2"/>
      <c r="R2652" s="2"/>
      <c r="S2652" s="1" t="str">
        <f t="shared" si="335"/>
        <v/>
      </c>
      <c r="T2652" s="1" t="str">
        <f>IF(OR($C2652="",$D2652&lt;&gt;"Gelir",$L2652=""),"",IFERROR(INDEX(MUSTERILER!$B$7:$B$156,MATCH($S2652,MUSTERILER!$T$7:$T$156,0)),""))</f>
        <v/>
      </c>
      <c r="U2652" s="1" t="str">
        <f>IF($T2652="","",$T2652&amp;"|"&amp;COUNTIFS($T$7:$T2652,$T2652))</f>
        <v/>
      </c>
      <c r="V2652" s="1">
        <f t="shared" si="336"/>
        <v>0</v>
      </c>
      <c r="W2652" s="1" t="str">
        <f t="shared" si="337"/>
        <v/>
      </c>
      <c r="X2652" s="1"/>
      <c r="Y2652" s="1"/>
      <c r="Z2652" s="1"/>
      <c r="AA2652" s="1"/>
      <c r="AB2652" s="1"/>
      <c r="AC2652" s="1"/>
      <c r="AD2652" s="1">
        <f>IF($C2652="",0,SUMPRODUCT((AY_SONU!$O$7:$O$42="Evet")*(AY_SONU!$B$7:$B$42=DATE(YEAR($C2652),MONTH($C2652),1))))</f>
        <v>0</v>
      </c>
      <c r="AE2652" s="1" t="str">
        <f>IF($E2652="","",$E2652&amp;"|"&amp;COUNTIFS($E$7:$E2652,$E2652))</f>
        <v/>
      </c>
    </row>
    <row r="2653" spans="1:31" ht="18" customHeight="1" x14ac:dyDescent="0.3">
      <c r="A2653" s="2"/>
      <c r="B2653" s="65" t="str">
        <f t="shared" si="330"/>
        <v/>
      </c>
      <c r="C2653" s="66"/>
      <c r="D2653" s="60"/>
      <c r="E2653" s="61"/>
      <c r="F2653" s="61"/>
      <c r="G2653" s="67"/>
      <c r="H2653" s="60"/>
      <c r="I2653" s="60"/>
      <c r="J2653" s="61"/>
      <c r="K2653" s="61"/>
      <c r="L2653" s="60"/>
      <c r="M2653" s="74" t="str">
        <f t="shared" si="331"/>
        <v/>
      </c>
      <c r="N2653" s="74" t="str">
        <f t="shared" si="332"/>
        <v/>
      </c>
      <c r="O2653" s="73" t="str">
        <f t="shared" si="333"/>
        <v/>
      </c>
      <c r="P2653" s="65" t="str">
        <f t="shared" ca="1" si="334"/>
        <v/>
      </c>
      <c r="Q2653" s="2"/>
      <c r="R2653" s="2"/>
      <c r="S2653" s="1" t="str">
        <f t="shared" si="335"/>
        <v/>
      </c>
      <c r="T2653" s="1" t="str">
        <f>IF(OR($C2653="",$D2653&lt;&gt;"Gelir",$L2653=""),"",IFERROR(INDEX(MUSTERILER!$B$7:$B$156,MATCH($S2653,MUSTERILER!$T$7:$T$156,0)),""))</f>
        <v/>
      </c>
      <c r="U2653" s="1" t="str">
        <f>IF($T2653="","",$T2653&amp;"|"&amp;COUNTIFS($T$7:$T2653,$T2653))</f>
        <v/>
      </c>
      <c r="V2653" s="1">
        <f t="shared" si="336"/>
        <v>0</v>
      </c>
      <c r="W2653" s="1" t="str">
        <f t="shared" si="337"/>
        <v/>
      </c>
      <c r="X2653" s="1"/>
      <c r="Y2653" s="1"/>
      <c r="Z2653" s="1"/>
      <c r="AA2653" s="1"/>
      <c r="AB2653" s="1"/>
      <c r="AC2653" s="1"/>
      <c r="AD2653" s="1">
        <f>IF($C2653="",0,SUMPRODUCT((AY_SONU!$O$7:$O$42="Evet")*(AY_SONU!$B$7:$B$42=DATE(YEAR($C2653),MONTH($C2653),1))))</f>
        <v>0</v>
      </c>
      <c r="AE2653" s="1" t="str">
        <f>IF($E2653="","",$E2653&amp;"|"&amp;COUNTIFS($E$7:$E2653,$E2653))</f>
        <v/>
      </c>
    </row>
    <row r="2654" spans="1:31" ht="18" customHeight="1" x14ac:dyDescent="0.3">
      <c r="A2654" s="2"/>
      <c r="B2654" s="65" t="str">
        <f t="shared" si="330"/>
        <v/>
      </c>
      <c r="C2654" s="66"/>
      <c r="D2654" s="60"/>
      <c r="E2654" s="61"/>
      <c r="F2654" s="61"/>
      <c r="G2654" s="67"/>
      <c r="H2654" s="60"/>
      <c r="I2654" s="60"/>
      <c r="J2654" s="61"/>
      <c r="K2654" s="61"/>
      <c r="L2654" s="60"/>
      <c r="M2654" s="74" t="str">
        <f t="shared" si="331"/>
        <v/>
      </c>
      <c r="N2654" s="74" t="str">
        <f t="shared" si="332"/>
        <v/>
      </c>
      <c r="O2654" s="73" t="str">
        <f t="shared" si="333"/>
        <v/>
      </c>
      <c r="P2654" s="65" t="str">
        <f t="shared" ca="1" si="334"/>
        <v/>
      </c>
      <c r="Q2654" s="2"/>
      <c r="R2654" s="2"/>
      <c r="S2654" s="1" t="str">
        <f t="shared" si="335"/>
        <v/>
      </c>
      <c r="T2654" s="1" t="str">
        <f>IF(OR($C2654="",$D2654&lt;&gt;"Gelir",$L2654=""),"",IFERROR(INDEX(MUSTERILER!$B$7:$B$156,MATCH($S2654,MUSTERILER!$T$7:$T$156,0)),""))</f>
        <v/>
      </c>
      <c r="U2654" s="1" t="str">
        <f>IF($T2654="","",$T2654&amp;"|"&amp;COUNTIFS($T$7:$T2654,$T2654))</f>
        <v/>
      </c>
      <c r="V2654" s="1">
        <f t="shared" si="336"/>
        <v>0</v>
      </c>
      <c r="W2654" s="1" t="str">
        <f t="shared" si="337"/>
        <v/>
      </c>
      <c r="X2654" s="1"/>
      <c r="Y2654" s="1"/>
      <c r="Z2654" s="1"/>
      <c r="AA2654" s="1"/>
      <c r="AB2654" s="1"/>
      <c r="AC2654" s="1"/>
      <c r="AD2654" s="1">
        <f>IF($C2654="",0,SUMPRODUCT((AY_SONU!$O$7:$O$42="Evet")*(AY_SONU!$B$7:$B$42=DATE(YEAR($C2654),MONTH($C2654),1))))</f>
        <v>0</v>
      </c>
      <c r="AE2654" s="1" t="str">
        <f>IF($E2654="","",$E2654&amp;"|"&amp;COUNTIFS($E$7:$E2654,$E2654))</f>
        <v/>
      </c>
    </row>
    <row r="2655" spans="1:31" ht="18" customHeight="1" x14ac:dyDescent="0.3">
      <c r="A2655" s="2"/>
      <c r="B2655" s="65" t="str">
        <f t="shared" si="330"/>
        <v/>
      </c>
      <c r="C2655" s="66"/>
      <c r="D2655" s="60"/>
      <c r="E2655" s="61"/>
      <c r="F2655" s="61"/>
      <c r="G2655" s="67"/>
      <c r="H2655" s="60"/>
      <c r="I2655" s="60"/>
      <c r="J2655" s="61"/>
      <c r="K2655" s="61"/>
      <c r="L2655" s="60"/>
      <c r="M2655" s="74" t="str">
        <f t="shared" si="331"/>
        <v/>
      </c>
      <c r="N2655" s="74" t="str">
        <f t="shared" si="332"/>
        <v/>
      </c>
      <c r="O2655" s="73" t="str">
        <f t="shared" si="333"/>
        <v/>
      </c>
      <c r="P2655" s="65" t="str">
        <f t="shared" ca="1" si="334"/>
        <v/>
      </c>
      <c r="Q2655" s="2"/>
      <c r="R2655" s="2"/>
      <c r="S2655" s="1" t="str">
        <f t="shared" si="335"/>
        <v/>
      </c>
      <c r="T2655" s="1" t="str">
        <f>IF(OR($C2655="",$D2655&lt;&gt;"Gelir",$L2655=""),"",IFERROR(INDEX(MUSTERILER!$B$7:$B$156,MATCH($S2655,MUSTERILER!$T$7:$T$156,0)),""))</f>
        <v/>
      </c>
      <c r="U2655" s="1" t="str">
        <f>IF($T2655="","",$T2655&amp;"|"&amp;COUNTIFS($T$7:$T2655,$T2655))</f>
        <v/>
      </c>
      <c r="V2655" s="1">
        <f t="shared" si="336"/>
        <v>0</v>
      </c>
      <c r="W2655" s="1" t="str">
        <f t="shared" si="337"/>
        <v/>
      </c>
      <c r="X2655" s="1"/>
      <c r="Y2655" s="1"/>
      <c r="Z2655" s="1"/>
      <c r="AA2655" s="1"/>
      <c r="AB2655" s="1"/>
      <c r="AC2655" s="1"/>
      <c r="AD2655" s="1">
        <f>IF($C2655="",0,SUMPRODUCT((AY_SONU!$O$7:$O$42="Evet")*(AY_SONU!$B$7:$B$42=DATE(YEAR($C2655),MONTH($C2655),1))))</f>
        <v>0</v>
      </c>
      <c r="AE2655" s="1" t="str">
        <f>IF($E2655="","",$E2655&amp;"|"&amp;COUNTIFS($E$7:$E2655,$E2655))</f>
        <v/>
      </c>
    </row>
    <row r="2656" spans="1:31" ht="18" customHeight="1" x14ac:dyDescent="0.3">
      <c r="A2656" s="2"/>
      <c r="B2656" s="65" t="str">
        <f t="shared" si="330"/>
        <v/>
      </c>
      <c r="C2656" s="66"/>
      <c r="D2656" s="60"/>
      <c r="E2656" s="61"/>
      <c r="F2656" s="61"/>
      <c r="G2656" s="67"/>
      <c r="H2656" s="60"/>
      <c r="I2656" s="60"/>
      <c r="J2656" s="61"/>
      <c r="K2656" s="61"/>
      <c r="L2656" s="60"/>
      <c r="M2656" s="74" t="str">
        <f t="shared" si="331"/>
        <v/>
      </c>
      <c r="N2656" s="74" t="str">
        <f t="shared" si="332"/>
        <v/>
      </c>
      <c r="O2656" s="73" t="str">
        <f t="shared" si="333"/>
        <v/>
      </c>
      <c r="P2656" s="65" t="str">
        <f t="shared" ca="1" si="334"/>
        <v/>
      </c>
      <c r="Q2656" s="2"/>
      <c r="R2656" s="2"/>
      <c r="S2656" s="1" t="str">
        <f t="shared" si="335"/>
        <v/>
      </c>
      <c r="T2656" s="1" t="str">
        <f>IF(OR($C2656="",$D2656&lt;&gt;"Gelir",$L2656=""),"",IFERROR(INDEX(MUSTERILER!$B$7:$B$156,MATCH($S2656,MUSTERILER!$T$7:$T$156,0)),""))</f>
        <v/>
      </c>
      <c r="U2656" s="1" t="str">
        <f>IF($T2656="","",$T2656&amp;"|"&amp;COUNTIFS($T$7:$T2656,$T2656))</f>
        <v/>
      </c>
      <c r="V2656" s="1">
        <f t="shared" si="336"/>
        <v>0</v>
      </c>
      <c r="W2656" s="1" t="str">
        <f t="shared" si="337"/>
        <v/>
      </c>
      <c r="X2656" s="1"/>
      <c r="Y2656" s="1"/>
      <c r="Z2656" s="1"/>
      <c r="AA2656" s="1"/>
      <c r="AB2656" s="1"/>
      <c r="AC2656" s="1"/>
      <c r="AD2656" s="1">
        <f>IF($C2656="",0,SUMPRODUCT((AY_SONU!$O$7:$O$42="Evet")*(AY_SONU!$B$7:$B$42=DATE(YEAR($C2656),MONTH($C2656),1))))</f>
        <v>0</v>
      </c>
      <c r="AE2656" s="1" t="str">
        <f>IF($E2656="","",$E2656&amp;"|"&amp;COUNTIFS($E$7:$E2656,$E2656))</f>
        <v/>
      </c>
    </row>
    <row r="2657" spans="1:31" ht="18" customHeight="1" x14ac:dyDescent="0.3">
      <c r="A2657" s="2"/>
      <c r="B2657" s="65" t="str">
        <f t="shared" si="330"/>
        <v/>
      </c>
      <c r="C2657" s="66"/>
      <c r="D2657" s="60"/>
      <c r="E2657" s="61"/>
      <c r="F2657" s="61"/>
      <c r="G2657" s="67"/>
      <c r="H2657" s="60"/>
      <c r="I2657" s="60"/>
      <c r="J2657" s="61"/>
      <c r="K2657" s="61"/>
      <c r="L2657" s="60"/>
      <c r="M2657" s="74" t="str">
        <f t="shared" si="331"/>
        <v/>
      </c>
      <c r="N2657" s="74" t="str">
        <f t="shared" si="332"/>
        <v/>
      </c>
      <c r="O2657" s="73" t="str">
        <f t="shared" si="333"/>
        <v/>
      </c>
      <c r="P2657" s="65" t="str">
        <f t="shared" ca="1" si="334"/>
        <v/>
      </c>
      <c r="Q2657" s="2"/>
      <c r="R2657" s="2"/>
      <c r="S2657" s="1" t="str">
        <f t="shared" si="335"/>
        <v/>
      </c>
      <c r="T2657" s="1" t="str">
        <f>IF(OR($C2657="",$D2657&lt;&gt;"Gelir",$L2657=""),"",IFERROR(INDEX(MUSTERILER!$B$7:$B$156,MATCH($S2657,MUSTERILER!$T$7:$T$156,0)),""))</f>
        <v/>
      </c>
      <c r="U2657" s="1" t="str">
        <f>IF($T2657="","",$T2657&amp;"|"&amp;COUNTIFS($T$7:$T2657,$T2657))</f>
        <v/>
      </c>
      <c r="V2657" s="1">
        <f t="shared" si="336"/>
        <v>0</v>
      </c>
      <c r="W2657" s="1" t="str">
        <f t="shared" si="337"/>
        <v/>
      </c>
      <c r="X2657" s="1"/>
      <c r="Y2657" s="1"/>
      <c r="Z2657" s="1"/>
      <c r="AA2657" s="1"/>
      <c r="AB2657" s="1"/>
      <c r="AC2657" s="1"/>
      <c r="AD2657" s="1">
        <f>IF($C2657="",0,SUMPRODUCT((AY_SONU!$O$7:$O$42="Evet")*(AY_SONU!$B$7:$B$42=DATE(YEAR($C2657),MONTH($C2657),1))))</f>
        <v>0</v>
      </c>
      <c r="AE2657" s="1" t="str">
        <f>IF($E2657="","",$E2657&amp;"|"&amp;COUNTIFS($E$7:$E2657,$E2657))</f>
        <v/>
      </c>
    </row>
    <row r="2658" spans="1:31" ht="18" customHeight="1" x14ac:dyDescent="0.3">
      <c r="A2658" s="2"/>
      <c r="B2658" s="65" t="str">
        <f t="shared" si="330"/>
        <v/>
      </c>
      <c r="C2658" s="66"/>
      <c r="D2658" s="60"/>
      <c r="E2658" s="61"/>
      <c r="F2658" s="61"/>
      <c r="G2658" s="67"/>
      <c r="H2658" s="60"/>
      <c r="I2658" s="60"/>
      <c r="J2658" s="61"/>
      <c r="K2658" s="61"/>
      <c r="L2658" s="60"/>
      <c r="M2658" s="74" t="str">
        <f t="shared" si="331"/>
        <v/>
      </c>
      <c r="N2658" s="74" t="str">
        <f t="shared" si="332"/>
        <v/>
      </c>
      <c r="O2658" s="73" t="str">
        <f t="shared" si="333"/>
        <v/>
      </c>
      <c r="P2658" s="65" t="str">
        <f t="shared" ca="1" si="334"/>
        <v/>
      </c>
      <c r="Q2658" s="2"/>
      <c r="R2658" s="2"/>
      <c r="S2658" s="1" t="str">
        <f t="shared" si="335"/>
        <v/>
      </c>
      <c r="T2658" s="1" t="str">
        <f>IF(OR($C2658="",$D2658&lt;&gt;"Gelir",$L2658=""),"",IFERROR(INDEX(MUSTERILER!$B$7:$B$156,MATCH($S2658,MUSTERILER!$T$7:$T$156,0)),""))</f>
        <v/>
      </c>
      <c r="U2658" s="1" t="str">
        <f>IF($T2658="","",$T2658&amp;"|"&amp;COUNTIFS($T$7:$T2658,$T2658))</f>
        <v/>
      </c>
      <c r="V2658" s="1">
        <f t="shared" si="336"/>
        <v>0</v>
      </c>
      <c r="W2658" s="1" t="str">
        <f t="shared" si="337"/>
        <v/>
      </c>
      <c r="X2658" s="1"/>
      <c r="Y2658" s="1"/>
      <c r="Z2658" s="1"/>
      <c r="AA2658" s="1"/>
      <c r="AB2658" s="1"/>
      <c r="AC2658" s="1"/>
      <c r="AD2658" s="1">
        <f>IF($C2658="",0,SUMPRODUCT((AY_SONU!$O$7:$O$42="Evet")*(AY_SONU!$B$7:$B$42=DATE(YEAR($C2658),MONTH($C2658),1))))</f>
        <v>0</v>
      </c>
      <c r="AE2658" s="1" t="str">
        <f>IF($E2658="","",$E2658&amp;"|"&amp;COUNTIFS($E$7:$E2658,$E2658))</f>
        <v/>
      </c>
    </row>
    <row r="2659" spans="1:31" ht="18" customHeight="1" x14ac:dyDescent="0.3">
      <c r="A2659" s="2"/>
      <c r="B2659" s="65" t="str">
        <f t="shared" si="330"/>
        <v/>
      </c>
      <c r="C2659" s="66"/>
      <c r="D2659" s="60"/>
      <c r="E2659" s="61"/>
      <c r="F2659" s="61"/>
      <c r="G2659" s="67"/>
      <c r="H2659" s="60"/>
      <c r="I2659" s="60"/>
      <c r="J2659" s="61"/>
      <c r="K2659" s="61"/>
      <c r="L2659" s="60"/>
      <c r="M2659" s="74" t="str">
        <f t="shared" si="331"/>
        <v/>
      </c>
      <c r="N2659" s="74" t="str">
        <f t="shared" si="332"/>
        <v/>
      </c>
      <c r="O2659" s="73" t="str">
        <f t="shared" si="333"/>
        <v/>
      </c>
      <c r="P2659" s="65" t="str">
        <f t="shared" ca="1" si="334"/>
        <v/>
      </c>
      <c r="Q2659" s="2"/>
      <c r="R2659" s="2"/>
      <c r="S2659" s="1" t="str">
        <f t="shared" si="335"/>
        <v/>
      </c>
      <c r="T2659" s="1" t="str">
        <f>IF(OR($C2659="",$D2659&lt;&gt;"Gelir",$L2659=""),"",IFERROR(INDEX(MUSTERILER!$B$7:$B$156,MATCH($S2659,MUSTERILER!$T$7:$T$156,0)),""))</f>
        <v/>
      </c>
      <c r="U2659" s="1" t="str">
        <f>IF($T2659="","",$T2659&amp;"|"&amp;COUNTIFS($T$7:$T2659,$T2659))</f>
        <v/>
      </c>
      <c r="V2659" s="1">
        <f t="shared" si="336"/>
        <v>0</v>
      </c>
      <c r="W2659" s="1" t="str">
        <f t="shared" si="337"/>
        <v/>
      </c>
      <c r="X2659" s="1"/>
      <c r="Y2659" s="1"/>
      <c r="Z2659" s="1"/>
      <c r="AA2659" s="1"/>
      <c r="AB2659" s="1"/>
      <c r="AC2659" s="1"/>
      <c r="AD2659" s="1">
        <f>IF($C2659="",0,SUMPRODUCT((AY_SONU!$O$7:$O$42="Evet")*(AY_SONU!$B$7:$B$42=DATE(YEAR($C2659),MONTH($C2659),1))))</f>
        <v>0</v>
      </c>
      <c r="AE2659" s="1" t="str">
        <f>IF($E2659="","",$E2659&amp;"|"&amp;COUNTIFS($E$7:$E2659,$E2659))</f>
        <v/>
      </c>
    </row>
    <row r="2660" spans="1:31" ht="18" customHeight="1" x14ac:dyDescent="0.3">
      <c r="A2660" s="2"/>
      <c r="B2660" s="65" t="str">
        <f t="shared" si="330"/>
        <v/>
      </c>
      <c r="C2660" s="66"/>
      <c r="D2660" s="60"/>
      <c r="E2660" s="61"/>
      <c r="F2660" s="61"/>
      <c r="G2660" s="67"/>
      <c r="H2660" s="60"/>
      <c r="I2660" s="60"/>
      <c r="J2660" s="61"/>
      <c r="K2660" s="61"/>
      <c r="L2660" s="60"/>
      <c r="M2660" s="74" t="str">
        <f t="shared" si="331"/>
        <v/>
      </c>
      <c r="N2660" s="74" t="str">
        <f t="shared" si="332"/>
        <v/>
      </c>
      <c r="O2660" s="73" t="str">
        <f t="shared" si="333"/>
        <v/>
      </c>
      <c r="P2660" s="65" t="str">
        <f t="shared" ca="1" si="334"/>
        <v/>
      </c>
      <c r="Q2660" s="2"/>
      <c r="R2660" s="2"/>
      <c r="S2660" s="1" t="str">
        <f t="shared" si="335"/>
        <v/>
      </c>
      <c r="T2660" s="1" t="str">
        <f>IF(OR($C2660="",$D2660&lt;&gt;"Gelir",$L2660=""),"",IFERROR(INDEX(MUSTERILER!$B$7:$B$156,MATCH($S2660,MUSTERILER!$T$7:$T$156,0)),""))</f>
        <v/>
      </c>
      <c r="U2660" s="1" t="str">
        <f>IF($T2660="","",$T2660&amp;"|"&amp;COUNTIFS($T$7:$T2660,$T2660))</f>
        <v/>
      </c>
      <c r="V2660" s="1">
        <f t="shared" si="336"/>
        <v>0</v>
      </c>
      <c r="W2660" s="1" t="str">
        <f t="shared" si="337"/>
        <v/>
      </c>
      <c r="X2660" s="1"/>
      <c r="Y2660" s="1"/>
      <c r="Z2660" s="1"/>
      <c r="AA2660" s="1"/>
      <c r="AB2660" s="1"/>
      <c r="AC2660" s="1"/>
      <c r="AD2660" s="1">
        <f>IF($C2660="",0,SUMPRODUCT((AY_SONU!$O$7:$O$42="Evet")*(AY_SONU!$B$7:$B$42=DATE(YEAR($C2660),MONTH($C2660),1))))</f>
        <v>0</v>
      </c>
      <c r="AE2660" s="1" t="str">
        <f>IF($E2660="","",$E2660&amp;"|"&amp;COUNTIFS($E$7:$E2660,$E2660))</f>
        <v/>
      </c>
    </row>
    <row r="2661" spans="1:31" ht="18" customHeight="1" x14ac:dyDescent="0.3">
      <c r="A2661" s="2"/>
      <c r="B2661" s="65" t="str">
        <f t="shared" si="330"/>
        <v/>
      </c>
      <c r="C2661" s="66"/>
      <c r="D2661" s="60"/>
      <c r="E2661" s="61"/>
      <c r="F2661" s="61"/>
      <c r="G2661" s="67"/>
      <c r="H2661" s="60"/>
      <c r="I2661" s="60"/>
      <c r="J2661" s="61"/>
      <c r="K2661" s="61"/>
      <c r="L2661" s="60"/>
      <c r="M2661" s="74" t="str">
        <f t="shared" si="331"/>
        <v/>
      </c>
      <c r="N2661" s="74" t="str">
        <f t="shared" si="332"/>
        <v/>
      </c>
      <c r="O2661" s="73" t="str">
        <f t="shared" si="333"/>
        <v/>
      </c>
      <c r="P2661" s="65" t="str">
        <f t="shared" ca="1" si="334"/>
        <v/>
      </c>
      <c r="Q2661" s="2"/>
      <c r="R2661" s="2"/>
      <c r="S2661" s="1" t="str">
        <f t="shared" si="335"/>
        <v/>
      </c>
      <c r="T2661" s="1" t="str">
        <f>IF(OR($C2661="",$D2661&lt;&gt;"Gelir",$L2661=""),"",IFERROR(INDEX(MUSTERILER!$B$7:$B$156,MATCH($S2661,MUSTERILER!$T$7:$T$156,0)),""))</f>
        <v/>
      </c>
      <c r="U2661" s="1" t="str">
        <f>IF($T2661="","",$T2661&amp;"|"&amp;COUNTIFS($T$7:$T2661,$T2661))</f>
        <v/>
      </c>
      <c r="V2661" s="1">
        <f t="shared" si="336"/>
        <v>0</v>
      </c>
      <c r="W2661" s="1" t="str">
        <f t="shared" si="337"/>
        <v/>
      </c>
      <c r="X2661" s="1"/>
      <c r="Y2661" s="1"/>
      <c r="Z2661" s="1"/>
      <c r="AA2661" s="1"/>
      <c r="AB2661" s="1"/>
      <c r="AC2661" s="1"/>
      <c r="AD2661" s="1">
        <f>IF($C2661="",0,SUMPRODUCT((AY_SONU!$O$7:$O$42="Evet")*(AY_SONU!$B$7:$B$42=DATE(YEAR($C2661),MONTH($C2661),1))))</f>
        <v>0</v>
      </c>
      <c r="AE2661" s="1" t="str">
        <f>IF($E2661="","",$E2661&amp;"|"&amp;COUNTIFS($E$7:$E2661,$E2661))</f>
        <v/>
      </c>
    </row>
    <row r="2662" spans="1:31" ht="18" customHeight="1" x14ac:dyDescent="0.3">
      <c r="A2662" s="2"/>
      <c r="B2662" s="65" t="str">
        <f t="shared" si="330"/>
        <v/>
      </c>
      <c r="C2662" s="66"/>
      <c r="D2662" s="60"/>
      <c r="E2662" s="61"/>
      <c r="F2662" s="61"/>
      <c r="G2662" s="67"/>
      <c r="H2662" s="60"/>
      <c r="I2662" s="60"/>
      <c r="J2662" s="61"/>
      <c r="K2662" s="61"/>
      <c r="L2662" s="60"/>
      <c r="M2662" s="74" t="str">
        <f t="shared" si="331"/>
        <v/>
      </c>
      <c r="N2662" s="74" t="str">
        <f t="shared" si="332"/>
        <v/>
      </c>
      <c r="O2662" s="73" t="str">
        <f t="shared" si="333"/>
        <v/>
      </c>
      <c r="P2662" s="65" t="str">
        <f t="shared" ca="1" si="334"/>
        <v/>
      </c>
      <c r="Q2662" s="2"/>
      <c r="R2662" s="2"/>
      <c r="S2662" s="1" t="str">
        <f t="shared" si="335"/>
        <v/>
      </c>
      <c r="T2662" s="1" t="str">
        <f>IF(OR($C2662="",$D2662&lt;&gt;"Gelir",$L2662=""),"",IFERROR(INDEX(MUSTERILER!$B$7:$B$156,MATCH($S2662,MUSTERILER!$T$7:$T$156,0)),""))</f>
        <v/>
      </c>
      <c r="U2662" s="1" t="str">
        <f>IF($T2662="","",$T2662&amp;"|"&amp;COUNTIFS($T$7:$T2662,$T2662))</f>
        <v/>
      </c>
      <c r="V2662" s="1">
        <f t="shared" si="336"/>
        <v>0</v>
      </c>
      <c r="W2662" s="1" t="str">
        <f t="shared" si="337"/>
        <v/>
      </c>
      <c r="X2662" s="1"/>
      <c r="Y2662" s="1"/>
      <c r="Z2662" s="1"/>
      <c r="AA2662" s="1"/>
      <c r="AB2662" s="1"/>
      <c r="AC2662" s="1"/>
      <c r="AD2662" s="1">
        <f>IF($C2662="",0,SUMPRODUCT((AY_SONU!$O$7:$O$42="Evet")*(AY_SONU!$B$7:$B$42=DATE(YEAR($C2662),MONTH($C2662),1))))</f>
        <v>0</v>
      </c>
      <c r="AE2662" s="1" t="str">
        <f>IF($E2662="","",$E2662&amp;"|"&amp;COUNTIFS($E$7:$E2662,$E2662))</f>
        <v/>
      </c>
    </row>
    <row r="2663" spans="1:31" ht="18" customHeight="1" x14ac:dyDescent="0.3">
      <c r="A2663" s="2"/>
      <c r="B2663" s="65" t="str">
        <f t="shared" si="330"/>
        <v/>
      </c>
      <c r="C2663" s="66"/>
      <c r="D2663" s="60"/>
      <c r="E2663" s="61"/>
      <c r="F2663" s="61"/>
      <c r="G2663" s="67"/>
      <c r="H2663" s="60"/>
      <c r="I2663" s="60"/>
      <c r="J2663" s="61"/>
      <c r="K2663" s="61"/>
      <c r="L2663" s="60"/>
      <c r="M2663" s="74" t="str">
        <f t="shared" si="331"/>
        <v/>
      </c>
      <c r="N2663" s="74" t="str">
        <f t="shared" si="332"/>
        <v/>
      </c>
      <c r="O2663" s="73" t="str">
        <f t="shared" si="333"/>
        <v/>
      </c>
      <c r="P2663" s="65" t="str">
        <f t="shared" ca="1" si="334"/>
        <v/>
      </c>
      <c r="Q2663" s="2"/>
      <c r="R2663" s="2"/>
      <c r="S2663" s="1" t="str">
        <f t="shared" si="335"/>
        <v/>
      </c>
      <c r="T2663" s="1" t="str">
        <f>IF(OR($C2663="",$D2663&lt;&gt;"Gelir",$L2663=""),"",IFERROR(INDEX(MUSTERILER!$B$7:$B$156,MATCH($S2663,MUSTERILER!$T$7:$T$156,0)),""))</f>
        <v/>
      </c>
      <c r="U2663" s="1" t="str">
        <f>IF($T2663="","",$T2663&amp;"|"&amp;COUNTIFS($T$7:$T2663,$T2663))</f>
        <v/>
      </c>
      <c r="V2663" s="1">
        <f t="shared" si="336"/>
        <v>0</v>
      </c>
      <c r="W2663" s="1" t="str">
        <f t="shared" si="337"/>
        <v/>
      </c>
      <c r="X2663" s="1"/>
      <c r="Y2663" s="1"/>
      <c r="Z2663" s="1"/>
      <c r="AA2663" s="1"/>
      <c r="AB2663" s="1"/>
      <c r="AC2663" s="1"/>
      <c r="AD2663" s="1">
        <f>IF($C2663="",0,SUMPRODUCT((AY_SONU!$O$7:$O$42="Evet")*(AY_SONU!$B$7:$B$42=DATE(YEAR($C2663),MONTH($C2663),1))))</f>
        <v>0</v>
      </c>
      <c r="AE2663" s="1" t="str">
        <f>IF($E2663="","",$E2663&amp;"|"&amp;COUNTIFS($E$7:$E2663,$E2663))</f>
        <v/>
      </c>
    </row>
    <row r="2664" spans="1:31" ht="18" customHeight="1" x14ac:dyDescent="0.3">
      <c r="A2664" s="2"/>
      <c r="B2664" s="65" t="str">
        <f t="shared" si="330"/>
        <v/>
      </c>
      <c r="C2664" s="66"/>
      <c r="D2664" s="60"/>
      <c r="E2664" s="61"/>
      <c r="F2664" s="61"/>
      <c r="G2664" s="67"/>
      <c r="H2664" s="60"/>
      <c r="I2664" s="60"/>
      <c r="J2664" s="61"/>
      <c r="K2664" s="61"/>
      <c r="L2664" s="60"/>
      <c r="M2664" s="74" t="str">
        <f t="shared" si="331"/>
        <v/>
      </c>
      <c r="N2664" s="74" t="str">
        <f t="shared" si="332"/>
        <v/>
      </c>
      <c r="O2664" s="73" t="str">
        <f t="shared" si="333"/>
        <v/>
      </c>
      <c r="P2664" s="65" t="str">
        <f t="shared" ca="1" si="334"/>
        <v/>
      </c>
      <c r="Q2664" s="2"/>
      <c r="R2664" s="2"/>
      <c r="S2664" s="1" t="str">
        <f t="shared" si="335"/>
        <v/>
      </c>
      <c r="T2664" s="1" t="str">
        <f>IF(OR($C2664="",$D2664&lt;&gt;"Gelir",$L2664=""),"",IFERROR(INDEX(MUSTERILER!$B$7:$B$156,MATCH($S2664,MUSTERILER!$T$7:$T$156,0)),""))</f>
        <v/>
      </c>
      <c r="U2664" s="1" t="str">
        <f>IF($T2664="","",$T2664&amp;"|"&amp;COUNTIFS($T$7:$T2664,$T2664))</f>
        <v/>
      </c>
      <c r="V2664" s="1">
        <f t="shared" si="336"/>
        <v>0</v>
      </c>
      <c r="W2664" s="1" t="str">
        <f t="shared" si="337"/>
        <v/>
      </c>
      <c r="X2664" s="1"/>
      <c r="Y2664" s="1"/>
      <c r="Z2664" s="1"/>
      <c r="AA2664" s="1"/>
      <c r="AB2664" s="1"/>
      <c r="AC2664" s="1"/>
      <c r="AD2664" s="1">
        <f>IF($C2664="",0,SUMPRODUCT((AY_SONU!$O$7:$O$42="Evet")*(AY_SONU!$B$7:$B$42=DATE(YEAR($C2664),MONTH($C2664),1))))</f>
        <v>0</v>
      </c>
      <c r="AE2664" s="1" t="str">
        <f>IF($E2664="","",$E2664&amp;"|"&amp;COUNTIFS($E$7:$E2664,$E2664))</f>
        <v/>
      </c>
    </row>
    <row r="2665" spans="1:31" ht="18" customHeight="1" x14ac:dyDescent="0.3">
      <c r="A2665" s="2"/>
      <c r="B2665" s="65" t="str">
        <f t="shared" si="330"/>
        <v/>
      </c>
      <c r="C2665" s="66"/>
      <c r="D2665" s="60"/>
      <c r="E2665" s="61"/>
      <c r="F2665" s="61"/>
      <c r="G2665" s="67"/>
      <c r="H2665" s="60"/>
      <c r="I2665" s="60"/>
      <c r="J2665" s="61"/>
      <c r="K2665" s="61"/>
      <c r="L2665" s="60"/>
      <c r="M2665" s="74" t="str">
        <f t="shared" si="331"/>
        <v/>
      </c>
      <c r="N2665" s="74" t="str">
        <f t="shared" si="332"/>
        <v/>
      </c>
      <c r="O2665" s="73" t="str">
        <f t="shared" si="333"/>
        <v/>
      </c>
      <c r="P2665" s="65" t="str">
        <f t="shared" ca="1" si="334"/>
        <v/>
      </c>
      <c r="Q2665" s="2"/>
      <c r="R2665" s="2"/>
      <c r="S2665" s="1" t="str">
        <f t="shared" si="335"/>
        <v/>
      </c>
      <c r="T2665" s="1" t="str">
        <f>IF(OR($C2665="",$D2665&lt;&gt;"Gelir",$L2665=""),"",IFERROR(INDEX(MUSTERILER!$B$7:$B$156,MATCH($S2665,MUSTERILER!$T$7:$T$156,0)),""))</f>
        <v/>
      </c>
      <c r="U2665" s="1" t="str">
        <f>IF($T2665="","",$T2665&amp;"|"&amp;COUNTIFS($T$7:$T2665,$T2665))</f>
        <v/>
      </c>
      <c r="V2665" s="1">
        <f t="shared" si="336"/>
        <v>0</v>
      </c>
      <c r="W2665" s="1" t="str">
        <f t="shared" si="337"/>
        <v/>
      </c>
      <c r="X2665" s="1"/>
      <c r="Y2665" s="1"/>
      <c r="Z2665" s="1"/>
      <c r="AA2665" s="1"/>
      <c r="AB2665" s="1"/>
      <c r="AC2665" s="1"/>
      <c r="AD2665" s="1">
        <f>IF($C2665="",0,SUMPRODUCT((AY_SONU!$O$7:$O$42="Evet")*(AY_SONU!$B$7:$B$42=DATE(YEAR($C2665),MONTH($C2665),1))))</f>
        <v>0</v>
      </c>
      <c r="AE2665" s="1" t="str">
        <f>IF($E2665="","",$E2665&amp;"|"&amp;COUNTIFS($E$7:$E2665,$E2665))</f>
        <v/>
      </c>
    </row>
    <row r="2666" spans="1:31" ht="18" customHeight="1" x14ac:dyDescent="0.3">
      <c r="A2666" s="2"/>
      <c r="B2666" s="65" t="str">
        <f t="shared" si="330"/>
        <v/>
      </c>
      <c r="C2666" s="66"/>
      <c r="D2666" s="60"/>
      <c r="E2666" s="61"/>
      <c r="F2666" s="61"/>
      <c r="G2666" s="67"/>
      <c r="H2666" s="60"/>
      <c r="I2666" s="60"/>
      <c r="J2666" s="61"/>
      <c r="K2666" s="61"/>
      <c r="L2666" s="60"/>
      <c r="M2666" s="74" t="str">
        <f t="shared" si="331"/>
        <v/>
      </c>
      <c r="N2666" s="74" t="str">
        <f t="shared" si="332"/>
        <v/>
      </c>
      <c r="O2666" s="73" t="str">
        <f t="shared" si="333"/>
        <v/>
      </c>
      <c r="P2666" s="65" t="str">
        <f t="shared" ca="1" si="334"/>
        <v/>
      </c>
      <c r="Q2666" s="2"/>
      <c r="R2666" s="2"/>
      <c r="S2666" s="1" t="str">
        <f t="shared" si="335"/>
        <v/>
      </c>
      <c r="T2666" s="1" t="str">
        <f>IF(OR($C2666="",$D2666&lt;&gt;"Gelir",$L2666=""),"",IFERROR(INDEX(MUSTERILER!$B$7:$B$156,MATCH($S2666,MUSTERILER!$T$7:$T$156,0)),""))</f>
        <v/>
      </c>
      <c r="U2666" s="1" t="str">
        <f>IF($T2666="","",$T2666&amp;"|"&amp;COUNTIFS($T$7:$T2666,$T2666))</f>
        <v/>
      </c>
      <c r="V2666" s="1">
        <f t="shared" si="336"/>
        <v>0</v>
      </c>
      <c r="W2666" s="1" t="str">
        <f t="shared" si="337"/>
        <v/>
      </c>
      <c r="X2666" s="1"/>
      <c r="Y2666" s="1"/>
      <c r="Z2666" s="1"/>
      <c r="AA2666" s="1"/>
      <c r="AB2666" s="1"/>
      <c r="AC2666" s="1"/>
      <c r="AD2666" s="1">
        <f>IF($C2666="",0,SUMPRODUCT((AY_SONU!$O$7:$O$42="Evet")*(AY_SONU!$B$7:$B$42=DATE(YEAR($C2666),MONTH($C2666),1))))</f>
        <v>0</v>
      </c>
      <c r="AE2666" s="1" t="str">
        <f>IF($E2666="","",$E2666&amp;"|"&amp;COUNTIFS($E$7:$E2666,$E2666))</f>
        <v/>
      </c>
    </row>
    <row r="2667" spans="1:31" ht="18" customHeight="1" x14ac:dyDescent="0.3">
      <c r="A2667" s="2"/>
      <c r="B2667" s="65" t="str">
        <f t="shared" si="330"/>
        <v/>
      </c>
      <c r="C2667" s="66"/>
      <c r="D2667" s="60"/>
      <c r="E2667" s="61"/>
      <c r="F2667" s="61"/>
      <c r="G2667" s="67"/>
      <c r="H2667" s="60"/>
      <c r="I2667" s="60"/>
      <c r="J2667" s="61"/>
      <c r="K2667" s="61"/>
      <c r="L2667" s="60"/>
      <c r="M2667" s="74" t="str">
        <f t="shared" si="331"/>
        <v/>
      </c>
      <c r="N2667" s="74" t="str">
        <f t="shared" si="332"/>
        <v/>
      </c>
      <c r="O2667" s="73" t="str">
        <f t="shared" si="333"/>
        <v/>
      </c>
      <c r="P2667" s="65" t="str">
        <f t="shared" ca="1" si="334"/>
        <v/>
      </c>
      <c r="Q2667" s="2"/>
      <c r="R2667" s="2"/>
      <c r="S2667" s="1" t="str">
        <f t="shared" si="335"/>
        <v/>
      </c>
      <c r="T2667" s="1" t="str">
        <f>IF(OR($C2667="",$D2667&lt;&gt;"Gelir",$L2667=""),"",IFERROR(INDEX(MUSTERILER!$B$7:$B$156,MATCH($S2667,MUSTERILER!$T$7:$T$156,0)),""))</f>
        <v/>
      </c>
      <c r="U2667" s="1" t="str">
        <f>IF($T2667="","",$T2667&amp;"|"&amp;COUNTIFS($T$7:$T2667,$T2667))</f>
        <v/>
      </c>
      <c r="V2667" s="1">
        <f t="shared" si="336"/>
        <v>0</v>
      </c>
      <c r="W2667" s="1" t="str">
        <f t="shared" si="337"/>
        <v/>
      </c>
      <c r="X2667" s="1"/>
      <c r="Y2667" s="1"/>
      <c r="Z2667" s="1"/>
      <c r="AA2667" s="1"/>
      <c r="AB2667" s="1"/>
      <c r="AC2667" s="1"/>
      <c r="AD2667" s="1">
        <f>IF($C2667="",0,SUMPRODUCT((AY_SONU!$O$7:$O$42="Evet")*(AY_SONU!$B$7:$B$42=DATE(YEAR($C2667),MONTH($C2667),1))))</f>
        <v>0</v>
      </c>
      <c r="AE2667" s="1" t="str">
        <f>IF($E2667="","",$E2667&amp;"|"&amp;COUNTIFS($E$7:$E2667,$E2667))</f>
        <v/>
      </c>
    </row>
    <row r="2668" spans="1:31" ht="18" customHeight="1" x14ac:dyDescent="0.3">
      <c r="A2668" s="2"/>
      <c r="B2668" s="65" t="str">
        <f t="shared" si="330"/>
        <v/>
      </c>
      <c r="C2668" s="66"/>
      <c r="D2668" s="60"/>
      <c r="E2668" s="61"/>
      <c r="F2668" s="61"/>
      <c r="G2668" s="67"/>
      <c r="H2668" s="60"/>
      <c r="I2668" s="60"/>
      <c r="J2668" s="61"/>
      <c r="K2668" s="61"/>
      <c r="L2668" s="60"/>
      <c r="M2668" s="74" t="str">
        <f t="shared" si="331"/>
        <v/>
      </c>
      <c r="N2668" s="74" t="str">
        <f t="shared" si="332"/>
        <v/>
      </c>
      <c r="O2668" s="73" t="str">
        <f t="shared" si="333"/>
        <v/>
      </c>
      <c r="P2668" s="65" t="str">
        <f t="shared" ca="1" si="334"/>
        <v/>
      </c>
      <c r="Q2668" s="2"/>
      <c r="R2668" s="2"/>
      <c r="S2668" s="1" t="str">
        <f t="shared" si="335"/>
        <v/>
      </c>
      <c r="T2668" s="1" t="str">
        <f>IF(OR($C2668="",$D2668&lt;&gt;"Gelir",$L2668=""),"",IFERROR(INDEX(MUSTERILER!$B$7:$B$156,MATCH($S2668,MUSTERILER!$T$7:$T$156,0)),""))</f>
        <v/>
      </c>
      <c r="U2668" s="1" t="str">
        <f>IF($T2668="","",$T2668&amp;"|"&amp;COUNTIFS($T$7:$T2668,$T2668))</f>
        <v/>
      </c>
      <c r="V2668" s="1">
        <f t="shared" si="336"/>
        <v>0</v>
      </c>
      <c r="W2668" s="1" t="str">
        <f t="shared" si="337"/>
        <v/>
      </c>
      <c r="X2668" s="1"/>
      <c r="Y2668" s="1"/>
      <c r="Z2668" s="1"/>
      <c r="AA2668" s="1"/>
      <c r="AB2668" s="1"/>
      <c r="AC2668" s="1"/>
      <c r="AD2668" s="1">
        <f>IF($C2668="",0,SUMPRODUCT((AY_SONU!$O$7:$O$42="Evet")*(AY_SONU!$B$7:$B$42=DATE(YEAR($C2668),MONTH($C2668),1))))</f>
        <v>0</v>
      </c>
      <c r="AE2668" s="1" t="str">
        <f>IF($E2668="","",$E2668&amp;"|"&amp;COUNTIFS($E$7:$E2668,$E2668))</f>
        <v/>
      </c>
    </row>
    <row r="2669" spans="1:31" ht="18" customHeight="1" x14ac:dyDescent="0.3">
      <c r="A2669" s="2"/>
      <c r="B2669" s="65" t="str">
        <f t="shared" si="330"/>
        <v/>
      </c>
      <c r="C2669" s="66"/>
      <c r="D2669" s="60"/>
      <c r="E2669" s="61"/>
      <c r="F2669" s="61"/>
      <c r="G2669" s="67"/>
      <c r="H2669" s="60"/>
      <c r="I2669" s="60"/>
      <c r="J2669" s="61"/>
      <c r="K2669" s="61"/>
      <c r="L2669" s="60"/>
      <c r="M2669" s="74" t="str">
        <f t="shared" si="331"/>
        <v/>
      </c>
      <c r="N2669" s="74" t="str">
        <f t="shared" si="332"/>
        <v/>
      </c>
      <c r="O2669" s="73" t="str">
        <f t="shared" si="333"/>
        <v/>
      </c>
      <c r="P2669" s="65" t="str">
        <f t="shared" ca="1" si="334"/>
        <v/>
      </c>
      <c r="Q2669" s="2"/>
      <c r="R2669" s="2"/>
      <c r="S2669" s="1" t="str">
        <f t="shared" si="335"/>
        <v/>
      </c>
      <c r="T2669" s="1" t="str">
        <f>IF(OR($C2669="",$D2669&lt;&gt;"Gelir",$L2669=""),"",IFERROR(INDEX(MUSTERILER!$B$7:$B$156,MATCH($S2669,MUSTERILER!$T$7:$T$156,0)),""))</f>
        <v/>
      </c>
      <c r="U2669" s="1" t="str">
        <f>IF($T2669="","",$T2669&amp;"|"&amp;COUNTIFS($T$7:$T2669,$T2669))</f>
        <v/>
      </c>
      <c r="V2669" s="1">
        <f t="shared" si="336"/>
        <v>0</v>
      </c>
      <c r="W2669" s="1" t="str">
        <f t="shared" si="337"/>
        <v/>
      </c>
      <c r="X2669" s="1"/>
      <c r="Y2669" s="1"/>
      <c r="Z2669" s="1"/>
      <c r="AA2669" s="1"/>
      <c r="AB2669" s="1"/>
      <c r="AC2669" s="1"/>
      <c r="AD2669" s="1">
        <f>IF($C2669="",0,SUMPRODUCT((AY_SONU!$O$7:$O$42="Evet")*(AY_SONU!$B$7:$B$42=DATE(YEAR($C2669),MONTH($C2669),1))))</f>
        <v>0</v>
      </c>
      <c r="AE2669" s="1" t="str">
        <f>IF($E2669="","",$E2669&amp;"|"&amp;COUNTIFS($E$7:$E2669,$E2669))</f>
        <v/>
      </c>
    </row>
    <row r="2670" spans="1:31" ht="18" customHeight="1" x14ac:dyDescent="0.3">
      <c r="A2670" s="2"/>
      <c r="B2670" s="65" t="str">
        <f t="shared" si="330"/>
        <v/>
      </c>
      <c r="C2670" s="66"/>
      <c r="D2670" s="60"/>
      <c r="E2670" s="61"/>
      <c r="F2670" s="61"/>
      <c r="G2670" s="67"/>
      <c r="H2670" s="60"/>
      <c r="I2670" s="60"/>
      <c r="J2670" s="61"/>
      <c r="K2670" s="61"/>
      <c r="L2670" s="60"/>
      <c r="M2670" s="74" t="str">
        <f t="shared" si="331"/>
        <v/>
      </c>
      <c r="N2670" s="74" t="str">
        <f t="shared" si="332"/>
        <v/>
      </c>
      <c r="O2670" s="73" t="str">
        <f t="shared" si="333"/>
        <v/>
      </c>
      <c r="P2670" s="65" t="str">
        <f t="shared" ca="1" si="334"/>
        <v/>
      </c>
      <c r="Q2670" s="2"/>
      <c r="R2670" s="2"/>
      <c r="S2670" s="1" t="str">
        <f t="shared" si="335"/>
        <v/>
      </c>
      <c r="T2670" s="1" t="str">
        <f>IF(OR($C2670="",$D2670&lt;&gt;"Gelir",$L2670=""),"",IFERROR(INDEX(MUSTERILER!$B$7:$B$156,MATCH($S2670,MUSTERILER!$T$7:$T$156,0)),""))</f>
        <v/>
      </c>
      <c r="U2670" s="1" t="str">
        <f>IF($T2670="","",$T2670&amp;"|"&amp;COUNTIFS($T$7:$T2670,$T2670))</f>
        <v/>
      </c>
      <c r="V2670" s="1">
        <f t="shared" si="336"/>
        <v>0</v>
      </c>
      <c r="W2670" s="1" t="str">
        <f t="shared" si="337"/>
        <v/>
      </c>
      <c r="X2670" s="1"/>
      <c r="Y2670" s="1"/>
      <c r="Z2670" s="1"/>
      <c r="AA2670" s="1"/>
      <c r="AB2670" s="1"/>
      <c r="AC2670" s="1"/>
      <c r="AD2670" s="1">
        <f>IF($C2670="",0,SUMPRODUCT((AY_SONU!$O$7:$O$42="Evet")*(AY_SONU!$B$7:$B$42=DATE(YEAR($C2670),MONTH($C2670),1))))</f>
        <v>0</v>
      </c>
      <c r="AE2670" s="1" t="str">
        <f>IF($E2670="","",$E2670&amp;"|"&amp;COUNTIFS($E$7:$E2670,$E2670))</f>
        <v/>
      </c>
    </row>
    <row r="2671" spans="1:31" ht="18" customHeight="1" x14ac:dyDescent="0.3">
      <c r="A2671" s="2"/>
      <c r="B2671" s="65" t="str">
        <f t="shared" si="330"/>
        <v/>
      </c>
      <c r="C2671" s="66"/>
      <c r="D2671" s="60"/>
      <c r="E2671" s="61"/>
      <c r="F2671" s="61"/>
      <c r="G2671" s="67"/>
      <c r="H2671" s="60"/>
      <c r="I2671" s="60"/>
      <c r="J2671" s="61"/>
      <c r="K2671" s="61"/>
      <c r="L2671" s="60"/>
      <c r="M2671" s="74" t="str">
        <f t="shared" si="331"/>
        <v/>
      </c>
      <c r="N2671" s="74" t="str">
        <f t="shared" si="332"/>
        <v/>
      </c>
      <c r="O2671" s="73" t="str">
        <f t="shared" si="333"/>
        <v/>
      </c>
      <c r="P2671" s="65" t="str">
        <f t="shared" ca="1" si="334"/>
        <v/>
      </c>
      <c r="Q2671" s="2"/>
      <c r="R2671" s="2"/>
      <c r="S2671" s="1" t="str">
        <f t="shared" si="335"/>
        <v/>
      </c>
      <c r="T2671" s="1" t="str">
        <f>IF(OR($C2671="",$D2671&lt;&gt;"Gelir",$L2671=""),"",IFERROR(INDEX(MUSTERILER!$B$7:$B$156,MATCH($S2671,MUSTERILER!$T$7:$T$156,0)),""))</f>
        <v/>
      </c>
      <c r="U2671" s="1" t="str">
        <f>IF($T2671="","",$T2671&amp;"|"&amp;COUNTIFS($T$7:$T2671,$T2671))</f>
        <v/>
      </c>
      <c r="V2671" s="1">
        <f t="shared" si="336"/>
        <v>0</v>
      </c>
      <c r="W2671" s="1" t="str">
        <f t="shared" si="337"/>
        <v/>
      </c>
      <c r="X2671" s="1"/>
      <c r="Y2671" s="1"/>
      <c r="Z2671" s="1"/>
      <c r="AA2671" s="1"/>
      <c r="AB2671" s="1"/>
      <c r="AC2671" s="1"/>
      <c r="AD2671" s="1">
        <f>IF($C2671="",0,SUMPRODUCT((AY_SONU!$O$7:$O$42="Evet")*(AY_SONU!$B$7:$B$42=DATE(YEAR($C2671),MONTH($C2671),1))))</f>
        <v>0</v>
      </c>
      <c r="AE2671" s="1" t="str">
        <f>IF($E2671="","",$E2671&amp;"|"&amp;COUNTIFS($E$7:$E2671,$E2671))</f>
        <v/>
      </c>
    </row>
    <row r="2672" spans="1:31" ht="18" customHeight="1" x14ac:dyDescent="0.3">
      <c r="A2672" s="2"/>
      <c r="B2672" s="65" t="str">
        <f t="shared" si="330"/>
        <v/>
      </c>
      <c r="C2672" s="66"/>
      <c r="D2672" s="60"/>
      <c r="E2672" s="61"/>
      <c r="F2672" s="61"/>
      <c r="G2672" s="67"/>
      <c r="H2672" s="60"/>
      <c r="I2672" s="60"/>
      <c r="J2672" s="61"/>
      <c r="K2672" s="61"/>
      <c r="L2672" s="60"/>
      <c r="M2672" s="74" t="str">
        <f t="shared" si="331"/>
        <v/>
      </c>
      <c r="N2672" s="74" t="str">
        <f t="shared" si="332"/>
        <v/>
      </c>
      <c r="O2672" s="73" t="str">
        <f t="shared" si="333"/>
        <v/>
      </c>
      <c r="P2672" s="65" t="str">
        <f t="shared" ca="1" si="334"/>
        <v/>
      </c>
      <c r="Q2672" s="2"/>
      <c r="R2672" s="2"/>
      <c r="S2672" s="1" t="str">
        <f t="shared" si="335"/>
        <v/>
      </c>
      <c r="T2672" s="1" t="str">
        <f>IF(OR($C2672="",$D2672&lt;&gt;"Gelir",$L2672=""),"",IFERROR(INDEX(MUSTERILER!$B$7:$B$156,MATCH($S2672,MUSTERILER!$T$7:$T$156,0)),""))</f>
        <v/>
      </c>
      <c r="U2672" s="1" t="str">
        <f>IF($T2672="","",$T2672&amp;"|"&amp;COUNTIFS($T$7:$T2672,$T2672))</f>
        <v/>
      </c>
      <c r="V2672" s="1">
        <f t="shared" si="336"/>
        <v>0</v>
      </c>
      <c r="W2672" s="1" t="str">
        <f t="shared" si="337"/>
        <v/>
      </c>
      <c r="X2672" s="1"/>
      <c r="Y2672" s="1"/>
      <c r="Z2672" s="1"/>
      <c r="AA2672" s="1"/>
      <c r="AB2672" s="1"/>
      <c r="AC2672" s="1"/>
      <c r="AD2672" s="1">
        <f>IF($C2672="",0,SUMPRODUCT((AY_SONU!$O$7:$O$42="Evet")*(AY_SONU!$B$7:$B$42=DATE(YEAR($C2672),MONTH($C2672),1))))</f>
        <v>0</v>
      </c>
      <c r="AE2672" s="1" t="str">
        <f>IF($E2672="","",$E2672&amp;"|"&amp;COUNTIFS($E$7:$E2672,$E2672))</f>
        <v/>
      </c>
    </row>
    <row r="2673" spans="1:31" ht="18" customHeight="1" x14ac:dyDescent="0.3">
      <c r="A2673" s="2"/>
      <c r="B2673" s="65" t="str">
        <f t="shared" si="330"/>
        <v/>
      </c>
      <c r="C2673" s="66"/>
      <c r="D2673" s="60"/>
      <c r="E2673" s="61"/>
      <c r="F2673" s="61"/>
      <c r="G2673" s="67"/>
      <c r="H2673" s="60"/>
      <c r="I2673" s="60"/>
      <c r="J2673" s="61"/>
      <c r="K2673" s="61"/>
      <c r="L2673" s="60"/>
      <c r="M2673" s="74" t="str">
        <f t="shared" si="331"/>
        <v/>
      </c>
      <c r="N2673" s="74" t="str">
        <f t="shared" si="332"/>
        <v/>
      </c>
      <c r="O2673" s="73" t="str">
        <f t="shared" si="333"/>
        <v/>
      </c>
      <c r="P2673" s="65" t="str">
        <f t="shared" ca="1" si="334"/>
        <v/>
      </c>
      <c r="Q2673" s="2"/>
      <c r="R2673" s="2"/>
      <c r="S2673" s="1" t="str">
        <f t="shared" si="335"/>
        <v/>
      </c>
      <c r="T2673" s="1" t="str">
        <f>IF(OR($C2673="",$D2673&lt;&gt;"Gelir",$L2673=""),"",IFERROR(INDEX(MUSTERILER!$B$7:$B$156,MATCH($S2673,MUSTERILER!$T$7:$T$156,0)),""))</f>
        <v/>
      </c>
      <c r="U2673" s="1" t="str">
        <f>IF($T2673="","",$T2673&amp;"|"&amp;COUNTIFS($T$7:$T2673,$T2673))</f>
        <v/>
      </c>
      <c r="V2673" s="1">
        <f t="shared" si="336"/>
        <v>0</v>
      </c>
      <c r="W2673" s="1" t="str">
        <f t="shared" si="337"/>
        <v/>
      </c>
      <c r="X2673" s="1"/>
      <c r="Y2673" s="1"/>
      <c r="Z2673" s="1"/>
      <c r="AA2673" s="1"/>
      <c r="AB2673" s="1"/>
      <c r="AC2673" s="1"/>
      <c r="AD2673" s="1">
        <f>IF($C2673="",0,SUMPRODUCT((AY_SONU!$O$7:$O$42="Evet")*(AY_SONU!$B$7:$B$42=DATE(YEAR($C2673),MONTH($C2673),1))))</f>
        <v>0</v>
      </c>
      <c r="AE2673" s="1" t="str">
        <f>IF($E2673="","",$E2673&amp;"|"&amp;COUNTIFS($E$7:$E2673,$E2673))</f>
        <v/>
      </c>
    </row>
    <row r="2674" spans="1:31" ht="18" customHeight="1" x14ac:dyDescent="0.3">
      <c r="A2674" s="2"/>
      <c r="B2674" s="65" t="str">
        <f t="shared" si="330"/>
        <v/>
      </c>
      <c r="C2674" s="66"/>
      <c r="D2674" s="60"/>
      <c r="E2674" s="61"/>
      <c r="F2674" s="61"/>
      <c r="G2674" s="67"/>
      <c r="H2674" s="60"/>
      <c r="I2674" s="60"/>
      <c r="J2674" s="61"/>
      <c r="K2674" s="61"/>
      <c r="L2674" s="60"/>
      <c r="M2674" s="74" t="str">
        <f t="shared" si="331"/>
        <v/>
      </c>
      <c r="N2674" s="74" t="str">
        <f t="shared" si="332"/>
        <v/>
      </c>
      <c r="O2674" s="73" t="str">
        <f t="shared" si="333"/>
        <v/>
      </c>
      <c r="P2674" s="65" t="str">
        <f t="shared" ca="1" si="334"/>
        <v/>
      </c>
      <c r="Q2674" s="2"/>
      <c r="R2674" s="2"/>
      <c r="S2674" s="1" t="str">
        <f t="shared" si="335"/>
        <v/>
      </c>
      <c r="T2674" s="1" t="str">
        <f>IF(OR($C2674="",$D2674&lt;&gt;"Gelir",$L2674=""),"",IFERROR(INDEX(MUSTERILER!$B$7:$B$156,MATCH($S2674,MUSTERILER!$T$7:$T$156,0)),""))</f>
        <v/>
      </c>
      <c r="U2674" s="1" t="str">
        <f>IF($T2674="","",$T2674&amp;"|"&amp;COUNTIFS($T$7:$T2674,$T2674))</f>
        <v/>
      </c>
      <c r="V2674" s="1">
        <f t="shared" si="336"/>
        <v>0</v>
      </c>
      <c r="W2674" s="1" t="str">
        <f t="shared" si="337"/>
        <v/>
      </c>
      <c r="X2674" s="1"/>
      <c r="Y2674" s="1"/>
      <c r="Z2674" s="1"/>
      <c r="AA2674" s="1"/>
      <c r="AB2674" s="1"/>
      <c r="AC2674" s="1"/>
      <c r="AD2674" s="1">
        <f>IF($C2674="",0,SUMPRODUCT((AY_SONU!$O$7:$O$42="Evet")*(AY_SONU!$B$7:$B$42=DATE(YEAR($C2674),MONTH($C2674),1))))</f>
        <v>0</v>
      </c>
      <c r="AE2674" s="1" t="str">
        <f>IF($E2674="","",$E2674&amp;"|"&amp;COUNTIFS($E$7:$E2674,$E2674))</f>
        <v/>
      </c>
    </row>
    <row r="2675" spans="1:31" ht="18" customHeight="1" x14ac:dyDescent="0.3">
      <c r="A2675" s="2"/>
      <c r="B2675" s="65" t="str">
        <f t="shared" si="330"/>
        <v/>
      </c>
      <c r="C2675" s="66"/>
      <c r="D2675" s="60"/>
      <c r="E2675" s="61"/>
      <c r="F2675" s="61"/>
      <c r="G2675" s="67"/>
      <c r="H2675" s="60"/>
      <c r="I2675" s="60"/>
      <c r="J2675" s="61"/>
      <c r="K2675" s="61"/>
      <c r="L2675" s="60"/>
      <c r="M2675" s="74" t="str">
        <f t="shared" si="331"/>
        <v/>
      </c>
      <c r="N2675" s="74" t="str">
        <f t="shared" si="332"/>
        <v/>
      </c>
      <c r="O2675" s="73" t="str">
        <f t="shared" si="333"/>
        <v/>
      </c>
      <c r="P2675" s="65" t="str">
        <f t="shared" ca="1" si="334"/>
        <v/>
      </c>
      <c r="Q2675" s="2"/>
      <c r="R2675" s="2"/>
      <c r="S2675" s="1" t="str">
        <f t="shared" si="335"/>
        <v/>
      </c>
      <c r="T2675" s="1" t="str">
        <f>IF(OR($C2675="",$D2675&lt;&gt;"Gelir",$L2675=""),"",IFERROR(INDEX(MUSTERILER!$B$7:$B$156,MATCH($S2675,MUSTERILER!$T$7:$T$156,0)),""))</f>
        <v/>
      </c>
      <c r="U2675" s="1" t="str">
        <f>IF($T2675="","",$T2675&amp;"|"&amp;COUNTIFS($T$7:$T2675,$T2675))</f>
        <v/>
      </c>
      <c r="V2675" s="1">
        <f t="shared" si="336"/>
        <v>0</v>
      </c>
      <c r="W2675" s="1" t="str">
        <f t="shared" si="337"/>
        <v/>
      </c>
      <c r="X2675" s="1"/>
      <c r="Y2675" s="1"/>
      <c r="Z2675" s="1"/>
      <c r="AA2675" s="1"/>
      <c r="AB2675" s="1"/>
      <c r="AC2675" s="1"/>
      <c r="AD2675" s="1">
        <f>IF($C2675="",0,SUMPRODUCT((AY_SONU!$O$7:$O$42="Evet")*(AY_SONU!$B$7:$B$42=DATE(YEAR($C2675),MONTH($C2675),1))))</f>
        <v>0</v>
      </c>
      <c r="AE2675" s="1" t="str">
        <f>IF($E2675="","",$E2675&amp;"|"&amp;COUNTIFS($E$7:$E2675,$E2675))</f>
        <v/>
      </c>
    </row>
    <row r="2676" spans="1:31" ht="18" customHeight="1" x14ac:dyDescent="0.3">
      <c r="A2676" s="2"/>
      <c r="B2676" s="65" t="str">
        <f t="shared" si="330"/>
        <v/>
      </c>
      <c r="C2676" s="66"/>
      <c r="D2676" s="60"/>
      <c r="E2676" s="61"/>
      <c r="F2676" s="61"/>
      <c r="G2676" s="67"/>
      <c r="H2676" s="60"/>
      <c r="I2676" s="60"/>
      <c r="J2676" s="61"/>
      <c r="K2676" s="61"/>
      <c r="L2676" s="60"/>
      <c r="M2676" s="74" t="str">
        <f t="shared" si="331"/>
        <v/>
      </c>
      <c r="N2676" s="74" t="str">
        <f t="shared" si="332"/>
        <v/>
      </c>
      <c r="O2676" s="73" t="str">
        <f t="shared" si="333"/>
        <v/>
      </c>
      <c r="P2676" s="65" t="str">
        <f t="shared" ca="1" si="334"/>
        <v/>
      </c>
      <c r="Q2676" s="2"/>
      <c r="R2676" s="2"/>
      <c r="S2676" s="1" t="str">
        <f t="shared" si="335"/>
        <v/>
      </c>
      <c r="T2676" s="1" t="str">
        <f>IF(OR($C2676="",$D2676&lt;&gt;"Gelir",$L2676=""),"",IFERROR(INDEX(MUSTERILER!$B$7:$B$156,MATCH($S2676,MUSTERILER!$T$7:$T$156,0)),""))</f>
        <v/>
      </c>
      <c r="U2676" s="1" t="str">
        <f>IF($T2676="","",$T2676&amp;"|"&amp;COUNTIFS($T$7:$T2676,$T2676))</f>
        <v/>
      </c>
      <c r="V2676" s="1">
        <f t="shared" si="336"/>
        <v>0</v>
      </c>
      <c r="W2676" s="1" t="str">
        <f t="shared" si="337"/>
        <v/>
      </c>
      <c r="X2676" s="1"/>
      <c r="Y2676" s="1"/>
      <c r="Z2676" s="1"/>
      <c r="AA2676" s="1"/>
      <c r="AB2676" s="1"/>
      <c r="AC2676" s="1"/>
      <c r="AD2676" s="1">
        <f>IF($C2676="",0,SUMPRODUCT((AY_SONU!$O$7:$O$42="Evet")*(AY_SONU!$B$7:$B$42=DATE(YEAR($C2676),MONTH($C2676),1))))</f>
        <v>0</v>
      </c>
      <c r="AE2676" s="1" t="str">
        <f>IF($E2676="","",$E2676&amp;"|"&amp;COUNTIFS($E$7:$E2676,$E2676))</f>
        <v/>
      </c>
    </row>
    <row r="2677" spans="1:31" ht="18" customHeight="1" x14ac:dyDescent="0.3">
      <c r="A2677" s="2"/>
      <c r="B2677" s="65" t="str">
        <f t="shared" si="330"/>
        <v/>
      </c>
      <c r="C2677" s="66"/>
      <c r="D2677" s="60"/>
      <c r="E2677" s="61"/>
      <c r="F2677" s="61"/>
      <c r="G2677" s="67"/>
      <c r="H2677" s="60"/>
      <c r="I2677" s="60"/>
      <c r="J2677" s="61"/>
      <c r="K2677" s="61"/>
      <c r="L2677" s="60"/>
      <c r="M2677" s="74" t="str">
        <f t="shared" si="331"/>
        <v/>
      </c>
      <c r="N2677" s="74" t="str">
        <f t="shared" si="332"/>
        <v/>
      </c>
      <c r="O2677" s="73" t="str">
        <f t="shared" si="333"/>
        <v/>
      </c>
      <c r="P2677" s="65" t="str">
        <f t="shared" ca="1" si="334"/>
        <v/>
      </c>
      <c r="Q2677" s="2"/>
      <c r="R2677" s="2"/>
      <c r="S2677" s="1" t="str">
        <f t="shared" si="335"/>
        <v/>
      </c>
      <c r="T2677" s="1" t="str">
        <f>IF(OR($C2677="",$D2677&lt;&gt;"Gelir",$L2677=""),"",IFERROR(INDEX(MUSTERILER!$B$7:$B$156,MATCH($S2677,MUSTERILER!$T$7:$T$156,0)),""))</f>
        <v/>
      </c>
      <c r="U2677" s="1" t="str">
        <f>IF($T2677="","",$T2677&amp;"|"&amp;COUNTIFS($T$7:$T2677,$T2677))</f>
        <v/>
      </c>
      <c r="V2677" s="1">
        <f t="shared" si="336"/>
        <v>0</v>
      </c>
      <c r="W2677" s="1" t="str">
        <f t="shared" si="337"/>
        <v/>
      </c>
      <c r="X2677" s="1"/>
      <c r="Y2677" s="1"/>
      <c r="Z2677" s="1"/>
      <c r="AA2677" s="1"/>
      <c r="AB2677" s="1"/>
      <c r="AC2677" s="1"/>
      <c r="AD2677" s="1">
        <f>IF($C2677="",0,SUMPRODUCT((AY_SONU!$O$7:$O$42="Evet")*(AY_SONU!$B$7:$B$42=DATE(YEAR($C2677),MONTH($C2677),1))))</f>
        <v>0</v>
      </c>
      <c r="AE2677" s="1" t="str">
        <f>IF($E2677="","",$E2677&amp;"|"&amp;COUNTIFS($E$7:$E2677,$E2677))</f>
        <v/>
      </c>
    </row>
    <row r="2678" spans="1:31" ht="18" customHeight="1" x14ac:dyDescent="0.3">
      <c r="A2678" s="2"/>
      <c r="B2678" s="65" t="str">
        <f t="shared" si="330"/>
        <v/>
      </c>
      <c r="C2678" s="66"/>
      <c r="D2678" s="60"/>
      <c r="E2678" s="61"/>
      <c r="F2678" s="61"/>
      <c r="G2678" s="67"/>
      <c r="H2678" s="60"/>
      <c r="I2678" s="60"/>
      <c r="J2678" s="61"/>
      <c r="K2678" s="61"/>
      <c r="L2678" s="60"/>
      <c r="M2678" s="74" t="str">
        <f t="shared" si="331"/>
        <v/>
      </c>
      <c r="N2678" s="74" t="str">
        <f t="shared" si="332"/>
        <v/>
      </c>
      <c r="O2678" s="73" t="str">
        <f t="shared" si="333"/>
        <v/>
      </c>
      <c r="P2678" s="65" t="str">
        <f t="shared" ca="1" si="334"/>
        <v/>
      </c>
      <c r="Q2678" s="2"/>
      <c r="R2678" s="2"/>
      <c r="S2678" s="1" t="str">
        <f t="shared" si="335"/>
        <v/>
      </c>
      <c r="T2678" s="1" t="str">
        <f>IF(OR($C2678="",$D2678&lt;&gt;"Gelir",$L2678=""),"",IFERROR(INDEX(MUSTERILER!$B$7:$B$156,MATCH($S2678,MUSTERILER!$T$7:$T$156,0)),""))</f>
        <v/>
      </c>
      <c r="U2678" s="1" t="str">
        <f>IF($T2678="","",$T2678&amp;"|"&amp;COUNTIFS($T$7:$T2678,$T2678))</f>
        <v/>
      </c>
      <c r="V2678" s="1">
        <f t="shared" si="336"/>
        <v>0</v>
      </c>
      <c r="W2678" s="1" t="str">
        <f t="shared" si="337"/>
        <v/>
      </c>
      <c r="X2678" s="1"/>
      <c r="Y2678" s="1"/>
      <c r="Z2678" s="1"/>
      <c r="AA2678" s="1"/>
      <c r="AB2678" s="1"/>
      <c r="AC2678" s="1"/>
      <c r="AD2678" s="1">
        <f>IF($C2678="",0,SUMPRODUCT((AY_SONU!$O$7:$O$42="Evet")*(AY_SONU!$B$7:$B$42=DATE(YEAR($C2678),MONTH($C2678),1))))</f>
        <v>0</v>
      </c>
      <c r="AE2678" s="1" t="str">
        <f>IF($E2678="","",$E2678&amp;"|"&amp;COUNTIFS($E$7:$E2678,$E2678))</f>
        <v/>
      </c>
    </row>
    <row r="2679" spans="1:31" ht="18" customHeight="1" x14ac:dyDescent="0.3">
      <c r="A2679" s="2"/>
      <c r="B2679" s="65" t="str">
        <f t="shared" si="330"/>
        <v/>
      </c>
      <c r="C2679" s="66"/>
      <c r="D2679" s="60"/>
      <c r="E2679" s="61"/>
      <c r="F2679" s="61"/>
      <c r="G2679" s="67"/>
      <c r="H2679" s="60"/>
      <c r="I2679" s="60"/>
      <c r="J2679" s="61"/>
      <c r="K2679" s="61"/>
      <c r="L2679" s="60"/>
      <c r="M2679" s="74" t="str">
        <f t="shared" si="331"/>
        <v/>
      </c>
      <c r="N2679" s="74" t="str">
        <f t="shared" si="332"/>
        <v/>
      </c>
      <c r="O2679" s="73" t="str">
        <f t="shared" si="333"/>
        <v/>
      </c>
      <c r="P2679" s="65" t="str">
        <f t="shared" ca="1" si="334"/>
        <v/>
      </c>
      <c r="Q2679" s="2"/>
      <c r="R2679" s="2"/>
      <c r="S2679" s="1" t="str">
        <f t="shared" si="335"/>
        <v/>
      </c>
      <c r="T2679" s="1" t="str">
        <f>IF(OR($C2679="",$D2679&lt;&gt;"Gelir",$L2679=""),"",IFERROR(INDEX(MUSTERILER!$B$7:$B$156,MATCH($S2679,MUSTERILER!$T$7:$T$156,0)),""))</f>
        <v/>
      </c>
      <c r="U2679" s="1" t="str">
        <f>IF($T2679="","",$T2679&amp;"|"&amp;COUNTIFS($T$7:$T2679,$T2679))</f>
        <v/>
      </c>
      <c r="V2679" s="1">
        <f t="shared" si="336"/>
        <v>0</v>
      </c>
      <c r="W2679" s="1" t="str">
        <f t="shared" si="337"/>
        <v/>
      </c>
      <c r="X2679" s="1"/>
      <c r="Y2679" s="1"/>
      <c r="Z2679" s="1"/>
      <c r="AA2679" s="1"/>
      <c r="AB2679" s="1"/>
      <c r="AC2679" s="1"/>
      <c r="AD2679" s="1">
        <f>IF($C2679="",0,SUMPRODUCT((AY_SONU!$O$7:$O$42="Evet")*(AY_SONU!$B$7:$B$42=DATE(YEAR($C2679),MONTH($C2679),1))))</f>
        <v>0</v>
      </c>
      <c r="AE2679" s="1" t="str">
        <f>IF($E2679="","",$E2679&amp;"|"&amp;COUNTIFS($E$7:$E2679,$E2679))</f>
        <v/>
      </c>
    </row>
    <row r="2680" spans="1:31" ht="18" customHeight="1" x14ac:dyDescent="0.3">
      <c r="A2680" s="2"/>
      <c r="B2680" s="65" t="str">
        <f t="shared" si="330"/>
        <v/>
      </c>
      <c r="C2680" s="66"/>
      <c r="D2680" s="60"/>
      <c r="E2680" s="61"/>
      <c r="F2680" s="61"/>
      <c r="G2680" s="67"/>
      <c r="H2680" s="60"/>
      <c r="I2680" s="60"/>
      <c r="J2680" s="61"/>
      <c r="K2680" s="61"/>
      <c r="L2680" s="60"/>
      <c r="M2680" s="74" t="str">
        <f t="shared" si="331"/>
        <v/>
      </c>
      <c r="N2680" s="74" t="str">
        <f t="shared" si="332"/>
        <v/>
      </c>
      <c r="O2680" s="73" t="str">
        <f t="shared" si="333"/>
        <v/>
      </c>
      <c r="P2680" s="65" t="str">
        <f t="shared" ca="1" si="334"/>
        <v/>
      </c>
      <c r="Q2680" s="2"/>
      <c r="R2680" s="2"/>
      <c r="S2680" s="1" t="str">
        <f t="shared" si="335"/>
        <v/>
      </c>
      <c r="T2680" s="1" t="str">
        <f>IF(OR($C2680="",$D2680&lt;&gt;"Gelir",$L2680=""),"",IFERROR(INDEX(MUSTERILER!$B$7:$B$156,MATCH($S2680,MUSTERILER!$T$7:$T$156,0)),""))</f>
        <v/>
      </c>
      <c r="U2680" s="1" t="str">
        <f>IF($T2680="","",$T2680&amp;"|"&amp;COUNTIFS($T$7:$T2680,$T2680))</f>
        <v/>
      </c>
      <c r="V2680" s="1">
        <f t="shared" si="336"/>
        <v>0</v>
      </c>
      <c r="W2680" s="1" t="str">
        <f t="shared" si="337"/>
        <v/>
      </c>
      <c r="X2680" s="1"/>
      <c r="Y2680" s="1"/>
      <c r="Z2680" s="1"/>
      <c r="AA2680" s="1"/>
      <c r="AB2680" s="1"/>
      <c r="AC2680" s="1"/>
      <c r="AD2680" s="1">
        <f>IF($C2680="",0,SUMPRODUCT((AY_SONU!$O$7:$O$42="Evet")*(AY_SONU!$B$7:$B$42=DATE(YEAR($C2680),MONTH($C2680),1))))</f>
        <v>0</v>
      </c>
      <c r="AE2680" s="1" t="str">
        <f>IF($E2680="","",$E2680&amp;"|"&amp;COUNTIFS($E$7:$E2680,$E2680))</f>
        <v/>
      </c>
    </row>
    <row r="2681" spans="1:31" ht="18" customHeight="1" x14ac:dyDescent="0.3">
      <c r="A2681" s="2"/>
      <c r="B2681" s="65" t="str">
        <f t="shared" si="330"/>
        <v/>
      </c>
      <c r="C2681" s="66"/>
      <c r="D2681" s="60"/>
      <c r="E2681" s="61"/>
      <c r="F2681" s="61"/>
      <c r="G2681" s="67"/>
      <c r="H2681" s="60"/>
      <c r="I2681" s="60"/>
      <c r="J2681" s="61"/>
      <c r="K2681" s="61"/>
      <c r="L2681" s="60"/>
      <c r="M2681" s="74" t="str">
        <f t="shared" si="331"/>
        <v/>
      </c>
      <c r="N2681" s="74" t="str">
        <f t="shared" si="332"/>
        <v/>
      </c>
      <c r="O2681" s="73" t="str">
        <f t="shared" si="333"/>
        <v/>
      </c>
      <c r="P2681" s="65" t="str">
        <f t="shared" ca="1" si="334"/>
        <v/>
      </c>
      <c r="Q2681" s="2"/>
      <c r="R2681" s="2"/>
      <c r="S2681" s="1" t="str">
        <f t="shared" si="335"/>
        <v/>
      </c>
      <c r="T2681" s="1" t="str">
        <f>IF(OR($C2681="",$D2681&lt;&gt;"Gelir",$L2681=""),"",IFERROR(INDEX(MUSTERILER!$B$7:$B$156,MATCH($S2681,MUSTERILER!$T$7:$T$156,0)),""))</f>
        <v/>
      </c>
      <c r="U2681" s="1" t="str">
        <f>IF($T2681="","",$T2681&amp;"|"&amp;COUNTIFS($T$7:$T2681,$T2681))</f>
        <v/>
      </c>
      <c r="V2681" s="1">
        <f t="shared" si="336"/>
        <v>0</v>
      </c>
      <c r="W2681" s="1" t="str">
        <f t="shared" si="337"/>
        <v/>
      </c>
      <c r="X2681" s="1"/>
      <c r="Y2681" s="1"/>
      <c r="Z2681" s="1"/>
      <c r="AA2681" s="1"/>
      <c r="AB2681" s="1"/>
      <c r="AC2681" s="1"/>
      <c r="AD2681" s="1">
        <f>IF($C2681="",0,SUMPRODUCT((AY_SONU!$O$7:$O$42="Evet")*(AY_SONU!$B$7:$B$42=DATE(YEAR($C2681),MONTH($C2681),1))))</f>
        <v>0</v>
      </c>
      <c r="AE2681" s="1" t="str">
        <f>IF($E2681="","",$E2681&amp;"|"&amp;COUNTIFS($E$7:$E2681,$E2681))</f>
        <v/>
      </c>
    </row>
    <row r="2682" spans="1:31" ht="18" customHeight="1" x14ac:dyDescent="0.3">
      <c r="A2682" s="2"/>
      <c r="B2682" s="65" t="str">
        <f t="shared" si="330"/>
        <v/>
      </c>
      <c r="C2682" s="66"/>
      <c r="D2682" s="60"/>
      <c r="E2682" s="61"/>
      <c r="F2682" s="61"/>
      <c r="G2682" s="67"/>
      <c r="H2682" s="60"/>
      <c r="I2682" s="60"/>
      <c r="J2682" s="61"/>
      <c r="K2682" s="61"/>
      <c r="L2682" s="60"/>
      <c r="M2682" s="74" t="str">
        <f t="shared" si="331"/>
        <v/>
      </c>
      <c r="N2682" s="74" t="str">
        <f t="shared" si="332"/>
        <v/>
      </c>
      <c r="O2682" s="73" t="str">
        <f t="shared" si="333"/>
        <v/>
      </c>
      <c r="P2682" s="65" t="str">
        <f t="shared" ca="1" si="334"/>
        <v/>
      </c>
      <c r="Q2682" s="2"/>
      <c r="R2682" s="2"/>
      <c r="S2682" s="1" t="str">
        <f t="shared" si="335"/>
        <v/>
      </c>
      <c r="T2682" s="1" t="str">
        <f>IF(OR($C2682="",$D2682&lt;&gt;"Gelir",$L2682=""),"",IFERROR(INDEX(MUSTERILER!$B$7:$B$156,MATCH($S2682,MUSTERILER!$T$7:$T$156,0)),""))</f>
        <v/>
      </c>
      <c r="U2682" s="1" t="str">
        <f>IF($T2682="","",$T2682&amp;"|"&amp;COUNTIFS($T$7:$T2682,$T2682))</f>
        <v/>
      </c>
      <c r="V2682" s="1">
        <f t="shared" si="336"/>
        <v>0</v>
      </c>
      <c r="W2682" s="1" t="str">
        <f t="shared" si="337"/>
        <v/>
      </c>
      <c r="X2682" s="1"/>
      <c r="Y2682" s="1"/>
      <c r="Z2682" s="1"/>
      <c r="AA2682" s="1"/>
      <c r="AB2682" s="1"/>
      <c r="AC2682" s="1"/>
      <c r="AD2682" s="1">
        <f>IF($C2682="",0,SUMPRODUCT((AY_SONU!$O$7:$O$42="Evet")*(AY_SONU!$B$7:$B$42=DATE(YEAR($C2682),MONTH($C2682),1))))</f>
        <v>0</v>
      </c>
      <c r="AE2682" s="1" t="str">
        <f>IF($E2682="","",$E2682&amp;"|"&amp;COUNTIFS($E$7:$E2682,$E2682))</f>
        <v/>
      </c>
    </row>
    <row r="2683" spans="1:31" ht="18" customHeight="1" x14ac:dyDescent="0.3">
      <c r="A2683" s="2"/>
      <c r="B2683" s="65" t="str">
        <f t="shared" si="330"/>
        <v/>
      </c>
      <c r="C2683" s="66"/>
      <c r="D2683" s="60"/>
      <c r="E2683" s="61"/>
      <c r="F2683" s="61"/>
      <c r="G2683" s="67"/>
      <c r="H2683" s="60"/>
      <c r="I2683" s="60"/>
      <c r="J2683" s="61"/>
      <c r="K2683" s="61"/>
      <c r="L2683" s="60"/>
      <c r="M2683" s="74" t="str">
        <f t="shared" si="331"/>
        <v/>
      </c>
      <c r="N2683" s="74" t="str">
        <f t="shared" si="332"/>
        <v/>
      </c>
      <c r="O2683" s="73" t="str">
        <f t="shared" si="333"/>
        <v/>
      </c>
      <c r="P2683" s="65" t="str">
        <f t="shared" ca="1" si="334"/>
        <v/>
      </c>
      <c r="Q2683" s="2"/>
      <c r="R2683" s="2"/>
      <c r="S2683" s="1" t="str">
        <f t="shared" si="335"/>
        <v/>
      </c>
      <c r="T2683" s="1" t="str">
        <f>IF(OR($C2683="",$D2683&lt;&gt;"Gelir",$L2683=""),"",IFERROR(INDEX(MUSTERILER!$B$7:$B$156,MATCH($S2683,MUSTERILER!$T$7:$T$156,0)),""))</f>
        <v/>
      </c>
      <c r="U2683" s="1" t="str">
        <f>IF($T2683="","",$T2683&amp;"|"&amp;COUNTIFS($T$7:$T2683,$T2683))</f>
        <v/>
      </c>
      <c r="V2683" s="1">
        <f t="shared" si="336"/>
        <v>0</v>
      </c>
      <c r="W2683" s="1" t="str">
        <f t="shared" si="337"/>
        <v/>
      </c>
      <c r="X2683" s="1"/>
      <c r="Y2683" s="1"/>
      <c r="Z2683" s="1"/>
      <c r="AA2683" s="1"/>
      <c r="AB2683" s="1"/>
      <c r="AC2683" s="1"/>
      <c r="AD2683" s="1">
        <f>IF($C2683="",0,SUMPRODUCT((AY_SONU!$O$7:$O$42="Evet")*(AY_SONU!$B$7:$B$42=DATE(YEAR($C2683),MONTH($C2683),1))))</f>
        <v>0</v>
      </c>
      <c r="AE2683" s="1" t="str">
        <f>IF($E2683="","",$E2683&amp;"|"&amp;COUNTIFS($E$7:$E2683,$E2683))</f>
        <v/>
      </c>
    </row>
    <row r="2684" spans="1:31" ht="18" customHeight="1" x14ac:dyDescent="0.3">
      <c r="A2684" s="2"/>
      <c r="B2684" s="65" t="str">
        <f t="shared" si="330"/>
        <v/>
      </c>
      <c r="C2684" s="66"/>
      <c r="D2684" s="60"/>
      <c r="E2684" s="61"/>
      <c r="F2684" s="61"/>
      <c r="G2684" s="67"/>
      <c r="H2684" s="60"/>
      <c r="I2684" s="60"/>
      <c r="J2684" s="61"/>
      <c r="K2684" s="61"/>
      <c r="L2684" s="60"/>
      <c r="M2684" s="74" t="str">
        <f t="shared" si="331"/>
        <v/>
      </c>
      <c r="N2684" s="74" t="str">
        <f t="shared" si="332"/>
        <v/>
      </c>
      <c r="O2684" s="73" t="str">
        <f t="shared" si="333"/>
        <v/>
      </c>
      <c r="P2684" s="65" t="str">
        <f t="shared" ca="1" si="334"/>
        <v/>
      </c>
      <c r="Q2684" s="2"/>
      <c r="R2684" s="2"/>
      <c r="S2684" s="1" t="str">
        <f t="shared" si="335"/>
        <v/>
      </c>
      <c r="T2684" s="1" t="str">
        <f>IF(OR($C2684="",$D2684&lt;&gt;"Gelir",$L2684=""),"",IFERROR(INDEX(MUSTERILER!$B$7:$B$156,MATCH($S2684,MUSTERILER!$T$7:$T$156,0)),""))</f>
        <v/>
      </c>
      <c r="U2684" s="1" t="str">
        <f>IF($T2684="","",$T2684&amp;"|"&amp;COUNTIFS($T$7:$T2684,$T2684))</f>
        <v/>
      </c>
      <c r="V2684" s="1">
        <f t="shared" si="336"/>
        <v>0</v>
      </c>
      <c r="W2684" s="1" t="str">
        <f t="shared" si="337"/>
        <v/>
      </c>
      <c r="X2684" s="1"/>
      <c r="Y2684" s="1"/>
      <c r="Z2684" s="1"/>
      <c r="AA2684" s="1"/>
      <c r="AB2684" s="1"/>
      <c r="AC2684" s="1"/>
      <c r="AD2684" s="1">
        <f>IF($C2684="",0,SUMPRODUCT((AY_SONU!$O$7:$O$42="Evet")*(AY_SONU!$B$7:$B$42=DATE(YEAR($C2684),MONTH($C2684),1))))</f>
        <v>0</v>
      </c>
      <c r="AE2684" s="1" t="str">
        <f>IF($E2684="","",$E2684&amp;"|"&amp;COUNTIFS($E$7:$E2684,$E2684))</f>
        <v/>
      </c>
    </row>
    <row r="2685" spans="1:31" ht="18" customHeight="1" x14ac:dyDescent="0.3">
      <c r="A2685" s="2"/>
      <c r="B2685" s="65" t="str">
        <f t="shared" si="330"/>
        <v/>
      </c>
      <c r="C2685" s="66"/>
      <c r="D2685" s="60"/>
      <c r="E2685" s="61"/>
      <c r="F2685" s="61"/>
      <c r="G2685" s="67"/>
      <c r="H2685" s="60"/>
      <c r="I2685" s="60"/>
      <c r="J2685" s="61"/>
      <c r="K2685" s="61"/>
      <c r="L2685" s="60"/>
      <c r="M2685" s="74" t="str">
        <f t="shared" si="331"/>
        <v/>
      </c>
      <c r="N2685" s="74" t="str">
        <f t="shared" si="332"/>
        <v/>
      </c>
      <c r="O2685" s="73" t="str">
        <f t="shared" si="333"/>
        <v/>
      </c>
      <c r="P2685" s="65" t="str">
        <f t="shared" ca="1" si="334"/>
        <v/>
      </c>
      <c r="Q2685" s="2"/>
      <c r="R2685" s="2"/>
      <c r="S2685" s="1" t="str">
        <f t="shared" si="335"/>
        <v/>
      </c>
      <c r="T2685" s="1" t="str">
        <f>IF(OR($C2685="",$D2685&lt;&gt;"Gelir",$L2685=""),"",IFERROR(INDEX(MUSTERILER!$B$7:$B$156,MATCH($S2685,MUSTERILER!$T$7:$T$156,0)),""))</f>
        <v/>
      </c>
      <c r="U2685" s="1" t="str">
        <f>IF($T2685="","",$T2685&amp;"|"&amp;COUNTIFS($T$7:$T2685,$T2685))</f>
        <v/>
      </c>
      <c r="V2685" s="1">
        <f t="shared" si="336"/>
        <v>0</v>
      </c>
      <c r="W2685" s="1" t="str">
        <f t="shared" si="337"/>
        <v/>
      </c>
      <c r="X2685" s="1"/>
      <c r="Y2685" s="1"/>
      <c r="Z2685" s="1"/>
      <c r="AA2685" s="1"/>
      <c r="AB2685" s="1"/>
      <c r="AC2685" s="1"/>
      <c r="AD2685" s="1">
        <f>IF($C2685="",0,SUMPRODUCT((AY_SONU!$O$7:$O$42="Evet")*(AY_SONU!$B$7:$B$42=DATE(YEAR($C2685),MONTH($C2685),1))))</f>
        <v>0</v>
      </c>
      <c r="AE2685" s="1" t="str">
        <f>IF($E2685="","",$E2685&amp;"|"&amp;COUNTIFS($E$7:$E2685,$E2685))</f>
        <v/>
      </c>
    </row>
    <row r="2686" spans="1:31" ht="18" customHeight="1" x14ac:dyDescent="0.3">
      <c r="A2686" s="2"/>
      <c r="B2686" s="65" t="str">
        <f t="shared" si="330"/>
        <v/>
      </c>
      <c r="C2686" s="66"/>
      <c r="D2686" s="60"/>
      <c r="E2686" s="61"/>
      <c r="F2686" s="61"/>
      <c r="G2686" s="67"/>
      <c r="H2686" s="60"/>
      <c r="I2686" s="60"/>
      <c r="J2686" s="61"/>
      <c r="K2686" s="61"/>
      <c r="L2686" s="60"/>
      <c r="M2686" s="74" t="str">
        <f t="shared" si="331"/>
        <v/>
      </c>
      <c r="N2686" s="74" t="str">
        <f t="shared" si="332"/>
        <v/>
      </c>
      <c r="O2686" s="73" t="str">
        <f t="shared" si="333"/>
        <v/>
      </c>
      <c r="P2686" s="65" t="str">
        <f t="shared" ca="1" si="334"/>
        <v/>
      </c>
      <c r="Q2686" s="2"/>
      <c r="R2686" s="2"/>
      <c r="S2686" s="1" t="str">
        <f t="shared" si="335"/>
        <v/>
      </c>
      <c r="T2686" s="1" t="str">
        <f>IF(OR($C2686="",$D2686&lt;&gt;"Gelir",$L2686=""),"",IFERROR(INDEX(MUSTERILER!$B$7:$B$156,MATCH($S2686,MUSTERILER!$T$7:$T$156,0)),""))</f>
        <v/>
      </c>
      <c r="U2686" s="1" t="str">
        <f>IF($T2686="","",$T2686&amp;"|"&amp;COUNTIFS($T$7:$T2686,$T2686))</f>
        <v/>
      </c>
      <c r="V2686" s="1">
        <f t="shared" si="336"/>
        <v>0</v>
      </c>
      <c r="W2686" s="1" t="str">
        <f t="shared" si="337"/>
        <v/>
      </c>
      <c r="X2686" s="1"/>
      <c r="Y2686" s="1"/>
      <c r="Z2686" s="1"/>
      <c r="AA2686" s="1"/>
      <c r="AB2686" s="1"/>
      <c r="AC2686" s="1"/>
      <c r="AD2686" s="1">
        <f>IF($C2686="",0,SUMPRODUCT((AY_SONU!$O$7:$O$42="Evet")*(AY_SONU!$B$7:$B$42=DATE(YEAR($C2686),MONTH($C2686),1))))</f>
        <v>0</v>
      </c>
      <c r="AE2686" s="1" t="str">
        <f>IF($E2686="","",$E2686&amp;"|"&amp;COUNTIFS($E$7:$E2686,$E2686))</f>
        <v/>
      </c>
    </row>
    <row r="2687" spans="1:31" ht="18" customHeight="1" x14ac:dyDescent="0.3">
      <c r="A2687" s="2"/>
      <c r="B2687" s="65" t="str">
        <f t="shared" si="330"/>
        <v/>
      </c>
      <c r="C2687" s="66"/>
      <c r="D2687" s="60"/>
      <c r="E2687" s="61"/>
      <c r="F2687" s="61"/>
      <c r="G2687" s="67"/>
      <c r="H2687" s="60"/>
      <c r="I2687" s="60"/>
      <c r="J2687" s="61"/>
      <c r="K2687" s="61"/>
      <c r="L2687" s="60"/>
      <c r="M2687" s="74" t="str">
        <f t="shared" si="331"/>
        <v/>
      </c>
      <c r="N2687" s="74" t="str">
        <f t="shared" si="332"/>
        <v/>
      </c>
      <c r="O2687" s="73" t="str">
        <f t="shared" si="333"/>
        <v/>
      </c>
      <c r="P2687" s="65" t="str">
        <f t="shared" ca="1" si="334"/>
        <v/>
      </c>
      <c r="Q2687" s="2"/>
      <c r="R2687" s="2"/>
      <c r="S2687" s="1" t="str">
        <f t="shared" si="335"/>
        <v/>
      </c>
      <c r="T2687" s="1" t="str">
        <f>IF(OR($C2687="",$D2687&lt;&gt;"Gelir",$L2687=""),"",IFERROR(INDEX(MUSTERILER!$B$7:$B$156,MATCH($S2687,MUSTERILER!$T$7:$T$156,0)),""))</f>
        <v/>
      </c>
      <c r="U2687" s="1" t="str">
        <f>IF($T2687="","",$T2687&amp;"|"&amp;COUNTIFS($T$7:$T2687,$T2687))</f>
        <v/>
      </c>
      <c r="V2687" s="1">
        <f t="shared" si="336"/>
        <v>0</v>
      </c>
      <c r="W2687" s="1" t="str">
        <f t="shared" si="337"/>
        <v/>
      </c>
      <c r="X2687" s="1"/>
      <c r="Y2687" s="1"/>
      <c r="Z2687" s="1"/>
      <c r="AA2687" s="1"/>
      <c r="AB2687" s="1"/>
      <c r="AC2687" s="1"/>
      <c r="AD2687" s="1">
        <f>IF($C2687="",0,SUMPRODUCT((AY_SONU!$O$7:$O$42="Evet")*(AY_SONU!$B$7:$B$42=DATE(YEAR($C2687),MONTH($C2687),1))))</f>
        <v>0</v>
      </c>
      <c r="AE2687" s="1" t="str">
        <f>IF($E2687="","",$E2687&amp;"|"&amp;COUNTIFS($E$7:$E2687,$E2687))</f>
        <v/>
      </c>
    </row>
    <row r="2688" spans="1:31" ht="18" customHeight="1" x14ac:dyDescent="0.3">
      <c r="A2688" s="2"/>
      <c r="B2688" s="65" t="str">
        <f t="shared" si="330"/>
        <v/>
      </c>
      <c r="C2688" s="66"/>
      <c r="D2688" s="60"/>
      <c r="E2688" s="61"/>
      <c r="F2688" s="61"/>
      <c r="G2688" s="67"/>
      <c r="H2688" s="60"/>
      <c r="I2688" s="60"/>
      <c r="J2688" s="61"/>
      <c r="K2688" s="61"/>
      <c r="L2688" s="60"/>
      <c r="M2688" s="74" t="str">
        <f t="shared" si="331"/>
        <v/>
      </c>
      <c r="N2688" s="74" t="str">
        <f t="shared" si="332"/>
        <v/>
      </c>
      <c r="O2688" s="73" t="str">
        <f t="shared" si="333"/>
        <v/>
      </c>
      <c r="P2688" s="65" t="str">
        <f t="shared" ca="1" si="334"/>
        <v/>
      </c>
      <c r="Q2688" s="2"/>
      <c r="R2688" s="2"/>
      <c r="S2688" s="1" t="str">
        <f t="shared" si="335"/>
        <v/>
      </c>
      <c r="T2688" s="1" t="str">
        <f>IF(OR($C2688="",$D2688&lt;&gt;"Gelir",$L2688=""),"",IFERROR(INDEX(MUSTERILER!$B$7:$B$156,MATCH($S2688,MUSTERILER!$T$7:$T$156,0)),""))</f>
        <v/>
      </c>
      <c r="U2688" s="1" t="str">
        <f>IF($T2688="","",$T2688&amp;"|"&amp;COUNTIFS($T$7:$T2688,$T2688))</f>
        <v/>
      </c>
      <c r="V2688" s="1">
        <f t="shared" si="336"/>
        <v>0</v>
      </c>
      <c r="W2688" s="1" t="str">
        <f t="shared" si="337"/>
        <v/>
      </c>
      <c r="X2688" s="1"/>
      <c r="Y2688" s="1"/>
      <c r="Z2688" s="1"/>
      <c r="AA2688" s="1"/>
      <c r="AB2688" s="1"/>
      <c r="AC2688" s="1"/>
      <c r="AD2688" s="1">
        <f>IF($C2688="",0,SUMPRODUCT((AY_SONU!$O$7:$O$42="Evet")*(AY_SONU!$B$7:$B$42=DATE(YEAR($C2688),MONTH($C2688),1))))</f>
        <v>0</v>
      </c>
      <c r="AE2688" s="1" t="str">
        <f>IF($E2688="","",$E2688&amp;"|"&amp;COUNTIFS($E$7:$E2688,$E2688))</f>
        <v/>
      </c>
    </row>
    <row r="2689" spans="1:31" ht="18" customHeight="1" x14ac:dyDescent="0.3">
      <c r="A2689" s="2"/>
      <c r="B2689" s="65" t="str">
        <f t="shared" si="330"/>
        <v/>
      </c>
      <c r="C2689" s="66"/>
      <c r="D2689" s="60"/>
      <c r="E2689" s="61"/>
      <c r="F2689" s="61"/>
      <c r="G2689" s="67"/>
      <c r="H2689" s="60"/>
      <c r="I2689" s="60"/>
      <c r="J2689" s="61"/>
      <c r="K2689" s="61"/>
      <c r="L2689" s="60"/>
      <c r="M2689" s="74" t="str">
        <f t="shared" si="331"/>
        <v/>
      </c>
      <c r="N2689" s="74" t="str">
        <f t="shared" si="332"/>
        <v/>
      </c>
      <c r="O2689" s="73" t="str">
        <f t="shared" si="333"/>
        <v/>
      </c>
      <c r="P2689" s="65" t="str">
        <f t="shared" ca="1" si="334"/>
        <v/>
      </c>
      <c r="Q2689" s="2"/>
      <c r="R2689" s="2"/>
      <c r="S2689" s="1" t="str">
        <f t="shared" si="335"/>
        <v/>
      </c>
      <c r="T2689" s="1" t="str">
        <f>IF(OR($C2689="",$D2689&lt;&gt;"Gelir",$L2689=""),"",IFERROR(INDEX(MUSTERILER!$B$7:$B$156,MATCH($S2689,MUSTERILER!$T$7:$T$156,0)),""))</f>
        <v/>
      </c>
      <c r="U2689" s="1" t="str">
        <f>IF($T2689="","",$T2689&amp;"|"&amp;COUNTIFS($T$7:$T2689,$T2689))</f>
        <v/>
      </c>
      <c r="V2689" s="1">
        <f t="shared" si="336"/>
        <v>0</v>
      </c>
      <c r="W2689" s="1" t="str">
        <f t="shared" si="337"/>
        <v/>
      </c>
      <c r="X2689" s="1"/>
      <c r="Y2689" s="1"/>
      <c r="Z2689" s="1"/>
      <c r="AA2689" s="1"/>
      <c r="AB2689" s="1"/>
      <c r="AC2689" s="1"/>
      <c r="AD2689" s="1">
        <f>IF($C2689="",0,SUMPRODUCT((AY_SONU!$O$7:$O$42="Evet")*(AY_SONU!$B$7:$B$42=DATE(YEAR($C2689),MONTH($C2689),1))))</f>
        <v>0</v>
      </c>
      <c r="AE2689" s="1" t="str">
        <f>IF($E2689="","",$E2689&amp;"|"&amp;COUNTIFS($E$7:$E2689,$E2689))</f>
        <v/>
      </c>
    </row>
    <row r="2690" spans="1:31" ht="18" customHeight="1" x14ac:dyDescent="0.3">
      <c r="A2690" s="2"/>
      <c r="B2690" s="65" t="str">
        <f t="shared" si="330"/>
        <v/>
      </c>
      <c r="C2690" s="66"/>
      <c r="D2690" s="60"/>
      <c r="E2690" s="61"/>
      <c r="F2690" s="61"/>
      <c r="G2690" s="67"/>
      <c r="H2690" s="60"/>
      <c r="I2690" s="60"/>
      <c r="J2690" s="61"/>
      <c r="K2690" s="61"/>
      <c r="L2690" s="60"/>
      <c r="M2690" s="74" t="str">
        <f t="shared" si="331"/>
        <v/>
      </c>
      <c r="N2690" s="74" t="str">
        <f t="shared" si="332"/>
        <v/>
      </c>
      <c r="O2690" s="73" t="str">
        <f t="shared" si="333"/>
        <v/>
      </c>
      <c r="P2690" s="65" t="str">
        <f t="shared" ca="1" si="334"/>
        <v/>
      </c>
      <c r="Q2690" s="2"/>
      <c r="R2690" s="2"/>
      <c r="S2690" s="1" t="str">
        <f t="shared" si="335"/>
        <v/>
      </c>
      <c r="T2690" s="1" t="str">
        <f>IF(OR($C2690="",$D2690&lt;&gt;"Gelir",$L2690=""),"",IFERROR(INDEX(MUSTERILER!$B$7:$B$156,MATCH($S2690,MUSTERILER!$T$7:$T$156,0)),""))</f>
        <v/>
      </c>
      <c r="U2690" s="1" t="str">
        <f>IF($T2690="","",$T2690&amp;"|"&amp;COUNTIFS($T$7:$T2690,$T2690))</f>
        <v/>
      </c>
      <c r="V2690" s="1">
        <f t="shared" si="336"/>
        <v>0</v>
      </c>
      <c r="W2690" s="1" t="str">
        <f t="shared" si="337"/>
        <v/>
      </c>
      <c r="X2690" s="1"/>
      <c r="Y2690" s="1"/>
      <c r="Z2690" s="1"/>
      <c r="AA2690" s="1"/>
      <c r="AB2690" s="1"/>
      <c r="AC2690" s="1"/>
      <c r="AD2690" s="1">
        <f>IF($C2690="",0,SUMPRODUCT((AY_SONU!$O$7:$O$42="Evet")*(AY_SONU!$B$7:$B$42=DATE(YEAR($C2690),MONTH($C2690),1))))</f>
        <v>0</v>
      </c>
      <c r="AE2690" s="1" t="str">
        <f>IF($E2690="","",$E2690&amp;"|"&amp;COUNTIFS($E$7:$E2690,$E2690))</f>
        <v/>
      </c>
    </row>
    <row r="2691" spans="1:31" ht="18" customHeight="1" x14ac:dyDescent="0.3">
      <c r="A2691" s="2"/>
      <c r="B2691" s="65" t="str">
        <f t="shared" si="330"/>
        <v/>
      </c>
      <c r="C2691" s="66"/>
      <c r="D2691" s="60"/>
      <c r="E2691" s="61"/>
      <c r="F2691" s="61"/>
      <c r="G2691" s="67"/>
      <c r="H2691" s="60"/>
      <c r="I2691" s="60"/>
      <c r="J2691" s="61"/>
      <c r="K2691" s="61"/>
      <c r="L2691" s="60"/>
      <c r="M2691" s="74" t="str">
        <f t="shared" si="331"/>
        <v/>
      </c>
      <c r="N2691" s="74" t="str">
        <f t="shared" si="332"/>
        <v/>
      </c>
      <c r="O2691" s="73" t="str">
        <f t="shared" si="333"/>
        <v/>
      </c>
      <c r="P2691" s="65" t="str">
        <f t="shared" ca="1" si="334"/>
        <v/>
      </c>
      <c r="Q2691" s="2"/>
      <c r="R2691" s="2"/>
      <c r="S2691" s="1" t="str">
        <f t="shared" si="335"/>
        <v/>
      </c>
      <c r="T2691" s="1" t="str">
        <f>IF(OR($C2691="",$D2691&lt;&gt;"Gelir",$L2691=""),"",IFERROR(INDEX(MUSTERILER!$B$7:$B$156,MATCH($S2691,MUSTERILER!$T$7:$T$156,0)),""))</f>
        <v/>
      </c>
      <c r="U2691" s="1" t="str">
        <f>IF($T2691="","",$T2691&amp;"|"&amp;COUNTIFS($T$7:$T2691,$T2691))</f>
        <v/>
      </c>
      <c r="V2691" s="1">
        <f t="shared" si="336"/>
        <v>0</v>
      </c>
      <c r="W2691" s="1" t="str">
        <f t="shared" si="337"/>
        <v/>
      </c>
      <c r="X2691" s="1"/>
      <c r="Y2691" s="1"/>
      <c r="Z2691" s="1"/>
      <c r="AA2691" s="1"/>
      <c r="AB2691" s="1"/>
      <c r="AC2691" s="1"/>
      <c r="AD2691" s="1">
        <f>IF($C2691="",0,SUMPRODUCT((AY_SONU!$O$7:$O$42="Evet")*(AY_SONU!$B$7:$B$42=DATE(YEAR($C2691),MONTH($C2691),1))))</f>
        <v>0</v>
      </c>
      <c r="AE2691" s="1" t="str">
        <f>IF($E2691="","",$E2691&amp;"|"&amp;COUNTIFS($E$7:$E2691,$E2691))</f>
        <v/>
      </c>
    </row>
    <row r="2692" spans="1:31" ht="18" customHeight="1" x14ac:dyDescent="0.3">
      <c r="A2692" s="2"/>
      <c r="B2692" s="65" t="str">
        <f t="shared" si="330"/>
        <v/>
      </c>
      <c r="C2692" s="66"/>
      <c r="D2692" s="60"/>
      <c r="E2692" s="61"/>
      <c r="F2692" s="61"/>
      <c r="G2692" s="67"/>
      <c r="H2692" s="60"/>
      <c r="I2692" s="60"/>
      <c r="J2692" s="61"/>
      <c r="K2692" s="61"/>
      <c r="L2692" s="60"/>
      <c r="M2692" s="74" t="str">
        <f t="shared" si="331"/>
        <v/>
      </c>
      <c r="N2692" s="74" t="str">
        <f t="shared" si="332"/>
        <v/>
      </c>
      <c r="O2692" s="73" t="str">
        <f t="shared" si="333"/>
        <v/>
      </c>
      <c r="P2692" s="65" t="str">
        <f t="shared" ca="1" si="334"/>
        <v/>
      </c>
      <c r="Q2692" s="2"/>
      <c r="R2692" s="2"/>
      <c r="S2692" s="1" t="str">
        <f t="shared" si="335"/>
        <v/>
      </c>
      <c r="T2692" s="1" t="str">
        <f>IF(OR($C2692="",$D2692&lt;&gt;"Gelir",$L2692=""),"",IFERROR(INDEX(MUSTERILER!$B$7:$B$156,MATCH($S2692,MUSTERILER!$T$7:$T$156,0)),""))</f>
        <v/>
      </c>
      <c r="U2692" s="1" t="str">
        <f>IF($T2692="","",$T2692&amp;"|"&amp;COUNTIFS($T$7:$T2692,$T2692))</f>
        <v/>
      </c>
      <c r="V2692" s="1">
        <f t="shared" si="336"/>
        <v>0</v>
      </c>
      <c r="W2692" s="1" t="str">
        <f t="shared" si="337"/>
        <v/>
      </c>
      <c r="X2692" s="1"/>
      <c r="Y2692" s="1"/>
      <c r="Z2692" s="1"/>
      <c r="AA2692" s="1"/>
      <c r="AB2692" s="1"/>
      <c r="AC2692" s="1"/>
      <c r="AD2692" s="1">
        <f>IF($C2692="",0,SUMPRODUCT((AY_SONU!$O$7:$O$42="Evet")*(AY_SONU!$B$7:$B$42=DATE(YEAR($C2692),MONTH($C2692),1))))</f>
        <v>0</v>
      </c>
      <c r="AE2692" s="1" t="str">
        <f>IF($E2692="","",$E2692&amp;"|"&amp;COUNTIFS($E$7:$E2692,$E2692))</f>
        <v/>
      </c>
    </row>
    <row r="2693" spans="1:31" ht="18" customHeight="1" x14ac:dyDescent="0.3">
      <c r="A2693" s="2"/>
      <c r="B2693" s="65" t="str">
        <f t="shared" si="330"/>
        <v/>
      </c>
      <c r="C2693" s="66"/>
      <c r="D2693" s="60"/>
      <c r="E2693" s="61"/>
      <c r="F2693" s="61"/>
      <c r="G2693" s="67"/>
      <c r="H2693" s="60"/>
      <c r="I2693" s="60"/>
      <c r="J2693" s="61"/>
      <c r="K2693" s="61"/>
      <c r="L2693" s="60"/>
      <c r="M2693" s="74" t="str">
        <f t="shared" si="331"/>
        <v/>
      </c>
      <c r="N2693" s="74" t="str">
        <f t="shared" si="332"/>
        <v/>
      </c>
      <c r="O2693" s="73" t="str">
        <f t="shared" si="333"/>
        <v/>
      </c>
      <c r="P2693" s="65" t="str">
        <f t="shared" ca="1" si="334"/>
        <v/>
      </c>
      <c r="Q2693" s="2"/>
      <c r="R2693" s="2"/>
      <c r="S2693" s="1" t="str">
        <f t="shared" si="335"/>
        <v/>
      </c>
      <c r="T2693" s="1" t="str">
        <f>IF(OR($C2693="",$D2693&lt;&gt;"Gelir",$L2693=""),"",IFERROR(INDEX(MUSTERILER!$B$7:$B$156,MATCH($S2693,MUSTERILER!$T$7:$T$156,0)),""))</f>
        <v/>
      </c>
      <c r="U2693" s="1" t="str">
        <f>IF($T2693="","",$T2693&amp;"|"&amp;COUNTIFS($T$7:$T2693,$T2693))</f>
        <v/>
      </c>
      <c r="V2693" s="1">
        <f t="shared" si="336"/>
        <v>0</v>
      </c>
      <c r="W2693" s="1" t="str">
        <f t="shared" si="337"/>
        <v/>
      </c>
      <c r="X2693" s="1"/>
      <c r="Y2693" s="1"/>
      <c r="Z2693" s="1"/>
      <c r="AA2693" s="1"/>
      <c r="AB2693" s="1"/>
      <c r="AC2693" s="1"/>
      <c r="AD2693" s="1">
        <f>IF($C2693="",0,SUMPRODUCT((AY_SONU!$O$7:$O$42="Evet")*(AY_SONU!$B$7:$B$42=DATE(YEAR($C2693),MONTH($C2693),1))))</f>
        <v>0</v>
      </c>
      <c r="AE2693" s="1" t="str">
        <f>IF($E2693="","",$E2693&amp;"|"&amp;COUNTIFS($E$7:$E2693,$E2693))</f>
        <v/>
      </c>
    </row>
    <row r="2694" spans="1:31" ht="18" customHeight="1" x14ac:dyDescent="0.3">
      <c r="A2694" s="2"/>
      <c r="B2694" s="65" t="str">
        <f t="shared" si="330"/>
        <v/>
      </c>
      <c r="C2694" s="66"/>
      <c r="D2694" s="60"/>
      <c r="E2694" s="61"/>
      <c r="F2694" s="61"/>
      <c r="G2694" s="67"/>
      <c r="H2694" s="60"/>
      <c r="I2694" s="60"/>
      <c r="J2694" s="61"/>
      <c r="K2694" s="61"/>
      <c r="L2694" s="60"/>
      <c r="M2694" s="74" t="str">
        <f t="shared" si="331"/>
        <v/>
      </c>
      <c r="N2694" s="74" t="str">
        <f t="shared" si="332"/>
        <v/>
      </c>
      <c r="O2694" s="73" t="str">
        <f t="shared" si="333"/>
        <v/>
      </c>
      <c r="P2694" s="65" t="str">
        <f t="shared" ca="1" si="334"/>
        <v/>
      </c>
      <c r="Q2694" s="2"/>
      <c r="R2694" s="2"/>
      <c r="S2694" s="1" t="str">
        <f t="shared" si="335"/>
        <v/>
      </c>
      <c r="T2694" s="1" t="str">
        <f>IF(OR($C2694="",$D2694&lt;&gt;"Gelir",$L2694=""),"",IFERROR(INDEX(MUSTERILER!$B$7:$B$156,MATCH($S2694,MUSTERILER!$T$7:$T$156,0)),""))</f>
        <v/>
      </c>
      <c r="U2694" s="1" t="str">
        <f>IF($T2694="","",$T2694&amp;"|"&amp;COUNTIFS($T$7:$T2694,$T2694))</f>
        <v/>
      </c>
      <c r="V2694" s="1">
        <f t="shared" si="336"/>
        <v>0</v>
      </c>
      <c r="W2694" s="1" t="str">
        <f t="shared" si="337"/>
        <v/>
      </c>
      <c r="X2694" s="1"/>
      <c r="Y2694" s="1"/>
      <c r="Z2694" s="1"/>
      <c r="AA2694" s="1"/>
      <c r="AB2694" s="1"/>
      <c r="AC2694" s="1"/>
      <c r="AD2694" s="1">
        <f>IF($C2694="",0,SUMPRODUCT((AY_SONU!$O$7:$O$42="Evet")*(AY_SONU!$B$7:$B$42=DATE(YEAR($C2694),MONTH($C2694),1))))</f>
        <v>0</v>
      </c>
      <c r="AE2694" s="1" t="str">
        <f>IF($E2694="","",$E2694&amp;"|"&amp;COUNTIFS($E$7:$E2694,$E2694))</f>
        <v/>
      </c>
    </row>
    <row r="2695" spans="1:31" ht="18" customHeight="1" x14ac:dyDescent="0.3">
      <c r="A2695" s="2"/>
      <c r="B2695" s="65" t="str">
        <f t="shared" ref="B2695:B2758" si="338">IF($C2695="","","GG"&amp;TEXT(ROW()-6,"00000"))</f>
        <v/>
      </c>
      <c r="C2695" s="66"/>
      <c r="D2695" s="60"/>
      <c r="E2695" s="61"/>
      <c r="F2695" s="61"/>
      <c r="G2695" s="67"/>
      <c r="H2695" s="60"/>
      <c r="I2695" s="60"/>
      <c r="J2695" s="61"/>
      <c r="K2695" s="61"/>
      <c r="L2695" s="60"/>
      <c r="M2695" s="74" t="str">
        <f t="shared" ref="M2695:M2758" si="339">IF($C2695="","",IF($D2695="Gider",$E2695,IF($L2695&lt;&gt;"",$L2695,$H2695)))</f>
        <v/>
      </c>
      <c r="N2695" s="74" t="str">
        <f t="shared" ref="N2695:N2758" si="340">IF($C2695="","",IF($D2695="Gider",$H2695,$E2695))</f>
        <v/>
      </c>
      <c r="O2695" s="73" t="str">
        <f t="shared" ref="O2695:O2758" si="341">IF($C2695="","",DATE(YEAR($C2695),MONTH($C2695),1))</f>
        <v/>
      </c>
      <c r="P2695" s="65" t="str">
        <f t="shared" ref="P2695:P2758" ca="1" si="342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TARİH",IF(COUNTIF($W$7:$W$3006,$W2695)&gt;1,"MÜKERRER?",IF($AD2695&gt;0,"KAPALI DÖNEM",IF($I2695="Hayır","ÖDENECEK","UYGUN")))),"EKSİK"))))</f>
        <v/>
      </c>
      <c r="Q2695" s="2"/>
      <c r="R2695" s="2"/>
      <c r="S2695" s="1" t="str">
        <f t="shared" ref="S2695:S2758" si="343"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1" t="str">
        <f>IF(OR($C2695="",$D2695&lt;&gt;"Gelir",$L2695=""),"",IFERROR(INDEX(MUSTERILER!$B$7:$B$156,MATCH($S2695,MUSTERILER!$T$7:$T$156,0)),""))</f>
        <v/>
      </c>
      <c r="U2695" s="1" t="str">
        <f>IF($T2695="","",$T2695&amp;"|"&amp;COUNTIFS($T$7:$T2695,$T2695))</f>
        <v/>
      </c>
      <c r="V2695" s="1">
        <f t="shared" ref="V2695:V2758" si="344">IF($T2695="",0,1)</f>
        <v>0</v>
      </c>
      <c r="W2695" s="1" t="str">
        <f t="shared" ref="W2695:W2758" si="345">IF($C2695="","",$D2695&amp;"|"&amp;$E2695&amp;"|"&amp;TEXT($C2695,"0")&amp;"|"&amp;TEXT($G2695,"0")&amp;"|"&amp;$J2695)</f>
        <v/>
      </c>
      <c r="X2695" s="1"/>
      <c r="Y2695" s="1"/>
      <c r="Z2695" s="1"/>
      <c r="AA2695" s="1"/>
      <c r="AB2695" s="1"/>
      <c r="AC2695" s="1"/>
      <c r="AD2695" s="1">
        <f>IF($C2695="",0,SUMPRODUCT((AY_SONU!$O$7:$O$42="Evet")*(AY_SONU!$B$7:$B$42=DATE(YEAR($C2695),MONTH($C2695),1))))</f>
        <v>0</v>
      </c>
      <c r="AE2695" s="1" t="str">
        <f>IF($E2695="","",$E2695&amp;"|"&amp;COUNTIFS($E$7:$E2695,$E2695))</f>
        <v/>
      </c>
    </row>
    <row r="2696" spans="1:31" ht="18" customHeight="1" x14ac:dyDescent="0.3">
      <c r="A2696" s="2"/>
      <c r="B2696" s="65" t="str">
        <f t="shared" si="338"/>
        <v/>
      </c>
      <c r="C2696" s="66"/>
      <c r="D2696" s="60"/>
      <c r="E2696" s="61"/>
      <c r="F2696" s="61"/>
      <c r="G2696" s="67"/>
      <c r="H2696" s="60"/>
      <c r="I2696" s="60"/>
      <c r="J2696" s="61"/>
      <c r="K2696" s="61"/>
      <c r="L2696" s="60"/>
      <c r="M2696" s="74" t="str">
        <f t="shared" si="339"/>
        <v/>
      </c>
      <c r="N2696" s="74" t="str">
        <f t="shared" si="340"/>
        <v/>
      </c>
      <c r="O2696" s="73" t="str">
        <f t="shared" si="341"/>
        <v/>
      </c>
      <c r="P2696" s="65" t="str">
        <f t="shared" ca="1" si="342"/>
        <v/>
      </c>
      <c r="Q2696" s="2"/>
      <c r="R2696" s="2"/>
      <c r="S2696" s="1" t="str">
        <f t="shared" si="343"/>
        <v/>
      </c>
      <c r="T2696" s="1" t="str">
        <f>IF(OR($C2696="",$D2696&lt;&gt;"Gelir",$L2696=""),"",IFERROR(INDEX(MUSTERILER!$B$7:$B$156,MATCH($S2696,MUSTERILER!$T$7:$T$156,0)),""))</f>
        <v/>
      </c>
      <c r="U2696" s="1" t="str">
        <f>IF($T2696="","",$T2696&amp;"|"&amp;COUNTIFS($T$7:$T2696,$T2696))</f>
        <v/>
      </c>
      <c r="V2696" s="1">
        <f t="shared" si="344"/>
        <v>0</v>
      </c>
      <c r="W2696" s="1" t="str">
        <f t="shared" si="345"/>
        <v/>
      </c>
      <c r="X2696" s="1"/>
      <c r="Y2696" s="1"/>
      <c r="Z2696" s="1"/>
      <c r="AA2696" s="1"/>
      <c r="AB2696" s="1"/>
      <c r="AC2696" s="1"/>
      <c r="AD2696" s="1">
        <f>IF($C2696="",0,SUMPRODUCT((AY_SONU!$O$7:$O$42="Evet")*(AY_SONU!$B$7:$B$42=DATE(YEAR($C2696),MONTH($C2696),1))))</f>
        <v>0</v>
      </c>
      <c r="AE2696" s="1" t="str">
        <f>IF($E2696="","",$E2696&amp;"|"&amp;COUNTIFS($E$7:$E2696,$E2696))</f>
        <v/>
      </c>
    </row>
    <row r="2697" spans="1:31" ht="18" customHeight="1" x14ac:dyDescent="0.3">
      <c r="A2697" s="2"/>
      <c r="B2697" s="65" t="str">
        <f t="shared" si="338"/>
        <v/>
      </c>
      <c r="C2697" s="66"/>
      <c r="D2697" s="60"/>
      <c r="E2697" s="61"/>
      <c r="F2697" s="61"/>
      <c r="G2697" s="67"/>
      <c r="H2697" s="60"/>
      <c r="I2697" s="60"/>
      <c r="J2697" s="61"/>
      <c r="K2697" s="61"/>
      <c r="L2697" s="60"/>
      <c r="M2697" s="74" t="str">
        <f t="shared" si="339"/>
        <v/>
      </c>
      <c r="N2697" s="74" t="str">
        <f t="shared" si="340"/>
        <v/>
      </c>
      <c r="O2697" s="73" t="str">
        <f t="shared" si="341"/>
        <v/>
      </c>
      <c r="P2697" s="65" t="str">
        <f t="shared" ca="1" si="342"/>
        <v/>
      </c>
      <c r="Q2697" s="2"/>
      <c r="R2697" s="2"/>
      <c r="S2697" s="1" t="str">
        <f t="shared" si="343"/>
        <v/>
      </c>
      <c r="T2697" s="1" t="str">
        <f>IF(OR($C2697="",$D2697&lt;&gt;"Gelir",$L2697=""),"",IFERROR(INDEX(MUSTERILER!$B$7:$B$156,MATCH($S2697,MUSTERILER!$T$7:$T$156,0)),""))</f>
        <v/>
      </c>
      <c r="U2697" s="1" t="str">
        <f>IF($T2697="","",$T2697&amp;"|"&amp;COUNTIFS($T$7:$T2697,$T2697))</f>
        <v/>
      </c>
      <c r="V2697" s="1">
        <f t="shared" si="344"/>
        <v>0</v>
      </c>
      <c r="W2697" s="1" t="str">
        <f t="shared" si="345"/>
        <v/>
      </c>
      <c r="X2697" s="1"/>
      <c r="Y2697" s="1"/>
      <c r="Z2697" s="1"/>
      <c r="AA2697" s="1"/>
      <c r="AB2697" s="1"/>
      <c r="AC2697" s="1"/>
      <c r="AD2697" s="1">
        <f>IF($C2697="",0,SUMPRODUCT((AY_SONU!$O$7:$O$42="Evet")*(AY_SONU!$B$7:$B$42=DATE(YEAR($C2697),MONTH($C2697),1))))</f>
        <v>0</v>
      </c>
      <c r="AE2697" s="1" t="str">
        <f>IF($E2697="","",$E2697&amp;"|"&amp;COUNTIFS($E$7:$E2697,$E2697))</f>
        <v/>
      </c>
    </row>
    <row r="2698" spans="1:31" ht="18" customHeight="1" x14ac:dyDescent="0.3">
      <c r="A2698" s="2"/>
      <c r="B2698" s="65" t="str">
        <f t="shared" si="338"/>
        <v/>
      </c>
      <c r="C2698" s="66"/>
      <c r="D2698" s="60"/>
      <c r="E2698" s="61"/>
      <c r="F2698" s="61"/>
      <c r="G2698" s="67"/>
      <c r="H2698" s="60"/>
      <c r="I2698" s="60"/>
      <c r="J2698" s="61"/>
      <c r="K2698" s="61"/>
      <c r="L2698" s="60"/>
      <c r="M2698" s="74" t="str">
        <f t="shared" si="339"/>
        <v/>
      </c>
      <c r="N2698" s="74" t="str">
        <f t="shared" si="340"/>
        <v/>
      </c>
      <c r="O2698" s="73" t="str">
        <f t="shared" si="341"/>
        <v/>
      </c>
      <c r="P2698" s="65" t="str">
        <f t="shared" ca="1" si="342"/>
        <v/>
      </c>
      <c r="Q2698" s="2"/>
      <c r="R2698" s="2"/>
      <c r="S2698" s="1" t="str">
        <f t="shared" si="343"/>
        <v/>
      </c>
      <c r="T2698" s="1" t="str">
        <f>IF(OR($C2698="",$D2698&lt;&gt;"Gelir",$L2698=""),"",IFERROR(INDEX(MUSTERILER!$B$7:$B$156,MATCH($S2698,MUSTERILER!$T$7:$T$156,0)),""))</f>
        <v/>
      </c>
      <c r="U2698" s="1" t="str">
        <f>IF($T2698="","",$T2698&amp;"|"&amp;COUNTIFS($T$7:$T2698,$T2698))</f>
        <v/>
      </c>
      <c r="V2698" s="1">
        <f t="shared" si="344"/>
        <v>0</v>
      </c>
      <c r="W2698" s="1" t="str">
        <f t="shared" si="345"/>
        <v/>
      </c>
      <c r="X2698" s="1"/>
      <c r="Y2698" s="1"/>
      <c r="Z2698" s="1"/>
      <c r="AA2698" s="1"/>
      <c r="AB2698" s="1"/>
      <c r="AC2698" s="1"/>
      <c r="AD2698" s="1">
        <f>IF($C2698="",0,SUMPRODUCT((AY_SONU!$O$7:$O$42="Evet")*(AY_SONU!$B$7:$B$42=DATE(YEAR($C2698),MONTH($C2698),1))))</f>
        <v>0</v>
      </c>
      <c r="AE2698" s="1" t="str">
        <f>IF($E2698="","",$E2698&amp;"|"&amp;COUNTIFS($E$7:$E2698,$E2698))</f>
        <v/>
      </c>
    </row>
    <row r="2699" spans="1:31" ht="18" customHeight="1" x14ac:dyDescent="0.3">
      <c r="A2699" s="2"/>
      <c r="B2699" s="65" t="str">
        <f t="shared" si="338"/>
        <v/>
      </c>
      <c r="C2699" s="66"/>
      <c r="D2699" s="60"/>
      <c r="E2699" s="61"/>
      <c r="F2699" s="61"/>
      <c r="G2699" s="67"/>
      <c r="H2699" s="60"/>
      <c r="I2699" s="60"/>
      <c r="J2699" s="61"/>
      <c r="K2699" s="61"/>
      <c r="L2699" s="60"/>
      <c r="M2699" s="74" t="str">
        <f t="shared" si="339"/>
        <v/>
      </c>
      <c r="N2699" s="74" t="str">
        <f t="shared" si="340"/>
        <v/>
      </c>
      <c r="O2699" s="73" t="str">
        <f t="shared" si="341"/>
        <v/>
      </c>
      <c r="P2699" s="65" t="str">
        <f t="shared" ca="1" si="342"/>
        <v/>
      </c>
      <c r="Q2699" s="2"/>
      <c r="R2699" s="2"/>
      <c r="S2699" s="1" t="str">
        <f t="shared" si="343"/>
        <v/>
      </c>
      <c r="T2699" s="1" t="str">
        <f>IF(OR($C2699="",$D2699&lt;&gt;"Gelir",$L2699=""),"",IFERROR(INDEX(MUSTERILER!$B$7:$B$156,MATCH($S2699,MUSTERILER!$T$7:$T$156,0)),""))</f>
        <v/>
      </c>
      <c r="U2699" s="1" t="str">
        <f>IF($T2699="","",$T2699&amp;"|"&amp;COUNTIFS($T$7:$T2699,$T2699))</f>
        <v/>
      </c>
      <c r="V2699" s="1">
        <f t="shared" si="344"/>
        <v>0</v>
      </c>
      <c r="W2699" s="1" t="str">
        <f t="shared" si="345"/>
        <v/>
      </c>
      <c r="X2699" s="1"/>
      <c r="Y2699" s="1"/>
      <c r="Z2699" s="1"/>
      <c r="AA2699" s="1"/>
      <c r="AB2699" s="1"/>
      <c r="AC2699" s="1"/>
      <c r="AD2699" s="1">
        <f>IF($C2699="",0,SUMPRODUCT((AY_SONU!$O$7:$O$42="Evet")*(AY_SONU!$B$7:$B$42=DATE(YEAR($C2699),MONTH($C2699),1))))</f>
        <v>0</v>
      </c>
      <c r="AE2699" s="1" t="str">
        <f>IF($E2699="","",$E2699&amp;"|"&amp;COUNTIFS($E$7:$E2699,$E2699))</f>
        <v/>
      </c>
    </row>
    <row r="2700" spans="1:31" ht="18" customHeight="1" x14ac:dyDescent="0.3">
      <c r="A2700" s="2"/>
      <c r="B2700" s="65" t="str">
        <f t="shared" si="338"/>
        <v/>
      </c>
      <c r="C2700" s="66"/>
      <c r="D2700" s="60"/>
      <c r="E2700" s="61"/>
      <c r="F2700" s="61"/>
      <c r="G2700" s="67"/>
      <c r="H2700" s="60"/>
      <c r="I2700" s="60"/>
      <c r="J2700" s="61"/>
      <c r="K2700" s="61"/>
      <c r="L2700" s="60"/>
      <c r="M2700" s="74" t="str">
        <f t="shared" si="339"/>
        <v/>
      </c>
      <c r="N2700" s="74" t="str">
        <f t="shared" si="340"/>
        <v/>
      </c>
      <c r="O2700" s="73" t="str">
        <f t="shared" si="341"/>
        <v/>
      </c>
      <c r="P2700" s="65" t="str">
        <f t="shared" ca="1" si="342"/>
        <v/>
      </c>
      <c r="Q2700" s="2"/>
      <c r="R2700" s="2"/>
      <c r="S2700" s="1" t="str">
        <f t="shared" si="343"/>
        <v/>
      </c>
      <c r="T2700" s="1" t="str">
        <f>IF(OR($C2700="",$D2700&lt;&gt;"Gelir",$L2700=""),"",IFERROR(INDEX(MUSTERILER!$B$7:$B$156,MATCH($S2700,MUSTERILER!$T$7:$T$156,0)),""))</f>
        <v/>
      </c>
      <c r="U2700" s="1" t="str">
        <f>IF($T2700="","",$T2700&amp;"|"&amp;COUNTIFS($T$7:$T2700,$T2700))</f>
        <v/>
      </c>
      <c r="V2700" s="1">
        <f t="shared" si="344"/>
        <v>0</v>
      </c>
      <c r="W2700" s="1" t="str">
        <f t="shared" si="345"/>
        <v/>
      </c>
      <c r="X2700" s="1"/>
      <c r="Y2700" s="1"/>
      <c r="Z2700" s="1"/>
      <c r="AA2700" s="1"/>
      <c r="AB2700" s="1"/>
      <c r="AC2700" s="1"/>
      <c r="AD2700" s="1">
        <f>IF($C2700="",0,SUMPRODUCT((AY_SONU!$O$7:$O$42="Evet")*(AY_SONU!$B$7:$B$42=DATE(YEAR($C2700),MONTH($C2700),1))))</f>
        <v>0</v>
      </c>
      <c r="AE2700" s="1" t="str">
        <f>IF($E2700="","",$E2700&amp;"|"&amp;COUNTIFS($E$7:$E2700,$E2700))</f>
        <v/>
      </c>
    </row>
    <row r="2701" spans="1:31" ht="18" customHeight="1" x14ac:dyDescent="0.3">
      <c r="A2701" s="2"/>
      <c r="B2701" s="65" t="str">
        <f t="shared" si="338"/>
        <v/>
      </c>
      <c r="C2701" s="66"/>
      <c r="D2701" s="60"/>
      <c r="E2701" s="61"/>
      <c r="F2701" s="61"/>
      <c r="G2701" s="67"/>
      <c r="H2701" s="60"/>
      <c r="I2701" s="60"/>
      <c r="J2701" s="61"/>
      <c r="K2701" s="61"/>
      <c r="L2701" s="60"/>
      <c r="M2701" s="74" t="str">
        <f t="shared" si="339"/>
        <v/>
      </c>
      <c r="N2701" s="74" t="str">
        <f t="shared" si="340"/>
        <v/>
      </c>
      <c r="O2701" s="73" t="str">
        <f t="shared" si="341"/>
        <v/>
      </c>
      <c r="P2701" s="65" t="str">
        <f t="shared" ca="1" si="342"/>
        <v/>
      </c>
      <c r="Q2701" s="2"/>
      <c r="R2701" s="2"/>
      <c r="S2701" s="1" t="str">
        <f t="shared" si="343"/>
        <v/>
      </c>
      <c r="T2701" s="1" t="str">
        <f>IF(OR($C2701="",$D2701&lt;&gt;"Gelir",$L2701=""),"",IFERROR(INDEX(MUSTERILER!$B$7:$B$156,MATCH($S2701,MUSTERILER!$T$7:$T$156,0)),""))</f>
        <v/>
      </c>
      <c r="U2701" s="1" t="str">
        <f>IF($T2701="","",$T2701&amp;"|"&amp;COUNTIFS($T$7:$T2701,$T2701))</f>
        <v/>
      </c>
      <c r="V2701" s="1">
        <f t="shared" si="344"/>
        <v>0</v>
      </c>
      <c r="W2701" s="1" t="str">
        <f t="shared" si="345"/>
        <v/>
      </c>
      <c r="X2701" s="1"/>
      <c r="Y2701" s="1"/>
      <c r="Z2701" s="1"/>
      <c r="AA2701" s="1"/>
      <c r="AB2701" s="1"/>
      <c r="AC2701" s="1"/>
      <c r="AD2701" s="1">
        <f>IF($C2701="",0,SUMPRODUCT((AY_SONU!$O$7:$O$42="Evet")*(AY_SONU!$B$7:$B$42=DATE(YEAR($C2701),MONTH($C2701),1))))</f>
        <v>0</v>
      </c>
      <c r="AE2701" s="1" t="str">
        <f>IF($E2701="","",$E2701&amp;"|"&amp;COUNTIFS($E$7:$E2701,$E2701))</f>
        <v/>
      </c>
    </row>
    <row r="2702" spans="1:31" ht="18" customHeight="1" x14ac:dyDescent="0.3">
      <c r="A2702" s="2"/>
      <c r="B2702" s="65" t="str">
        <f t="shared" si="338"/>
        <v/>
      </c>
      <c r="C2702" s="66"/>
      <c r="D2702" s="60"/>
      <c r="E2702" s="61"/>
      <c r="F2702" s="61"/>
      <c r="G2702" s="67"/>
      <c r="H2702" s="60"/>
      <c r="I2702" s="60"/>
      <c r="J2702" s="61"/>
      <c r="K2702" s="61"/>
      <c r="L2702" s="60"/>
      <c r="M2702" s="74" t="str">
        <f t="shared" si="339"/>
        <v/>
      </c>
      <c r="N2702" s="74" t="str">
        <f t="shared" si="340"/>
        <v/>
      </c>
      <c r="O2702" s="73" t="str">
        <f t="shared" si="341"/>
        <v/>
      </c>
      <c r="P2702" s="65" t="str">
        <f t="shared" ca="1" si="342"/>
        <v/>
      </c>
      <c r="Q2702" s="2"/>
      <c r="R2702" s="2"/>
      <c r="S2702" s="1" t="str">
        <f t="shared" si="343"/>
        <v/>
      </c>
      <c r="T2702" s="1" t="str">
        <f>IF(OR($C2702="",$D2702&lt;&gt;"Gelir",$L2702=""),"",IFERROR(INDEX(MUSTERILER!$B$7:$B$156,MATCH($S2702,MUSTERILER!$T$7:$T$156,0)),""))</f>
        <v/>
      </c>
      <c r="U2702" s="1" t="str">
        <f>IF($T2702="","",$T2702&amp;"|"&amp;COUNTIFS($T$7:$T2702,$T2702))</f>
        <v/>
      </c>
      <c r="V2702" s="1">
        <f t="shared" si="344"/>
        <v>0</v>
      </c>
      <c r="W2702" s="1" t="str">
        <f t="shared" si="345"/>
        <v/>
      </c>
      <c r="X2702" s="1"/>
      <c r="Y2702" s="1"/>
      <c r="Z2702" s="1"/>
      <c r="AA2702" s="1"/>
      <c r="AB2702" s="1"/>
      <c r="AC2702" s="1"/>
      <c r="AD2702" s="1">
        <f>IF($C2702="",0,SUMPRODUCT((AY_SONU!$O$7:$O$42="Evet")*(AY_SONU!$B$7:$B$42=DATE(YEAR($C2702),MONTH($C2702),1))))</f>
        <v>0</v>
      </c>
      <c r="AE2702" s="1" t="str">
        <f>IF($E2702="","",$E2702&amp;"|"&amp;COUNTIFS($E$7:$E2702,$E2702))</f>
        <v/>
      </c>
    </row>
    <row r="2703" spans="1:31" ht="18" customHeight="1" x14ac:dyDescent="0.3">
      <c r="A2703" s="2"/>
      <c r="B2703" s="65" t="str">
        <f t="shared" si="338"/>
        <v/>
      </c>
      <c r="C2703" s="66"/>
      <c r="D2703" s="60"/>
      <c r="E2703" s="61"/>
      <c r="F2703" s="61"/>
      <c r="G2703" s="67"/>
      <c r="H2703" s="60"/>
      <c r="I2703" s="60"/>
      <c r="J2703" s="61"/>
      <c r="K2703" s="61"/>
      <c r="L2703" s="60"/>
      <c r="M2703" s="74" t="str">
        <f t="shared" si="339"/>
        <v/>
      </c>
      <c r="N2703" s="74" t="str">
        <f t="shared" si="340"/>
        <v/>
      </c>
      <c r="O2703" s="73" t="str">
        <f t="shared" si="341"/>
        <v/>
      </c>
      <c r="P2703" s="65" t="str">
        <f t="shared" ca="1" si="342"/>
        <v/>
      </c>
      <c r="Q2703" s="2"/>
      <c r="R2703" s="2"/>
      <c r="S2703" s="1" t="str">
        <f t="shared" si="343"/>
        <v/>
      </c>
      <c r="T2703" s="1" t="str">
        <f>IF(OR($C2703="",$D2703&lt;&gt;"Gelir",$L2703=""),"",IFERROR(INDEX(MUSTERILER!$B$7:$B$156,MATCH($S2703,MUSTERILER!$T$7:$T$156,0)),""))</f>
        <v/>
      </c>
      <c r="U2703" s="1" t="str">
        <f>IF($T2703="","",$T2703&amp;"|"&amp;COUNTIFS($T$7:$T2703,$T2703))</f>
        <v/>
      </c>
      <c r="V2703" s="1">
        <f t="shared" si="344"/>
        <v>0</v>
      </c>
      <c r="W2703" s="1" t="str">
        <f t="shared" si="345"/>
        <v/>
      </c>
      <c r="X2703" s="1"/>
      <c r="Y2703" s="1"/>
      <c r="Z2703" s="1"/>
      <c r="AA2703" s="1"/>
      <c r="AB2703" s="1"/>
      <c r="AC2703" s="1"/>
      <c r="AD2703" s="1">
        <f>IF($C2703="",0,SUMPRODUCT((AY_SONU!$O$7:$O$42="Evet")*(AY_SONU!$B$7:$B$42=DATE(YEAR($C2703),MONTH($C2703),1))))</f>
        <v>0</v>
      </c>
      <c r="AE2703" s="1" t="str">
        <f>IF($E2703="","",$E2703&amp;"|"&amp;COUNTIFS($E$7:$E2703,$E2703))</f>
        <v/>
      </c>
    </row>
    <row r="2704" spans="1:31" ht="18" customHeight="1" x14ac:dyDescent="0.3">
      <c r="A2704" s="2"/>
      <c r="B2704" s="65" t="str">
        <f t="shared" si="338"/>
        <v/>
      </c>
      <c r="C2704" s="66"/>
      <c r="D2704" s="60"/>
      <c r="E2704" s="61"/>
      <c r="F2704" s="61"/>
      <c r="G2704" s="67"/>
      <c r="H2704" s="60"/>
      <c r="I2704" s="60"/>
      <c r="J2704" s="61"/>
      <c r="K2704" s="61"/>
      <c r="L2704" s="60"/>
      <c r="M2704" s="74" t="str">
        <f t="shared" si="339"/>
        <v/>
      </c>
      <c r="N2704" s="74" t="str">
        <f t="shared" si="340"/>
        <v/>
      </c>
      <c r="O2704" s="73" t="str">
        <f t="shared" si="341"/>
        <v/>
      </c>
      <c r="P2704" s="65" t="str">
        <f t="shared" ca="1" si="342"/>
        <v/>
      </c>
      <c r="Q2704" s="2"/>
      <c r="R2704" s="2"/>
      <c r="S2704" s="1" t="str">
        <f t="shared" si="343"/>
        <v/>
      </c>
      <c r="T2704" s="1" t="str">
        <f>IF(OR($C2704="",$D2704&lt;&gt;"Gelir",$L2704=""),"",IFERROR(INDEX(MUSTERILER!$B$7:$B$156,MATCH($S2704,MUSTERILER!$T$7:$T$156,0)),""))</f>
        <v/>
      </c>
      <c r="U2704" s="1" t="str">
        <f>IF($T2704="","",$T2704&amp;"|"&amp;COUNTIFS($T$7:$T2704,$T2704))</f>
        <v/>
      </c>
      <c r="V2704" s="1">
        <f t="shared" si="344"/>
        <v>0</v>
      </c>
      <c r="W2704" s="1" t="str">
        <f t="shared" si="345"/>
        <v/>
      </c>
      <c r="X2704" s="1"/>
      <c r="Y2704" s="1"/>
      <c r="Z2704" s="1"/>
      <c r="AA2704" s="1"/>
      <c r="AB2704" s="1"/>
      <c r="AC2704" s="1"/>
      <c r="AD2704" s="1">
        <f>IF($C2704="",0,SUMPRODUCT((AY_SONU!$O$7:$O$42="Evet")*(AY_SONU!$B$7:$B$42=DATE(YEAR($C2704),MONTH($C2704),1))))</f>
        <v>0</v>
      </c>
      <c r="AE2704" s="1" t="str">
        <f>IF($E2704="","",$E2704&amp;"|"&amp;COUNTIFS($E$7:$E2704,$E2704))</f>
        <v/>
      </c>
    </row>
    <row r="2705" spans="1:31" ht="18" customHeight="1" x14ac:dyDescent="0.3">
      <c r="A2705" s="2"/>
      <c r="B2705" s="65" t="str">
        <f t="shared" si="338"/>
        <v/>
      </c>
      <c r="C2705" s="66"/>
      <c r="D2705" s="60"/>
      <c r="E2705" s="61"/>
      <c r="F2705" s="61"/>
      <c r="G2705" s="67"/>
      <c r="H2705" s="60"/>
      <c r="I2705" s="60"/>
      <c r="J2705" s="61"/>
      <c r="K2705" s="61"/>
      <c r="L2705" s="60"/>
      <c r="M2705" s="74" t="str">
        <f t="shared" si="339"/>
        <v/>
      </c>
      <c r="N2705" s="74" t="str">
        <f t="shared" si="340"/>
        <v/>
      </c>
      <c r="O2705" s="73" t="str">
        <f t="shared" si="341"/>
        <v/>
      </c>
      <c r="P2705" s="65" t="str">
        <f t="shared" ca="1" si="342"/>
        <v/>
      </c>
      <c r="Q2705" s="2"/>
      <c r="R2705" s="2"/>
      <c r="S2705" s="1" t="str">
        <f t="shared" si="343"/>
        <v/>
      </c>
      <c r="T2705" s="1" t="str">
        <f>IF(OR($C2705="",$D2705&lt;&gt;"Gelir",$L2705=""),"",IFERROR(INDEX(MUSTERILER!$B$7:$B$156,MATCH($S2705,MUSTERILER!$T$7:$T$156,0)),""))</f>
        <v/>
      </c>
      <c r="U2705" s="1" t="str">
        <f>IF($T2705="","",$T2705&amp;"|"&amp;COUNTIFS($T$7:$T2705,$T2705))</f>
        <v/>
      </c>
      <c r="V2705" s="1">
        <f t="shared" si="344"/>
        <v>0</v>
      </c>
      <c r="W2705" s="1" t="str">
        <f t="shared" si="345"/>
        <v/>
      </c>
      <c r="X2705" s="1"/>
      <c r="Y2705" s="1"/>
      <c r="Z2705" s="1"/>
      <c r="AA2705" s="1"/>
      <c r="AB2705" s="1"/>
      <c r="AC2705" s="1"/>
      <c r="AD2705" s="1">
        <f>IF($C2705="",0,SUMPRODUCT((AY_SONU!$O$7:$O$42="Evet")*(AY_SONU!$B$7:$B$42=DATE(YEAR($C2705),MONTH($C2705),1))))</f>
        <v>0</v>
      </c>
      <c r="AE2705" s="1" t="str">
        <f>IF($E2705="","",$E2705&amp;"|"&amp;COUNTIFS($E$7:$E2705,$E2705))</f>
        <v/>
      </c>
    </row>
    <row r="2706" spans="1:31" ht="18" customHeight="1" x14ac:dyDescent="0.3">
      <c r="A2706" s="2"/>
      <c r="B2706" s="65" t="str">
        <f t="shared" si="338"/>
        <v/>
      </c>
      <c r="C2706" s="66"/>
      <c r="D2706" s="60"/>
      <c r="E2706" s="61"/>
      <c r="F2706" s="61"/>
      <c r="G2706" s="67"/>
      <c r="H2706" s="60"/>
      <c r="I2706" s="60"/>
      <c r="J2706" s="61"/>
      <c r="K2706" s="61"/>
      <c r="L2706" s="60"/>
      <c r="M2706" s="74" t="str">
        <f t="shared" si="339"/>
        <v/>
      </c>
      <c r="N2706" s="74" t="str">
        <f t="shared" si="340"/>
        <v/>
      </c>
      <c r="O2706" s="73" t="str">
        <f t="shared" si="341"/>
        <v/>
      </c>
      <c r="P2706" s="65" t="str">
        <f t="shared" ca="1" si="342"/>
        <v/>
      </c>
      <c r="Q2706" s="2"/>
      <c r="R2706" s="2"/>
      <c r="S2706" s="1" t="str">
        <f t="shared" si="343"/>
        <v/>
      </c>
      <c r="T2706" s="1" t="str">
        <f>IF(OR($C2706="",$D2706&lt;&gt;"Gelir",$L2706=""),"",IFERROR(INDEX(MUSTERILER!$B$7:$B$156,MATCH($S2706,MUSTERILER!$T$7:$T$156,0)),""))</f>
        <v/>
      </c>
      <c r="U2706" s="1" t="str">
        <f>IF($T2706="","",$T2706&amp;"|"&amp;COUNTIFS($T$7:$T2706,$T2706))</f>
        <v/>
      </c>
      <c r="V2706" s="1">
        <f t="shared" si="344"/>
        <v>0</v>
      </c>
      <c r="W2706" s="1" t="str">
        <f t="shared" si="345"/>
        <v/>
      </c>
      <c r="X2706" s="1"/>
      <c r="Y2706" s="1"/>
      <c r="Z2706" s="1"/>
      <c r="AA2706" s="1"/>
      <c r="AB2706" s="1"/>
      <c r="AC2706" s="1"/>
      <c r="AD2706" s="1">
        <f>IF($C2706="",0,SUMPRODUCT((AY_SONU!$O$7:$O$42="Evet")*(AY_SONU!$B$7:$B$42=DATE(YEAR($C2706),MONTH($C2706),1))))</f>
        <v>0</v>
      </c>
      <c r="AE2706" s="1" t="str">
        <f>IF($E2706="","",$E2706&amp;"|"&amp;COUNTIFS($E$7:$E2706,$E2706))</f>
        <v/>
      </c>
    </row>
    <row r="2707" spans="1:31" ht="18" customHeight="1" x14ac:dyDescent="0.3">
      <c r="A2707" s="2"/>
      <c r="B2707" s="65" t="str">
        <f t="shared" si="338"/>
        <v/>
      </c>
      <c r="C2707" s="66"/>
      <c r="D2707" s="60"/>
      <c r="E2707" s="61"/>
      <c r="F2707" s="61"/>
      <c r="G2707" s="67"/>
      <c r="H2707" s="60"/>
      <c r="I2707" s="60"/>
      <c r="J2707" s="61"/>
      <c r="K2707" s="61"/>
      <c r="L2707" s="60"/>
      <c r="M2707" s="74" t="str">
        <f t="shared" si="339"/>
        <v/>
      </c>
      <c r="N2707" s="74" t="str">
        <f t="shared" si="340"/>
        <v/>
      </c>
      <c r="O2707" s="73" t="str">
        <f t="shared" si="341"/>
        <v/>
      </c>
      <c r="P2707" s="65" t="str">
        <f t="shared" ca="1" si="342"/>
        <v/>
      </c>
      <c r="Q2707" s="2"/>
      <c r="R2707" s="2"/>
      <c r="S2707" s="1" t="str">
        <f t="shared" si="343"/>
        <v/>
      </c>
      <c r="T2707" s="1" t="str">
        <f>IF(OR($C2707="",$D2707&lt;&gt;"Gelir",$L2707=""),"",IFERROR(INDEX(MUSTERILER!$B$7:$B$156,MATCH($S2707,MUSTERILER!$T$7:$T$156,0)),""))</f>
        <v/>
      </c>
      <c r="U2707" s="1" t="str">
        <f>IF($T2707="","",$T2707&amp;"|"&amp;COUNTIFS($T$7:$T2707,$T2707))</f>
        <v/>
      </c>
      <c r="V2707" s="1">
        <f t="shared" si="344"/>
        <v>0</v>
      </c>
      <c r="W2707" s="1" t="str">
        <f t="shared" si="345"/>
        <v/>
      </c>
      <c r="X2707" s="1"/>
      <c r="Y2707" s="1"/>
      <c r="Z2707" s="1"/>
      <c r="AA2707" s="1"/>
      <c r="AB2707" s="1"/>
      <c r="AC2707" s="1"/>
      <c r="AD2707" s="1">
        <f>IF($C2707="",0,SUMPRODUCT((AY_SONU!$O$7:$O$42="Evet")*(AY_SONU!$B$7:$B$42=DATE(YEAR($C2707),MONTH($C2707),1))))</f>
        <v>0</v>
      </c>
      <c r="AE2707" s="1" t="str">
        <f>IF($E2707="","",$E2707&amp;"|"&amp;COUNTIFS($E$7:$E2707,$E2707))</f>
        <v/>
      </c>
    </row>
    <row r="2708" spans="1:31" ht="18" customHeight="1" x14ac:dyDescent="0.3">
      <c r="A2708" s="2"/>
      <c r="B2708" s="65" t="str">
        <f t="shared" si="338"/>
        <v/>
      </c>
      <c r="C2708" s="66"/>
      <c r="D2708" s="60"/>
      <c r="E2708" s="61"/>
      <c r="F2708" s="61"/>
      <c r="G2708" s="67"/>
      <c r="H2708" s="60"/>
      <c r="I2708" s="60"/>
      <c r="J2708" s="61"/>
      <c r="K2708" s="61"/>
      <c r="L2708" s="60"/>
      <c r="M2708" s="74" t="str">
        <f t="shared" si="339"/>
        <v/>
      </c>
      <c r="N2708" s="74" t="str">
        <f t="shared" si="340"/>
        <v/>
      </c>
      <c r="O2708" s="73" t="str">
        <f t="shared" si="341"/>
        <v/>
      </c>
      <c r="P2708" s="65" t="str">
        <f t="shared" ca="1" si="342"/>
        <v/>
      </c>
      <c r="Q2708" s="2"/>
      <c r="R2708" s="2"/>
      <c r="S2708" s="1" t="str">
        <f t="shared" si="343"/>
        <v/>
      </c>
      <c r="T2708" s="1" t="str">
        <f>IF(OR($C2708="",$D2708&lt;&gt;"Gelir",$L2708=""),"",IFERROR(INDEX(MUSTERILER!$B$7:$B$156,MATCH($S2708,MUSTERILER!$T$7:$T$156,0)),""))</f>
        <v/>
      </c>
      <c r="U2708" s="1" t="str">
        <f>IF($T2708="","",$T2708&amp;"|"&amp;COUNTIFS($T$7:$T2708,$T2708))</f>
        <v/>
      </c>
      <c r="V2708" s="1">
        <f t="shared" si="344"/>
        <v>0</v>
      </c>
      <c r="W2708" s="1" t="str">
        <f t="shared" si="345"/>
        <v/>
      </c>
      <c r="X2708" s="1"/>
      <c r="Y2708" s="1"/>
      <c r="Z2708" s="1"/>
      <c r="AA2708" s="1"/>
      <c r="AB2708" s="1"/>
      <c r="AC2708" s="1"/>
      <c r="AD2708" s="1">
        <f>IF($C2708="",0,SUMPRODUCT((AY_SONU!$O$7:$O$42="Evet")*(AY_SONU!$B$7:$B$42=DATE(YEAR($C2708),MONTH($C2708),1))))</f>
        <v>0</v>
      </c>
      <c r="AE2708" s="1" t="str">
        <f>IF($E2708="","",$E2708&amp;"|"&amp;COUNTIFS($E$7:$E2708,$E2708))</f>
        <v/>
      </c>
    </row>
    <row r="2709" spans="1:31" ht="18" customHeight="1" x14ac:dyDescent="0.3">
      <c r="A2709" s="2"/>
      <c r="B2709" s="65" t="str">
        <f t="shared" si="338"/>
        <v/>
      </c>
      <c r="C2709" s="66"/>
      <c r="D2709" s="60"/>
      <c r="E2709" s="61"/>
      <c r="F2709" s="61"/>
      <c r="G2709" s="67"/>
      <c r="H2709" s="60"/>
      <c r="I2709" s="60"/>
      <c r="J2709" s="61"/>
      <c r="K2709" s="61"/>
      <c r="L2709" s="60"/>
      <c r="M2709" s="74" t="str">
        <f t="shared" si="339"/>
        <v/>
      </c>
      <c r="N2709" s="74" t="str">
        <f t="shared" si="340"/>
        <v/>
      </c>
      <c r="O2709" s="73" t="str">
        <f t="shared" si="341"/>
        <v/>
      </c>
      <c r="P2709" s="65" t="str">
        <f t="shared" ca="1" si="342"/>
        <v/>
      </c>
      <c r="Q2709" s="2"/>
      <c r="R2709" s="2"/>
      <c r="S2709" s="1" t="str">
        <f t="shared" si="343"/>
        <v/>
      </c>
      <c r="T2709" s="1" t="str">
        <f>IF(OR($C2709="",$D2709&lt;&gt;"Gelir",$L2709=""),"",IFERROR(INDEX(MUSTERILER!$B$7:$B$156,MATCH($S2709,MUSTERILER!$T$7:$T$156,0)),""))</f>
        <v/>
      </c>
      <c r="U2709" s="1" t="str">
        <f>IF($T2709="","",$T2709&amp;"|"&amp;COUNTIFS($T$7:$T2709,$T2709))</f>
        <v/>
      </c>
      <c r="V2709" s="1">
        <f t="shared" si="344"/>
        <v>0</v>
      </c>
      <c r="W2709" s="1" t="str">
        <f t="shared" si="345"/>
        <v/>
      </c>
      <c r="X2709" s="1"/>
      <c r="Y2709" s="1"/>
      <c r="Z2709" s="1"/>
      <c r="AA2709" s="1"/>
      <c r="AB2709" s="1"/>
      <c r="AC2709" s="1"/>
      <c r="AD2709" s="1">
        <f>IF($C2709="",0,SUMPRODUCT((AY_SONU!$O$7:$O$42="Evet")*(AY_SONU!$B$7:$B$42=DATE(YEAR($C2709),MONTH($C2709),1))))</f>
        <v>0</v>
      </c>
      <c r="AE2709" s="1" t="str">
        <f>IF($E2709="","",$E2709&amp;"|"&amp;COUNTIFS($E$7:$E2709,$E2709))</f>
        <v/>
      </c>
    </row>
    <row r="2710" spans="1:31" ht="18" customHeight="1" x14ac:dyDescent="0.3">
      <c r="A2710" s="2"/>
      <c r="B2710" s="65" t="str">
        <f t="shared" si="338"/>
        <v/>
      </c>
      <c r="C2710" s="66"/>
      <c r="D2710" s="60"/>
      <c r="E2710" s="61"/>
      <c r="F2710" s="61"/>
      <c r="G2710" s="67"/>
      <c r="H2710" s="60"/>
      <c r="I2710" s="60"/>
      <c r="J2710" s="61"/>
      <c r="K2710" s="61"/>
      <c r="L2710" s="60"/>
      <c r="M2710" s="74" t="str">
        <f t="shared" si="339"/>
        <v/>
      </c>
      <c r="N2710" s="74" t="str">
        <f t="shared" si="340"/>
        <v/>
      </c>
      <c r="O2710" s="73" t="str">
        <f t="shared" si="341"/>
        <v/>
      </c>
      <c r="P2710" s="65" t="str">
        <f t="shared" ca="1" si="342"/>
        <v/>
      </c>
      <c r="Q2710" s="2"/>
      <c r="R2710" s="2"/>
      <c r="S2710" s="1" t="str">
        <f t="shared" si="343"/>
        <v/>
      </c>
      <c r="T2710" s="1" t="str">
        <f>IF(OR($C2710="",$D2710&lt;&gt;"Gelir",$L2710=""),"",IFERROR(INDEX(MUSTERILER!$B$7:$B$156,MATCH($S2710,MUSTERILER!$T$7:$T$156,0)),""))</f>
        <v/>
      </c>
      <c r="U2710" s="1" t="str">
        <f>IF($T2710="","",$T2710&amp;"|"&amp;COUNTIFS($T$7:$T2710,$T2710))</f>
        <v/>
      </c>
      <c r="V2710" s="1">
        <f t="shared" si="344"/>
        <v>0</v>
      </c>
      <c r="W2710" s="1" t="str">
        <f t="shared" si="345"/>
        <v/>
      </c>
      <c r="X2710" s="1"/>
      <c r="Y2710" s="1"/>
      <c r="Z2710" s="1"/>
      <c r="AA2710" s="1"/>
      <c r="AB2710" s="1"/>
      <c r="AC2710" s="1"/>
      <c r="AD2710" s="1">
        <f>IF($C2710="",0,SUMPRODUCT((AY_SONU!$O$7:$O$42="Evet")*(AY_SONU!$B$7:$B$42=DATE(YEAR($C2710),MONTH($C2710),1))))</f>
        <v>0</v>
      </c>
      <c r="AE2710" s="1" t="str">
        <f>IF($E2710="","",$E2710&amp;"|"&amp;COUNTIFS($E$7:$E2710,$E2710))</f>
        <v/>
      </c>
    </row>
    <row r="2711" spans="1:31" ht="18" customHeight="1" x14ac:dyDescent="0.3">
      <c r="A2711" s="2"/>
      <c r="B2711" s="65" t="str">
        <f t="shared" si="338"/>
        <v/>
      </c>
      <c r="C2711" s="66"/>
      <c r="D2711" s="60"/>
      <c r="E2711" s="61"/>
      <c r="F2711" s="61"/>
      <c r="G2711" s="67"/>
      <c r="H2711" s="60"/>
      <c r="I2711" s="60"/>
      <c r="J2711" s="61"/>
      <c r="K2711" s="61"/>
      <c r="L2711" s="60"/>
      <c r="M2711" s="74" t="str">
        <f t="shared" si="339"/>
        <v/>
      </c>
      <c r="N2711" s="74" t="str">
        <f t="shared" si="340"/>
        <v/>
      </c>
      <c r="O2711" s="73" t="str">
        <f t="shared" si="341"/>
        <v/>
      </c>
      <c r="P2711" s="65" t="str">
        <f t="shared" ca="1" si="342"/>
        <v/>
      </c>
      <c r="Q2711" s="2"/>
      <c r="R2711" s="2"/>
      <c r="S2711" s="1" t="str">
        <f t="shared" si="343"/>
        <v/>
      </c>
      <c r="T2711" s="1" t="str">
        <f>IF(OR($C2711="",$D2711&lt;&gt;"Gelir",$L2711=""),"",IFERROR(INDEX(MUSTERILER!$B$7:$B$156,MATCH($S2711,MUSTERILER!$T$7:$T$156,0)),""))</f>
        <v/>
      </c>
      <c r="U2711" s="1" t="str">
        <f>IF($T2711="","",$T2711&amp;"|"&amp;COUNTIFS($T$7:$T2711,$T2711))</f>
        <v/>
      </c>
      <c r="V2711" s="1">
        <f t="shared" si="344"/>
        <v>0</v>
      </c>
      <c r="W2711" s="1" t="str">
        <f t="shared" si="345"/>
        <v/>
      </c>
      <c r="X2711" s="1"/>
      <c r="Y2711" s="1"/>
      <c r="Z2711" s="1"/>
      <c r="AA2711" s="1"/>
      <c r="AB2711" s="1"/>
      <c r="AC2711" s="1"/>
      <c r="AD2711" s="1">
        <f>IF($C2711="",0,SUMPRODUCT((AY_SONU!$O$7:$O$42="Evet")*(AY_SONU!$B$7:$B$42=DATE(YEAR($C2711),MONTH($C2711),1))))</f>
        <v>0</v>
      </c>
      <c r="AE2711" s="1" t="str">
        <f>IF($E2711="","",$E2711&amp;"|"&amp;COUNTIFS($E$7:$E2711,$E2711))</f>
        <v/>
      </c>
    </row>
    <row r="2712" spans="1:31" ht="18" customHeight="1" x14ac:dyDescent="0.3">
      <c r="A2712" s="2"/>
      <c r="B2712" s="65" t="str">
        <f t="shared" si="338"/>
        <v/>
      </c>
      <c r="C2712" s="66"/>
      <c r="D2712" s="60"/>
      <c r="E2712" s="61"/>
      <c r="F2712" s="61"/>
      <c r="G2712" s="67"/>
      <c r="H2712" s="60"/>
      <c r="I2712" s="60"/>
      <c r="J2712" s="61"/>
      <c r="K2712" s="61"/>
      <c r="L2712" s="60"/>
      <c r="M2712" s="74" t="str">
        <f t="shared" si="339"/>
        <v/>
      </c>
      <c r="N2712" s="74" t="str">
        <f t="shared" si="340"/>
        <v/>
      </c>
      <c r="O2712" s="73" t="str">
        <f t="shared" si="341"/>
        <v/>
      </c>
      <c r="P2712" s="65" t="str">
        <f t="shared" ca="1" si="342"/>
        <v/>
      </c>
      <c r="Q2712" s="2"/>
      <c r="R2712" s="2"/>
      <c r="S2712" s="1" t="str">
        <f t="shared" si="343"/>
        <v/>
      </c>
      <c r="T2712" s="1" t="str">
        <f>IF(OR($C2712="",$D2712&lt;&gt;"Gelir",$L2712=""),"",IFERROR(INDEX(MUSTERILER!$B$7:$B$156,MATCH($S2712,MUSTERILER!$T$7:$T$156,0)),""))</f>
        <v/>
      </c>
      <c r="U2712" s="1" t="str">
        <f>IF($T2712="","",$T2712&amp;"|"&amp;COUNTIFS($T$7:$T2712,$T2712))</f>
        <v/>
      </c>
      <c r="V2712" s="1">
        <f t="shared" si="344"/>
        <v>0</v>
      </c>
      <c r="W2712" s="1" t="str">
        <f t="shared" si="345"/>
        <v/>
      </c>
      <c r="X2712" s="1"/>
      <c r="Y2712" s="1"/>
      <c r="Z2712" s="1"/>
      <c r="AA2712" s="1"/>
      <c r="AB2712" s="1"/>
      <c r="AC2712" s="1"/>
      <c r="AD2712" s="1">
        <f>IF($C2712="",0,SUMPRODUCT((AY_SONU!$O$7:$O$42="Evet")*(AY_SONU!$B$7:$B$42=DATE(YEAR($C2712),MONTH($C2712),1))))</f>
        <v>0</v>
      </c>
      <c r="AE2712" s="1" t="str">
        <f>IF($E2712="","",$E2712&amp;"|"&amp;COUNTIFS($E$7:$E2712,$E2712))</f>
        <v/>
      </c>
    </row>
    <row r="2713" spans="1:31" ht="18" customHeight="1" x14ac:dyDescent="0.3">
      <c r="A2713" s="2"/>
      <c r="B2713" s="65" t="str">
        <f t="shared" si="338"/>
        <v/>
      </c>
      <c r="C2713" s="66"/>
      <c r="D2713" s="60"/>
      <c r="E2713" s="61"/>
      <c r="F2713" s="61"/>
      <c r="G2713" s="67"/>
      <c r="H2713" s="60"/>
      <c r="I2713" s="60"/>
      <c r="J2713" s="61"/>
      <c r="K2713" s="61"/>
      <c r="L2713" s="60"/>
      <c r="M2713" s="74" t="str">
        <f t="shared" si="339"/>
        <v/>
      </c>
      <c r="N2713" s="74" t="str">
        <f t="shared" si="340"/>
        <v/>
      </c>
      <c r="O2713" s="73" t="str">
        <f t="shared" si="341"/>
        <v/>
      </c>
      <c r="P2713" s="65" t="str">
        <f t="shared" ca="1" si="342"/>
        <v/>
      </c>
      <c r="Q2713" s="2"/>
      <c r="R2713" s="2"/>
      <c r="S2713" s="1" t="str">
        <f t="shared" si="343"/>
        <v/>
      </c>
      <c r="T2713" s="1" t="str">
        <f>IF(OR($C2713="",$D2713&lt;&gt;"Gelir",$L2713=""),"",IFERROR(INDEX(MUSTERILER!$B$7:$B$156,MATCH($S2713,MUSTERILER!$T$7:$T$156,0)),""))</f>
        <v/>
      </c>
      <c r="U2713" s="1" t="str">
        <f>IF($T2713="","",$T2713&amp;"|"&amp;COUNTIFS($T$7:$T2713,$T2713))</f>
        <v/>
      </c>
      <c r="V2713" s="1">
        <f t="shared" si="344"/>
        <v>0</v>
      </c>
      <c r="W2713" s="1" t="str">
        <f t="shared" si="345"/>
        <v/>
      </c>
      <c r="X2713" s="1"/>
      <c r="Y2713" s="1"/>
      <c r="Z2713" s="1"/>
      <c r="AA2713" s="1"/>
      <c r="AB2713" s="1"/>
      <c r="AC2713" s="1"/>
      <c r="AD2713" s="1">
        <f>IF($C2713="",0,SUMPRODUCT((AY_SONU!$O$7:$O$42="Evet")*(AY_SONU!$B$7:$B$42=DATE(YEAR($C2713),MONTH($C2713),1))))</f>
        <v>0</v>
      </c>
      <c r="AE2713" s="1" t="str">
        <f>IF($E2713="","",$E2713&amp;"|"&amp;COUNTIFS($E$7:$E2713,$E2713))</f>
        <v/>
      </c>
    </row>
    <row r="2714" spans="1:31" ht="18" customHeight="1" x14ac:dyDescent="0.3">
      <c r="A2714" s="2"/>
      <c r="B2714" s="65" t="str">
        <f t="shared" si="338"/>
        <v/>
      </c>
      <c r="C2714" s="66"/>
      <c r="D2714" s="60"/>
      <c r="E2714" s="61"/>
      <c r="F2714" s="61"/>
      <c r="G2714" s="67"/>
      <c r="H2714" s="60"/>
      <c r="I2714" s="60"/>
      <c r="J2714" s="61"/>
      <c r="K2714" s="61"/>
      <c r="L2714" s="60"/>
      <c r="M2714" s="74" t="str">
        <f t="shared" si="339"/>
        <v/>
      </c>
      <c r="N2714" s="74" t="str">
        <f t="shared" si="340"/>
        <v/>
      </c>
      <c r="O2714" s="73" t="str">
        <f t="shared" si="341"/>
        <v/>
      </c>
      <c r="P2714" s="65" t="str">
        <f t="shared" ca="1" si="342"/>
        <v/>
      </c>
      <c r="Q2714" s="2"/>
      <c r="R2714" s="2"/>
      <c r="S2714" s="1" t="str">
        <f t="shared" si="343"/>
        <v/>
      </c>
      <c r="T2714" s="1" t="str">
        <f>IF(OR($C2714="",$D2714&lt;&gt;"Gelir",$L2714=""),"",IFERROR(INDEX(MUSTERILER!$B$7:$B$156,MATCH($S2714,MUSTERILER!$T$7:$T$156,0)),""))</f>
        <v/>
      </c>
      <c r="U2714" s="1" t="str">
        <f>IF($T2714="","",$T2714&amp;"|"&amp;COUNTIFS($T$7:$T2714,$T2714))</f>
        <v/>
      </c>
      <c r="V2714" s="1">
        <f t="shared" si="344"/>
        <v>0</v>
      </c>
      <c r="W2714" s="1" t="str">
        <f t="shared" si="345"/>
        <v/>
      </c>
      <c r="X2714" s="1"/>
      <c r="Y2714" s="1"/>
      <c r="Z2714" s="1"/>
      <c r="AA2714" s="1"/>
      <c r="AB2714" s="1"/>
      <c r="AC2714" s="1"/>
      <c r="AD2714" s="1">
        <f>IF($C2714="",0,SUMPRODUCT((AY_SONU!$O$7:$O$42="Evet")*(AY_SONU!$B$7:$B$42=DATE(YEAR($C2714),MONTH($C2714),1))))</f>
        <v>0</v>
      </c>
      <c r="AE2714" s="1" t="str">
        <f>IF($E2714="","",$E2714&amp;"|"&amp;COUNTIFS($E$7:$E2714,$E2714))</f>
        <v/>
      </c>
    </row>
    <row r="2715" spans="1:31" ht="18" customHeight="1" x14ac:dyDescent="0.3">
      <c r="A2715" s="2"/>
      <c r="B2715" s="65" t="str">
        <f t="shared" si="338"/>
        <v/>
      </c>
      <c r="C2715" s="66"/>
      <c r="D2715" s="60"/>
      <c r="E2715" s="61"/>
      <c r="F2715" s="61"/>
      <c r="G2715" s="67"/>
      <c r="H2715" s="60"/>
      <c r="I2715" s="60"/>
      <c r="J2715" s="61"/>
      <c r="K2715" s="61"/>
      <c r="L2715" s="60"/>
      <c r="M2715" s="74" t="str">
        <f t="shared" si="339"/>
        <v/>
      </c>
      <c r="N2715" s="74" t="str">
        <f t="shared" si="340"/>
        <v/>
      </c>
      <c r="O2715" s="73" t="str">
        <f t="shared" si="341"/>
        <v/>
      </c>
      <c r="P2715" s="65" t="str">
        <f t="shared" ca="1" si="342"/>
        <v/>
      </c>
      <c r="Q2715" s="2"/>
      <c r="R2715" s="2"/>
      <c r="S2715" s="1" t="str">
        <f t="shared" si="343"/>
        <v/>
      </c>
      <c r="T2715" s="1" t="str">
        <f>IF(OR($C2715="",$D2715&lt;&gt;"Gelir",$L2715=""),"",IFERROR(INDEX(MUSTERILER!$B$7:$B$156,MATCH($S2715,MUSTERILER!$T$7:$T$156,0)),""))</f>
        <v/>
      </c>
      <c r="U2715" s="1" t="str">
        <f>IF($T2715="","",$T2715&amp;"|"&amp;COUNTIFS($T$7:$T2715,$T2715))</f>
        <v/>
      </c>
      <c r="V2715" s="1">
        <f t="shared" si="344"/>
        <v>0</v>
      </c>
      <c r="W2715" s="1" t="str">
        <f t="shared" si="345"/>
        <v/>
      </c>
      <c r="X2715" s="1"/>
      <c r="Y2715" s="1"/>
      <c r="Z2715" s="1"/>
      <c r="AA2715" s="1"/>
      <c r="AB2715" s="1"/>
      <c r="AC2715" s="1"/>
      <c r="AD2715" s="1">
        <f>IF($C2715="",0,SUMPRODUCT((AY_SONU!$O$7:$O$42="Evet")*(AY_SONU!$B$7:$B$42=DATE(YEAR($C2715),MONTH($C2715),1))))</f>
        <v>0</v>
      </c>
      <c r="AE2715" s="1" t="str">
        <f>IF($E2715="","",$E2715&amp;"|"&amp;COUNTIFS($E$7:$E2715,$E2715))</f>
        <v/>
      </c>
    </row>
    <row r="2716" spans="1:31" ht="18" customHeight="1" x14ac:dyDescent="0.3">
      <c r="A2716" s="2"/>
      <c r="B2716" s="65" t="str">
        <f t="shared" si="338"/>
        <v/>
      </c>
      <c r="C2716" s="66"/>
      <c r="D2716" s="60"/>
      <c r="E2716" s="61"/>
      <c r="F2716" s="61"/>
      <c r="G2716" s="67"/>
      <c r="H2716" s="60"/>
      <c r="I2716" s="60"/>
      <c r="J2716" s="61"/>
      <c r="K2716" s="61"/>
      <c r="L2716" s="60"/>
      <c r="M2716" s="74" t="str">
        <f t="shared" si="339"/>
        <v/>
      </c>
      <c r="N2716" s="74" t="str">
        <f t="shared" si="340"/>
        <v/>
      </c>
      <c r="O2716" s="73" t="str">
        <f t="shared" si="341"/>
        <v/>
      </c>
      <c r="P2716" s="65" t="str">
        <f t="shared" ca="1" si="342"/>
        <v/>
      </c>
      <c r="Q2716" s="2"/>
      <c r="R2716" s="2"/>
      <c r="S2716" s="1" t="str">
        <f t="shared" si="343"/>
        <v/>
      </c>
      <c r="T2716" s="1" t="str">
        <f>IF(OR($C2716="",$D2716&lt;&gt;"Gelir",$L2716=""),"",IFERROR(INDEX(MUSTERILER!$B$7:$B$156,MATCH($S2716,MUSTERILER!$T$7:$T$156,0)),""))</f>
        <v/>
      </c>
      <c r="U2716" s="1" t="str">
        <f>IF($T2716="","",$T2716&amp;"|"&amp;COUNTIFS($T$7:$T2716,$T2716))</f>
        <v/>
      </c>
      <c r="V2716" s="1">
        <f t="shared" si="344"/>
        <v>0</v>
      </c>
      <c r="W2716" s="1" t="str">
        <f t="shared" si="345"/>
        <v/>
      </c>
      <c r="X2716" s="1"/>
      <c r="Y2716" s="1"/>
      <c r="Z2716" s="1"/>
      <c r="AA2716" s="1"/>
      <c r="AB2716" s="1"/>
      <c r="AC2716" s="1"/>
      <c r="AD2716" s="1">
        <f>IF($C2716="",0,SUMPRODUCT((AY_SONU!$O$7:$O$42="Evet")*(AY_SONU!$B$7:$B$42=DATE(YEAR($C2716),MONTH($C2716),1))))</f>
        <v>0</v>
      </c>
      <c r="AE2716" s="1" t="str">
        <f>IF($E2716="","",$E2716&amp;"|"&amp;COUNTIFS($E$7:$E2716,$E2716))</f>
        <v/>
      </c>
    </row>
    <row r="2717" spans="1:31" ht="18" customHeight="1" x14ac:dyDescent="0.3">
      <c r="A2717" s="2"/>
      <c r="B2717" s="65" t="str">
        <f t="shared" si="338"/>
        <v/>
      </c>
      <c r="C2717" s="66"/>
      <c r="D2717" s="60"/>
      <c r="E2717" s="61"/>
      <c r="F2717" s="61"/>
      <c r="G2717" s="67"/>
      <c r="H2717" s="60"/>
      <c r="I2717" s="60"/>
      <c r="J2717" s="61"/>
      <c r="K2717" s="61"/>
      <c r="L2717" s="60"/>
      <c r="M2717" s="74" t="str">
        <f t="shared" si="339"/>
        <v/>
      </c>
      <c r="N2717" s="74" t="str">
        <f t="shared" si="340"/>
        <v/>
      </c>
      <c r="O2717" s="73" t="str">
        <f t="shared" si="341"/>
        <v/>
      </c>
      <c r="P2717" s="65" t="str">
        <f t="shared" ca="1" si="342"/>
        <v/>
      </c>
      <c r="Q2717" s="2"/>
      <c r="R2717" s="2"/>
      <c r="S2717" s="1" t="str">
        <f t="shared" si="343"/>
        <v/>
      </c>
      <c r="T2717" s="1" t="str">
        <f>IF(OR($C2717="",$D2717&lt;&gt;"Gelir",$L2717=""),"",IFERROR(INDEX(MUSTERILER!$B$7:$B$156,MATCH($S2717,MUSTERILER!$T$7:$T$156,0)),""))</f>
        <v/>
      </c>
      <c r="U2717" s="1" t="str">
        <f>IF($T2717="","",$T2717&amp;"|"&amp;COUNTIFS($T$7:$T2717,$T2717))</f>
        <v/>
      </c>
      <c r="V2717" s="1">
        <f t="shared" si="344"/>
        <v>0</v>
      </c>
      <c r="W2717" s="1" t="str">
        <f t="shared" si="345"/>
        <v/>
      </c>
      <c r="X2717" s="1"/>
      <c r="Y2717" s="1"/>
      <c r="Z2717" s="1"/>
      <c r="AA2717" s="1"/>
      <c r="AB2717" s="1"/>
      <c r="AC2717" s="1"/>
      <c r="AD2717" s="1">
        <f>IF($C2717="",0,SUMPRODUCT((AY_SONU!$O$7:$O$42="Evet")*(AY_SONU!$B$7:$B$42=DATE(YEAR($C2717),MONTH($C2717),1))))</f>
        <v>0</v>
      </c>
      <c r="AE2717" s="1" t="str">
        <f>IF($E2717="","",$E2717&amp;"|"&amp;COUNTIFS($E$7:$E2717,$E2717))</f>
        <v/>
      </c>
    </row>
    <row r="2718" spans="1:31" ht="18" customHeight="1" x14ac:dyDescent="0.3">
      <c r="A2718" s="2"/>
      <c r="B2718" s="65" t="str">
        <f t="shared" si="338"/>
        <v/>
      </c>
      <c r="C2718" s="66"/>
      <c r="D2718" s="60"/>
      <c r="E2718" s="61"/>
      <c r="F2718" s="61"/>
      <c r="G2718" s="67"/>
      <c r="H2718" s="60"/>
      <c r="I2718" s="60"/>
      <c r="J2718" s="61"/>
      <c r="K2718" s="61"/>
      <c r="L2718" s="60"/>
      <c r="M2718" s="74" t="str">
        <f t="shared" si="339"/>
        <v/>
      </c>
      <c r="N2718" s="74" t="str">
        <f t="shared" si="340"/>
        <v/>
      </c>
      <c r="O2718" s="73" t="str">
        <f t="shared" si="341"/>
        <v/>
      </c>
      <c r="P2718" s="65" t="str">
        <f t="shared" ca="1" si="342"/>
        <v/>
      </c>
      <c r="Q2718" s="2"/>
      <c r="R2718" s="2"/>
      <c r="S2718" s="1" t="str">
        <f t="shared" si="343"/>
        <v/>
      </c>
      <c r="T2718" s="1" t="str">
        <f>IF(OR($C2718="",$D2718&lt;&gt;"Gelir",$L2718=""),"",IFERROR(INDEX(MUSTERILER!$B$7:$B$156,MATCH($S2718,MUSTERILER!$T$7:$T$156,0)),""))</f>
        <v/>
      </c>
      <c r="U2718" s="1" t="str">
        <f>IF($T2718="","",$T2718&amp;"|"&amp;COUNTIFS($T$7:$T2718,$T2718))</f>
        <v/>
      </c>
      <c r="V2718" s="1">
        <f t="shared" si="344"/>
        <v>0</v>
      </c>
      <c r="W2718" s="1" t="str">
        <f t="shared" si="345"/>
        <v/>
      </c>
      <c r="X2718" s="1"/>
      <c r="Y2718" s="1"/>
      <c r="Z2718" s="1"/>
      <c r="AA2718" s="1"/>
      <c r="AB2718" s="1"/>
      <c r="AC2718" s="1"/>
      <c r="AD2718" s="1">
        <f>IF($C2718="",0,SUMPRODUCT((AY_SONU!$O$7:$O$42="Evet")*(AY_SONU!$B$7:$B$42=DATE(YEAR($C2718),MONTH($C2718),1))))</f>
        <v>0</v>
      </c>
      <c r="AE2718" s="1" t="str">
        <f>IF($E2718="","",$E2718&amp;"|"&amp;COUNTIFS($E$7:$E2718,$E2718))</f>
        <v/>
      </c>
    </row>
    <row r="2719" spans="1:31" ht="18" customHeight="1" x14ac:dyDescent="0.3">
      <c r="A2719" s="2"/>
      <c r="B2719" s="65" t="str">
        <f t="shared" si="338"/>
        <v/>
      </c>
      <c r="C2719" s="66"/>
      <c r="D2719" s="60"/>
      <c r="E2719" s="61"/>
      <c r="F2719" s="61"/>
      <c r="G2719" s="67"/>
      <c r="H2719" s="60"/>
      <c r="I2719" s="60"/>
      <c r="J2719" s="61"/>
      <c r="K2719" s="61"/>
      <c r="L2719" s="60"/>
      <c r="M2719" s="74" t="str">
        <f t="shared" si="339"/>
        <v/>
      </c>
      <c r="N2719" s="74" t="str">
        <f t="shared" si="340"/>
        <v/>
      </c>
      <c r="O2719" s="73" t="str">
        <f t="shared" si="341"/>
        <v/>
      </c>
      <c r="P2719" s="65" t="str">
        <f t="shared" ca="1" si="342"/>
        <v/>
      </c>
      <c r="Q2719" s="2"/>
      <c r="R2719" s="2"/>
      <c r="S2719" s="1" t="str">
        <f t="shared" si="343"/>
        <v/>
      </c>
      <c r="T2719" s="1" t="str">
        <f>IF(OR($C2719="",$D2719&lt;&gt;"Gelir",$L2719=""),"",IFERROR(INDEX(MUSTERILER!$B$7:$B$156,MATCH($S2719,MUSTERILER!$T$7:$T$156,0)),""))</f>
        <v/>
      </c>
      <c r="U2719" s="1" t="str">
        <f>IF($T2719="","",$T2719&amp;"|"&amp;COUNTIFS($T$7:$T2719,$T2719))</f>
        <v/>
      </c>
      <c r="V2719" s="1">
        <f t="shared" si="344"/>
        <v>0</v>
      </c>
      <c r="W2719" s="1" t="str">
        <f t="shared" si="345"/>
        <v/>
      </c>
      <c r="X2719" s="1"/>
      <c r="Y2719" s="1"/>
      <c r="Z2719" s="1"/>
      <c r="AA2719" s="1"/>
      <c r="AB2719" s="1"/>
      <c r="AC2719" s="1"/>
      <c r="AD2719" s="1">
        <f>IF($C2719="",0,SUMPRODUCT((AY_SONU!$O$7:$O$42="Evet")*(AY_SONU!$B$7:$B$42=DATE(YEAR($C2719),MONTH($C2719),1))))</f>
        <v>0</v>
      </c>
      <c r="AE2719" s="1" t="str">
        <f>IF($E2719="","",$E2719&amp;"|"&amp;COUNTIFS($E$7:$E2719,$E2719))</f>
        <v/>
      </c>
    </row>
    <row r="2720" spans="1:31" ht="18" customHeight="1" x14ac:dyDescent="0.3">
      <c r="A2720" s="2"/>
      <c r="B2720" s="65" t="str">
        <f t="shared" si="338"/>
        <v/>
      </c>
      <c r="C2720" s="66"/>
      <c r="D2720" s="60"/>
      <c r="E2720" s="61"/>
      <c r="F2720" s="61"/>
      <c r="G2720" s="67"/>
      <c r="H2720" s="60"/>
      <c r="I2720" s="60"/>
      <c r="J2720" s="61"/>
      <c r="K2720" s="61"/>
      <c r="L2720" s="60"/>
      <c r="M2720" s="74" t="str">
        <f t="shared" si="339"/>
        <v/>
      </c>
      <c r="N2720" s="74" t="str">
        <f t="shared" si="340"/>
        <v/>
      </c>
      <c r="O2720" s="73" t="str">
        <f t="shared" si="341"/>
        <v/>
      </c>
      <c r="P2720" s="65" t="str">
        <f t="shared" ca="1" si="342"/>
        <v/>
      </c>
      <c r="Q2720" s="2"/>
      <c r="R2720" s="2"/>
      <c r="S2720" s="1" t="str">
        <f t="shared" si="343"/>
        <v/>
      </c>
      <c r="T2720" s="1" t="str">
        <f>IF(OR($C2720="",$D2720&lt;&gt;"Gelir",$L2720=""),"",IFERROR(INDEX(MUSTERILER!$B$7:$B$156,MATCH($S2720,MUSTERILER!$T$7:$T$156,0)),""))</f>
        <v/>
      </c>
      <c r="U2720" s="1" t="str">
        <f>IF($T2720="","",$T2720&amp;"|"&amp;COUNTIFS($T$7:$T2720,$T2720))</f>
        <v/>
      </c>
      <c r="V2720" s="1">
        <f t="shared" si="344"/>
        <v>0</v>
      </c>
      <c r="W2720" s="1" t="str">
        <f t="shared" si="345"/>
        <v/>
      </c>
      <c r="X2720" s="1"/>
      <c r="Y2720" s="1"/>
      <c r="Z2720" s="1"/>
      <c r="AA2720" s="1"/>
      <c r="AB2720" s="1"/>
      <c r="AC2720" s="1"/>
      <c r="AD2720" s="1">
        <f>IF($C2720="",0,SUMPRODUCT((AY_SONU!$O$7:$O$42="Evet")*(AY_SONU!$B$7:$B$42=DATE(YEAR($C2720),MONTH($C2720),1))))</f>
        <v>0</v>
      </c>
      <c r="AE2720" s="1" t="str">
        <f>IF($E2720="","",$E2720&amp;"|"&amp;COUNTIFS($E$7:$E2720,$E2720))</f>
        <v/>
      </c>
    </row>
    <row r="2721" spans="1:31" ht="18" customHeight="1" x14ac:dyDescent="0.3">
      <c r="A2721" s="2"/>
      <c r="B2721" s="65" t="str">
        <f t="shared" si="338"/>
        <v/>
      </c>
      <c r="C2721" s="66"/>
      <c r="D2721" s="60"/>
      <c r="E2721" s="61"/>
      <c r="F2721" s="61"/>
      <c r="G2721" s="67"/>
      <c r="H2721" s="60"/>
      <c r="I2721" s="60"/>
      <c r="J2721" s="61"/>
      <c r="K2721" s="61"/>
      <c r="L2721" s="60"/>
      <c r="M2721" s="74" t="str">
        <f t="shared" si="339"/>
        <v/>
      </c>
      <c r="N2721" s="74" t="str">
        <f t="shared" si="340"/>
        <v/>
      </c>
      <c r="O2721" s="73" t="str">
        <f t="shared" si="341"/>
        <v/>
      </c>
      <c r="P2721" s="65" t="str">
        <f t="shared" ca="1" si="342"/>
        <v/>
      </c>
      <c r="Q2721" s="2"/>
      <c r="R2721" s="2"/>
      <c r="S2721" s="1" t="str">
        <f t="shared" si="343"/>
        <v/>
      </c>
      <c r="T2721" s="1" t="str">
        <f>IF(OR($C2721="",$D2721&lt;&gt;"Gelir",$L2721=""),"",IFERROR(INDEX(MUSTERILER!$B$7:$B$156,MATCH($S2721,MUSTERILER!$T$7:$T$156,0)),""))</f>
        <v/>
      </c>
      <c r="U2721" s="1" t="str">
        <f>IF($T2721="","",$T2721&amp;"|"&amp;COUNTIFS($T$7:$T2721,$T2721))</f>
        <v/>
      </c>
      <c r="V2721" s="1">
        <f t="shared" si="344"/>
        <v>0</v>
      </c>
      <c r="W2721" s="1" t="str">
        <f t="shared" si="345"/>
        <v/>
      </c>
      <c r="X2721" s="1"/>
      <c r="Y2721" s="1"/>
      <c r="Z2721" s="1"/>
      <c r="AA2721" s="1"/>
      <c r="AB2721" s="1"/>
      <c r="AC2721" s="1"/>
      <c r="AD2721" s="1">
        <f>IF($C2721="",0,SUMPRODUCT((AY_SONU!$O$7:$O$42="Evet")*(AY_SONU!$B$7:$B$42=DATE(YEAR($C2721),MONTH($C2721),1))))</f>
        <v>0</v>
      </c>
      <c r="AE2721" s="1" t="str">
        <f>IF($E2721="","",$E2721&amp;"|"&amp;COUNTIFS($E$7:$E2721,$E2721))</f>
        <v/>
      </c>
    </row>
    <row r="2722" spans="1:31" ht="18" customHeight="1" x14ac:dyDescent="0.3">
      <c r="A2722" s="2"/>
      <c r="B2722" s="65" t="str">
        <f t="shared" si="338"/>
        <v/>
      </c>
      <c r="C2722" s="66"/>
      <c r="D2722" s="60"/>
      <c r="E2722" s="61"/>
      <c r="F2722" s="61"/>
      <c r="G2722" s="67"/>
      <c r="H2722" s="60"/>
      <c r="I2722" s="60"/>
      <c r="J2722" s="61"/>
      <c r="K2722" s="61"/>
      <c r="L2722" s="60"/>
      <c r="M2722" s="74" t="str">
        <f t="shared" si="339"/>
        <v/>
      </c>
      <c r="N2722" s="74" t="str">
        <f t="shared" si="340"/>
        <v/>
      </c>
      <c r="O2722" s="73" t="str">
        <f t="shared" si="341"/>
        <v/>
      </c>
      <c r="P2722" s="65" t="str">
        <f t="shared" ca="1" si="342"/>
        <v/>
      </c>
      <c r="Q2722" s="2"/>
      <c r="R2722" s="2"/>
      <c r="S2722" s="1" t="str">
        <f t="shared" si="343"/>
        <v/>
      </c>
      <c r="T2722" s="1" t="str">
        <f>IF(OR($C2722="",$D2722&lt;&gt;"Gelir",$L2722=""),"",IFERROR(INDEX(MUSTERILER!$B$7:$B$156,MATCH($S2722,MUSTERILER!$T$7:$T$156,0)),""))</f>
        <v/>
      </c>
      <c r="U2722" s="1" t="str">
        <f>IF($T2722="","",$T2722&amp;"|"&amp;COUNTIFS($T$7:$T2722,$T2722))</f>
        <v/>
      </c>
      <c r="V2722" s="1">
        <f t="shared" si="344"/>
        <v>0</v>
      </c>
      <c r="W2722" s="1" t="str">
        <f t="shared" si="345"/>
        <v/>
      </c>
      <c r="X2722" s="1"/>
      <c r="Y2722" s="1"/>
      <c r="Z2722" s="1"/>
      <c r="AA2722" s="1"/>
      <c r="AB2722" s="1"/>
      <c r="AC2722" s="1"/>
      <c r="AD2722" s="1">
        <f>IF($C2722="",0,SUMPRODUCT((AY_SONU!$O$7:$O$42="Evet")*(AY_SONU!$B$7:$B$42=DATE(YEAR($C2722),MONTH($C2722),1))))</f>
        <v>0</v>
      </c>
      <c r="AE2722" s="1" t="str">
        <f>IF($E2722="","",$E2722&amp;"|"&amp;COUNTIFS($E$7:$E2722,$E2722))</f>
        <v/>
      </c>
    </row>
    <row r="2723" spans="1:31" ht="18" customHeight="1" x14ac:dyDescent="0.3">
      <c r="A2723" s="2"/>
      <c r="B2723" s="65" t="str">
        <f t="shared" si="338"/>
        <v/>
      </c>
      <c r="C2723" s="66"/>
      <c r="D2723" s="60"/>
      <c r="E2723" s="61"/>
      <c r="F2723" s="61"/>
      <c r="G2723" s="67"/>
      <c r="H2723" s="60"/>
      <c r="I2723" s="60"/>
      <c r="J2723" s="61"/>
      <c r="K2723" s="61"/>
      <c r="L2723" s="60"/>
      <c r="M2723" s="74" t="str">
        <f t="shared" si="339"/>
        <v/>
      </c>
      <c r="N2723" s="74" t="str">
        <f t="shared" si="340"/>
        <v/>
      </c>
      <c r="O2723" s="73" t="str">
        <f t="shared" si="341"/>
        <v/>
      </c>
      <c r="P2723" s="65" t="str">
        <f t="shared" ca="1" si="342"/>
        <v/>
      </c>
      <c r="Q2723" s="2"/>
      <c r="R2723" s="2"/>
      <c r="S2723" s="1" t="str">
        <f t="shared" si="343"/>
        <v/>
      </c>
      <c r="T2723" s="1" t="str">
        <f>IF(OR($C2723="",$D2723&lt;&gt;"Gelir",$L2723=""),"",IFERROR(INDEX(MUSTERILER!$B$7:$B$156,MATCH($S2723,MUSTERILER!$T$7:$T$156,0)),""))</f>
        <v/>
      </c>
      <c r="U2723" s="1" t="str">
        <f>IF($T2723="","",$T2723&amp;"|"&amp;COUNTIFS($T$7:$T2723,$T2723))</f>
        <v/>
      </c>
      <c r="V2723" s="1">
        <f t="shared" si="344"/>
        <v>0</v>
      </c>
      <c r="W2723" s="1" t="str">
        <f t="shared" si="345"/>
        <v/>
      </c>
      <c r="X2723" s="1"/>
      <c r="Y2723" s="1"/>
      <c r="Z2723" s="1"/>
      <c r="AA2723" s="1"/>
      <c r="AB2723" s="1"/>
      <c r="AC2723" s="1"/>
      <c r="AD2723" s="1">
        <f>IF($C2723="",0,SUMPRODUCT((AY_SONU!$O$7:$O$42="Evet")*(AY_SONU!$B$7:$B$42=DATE(YEAR($C2723),MONTH($C2723),1))))</f>
        <v>0</v>
      </c>
      <c r="AE2723" s="1" t="str">
        <f>IF($E2723="","",$E2723&amp;"|"&amp;COUNTIFS($E$7:$E2723,$E2723))</f>
        <v/>
      </c>
    </row>
    <row r="2724" spans="1:31" ht="18" customHeight="1" x14ac:dyDescent="0.3">
      <c r="A2724" s="2"/>
      <c r="B2724" s="65" t="str">
        <f t="shared" si="338"/>
        <v/>
      </c>
      <c r="C2724" s="66"/>
      <c r="D2724" s="60"/>
      <c r="E2724" s="61"/>
      <c r="F2724" s="61"/>
      <c r="G2724" s="67"/>
      <c r="H2724" s="60"/>
      <c r="I2724" s="60"/>
      <c r="J2724" s="61"/>
      <c r="K2724" s="61"/>
      <c r="L2724" s="60"/>
      <c r="M2724" s="74" t="str">
        <f t="shared" si="339"/>
        <v/>
      </c>
      <c r="N2724" s="74" t="str">
        <f t="shared" si="340"/>
        <v/>
      </c>
      <c r="O2724" s="73" t="str">
        <f t="shared" si="341"/>
        <v/>
      </c>
      <c r="P2724" s="65" t="str">
        <f t="shared" ca="1" si="342"/>
        <v/>
      </c>
      <c r="Q2724" s="2"/>
      <c r="R2724" s="2"/>
      <c r="S2724" s="1" t="str">
        <f t="shared" si="343"/>
        <v/>
      </c>
      <c r="T2724" s="1" t="str">
        <f>IF(OR($C2724="",$D2724&lt;&gt;"Gelir",$L2724=""),"",IFERROR(INDEX(MUSTERILER!$B$7:$B$156,MATCH($S2724,MUSTERILER!$T$7:$T$156,0)),""))</f>
        <v/>
      </c>
      <c r="U2724" s="1" t="str">
        <f>IF($T2724="","",$T2724&amp;"|"&amp;COUNTIFS($T$7:$T2724,$T2724))</f>
        <v/>
      </c>
      <c r="V2724" s="1">
        <f t="shared" si="344"/>
        <v>0</v>
      </c>
      <c r="W2724" s="1" t="str">
        <f t="shared" si="345"/>
        <v/>
      </c>
      <c r="X2724" s="1"/>
      <c r="Y2724" s="1"/>
      <c r="Z2724" s="1"/>
      <c r="AA2724" s="1"/>
      <c r="AB2724" s="1"/>
      <c r="AC2724" s="1"/>
      <c r="AD2724" s="1">
        <f>IF($C2724="",0,SUMPRODUCT((AY_SONU!$O$7:$O$42="Evet")*(AY_SONU!$B$7:$B$42=DATE(YEAR($C2724),MONTH($C2724),1))))</f>
        <v>0</v>
      </c>
      <c r="AE2724" s="1" t="str">
        <f>IF($E2724="","",$E2724&amp;"|"&amp;COUNTIFS($E$7:$E2724,$E2724))</f>
        <v/>
      </c>
    </row>
    <row r="2725" spans="1:31" ht="18" customHeight="1" x14ac:dyDescent="0.3">
      <c r="A2725" s="2"/>
      <c r="B2725" s="65" t="str">
        <f t="shared" si="338"/>
        <v/>
      </c>
      <c r="C2725" s="66"/>
      <c r="D2725" s="60"/>
      <c r="E2725" s="61"/>
      <c r="F2725" s="61"/>
      <c r="G2725" s="67"/>
      <c r="H2725" s="60"/>
      <c r="I2725" s="60"/>
      <c r="J2725" s="61"/>
      <c r="K2725" s="61"/>
      <c r="L2725" s="60"/>
      <c r="M2725" s="74" t="str">
        <f t="shared" si="339"/>
        <v/>
      </c>
      <c r="N2725" s="74" t="str">
        <f t="shared" si="340"/>
        <v/>
      </c>
      <c r="O2725" s="73" t="str">
        <f t="shared" si="341"/>
        <v/>
      </c>
      <c r="P2725" s="65" t="str">
        <f t="shared" ca="1" si="342"/>
        <v/>
      </c>
      <c r="Q2725" s="2"/>
      <c r="R2725" s="2"/>
      <c r="S2725" s="1" t="str">
        <f t="shared" si="343"/>
        <v/>
      </c>
      <c r="T2725" s="1" t="str">
        <f>IF(OR($C2725="",$D2725&lt;&gt;"Gelir",$L2725=""),"",IFERROR(INDEX(MUSTERILER!$B$7:$B$156,MATCH($S2725,MUSTERILER!$T$7:$T$156,0)),""))</f>
        <v/>
      </c>
      <c r="U2725" s="1" t="str">
        <f>IF($T2725="","",$T2725&amp;"|"&amp;COUNTIFS($T$7:$T2725,$T2725))</f>
        <v/>
      </c>
      <c r="V2725" s="1">
        <f t="shared" si="344"/>
        <v>0</v>
      </c>
      <c r="W2725" s="1" t="str">
        <f t="shared" si="345"/>
        <v/>
      </c>
      <c r="X2725" s="1"/>
      <c r="Y2725" s="1"/>
      <c r="Z2725" s="1"/>
      <c r="AA2725" s="1"/>
      <c r="AB2725" s="1"/>
      <c r="AC2725" s="1"/>
      <c r="AD2725" s="1">
        <f>IF($C2725="",0,SUMPRODUCT((AY_SONU!$O$7:$O$42="Evet")*(AY_SONU!$B$7:$B$42=DATE(YEAR($C2725),MONTH($C2725),1))))</f>
        <v>0</v>
      </c>
      <c r="AE2725" s="1" t="str">
        <f>IF($E2725="","",$E2725&amp;"|"&amp;COUNTIFS($E$7:$E2725,$E2725))</f>
        <v/>
      </c>
    </row>
    <row r="2726" spans="1:31" ht="18" customHeight="1" x14ac:dyDescent="0.3">
      <c r="A2726" s="2"/>
      <c r="B2726" s="65" t="str">
        <f t="shared" si="338"/>
        <v/>
      </c>
      <c r="C2726" s="66"/>
      <c r="D2726" s="60"/>
      <c r="E2726" s="61"/>
      <c r="F2726" s="61"/>
      <c r="G2726" s="67"/>
      <c r="H2726" s="60"/>
      <c r="I2726" s="60"/>
      <c r="J2726" s="61"/>
      <c r="K2726" s="61"/>
      <c r="L2726" s="60"/>
      <c r="M2726" s="74" t="str">
        <f t="shared" si="339"/>
        <v/>
      </c>
      <c r="N2726" s="74" t="str">
        <f t="shared" si="340"/>
        <v/>
      </c>
      <c r="O2726" s="73" t="str">
        <f t="shared" si="341"/>
        <v/>
      </c>
      <c r="P2726" s="65" t="str">
        <f t="shared" ca="1" si="342"/>
        <v/>
      </c>
      <c r="Q2726" s="2"/>
      <c r="R2726" s="2"/>
      <c r="S2726" s="1" t="str">
        <f t="shared" si="343"/>
        <v/>
      </c>
      <c r="T2726" s="1" t="str">
        <f>IF(OR($C2726="",$D2726&lt;&gt;"Gelir",$L2726=""),"",IFERROR(INDEX(MUSTERILER!$B$7:$B$156,MATCH($S2726,MUSTERILER!$T$7:$T$156,0)),""))</f>
        <v/>
      </c>
      <c r="U2726" s="1" t="str">
        <f>IF($T2726="","",$T2726&amp;"|"&amp;COUNTIFS($T$7:$T2726,$T2726))</f>
        <v/>
      </c>
      <c r="V2726" s="1">
        <f t="shared" si="344"/>
        <v>0</v>
      </c>
      <c r="W2726" s="1" t="str">
        <f t="shared" si="345"/>
        <v/>
      </c>
      <c r="X2726" s="1"/>
      <c r="Y2726" s="1"/>
      <c r="Z2726" s="1"/>
      <c r="AA2726" s="1"/>
      <c r="AB2726" s="1"/>
      <c r="AC2726" s="1"/>
      <c r="AD2726" s="1">
        <f>IF($C2726="",0,SUMPRODUCT((AY_SONU!$O$7:$O$42="Evet")*(AY_SONU!$B$7:$B$42=DATE(YEAR($C2726),MONTH($C2726),1))))</f>
        <v>0</v>
      </c>
      <c r="AE2726" s="1" t="str">
        <f>IF($E2726="","",$E2726&amp;"|"&amp;COUNTIFS($E$7:$E2726,$E2726))</f>
        <v/>
      </c>
    </row>
    <row r="2727" spans="1:31" ht="18" customHeight="1" x14ac:dyDescent="0.3">
      <c r="A2727" s="2"/>
      <c r="B2727" s="65" t="str">
        <f t="shared" si="338"/>
        <v/>
      </c>
      <c r="C2727" s="66"/>
      <c r="D2727" s="60"/>
      <c r="E2727" s="61"/>
      <c r="F2727" s="61"/>
      <c r="G2727" s="67"/>
      <c r="H2727" s="60"/>
      <c r="I2727" s="60"/>
      <c r="J2727" s="61"/>
      <c r="K2727" s="61"/>
      <c r="L2727" s="60"/>
      <c r="M2727" s="74" t="str">
        <f t="shared" si="339"/>
        <v/>
      </c>
      <c r="N2727" s="74" t="str">
        <f t="shared" si="340"/>
        <v/>
      </c>
      <c r="O2727" s="73" t="str">
        <f t="shared" si="341"/>
        <v/>
      </c>
      <c r="P2727" s="65" t="str">
        <f t="shared" ca="1" si="342"/>
        <v/>
      </c>
      <c r="Q2727" s="2"/>
      <c r="R2727" s="2"/>
      <c r="S2727" s="1" t="str">
        <f t="shared" si="343"/>
        <v/>
      </c>
      <c r="T2727" s="1" t="str">
        <f>IF(OR($C2727="",$D2727&lt;&gt;"Gelir",$L2727=""),"",IFERROR(INDEX(MUSTERILER!$B$7:$B$156,MATCH($S2727,MUSTERILER!$T$7:$T$156,0)),""))</f>
        <v/>
      </c>
      <c r="U2727" s="1" t="str">
        <f>IF($T2727="","",$T2727&amp;"|"&amp;COUNTIFS($T$7:$T2727,$T2727))</f>
        <v/>
      </c>
      <c r="V2727" s="1">
        <f t="shared" si="344"/>
        <v>0</v>
      </c>
      <c r="W2727" s="1" t="str">
        <f t="shared" si="345"/>
        <v/>
      </c>
      <c r="X2727" s="1"/>
      <c r="Y2727" s="1"/>
      <c r="Z2727" s="1"/>
      <c r="AA2727" s="1"/>
      <c r="AB2727" s="1"/>
      <c r="AC2727" s="1"/>
      <c r="AD2727" s="1">
        <f>IF($C2727="",0,SUMPRODUCT((AY_SONU!$O$7:$O$42="Evet")*(AY_SONU!$B$7:$B$42=DATE(YEAR($C2727),MONTH($C2727),1))))</f>
        <v>0</v>
      </c>
      <c r="AE2727" s="1" t="str">
        <f>IF($E2727="","",$E2727&amp;"|"&amp;COUNTIFS($E$7:$E2727,$E2727))</f>
        <v/>
      </c>
    </row>
    <row r="2728" spans="1:31" ht="18" customHeight="1" x14ac:dyDescent="0.3">
      <c r="A2728" s="2"/>
      <c r="B2728" s="65" t="str">
        <f t="shared" si="338"/>
        <v/>
      </c>
      <c r="C2728" s="66"/>
      <c r="D2728" s="60"/>
      <c r="E2728" s="61"/>
      <c r="F2728" s="61"/>
      <c r="G2728" s="67"/>
      <c r="H2728" s="60"/>
      <c r="I2728" s="60"/>
      <c r="J2728" s="61"/>
      <c r="K2728" s="61"/>
      <c r="L2728" s="60"/>
      <c r="M2728" s="74" t="str">
        <f t="shared" si="339"/>
        <v/>
      </c>
      <c r="N2728" s="74" t="str">
        <f t="shared" si="340"/>
        <v/>
      </c>
      <c r="O2728" s="73" t="str">
        <f t="shared" si="341"/>
        <v/>
      </c>
      <c r="P2728" s="65" t="str">
        <f t="shared" ca="1" si="342"/>
        <v/>
      </c>
      <c r="Q2728" s="2"/>
      <c r="R2728" s="2"/>
      <c r="S2728" s="1" t="str">
        <f t="shared" si="343"/>
        <v/>
      </c>
      <c r="T2728" s="1" t="str">
        <f>IF(OR($C2728="",$D2728&lt;&gt;"Gelir",$L2728=""),"",IFERROR(INDEX(MUSTERILER!$B$7:$B$156,MATCH($S2728,MUSTERILER!$T$7:$T$156,0)),""))</f>
        <v/>
      </c>
      <c r="U2728" s="1" t="str">
        <f>IF($T2728="","",$T2728&amp;"|"&amp;COUNTIFS($T$7:$T2728,$T2728))</f>
        <v/>
      </c>
      <c r="V2728" s="1">
        <f t="shared" si="344"/>
        <v>0</v>
      </c>
      <c r="W2728" s="1" t="str">
        <f t="shared" si="345"/>
        <v/>
      </c>
      <c r="X2728" s="1"/>
      <c r="Y2728" s="1"/>
      <c r="Z2728" s="1"/>
      <c r="AA2728" s="1"/>
      <c r="AB2728" s="1"/>
      <c r="AC2728" s="1"/>
      <c r="AD2728" s="1">
        <f>IF($C2728="",0,SUMPRODUCT((AY_SONU!$O$7:$O$42="Evet")*(AY_SONU!$B$7:$B$42=DATE(YEAR($C2728),MONTH($C2728),1))))</f>
        <v>0</v>
      </c>
      <c r="AE2728" s="1" t="str">
        <f>IF($E2728="","",$E2728&amp;"|"&amp;COUNTIFS($E$7:$E2728,$E2728))</f>
        <v/>
      </c>
    </row>
    <row r="2729" spans="1:31" ht="18" customHeight="1" x14ac:dyDescent="0.3">
      <c r="A2729" s="2"/>
      <c r="B2729" s="65" t="str">
        <f t="shared" si="338"/>
        <v/>
      </c>
      <c r="C2729" s="66"/>
      <c r="D2729" s="60"/>
      <c r="E2729" s="61"/>
      <c r="F2729" s="61"/>
      <c r="G2729" s="67"/>
      <c r="H2729" s="60"/>
      <c r="I2729" s="60"/>
      <c r="J2729" s="61"/>
      <c r="K2729" s="61"/>
      <c r="L2729" s="60"/>
      <c r="M2729" s="74" t="str">
        <f t="shared" si="339"/>
        <v/>
      </c>
      <c r="N2729" s="74" t="str">
        <f t="shared" si="340"/>
        <v/>
      </c>
      <c r="O2729" s="73" t="str">
        <f t="shared" si="341"/>
        <v/>
      </c>
      <c r="P2729" s="65" t="str">
        <f t="shared" ca="1" si="342"/>
        <v/>
      </c>
      <c r="Q2729" s="2"/>
      <c r="R2729" s="2"/>
      <c r="S2729" s="1" t="str">
        <f t="shared" si="343"/>
        <v/>
      </c>
      <c r="T2729" s="1" t="str">
        <f>IF(OR($C2729="",$D2729&lt;&gt;"Gelir",$L2729=""),"",IFERROR(INDEX(MUSTERILER!$B$7:$B$156,MATCH($S2729,MUSTERILER!$T$7:$T$156,0)),""))</f>
        <v/>
      </c>
      <c r="U2729" s="1" t="str">
        <f>IF($T2729="","",$T2729&amp;"|"&amp;COUNTIFS($T$7:$T2729,$T2729))</f>
        <v/>
      </c>
      <c r="V2729" s="1">
        <f t="shared" si="344"/>
        <v>0</v>
      </c>
      <c r="W2729" s="1" t="str">
        <f t="shared" si="345"/>
        <v/>
      </c>
      <c r="X2729" s="1"/>
      <c r="Y2729" s="1"/>
      <c r="Z2729" s="1"/>
      <c r="AA2729" s="1"/>
      <c r="AB2729" s="1"/>
      <c r="AC2729" s="1"/>
      <c r="AD2729" s="1">
        <f>IF($C2729="",0,SUMPRODUCT((AY_SONU!$O$7:$O$42="Evet")*(AY_SONU!$B$7:$B$42=DATE(YEAR($C2729),MONTH($C2729),1))))</f>
        <v>0</v>
      </c>
      <c r="AE2729" s="1" t="str">
        <f>IF($E2729="","",$E2729&amp;"|"&amp;COUNTIFS($E$7:$E2729,$E2729))</f>
        <v/>
      </c>
    </row>
    <row r="2730" spans="1:31" ht="18" customHeight="1" x14ac:dyDescent="0.3">
      <c r="A2730" s="2"/>
      <c r="B2730" s="65" t="str">
        <f t="shared" si="338"/>
        <v/>
      </c>
      <c r="C2730" s="66"/>
      <c r="D2730" s="60"/>
      <c r="E2730" s="61"/>
      <c r="F2730" s="61"/>
      <c r="G2730" s="67"/>
      <c r="H2730" s="60"/>
      <c r="I2730" s="60"/>
      <c r="J2730" s="61"/>
      <c r="K2730" s="61"/>
      <c r="L2730" s="60"/>
      <c r="M2730" s="74" t="str">
        <f t="shared" si="339"/>
        <v/>
      </c>
      <c r="N2730" s="74" t="str">
        <f t="shared" si="340"/>
        <v/>
      </c>
      <c r="O2730" s="73" t="str">
        <f t="shared" si="341"/>
        <v/>
      </c>
      <c r="P2730" s="65" t="str">
        <f t="shared" ca="1" si="342"/>
        <v/>
      </c>
      <c r="Q2730" s="2"/>
      <c r="R2730" s="2"/>
      <c r="S2730" s="1" t="str">
        <f t="shared" si="343"/>
        <v/>
      </c>
      <c r="T2730" s="1" t="str">
        <f>IF(OR($C2730="",$D2730&lt;&gt;"Gelir",$L2730=""),"",IFERROR(INDEX(MUSTERILER!$B$7:$B$156,MATCH($S2730,MUSTERILER!$T$7:$T$156,0)),""))</f>
        <v/>
      </c>
      <c r="U2730" s="1" t="str">
        <f>IF($T2730="","",$T2730&amp;"|"&amp;COUNTIFS($T$7:$T2730,$T2730))</f>
        <v/>
      </c>
      <c r="V2730" s="1">
        <f t="shared" si="344"/>
        <v>0</v>
      </c>
      <c r="W2730" s="1" t="str">
        <f t="shared" si="345"/>
        <v/>
      </c>
      <c r="X2730" s="1"/>
      <c r="Y2730" s="1"/>
      <c r="Z2730" s="1"/>
      <c r="AA2730" s="1"/>
      <c r="AB2730" s="1"/>
      <c r="AC2730" s="1"/>
      <c r="AD2730" s="1">
        <f>IF($C2730="",0,SUMPRODUCT((AY_SONU!$O$7:$O$42="Evet")*(AY_SONU!$B$7:$B$42=DATE(YEAR($C2730),MONTH($C2730),1))))</f>
        <v>0</v>
      </c>
      <c r="AE2730" s="1" t="str">
        <f>IF($E2730="","",$E2730&amp;"|"&amp;COUNTIFS($E$7:$E2730,$E2730))</f>
        <v/>
      </c>
    </row>
    <row r="2731" spans="1:31" ht="18" customHeight="1" x14ac:dyDescent="0.3">
      <c r="A2731" s="2"/>
      <c r="B2731" s="65" t="str">
        <f t="shared" si="338"/>
        <v/>
      </c>
      <c r="C2731" s="66"/>
      <c r="D2731" s="60"/>
      <c r="E2731" s="61"/>
      <c r="F2731" s="61"/>
      <c r="G2731" s="67"/>
      <c r="H2731" s="60"/>
      <c r="I2731" s="60"/>
      <c r="J2731" s="61"/>
      <c r="K2731" s="61"/>
      <c r="L2731" s="60"/>
      <c r="M2731" s="74" t="str">
        <f t="shared" si="339"/>
        <v/>
      </c>
      <c r="N2731" s="74" t="str">
        <f t="shared" si="340"/>
        <v/>
      </c>
      <c r="O2731" s="73" t="str">
        <f t="shared" si="341"/>
        <v/>
      </c>
      <c r="P2731" s="65" t="str">
        <f t="shared" ca="1" si="342"/>
        <v/>
      </c>
      <c r="Q2731" s="2"/>
      <c r="R2731" s="2"/>
      <c r="S2731" s="1" t="str">
        <f t="shared" si="343"/>
        <v/>
      </c>
      <c r="T2731" s="1" t="str">
        <f>IF(OR($C2731="",$D2731&lt;&gt;"Gelir",$L2731=""),"",IFERROR(INDEX(MUSTERILER!$B$7:$B$156,MATCH($S2731,MUSTERILER!$T$7:$T$156,0)),""))</f>
        <v/>
      </c>
      <c r="U2731" s="1" t="str">
        <f>IF($T2731="","",$T2731&amp;"|"&amp;COUNTIFS($T$7:$T2731,$T2731))</f>
        <v/>
      </c>
      <c r="V2731" s="1">
        <f t="shared" si="344"/>
        <v>0</v>
      </c>
      <c r="W2731" s="1" t="str">
        <f t="shared" si="345"/>
        <v/>
      </c>
      <c r="X2731" s="1"/>
      <c r="Y2731" s="1"/>
      <c r="Z2731" s="1"/>
      <c r="AA2731" s="1"/>
      <c r="AB2731" s="1"/>
      <c r="AC2731" s="1"/>
      <c r="AD2731" s="1">
        <f>IF($C2731="",0,SUMPRODUCT((AY_SONU!$O$7:$O$42="Evet")*(AY_SONU!$B$7:$B$42=DATE(YEAR($C2731),MONTH($C2731),1))))</f>
        <v>0</v>
      </c>
      <c r="AE2731" s="1" t="str">
        <f>IF($E2731="","",$E2731&amp;"|"&amp;COUNTIFS($E$7:$E2731,$E2731))</f>
        <v/>
      </c>
    </row>
    <row r="2732" spans="1:31" ht="18" customHeight="1" x14ac:dyDescent="0.3">
      <c r="A2732" s="2"/>
      <c r="B2732" s="65" t="str">
        <f t="shared" si="338"/>
        <v/>
      </c>
      <c r="C2732" s="66"/>
      <c r="D2732" s="60"/>
      <c r="E2732" s="61"/>
      <c r="F2732" s="61"/>
      <c r="G2732" s="67"/>
      <c r="H2732" s="60"/>
      <c r="I2732" s="60"/>
      <c r="J2732" s="61"/>
      <c r="K2732" s="61"/>
      <c r="L2732" s="60"/>
      <c r="M2732" s="74" t="str">
        <f t="shared" si="339"/>
        <v/>
      </c>
      <c r="N2732" s="74" t="str">
        <f t="shared" si="340"/>
        <v/>
      </c>
      <c r="O2732" s="73" t="str">
        <f t="shared" si="341"/>
        <v/>
      </c>
      <c r="P2732" s="65" t="str">
        <f t="shared" ca="1" si="342"/>
        <v/>
      </c>
      <c r="Q2732" s="2"/>
      <c r="R2732" s="2"/>
      <c r="S2732" s="1" t="str">
        <f t="shared" si="343"/>
        <v/>
      </c>
      <c r="T2732" s="1" t="str">
        <f>IF(OR($C2732="",$D2732&lt;&gt;"Gelir",$L2732=""),"",IFERROR(INDEX(MUSTERILER!$B$7:$B$156,MATCH($S2732,MUSTERILER!$T$7:$T$156,0)),""))</f>
        <v/>
      </c>
      <c r="U2732" s="1" t="str">
        <f>IF($T2732="","",$T2732&amp;"|"&amp;COUNTIFS($T$7:$T2732,$T2732))</f>
        <v/>
      </c>
      <c r="V2732" s="1">
        <f t="shared" si="344"/>
        <v>0</v>
      </c>
      <c r="W2732" s="1" t="str">
        <f t="shared" si="345"/>
        <v/>
      </c>
      <c r="X2732" s="1"/>
      <c r="Y2732" s="1"/>
      <c r="Z2732" s="1"/>
      <c r="AA2732" s="1"/>
      <c r="AB2732" s="1"/>
      <c r="AC2732" s="1"/>
      <c r="AD2732" s="1">
        <f>IF($C2732="",0,SUMPRODUCT((AY_SONU!$O$7:$O$42="Evet")*(AY_SONU!$B$7:$B$42=DATE(YEAR($C2732),MONTH($C2732),1))))</f>
        <v>0</v>
      </c>
      <c r="AE2732" s="1" t="str">
        <f>IF($E2732="","",$E2732&amp;"|"&amp;COUNTIFS($E$7:$E2732,$E2732))</f>
        <v/>
      </c>
    </row>
    <row r="2733" spans="1:31" ht="18" customHeight="1" x14ac:dyDescent="0.3">
      <c r="A2733" s="2"/>
      <c r="B2733" s="65" t="str">
        <f t="shared" si="338"/>
        <v/>
      </c>
      <c r="C2733" s="66"/>
      <c r="D2733" s="60"/>
      <c r="E2733" s="61"/>
      <c r="F2733" s="61"/>
      <c r="G2733" s="67"/>
      <c r="H2733" s="60"/>
      <c r="I2733" s="60"/>
      <c r="J2733" s="61"/>
      <c r="K2733" s="61"/>
      <c r="L2733" s="60"/>
      <c r="M2733" s="74" t="str">
        <f t="shared" si="339"/>
        <v/>
      </c>
      <c r="N2733" s="74" t="str">
        <f t="shared" si="340"/>
        <v/>
      </c>
      <c r="O2733" s="73" t="str">
        <f t="shared" si="341"/>
        <v/>
      </c>
      <c r="P2733" s="65" t="str">
        <f t="shared" ca="1" si="342"/>
        <v/>
      </c>
      <c r="Q2733" s="2"/>
      <c r="R2733" s="2"/>
      <c r="S2733" s="1" t="str">
        <f t="shared" si="343"/>
        <v/>
      </c>
      <c r="T2733" s="1" t="str">
        <f>IF(OR($C2733="",$D2733&lt;&gt;"Gelir",$L2733=""),"",IFERROR(INDEX(MUSTERILER!$B$7:$B$156,MATCH($S2733,MUSTERILER!$T$7:$T$156,0)),""))</f>
        <v/>
      </c>
      <c r="U2733" s="1" t="str">
        <f>IF($T2733="","",$T2733&amp;"|"&amp;COUNTIFS($T$7:$T2733,$T2733))</f>
        <v/>
      </c>
      <c r="V2733" s="1">
        <f t="shared" si="344"/>
        <v>0</v>
      </c>
      <c r="W2733" s="1" t="str">
        <f t="shared" si="345"/>
        <v/>
      </c>
      <c r="X2733" s="1"/>
      <c r="Y2733" s="1"/>
      <c r="Z2733" s="1"/>
      <c r="AA2733" s="1"/>
      <c r="AB2733" s="1"/>
      <c r="AC2733" s="1"/>
      <c r="AD2733" s="1">
        <f>IF($C2733="",0,SUMPRODUCT((AY_SONU!$O$7:$O$42="Evet")*(AY_SONU!$B$7:$B$42=DATE(YEAR($C2733),MONTH($C2733),1))))</f>
        <v>0</v>
      </c>
      <c r="AE2733" s="1" t="str">
        <f>IF($E2733="","",$E2733&amp;"|"&amp;COUNTIFS($E$7:$E2733,$E2733))</f>
        <v/>
      </c>
    </row>
    <row r="2734" spans="1:31" ht="18" customHeight="1" x14ac:dyDescent="0.3">
      <c r="A2734" s="2"/>
      <c r="B2734" s="65" t="str">
        <f t="shared" si="338"/>
        <v/>
      </c>
      <c r="C2734" s="66"/>
      <c r="D2734" s="60"/>
      <c r="E2734" s="61"/>
      <c r="F2734" s="61"/>
      <c r="G2734" s="67"/>
      <c r="H2734" s="60"/>
      <c r="I2734" s="60"/>
      <c r="J2734" s="61"/>
      <c r="K2734" s="61"/>
      <c r="L2734" s="60"/>
      <c r="M2734" s="74" t="str">
        <f t="shared" si="339"/>
        <v/>
      </c>
      <c r="N2734" s="74" t="str">
        <f t="shared" si="340"/>
        <v/>
      </c>
      <c r="O2734" s="73" t="str">
        <f t="shared" si="341"/>
        <v/>
      </c>
      <c r="P2734" s="65" t="str">
        <f t="shared" ca="1" si="342"/>
        <v/>
      </c>
      <c r="Q2734" s="2"/>
      <c r="R2734" s="2"/>
      <c r="S2734" s="1" t="str">
        <f t="shared" si="343"/>
        <v/>
      </c>
      <c r="T2734" s="1" t="str">
        <f>IF(OR($C2734="",$D2734&lt;&gt;"Gelir",$L2734=""),"",IFERROR(INDEX(MUSTERILER!$B$7:$B$156,MATCH($S2734,MUSTERILER!$T$7:$T$156,0)),""))</f>
        <v/>
      </c>
      <c r="U2734" s="1" t="str">
        <f>IF($T2734="","",$T2734&amp;"|"&amp;COUNTIFS($T$7:$T2734,$T2734))</f>
        <v/>
      </c>
      <c r="V2734" s="1">
        <f t="shared" si="344"/>
        <v>0</v>
      </c>
      <c r="W2734" s="1" t="str">
        <f t="shared" si="345"/>
        <v/>
      </c>
      <c r="X2734" s="1"/>
      <c r="Y2734" s="1"/>
      <c r="Z2734" s="1"/>
      <c r="AA2734" s="1"/>
      <c r="AB2734" s="1"/>
      <c r="AC2734" s="1"/>
      <c r="AD2734" s="1">
        <f>IF($C2734="",0,SUMPRODUCT((AY_SONU!$O$7:$O$42="Evet")*(AY_SONU!$B$7:$B$42=DATE(YEAR($C2734),MONTH($C2734),1))))</f>
        <v>0</v>
      </c>
      <c r="AE2734" s="1" t="str">
        <f>IF($E2734="","",$E2734&amp;"|"&amp;COUNTIFS($E$7:$E2734,$E2734))</f>
        <v/>
      </c>
    </row>
    <row r="2735" spans="1:31" ht="18" customHeight="1" x14ac:dyDescent="0.3">
      <c r="A2735" s="2"/>
      <c r="B2735" s="65" t="str">
        <f t="shared" si="338"/>
        <v/>
      </c>
      <c r="C2735" s="66"/>
      <c r="D2735" s="60"/>
      <c r="E2735" s="61"/>
      <c r="F2735" s="61"/>
      <c r="G2735" s="67"/>
      <c r="H2735" s="60"/>
      <c r="I2735" s="60"/>
      <c r="J2735" s="61"/>
      <c r="K2735" s="61"/>
      <c r="L2735" s="60"/>
      <c r="M2735" s="74" t="str">
        <f t="shared" si="339"/>
        <v/>
      </c>
      <c r="N2735" s="74" t="str">
        <f t="shared" si="340"/>
        <v/>
      </c>
      <c r="O2735" s="73" t="str">
        <f t="shared" si="341"/>
        <v/>
      </c>
      <c r="P2735" s="65" t="str">
        <f t="shared" ca="1" si="342"/>
        <v/>
      </c>
      <c r="Q2735" s="2"/>
      <c r="R2735" s="2"/>
      <c r="S2735" s="1" t="str">
        <f t="shared" si="343"/>
        <v/>
      </c>
      <c r="T2735" s="1" t="str">
        <f>IF(OR($C2735="",$D2735&lt;&gt;"Gelir",$L2735=""),"",IFERROR(INDEX(MUSTERILER!$B$7:$B$156,MATCH($S2735,MUSTERILER!$T$7:$T$156,0)),""))</f>
        <v/>
      </c>
      <c r="U2735" s="1" t="str">
        <f>IF($T2735="","",$T2735&amp;"|"&amp;COUNTIFS($T$7:$T2735,$T2735))</f>
        <v/>
      </c>
      <c r="V2735" s="1">
        <f t="shared" si="344"/>
        <v>0</v>
      </c>
      <c r="W2735" s="1" t="str">
        <f t="shared" si="345"/>
        <v/>
      </c>
      <c r="X2735" s="1"/>
      <c r="Y2735" s="1"/>
      <c r="Z2735" s="1"/>
      <c r="AA2735" s="1"/>
      <c r="AB2735" s="1"/>
      <c r="AC2735" s="1"/>
      <c r="AD2735" s="1">
        <f>IF($C2735="",0,SUMPRODUCT((AY_SONU!$O$7:$O$42="Evet")*(AY_SONU!$B$7:$B$42=DATE(YEAR($C2735),MONTH($C2735),1))))</f>
        <v>0</v>
      </c>
      <c r="AE2735" s="1" t="str">
        <f>IF($E2735="","",$E2735&amp;"|"&amp;COUNTIFS($E$7:$E2735,$E2735))</f>
        <v/>
      </c>
    </row>
    <row r="2736" spans="1:31" ht="18" customHeight="1" x14ac:dyDescent="0.3">
      <c r="A2736" s="2"/>
      <c r="B2736" s="65" t="str">
        <f t="shared" si="338"/>
        <v/>
      </c>
      <c r="C2736" s="66"/>
      <c r="D2736" s="60"/>
      <c r="E2736" s="61"/>
      <c r="F2736" s="61"/>
      <c r="G2736" s="67"/>
      <c r="H2736" s="60"/>
      <c r="I2736" s="60"/>
      <c r="J2736" s="61"/>
      <c r="K2736" s="61"/>
      <c r="L2736" s="60"/>
      <c r="M2736" s="74" t="str">
        <f t="shared" si="339"/>
        <v/>
      </c>
      <c r="N2736" s="74" t="str">
        <f t="shared" si="340"/>
        <v/>
      </c>
      <c r="O2736" s="73" t="str">
        <f t="shared" si="341"/>
        <v/>
      </c>
      <c r="P2736" s="65" t="str">
        <f t="shared" ca="1" si="342"/>
        <v/>
      </c>
      <c r="Q2736" s="2"/>
      <c r="R2736" s="2"/>
      <c r="S2736" s="1" t="str">
        <f t="shared" si="343"/>
        <v/>
      </c>
      <c r="T2736" s="1" t="str">
        <f>IF(OR($C2736="",$D2736&lt;&gt;"Gelir",$L2736=""),"",IFERROR(INDEX(MUSTERILER!$B$7:$B$156,MATCH($S2736,MUSTERILER!$T$7:$T$156,0)),""))</f>
        <v/>
      </c>
      <c r="U2736" s="1" t="str">
        <f>IF($T2736="","",$T2736&amp;"|"&amp;COUNTIFS($T$7:$T2736,$T2736))</f>
        <v/>
      </c>
      <c r="V2736" s="1">
        <f t="shared" si="344"/>
        <v>0</v>
      </c>
      <c r="W2736" s="1" t="str">
        <f t="shared" si="345"/>
        <v/>
      </c>
      <c r="X2736" s="1"/>
      <c r="Y2736" s="1"/>
      <c r="Z2736" s="1"/>
      <c r="AA2736" s="1"/>
      <c r="AB2736" s="1"/>
      <c r="AC2736" s="1"/>
      <c r="AD2736" s="1">
        <f>IF($C2736="",0,SUMPRODUCT((AY_SONU!$O$7:$O$42="Evet")*(AY_SONU!$B$7:$B$42=DATE(YEAR($C2736),MONTH($C2736),1))))</f>
        <v>0</v>
      </c>
      <c r="AE2736" s="1" t="str">
        <f>IF($E2736="","",$E2736&amp;"|"&amp;COUNTIFS($E$7:$E2736,$E2736))</f>
        <v/>
      </c>
    </row>
    <row r="2737" spans="1:31" ht="18" customHeight="1" x14ac:dyDescent="0.3">
      <c r="A2737" s="2"/>
      <c r="B2737" s="65" t="str">
        <f t="shared" si="338"/>
        <v/>
      </c>
      <c r="C2737" s="66"/>
      <c r="D2737" s="60"/>
      <c r="E2737" s="61"/>
      <c r="F2737" s="61"/>
      <c r="G2737" s="67"/>
      <c r="H2737" s="60"/>
      <c r="I2737" s="60"/>
      <c r="J2737" s="61"/>
      <c r="K2737" s="61"/>
      <c r="L2737" s="60"/>
      <c r="M2737" s="74" t="str">
        <f t="shared" si="339"/>
        <v/>
      </c>
      <c r="N2737" s="74" t="str">
        <f t="shared" si="340"/>
        <v/>
      </c>
      <c r="O2737" s="73" t="str">
        <f t="shared" si="341"/>
        <v/>
      </c>
      <c r="P2737" s="65" t="str">
        <f t="shared" ca="1" si="342"/>
        <v/>
      </c>
      <c r="Q2737" s="2"/>
      <c r="R2737" s="2"/>
      <c r="S2737" s="1" t="str">
        <f t="shared" si="343"/>
        <v/>
      </c>
      <c r="T2737" s="1" t="str">
        <f>IF(OR($C2737="",$D2737&lt;&gt;"Gelir",$L2737=""),"",IFERROR(INDEX(MUSTERILER!$B$7:$B$156,MATCH($S2737,MUSTERILER!$T$7:$T$156,0)),""))</f>
        <v/>
      </c>
      <c r="U2737" s="1" t="str">
        <f>IF($T2737="","",$T2737&amp;"|"&amp;COUNTIFS($T$7:$T2737,$T2737))</f>
        <v/>
      </c>
      <c r="V2737" s="1">
        <f t="shared" si="344"/>
        <v>0</v>
      </c>
      <c r="W2737" s="1" t="str">
        <f t="shared" si="345"/>
        <v/>
      </c>
      <c r="X2737" s="1"/>
      <c r="Y2737" s="1"/>
      <c r="Z2737" s="1"/>
      <c r="AA2737" s="1"/>
      <c r="AB2737" s="1"/>
      <c r="AC2737" s="1"/>
      <c r="AD2737" s="1">
        <f>IF($C2737="",0,SUMPRODUCT((AY_SONU!$O$7:$O$42="Evet")*(AY_SONU!$B$7:$B$42=DATE(YEAR($C2737),MONTH($C2737),1))))</f>
        <v>0</v>
      </c>
      <c r="AE2737" s="1" t="str">
        <f>IF($E2737="","",$E2737&amp;"|"&amp;COUNTIFS($E$7:$E2737,$E2737))</f>
        <v/>
      </c>
    </row>
    <row r="2738" spans="1:31" ht="18" customHeight="1" x14ac:dyDescent="0.3">
      <c r="A2738" s="2"/>
      <c r="B2738" s="65" t="str">
        <f t="shared" si="338"/>
        <v/>
      </c>
      <c r="C2738" s="66"/>
      <c r="D2738" s="60"/>
      <c r="E2738" s="61"/>
      <c r="F2738" s="61"/>
      <c r="G2738" s="67"/>
      <c r="H2738" s="60"/>
      <c r="I2738" s="60"/>
      <c r="J2738" s="61"/>
      <c r="K2738" s="61"/>
      <c r="L2738" s="60"/>
      <c r="M2738" s="74" t="str">
        <f t="shared" si="339"/>
        <v/>
      </c>
      <c r="N2738" s="74" t="str">
        <f t="shared" si="340"/>
        <v/>
      </c>
      <c r="O2738" s="73" t="str">
        <f t="shared" si="341"/>
        <v/>
      </c>
      <c r="P2738" s="65" t="str">
        <f t="shared" ca="1" si="342"/>
        <v/>
      </c>
      <c r="Q2738" s="2"/>
      <c r="R2738" s="2"/>
      <c r="S2738" s="1" t="str">
        <f t="shared" si="343"/>
        <v/>
      </c>
      <c r="T2738" s="1" t="str">
        <f>IF(OR($C2738="",$D2738&lt;&gt;"Gelir",$L2738=""),"",IFERROR(INDEX(MUSTERILER!$B$7:$B$156,MATCH($S2738,MUSTERILER!$T$7:$T$156,0)),""))</f>
        <v/>
      </c>
      <c r="U2738" s="1" t="str">
        <f>IF($T2738="","",$T2738&amp;"|"&amp;COUNTIFS($T$7:$T2738,$T2738))</f>
        <v/>
      </c>
      <c r="V2738" s="1">
        <f t="shared" si="344"/>
        <v>0</v>
      </c>
      <c r="W2738" s="1" t="str">
        <f t="shared" si="345"/>
        <v/>
      </c>
      <c r="X2738" s="1"/>
      <c r="Y2738" s="1"/>
      <c r="Z2738" s="1"/>
      <c r="AA2738" s="1"/>
      <c r="AB2738" s="1"/>
      <c r="AC2738" s="1"/>
      <c r="AD2738" s="1">
        <f>IF($C2738="",0,SUMPRODUCT((AY_SONU!$O$7:$O$42="Evet")*(AY_SONU!$B$7:$B$42=DATE(YEAR($C2738),MONTH($C2738),1))))</f>
        <v>0</v>
      </c>
      <c r="AE2738" s="1" t="str">
        <f>IF($E2738="","",$E2738&amp;"|"&amp;COUNTIFS($E$7:$E2738,$E2738))</f>
        <v/>
      </c>
    </row>
    <row r="2739" spans="1:31" ht="18" customHeight="1" x14ac:dyDescent="0.3">
      <c r="A2739" s="2"/>
      <c r="B2739" s="65" t="str">
        <f t="shared" si="338"/>
        <v/>
      </c>
      <c r="C2739" s="66"/>
      <c r="D2739" s="60"/>
      <c r="E2739" s="61"/>
      <c r="F2739" s="61"/>
      <c r="G2739" s="67"/>
      <c r="H2739" s="60"/>
      <c r="I2739" s="60"/>
      <c r="J2739" s="61"/>
      <c r="K2739" s="61"/>
      <c r="L2739" s="60"/>
      <c r="M2739" s="74" t="str">
        <f t="shared" si="339"/>
        <v/>
      </c>
      <c r="N2739" s="74" t="str">
        <f t="shared" si="340"/>
        <v/>
      </c>
      <c r="O2739" s="73" t="str">
        <f t="shared" si="341"/>
        <v/>
      </c>
      <c r="P2739" s="65" t="str">
        <f t="shared" ca="1" si="342"/>
        <v/>
      </c>
      <c r="Q2739" s="2"/>
      <c r="R2739" s="2"/>
      <c r="S2739" s="1" t="str">
        <f t="shared" si="343"/>
        <v/>
      </c>
      <c r="T2739" s="1" t="str">
        <f>IF(OR($C2739="",$D2739&lt;&gt;"Gelir",$L2739=""),"",IFERROR(INDEX(MUSTERILER!$B$7:$B$156,MATCH($S2739,MUSTERILER!$T$7:$T$156,0)),""))</f>
        <v/>
      </c>
      <c r="U2739" s="1" t="str">
        <f>IF($T2739="","",$T2739&amp;"|"&amp;COUNTIFS($T$7:$T2739,$T2739))</f>
        <v/>
      </c>
      <c r="V2739" s="1">
        <f t="shared" si="344"/>
        <v>0</v>
      </c>
      <c r="W2739" s="1" t="str">
        <f t="shared" si="345"/>
        <v/>
      </c>
      <c r="X2739" s="1"/>
      <c r="Y2739" s="1"/>
      <c r="Z2739" s="1"/>
      <c r="AA2739" s="1"/>
      <c r="AB2739" s="1"/>
      <c r="AC2739" s="1"/>
      <c r="AD2739" s="1">
        <f>IF($C2739="",0,SUMPRODUCT((AY_SONU!$O$7:$O$42="Evet")*(AY_SONU!$B$7:$B$42=DATE(YEAR($C2739),MONTH($C2739),1))))</f>
        <v>0</v>
      </c>
      <c r="AE2739" s="1" t="str">
        <f>IF($E2739="","",$E2739&amp;"|"&amp;COUNTIFS($E$7:$E2739,$E2739))</f>
        <v/>
      </c>
    </row>
    <row r="2740" spans="1:31" ht="18" customHeight="1" x14ac:dyDescent="0.3">
      <c r="A2740" s="2"/>
      <c r="B2740" s="65" t="str">
        <f t="shared" si="338"/>
        <v/>
      </c>
      <c r="C2740" s="66"/>
      <c r="D2740" s="60"/>
      <c r="E2740" s="61"/>
      <c r="F2740" s="61"/>
      <c r="G2740" s="67"/>
      <c r="H2740" s="60"/>
      <c r="I2740" s="60"/>
      <c r="J2740" s="61"/>
      <c r="K2740" s="61"/>
      <c r="L2740" s="60"/>
      <c r="M2740" s="74" t="str">
        <f t="shared" si="339"/>
        <v/>
      </c>
      <c r="N2740" s="74" t="str">
        <f t="shared" si="340"/>
        <v/>
      </c>
      <c r="O2740" s="73" t="str">
        <f t="shared" si="341"/>
        <v/>
      </c>
      <c r="P2740" s="65" t="str">
        <f t="shared" ca="1" si="342"/>
        <v/>
      </c>
      <c r="Q2740" s="2"/>
      <c r="R2740" s="2"/>
      <c r="S2740" s="1" t="str">
        <f t="shared" si="343"/>
        <v/>
      </c>
      <c r="T2740" s="1" t="str">
        <f>IF(OR($C2740="",$D2740&lt;&gt;"Gelir",$L2740=""),"",IFERROR(INDEX(MUSTERILER!$B$7:$B$156,MATCH($S2740,MUSTERILER!$T$7:$T$156,0)),""))</f>
        <v/>
      </c>
      <c r="U2740" s="1" t="str">
        <f>IF($T2740="","",$T2740&amp;"|"&amp;COUNTIFS($T$7:$T2740,$T2740))</f>
        <v/>
      </c>
      <c r="V2740" s="1">
        <f t="shared" si="344"/>
        <v>0</v>
      </c>
      <c r="W2740" s="1" t="str">
        <f t="shared" si="345"/>
        <v/>
      </c>
      <c r="X2740" s="1"/>
      <c r="Y2740" s="1"/>
      <c r="Z2740" s="1"/>
      <c r="AA2740" s="1"/>
      <c r="AB2740" s="1"/>
      <c r="AC2740" s="1"/>
      <c r="AD2740" s="1">
        <f>IF($C2740="",0,SUMPRODUCT((AY_SONU!$O$7:$O$42="Evet")*(AY_SONU!$B$7:$B$42=DATE(YEAR($C2740),MONTH($C2740),1))))</f>
        <v>0</v>
      </c>
      <c r="AE2740" s="1" t="str">
        <f>IF($E2740="","",$E2740&amp;"|"&amp;COUNTIFS($E$7:$E2740,$E2740))</f>
        <v/>
      </c>
    </row>
    <row r="2741" spans="1:31" ht="18" customHeight="1" x14ac:dyDescent="0.3">
      <c r="A2741" s="2"/>
      <c r="B2741" s="65" t="str">
        <f t="shared" si="338"/>
        <v/>
      </c>
      <c r="C2741" s="66"/>
      <c r="D2741" s="60"/>
      <c r="E2741" s="61"/>
      <c r="F2741" s="61"/>
      <c r="G2741" s="67"/>
      <c r="H2741" s="60"/>
      <c r="I2741" s="60"/>
      <c r="J2741" s="61"/>
      <c r="K2741" s="61"/>
      <c r="L2741" s="60"/>
      <c r="M2741" s="74" t="str">
        <f t="shared" si="339"/>
        <v/>
      </c>
      <c r="N2741" s="74" t="str">
        <f t="shared" si="340"/>
        <v/>
      </c>
      <c r="O2741" s="73" t="str">
        <f t="shared" si="341"/>
        <v/>
      </c>
      <c r="P2741" s="65" t="str">
        <f t="shared" ca="1" si="342"/>
        <v/>
      </c>
      <c r="Q2741" s="2"/>
      <c r="R2741" s="2"/>
      <c r="S2741" s="1" t="str">
        <f t="shared" si="343"/>
        <v/>
      </c>
      <c r="T2741" s="1" t="str">
        <f>IF(OR($C2741="",$D2741&lt;&gt;"Gelir",$L2741=""),"",IFERROR(INDEX(MUSTERILER!$B$7:$B$156,MATCH($S2741,MUSTERILER!$T$7:$T$156,0)),""))</f>
        <v/>
      </c>
      <c r="U2741" s="1" t="str">
        <f>IF($T2741="","",$T2741&amp;"|"&amp;COUNTIFS($T$7:$T2741,$T2741))</f>
        <v/>
      </c>
      <c r="V2741" s="1">
        <f t="shared" si="344"/>
        <v>0</v>
      </c>
      <c r="W2741" s="1" t="str">
        <f t="shared" si="345"/>
        <v/>
      </c>
      <c r="X2741" s="1"/>
      <c r="Y2741" s="1"/>
      <c r="Z2741" s="1"/>
      <c r="AA2741" s="1"/>
      <c r="AB2741" s="1"/>
      <c r="AC2741" s="1"/>
      <c r="AD2741" s="1">
        <f>IF($C2741="",0,SUMPRODUCT((AY_SONU!$O$7:$O$42="Evet")*(AY_SONU!$B$7:$B$42=DATE(YEAR($C2741),MONTH($C2741),1))))</f>
        <v>0</v>
      </c>
      <c r="AE2741" s="1" t="str">
        <f>IF($E2741="","",$E2741&amp;"|"&amp;COUNTIFS($E$7:$E2741,$E2741))</f>
        <v/>
      </c>
    </row>
    <row r="2742" spans="1:31" ht="18" customHeight="1" x14ac:dyDescent="0.3">
      <c r="A2742" s="2"/>
      <c r="B2742" s="65" t="str">
        <f t="shared" si="338"/>
        <v/>
      </c>
      <c r="C2742" s="66"/>
      <c r="D2742" s="60"/>
      <c r="E2742" s="61"/>
      <c r="F2742" s="61"/>
      <c r="G2742" s="67"/>
      <c r="H2742" s="60"/>
      <c r="I2742" s="60"/>
      <c r="J2742" s="61"/>
      <c r="K2742" s="61"/>
      <c r="L2742" s="60"/>
      <c r="M2742" s="74" t="str">
        <f t="shared" si="339"/>
        <v/>
      </c>
      <c r="N2742" s="74" t="str">
        <f t="shared" si="340"/>
        <v/>
      </c>
      <c r="O2742" s="73" t="str">
        <f t="shared" si="341"/>
        <v/>
      </c>
      <c r="P2742" s="65" t="str">
        <f t="shared" ca="1" si="342"/>
        <v/>
      </c>
      <c r="Q2742" s="2"/>
      <c r="R2742" s="2"/>
      <c r="S2742" s="1" t="str">
        <f t="shared" si="343"/>
        <v/>
      </c>
      <c r="T2742" s="1" t="str">
        <f>IF(OR($C2742="",$D2742&lt;&gt;"Gelir",$L2742=""),"",IFERROR(INDEX(MUSTERILER!$B$7:$B$156,MATCH($S2742,MUSTERILER!$T$7:$T$156,0)),""))</f>
        <v/>
      </c>
      <c r="U2742" s="1" t="str">
        <f>IF($T2742="","",$T2742&amp;"|"&amp;COUNTIFS($T$7:$T2742,$T2742))</f>
        <v/>
      </c>
      <c r="V2742" s="1">
        <f t="shared" si="344"/>
        <v>0</v>
      </c>
      <c r="W2742" s="1" t="str">
        <f t="shared" si="345"/>
        <v/>
      </c>
      <c r="X2742" s="1"/>
      <c r="Y2742" s="1"/>
      <c r="Z2742" s="1"/>
      <c r="AA2742" s="1"/>
      <c r="AB2742" s="1"/>
      <c r="AC2742" s="1"/>
      <c r="AD2742" s="1">
        <f>IF($C2742="",0,SUMPRODUCT((AY_SONU!$O$7:$O$42="Evet")*(AY_SONU!$B$7:$B$42=DATE(YEAR($C2742),MONTH($C2742),1))))</f>
        <v>0</v>
      </c>
      <c r="AE2742" s="1" t="str">
        <f>IF($E2742="","",$E2742&amp;"|"&amp;COUNTIFS($E$7:$E2742,$E2742))</f>
        <v/>
      </c>
    </row>
    <row r="2743" spans="1:31" ht="18" customHeight="1" x14ac:dyDescent="0.3">
      <c r="A2743" s="2"/>
      <c r="B2743" s="65" t="str">
        <f t="shared" si="338"/>
        <v/>
      </c>
      <c r="C2743" s="66"/>
      <c r="D2743" s="60"/>
      <c r="E2743" s="61"/>
      <c r="F2743" s="61"/>
      <c r="G2743" s="67"/>
      <c r="H2743" s="60"/>
      <c r="I2743" s="60"/>
      <c r="J2743" s="61"/>
      <c r="K2743" s="61"/>
      <c r="L2743" s="60"/>
      <c r="M2743" s="74" t="str">
        <f t="shared" si="339"/>
        <v/>
      </c>
      <c r="N2743" s="74" t="str">
        <f t="shared" si="340"/>
        <v/>
      </c>
      <c r="O2743" s="73" t="str">
        <f t="shared" si="341"/>
        <v/>
      </c>
      <c r="P2743" s="65" t="str">
        <f t="shared" ca="1" si="342"/>
        <v/>
      </c>
      <c r="Q2743" s="2"/>
      <c r="R2743" s="2"/>
      <c r="S2743" s="1" t="str">
        <f t="shared" si="343"/>
        <v/>
      </c>
      <c r="T2743" s="1" t="str">
        <f>IF(OR($C2743="",$D2743&lt;&gt;"Gelir",$L2743=""),"",IFERROR(INDEX(MUSTERILER!$B$7:$B$156,MATCH($S2743,MUSTERILER!$T$7:$T$156,0)),""))</f>
        <v/>
      </c>
      <c r="U2743" s="1" t="str">
        <f>IF($T2743="","",$T2743&amp;"|"&amp;COUNTIFS($T$7:$T2743,$T2743))</f>
        <v/>
      </c>
      <c r="V2743" s="1">
        <f t="shared" si="344"/>
        <v>0</v>
      </c>
      <c r="W2743" s="1" t="str">
        <f t="shared" si="345"/>
        <v/>
      </c>
      <c r="X2743" s="1"/>
      <c r="Y2743" s="1"/>
      <c r="Z2743" s="1"/>
      <c r="AA2743" s="1"/>
      <c r="AB2743" s="1"/>
      <c r="AC2743" s="1"/>
      <c r="AD2743" s="1">
        <f>IF($C2743="",0,SUMPRODUCT((AY_SONU!$O$7:$O$42="Evet")*(AY_SONU!$B$7:$B$42=DATE(YEAR($C2743),MONTH($C2743),1))))</f>
        <v>0</v>
      </c>
      <c r="AE2743" s="1" t="str">
        <f>IF($E2743="","",$E2743&amp;"|"&amp;COUNTIFS($E$7:$E2743,$E2743))</f>
        <v/>
      </c>
    </row>
    <row r="2744" spans="1:31" ht="18" customHeight="1" x14ac:dyDescent="0.3">
      <c r="A2744" s="2"/>
      <c r="B2744" s="65" t="str">
        <f t="shared" si="338"/>
        <v/>
      </c>
      <c r="C2744" s="66"/>
      <c r="D2744" s="60"/>
      <c r="E2744" s="61"/>
      <c r="F2744" s="61"/>
      <c r="G2744" s="67"/>
      <c r="H2744" s="60"/>
      <c r="I2744" s="60"/>
      <c r="J2744" s="61"/>
      <c r="K2744" s="61"/>
      <c r="L2744" s="60"/>
      <c r="M2744" s="74" t="str">
        <f t="shared" si="339"/>
        <v/>
      </c>
      <c r="N2744" s="74" t="str">
        <f t="shared" si="340"/>
        <v/>
      </c>
      <c r="O2744" s="73" t="str">
        <f t="shared" si="341"/>
        <v/>
      </c>
      <c r="P2744" s="65" t="str">
        <f t="shared" ca="1" si="342"/>
        <v/>
      </c>
      <c r="Q2744" s="2"/>
      <c r="R2744" s="2"/>
      <c r="S2744" s="1" t="str">
        <f t="shared" si="343"/>
        <v/>
      </c>
      <c r="T2744" s="1" t="str">
        <f>IF(OR($C2744="",$D2744&lt;&gt;"Gelir",$L2744=""),"",IFERROR(INDEX(MUSTERILER!$B$7:$B$156,MATCH($S2744,MUSTERILER!$T$7:$T$156,0)),""))</f>
        <v/>
      </c>
      <c r="U2744" s="1" t="str">
        <f>IF($T2744="","",$T2744&amp;"|"&amp;COUNTIFS($T$7:$T2744,$T2744))</f>
        <v/>
      </c>
      <c r="V2744" s="1">
        <f t="shared" si="344"/>
        <v>0</v>
      </c>
      <c r="W2744" s="1" t="str">
        <f t="shared" si="345"/>
        <v/>
      </c>
      <c r="X2744" s="1"/>
      <c r="Y2744" s="1"/>
      <c r="Z2744" s="1"/>
      <c r="AA2744" s="1"/>
      <c r="AB2744" s="1"/>
      <c r="AC2744" s="1"/>
      <c r="AD2744" s="1">
        <f>IF($C2744="",0,SUMPRODUCT((AY_SONU!$O$7:$O$42="Evet")*(AY_SONU!$B$7:$B$42=DATE(YEAR($C2744),MONTH($C2744),1))))</f>
        <v>0</v>
      </c>
      <c r="AE2744" s="1" t="str">
        <f>IF($E2744="","",$E2744&amp;"|"&amp;COUNTIFS($E$7:$E2744,$E2744))</f>
        <v/>
      </c>
    </row>
    <row r="2745" spans="1:31" ht="18" customHeight="1" x14ac:dyDescent="0.3">
      <c r="A2745" s="2"/>
      <c r="B2745" s="65" t="str">
        <f t="shared" si="338"/>
        <v/>
      </c>
      <c r="C2745" s="66"/>
      <c r="D2745" s="60"/>
      <c r="E2745" s="61"/>
      <c r="F2745" s="61"/>
      <c r="G2745" s="67"/>
      <c r="H2745" s="60"/>
      <c r="I2745" s="60"/>
      <c r="J2745" s="61"/>
      <c r="K2745" s="61"/>
      <c r="L2745" s="60"/>
      <c r="M2745" s="74" t="str">
        <f t="shared" si="339"/>
        <v/>
      </c>
      <c r="N2745" s="74" t="str">
        <f t="shared" si="340"/>
        <v/>
      </c>
      <c r="O2745" s="73" t="str">
        <f t="shared" si="341"/>
        <v/>
      </c>
      <c r="P2745" s="65" t="str">
        <f t="shared" ca="1" si="342"/>
        <v/>
      </c>
      <c r="Q2745" s="2"/>
      <c r="R2745" s="2"/>
      <c r="S2745" s="1" t="str">
        <f t="shared" si="343"/>
        <v/>
      </c>
      <c r="T2745" s="1" t="str">
        <f>IF(OR($C2745="",$D2745&lt;&gt;"Gelir",$L2745=""),"",IFERROR(INDEX(MUSTERILER!$B$7:$B$156,MATCH($S2745,MUSTERILER!$T$7:$T$156,0)),""))</f>
        <v/>
      </c>
      <c r="U2745" s="1" t="str">
        <f>IF($T2745="","",$T2745&amp;"|"&amp;COUNTIFS($T$7:$T2745,$T2745))</f>
        <v/>
      </c>
      <c r="V2745" s="1">
        <f t="shared" si="344"/>
        <v>0</v>
      </c>
      <c r="W2745" s="1" t="str">
        <f t="shared" si="345"/>
        <v/>
      </c>
      <c r="X2745" s="1"/>
      <c r="Y2745" s="1"/>
      <c r="Z2745" s="1"/>
      <c r="AA2745" s="1"/>
      <c r="AB2745" s="1"/>
      <c r="AC2745" s="1"/>
      <c r="AD2745" s="1">
        <f>IF($C2745="",0,SUMPRODUCT((AY_SONU!$O$7:$O$42="Evet")*(AY_SONU!$B$7:$B$42=DATE(YEAR($C2745),MONTH($C2745),1))))</f>
        <v>0</v>
      </c>
      <c r="AE2745" s="1" t="str">
        <f>IF($E2745="","",$E2745&amp;"|"&amp;COUNTIFS($E$7:$E2745,$E2745))</f>
        <v/>
      </c>
    </row>
    <row r="2746" spans="1:31" ht="18" customHeight="1" x14ac:dyDescent="0.3">
      <c r="A2746" s="2"/>
      <c r="B2746" s="65" t="str">
        <f t="shared" si="338"/>
        <v/>
      </c>
      <c r="C2746" s="66"/>
      <c r="D2746" s="60"/>
      <c r="E2746" s="61"/>
      <c r="F2746" s="61"/>
      <c r="G2746" s="67"/>
      <c r="H2746" s="60"/>
      <c r="I2746" s="60"/>
      <c r="J2746" s="61"/>
      <c r="K2746" s="61"/>
      <c r="L2746" s="60"/>
      <c r="M2746" s="74" t="str">
        <f t="shared" si="339"/>
        <v/>
      </c>
      <c r="N2746" s="74" t="str">
        <f t="shared" si="340"/>
        <v/>
      </c>
      <c r="O2746" s="73" t="str">
        <f t="shared" si="341"/>
        <v/>
      </c>
      <c r="P2746" s="65" t="str">
        <f t="shared" ca="1" si="342"/>
        <v/>
      </c>
      <c r="Q2746" s="2"/>
      <c r="R2746" s="2"/>
      <c r="S2746" s="1" t="str">
        <f t="shared" si="343"/>
        <v/>
      </c>
      <c r="T2746" s="1" t="str">
        <f>IF(OR($C2746="",$D2746&lt;&gt;"Gelir",$L2746=""),"",IFERROR(INDEX(MUSTERILER!$B$7:$B$156,MATCH($S2746,MUSTERILER!$T$7:$T$156,0)),""))</f>
        <v/>
      </c>
      <c r="U2746" s="1" t="str">
        <f>IF($T2746="","",$T2746&amp;"|"&amp;COUNTIFS($T$7:$T2746,$T2746))</f>
        <v/>
      </c>
      <c r="V2746" s="1">
        <f t="shared" si="344"/>
        <v>0</v>
      </c>
      <c r="W2746" s="1" t="str">
        <f t="shared" si="345"/>
        <v/>
      </c>
      <c r="X2746" s="1"/>
      <c r="Y2746" s="1"/>
      <c r="Z2746" s="1"/>
      <c r="AA2746" s="1"/>
      <c r="AB2746" s="1"/>
      <c r="AC2746" s="1"/>
      <c r="AD2746" s="1">
        <f>IF($C2746="",0,SUMPRODUCT((AY_SONU!$O$7:$O$42="Evet")*(AY_SONU!$B$7:$B$42=DATE(YEAR($C2746),MONTH($C2746),1))))</f>
        <v>0</v>
      </c>
      <c r="AE2746" s="1" t="str">
        <f>IF($E2746="","",$E2746&amp;"|"&amp;COUNTIFS($E$7:$E2746,$E2746))</f>
        <v/>
      </c>
    </row>
    <row r="2747" spans="1:31" ht="18" customHeight="1" x14ac:dyDescent="0.3">
      <c r="A2747" s="2"/>
      <c r="B2747" s="65" t="str">
        <f t="shared" si="338"/>
        <v/>
      </c>
      <c r="C2747" s="66"/>
      <c r="D2747" s="60"/>
      <c r="E2747" s="61"/>
      <c r="F2747" s="61"/>
      <c r="G2747" s="67"/>
      <c r="H2747" s="60"/>
      <c r="I2747" s="60"/>
      <c r="J2747" s="61"/>
      <c r="K2747" s="61"/>
      <c r="L2747" s="60"/>
      <c r="M2747" s="74" t="str">
        <f t="shared" si="339"/>
        <v/>
      </c>
      <c r="N2747" s="74" t="str">
        <f t="shared" si="340"/>
        <v/>
      </c>
      <c r="O2747" s="73" t="str">
        <f t="shared" si="341"/>
        <v/>
      </c>
      <c r="P2747" s="65" t="str">
        <f t="shared" ca="1" si="342"/>
        <v/>
      </c>
      <c r="Q2747" s="2"/>
      <c r="R2747" s="2"/>
      <c r="S2747" s="1" t="str">
        <f t="shared" si="343"/>
        <v/>
      </c>
      <c r="T2747" s="1" t="str">
        <f>IF(OR($C2747="",$D2747&lt;&gt;"Gelir",$L2747=""),"",IFERROR(INDEX(MUSTERILER!$B$7:$B$156,MATCH($S2747,MUSTERILER!$T$7:$T$156,0)),""))</f>
        <v/>
      </c>
      <c r="U2747" s="1" t="str">
        <f>IF($T2747="","",$T2747&amp;"|"&amp;COUNTIFS($T$7:$T2747,$T2747))</f>
        <v/>
      </c>
      <c r="V2747" s="1">
        <f t="shared" si="344"/>
        <v>0</v>
      </c>
      <c r="W2747" s="1" t="str">
        <f t="shared" si="345"/>
        <v/>
      </c>
      <c r="X2747" s="1"/>
      <c r="Y2747" s="1"/>
      <c r="Z2747" s="1"/>
      <c r="AA2747" s="1"/>
      <c r="AB2747" s="1"/>
      <c r="AC2747" s="1"/>
      <c r="AD2747" s="1">
        <f>IF($C2747="",0,SUMPRODUCT((AY_SONU!$O$7:$O$42="Evet")*(AY_SONU!$B$7:$B$42=DATE(YEAR($C2747),MONTH($C2747),1))))</f>
        <v>0</v>
      </c>
      <c r="AE2747" s="1" t="str">
        <f>IF($E2747="","",$E2747&amp;"|"&amp;COUNTIFS($E$7:$E2747,$E2747))</f>
        <v/>
      </c>
    </row>
    <row r="2748" spans="1:31" ht="18" customHeight="1" x14ac:dyDescent="0.3">
      <c r="A2748" s="2"/>
      <c r="B2748" s="65" t="str">
        <f t="shared" si="338"/>
        <v/>
      </c>
      <c r="C2748" s="66"/>
      <c r="D2748" s="60"/>
      <c r="E2748" s="61"/>
      <c r="F2748" s="61"/>
      <c r="G2748" s="67"/>
      <c r="H2748" s="60"/>
      <c r="I2748" s="60"/>
      <c r="J2748" s="61"/>
      <c r="K2748" s="61"/>
      <c r="L2748" s="60"/>
      <c r="M2748" s="74" t="str">
        <f t="shared" si="339"/>
        <v/>
      </c>
      <c r="N2748" s="74" t="str">
        <f t="shared" si="340"/>
        <v/>
      </c>
      <c r="O2748" s="73" t="str">
        <f t="shared" si="341"/>
        <v/>
      </c>
      <c r="P2748" s="65" t="str">
        <f t="shared" ca="1" si="342"/>
        <v/>
      </c>
      <c r="Q2748" s="2"/>
      <c r="R2748" s="2"/>
      <c r="S2748" s="1" t="str">
        <f t="shared" si="343"/>
        <v/>
      </c>
      <c r="T2748" s="1" t="str">
        <f>IF(OR($C2748="",$D2748&lt;&gt;"Gelir",$L2748=""),"",IFERROR(INDEX(MUSTERILER!$B$7:$B$156,MATCH($S2748,MUSTERILER!$T$7:$T$156,0)),""))</f>
        <v/>
      </c>
      <c r="U2748" s="1" t="str">
        <f>IF($T2748="","",$T2748&amp;"|"&amp;COUNTIFS($T$7:$T2748,$T2748))</f>
        <v/>
      </c>
      <c r="V2748" s="1">
        <f t="shared" si="344"/>
        <v>0</v>
      </c>
      <c r="W2748" s="1" t="str">
        <f t="shared" si="345"/>
        <v/>
      </c>
      <c r="X2748" s="1"/>
      <c r="Y2748" s="1"/>
      <c r="Z2748" s="1"/>
      <c r="AA2748" s="1"/>
      <c r="AB2748" s="1"/>
      <c r="AC2748" s="1"/>
      <c r="AD2748" s="1">
        <f>IF($C2748="",0,SUMPRODUCT((AY_SONU!$O$7:$O$42="Evet")*(AY_SONU!$B$7:$B$42=DATE(YEAR($C2748),MONTH($C2748),1))))</f>
        <v>0</v>
      </c>
      <c r="AE2748" s="1" t="str">
        <f>IF($E2748="","",$E2748&amp;"|"&amp;COUNTIFS($E$7:$E2748,$E2748))</f>
        <v/>
      </c>
    </row>
    <row r="2749" spans="1:31" ht="18" customHeight="1" x14ac:dyDescent="0.3">
      <c r="A2749" s="2"/>
      <c r="B2749" s="65" t="str">
        <f t="shared" si="338"/>
        <v/>
      </c>
      <c r="C2749" s="66"/>
      <c r="D2749" s="60"/>
      <c r="E2749" s="61"/>
      <c r="F2749" s="61"/>
      <c r="G2749" s="67"/>
      <c r="H2749" s="60"/>
      <c r="I2749" s="60"/>
      <c r="J2749" s="61"/>
      <c r="K2749" s="61"/>
      <c r="L2749" s="60"/>
      <c r="M2749" s="74" t="str">
        <f t="shared" si="339"/>
        <v/>
      </c>
      <c r="N2749" s="74" t="str">
        <f t="shared" si="340"/>
        <v/>
      </c>
      <c r="O2749" s="73" t="str">
        <f t="shared" si="341"/>
        <v/>
      </c>
      <c r="P2749" s="65" t="str">
        <f t="shared" ca="1" si="342"/>
        <v/>
      </c>
      <c r="Q2749" s="2"/>
      <c r="R2749" s="2"/>
      <c r="S2749" s="1" t="str">
        <f t="shared" si="343"/>
        <v/>
      </c>
      <c r="T2749" s="1" t="str">
        <f>IF(OR($C2749="",$D2749&lt;&gt;"Gelir",$L2749=""),"",IFERROR(INDEX(MUSTERILER!$B$7:$B$156,MATCH($S2749,MUSTERILER!$T$7:$T$156,0)),""))</f>
        <v/>
      </c>
      <c r="U2749" s="1" t="str">
        <f>IF($T2749="","",$T2749&amp;"|"&amp;COUNTIFS($T$7:$T2749,$T2749))</f>
        <v/>
      </c>
      <c r="V2749" s="1">
        <f t="shared" si="344"/>
        <v>0</v>
      </c>
      <c r="W2749" s="1" t="str">
        <f t="shared" si="345"/>
        <v/>
      </c>
      <c r="X2749" s="1"/>
      <c r="Y2749" s="1"/>
      <c r="Z2749" s="1"/>
      <c r="AA2749" s="1"/>
      <c r="AB2749" s="1"/>
      <c r="AC2749" s="1"/>
      <c r="AD2749" s="1">
        <f>IF($C2749="",0,SUMPRODUCT((AY_SONU!$O$7:$O$42="Evet")*(AY_SONU!$B$7:$B$42=DATE(YEAR($C2749),MONTH($C2749),1))))</f>
        <v>0</v>
      </c>
      <c r="AE2749" s="1" t="str">
        <f>IF($E2749="","",$E2749&amp;"|"&amp;COUNTIFS($E$7:$E2749,$E2749))</f>
        <v/>
      </c>
    </row>
    <row r="2750" spans="1:31" ht="18" customHeight="1" x14ac:dyDescent="0.3">
      <c r="A2750" s="2"/>
      <c r="B2750" s="65" t="str">
        <f t="shared" si="338"/>
        <v/>
      </c>
      <c r="C2750" s="66"/>
      <c r="D2750" s="60"/>
      <c r="E2750" s="61"/>
      <c r="F2750" s="61"/>
      <c r="G2750" s="67"/>
      <c r="H2750" s="60"/>
      <c r="I2750" s="60"/>
      <c r="J2750" s="61"/>
      <c r="K2750" s="61"/>
      <c r="L2750" s="60"/>
      <c r="M2750" s="74" t="str">
        <f t="shared" si="339"/>
        <v/>
      </c>
      <c r="N2750" s="74" t="str">
        <f t="shared" si="340"/>
        <v/>
      </c>
      <c r="O2750" s="73" t="str">
        <f t="shared" si="341"/>
        <v/>
      </c>
      <c r="P2750" s="65" t="str">
        <f t="shared" ca="1" si="342"/>
        <v/>
      </c>
      <c r="Q2750" s="2"/>
      <c r="R2750" s="2"/>
      <c r="S2750" s="1" t="str">
        <f t="shared" si="343"/>
        <v/>
      </c>
      <c r="T2750" s="1" t="str">
        <f>IF(OR($C2750="",$D2750&lt;&gt;"Gelir",$L2750=""),"",IFERROR(INDEX(MUSTERILER!$B$7:$B$156,MATCH($S2750,MUSTERILER!$T$7:$T$156,0)),""))</f>
        <v/>
      </c>
      <c r="U2750" s="1" t="str">
        <f>IF($T2750="","",$T2750&amp;"|"&amp;COUNTIFS($T$7:$T2750,$T2750))</f>
        <v/>
      </c>
      <c r="V2750" s="1">
        <f t="shared" si="344"/>
        <v>0</v>
      </c>
      <c r="W2750" s="1" t="str">
        <f t="shared" si="345"/>
        <v/>
      </c>
      <c r="X2750" s="1"/>
      <c r="Y2750" s="1"/>
      <c r="Z2750" s="1"/>
      <c r="AA2750" s="1"/>
      <c r="AB2750" s="1"/>
      <c r="AC2750" s="1"/>
      <c r="AD2750" s="1">
        <f>IF($C2750="",0,SUMPRODUCT((AY_SONU!$O$7:$O$42="Evet")*(AY_SONU!$B$7:$B$42=DATE(YEAR($C2750),MONTH($C2750),1))))</f>
        <v>0</v>
      </c>
      <c r="AE2750" s="1" t="str">
        <f>IF($E2750="","",$E2750&amp;"|"&amp;COUNTIFS($E$7:$E2750,$E2750))</f>
        <v/>
      </c>
    </row>
    <row r="2751" spans="1:31" ht="18" customHeight="1" x14ac:dyDescent="0.3">
      <c r="A2751" s="2"/>
      <c r="B2751" s="65" t="str">
        <f t="shared" si="338"/>
        <v/>
      </c>
      <c r="C2751" s="66"/>
      <c r="D2751" s="60"/>
      <c r="E2751" s="61"/>
      <c r="F2751" s="61"/>
      <c r="G2751" s="67"/>
      <c r="H2751" s="60"/>
      <c r="I2751" s="60"/>
      <c r="J2751" s="61"/>
      <c r="K2751" s="61"/>
      <c r="L2751" s="60"/>
      <c r="M2751" s="74" t="str">
        <f t="shared" si="339"/>
        <v/>
      </c>
      <c r="N2751" s="74" t="str">
        <f t="shared" si="340"/>
        <v/>
      </c>
      <c r="O2751" s="73" t="str">
        <f t="shared" si="341"/>
        <v/>
      </c>
      <c r="P2751" s="65" t="str">
        <f t="shared" ca="1" si="342"/>
        <v/>
      </c>
      <c r="Q2751" s="2"/>
      <c r="R2751" s="2"/>
      <c r="S2751" s="1" t="str">
        <f t="shared" si="343"/>
        <v/>
      </c>
      <c r="T2751" s="1" t="str">
        <f>IF(OR($C2751="",$D2751&lt;&gt;"Gelir",$L2751=""),"",IFERROR(INDEX(MUSTERILER!$B$7:$B$156,MATCH($S2751,MUSTERILER!$T$7:$T$156,0)),""))</f>
        <v/>
      </c>
      <c r="U2751" s="1" t="str">
        <f>IF($T2751="","",$T2751&amp;"|"&amp;COUNTIFS($T$7:$T2751,$T2751))</f>
        <v/>
      </c>
      <c r="V2751" s="1">
        <f t="shared" si="344"/>
        <v>0</v>
      </c>
      <c r="W2751" s="1" t="str">
        <f t="shared" si="345"/>
        <v/>
      </c>
      <c r="X2751" s="1"/>
      <c r="Y2751" s="1"/>
      <c r="Z2751" s="1"/>
      <c r="AA2751" s="1"/>
      <c r="AB2751" s="1"/>
      <c r="AC2751" s="1"/>
      <c r="AD2751" s="1">
        <f>IF($C2751="",0,SUMPRODUCT((AY_SONU!$O$7:$O$42="Evet")*(AY_SONU!$B$7:$B$42=DATE(YEAR($C2751),MONTH($C2751),1))))</f>
        <v>0</v>
      </c>
      <c r="AE2751" s="1" t="str">
        <f>IF($E2751="","",$E2751&amp;"|"&amp;COUNTIFS($E$7:$E2751,$E2751))</f>
        <v/>
      </c>
    </row>
    <row r="2752" spans="1:31" ht="18" customHeight="1" x14ac:dyDescent="0.3">
      <c r="A2752" s="2"/>
      <c r="B2752" s="65" t="str">
        <f t="shared" si="338"/>
        <v/>
      </c>
      <c r="C2752" s="66"/>
      <c r="D2752" s="60"/>
      <c r="E2752" s="61"/>
      <c r="F2752" s="61"/>
      <c r="G2752" s="67"/>
      <c r="H2752" s="60"/>
      <c r="I2752" s="60"/>
      <c r="J2752" s="61"/>
      <c r="K2752" s="61"/>
      <c r="L2752" s="60"/>
      <c r="M2752" s="74" t="str">
        <f t="shared" si="339"/>
        <v/>
      </c>
      <c r="N2752" s="74" t="str">
        <f t="shared" si="340"/>
        <v/>
      </c>
      <c r="O2752" s="73" t="str">
        <f t="shared" si="341"/>
        <v/>
      </c>
      <c r="P2752" s="65" t="str">
        <f t="shared" ca="1" si="342"/>
        <v/>
      </c>
      <c r="Q2752" s="2"/>
      <c r="R2752" s="2"/>
      <c r="S2752" s="1" t="str">
        <f t="shared" si="343"/>
        <v/>
      </c>
      <c r="T2752" s="1" t="str">
        <f>IF(OR($C2752="",$D2752&lt;&gt;"Gelir",$L2752=""),"",IFERROR(INDEX(MUSTERILER!$B$7:$B$156,MATCH($S2752,MUSTERILER!$T$7:$T$156,0)),""))</f>
        <v/>
      </c>
      <c r="U2752" s="1" t="str">
        <f>IF($T2752="","",$T2752&amp;"|"&amp;COUNTIFS($T$7:$T2752,$T2752))</f>
        <v/>
      </c>
      <c r="V2752" s="1">
        <f t="shared" si="344"/>
        <v>0</v>
      </c>
      <c r="W2752" s="1" t="str">
        <f t="shared" si="345"/>
        <v/>
      </c>
      <c r="X2752" s="1"/>
      <c r="Y2752" s="1"/>
      <c r="Z2752" s="1"/>
      <c r="AA2752" s="1"/>
      <c r="AB2752" s="1"/>
      <c r="AC2752" s="1"/>
      <c r="AD2752" s="1">
        <f>IF($C2752="",0,SUMPRODUCT((AY_SONU!$O$7:$O$42="Evet")*(AY_SONU!$B$7:$B$42=DATE(YEAR($C2752),MONTH($C2752),1))))</f>
        <v>0</v>
      </c>
      <c r="AE2752" s="1" t="str">
        <f>IF($E2752="","",$E2752&amp;"|"&amp;COUNTIFS($E$7:$E2752,$E2752))</f>
        <v/>
      </c>
    </row>
    <row r="2753" spans="1:31" ht="18" customHeight="1" x14ac:dyDescent="0.3">
      <c r="A2753" s="2"/>
      <c r="B2753" s="65" t="str">
        <f t="shared" si="338"/>
        <v/>
      </c>
      <c r="C2753" s="66"/>
      <c r="D2753" s="60"/>
      <c r="E2753" s="61"/>
      <c r="F2753" s="61"/>
      <c r="G2753" s="67"/>
      <c r="H2753" s="60"/>
      <c r="I2753" s="60"/>
      <c r="J2753" s="61"/>
      <c r="K2753" s="61"/>
      <c r="L2753" s="60"/>
      <c r="M2753" s="74" t="str">
        <f t="shared" si="339"/>
        <v/>
      </c>
      <c r="N2753" s="74" t="str">
        <f t="shared" si="340"/>
        <v/>
      </c>
      <c r="O2753" s="73" t="str">
        <f t="shared" si="341"/>
        <v/>
      </c>
      <c r="P2753" s="65" t="str">
        <f t="shared" ca="1" si="342"/>
        <v/>
      </c>
      <c r="Q2753" s="2"/>
      <c r="R2753" s="2"/>
      <c r="S2753" s="1" t="str">
        <f t="shared" si="343"/>
        <v/>
      </c>
      <c r="T2753" s="1" t="str">
        <f>IF(OR($C2753="",$D2753&lt;&gt;"Gelir",$L2753=""),"",IFERROR(INDEX(MUSTERILER!$B$7:$B$156,MATCH($S2753,MUSTERILER!$T$7:$T$156,0)),""))</f>
        <v/>
      </c>
      <c r="U2753" s="1" t="str">
        <f>IF($T2753="","",$T2753&amp;"|"&amp;COUNTIFS($T$7:$T2753,$T2753))</f>
        <v/>
      </c>
      <c r="V2753" s="1">
        <f t="shared" si="344"/>
        <v>0</v>
      </c>
      <c r="W2753" s="1" t="str">
        <f t="shared" si="345"/>
        <v/>
      </c>
      <c r="X2753" s="1"/>
      <c r="Y2753" s="1"/>
      <c r="Z2753" s="1"/>
      <c r="AA2753" s="1"/>
      <c r="AB2753" s="1"/>
      <c r="AC2753" s="1"/>
      <c r="AD2753" s="1">
        <f>IF($C2753="",0,SUMPRODUCT((AY_SONU!$O$7:$O$42="Evet")*(AY_SONU!$B$7:$B$42=DATE(YEAR($C2753),MONTH($C2753),1))))</f>
        <v>0</v>
      </c>
      <c r="AE2753" s="1" t="str">
        <f>IF($E2753="","",$E2753&amp;"|"&amp;COUNTIFS($E$7:$E2753,$E2753))</f>
        <v/>
      </c>
    </row>
    <row r="2754" spans="1:31" ht="18" customHeight="1" x14ac:dyDescent="0.3">
      <c r="A2754" s="2"/>
      <c r="B2754" s="65" t="str">
        <f t="shared" si="338"/>
        <v/>
      </c>
      <c r="C2754" s="66"/>
      <c r="D2754" s="60"/>
      <c r="E2754" s="61"/>
      <c r="F2754" s="61"/>
      <c r="G2754" s="67"/>
      <c r="H2754" s="60"/>
      <c r="I2754" s="60"/>
      <c r="J2754" s="61"/>
      <c r="K2754" s="61"/>
      <c r="L2754" s="60"/>
      <c r="M2754" s="74" t="str">
        <f t="shared" si="339"/>
        <v/>
      </c>
      <c r="N2754" s="74" t="str">
        <f t="shared" si="340"/>
        <v/>
      </c>
      <c r="O2754" s="73" t="str">
        <f t="shared" si="341"/>
        <v/>
      </c>
      <c r="P2754" s="65" t="str">
        <f t="shared" ca="1" si="342"/>
        <v/>
      </c>
      <c r="Q2754" s="2"/>
      <c r="R2754" s="2"/>
      <c r="S2754" s="1" t="str">
        <f t="shared" si="343"/>
        <v/>
      </c>
      <c r="T2754" s="1" t="str">
        <f>IF(OR($C2754="",$D2754&lt;&gt;"Gelir",$L2754=""),"",IFERROR(INDEX(MUSTERILER!$B$7:$B$156,MATCH($S2754,MUSTERILER!$T$7:$T$156,0)),""))</f>
        <v/>
      </c>
      <c r="U2754" s="1" t="str">
        <f>IF($T2754="","",$T2754&amp;"|"&amp;COUNTIFS($T$7:$T2754,$T2754))</f>
        <v/>
      </c>
      <c r="V2754" s="1">
        <f t="shared" si="344"/>
        <v>0</v>
      </c>
      <c r="W2754" s="1" t="str">
        <f t="shared" si="345"/>
        <v/>
      </c>
      <c r="X2754" s="1"/>
      <c r="Y2754" s="1"/>
      <c r="Z2754" s="1"/>
      <c r="AA2754" s="1"/>
      <c r="AB2754" s="1"/>
      <c r="AC2754" s="1"/>
      <c r="AD2754" s="1">
        <f>IF($C2754="",0,SUMPRODUCT((AY_SONU!$O$7:$O$42="Evet")*(AY_SONU!$B$7:$B$42=DATE(YEAR($C2754),MONTH($C2754),1))))</f>
        <v>0</v>
      </c>
      <c r="AE2754" s="1" t="str">
        <f>IF($E2754="","",$E2754&amp;"|"&amp;COUNTIFS($E$7:$E2754,$E2754))</f>
        <v/>
      </c>
    </row>
    <row r="2755" spans="1:31" ht="18" customHeight="1" x14ac:dyDescent="0.3">
      <c r="A2755" s="2"/>
      <c r="B2755" s="65" t="str">
        <f t="shared" si="338"/>
        <v/>
      </c>
      <c r="C2755" s="66"/>
      <c r="D2755" s="60"/>
      <c r="E2755" s="61"/>
      <c r="F2755" s="61"/>
      <c r="G2755" s="67"/>
      <c r="H2755" s="60"/>
      <c r="I2755" s="60"/>
      <c r="J2755" s="61"/>
      <c r="K2755" s="61"/>
      <c r="L2755" s="60"/>
      <c r="M2755" s="74" t="str">
        <f t="shared" si="339"/>
        <v/>
      </c>
      <c r="N2755" s="74" t="str">
        <f t="shared" si="340"/>
        <v/>
      </c>
      <c r="O2755" s="73" t="str">
        <f t="shared" si="341"/>
        <v/>
      </c>
      <c r="P2755" s="65" t="str">
        <f t="shared" ca="1" si="342"/>
        <v/>
      </c>
      <c r="Q2755" s="2"/>
      <c r="R2755" s="2"/>
      <c r="S2755" s="1" t="str">
        <f t="shared" si="343"/>
        <v/>
      </c>
      <c r="T2755" s="1" t="str">
        <f>IF(OR($C2755="",$D2755&lt;&gt;"Gelir",$L2755=""),"",IFERROR(INDEX(MUSTERILER!$B$7:$B$156,MATCH($S2755,MUSTERILER!$T$7:$T$156,0)),""))</f>
        <v/>
      </c>
      <c r="U2755" s="1" t="str">
        <f>IF($T2755="","",$T2755&amp;"|"&amp;COUNTIFS($T$7:$T2755,$T2755))</f>
        <v/>
      </c>
      <c r="V2755" s="1">
        <f t="shared" si="344"/>
        <v>0</v>
      </c>
      <c r="W2755" s="1" t="str">
        <f t="shared" si="345"/>
        <v/>
      </c>
      <c r="X2755" s="1"/>
      <c r="Y2755" s="1"/>
      <c r="Z2755" s="1"/>
      <c r="AA2755" s="1"/>
      <c r="AB2755" s="1"/>
      <c r="AC2755" s="1"/>
      <c r="AD2755" s="1">
        <f>IF($C2755="",0,SUMPRODUCT((AY_SONU!$O$7:$O$42="Evet")*(AY_SONU!$B$7:$B$42=DATE(YEAR($C2755),MONTH($C2755),1))))</f>
        <v>0</v>
      </c>
      <c r="AE2755" s="1" t="str">
        <f>IF($E2755="","",$E2755&amp;"|"&amp;COUNTIFS($E$7:$E2755,$E2755))</f>
        <v/>
      </c>
    </row>
    <row r="2756" spans="1:31" ht="18" customHeight="1" x14ac:dyDescent="0.3">
      <c r="A2756" s="2"/>
      <c r="B2756" s="65" t="str">
        <f t="shared" si="338"/>
        <v/>
      </c>
      <c r="C2756" s="66"/>
      <c r="D2756" s="60"/>
      <c r="E2756" s="61"/>
      <c r="F2756" s="61"/>
      <c r="G2756" s="67"/>
      <c r="H2756" s="60"/>
      <c r="I2756" s="60"/>
      <c r="J2756" s="61"/>
      <c r="K2756" s="61"/>
      <c r="L2756" s="60"/>
      <c r="M2756" s="74" t="str">
        <f t="shared" si="339"/>
        <v/>
      </c>
      <c r="N2756" s="74" t="str">
        <f t="shared" si="340"/>
        <v/>
      </c>
      <c r="O2756" s="73" t="str">
        <f t="shared" si="341"/>
        <v/>
      </c>
      <c r="P2756" s="65" t="str">
        <f t="shared" ca="1" si="342"/>
        <v/>
      </c>
      <c r="Q2756" s="2"/>
      <c r="R2756" s="2"/>
      <c r="S2756" s="1" t="str">
        <f t="shared" si="343"/>
        <v/>
      </c>
      <c r="T2756" s="1" t="str">
        <f>IF(OR($C2756="",$D2756&lt;&gt;"Gelir",$L2756=""),"",IFERROR(INDEX(MUSTERILER!$B$7:$B$156,MATCH($S2756,MUSTERILER!$T$7:$T$156,0)),""))</f>
        <v/>
      </c>
      <c r="U2756" s="1" t="str">
        <f>IF($T2756="","",$T2756&amp;"|"&amp;COUNTIFS($T$7:$T2756,$T2756))</f>
        <v/>
      </c>
      <c r="V2756" s="1">
        <f t="shared" si="344"/>
        <v>0</v>
      </c>
      <c r="W2756" s="1" t="str">
        <f t="shared" si="345"/>
        <v/>
      </c>
      <c r="X2756" s="1"/>
      <c r="Y2756" s="1"/>
      <c r="Z2756" s="1"/>
      <c r="AA2756" s="1"/>
      <c r="AB2756" s="1"/>
      <c r="AC2756" s="1"/>
      <c r="AD2756" s="1">
        <f>IF($C2756="",0,SUMPRODUCT((AY_SONU!$O$7:$O$42="Evet")*(AY_SONU!$B$7:$B$42=DATE(YEAR($C2756),MONTH($C2756),1))))</f>
        <v>0</v>
      </c>
      <c r="AE2756" s="1" t="str">
        <f>IF($E2756="","",$E2756&amp;"|"&amp;COUNTIFS($E$7:$E2756,$E2756))</f>
        <v/>
      </c>
    </row>
    <row r="2757" spans="1:31" ht="18" customHeight="1" x14ac:dyDescent="0.3">
      <c r="A2757" s="2"/>
      <c r="B2757" s="65" t="str">
        <f t="shared" si="338"/>
        <v/>
      </c>
      <c r="C2757" s="66"/>
      <c r="D2757" s="60"/>
      <c r="E2757" s="61"/>
      <c r="F2757" s="61"/>
      <c r="G2757" s="67"/>
      <c r="H2757" s="60"/>
      <c r="I2757" s="60"/>
      <c r="J2757" s="61"/>
      <c r="K2757" s="61"/>
      <c r="L2757" s="60"/>
      <c r="M2757" s="74" t="str">
        <f t="shared" si="339"/>
        <v/>
      </c>
      <c r="N2757" s="74" t="str">
        <f t="shared" si="340"/>
        <v/>
      </c>
      <c r="O2757" s="73" t="str">
        <f t="shared" si="341"/>
        <v/>
      </c>
      <c r="P2757" s="65" t="str">
        <f t="shared" ca="1" si="342"/>
        <v/>
      </c>
      <c r="Q2757" s="2"/>
      <c r="R2757" s="2"/>
      <c r="S2757" s="1" t="str">
        <f t="shared" si="343"/>
        <v/>
      </c>
      <c r="T2757" s="1" t="str">
        <f>IF(OR($C2757="",$D2757&lt;&gt;"Gelir",$L2757=""),"",IFERROR(INDEX(MUSTERILER!$B$7:$B$156,MATCH($S2757,MUSTERILER!$T$7:$T$156,0)),""))</f>
        <v/>
      </c>
      <c r="U2757" s="1" t="str">
        <f>IF($T2757="","",$T2757&amp;"|"&amp;COUNTIFS($T$7:$T2757,$T2757))</f>
        <v/>
      </c>
      <c r="V2757" s="1">
        <f t="shared" si="344"/>
        <v>0</v>
      </c>
      <c r="W2757" s="1" t="str">
        <f t="shared" si="345"/>
        <v/>
      </c>
      <c r="X2757" s="1"/>
      <c r="Y2757" s="1"/>
      <c r="Z2757" s="1"/>
      <c r="AA2757" s="1"/>
      <c r="AB2757" s="1"/>
      <c r="AC2757" s="1"/>
      <c r="AD2757" s="1">
        <f>IF($C2757="",0,SUMPRODUCT((AY_SONU!$O$7:$O$42="Evet")*(AY_SONU!$B$7:$B$42=DATE(YEAR($C2757),MONTH($C2757),1))))</f>
        <v>0</v>
      </c>
      <c r="AE2757" s="1" t="str">
        <f>IF($E2757="","",$E2757&amp;"|"&amp;COUNTIFS($E$7:$E2757,$E2757))</f>
        <v/>
      </c>
    </row>
    <row r="2758" spans="1:31" ht="18" customHeight="1" x14ac:dyDescent="0.3">
      <c r="A2758" s="2"/>
      <c r="B2758" s="65" t="str">
        <f t="shared" si="338"/>
        <v/>
      </c>
      <c r="C2758" s="66"/>
      <c r="D2758" s="60"/>
      <c r="E2758" s="61"/>
      <c r="F2758" s="61"/>
      <c r="G2758" s="67"/>
      <c r="H2758" s="60"/>
      <c r="I2758" s="60"/>
      <c r="J2758" s="61"/>
      <c r="K2758" s="61"/>
      <c r="L2758" s="60"/>
      <c r="M2758" s="74" t="str">
        <f t="shared" si="339"/>
        <v/>
      </c>
      <c r="N2758" s="74" t="str">
        <f t="shared" si="340"/>
        <v/>
      </c>
      <c r="O2758" s="73" t="str">
        <f t="shared" si="341"/>
        <v/>
      </c>
      <c r="P2758" s="65" t="str">
        <f t="shared" ca="1" si="342"/>
        <v/>
      </c>
      <c r="Q2758" s="2"/>
      <c r="R2758" s="2"/>
      <c r="S2758" s="1" t="str">
        <f t="shared" si="343"/>
        <v/>
      </c>
      <c r="T2758" s="1" t="str">
        <f>IF(OR($C2758="",$D2758&lt;&gt;"Gelir",$L2758=""),"",IFERROR(INDEX(MUSTERILER!$B$7:$B$156,MATCH($S2758,MUSTERILER!$T$7:$T$156,0)),""))</f>
        <v/>
      </c>
      <c r="U2758" s="1" t="str">
        <f>IF($T2758="","",$T2758&amp;"|"&amp;COUNTIFS($T$7:$T2758,$T2758))</f>
        <v/>
      </c>
      <c r="V2758" s="1">
        <f t="shared" si="344"/>
        <v>0</v>
      </c>
      <c r="W2758" s="1" t="str">
        <f t="shared" si="345"/>
        <v/>
      </c>
      <c r="X2758" s="1"/>
      <c r="Y2758" s="1"/>
      <c r="Z2758" s="1"/>
      <c r="AA2758" s="1"/>
      <c r="AB2758" s="1"/>
      <c r="AC2758" s="1"/>
      <c r="AD2758" s="1">
        <f>IF($C2758="",0,SUMPRODUCT((AY_SONU!$O$7:$O$42="Evet")*(AY_SONU!$B$7:$B$42=DATE(YEAR($C2758),MONTH($C2758),1))))</f>
        <v>0</v>
      </c>
      <c r="AE2758" s="1" t="str">
        <f>IF($E2758="","",$E2758&amp;"|"&amp;COUNTIFS($E$7:$E2758,$E2758))</f>
        <v/>
      </c>
    </row>
    <row r="2759" spans="1:31" ht="18" customHeight="1" x14ac:dyDescent="0.3">
      <c r="A2759" s="2"/>
      <c r="B2759" s="65" t="str">
        <f t="shared" ref="B2759:B2822" si="346">IF($C2759="","","GG"&amp;TEXT(ROW()-6,"00000"))</f>
        <v/>
      </c>
      <c r="C2759" s="66"/>
      <c r="D2759" s="60"/>
      <c r="E2759" s="61"/>
      <c r="F2759" s="61"/>
      <c r="G2759" s="67"/>
      <c r="H2759" s="60"/>
      <c r="I2759" s="60"/>
      <c r="J2759" s="61"/>
      <c r="K2759" s="61"/>
      <c r="L2759" s="60"/>
      <c r="M2759" s="74" t="str">
        <f t="shared" ref="M2759:M2822" si="347">IF($C2759="","",IF($D2759="Gider",$E2759,IF($L2759&lt;&gt;"",$L2759,$H2759)))</f>
        <v/>
      </c>
      <c r="N2759" s="74" t="str">
        <f t="shared" ref="N2759:N2822" si="348">IF($C2759="","",IF($D2759="Gider",$H2759,$E2759))</f>
        <v/>
      </c>
      <c r="O2759" s="73" t="str">
        <f t="shared" ref="O2759:O2822" si="349">IF($C2759="","",DATE(YEAR($C2759),MONTH($C2759),1))</f>
        <v/>
      </c>
      <c r="P2759" s="65" t="str">
        <f t="shared" ref="P2759:P2822" ca="1" si="350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TARİH",IF(COUNTIF($W$7:$W$3006,$W2759)&gt;1,"MÜKERRER?",IF($AD2759&gt;0,"KAPALI DÖNEM",IF($I2759="Hayır","ÖDENECEK","UYGUN")))),"EKSİK"))))</f>
        <v/>
      </c>
      <c r="Q2759" s="2"/>
      <c r="R2759" s="2"/>
      <c r="S2759" s="1" t="str">
        <f t="shared" ref="S2759:S2822" si="351"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1" t="str">
        <f>IF(OR($C2759="",$D2759&lt;&gt;"Gelir",$L2759=""),"",IFERROR(INDEX(MUSTERILER!$B$7:$B$156,MATCH($S2759,MUSTERILER!$T$7:$T$156,0)),""))</f>
        <v/>
      </c>
      <c r="U2759" s="1" t="str">
        <f>IF($T2759="","",$T2759&amp;"|"&amp;COUNTIFS($T$7:$T2759,$T2759))</f>
        <v/>
      </c>
      <c r="V2759" s="1">
        <f t="shared" ref="V2759:V2822" si="352">IF($T2759="",0,1)</f>
        <v>0</v>
      </c>
      <c r="W2759" s="1" t="str">
        <f t="shared" ref="W2759:W2822" si="353">IF($C2759="","",$D2759&amp;"|"&amp;$E2759&amp;"|"&amp;TEXT($C2759,"0")&amp;"|"&amp;TEXT($G2759,"0")&amp;"|"&amp;$J2759)</f>
        <v/>
      </c>
      <c r="X2759" s="1"/>
      <c r="Y2759" s="1"/>
      <c r="Z2759" s="1"/>
      <c r="AA2759" s="1"/>
      <c r="AB2759" s="1"/>
      <c r="AC2759" s="1"/>
      <c r="AD2759" s="1">
        <f>IF($C2759="",0,SUMPRODUCT((AY_SONU!$O$7:$O$42="Evet")*(AY_SONU!$B$7:$B$42=DATE(YEAR($C2759),MONTH($C2759),1))))</f>
        <v>0</v>
      </c>
      <c r="AE2759" s="1" t="str">
        <f>IF($E2759="","",$E2759&amp;"|"&amp;COUNTIFS($E$7:$E2759,$E2759))</f>
        <v/>
      </c>
    </row>
    <row r="2760" spans="1:31" ht="18" customHeight="1" x14ac:dyDescent="0.3">
      <c r="A2760" s="2"/>
      <c r="B2760" s="65" t="str">
        <f t="shared" si="346"/>
        <v/>
      </c>
      <c r="C2760" s="66"/>
      <c r="D2760" s="60"/>
      <c r="E2760" s="61"/>
      <c r="F2760" s="61"/>
      <c r="G2760" s="67"/>
      <c r="H2760" s="60"/>
      <c r="I2760" s="60"/>
      <c r="J2760" s="61"/>
      <c r="K2760" s="61"/>
      <c r="L2760" s="60"/>
      <c r="M2760" s="74" t="str">
        <f t="shared" si="347"/>
        <v/>
      </c>
      <c r="N2760" s="74" t="str">
        <f t="shared" si="348"/>
        <v/>
      </c>
      <c r="O2760" s="73" t="str">
        <f t="shared" si="349"/>
        <v/>
      </c>
      <c r="P2760" s="65" t="str">
        <f t="shared" ca="1" si="350"/>
        <v/>
      </c>
      <c r="Q2760" s="2"/>
      <c r="R2760" s="2"/>
      <c r="S2760" s="1" t="str">
        <f t="shared" si="351"/>
        <v/>
      </c>
      <c r="T2760" s="1" t="str">
        <f>IF(OR($C2760="",$D2760&lt;&gt;"Gelir",$L2760=""),"",IFERROR(INDEX(MUSTERILER!$B$7:$B$156,MATCH($S2760,MUSTERILER!$T$7:$T$156,0)),""))</f>
        <v/>
      </c>
      <c r="U2760" s="1" t="str">
        <f>IF($T2760="","",$T2760&amp;"|"&amp;COUNTIFS($T$7:$T2760,$T2760))</f>
        <v/>
      </c>
      <c r="V2760" s="1">
        <f t="shared" si="352"/>
        <v>0</v>
      </c>
      <c r="W2760" s="1" t="str">
        <f t="shared" si="353"/>
        <v/>
      </c>
      <c r="X2760" s="1"/>
      <c r="Y2760" s="1"/>
      <c r="Z2760" s="1"/>
      <c r="AA2760" s="1"/>
      <c r="AB2760" s="1"/>
      <c r="AC2760" s="1"/>
      <c r="AD2760" s="1">
        <f>IF($C2760="",0,SUMPRODUCT((AY_SONU!$O$7:$O$42="Evet")*(AY_SONU!$B$7:$B$42=DATE(YEAR($C2760),MONTH($C2760),1))))</f>
        <v>0</v>
      </c>
      <c r="AE2760" s="1" t="str">
        <f>IF($E2760="","",$E2760&amp;"|"&amp;COUNTIFS($E$7:$E2760,$E2760))</f>
        <v/>
      </c>
    </row>
    <row r="2761" spans="1:31" ht="18" customHeight="1" x14ac:dyDescent="0.3">
      <c r="A2761" s="2"/>
      <c r="B2761" s="65" t="str">
        <f t="shared" si="346"/>
        <v/>
      </c>
      <c r="C2761" s="66"/>
      <c r="D2761" s="60"/>
      <c r="E2761" s="61"/>
      <c r="F2761" s="61"/>
      <c r="G2761" s="67"/>
      <c r="H2761" s="60"/>
      <c r="I2761" s="60"/>
      <c r="J2761" s="61"/>
      <c r="K2761" s="61"/>
      <c r="L2761" s="60"/>
      <c r="M2761" s="74" t="str">
        <f t="shared" si="347"/>
        <v/>
      </c>
      <c r="N2761" s="74" t="str">
        <f t="shared" si="348"/>
        <v/>
      </c>
      <c r="O2761" s="73" t="str">
        <f t="shared" si="349"/>
        <v/>
      </c>
      <c r="P2761" s="65" t="str">
        <f t="shared" ca="1" si="350"/>
        <v/>
      </c>
      <c r="Q2761" s="2"/>
      <c r="R2761" s="2"/>
      <c r="S2761" s="1" t="str">
        <f t="shared" si="351"/>
        <v/>
      </c>
      <c r="T2761" s="1" t="str">
        <f>IF(OR($C2761="",$D2761&lt;&gt;"Gelir",$L2761=""),"",IFERROR(INDEX(MUSTERILER!$B$7:$B$156,MATCH($S2761,MUSTERILER!$T$7:$T$156,0)),""))</f>
        <v/>
      </c>
      <c r="U2761" s="1" t="str">
        <f>IF($T2761="","",$T2761&amp;"|"&amp;COUNTIFS($T$7:$T2761,$T2761))</f>
        <v/>
      </c>
      <c r="V2761" s="1">
        <f t="shared" si="352"/>
        <v>0</v>
      </c>
      <c r="W2761" s="1" t="str">
        <f t="shared" si="353"/>
        <v/>
      </c>
      <c r="X2761" s="1"/>
      <c r="Y2761" s="1"/>
      <c r="Z2761" s="1"/>
      <c r="AA2761" s="1"/>
      <c r="AB2761" s="1"/>
      <c r="AC2761" s="1"/>
      <c r="AD2761" s="1">
        <f>IF($C2761="",0,SUMPRODUCT((AY_SONU!$O$7:$O$42="Evet")*(AY_SONU!$B$7:$B$42=DATE(YEAR($C2761),MONTH($C2761),1))))</f>
        <v>0</v>
      </c>
      <c r="AE2761" s="1" t="str">
        <f>IF($E2761="","",$E2761&amp;"|"&amp;COUNTIFS($E$7:$E2761,$E2761))</f>
        <v/>
      </c>
    </row>
    <row r="2762" spans="1:31" ht="18" customHeight="1" x14ac:dyDescent="0.3">
      <c r="A2762" s="2"/>
      <c r="B2762" s="65" t="str">
        <f t="shared" si="346"/>
        <v/>
      </c>
      <c r="C2762" s="66"/>
      <c r="D2762" s="60"/>
      <c r="E2762" s="61"/>
      <c r="F2762" s="61"/>
      <c r="G2762" s="67"/>
      <c r="H2762" s="60"/>
      <c r="I2762" s="60"/>
      <c r="J2762" s="61"/>
      <c r="K2762" s="61"/>
      <c r="L2762" s="60"/>
      <c r="M2762" s="74" t="str">
        <f t="shared" si="347"/>
        <v/>
      </c>
      <c r="N2762" s="74" t="str">
        <f t="shared" si="348"/>
        <v/>
      </c>
      <c r="O2762" s="73" t="str">
        <f t="shared" si="349"/>
        <v/>
      </c>
      <c r="P2762" s="65" t="str">
        <f t="shared" ca="1" si="350"/>
        <v/>
      </c>
      <c r="Q2762" s="2"/>
      <c r="R2762" s="2"/>
      <c r="S2762" s="1" t="str">
        <f t="shared" si="351"/>
        <v/>
      </c>
      <c r="T2762" s="1" t="str">
        <f>IF(OR($C2762="",$D2762&lt;&gt;"Gelir",$L2762=""),"",IFERROR(INDEX(MUSTERILER!$B$7:$B$156,MATCH($S2762,MUSTERILER!$T$7:$T$156,0)),""))</f>
        <v/>
      </c>
      <c r="U2762" s="1" t="str">
        <f>IF($T2762="","",$T2762&amp;"|"&amp;COUNTIFS($T$7:$T2762,$T2762))</f>
        <v/>
      </c>
      <c r="V2762" s="1">
        <f t="shared" si="352"/>
        <v>0</v>
      </c>
      <c r="W2762" s="1" t="str">
        <f t="shared" si="353"/>
        <v/>
      </c>
      <c r="X2762" s="1"/>
      <c r="Y2762" s="1"/>
      <c r="Z2762" s="1"/>
      <c r="AA2762" s="1"/>
      <c r="AB2762" s="1"/>
      <c r="AC2762" s="1"/>
      <c r="AD2762" s="1">
        <f>IF($C2762="",0,SUMPRODUCT((AY_SONU!$O$7:$O$42="Evet")*(AY_SONU!$B$7:$B$42=DATE(YEAR($C2762),MONTH($C2762),1))))</f>
        <v>0</v>
      </c>
      <c r="AE2762" s="1" t="str">
        <f>IF($E2762="","",$E2762&amp;"|"&amp;COUNTIFS($E$7:$E2762,$E2762))</f>
        <v/>
      </c>
    </row>
    <row r="2763" spans="1:31" ht="18" customHeight="1" x14ac:dyDescent="0.3">
      <c r="A2763" s="2"/>
      <c r="B2763" s="65" t="str">
        <f t="shared" si="346"/>
        <v/>
      </c>
      <c r="C2763" s="66"/>
      <c r="D2763" s="60"/>
      <c r="E2763" s="61"/>
      <c r="F2763" s="61"/>
      <c r="G2763" s="67"/>
      <c r="H2763" s="60"/>
      <c r="I2763" s="60"/>
      <c r="J2763" s="61"/>
      <c r="K2763" s="61"/>
      <c r="L2763" s="60"/>
      <c r="M2763" s="74" t="str">
        <f t="shared" si="347"/>
        <v/>
      </c>
      <c r="N2763" s="74" t="str">
        <f t="shared" si="348"/>
        <v/>
      </c>
      <c r="O2763" s="73" t="str">
        <f t="shared" si="349"/>
        <v/>
      </c>
      <c r="P2763" s="65" t="str">
        <f t="shared" ca="1" si="350"/>
        <v/>
      </c>
      <c r="Q2763" s="2"/>
      <c r="R2763" s="2"/>
      <c r="S2763" s="1" t="str">
        <f t="shared" si="351"/>
        <v/>
      </c>
      <c r="T2763" s="1" t="str">
        <f>IF(OR($C2763="",$D2763&lt;&gt;"Gelir",$L2763=""),"",IFERROR(INDEX(MUSTERILER!$B$7:$B$156,MATCH($S2763,MUSTERILER!$T$7:$T$156,0)),""))</f>
        <v/>
      </c>
      <c r="U2763" s="1" t="str">
        <f>IF($T2763="","",$T2763&amp;"|"&amp;COUNTIFS($T$7:$T2763,$T2763))</f>
        <v/>
      </c>
      <c r="V2763" s="1">
        <f t="shared" si="352"/>
        <v>0</v>
      </c>
      <c r="W2763" s="1" t="str">
        <f t="shared" si="353"/>
        <v/>
      </c>
      <c r="X2763" s="1"/>
      <c r="Y2763" s="1"/>
      <c r="Z2763" s="1"/>
      <c r="AA2763" s="1"/>
      <c r="AB2763" s="1"/>
      <c r="AC2763" s="1"/>
      <c r="AD2763" s="1">
        <f>IF($C2763="",0,SUMPRODUCT((AY_SONU!$O$7:$O$42="Evet")*(AY_SONU!$B$7:$B$42=DATE(YEAR($C2763),MONTH($C2763),1))))</f>
        <v>0</v>
      </c>
      <c r="AE2763" s="1" t="str">
        <f>IF($E2763="","",$E2763&amp;"|"&amp;COUNTIFS($E$7:$E2763,$E2763))</f>
        <v/>
      </c>
    </row>
    <row r="2764" spans="1:31" ht="18" customHeight="1" x14ac:dyDescent="0.3">
      <c r="A2764" s="2"/>
      <c r="B2764" s="65" t="str">
        <f t="shared" si="346"/>
        <v/>
      </c>
      <c r="C2764" s="66"/>
      <c r="D2764" s="60"/>
      <c r="E2764" s="61"/>
      <c r="F2764" s="61"/>
      <c r="G2764" s="67"/>
      <c r="H2764" s="60"/>
      <c r="I2764" s="60"/>
      <c r="J2764" s="61"/>
      <c r="K2764" s="61"/>
      <c r="L2764" s="60"/>
      <c r="M2764" s="74" t="str">
        <f t="shared" si="347"/>
        <v/>
      </c>
      <c r="N2764" s="74" t="str">
        <f t="shared" si="348"/>
        <v/>
      </c>
      <c r="O2764" s="73" t="str">
        <f t="shared" si="349"/>
        <v/>
      </c>
      <c r="P2764" s="65" t="str">
        <f t="shared" ca="1" si="350"/>
        <v/>
      </c>
      <c r="Q2764" s="2"/>
      <c r="R2764" s="2"/>
      <c r="S2764" s="1" t="str">
        <f t="shared" si="351"/>
        <v/>
      </c>
      <c r="T2764" s="1" t="str">
        <f>IF(OR($C2764="",$D2764&lt;&gt;"Gelir",$L2764=""),"",IFERROR(INDEX(MUSTERILER!$B$7:$B$156,MATCH($S2764,MUSTERILER!$T$7:$T$156,0)),""))</f>
        <v/>
      </c>
      <c r="U2764" s="1" t="str">
        <f>IF($T2764="","",$T2764&amp;"|"&amp;COUNTIFS($T$7:$T2764,$T2764))</f>
        <v/>
      </c>
      <c r="V2764" s="1">
        <f t="shared" si="352"/>
        <v>0</v>
      </c>
      <c r="W2764" s="1" t="str">
        <f t="shared" si="353"/>
        <v/>
      </c>
      <c r="X2764" s="1"/>
      <c r="Y2764" s="1"/>
      <c r="Z2764" s="1"/>
      <c r="AA2764" s="1"/>
      <c r="AB2764" s="1"/>
      <c r="AC2764" s="1"/>
      <c r="AD2764" s="1">
        <f>IF($C2764="",0,SUMPRODUCT((AY_SONU!$O$7:$O$42="Evet")*(AY_SONU!$B$7:$B$42=DATE(YEAR($C2764),MONTH($C2764),1))))</f>
        <v>0</v>
      </c>
      <c r="AE2764" s="1" t="str">
        <f>IF($E2764="","",$E2764&amp;"|"&amp;COUNTIFS($E$7:$E2764,$E2764))</f>
        <v/>
      </c>
    </row>
    <row r="2765" spans="1:31" ht="18" customHeight="1" x14ac:dyDescent="0.3">
      <c r="A2765" s="2"/>
      <c r="B2765" s="65" t="str">
        <f t="shared" si="346"/>
        <v/>
      </c>
      <c r="C2765" s="66"/>
      <c r="D2765" s="60"/>
      <c r="E2765" s="61"/>
      <c r="F2765" s="61"/>
      <c r="G2765" s="67"/>
      <c r="H2765" s="60"/>
      <c r="I2765" s="60"/>
      <c r="J2765" s="61"/>
      <c r="K2765" s="61"/>
      <c r="L2765" s="60"/>
      <c r="M2765" s="74" t="str">
        <f t="shared" si="347"/>
        <v/>
      </c>
      <c r="N2765" s="74" t="str">
        <f t="shared" si="348"/>
        <v/>
      </c>
      <c r="O2765" s="73" t="str">
        <f t="shared" si="349"/>
        <v/>
      </c>
      <c r="P2765" s="65" t="str">
        <f t="shared" ca="1" si="350"/>
        <v/>
      </c>
      <c r="Q2765" s="2"/>
      <c r="R2765" s="2"/>
      <c r="S2765" s="1" t="str">
        <f t="shared" si="351"/>
        <v/>
      </c>
      <c r="T2765" s="1" t="str">
        <f>IF(OR($C2765="",$D2765&lt;&gt;"Gelir",$L2765=""),"",IFERROR(INDEX(MUSTERILER!$B$7:$B$156,MATCH($S2765,MUSTERILER!$T$7:$T$156,0)),""))</f>
        <v/>
      </c>
      <c r="U2765" s="1" t="str">
        <f>IF($T2765="","",$T2765&amp;"|"&amp;COUNTIFS($T$7:$T2765,$T2765))</f>
        <v/>
      </c>
      <c r="V2765" s="1">
        <f t="shared" si="352"/>
        <v>0</v>
      </c>
      <c r="W2765" s="1" t="str">
        <f t="shared" si="353"/>
        <v/>
      </c>
      <c r="X2765" s="1"/>
      <c r="Y2765" s="1"/>
      <c r="Z2765" s="1"/>
      <c r="AA2765" s="1"/>
      <c r="AB2765" s="1"/>
      <c r="AC2765" s="1"/>
      <c r="AD2765" s="1">
        <f>IF($C2765="",0,SUMPRODUCT((AY_SONU!$O$7:$O$42="Evet")*(AY_SONU!$B$7:$B$42=DATE(YEAR($C2765),MONTH($C2765),1))))</f>
        <v>0</v>
      </c>
      <c r="AE2765" s="1" t="str">
        <f>IF($E2765="","",$E2765&amp;"|"&amp;COUNTIFS($E$7:$E2765,$E2765))</f>
        <v/>
      </c>
    </row>
    <row r="2766" spans="1:31" ht="18" customHeight="1" x14ac:dyDescent="0.3">
      <c r="A2766" s="2"/>
      <c r="B2766" s="65" t="str">
        <f t="shared" si="346"/>
        <v/>
      </c>
      <c r="C2766" s="66"/>
      <c r="D2766" s="60"/>
      <c r="E2766" s="61"/>
      <c r="F2766" s="61"/>
      <c r="G2766" s="67"/>
      <c r="H2766" s="60"/>
      <c r="I2766" s="60"/>
      <c r="J2766" s="61"/>
      <c r="K2766" s="61"/>
      <c r="L2766" s="60"/>
      <c r="M2766" s="74" t="str">
        <f t="shared" si="347"/>
        <v/>
      </c>
      <c r="N2766" s="74" t="str">
        <f t="shared" si="348"/>
        <v/>
      </c>
      <c r="O2766" s="73" t="str">
        <f t="shared" si="349"/>
        <v/>
      </c>
      <c r="P2766" s="65" t="str">
        <f t="shared" ca="1" si="350"/>
        <v/>
      </c>
      <c r="Q2766" s="2"/>
      <c r="R2766" s="2"/>
      <c r="S2766" s="1" t="str">
        <f t="shared" si="351"/>
        <v/>
      </c>
      <c r="T2766" s="1" t="str">
        <f>IF(OR($C2766="",$D2766&lt;&gt;"Gelir",$L2766=""),"",IFERROR(INDEX(MUSTERILER!$B$7:$B$156,MATCH($S2766,MUSTERILER!$T$7:$T$156,0)),""))</f>
        <v/>
      </c>
      <c r="U2766" s="1" t="str">
        <f>IF($T2766="","",$T2766&amp;"|"&amp;COUNTIFS($T$7:$T2766,$T2766))</f>
        <v/>
      </c>
      <c r="V2766" s="1">
        <f t="shared" si="352"/>
        <v>0</v>
      </c>
      <c r="W2766" s="1" t="str">
        <f t="shared" si="353"/>
        <v/>
      </c>
      <c r="X2766" s="1"/>
      <c r="Y2766" s="1"/>
      <c r="Z2766" s="1"/>
      <c r="AA2766" s="1"/>
      <c r="AB2766" s="1"/>
      <c r="AC2766" s="1"/>
      <c r="AD2766" s="1">
        <f>IF($C2766="",0,SUMPRODUCT((AY_SONU!$O$7:$O$42="Evet")*(AY_SONU!$B$7:$B$42=DATE(YEAR($C2766),MONTH($C2766),1))))</f>
        <v>0</v>
      </c>
      <c r="AE2766" s="1" t="str">
        <f>IF($E2766="","",$E2766&amp;"|"&amp;COUNTIFS($E$7:$E2766,$E2766))</f>
        <v/>
      </c>
    </row>
    <row r="2767" spans="1:31" ht="18" customHeight="1" x14ac:dyDescent="0.3">
      <c r="A2767" s="2"/>
      <c r="B2767" s="65" t="str">
        <f t="shared" si="346"/>
        <v/>
      </c>
      <c r="C2767" s="66"/>
      <c r="D2767" s="60"/>
      <c r="E2767" s="61"/>
      <c r="F2767" s="61"/>
      <c r="G2767" s="67"/>
      <c r="H2767" s="60"/>
      <c r="I2767" s="60"/>
      <c r="J2767" s="61"/>
      <c r="K2767" s="61"/>
      <c r="L2767" s="60"/>
      <c r="M2767" s="74" t="str">
        <f t="shared" si="347"/>
        <v/>
      </c>
      <c r="N2767" s="74" t="str">
        <f t="shared" si="348"/>
        <v/>
      </c>
      <c r="O2767" s="73" t="str">
        <f t="shared" si="349"/>
        <v/>
      </c>
      <c r="P2767" s="65" t="str">
        <f t="shared" ca="1" si="350"/>
        <v/>
      </c>
      <c r="Q2767" s="2"/>
      <c r="R2767" s="2"/>
      <c r="S2767" s="1" t="str">
        <f t="shared" si="351"/>
        <v/>
      </c>
      <c r="T2767" s="1" t="str">
        <f>IF(OR($C2767="",$D2767&lt;&gt;"Gelir",$L2767=""),"",IFERROR(INDEX(MUSTERILER!$B$7:$B$156,MATCH($S2767,MUSTERILER!$T$7:$T$156,0)),""))</f>
        <v/>
      </c>
      <c r="U2767" s="1" t="str">
        <f>IF($T2767="","",$T2767&amp;"|"&amp;COUNTIFS($T$7:$T2767,$T2767))</f>
        <v/>
      </c>
      <c r="V2767" s="1">
        <f t="shared" si="352"/>
        <v>0</v>
      </c>
      <c r="W2767" s="1" t="str">
        <f t="shared" si="353"/>
        <v/>
      </c>
      <c r="X2767" s="1"/>
      <c r="Y2767" s="1"/>
      <c r="Z2767" s="1"/>
      <c r="AA2767" s="1"/>
      <c r="AB2767" s="1"/>
      <c r="AC2767" s="1"/>
      <c r="AD2767" s="1">
        <f>IF($C2767="",0,SUMPRODUCT((AY_SONU!$O$7:$O$42="Evet")*(AY_SONU!$B$7:$B$42=DATE(YEAR($C2767),MONTH($C2767),1))))</f>
        <v>0</v>
      </c>
      <c r="AE2767" s="1" t="str">
        <f>IF($E2767="","",$E2767&amp;"|"&amp;COUNTIFS($E$7:$E2767,$E2767))</f>
        <v/>
      </c>
    </row>
    <row r="2768" spans="1:31" ht="18" customHeight="1" x14ac:dyDescent="0.3">
      <c r="A2768" s="2"/>
      <c r="B2768" s="65" t="str">
        <f t="shared" si="346"/>
        <v/>
      </c>
      <c r="C2768" s="66"/>
      <c r="D2768" s="60"/>
      <c r="E2768" s="61"/>
      <c r="F2768" s="61"/>
      <c r="G2768" s="67"/>
      <c r="H2768" s="60"/>
      <c r="I2768" s="60"/>
      <c r="J2768" s="61"/>
      <c r="K2768" s="61"/>
      <c r="L2768" s="60"/>
      <c r="M2768" s="74" t="str">
        <f t="shared" si="347"/>
        <v/>
      </c>
      <c r="N2768" s="74" t="str">
        <f t="shared" si="348"/>
        <v/>
      </c>
      <c r="O2768" s="73" t="str">
        <f t="shared" si="349"/>
        <v/>
      </c>
      <c r="P2768" s="65" t="str">
        <f t="shared" ca="1" si="350"/>
        <v/>
      </c>
      <c r="Q2768" s="2"/>
      <c r="R2768" s="2"/>
      <c r="S2768" s="1" t="str">
        <f t="shared" si="351"/>
        <v/>
      </c>
      <c r="T2768" s="1" t="str">
        <f>IF(OR($C2768="",$D2768&lt;&gt;"Gelir",$L2768=""),"",IFERROR(INDEX(MUSTERILER!$B$7:$B$156,MATCH($S2768,MUSTERILER!$T$7:$T$156,0)),""))</f>
        <v/>
      </c>
      <c r="U2768" s="1" t="str">
        <f>IF($T2768="","",$T2768&amp;"|"&amp;COUNTIFS($T$7:$T2768,$T2768))</f>
        <v/>
      </c>
      <c r="V2768" s="1">
        <f t="shared" si="352"/>
        <v>0</v>
      </c>
      <c r="W2768" s="1" t="str">
        <f t="shared" si="353"/>
        <v/>
      </c>
      <c r="X2768" s="1"/>
      <c r="Y2768" s="1"/>
      <c r="Z2768" s="1"/>
      <c r="AA2768" s="1"/>
      <c r="AB2768" s="1"/>
      <c r="AC2768" s="1"/>
      <c r="AD2768" s="1">
        <f>IF($C2768="",0,SUMPRODUCT((AY_SONU!$O$7:$O$42="Evet")*(AY_SONU!$B$7:$B$42=DATE(YEAR($C2768),MONTH($C2768),1))))</f>
        <v>0</v>
      </c>
      <c r="AE2768" s="1" t="str">
        <f>IF($E2768="","",$E2768&amp;"|"&amp;COUNTIFS($E$7:$E2768,$E2768))</f>
        <v/>
      </c>
    </row>
    <row r="2769" spans="1:31" ht="18" customHeight="1" x14ac:dyDescent="0.3">
      <c r="A2769" s="2"/>
      <c r="B2769" s="65" t="str">
        <f t="shared" si="346"/>
        <v/>
      </c>
      <c r="C2769" s="66"/>
      <c r="D2769" s="60"/>
      <c r="E2769" s="61"/>
      <c r="F2769" s="61"/>
      <c r="G2769" s="67"/>
      <c r="H2769" s="60"/>
      <c r="I2769" s="60"/>
      <c r="J2769" s="61"/>
      <c r="K2769" s="61"/>
      <c r="L2769" s="60"/>
      <c r="M2769" s="74" t="str">
        <f t="shared" si="347"/>
        <v/>
      </c>
      <c r="N2769" s="74" t="str">
        <f t="shared" si="348"/>
        <v/>
      </c>
      <c r="O2769" s="73" t="str">
        <f t="shared" si="349"/>
        <v/>
      </c>
      <c r="P2769" s="65" t="str">
        <f t="shared" ca="1" si="350"/>
        <v/>
      </c>
      <c r="Q2769" s="2"/>
      <c r="R2769" s="2"/>
      <c r="S2769" s="1" t="str">
        <f t="shared" si="351"/>
        <v/>
      </c>
      <c r="T2769" s="1" t="str">
        <f>IF(OR($C2769="",$D2769&lt;&gt;"Gelir",$L2769=""),"",IFERROR(INDEX(MUSTERILER!$B$7:$B$156,MATCH($S2769,MUSTERILER!$T$7:$T$156,0)),""))</f>
        <v/>
      </c>
      <c r="U2769" s="1" t="str">
        <f>IF($T2769="","",$T2769&amp;"|"&amp;COUNTIFS($T$7:$T2769,$T2769))</f>
        <v/>
      </c>
      <c r="V2769" s="1">
        <f t="shared" si="352"/>
        <v>0</v>
      </c>
      <c r="W2769" s="1" t="str">
        <f t="shared" si="353"/>
        <v/>
      </c>
      <c r="X2769" s="1"/>
      <c r="Y2769" s="1"/>
      <c r="Z2769" s="1"/>
      <c r="AA2769" s="1"/>
      <c r="AB2769" s="1"/>
      <c r="AC2769" s="1"/>
      <c r="AD2769" s="1">
        <f>IF($C2769="",0,SUMPRODUCT((AY_SONU!$O$7:$O$42="Evet")*(AY_SONU!$B$7:$B$42=DATE(YEAR($C2769),MONTH($C2769),1))))</f>
        <v>0</v>
      </c>
      <c r="AE2769" s="1" t="str">
        <f>IF($E2769="","",$E2769&amp;"|"&amp;COUNTIFS($E$7:$E2769,$E2769))</f>
        <v/>
      </c>
    </row>
    <row r="2770" spans="1:31" ht="18" customHeight="1" x14ac:dyDescent="0.3">
      <c r="A2770" s="2"/>
      <c r="B2770" s="65" t="str">
        <f t="shared" si="346"/>
        <v/>
      </c>
      <c r="C2770" s="66"/>
      <c r="D2770" s="60"/>
      <c r="E2770" s="61"/>
      <c r="F2770" s="61"/>
      <c r="G2770" s="67"/>
      <c r="H2770" s="60"/>
      <c r="I2770" s="60"/>
      <c r="J2770" s="61"/>
      <c r="K2770" s="61"/>
      <c r="L2770" s="60"/>
      <c r="M2770" s="74" t="str">
        <f t="shared" si="347"/>
        <v/>
      </c>
      <c r="N2770" s="74" t="str">
        <f t="shared" si="348"/>
        <v/>
      </c>
      <c r="O2770" s="73" t="str">
        <f t="shared" si="349"/>
        <v/>
      </c>
      <c r="P2770" s="65" t="str">
        <f t="shared" ca="1" si="350"/>
        <v/>
      </c>
      <c r="Q2770" s="2"/>
      <c r="R2770" s="2"/>
      <c r="S2770" s="1" t="str">
        <f t="shared" si="351"/>
        <v/>
      </c>
      <c r="T2770" s="1" t="str">
        <f>IF(OR($C2770="",$D2770&lt;&gt;"Gelir",$L2770=""),"",IFERROR(INDEX(MUSTERILER!$B$7:$B$156,MATCH($S2770,MUSTERILER!$T$7:$T$156,0)),""))</f>
        <v/>
      </c>
      <c r="U2770" s="1" t="str">
        <f>IF($T2770="","",$T2770&amp;"|"&amp;COUNTIFS($T$7:$T2770,$T2770))</f>
        <v/>
      </c>
      <c r="V2770" s="1">
        <f t="shared" si="352"/>
        <v>0</v>
      </c>
      <c r="W2770" s="1" t="str">
        <f t="shared" si="353"/>
        <v/>
      </c>
      <c r="X2770" s="1"/>
      <c r="Y2770" s="1"/>
      <c r="Z2770" s="1"/>
      <c r="AA2770" s="1"/>
      <c r="AB2770" s="1"/>
      <c r="AC2770" s="1"/>
      <c r="AD2770" s="1">
        <f>IF($C2770="",0,SUMPRODUCT((AY_SONU!$O$7:$O$42="Evet")*(AY_SONU!$B$7:$B$42=DATE(YEAR($C2770),MONTH($C2770),1))))</f>
        <v>0</v>
      </c>
      <c r="AE2770" s="1" t="str">
        <f>IF($E2770="","",$E2770&amp;"|"&amp;COUNTIFS($E$7:$E2770,$E2770))</f>
        <v/>
      </c>
    </row>
    <row r="2771" spans="1:31" ht="18" customHeight="1" x14ac:dyDescent="0.3">
      <c r="A2771" s="2"/>
      <c r="B2771" s="65" t="str">
        <f t="shared" si="346"/>
        <v/>
      </c>
      <c r="C2771" s="66"/>
      <c r="D2771" s="60"/>
      <c r="E2771" s="61"/>
      <c r="F2771" s="61"/>
      <c r="G2771" s="67"/>
      <c r="H2771" s="60"/>
      <c r="I2771" s="60"/>
      <c r="J2771" s="61"/>
      <c r="K2771" s="61"/>
      <c r="L2771" s="60"/>
      <c r="M2771" s="74" t="str">
        <f t="shared" si="347"/>
        <v/>
      </c>
      <c r="N2771" s="74" t="str">
        <f t="shared" si="348"/>
        <v/>
      </c>
      <c r="O2771" s="73" t="str">
        <f t="shared" si="349"/>
        <v/>
      </c>
      <c r="P2771" s="65" t="str">
        <f t="shared" ca="1" si="350"/>
        <v/>
      </c>
      <c r="Q2771" s="2"/>
      <c r="R2771" s="2"/>
      <c r="S2771" s="1" t="str">
        <f t="shared" si="351"/>
        <v/>
      </c>
      <c r="T2771" s="1" t="str">
        <f>IF(OR($C2771="",$D2771&lt;&gt;"Gelir",$L2771=""),"",IFERROR(INDEX(MUSTERILER!$B$7:$B$156,MATCH($S2771,MUSTERILER!$T$7:$T$156,0)),""))</f>
        <v/>
      </c>
      <c r="U2771" s="1" t="str">
        <f>IF($T2771="","",$T2771&amp;"|"&amp;COUNTIFS($T$7:$T2771,$T2771))</f>
        <v/>
      </c>
      <c r="V2771" s="1">
        <f t="shared" si="352"/>
        <v>0</v>
      </c>
      <c r="W2771" s="1" t="str">
        <f t="shared" si="353"/>
        <v/>
      </c>
      <c r="X2771" s="1"/>
      <c r="Y2771" s="1"/>
      <c r="Z2771" s="1"/>
      <c r="AA2771" s="1"/>
      <c r="AB2771" s="1"/>
      <c r="AC2771" s="1"/>
      <c r="AD2771" s="1">
        <f>IF($C2771="",0,SUMPRODUCT((AY_SONU!$O$7:$O$42="Evet")*(AY_SONU!$B$7:$B$42=DATE(YEAR($C2771),MONTH($C2771),1))))</f>
        <v>0</v>
      </c>
      <c r="AE2771" s="1" t="str">
        <f>IF($E2771="","",$E2771&amp;"|"&amp;COUNTIFS($E$7:$E2771,$E2771))</f>
        <v/>
      </c>
    </row>
    <row r="2772" spans="1:31" ht="18" customHeight="1" x14ac:dyDescent="0.3">
      <c r="A2772" s="2"/>
      <c r="B2772" s="65" t="str">
        <f t="shared" si="346"/>
        <v/>
      </c>
      <c r="C2772" s="66"/>
      <c r="D2772" s="60"/>
      <c r="E2772" s="61"/>
      <c r="F2772" s="61"/>
      <c r="G2772" s="67"/>
      <c r="H2772" s="60"/>
      <c r="I2772" s="60"/>
      <c r="J2772" s="61"/>
      <c r="K2772" s="61"/>
      <c r="L2772" s="60"/>
      <c r="M2772" s="74" t="str">
        <f t="shared" si="347"/>
        <v/>
      </c>
      <c r="N2772" s="74" t="str">
        <f t="shared" si="348"/>
        <v/>
      </c>
      <c r="O2772" s="73" t="str">
        <f t="shared" si="349"/>
        <v/>
      </c>
      <c r="P2772" s="65" t="str">
        <f t="shared" ca="1" si="350"/>
        <v/>
      </c>
      <c r="Q2772" s="2"/>
      <c r="R2772" s="2"/>
      <c r="S2772" s="1" t="str">
        <f t="shared" si="351"/>
        <v/>
      </c>
      <c r="T2772" s="1" t="str">
        <f>IF(OR($C2772="",$D2772&lt;&gt;"Gelir",$L2772=""),"",IFERROR(INDEX(MUSTERILER!$B$7:$B$156,MATCH($S2772,MUSTERILER!$T$7:$T$156,0)),""))</f>
        <v/>
      </c>
      <c r="U2772" s="1" t="str">
        <f>IF($T2772="","",$T2772&amp;"|"&amp;COUNTIFS($T$7:$T2772,$T2772))</f>
        <v/>
      </c>
      <c r="V2772" s="1">
        <f t="shared" si="352"/>
        <v>0</v>
      </c>
      <c r="W2772" s="1" t="str">
        <f t="shared" si="353"/>
        <v/>
      </c>
      <c r="X2772" s="1"/>
      <c r="Y2772" s="1"/>
      <c r="Z2772" s="1"/>
      <c r="AA2772" s="1"/>
      <c r="AB2772" s="1"/>
      <c r="AC2772" s="1"/>
      <c r="AD2772" s="1">
        <f>IF($C2772="",0,SUMPRODUCT((AY_SONU!$O$7:$O$42="Evet")*(AY_SONU!$B$7:$B$42=DATE(YEAR($C2772),MONTH($C2772),1))))</f>
        <v>0</v>
      </c>
      <c r="AE2772" s="1" t="str">
        <f>IF($E2772="","",$E2772&amp;"|"&amp;COUNTIFS($E$7:$E2772,$E2772))</f>
        <v/>
      </c>
    </row>
    <row r="2773" spans="1:31" ht="18" customHeight="1" x14ac:dyDescent="0.3">
      <c r="A2773" s="2"/>
      <c r="B2773" s="65" t="str">
        <f t="shared" si="346"/>
        <v/>
      </c>
      <c r="C2773" s="66"/>
      <c r="D2773" s="60"/>
      <c r="E2773" s="61"/>
      <c r="F2773" s="61"/>
      <c r="G2773" s="67"/>
      <c r="H2773" s="60"/>
      <c r="I2773" s="60"/>
      <c r="J2773" s="61"/>
      <c r="K2773" s="61"/>
      <c r="L2773" s="60"/>
      <c r="M2773" s="74" t="str">
        <f t="shared" si="347"/>
        <v/>
      </c>
      <c r="N2773" s="74" t="str">
        <f t="shared" si="348"/>
        <v/>
      </c>
      <c r="O2773" s="73" t="str">
        <f t="shared" si="349"/>
        <v/>
      </c>
      <c r="P2773" s="65" t="str">
        <f t="shared" ca="1" si="350"/>
        <v/>
      </c>
      <c r="Q2773" s="2"/>
      <c r="R2773" s="2"/>
      <c r="S2773" s="1" t="str">
        <f t="shared" si="351"/>
        <v/>
      </c>
      <c r="T2773" s="1" t="str">
        <f>IF(OR($C2773="",$D2773&lt;&gt;"Gelir",$L2773=""),"",IFERROR(INDEX(MUSTERILER!$B$7:$B$156,MATCH($S2773,MUSTERILER!$T$7:$T$156,0)),""))</f>
        <v/>
      </c>
      <c r="U2773" s="1" t="str">
        <f>IF($T2773="","",$T2773&amp;"|"&amp;COUNTIFS($T$7:$T2773,$T2773))</f>
        <v/>
      </c>
      <c r="V2773" s="1">
        <f t="shared" si="352"/>
        <v>0</v>
      </c>
      <c r="W2773" s="1" t="str">
        <f t="shared" si="353"/>
        <v/>
      </c>
      <c r="X2773" s="1"/>
      <c r="Y2773" s="1"/>
      <c r="Z2773" s="1"/>
      <c r="AA2773" s="1"/>
      <c r="AB2773" s="1"/>
      <c r="AC2773" s="1"/>
      <c r="AD2773" s="1">
        <f>IF($C2773="",0,SUMPRODUCT((AY_SONU!$O$7:$O$42="Evet")*(AY_SONU!$B$7:$B$42=DATE(YEAR($C2773),MONTH($C2773),1))))</f>
        <v>0</v>
      </c>
      <c r="AE2773" s="1" t="str">
        <f>IF($E2773="","",$E2773&amp;"|"&amp;COUNTIFS($E$7:$E2773,$E2773))</f>
        <v/>
      </c>
    </row>
    <row r="2774" spans="1:31" ht="18" customHeight="1" x14ac:dyDescent="0.3">
      <c r="A2774" s="2"/>
      <c r="B2774" s="65" t="str">
        <f t="shared" si="346"/>
        <v/>
      </c>
      <c r="C2774" s="66"/>
      <c r="D2774" s="60"/>
      <c r="E2774" s="61"/>
      <c r="F2774" s="61"/>
      <c r="G2774" s="67"/>
      <c r="H2774" s="60"/>
      <c r="I2774" s="60"/>
      <c r="J2774" s="61"/>
      <c r="K2774" s="61"/>
      <c r="L2774" s="60"/>
      <c r="M2774" s="74" t="str">
        <f t="shared" si="347"/>
        <v/>
      </c>
      <c r="N2774" s="74" t="str">
        <f t="shared" si="348"/>
        <v/>
      </c>
      <c r="O2774" s="73" t="str">
        <f t="shared" si="349"/>
        <v/>
      </c>
      <c r="P2774" s="65" t="str">
        <f t="shared" ca="1" si="350"/>
        <v/>
      </c>
      <c r="Q2774" s="2"/>
      <c r="R2774" s="2"/>
      <c r="S2774" s="1" t="str">
        <f t="shared" si="351"/>
        <v/>
      </c>
      <c r="T2774" s="1" t="str">
        <f>IF(OR($C2774="",$D2774&lt;&gt;"Gelir",$L2774=""),"",IFERROR(INDEX(MUSTERILER!$B$7:$B$156,MATCH($S2774,MUSTERILER!$T$7:$T$156,0)),""))</f>
        <v/>
      </c>
      <c r="U2774" s="1" t="str">
        <f>IF($T2774="","",$T2774&amp;"|"&amp;COUNTIFS($T$7:$T2774,$T2774))</f>
        <v/>
      </c>
      <c r="V2774" s="1">
        <f t="shared" si="352"/>
        <v>0</v>
      </c>
      <c r="W2774" s="1" t="str">
        <f t="shared" si="353"/>
        <v/>
      </c>
      <c r="X2774" s="1"/>
      <c r="Y2774" s="1"/>
      <c r="Z2774" s="1"/>
      <c r="AA2774" s="1"/>
      <c r="AB2774" s="1"/>
      <c r="AC2774" s="1"/>
      <c r="AD2774" s="1">
        <f>IF($C2774="",0,SUMPRODUCT((AY_SONU!$O$7:$O$42="Evet")*(AY_SONU!$B$7:$B$42=DATE(YEAR($C2774),MONTH($C2774),1))))</f>
        <v>0</v>
      </c>
      <c r="AE2774" s="1" t="str">
        <f>IF($E2774="","",$E2774&amp;"|"&amp;COUNTIFS($E$7:$E2774,$E2774))</f>
        <v/>
      </c>
    </row>
    <row r="2775" spans="1:31" ht="18" customHeight="1" x14ac:dyDescent="0.3">
      <c r="A2775" s="2"/>
      <c r="B2775" s="65" t="str">
        <f t="shared" si="346"/>
        <v/>
      </c>
      <c r="C2775" s="66"/>
      <c r="D2775" s="60"/>
      <c r="E2775" s="61"/>
      <c r="F2775" s="61"/>
      <c r="G2775" s="67"/>
      <c r="H2775" s="60"/>
      <c r="I2775" s="60"/>
      <c r="J2775" s="61"/>
      <c r="K2775" s="61"/>
      <c r="L2775" s="60"/>
      <c r="M2775" s="74" t="str">
        <f t="shared" si="347"/>
        <v/>
      </c>
      <c r="N2775" s="74" t="str">
        <f t="shared" si="348"/>
        <v/>
      </c>
      <c r="O2775" s="73" t="str">
        <f t="shared" si="349"/>
        <v/>
      </c>
      <c r="P2775" s="65" t="str">
        <f t="shared" ca="1" si="350"/>
        <v/>
      </c>
      <c r="Q2775" s="2"/>
      <c r="R2775" s="2"/>
      <c r="S2775" s="1" t="str">
        <f t="shared" si="351"/>
        <v/>
      </c>
      <c r="T2775" s="1" t="str">
        <f>IF(OR($C2775="",$D2775&lt;&gt;"Gelir",$L2775=""),"",IFERROR(INDEX(MUSTERILER!$B$7:$B$156,MATCH($S2775,MUSTERILER!$T$7:$T$156,0)),""))</f>
        <v/>
      </c>
      <c r="U2775" s="1" t="str">
        <f>IF($T2775="","",$T2775&amp;"|"&amp;COUNTIFS($T$7:$T2775,$T2775))</f>
        <v/>
      </c>
      <c r="V2775" s="1">
        <f t="shared" si="352"/>
        <v>0</v>
      </c>
      <c r="W2775" s="1" t="str">
        <f t="shared" si="353"/>
        <v/>
      </c>
      <c r="X2775" s="1"/>
      <c r="Y2775" s="1"/>
      <c r="Z2775" s="1"/>
      <c r="AA2775" s="1"/>
      <c r="AB2775" s="1"/>
      <c r="AC2775" s="1"/>
      <c r="AD2775" s="1">
        <f>IF($C2775="",0,SUMPRODUCT((AY_SONU!$O$7:$O$42="Evet")*(AY_SONU!$B$7:$B$42=DATE(YEAR($C2775),MONTH($C2775),1))))</f>
        <v>0</v>
      </c>
      <c r="AE2775" s="1" t="str">
        <f>IF($E2775="","",$E2775&amp;"|"&amp;COUNTIFS($E$7:$E2775,$E2775))</f>
        <v/>
      </c>
    </row>
    <row r="2776" spans="1:31" ht="18" customHeight="1" x14ac:dyDescent="0.3">
      <c r="A2776" s="2"/>
      <c r="B2776" s="65" t="str">
        <f t="shared" si="346"/>
        <v/>
      </c>
      <c r="C2776" s="66"/>
      <c r="D2776" s="60"/>
      <c r="E2776" s="61"/>
      <c r="F2776" s="61"/>
      <c r="G2776" s="67"/>
      <c r="H2776" s="60"/>
      <c r="I2776" s="60"/>
      <c r="J2776" s="61"/>
      <c r="K2776" s="61"/>
      <c r="L2776" s="60"/>
      <c r="M2776" s="74" t="str">
        <f t="shared" si="347"/>
        <v/>
      </c>
      <c r="N2776" s="74" t="str">
        <f t="shared" si="348"/>
        <v/>
      </c>
      <c r="O2776" s="73" t="str">
        <f t="shared" si="349"/>
        <v/>
      </c>
      <c r="P2776" s="65" t="str">
        <f t="shared" ca="1" si="350"/>
        <v/>
      </c>
      <c r="Q2776" s="2"/>
      <c r="R2776" s="2"/>
      <c r="S2776" s="1" t="str">
        <f t="shared" si="351"/>
        <v/>
      </c>
      <c r="T2776" s="1" t="str">
        <f>IF(OR($C2776="",$D2776&lt;&gt;"Gelir",$L2776=""),"",IFERROR(INDEX(MUSTERILER!$B$7:$B$156,MATCH($S2776,MUSTERILER!$T$7:$T$156,0)),""))</f>
        <v/>
      </c>
      <c r="U2776" s="1" t="str">
        <f>IF($T2776="","",$T2776&amp;"|"&amp;COUNTIFS($T$7:$T2776,$T2776))</f>
        <v/>
      </c>
      <c r="V2776" s="1">
        <f t="shared" si="352"/>
        <v>0</v>
      </c>
      <c r="W2776" s="1" t="str">
        <f t="shared" si="353"/>
        <v/>
      </c>
      <c r="X2776" s="1"/>
      <c r="Y2776" s="1"/>
      <c r="Z2776" s="1"/>
      <c r="AA2776" s="1"/>
      <c r="AB2776" s="1"/>
      <c r="AC2776" s="1"/>
      <c r="AD2776" s="1">
        <f>IF($C2776="",0,SUMPRODUCT((AY_SONU!$O$7:$O$42="Evet")*(AY_SONU!$B$7:$B$42=DATE(YEAR($C2776),MONTH($C2776),1))))</f>
        <v>0</v>
      </c>
      <c r="AE2776" s="1" t="str">
        <f>IF($E2776="","",$E2776&amp;"|"&amp;COUNTIFS($E$7:$E2776,$E2776))</f>
        <v/>
      </c>
    </row>
    <row r="2777" spans="1:31" ht="18" customHeight="1" x14ac:dyDescent="0.3">
      <c r="A2777" s="2"/>
      <c r="B2777" s="65" t="str">
        <f t="shared" si="346"/>
        <v/>
      </c>
      <c r="C2777" s="66"/>
      <c r="D2777" s="60"/>
      <c r="E2777" s="61"/>
      <c r="F2777" s="61"/>
      <c r="G2777" s="67"/>
      <c r="H2777" s="60"/>
      <c r="I2777" s="60"/>
      <c r="J2777" s="61"/>
      <c r="K2777" s="61"/>
      <c r="L2777" s="60"/>
      <c r="M2777" s="74" t="str">
        <f t="shared" si="347"/>
        <v/>
      </c>
      <c r="N2777" s="74" t="str">
        <f t="shared" si="348"/>
        <v/>
      </c>
      <c r="O2777" s="73" t="str">
        <f t="shared" si="349"/>
        <v/>
      </c>
      <c r="P2777" s="65" t="str">
        <f t="shared" ca="1" si="350"/>
        <v/>
      </c>
      <c r="Q2777" s="2"/>
      <c r="R2777" s="2"/>
      <c r="S2777" s="1" t="str">
        <f t="shared" si="351"/>
        <v/>
      </c>
      <c r="T2777" s="1" t="str">
        <f>IF(OR($C2777="",$D2777&lt;&gt;"Gelir",$L2777=""),"",IFERROR(INDEX(MUSTERILER!$B$7:$B$156,MATCH($S2777,MUSTERILER!$T$7:$T$156,0)),""))</f>
        <v/>
      </c>
      <c r="U2777" s="1" t="str">
        <f>IF($T2777="","",$T2777&amp;"|"&amp;COUNTIFS($T$7:$T2777,$T2777))</f>
        <v/>
      </c>
      <c r="V2777" s="1">
        <f t="shared" si="352"/>
        <v>0</v>
      </c>
      <c r="W2777" s="1" t="str">
        <f t="shared" si="353"/>
        <v/>
      </c>
      <c r="X2777" s="1"/>
      <c r="Y2777" s="1"/>
      <c r="Z2777" s="1"/>
      <c r="AA2777" s="1"/>
      <c r="AB2777" s="1"/>
      <c r="AC2777" s="1"/>
      <c r="AD2777" s="1">
        <f>IF($C2777="",0,SUMPRODUCT((AY_SONU!$O$7:$O$42="Evet")*(AY_SONU!$B$7:$B$42=DATE(YEAR($C2777),MONTH($C2777),1))))</f>
        <v>0</v>
      </c>
      <c r="AE2777" s="1" t="str">
        <f>IF($E2777="","",$E2777&amp;"|"&amp;COUNTIFS($E$7:$E2777,$E2777))</f>
        <v/>
      </c>
    </row>
    <row r="2778" spans="1:31" ht="18" customHeight="1" x14ac:dyDescent="0.3">
      <c r="A2778" s="2"/>
      <c r="B2778" s="65" t="str">
        <f t="shared" si="346"/>
        <v/>
      </c>
      <c r="C2778" s="66"/>
      <c r="D2778" s="60"/>
      <c r="E2778" s="61"/>
      <c r="F2778" s="61"/>
      <c r="G2778" s="67"/>
      <c r="H2778" s="60"/>
      <c r="I2778" s="60"/>
      <c r="J2778" s="61"/>
      <c r="K2778" s="61"/>
      <c r="L2778" s="60"/>
      <c r="M2778" s="74" t="str">
        <f t="shared" si="347"/>
        <v/>
      </c>
      <c r="N2778" s="74" t="str">
        <f t="shared" si="348"/>
        <v/>
      </c>
      <c r="O2778" s="73" t="str">
        <f t="shared" si="349"/>
        <v/>
      </c>
      <c r="P2778" s="65" t="str">
        <f t="shared" ca="1" si="350"/>
        <v/>
      </c>
      <c r="Q2778" s="2"/>
      <c r="R2778" s="2"/>
      <c r="S2778" s="1" t="str">
        <f t="shared" si="351"/>
        <v/>
      </c>
      <c r="T2778" s="1" t="str">
        <f>IF(OR($C2778="",$D2778&lt;&gt;"Gelir",$L2778=""),"",IFERROR(INDEX(MUSTERILER!$B$7:$B$156,MATCH($S2778,MUSTERILER!$T$7:$T$156,0)),""))</f>
        <v/>
      </c>
      <c r="U2778" s="1" t="str">
        <f>IF($T2778="","",$T2778&amp;"|"&amp;COUNTIFS($T$7:$T2778,$T2778))</f>
        <v/>
      </c>
      <c r="V2778" s="1">
        <f t="shared" si="352"/>
        <v>0</v>
      </c>
      <c r="W2778" s="1" t="str">
        <f t="shared" si="353"/>
        <v/>
      </c>
      <c r="X2778" s="1"/>
      <c r="Y2778" s="1"/>
      <c r="Z2778" s="1"/>
      <c r="AA2778" s="1"/>
      <c r="AB2778" s="1"/>
      <c r="AC2778" s="1"/>
      <c r="AD2778" s="1">
        <f>IF($C2778="",0,SUMPRODUCT((AY_SONU!$O$7:$O$42="Evet")*(AY_SONU!$B$7:$B$42=DATE(YEAR($C2778),MONTH($C2778),1))))</f>
        <v>0</v>
      </c>
      <c r="AE2778" s="1" t="str">
        <f>IF($E2778="","",$E2778&amp;"|"&amp;COUNTIFS($E$7:$E2778,$E2778))</f>
        <v/>
      </c>
    </row>
    <row r="2779" spans="1:31" ht="18" customHeight="1" x14ac:dyDescent="0.3">
      <c r="A2779" s="2"/>
      <c r="B2779" s="65" t="str">
        <f t="shared" si="346"/>
        <v/>
      </c>
      <c r="C2779" s="66"/>
      <c r="D2779" s="60"/>
      <c r="E2779" s="61"/>
      <c r="F2779" s="61"/>
      <c r="G2779" s="67"/>
      <c r="H2779" s="60"/>
      <c r="I2779" s="60"/>
      <c r="J2779" s="61"/>
      <c r="K2779" s="61"/>
      <c r="L2779" s="60"/>
      <c r="M2779" s="74" t="str">
        <f t="shared" si="347"/>
        <v/>
      </c>
      <c r="N2779" s="74" t="str">
        <f t="shared" si="348"/>
        <v/>
      </c>
      <c r="O2779" s="73" t="str">
        <f t="shared" si="349"/>
        <v/>
      </c>
      <c r="P2779" s="65" t="str">
        <f t="shared" ca="1" si="350"/>
        <v/>
      </c>
      <c r="Q2779" s="2"/>
      <c r="R2779" s="2"/>
      <c r="S2779" s="1" t="str">
        <f t="shared" si="351"/>
        <v/>
      </c>
      <c r="T2779" s="1" t="str">
        <f>IF(OR($C2779="",$D2779&lt;&gt;"Gelir",$L2779=""),"",IFERROR(INDEX(MUSTERILER!$B$7:$B$156,MATCH($S2779,MUSTERILER!$T$7:$T$156,0)),""))</f>
        <v/>
      </c>
      <c r="U2779" s="1" t="str">
        <f>IF($T2779="","",$T2779&amp;"|"&amp;COUNTIFS($T$7:$T2779,$T2779))</f>
        <v/>
      </c>
      <c r="V2779" s="1">
        <f t="shared" si="352"/>
        <v>0</v>
      </c>
      <c r="W2779" s="1" t="str">
        <f t="shared" si="353"/>
        <v/>
      </c>
      <c r="X2779" s="1"/>
      <c r="Y2779" s="1"/>
      <c r="Z2779" s="1"/>
      <c r="AA2779" s="1"/>
      <c r="AB2779" s="1"/>
      <c r="AC2779" s="1"/>
      <c r="AD2779" s="1">
        <f>IF($C2779="",0,SUMPRODUCT((AY_SONU!$O$7:$O$42="Evet")*(AY_SONU!$B$7:$B$42=DATE(YEAR($C2779),MONTH($C2779),1))))</f>
        <v>0</v>
      </c>
      <c r="AE2779" s="1" t="str">
        <f>IF($E2779="","",$E2779&amp;"|"&amp;COUNTIFS($E$7:$E2779,$E2779))</f>
        <v/>
      </c>
    </row>
    <row r="2780" spans="1:31" ht="18" customHeight="1" x14ac:dyDescent="0.3">
      <c r="A2780" s="2"/>
      <c r="B2780" s="65" t="str">
        <f t="shared" si="346"/>
        <v/>
      </c>
      <c r="C2780" s="66"/>
      <c r="D2780" s="60"/>
      <c r="E2780" s="61"/>
      <c r="F2780" s="61"/>
      <c r="G2780" s="67"/>
      <c r="H2780" s="60"/>
      <c r="I2780" s="60"/>
      <c r="J2780" s="61"/>
      <c r="K2780" s="61"/>
      <c r="L2780" s="60"/>
      <c r="M2780" s="74" t="str">
        <f t="shared" si="347"/>
        <v/>
      </c>
      <c r="N2780" s="74" t="str">
        <f t="shared" si="348"/>
        <v/>
      </c>
      <c r="O2780" s="73" t="str">
        <f t="shared" si="349"/>
        <v/>
      </c>
      <c r="P2780" s="65" t="str">
        <f t="shared" ca="1" si="350"/>
        <v/>
      </c>
      <c r="Q2780" s="2"/>
      <c r="R2780" s="2"/>
      <c r="S2780" s="1" t="str">
        <f t="shared" si="351"/>
        <v/>
      </c>
      <c r="T2780" s="1" t="str">
        <f>IF(OR($C2780="",$D2780&lt;&gt;"Gelir",$L2780=""),"",IFERROR(INDEX(MUSTERILER!$B$7:$B$156,MATCH($S2780,MUSTERILER!$T$7:$T$156,0)),""))</f>
        <v/>
      </c>
      <c r="U2780" s="1" t="str">
        <f>IF($T2780="","",$T2780&amp;"|"&amp;COUNTIFS($T$7:$T2780,$T2780))</f>
        <v/>
      </c>
      <c r="V2780" s="1">
        <f t="shared" si="352"/>
        <v>0</v>
      </c>
      <c r="W2780" s="1" t="str">
        <f t="shared" si="353"/>
        <v/>
      </c>
      <c r="X2780" s="1"/>
      <c r="Y2780" s="1"/>
      <c r="Z2780" s="1"/>
      <c r="AA2780" s="1"/>
      <c r="AB2780" s="1"/>
      <c r="AC2780" s="1"/>
      <c r="AD2780" s="1">
        <f>IF($C2780="",0,SUMPRODUCT((AY_SONU!$O$7:$O$42="Evet")*(AY_SONU!$B$7:$B$42=DATE(YEAR($C2780),MONTH($C2780),1))))</f>
        <v>0</v>
      </c>
      <c r="AE2780" s="1" t="str">
        <f>IF($E2780="","",$E2780&amp;"|"&amp;COUNTIFS($E$7:$E2780,$E2780))</f>
        <v/>
      </c>
    </row>
    <row r="2781" spans="1:31" ht="18" customHeight="1" x14ac:dyDescent="0.3">
      <c r="A2781" s="2"/>
      <c r="B2781" s="65" t="str">
        <f t="shared" si="346"/>
        <v/>
      </c>
      <c r="C2781" s="66"/>
      <c r="D2781" s="60"/>
      <c r="E2781" s="61"/>
      <c r="F2781" s="61"/>
      <c r="G2781" s="67"/>
      <c r="H2781" s="60"/>
      <c r="I2781" s="60"/>
      <c r="J2781" s="61"/>
      <c r="K2781" s="61"/>
      <c r="L2781" s="60"/>
      <c r="M2781" s="74" t="str">
        <f t="shared" si="347"/>
        <v/>
      </c>
      <c r="N2781" s="74" t="str">
        <f t="shared" si="348"/>
        <v/>
      </c>
      <c r="O2781" s="73" t="str">
        <f t="shared" si="349"/>
        <v/>
      </c>
      <c r="P2781" s="65" t="str">
        <f t="shared" ca="1" si="350"/>
        <v/>
      </c>
      <c r="Q2781" s="2"/>
      <c r="R2781" s="2"/>
      <c r="S2781" s="1" t="str">
        <f t="shared" si="351"/>
        <v/>
      </c>
      <c r="T2781" s="1" t="str">
        <f>IF(OR($C2781="",$D2781&lt;&gt;"Gelir",$L2781=""),"",IFERROR(INDEX(MUSTERILER!$B$7:$B$156,MATCH($S2781,MUSTERILER!$T$7:$T$156,0)),""))</f>
        <v/>
      </c>
      <c r="U2781" s="1" t="str">
        <f>IF($T2781="","",$T2781&amp;"|"&amp;COUNTIFS($T$7:$T2781,$T2781))</f>
        <v/>
      </c>
      <c r="V2781" s="1">
        <f t="shared" si="352"/>
        <v>0</v>
      </c>
      <c r="W2781" s="1" t="str">
        <f t="shared" si="353"/>
        <v/>
      </c>
      <c r="X2781" s="1"/>
      <c r="Y2781" s="1"/>
      <c r="Z2781" s="1"/>
      <c r="AA2781" s="1"/>
      <c r="AB2781" s="1"/>
      <c r="AC2781" s="1"/>
      <c r="AD2781" s="1">
        <f>IF($C2781="",0,SUMPRODUCT((AY_SONU!$O$7:$O$42="Evet")*(AY_SONU!$B$7:$B$42=DATE(YEAR($C2781),MONTH($C2781),1))))</f>
        <v>0</v>
      </c>
      <c r="AE2781" s="1" t="str">
        <f>IF($E2781="","",$E2781&amp;"|"&amp;COUNTIFS($E$7:$E2781,$E2781))</f>
        <v/>
      </c>
    </row>
    <row r="2782" spans="1:31" ht="18" customHeight="1" x14ac:dyDescent="0.3">
      <c r="A2782" s="2"/>
      <c r="B2782" s="65" t="str">
        <f t="shared" si="346"/>
        <v/>
      </c>
      <c r="C2782" s="66"/>
      <c r="D2782" s="60"/>
      <c r="E2782" s="61"/>
      <c r="F2782" s="61"/>
      <c r="G2782" s="67"/>
      <c r="H2782" s="60"/>
      <c r="I2782" s="60"/>
      <c r="J2782" s="61"/>
      <c r="K2782" s="61"/>
      <c r="L2782" s="60"/>
      <c r="M2782" s="74" t="str">
        <f t="shared" si="347"/>
        <v/>
      </c>
      <c r="N2782" s="74" t="str">
        <f t="shared" si="348"/>
        <v/>
      </c>
      <c r="O2782" s="73" t="str">
        <f t="shared" si="349"/>
        <v/>
      </c>
      <c r="P2782" s="65" t="str">
        <f t="shared" ca="1" si="350"/>
        <v/>
      </c>
      <c r="Q2782" s="2"/>
      <c r="R2782" s="2"/>
      <c r="S2782" s="1" t="str">
        <f t="shared" si="351"/>
        <v/>
      </c>
      <c r="T2782" s="1" t="str">
        <f>IF(OR($C2782="",$D2782&lt;&gt;"Gelir",$L2782=""),"",IFERROR(INDEX(MUSTERILER!$B$7:$B$156,MATCH($S2782,MUSTERILER!$T$7:$T$156,0)),""))</f>
        <v/>
      </c>
      <c r="U2782" s="1" t="str">
        <f>IF($T2782="","",$T2782&amp;"|"&amp;COUNTIFS($T$7:$T2782,$T2782))</f>
        <v/>
      </c>
      <c r="V2782" s="1">
        <f t="shared" si="352"/>
        <v>0</v>
      </c>
      <c r="W2782" s="1" t="str">
        <f t="shared" si="353"/>
        <v/>
      </c>
      <c r="X2782" s="1"/>
      <c r="Y2782" s="1"/>
      <c r="Z2782" s="1"/>
      <c r="AA2782" s="1"/>
      <c r="AB2782" s="1"/>
      <c r="AC2782" s="1"/>
      <c r="AD2782" s="1">
        <f>IF($C2782="",0,SUMPRODUCT((AY_SONU!$O$7:$O$42="Evet")*(AY_SONU!$B$7:$B$42=DATE(YEAR($C2782),MONTH($C2782),1))))</f>
        <v>0</v>
      </c>
      <c r="AE2782" s="1" t="str">
        <f>IF($E2782="","",$E2782&amp;"|"&amp;COUNTIFS($E$7:$E2782,$E2782))</f>
        <v/>
      </c>
    </row>
    <row r="2783" spans="1:31" ht="18" customHeight="1" x14ac:dyDescent="0.3">
      <c r="A2783" s="2"/>
      <c r="B2783" s="65" t="str">
        <f t="shared" si="346"/>
        <v/>
      </c>
      <c r="C2783" s="66"/>
      <c r="D2783" s="60"/>
      <c r="E2783" s="61"/>
      <c r="F2783" s="61"/>
      <c r="G2783" s="67"/>
      <c r="H2783" s="60"/>
      <c r="I2783" s="60"/>
      <c r="J2783" s="61"/>
      <c r="K2783" s="61"/>
      <c r="L2783" s="60"/>
      <c r="M2783" s="74" t="str">
        <f t="shared" si="347"/>
        <v/>
      </c>
      <c r="N2783" s="74" t="str">
        <f t="shared" si="348"/>
        <v/>
      </c>
      <c r="O2783" s="73" t="str">
        <f t="shared" si="349"/>
        <v/>
      </c>
      <c r="P2783" s="65" t="str">
        <f t="shared" ca="1" si="350"/>
        <v/>
      </c>
      <c r="Q2783" s="2"/>
      <c r="R2783" s="2"/>
      <c r="S2783" s="1" t="str">
        <f t="shared" si="351"/>
        <v/>
      </c>
      <c r="T2783" s="1" t="str">
        <f>IF(OR($C2783="",$D2783&lt;&gt;"Gelir",$L2783=""),"",IFERROR(INDEX(MUSTERILER!$B$7:$B$156,MATCH($S2783,MUSTERILER!$T$7:$T$156,0)),""))</f>
        <v/>
      </c>
      <c r="U2783" s="1" t="str">
        <f>IF($T2783="","",$T2783&amp;"|"&amp;COUNTIFS($T$7:$T2783,$T2783))</f>
        <v/>
      </c>
      <c r="V2783" s="1">
        <f t="shared" si="352"/>
        <v>0</v>
      </c>
      <c r="W2783" s="1" t="str">
        <f t="shared" si="353"/>
        <v/>
      </c>
      <c r="X2783" s="1"/>
      <c r="Y2783" s="1"/>
      <c r="Z2783" s="1"/>
      <c r="AA2783" s="1"/>
      <c r="AB2783" s="1"/>
      <c r="AC2783" s="1"/>
      <c r="AD2783" s="1">
        <f>IF($C2783="",0,SUMPRODUCT((AY_SONU!$O$7:$O$42="Evet")*(AY_SONU!$B$7:$B$42=DATE(YEAR($C2783),MONTH($C2783),1))))</f>
        <v>0</v>
      </c>
      <c r="AE2783" s="1" t="str">
        <f>IF($E2783="","",$E2783&amp;"|"&amp;COUNTIFS($E$7:$E2783,$E2783))</f>
        <v/>
      </c>
    </row>
    <row r="2784" spans="1:31" ht="18" customHeight="1" x14ac:dyDescent="0.3">
      <c r="A2784" s="2"/>
      <c r="B2784" s="65" t="str">
        <f t="shared" si="346"/>
        <v/>
      </c>
      <c r="C2784" s="66"/>
      <c r="D2784" s="60"/>
      <c r="E2784" s="61"/>
      <c r="F2784" s="61"/>
      <c r="G2784" s="67"/>
      <c r="H2784" s="60"/>
      <c r="I2784" s="60"/>
      <c r="J2784" s="61"/>
      <c r="K2784" s="61"/>
      <c r="L2784" s="60"/>
      <c r="M2784" s="74" t="str">
        <f t="shared" si="347"/>
        <v/>
      </c>
      <c r="N2784" s="74" t="str">
        <f t="shared" si="348"/>
        <v/>
      </c>
      <c r="O2784" s="73" t="str">
        <f t="shared" si="349"/>
        <v/>
      </c>
      <c r="P2784" s="65" t="str">
        <f t="shared" ca="1" si="350"/>
        <v/>
      </c>
      <c r="Q2784" s="2"/>
      <c r="R2784" s="2"/>
      <c r="S2784" s="1" t="str">
        <f t="shared" si="351"/>
        <v/>
      </c>
      <c r="T2784" s="1" t="str">
        <f>IF(OR($C2784="",$D2784&lt;&gt;"Gelir",$L2784=""),"",IFERROR(INDEX(MUSTERILER!$B$7:$B$156,MATCH($S2784,MUSTERILER!$T$7:$T$156,0)),""))</f>
        <v/>
      </c>
      <c r="U2784" s="1" t="str">
        <f>IF($T2784="","",$T2784&amp;"|"&amp;COUNTIFS($T$7:$T2784,$T2784))</f>
        <v/>
      </c>
      <c r="V2784" s="1">
        <f t="shared" si="352"/>
        <v>0</v>
      </c>
      <c r="W2784" s="1" t="str">
        <f t="shared" si="353"/>
        <v/>
      </c>
      <c r="X2784" s="1"/>
      <c r="Y2784" s="1"/>
      <c r="Z2784" s="1"/>
      <c r="AA2784" s="1"/>
      <c r="AB2784" s="1"/>
      <c r="AC2784" s="1"/>
      <c r="AD2784" s="1">
        <f>IF($C2784="",0,SUMPRODUCT((AY_SONU!$O$7:$O$42="Evet")*(AY_SONU!$B$7:$B$42=DATE(YEAR($C2784),MONTH($C2784),1))))</f>
        <v>0</v>
      </c>
      <c r="AE2784" s="1" t="str">
        <f>IF($E2784="","",$E2784&amp;"|"&amp;COUNTIFS($E$7:$E2784,$E2784))</f>
        <v/>
      </c>
    </row>
    <row r="2785" spans="1:31" ht="18" customHeight="1" x14ac:dyDescent="0.3">
      <c r="A2785" s="2"/>
      <c r="B2785" s="65" t="str">
        <f t="shared" si="346"/>
        <v/>
      </c>
      <c r="C2785" s="66"/>
      <c r="D2785" s="60"/>
      <c r="E2785" s="61"/>
      <c r="F2785" s="61"/>
      <c r="G2785" s="67"/>
      <c r="H2785" s="60"/>
      <c r="I2785" s="60"/>
      <c r="J2785" s="61"/>
      <c r="K2785" s="61"/>
      <c r="L2785" s="60"/>
      <c r="M2785" s="74" t="str">
        <f t="shared" si="347"/>
        <v/>
      </c>
      <c r="N2785" s="74" t="str">
        <f t="shared" si="348"/>
        <v/>
      </c>
      <c r="O2785" s="73" t="str">
        <f t="shared" si="349"/>
        <v/>
      </c>
      <c r="P2785" s="65" t="str">
        <f t="shared" ca="1" si="350"/>
        <v/>
      </c>
      <c r="Q2785" s="2"/>
      <c r="R2785" s="2"/>
      <c r="S2785" s="1" t="str">
        <f t="shared" si="351"/>
        <v/>
      </c>
      <c r="T2785" s="1" t="str">
        <f>IF(OR($C2785="",$D2785&lt;&gt;"Gelir",$L2785=""),"",IFERROR(INDEX(MUSTERILER!$B$7:$B$156,MATCH($S2785,MUSTERILER!$T$7:$T$156,0)),""))</f>
        <v/>
      </c>
      <c r="U2785" s="1" t="str">
        <f>IF($T2785="","",$T2785&amp;"|"&amp;COUNTIFS($T$7:$T2785,$T2785))</f>
        <v/>
      </c>
      <c r="V2785" s="1">
        <f t="shared" si="352"/>
        <v>0</v>
      </c>
      <c r="W2785" s="1" t="str">
        <f t="shared" si="353"/>
        <v/>
      </c>
      <c r="X2785" s="1"/>
      <c r="Y2785" s="1"/>
      <c r="Z2785" s="1"/>
      <c r="AA2785" s="1"/>
      <c r="AB2785" s="1"/>
      <c r="AC2785" s="1"/>
      <c r="AD2785" s="1">
        <f>IF($C2785="",0,SUMPRODUCT((AY_SONU!$O$7:$O$42="Evet")*(AY_SONU!$B$7:$B$42=DATE(YEAR($C2785),MONTH($C2785),1))))</f>
        <v>0</v>
      </c>
      <c r="AE2785" s="1" t="str">
        <f>IF($E2785="","",$E2785&amp;"|"&amp;COUNTIFS($E$7:$E2785,$E2785))</f>
        <v/>
      </c>
    </row>
    <row r="2786" spans="1:31" ht="18" customHeight="1" x14ac:dyDescent="0.3">
      <c r="A2786" s="2"/>
      <c r="B2786" s="65" t="str">
        <f t="shared" si="346"/>
        <v/>
      </c>
      <c r="C2786" s="66"/>
      <c r="D2786" s="60"/>
      <c r="E2786" s="61"/>
      <c r="F2786" s="61"/>
      <c r="G2786" s="67"/>
      <c r="H2786" s="60"/>
      <c r="I2786" s="60"/>
      <c r="J2786" s="61"/>
      <c r="K2786" s="61"/>
      <c r="L2786" s="60"/>
      <c r="M2786" s="74" t="str">
        <f t="shared" si="347"/>
        <v/>
      </c>
      <c r="N2786" s="74" t="str">
        <f t="shared" si="348"/>
        <v/>
      </c>
      <c r="O2786" s="73" t="str">
        <f t="shared" si="349"/>
        <v/>
      </c>
      <c r="P2786" s="65" t="str">
        <f t="shared" ca="1" si="350"/>
        <v/>
      </c>
      <c r="Q2786" s="2"/>
      <c r="R2786" s="2"/>
      <c r="S2786" s="1" t="str">
        <f t="shared" si="351"/>
        <v/>
      </c>
      <c r="T2786" s="1" t="str">
        <f>IF(OR($C2786="",$D2786&lt;&gt;"Gelir",$L2786=""),"",IFERROR(INDEX(MUSTERILER!$B$7:$B$156,MATCH($S2786,MUSTERILER!$T$7:$T$156,0)),""))</f>
        <v/>
      </c>
      <c r="U2786" s="1" t="str">
        <f>IF($T2786="","",$T2786&amp;"|"&amp;COUNTIFS($T$7:$T2786,$T2786))</f>
        <v/>
      </c>
      <c r="V2786" s="1">
        <f t="shared" si="352"/>
        <v>0</v>
      </c>
      <c r="W2786" s="1" t="str">
        <f t="shared" si="353"/>
        <v/>
      </c>
      <c r="X2786" s="1"/>
      <c r="Y2786" s="1"/>
      <c r="Z2786" s="1"/>
      <c r="AA2786" s="1"/>
      <c r="AB2786" s="1"/>
      <c r="AC2786" s="1"/>
      <c r="AD2786" s="1">
        <f>IF($C2786="",0,SUMPRODUCT((AY_SONU!$O$7:$O$42="Evet")*(AY_SONU!$B$7:$B$42=DATE(YEAR($C2786),MONTH($C2786),1))))</f>
        <v>0</v>
      </c>
      <c r="AE2786" s="1" t="str">
        <f>IF($E2786="","",$E2786&amp;"|"&amp;COUNTIFS($E$7:$E2786,$E2786))</f>
        <v/>
      </c>
    </row>
    <row r="2787" spans="1:31" ht="18" customHeight="1" x14ac:dyDescent="0.3">
      <c r="A2787" s="2"/>
      <c r="B2787" s="65" t="str">
        <f t="shared" si="346"/>
        <v/>
      </c>
      <c r="C2787" s="66"/>
      <c r="D2787" s="60"/>
      <c r="E2787" s="61"/>
      <c r="F2787" s="61"/>
      <c r="G2787" s="67"/>
      <c r="H2787" s="60"/>
      <c r="I2787" s="60"/>
      <c r="J2787" s="61"/>
      <c r="K2787" s="61"/>
      <c r="L2787" s="60"/>
      <c r="M2787" s="74" t="str">
        <f t="shared" si="347"/>
        <v/>
      </c>
      <c r="N2787" s="74" t="str">
        <f t="shared" si="348"/>
        <v/>
      </c>
      <c r="O2787" s="73" t="str">
        <f t="shared" si="349"/>
        <v/>
      </c>
      <c r="P2787" s="65" t="str">
        <f t="shared" ca="1" si="350"/>
        <v/>
      </c>
      <c r="Q2787" s="2"/>
      <c r="R2787" s="2"/>
      <c r="S2787" s="1" t="str">
        <f t="shared" si="351"/>
        <v/>
      </c>
      <c r="T2787" s="1" t="str">
        <f>IF(OR($C2787="",$D2787&lt;&gt;"Gelir",$L2787=""),"",IFERROR(INDEX(MUSTERILER!$B$7:$B$156,MATCH($S2787,MUSTERILER!$T$7:$T$156,0)),""))</f>
        <v/>
      </c>
      <c r="U2787" s="1" t="str">
        <f>IF($T2787="","",$T2787&amp;"|"&amp;COUNTIFS($T$7:$T2787,$T2787))</f>
        <v/>
      </c>
      <c r="V2787" s="1">
        <f t="shared" si="352"/>
        <v>0</v>
      </c>
      <c r="W2787" s="1" t="str">
        <f t="shared" si="353"/>
        <v/>
      </c>
      <c r="X2787" s="1"/>
      <c r="Y2787" s="1"/>
      <c r="Z2787" s="1"/>
      <c r="AA2787" s="1"/>
      <c r="AB2787" s="1"/>
      <c r="AC2787" s="1"/>
      <c r="AD2787" s="1">
        <f>IF($C2787="",0,SUMPRODUCT((AY_SONU!$O$7:$O$42="Evet")*(AY_SONU!$B$7:$B$42=DATE(YEAR($C2787),MONTH($C2787),1))))</f>
        <v>0</v>
      </c>
      <c r="AE2787" s="1" t="str">
        <f>IF($E2787="","",$E2787&amp;"|"&amp;COUNTIFS($E$7:$E2787,$E2787))</f>
        <v/>
      </c>
    </row>
    <row r="2788" spans="1:31" ht="18" customHeight="1" x14ac:dyDescent="0.3">
      <c r="A2788" s="2"/>
      <c r="B2788" s="65" t="str">
        <f t="shared" si="346"/>
        <v/>
      </c>
      <c r="C2788" s="66"/>
      <c r="D2788" s="60"/>
      <c r="E2788" s="61"/>
      <c r="F2788" s="61"/>
      <c r="G2788" s="67"/>
      <c r="H2788" s="60"/>
      <c r="I2788" s="60"/>
      <c r="J2788" s="61"/>
      <c r="K2788" s="61"/>
      <c r="L2788" s="60"/>
      <c r="M2788" s="74" t="str">
        <f t="shared" si="347"/>
        <v/>
      </c>
      <c r="N2788" s="74" t="str">
        <f t="shared" si="348"/>
        <v/>
      </c>
      <c r="O2788" s="73" t="str">
        <f t="shared" si="349"/>
        <v/>
      </c>
      <c r="P2788" s="65" t="str">
        <f t="shared" ca="1" si="350"/>
        <v/>
      </c>
      <c r="Q2788" s="2"/>
      <c r="R2788" s="2"/>
      <c r="S2788" s="1" t="str">
        <f t="shared" si="351"/>
        <v/>
      </c>
      <c r="T2788" s="1" t="str">
        <f>IF(OR($C2788="",$D2788&lt;&gt;"Gelir",$L2788=""),"",IFERROR(INDEX(MUSTERILER!$B$7:$B$156,MATCH($S2788,MUSTERILER!$T$7:$T$156,0)),""))</f>
        <v/>
      </c>
      <c r="U2788" s="1" t="str">
        <f>IF($T2788="","",$T2788&amp;"|"&amp;COUNTIFS($T$7:$T2788,$T2788))</f>
        <v/>
      </c>
      <c r="V2788" s="1">
        <f t="shared" si="352"/>
        <v>0</v>
      </c>
      <c r="W2788" s="1" t="str">
        <f t="shared" si="353"/>
        <v/>
      </c>
      <c r="X2788" s="1"/>
      <c r="Y2788" s="1"/>
      <c r="Z2788" s="1"/>
      <c r="AA2788" s="1"/>
      <c r="AB2788" s="1"/>
      <c r="AC2788" s="1"/>
      <c r="AD2788" s="1">
        <f>IF($C2788="",0,SUMPRODUCT((AY_SONU!$O$7:$O$42="Evet")*(AY_SONU!$B$7:$B$42=DATE(YEAR($C2788),MONTH($C2788),1))))</f>
        <v>0</v>
      </c>
      <c r="AE2788" s="1" t="str">
        <f>IF($E2788="","",$E2788&amp;"|"&amp;COUNTIFS($E$7:$E2788,$E2788))</f>
        <v/>
      </c>
    </row>
    <row r="2789" spans="1:31" ht="18" customHeight="1" x14ac:dyDescent="0.3">
      <c r="A2789" s="2"/>
      <c r="B2789" s="65" t="str">
        <f t="shared" si="346"/>
        <v/>
      </c>
      <c r="C2789" s="66"/>
      <c r="D2789" s="60"/>
      <c r="E2789" s="61"/>
      <c r="F2789" s="61"/>
      <c r="G2789" s="67"/>
      <c r="H2789" s="60"/>
      <c r="I2789" s="60"/>
      <c r="J2789" s="61"/>
      <c r="K2789" s="61"/>
      <c r="L2789" s="60"/>
      <c r="M2789" s="74" t="str">
        <f t="shared" si="347"/>
        <v/>
      </c>
      <c r="N2789" s="74" t="str">
        <f t="shared" si="348"/>
        <v/>
      </c>
      <c r="O2789" s="73" t="str">
        <f t="shared" si="349"/>
        <v/>
      </c>
      <c r="P2789" s="65" t="str">
        <f t="shared" ca="1" si="350"/>
        <v/>
      </c>
      <c r="Q2789" s="2"/>
      <c r="R2789" s="2"/>
      <c r="S2789" s="1" t="str">
        <f t="shared" si="351"/>
        <v/>
      </c>
      <c r="T2789" s="1" t="str">
        <f>IF(OR($C2789="",$D2789&lt;&gt;"Gelir",$L2789=""),"",IFERROR(INDEX(MUSTERILER!$B$7:$B$156,MATCH($S2789,MUSTERILER!$T$7:$T$156,0)),""))</f>
        <v/>
      </c>
      <c r="U2789" s="1" t="str">
        <f>IF($T2789="","",$T2789&amp;"|"&amp;COUNTIFS($T$7:$T2789,$T2789))</f>
        <v/>
      </c>
      <c r="V2789" s="1">
        <f t="shared" si="352"/>
        <v>0</v>
      </c>
      <c r="W2789" s="1" t="str">
        <f t="shared" si="353"/>
        <v/>
      </c>
      <c r="X2789" s="1"/>
      <c r="Y2789" s="1"/>
      <c r="Z2789" s="1"/>
      <c r="AA2789" s="1"/>
      <c r="AB2789" s="1"/>
      <c r="AC2789" s="1"/>
      <c r="AD2789" s="1">
        <f>IF($C2789="",0,SUMPRODUCT((AY_SONU!$O$7:$O$42="Evet")*(AY_SONU!$B$7:$B$42=DATE(YEAR($C2789),MONTH($C2789),1))))</f>
        <v>0</v>
      </c>
      <c r="AE2789" s="1" t="str">
        <f>IF($E2789="","",$E2789&amp;"|"&amp;COUNTIFS($E$7:$E2789,$E2789))</f>
        <v/>
      </c>
    </row>
    <row r="2790" spans="1:31" ht="18" customHeight="1" x14ac:dyDescent="0.3">
      <c r="A2790" s="2"/>
      <c r="B2790" s="65" t="str">
        <f t="shared" si="346"/>
        <v/>
      </c>
      <c r="C2790" s="66"/>
      <c r="D2790" s="60"/>
      <c r="E2790" s="61"/>
      <c r="F2790" s="61"/>
      <c r="G2790" s="67"/>
      <c r="H2790" s="60"/>
      <c r="I2790" s="60"/>
      <c r="J2790" s="61"/>
      <c r="K2790" s="61"/>
      <c r="L2790" s="60"/>
      <c r="M2790" s="74" t="str">
        <f t="shared" si="347"/>
        <v/>
      </c>
      <c r="N2790" s="74" t="str">
        <f t="shared" si="348"/>
        <v/>
      </c>
      <c r="O2790" s="73" t="str">
        <f t="shared" si="349"/>
        <v/>
      </c>
      <c r="P2790" s="65" t="str">
        <f t="shared" ca="1" si="350"/>
        <v/>
      </c>
      <c r="Q2790" s="2"/>
      <c r="R2790" s="2"/>
      <c r="S2790" s="1" t="str">
        <f t="shared" si="351"/>
        <v/>
      </c>
      <c r="T2790" s="1" t="str">
        <f>IF(OR($C2790="",$D2790&lt;&gt;"Gelir",$L2790=""),"",IFERROR(INDEX(MUSTERILER!$B$7:$B$156,MATCH($S2790,MUSTERILER!$T$7:$T$156,0)),""))</f>
        <v/>
      </c>
      <c r="U2790" s="1" t="str">
        <f>IF($T2790="","",$T2790&amp;"|"&amp;COUNTIFS($T$7:$T2790,$T2790))</f>
        <v/>
      </c>
      <c r="V2790" s="1">
        <f t="shared" si="352"/>
        <v>0</v>
      </c>
      <c r="W2790" s="1" t="str">
        <f t="shared" si="353"/>
        <v/>
      </c>
      <c r="X2790" s="1"/>
      <c r="Y2790" s="1"/>
      <c r="Z2790" s="1"/>
      <c r="AA2790" s="1"/>
      <c r="AB2790" s="1"/>
      <c r="AC2790" s="1"/>
      <c r="AD2790" s="1">
        <f>IF($C2790="",0,SUMPRODUCT((AY_SONU!$O$7:$O$42="Evet")*(AY_SONU!$B$7:$B$42=DATE(YEAR($C2790),MONTH($C2790),1))))</f>
        <v>0</v>
      </c>
      <c r="AE2790" s="1" t="str">
        <f>IF($E2790="","",$E2790&amp;"|"&amp;COUNTIFS($E$7:$E2790,$E2790))</f>
        <v/>
      </c>
    </row>
    <row r="2791" spans="1:31" ht="18" customHeight="1" x14ac:dyDescent="0.3">
      <c r="A2791" s="2"/>
      <c r="B2791" s="65" t="str">
        <f t="shared" si="346"/>
        <v/>
      </c>
      <c r="C2791" s="66"/>
      <c r="D2791" s="60"/>
      <c r="E2791" s="61"/>
      <c r="F2791" s="61"/>
      <c r="G2791" s="67"/>
      <c r="H2791" s="60"/>
      <c r="I2791" s="60"/>
      <c r="J2791" s="61"/>
      <c r="K2791" s="61"/>
      <c r="L2791" s="60"/>
      <c r="M2791" s="74" t="str">
        <f t="shared" si="347"/>
        <v/>
      </c>
      <c r="N2791" s="74" t="str">
        <f t="shared" si="348"/>
        <v/>
      </c>
      <c r="O2791" s="73" t="str">
        <f t="shared" si="349"/>
        <v/>
      </c>
      <c r="P2791" s="65" t="str">
        <f t="shared" ca="1" si="350"/>
        <v/>
      </c>
      <c r="Q2791" s="2"/>
      <c r="R2791" s="2"/>
      <c r="S2791" s="1" t="str">
        <f t="shared" si="351"/>
        <v/>
      </c>
      <c r="T2791" s="1" t="str">
        <f>IF(OR($C2791="",$D2791&lt;&gt;"Gelir",$L2791=""),"",IFERROR(INDEX(MUSTERILER!$B$7:$B$156,MATCH($S2791,MUSTERILER!$T$7:$T$156,0)),""))</f>
        <v/>
      </c>
      <c r="U2791" s="1" t="str">
        <f>IF($T2791="","",$T2791&amp;"|"&amp;COUNTIFS($T$7:$T2791,$T2791))</f>
        <v/>
      </c>
      <c r="V2791" s="1">
        <f t="shared" si="352"/>
        <v>0</v>
      </c>
      <c r="W2791" s="1" t="str">
        <f t="shared" si="353"/>
        <v/>
      </c>
      <c r="X2791" s="1"/>
      <c r="Y2791" s="1"/>
      <c r="Z2791" s="1"/>
      <c r="AA2791" s="1"/>
      <c r="AB2791" s="1"/>
      <c r="AC2791" s="1"/>
      <c r="AD2791" s="1">
        <f>IF($C2791="",0,SUMPRODUCT((AY_SONU!$O$7:$O$42="Evet")*(AY_SONU!$B$7:$B$42=DATE(YEAR($C2791),MONTH($C2791),1))))</f>
        <v>0</v>
      </c>
      <c r="AE2791" s="1" t="str">
        <f>IF($E2791="","",$E2791&amp;"|"&amp;COUNTIFS($E$7:$E2791,$E2791))</f>
        <v/>
      </c>
    </row>
    <row r="2792" spans="1:31" ht="18" customHeight="1" x14ac:dyDescent="0.3">
      <c r="A2792" s="2"/>
      <c r="B2792" s="65" t="str">
        <f t="shared" si="346"/>
        <v/>
      </c>
      <c r="C2792" s="66"/>
      <c r="D2792" s="60"/>
      <c r="E2792" s="61"/>
      <c r="F2792" s="61"/>
      <c r="G2792" s="67"/>
      <c r="H2792" s="60"/>
      <c r="I2792" s="60"/>
      <c r="J2792" s="61"/>
      <c r="K2792" s="61"/>
      <c r="L2792" s="60"/>
      <c r="M2792" s="74" t="str">
        <f t="shared" si="347"/>
        <v/>
      </c>
      <c r="N2792" s="74" t="str">
        <f t="shared" si="348"/>
        <v/>
      </c>
      <c r="O2792" s="73" t="str">
        <f t="shared" si="349"/>
        <v/>
      </c>
      <c r="P2792" s="65" t="str">
        <f t="shared" ca="1" si="350"/>
        <v/>
      </c>
      <c r="Q2792" s="2"/>
      <c r="R2792" s="2"/>
      <c r="S2792" s="1" t="str">
        <f t="shared" si="351"/>
        <v/>
      </c>
      <c r="T2792" s="1" t="str">
        <f>IF(OR($C2792="",$D2792&lt;&gt;"Gelir",$L2792=""),"",IFERROR(INDEX(MUSTERILER!$B$7:$B$156,MATCH($S2792,MUSTERILER!$T$7:$T$156,0)),""))</f>
        <v/>
      </c>
      <c r="U2792" s="1" t="str">
        <f>IF($T2792="","",$T2792&amp;"|"&amp;COUNTIFS($T$7:$T2792,$T2792))</f>
        <v/>
      </c>
      <c r="V2792" s="1">
        <f t="shared" si="352"/>
        <v>0</v>
      </c>
      <c r="W2792" s="1" t="str">
        <f t="shared" si="353"/>
        <v/>
      </c>
      <c r="X2792" s="1"/>
      <c r="Y2792" s="1"/>
      <c r="Z2792" s="1"/>
      <c r="AA2792" s="1"/>
      <c r="AB2792" s="1"/>
      <c r="AC2792" s="1"/>
      <c r="AD2792" s="1">
        <f>IF($C2792="",0,SUMPRODUCT((AY_SONU!$O$7:$O$42="Evet")*(AY_SONU!$B$7:$B$42=DATE(YEAR($C2792),MONTH($C2792),1))))</f>
        <v>0</v>
      </c>
      <c r="AE2792" s="1" t="str">
        <f>IF($E2792="","",$E2792&amp;"|"&amp;COUNTIFS($E$7:$E2792,$E2792))</f>
        <v/>
      </c>
    </row>
    <row r="2793" spans="1:31" ht="18" customHeight="1" x14ac:dyDescent="0.3">
      <c r="A2793" s="2"/>
      <c r="B2793" s="65" t="str">
        <f t="shared" si="346"/>
        <v/>
      </c>
      <c r="C2793" s="66"/>
      <c r="D2793" s="60"/>
      <c r="E2793" s="61"/>
      <c r="F2793" s="61"/>
      <c r="G2793" s="67"/>
      <c r="H2793" s="60"/>
      <c r="I2793" s="60"/>
      <c r="J2793" s="61"/>
      <c r="K2793" s="61"/>
      <c r="L2793" s="60"/>
      <c r="M2793" s="74" t="str">
        <f t="shared" si="347"/>
        <v/>
      </c>
      <c r="N2793" s="74" t="str">
        <f t="shared" si="348"/>
        <v/>
      </c>
      <c r="O2793" s="73" t="str">
        <f t="shared" si="349"/>
        <v/>
      </c>
      <c r="P2793" s="65" t="str">
        <f t="shared" ca="1" si="350"/>
        <v/>
      </c>
      <c r="Q2793" s="2"/>
      <c r="R2793" s="2"/>
      <c r="S2793" s="1" t="str">
        <f t="shared" si="351"/>
        <v/>
      </c>
      <c r="T2793" s="1" t="str">
        <f>IF(OR($C2793="",$D2793&lt;&gt;"Gelir",$L2793=""),"",IFERROR(INDEX(MUSTERILER!$B$7:$B$156,MATCH($S2793,MUSTERILER!$T$7:$T$156,0)),""))</f>
        <v/>
      </c>
      <c r="U2793" s="1" t="str">
        <f>IF($T2793="","",$T2793&amp;"|"&amp;COUNTIFS($T$7:$T2793,$T2793))</f>
        <v/>
      </c>
      <c r="V2793" s="1">
        <f t="shared" si="352"/>
        <v>0</v>
      </c>
      <c r="W2793" s="1" t="str">
        <f t="shared" si="353"/>
        <v/>
      </c>
      <c r="X2793" s="1"/>
      <c r="Y2793" s="1"/>
      <c r="Z2793" s="1"/>
      <c r="AA2793" s="1"/>
      <c r="AB2793" s="1"/>
      <c r="AC2793" s="1"/>
      <c r="AD2793" s="1">
        <f>IF($C2793="",0,SUMPRODUCT((AY_SONU!$O$7:$O$42="Evet")*(AY_SONU!$B$7:$B$42=DATE(YEAR($C2793),MONTH($C2793),1))))</f>
        <v>0</v>
      </c>
      <c r="AE2793" s="1" t="str">
        <f>IF($E2793="","",$E2793&amp;"|"&amp;COUNTIFS($E$7:$E2793,$E2793))</f>
        <v/>
      </c>
    </row>
    <row r="2794" spans="1:31" ht="18" customHeight="1" x14ac:dyDescent="0.3">
      <c r="A2794" s="2"/>
      <c r="B2794" s="65" t="str">
        <f t="shared" si="346"/>
        <v/>
      </c>
      <c r="C2794" s="66"/>
      <c r="D2794" s="60"/>
      <c r="E2794" s="61"/>
      <c r="F2794" s="61"/>
      <c r="G2794" s="67"/>
      <c r="H2794" s="60"/>
      <c r="I2794" s="60"/>
      <c r="J2794" s="61"/>
      <c r="K2794" s="61"/>
      <c r="L2794" s="60"/>
      <c r="M2794" s="74" t="str">
        <f t="shared" si="347"/>
        <v/>
      </c>
      <c r="N2794" s="74" t="str">
        <f t="shared" si="348"/>
        <v/>
      </c>
      <c r="O2794" s="73" t="str">
        <f t="shared" si="349"/>
        <v/>
      </c>
      <c r="P2794" s="65" t="str">
        <f t="shared" ca="1" si="350"/>
        <v/>
      </c>
      <c r="Q2794" s="2"/>
      <c r="R2794" s="2"/>
      <c r="S2794" s="1" t="str">
        <f t="shared" si="351"/>
        <v/>
      </c>
      <c r="T2794" s="1" t="str">
        <f>IF(OR($C2794="",$D2794&lt;&gt;"Gelir",$L2794=""),"",IFERROR(INDEX(MUSTERILER!$B$7:$B$156,MATCH($S2794,MUSTERILER!$T$7:$T$156,0)),""))</f>
        <v/>
      </c>
      <c r="U2794" s="1" t="str">
        <f>IF($T2794="","",$T2794&amp;"|"&amp;COUNTIFS($T$7:$T2794,$T2794))</f>
        <v/>
      </c>
      <c r="V2794" s="1">
        <f t="shared" si="352"/>
        <v>0</v>
      </c>
      <c r="W2794" s="1" t="str">
        <f t="shared" si="353"/>
        <v/>
      </c>
      <c r="X2794" s="1"/>
      <c r="Y2794" s="1"/>
      <c r="Z2794" s="1"/>
      <c r="AA2794" s="1"/>
      <c r="AB2794" s="1"/>
      <c r="AC2794" s="1"/>
      <c r="AD2794" s="1">
        <f>IF($C2794="",0,SUMPRODUCT((AY_SONU!$O$7:$O$42="Evet")*(AY_SONU!$B$7:$B$42=DATE(YEAR($C2794),MONTH($C2794),1))))</f>
        <v>0</v>
      </c>
      <c r="AE2794" s="1" t="str">
        <f>IF($E2794="","",$E2794&amp;"|"&amp;COUNTIFS($E$7:$E2794,$E2794))</f>
        <v/>
      </c>
    </row>
    <row r="2795" spans="1:31" ht="18" customHeight="1" x14ac:dyDescent="0.3">
      <c r="A2795" s="2"/>
      <c r="B2795" s="65" t="str">
        <f t="shared" si="346"/>
        <v/>
      </c>
      <c r="C2795" s="66"/>
      <c r="D2795" s="60"/>
      <c r="E2795" s="61"/>
      <c r="F2795" s="61"/>
      <c r="G2795" s="67"/>
      <c r="H2795" s="60"/>
      <c r="I2795" s="60"/>
      <c r="J2795" s="61"/>
      <c r="K2795" s="61"/>
      <c r="L2795" s="60"/>
      <c r="M2795" s="74" t="str">
        <f t="shared" si="347"/>
        <v/>
      </c>
      <c r="N2795" s="74" t="str">
        <f t="shared" si="348"/>
        <v/>
      </c>
      <c r="O2795" s="73" t="str">
        <f t="shared" si="349"/>
        <v/>
      </c>
      <c r="P2795" s="65" t="str">
        <f t="shared" ca="1" si="350"/>
        <v/>
      </c>
      <c r="Q2795" s="2"/>
      <c r="R2795" s="2"/>
      <c r="S2795" s="1" t="str">
        <f t="shared" si="351"/>
        <v/>
      </c>
      <c r="T2795" s="1" t="str">
        <f>IF(OR($C2795="",$D2795&lt;&gt;"Gelir",$L2795=""),"",IFERROR(INDEX(MUSTERILER!$B$7:$B$156,MATCH($S2795,MUSTERILER!$T$7:$T$156,0)),""))</f>
        <v/>
      </c>
      <c r="U2795" s="1" t="str">
        <f>IF($T2795="","",$T2795&amp;"|"&amp;COUNTIFS($T$7:$T2795,$T2795))</f>
        <v/>
      </c>
      <c r="V2795" s="1">
        <f t="shared" si="352"/>
        <v>0</v>
      </c>
      <c r="W2795" s="1" t="str">
        <f t="shared" si="353"/>
        <v/>
      </c>
      <c r="X2795" s="1"/>
      <c r="Y2795" s="1"/>
      <c r="Z2795" s="1"/>
      <c r="AA2795" s="1"/>
      <c r="AB2795" s="1"/>
      <c r="AC2795" s="1"/>
      <c r="AD2795" s="1">
        <f>IF($C2795="",0,SUMPRODUCT((AY_SONU!$O$7:$O$42="Evet")*(AY_SONU!$B$7:$B$42=DATE(YEAR($C2795),MONTH($C2795),1))))</f>
        <v>0</v>
      </c>
      <c r="AE2795" s="1" t="str">
        <f>IF($E2795="","",$E2795&amp;"|"&amp;COUNTIFS($E$7:$E2795,$E2795))</f>
        <v/>
      </c>
    </row>
    <row r="2796" spans="1:31" ht="18" customHeight="1" x14ac:dyDescent="0.3">
      <c r="A2796" s="2"/>
      <c r="B2796" s="65" t="str">
        <f t="shared" si="346"/>
        <v/>
      </c>
      <c r="C2796" s="66"/>
      <c r="D2796" s="60"/>
      <c r="E2796" s="61"/>
      <c r="F2796" s="61"/>
      <c r="G2796" s="67"/>
      <c r="H2796" s="60"/>
      <c r="I2796" s="60"/>
      <c r="J2796" s="61"/>
      <c r="K2796" s="61"/>
      <c r="L2796" s="60"/>
      <c r="M2796" s="74" t="str">
        <f t="shared" si="347"/>
        <v/>
      </c>
      <c r="N2796" s="74" t="str">
        <f t="shared" si="348"/>
        <v/>
      </c>
      <c r="O2796" s="73" t="str">
        <f t="shared" si="349"/>
        <v/>
      </c>
      <c r="P2796" s="65" t="str">
        <f t="shared" ca="1" si="350"/>
        <v/>
      </c>
      <c r="Q2796" s="2"/>
      <c r="R2796" s="2"/>
      <c r="S2796" s="1" t="str">
        <f t="shared" si="351"/>
        <v/>
      </c>
      <c r="T2796" s="1" t="str">
        <f>IF(OR($C2796="",$D2796&lt;&gt;"Gelir",$L2796=""),"",IFERROR(INDEX(MUSTERILER!$B$7:$B$156,MATCH($S2796,MUSTERILER!$T$7:$T$156,0)),""))</f>
        <v/>
      </c>
      <c r="U2796" s="1" t="str">
        <f>IF($T2796="","",$T2796&amp;"|"&amp;COUNTIFS($T$7:$T2796,$T2796))</f>
        <v/>
      </c>
      <c r="V2796" s="1">
        <f t="shared" si="352"/>
        <v>0</v>
      </c>
      <c r="W2796" s="1" t="str">
        <f t="shared" si="353"/>
        <v/>
      </c>
      <c r="X2796" s="1"/>
      <c r="Y2796" s="1"/>
      <c r="Z2796" s="1"/>
      <c r="AA2796" s="1"/>
      <c r="AB2796" s="1"/>
      <c r="AC2796" s="1"/>
      <c r="AD2796" s="1">
        <f>IF($C2796="",0,SUMPRODUCT((AY_SONU!$O$7:$O$42="Evet")*(AY_SONU!$B$7:$B$42=DATE(YEAR($C2796),MONTH($C2796),1))))</f>
        <v>0</v>
      </c>
      <c r="AE2796" s="1" t="str">
        <f>IF($E2796="","",$E2796&amp;"|"&amp;COUNTIFS($E$7:$E2796,$E2796))</f>
        <v/>
      </c>
    </row>
    <row r="2797" spans="1:31" ht="18" customHeight="1" x14ac:dyDescent="0.3">
      <c r="A2797" s="2"/>
      <c r="B2797" s="65" t="str">
        <f t="shared" si="346"/>
        <v/>
      </c>
      <c r="C2797" s="66"/>
      <c r="D2797" s="60"/>
      <c r="E2797" s="61"/>
      <c r="F2797" s="61"/>
      <c r="G2797" s="67"/>
      <c r="H2797" s="60"/>
      <c r="I2797" s="60"/>
      <c r="J2797" s="61"/>
      <c r="K2797" s="61"/>
      <c r="L2797" s="60"/>
      <c r="M2797" s="74" t="str">
        <f t="shared" si="347"/>
        <v/>
      </c>
      <c r="N2797" s="74" t="str">
        <f t="shared" si="348"/>
        <v/>
      </c>
      <c r="O2797" s="73" t="str">
        <f t="shared" si="349"/>
        <v/>
      </c>
      <c r="P2797" s="65" t="str">
        <f t="shared" ca="1" si="350"/>
        <v/>
      </c>
      <c r="Q2797" s="2"/>
      <c r="R2797" s="2"/>
      <c r="S2797" s="1" t="str">
        <f t="shared" si="351"/>
        <v/>
      </c>
      <c r="T2797" s="1" t="str">
        <f>IF(OR($C2797="",$D2797&lt;&gt;"Gelir",$L2797=""),"",IFERROR(INDEX(MUSTERILER!$B$7:$B$156,MATCH($S2797,MUSTERILER!$T$7:$T$156,0)),""))</f>
        <v/>
      </c>
      <c r="U2797" s="1" t="str">
        <f>IF($T2797="","",$T2797&amp;"|"&amp;COUNTIFS($T$7:$T2797,$T2797))</f>
        <v/>
      </c>
      <c r="V2797" s="1">
        <f t="shared" si="352"/>
        <v>0</v>
      </c>
      <c r="W2797" s="1" t="str">
        <f t="shared" si="353"/>
        <v/>
      </c>
      <c r="X2797" s="1"/>
      <c r="Y2797" s="1"/>
      <c r="Z2797" s="1"/>
      <c r="AA2797" s="1"/>
      <c r="AB2797" s="1"/>
      <c r="AC2797" s="1"/>
      <c r="AD2797" s="1">
        <f>IF($C2797="",0,SUMPRODUCT((AY_SONU!$O$7:$O$42="Evet")*(AY_SONU!$B$7:$B$42=DATE(YEAR($C2797),MONTH($C2797),1))))</f>
        <v>0</v>
      </c>
      <c r="AE2797" s="1" t="str">
        <f>IF($E2797="","",$E2797&amp;"|"&amp;COUNTIFS($E$7:$E2797,$E2797))</f>
        <v/>
      </c>
    </row>
    <row r="2798" spans="1:31" ht="18" customHeight="1" x14ac:dyDescent="0.3">
      <c r="A2798" s="2"/>
      <c r="B2798" s="65" t="str">
        <f t="shared" si="346"/>
        <v/>
      </c>
      <c r="C2798" s="66"/>
      <c r="D2798" s="60"/>
      <c r="E2798" s="61"/>
      <c r="F2798" s="61"/>
      <c r="G2798" s="67"/>
      <c r="H2798" s="60"/>
      <c r="I2798" s="60"/>
      <c r="J2798" s="61"/>
      <c r="K2798" s="61"/>
      <c r="L2798" s="60"/>
      <c r="M2798" s="74" t="str">
        <f t="shared" si="347"/>
        <v/>
      </c>
      <c r="N2798" s="74" t="str">
        <f t="shared" si="348"/>
        <v/>
      </c>
      <c r="O2798" s="73" t="str">
        <f t="shared" si="349"/>
        <v/>
      </c>
      <c r="P2798" s="65" t="str">
        <f t="shared" ca="1" si="350"/>
        <v/>
      </c>
      <c r="Q2798" s="2"/>
      <c r="R2798" s="2"/>
      <c r="S2798" s="1" t="str">
        <f t="shared" si="351"/>
        <v/>
      </c>
      <c r="T2798" s="1" t="str">
        <f>IF(OR($C2798="",$D2798&lt;&gt;"Gelir",$L2798=""),"",IFERROR(INDEX(MUSTERILER!$B$7:$B$156,MATCH($S2798,MUSTERILER!$T$7:$T$156,0)),""))</f>
        <v/>
      </c>
      <c r="U2798" s="1" t="str">
        <f>IF($T2798="","",$T2798&amp;"|"&amp;COUNTIFS($T$7:$T2798,$T2798))</f>
        <v/>
      </c>
      <c r="V2798" s="1">
        <f t="shared" si="352"/>
        <v>0</v>
      </c>
      <c r="W2798" s="1" t="str">
        <f t="shared" si="353"/>
        <v/>
      </c>
      <c r="X2798" s="1"/>
      <c r="Y2798" s="1"/>
      <c r="Z2798" s="1"/>
      <c r="AA2798" s="1"/>
      <c r="AB2798" s="1"/>
      <c r="AC2798" s="1"/>
      <c r="AD2798" s="1">
        <f>IF($C2798="",0,SUMPRODUCT((AY_SONU!$O$7:$O$42="Evet")*(AY_SONU!$B$7:$B$42=DATE(YEAR($C2798),MONTH($C2798),1))))</f>
        <v>0</v>
      </c>
      <c r="AE2798" s="1" t="str">
        <f>IF($E2798="","",$E2798&amp;"|"&amp;COUNTIFS($E$7:$E2798,$E2798))</f>
        <v/>
      </c>
    </row>
    <row r="2799" spans="1:31" ht="18" customHeight="1" x14ac:dyDescent="0.3">
      <c r="A2799" s="2"/>
      <c r="B2799" s="65" t="str">
        <f t="shared" si="346"/>
        <v/>
      </c>
      <c r="C2799" s="66"/>
      <c r="D2799" s="60"/>
      <c r="E2799" s="61"/>
      <c r="F2799" s="61"/>
      <c r="G2799" s="67"/>
      <c r="H2799" s="60"/>
      <c r="I2799" s="60"/>
      <c r="J2799" s="61"/>
      <c r="K2799" s="61"/>
      <c r="L2799" s="60"/>
      <c r="M2799" s="74" t="str">
        <f t="shared" si="347"/>
        <v/>
      </c>
      <c r="N2799" s="74" t="str">
        <f t="shared" si="348"/>
        <v/>
      </c>
      <c r="O2799" s="73" t="str">
        <f t="shared" si="349"/>
        <v/>
      </c>
      <c r="P2799" s="65" t="str">
        <f t="shared" ca="1" si="350"/>
        <v/>
      </c>
      <c r="Q2799" s="2"/>
      <c r="R2799" s="2"/>
      <c r="S2799" s="1" t="str">
        <f t="shared" si="351"/>
        <v/>
      </c>
      <c r="T2799" s="1" t="str">
        <f>IF(OR($C2799="",$D2799&lt;&gt;"Gelir",$L2799=""),"",IFERROR(INDEX(MUSTERILER!$B$7:$B$156,MATCH($S2799,MUSTERILER!$T$7:$T$156,0)),""))</f>
        <v/>
      </c>
      <c r="U2799" s="1" t="str">
        <f>IF($T2799="","",$T2799&amp;"|"&amp;COUNTIFS($T$7:$T2799,$T2799))</f>
        <v/>
      </c>
      <c r="V2799" s="1">
        <f t="shared" si="352"/>
        <v>0</v>
      </c>
      <c r="W2799" s="1" t="str">
        <f t="shared" si="353"/>
        <v/>
      </c>
      <c r="X2799" s="1"/>
      <c r="Y2799" s="1"/>
      <c r="Z2799" s="1"/>
      <c r="AA2799" s="1"/>
      <c r="AB2799" s="1"/>
      <c r="AC2799" s="1"/>
      <c r="AD2799" s="1">
        <f>IF($C2799="",0,SUMPRODUCT((AY_SONU!$O$7:$O$42="Evet")*(AY_SONU!$B$7:$B$42=DATE(YEAR($C2799),MONTH($C2799),1))))</f>
        <v>0</v>
      </c>
      <c r="AE2799" s="1" t="str">
        <f>IF($E2799="","",$E2799&amp;"|"&amp;COUNTIFS($E$7:$E2799,$E2799))</f>
        <v/>
      </c>
    </row>
    <row r="2800" spans="1:31" ht="18" customHeight="1" x14ac:dyDescent="0.3">
      <c r="A2800" s="2"/>
      <c r="B2800" s="65" t="str">
        <f t="shared" si="346"/>
        <v/>
      </c>
      <c r="C2800" s="66"/>
      <c r="D2800" s="60"/>
      <c r="E2800" s="61"/>
      <c r="F2800" s="61"/>
      <c r="G2800" s="67"/>
      <c r="H2800" s="60"/>
      <c r="I2800" s="60"/>
      <c r="J2800" s="61"/>
      <c r="K2800" s="61"/>
      <c r="L2800" s="60"/>
      <c r="M2800" s="74" t="str">
        <f t="shared" si="347"/>
        <v/>
      </c>
      <c r="N2800" s="74" t="str">
        <f t="shared" si="348"/>
        <v/>
      </c>
      <c r="O2800" s="73" t="str">
        <f t="shared" si="349"/>
        <v/>
      </c>
      <c r="P2800" s="65" t="str">
        <f t="shared" ca="1" si="350"/>
        <v/>
      </c>
      <c r="Q2800" s="2"/>
      <c r="R2800" s="2"/>
      <c r="S2800" s="1" t="str">
        <f t="shared" si="351"/>
        <v/>
      </c>
      <c r="T2800" s="1" t="str">
        <f>IF(OR($C2800="",$D2800&lt;&gt;"Gelir",$L2800=""),"",IFERROR(INDEX(MUSTERILER!$B$7:$B$156,MATCH($S2800,MUSTERILER!$T$7:$T$156,0)),""))</f>
        <v/>
      </c>
      <c r="U2800" s="1" t="str">
        <f>IF($T2800="","",$T2800&amp;"|"&amp;COUNTIFS($T$7:$T2800,$T2800))</f>
        <v/>
      </c>
      <c r="V2800" s="1">
        <f t="shared" si="352"/>
        <v>0</v>
      </c>
      <c r="W2800" s="1" t="str">
        <f t="shared" si="353"/>
        <v/>
      </c>
      <c r="X2800" s="1"/>
      <c r="Y2800" s="1"/>
      <c r="Z2800" s="1"/>
      <c r="AA2800" s="1"/>
      <c r="AB2800" s="1"/>
      <c r="AC2800" s="1"/>
      <c r="AD2800" s="1">
        <f>IF($C2800="",0,SUMPRODUCT((AY_SONU!$O$7:$O$42="Evet")*(AY_SONU!$B$7:$B$42=DATE(YEAR($C2800),MONTH($C2800),1))))</f>
        <v>0</v>
      </c>
      <c r="AE2800" s="1" t="str">
        <f>IF($E2800="","",$E2800&amp;"|"&amp;COUNTIFS($E$7:$E2800,$E2800))</f>
        <v/>
      </c>
    </row>
    <row r="2801" spans="1:31" ht="18" customHeight="1" x14ac:dyDescent="0.3">
      <c r="A2801" s="2"/>
      <c r="B2801" s="65" t="str">
        <f t="shared" si="346"/>
        <v/>
      </c>
      <c r="C2801" s="66"/>
      <c r="D2801" s="60"/>
      <c r="E2801" s="61"/>
      <c r="F2801" s="61"/>
      <c r="G2801" s="67"/>
      <c r="H2801" s="60"/>
      <c r="I2801" s="60"/>
      <c r="J2801" s="61"/>
      <c r="K2801" s="61"/>
      <c r="L2801" s="60"/>
      <c r="M2801" s="74" t="str">
        <f t="shared" si="347"/>
        <v/>
      </c>
      <c r="N2801" s="74" t="str">
        <f t="shared" si="348"/>
        <v/>
      </c>
      <c r="O2801" s="73" t="str">
        <f t="shared" si="349"/>
        <v/>
      </c>
      <c r="P2801" s="65" t="str">
        <f t="shared" ca="1" si="350"/>
        <v/>
      </c>
      <c r="Q2801" s="2"/>
      <c r="R2801" s="2"/>
      <c r="S2801" s="1" t="str">
        <f t="shared" si="351"/>
        <v/>
      </c>
      <c r="T2801" s="1" t="str">
        <f>IF(OR($C2801="",$D2801&lt;&gt;"Gelir",$L2801=""),"",IFERROR(INDEX(MUSTERILER!$B$7:$B$156,MATCH($S2801,MUSTERILER!$T$7:$T$156,0)),""))</f>
        <v/>
      </c>
      <c r="U2801" s="1" t="str">
        <f>IF($T2801="","",$T2801&amp;"|"&amp;COUNTIFS($T$7:$T2801,$T2801))</f>
        <v/>
      </c>
      <c r="V2801" s="1">
        <f t="shared" si="352"/>
        <v>0</v>
      </c>
      <c r="W2801" s="1" t="str">
        <f t="shared" si="353"/>
        <v/>
      </c>
      <c r="X2801" s="1"/>
      <c r="Y2801" s="1"/>
      <c r="Z2801" s="1"/>
      <c r="AA2801" s="1"/>
      <c r="AB2801" s="1"/>
      <c r="AC2801" s="1"/>
      <c r="AD2801" s="1">
        <f>IF($C2801="",0,SUMPRODUCT((AY_SONU!$O$7:$O$42="Evet")*(AY_SONU!$B$7:$B$42=DATE(YEAR($C2801),MONTH($C2801),1))))</f>
        <v>0</v>
      </c>
      <c r="AE2801" s="1" t="str">
        <f>IF($E2801="","",$E2801&amp;"|"&amp;COUNTIFS($E$7:$E2801,$E2801))</f>
        <v/>
      </c>
    </row>
    <row r="2802" spans="1:31" ht="18" customHeight="1" x14ac:dyDescent="0.3">
      <c r="A2802" s="2"/>
      <c r="B2802" s="65" t="str">
        <f t="shared" si="346"/>
        <v/>
      </c>
      <c r="C2802" s="66"/>
      <c r="D2802" s="60"/>
      <c r="E2802" s="61"/>
      <c r="F2802" s="61"/>
      <c r="G2802" s="67"/>
      <c r="H2802" s="60"/>
      <c r="I2802" s="60"/>
      <c r="J2802" s="61"/>
      <c r="K2802" s="61"/>
      <c r="L2802" s="60"/>
      <c r="M2802" s="74" t="str">
        <f t="shared" si="347"/>
        <v/>
      </c>
      <c r="N2802" s="74" t="str">
        <f t="shared" si="348"/>
        <v/>
      </c>
      <c r="O2802" s="73" t="str">
        <f t="shared" si="349"/>
        <v/>
      </c>
      <c r="P2802" s="65" t="str">
        <f t="shared" ca="1" si="350"/>
        <v/>
      </c>
      <c r="Q2802" s="2"/>
      <c r="R2802" s="2"/>
      <c r="S2802" s="1" t="str">
        <f t="shared" si="351"/>
        <v/>
      </c>
      <c r="T2802" s="1" t="str">
        <f>IF(OR($C2802="",$D2802&lt;&gt;"Gelir",$L2802=""),"",IFERROR(INDEX(MUSTERILER!$B$7:$B$156,MATCH($S2802,MUSTERILER!$T$7:$T$156,0)),""))</f>
        <v/>
      </c>
      <c r="U2802" s="1" t="str">
        <f>IF($T2802="","",$T2802&amp;"|"&amp;COUNTIFS($T$7:$T2802,$T2802))</f>
        <v/>
      </c>
      <c r="V2802" s="1">
        <f t="shared" si="352"/>
        <v>0</v>
      </c>
      <c r="W2802" s="1" t="str">
        <f t="shared" si="353"/>
        <v/>
      </c>
      <c r="X2802" s="1"/>
      <c r="Y2802" s="1"/>
      <c r="Z2802" s="1"/>
      <c r="AA2802" s="1"/>
      <c r="AB2802" s="1"/>
      <c r="AC2802" s="1"/>
      <c r="AD2802" s="1">
        <f>IF($C2802="",0,SUMPRODUCT((AY_SONU!$O$7:$O$42="Evet")*(AY_SONU!$B$7:$B$42=DATE(YEAR($C2802),MONTH($C2802),1))))</f>
        <v>0</v>
      </c>
      <c r="AE2802" s="1" t="str">
        <f>IF($E2802="","",$E2802&amp;"|"&amp;COUNTIFS($E$7:$E2802,$E2802))</f>
        <v/>
      </c>
    </row>
    <row r="2803" spans="1:31" ht="18" customHeight="1" x14ac:dyDescent="0.3">
      <c r="A2803" s="2"/>
      <c r="B2803" s="65" t="str">
        <f t="shared" si="346"/>
        <v/>
      </c>
      <c r="C2803" s="66"/>
      <c r="D2803" s="60"/>
      <c r="E2803" s="61"/>
      <c r="F2803" s="61"/>
      <c r="G2803" s="67"/>
      <c r="H2803" s="60"/>
      <c r="I2803" s="60"/>
      <c r="J2803" s="61"/>
      <c r="K2803" s="61"/>
      <c r="L2803" s="60"/>
      <c r="M2803" s="74" t="str">
        <f t="shared" si="347"/>
        <v/>
      </c>
      <c r="N2803" s="74" t="str">
        <f t="shared" si="348"/>
        <v/>
      </c>
      <c r="O2803" s="73" t="str">
        <f t="shared" si="349"/>
        <v/>
      </c>
      <c r="P2803" s="65" t="str">
        <f t="shared" ca="1" si="350"/>
        <v/>
      </c>
      <c r="Q2803" s="2"/>
      <c r="R2803" s="2"/>
      <c r="S2803" s="1" t="str">
        <f t="shared" si="351"/>
        <v/>
      </c>
      <c r="T2803" s="1" t="str">
        <f>IF(OR($C2803="",$D2803&lt;&gt;"Gelir",$L2803=""),"",IFERROR(INDEX(MUSTERILER!$B$7:$B$156,MATCH($S2803,MUSTERILER!$T$7:$T$156,0)),""))</f>
        <v/>
      </c>
      <c r="U2803" s="1" t="str">
        <f>IF($T2803="","",$T2803&amp;"|"&amp;COUNTIFS($T$7:$T2803,$T2803))</f>
        <v/>
      </c>
      <c r="V2803" s="1">
        <f t="shared" si="352"/>
        <v>0</v>
      </c>
      <c r="W2803" s="1" t="str">
        <f t="shared" si="353"/>
        <v/>
      </c>
      <c r="X2803" s="1"/>
      <c r="Y2803" s="1"/>
      <c r="Z2803" s="1"/>
      <c r="AA2803" s="1"/>
      <c r="AB2803" s="1"/>
      <c r="AC2803" s="1"/>
      <c r="AD2803" s="1">
        <f>IF($C2803="",0,SUMPRODUCT((AY_SONU!$O$7:$O$42="Evet")*(AY_SONU!$B$7:$B$42=DATE(YEAR($C2803),MONTH($C2803),1))))</f>
        <v>0</v>
      </c>
      <c r="AE2803" s="1" t="str">
        <f>IF($E2803="","",$E2803&amp;"|"&amp;COUNTIFS($E$7:$E2803,$E2803))</f>
        <v/>
      </c>
    </row>
    <row r="2804" spans="1:31" ht="18" customHeight="1" x14ac:dyDescent="0.3">
      <c r="A2804" s="2"/>
      <c r="B2804" s="65" t="str">
        <f t="shared" si="346"/>
        <v/>
      </c>
      <c r="C2804" s="66"/>
      <c r="D2804" s="60"/>
      <c r="E2804" s="61"/>
      <c r="F2804" s="61"/>
      <c r="G2804" s="67"/>
      <c r="H2804" s="60"/>
      <c r="I2804" s="60"/>
      <c r="J2804" s="61"/>
      <c r="K2804" s="61"/>
      <c r="L2804" s="60"/>
      <c r="M2804" s="74" t="str">
        <f t="shared" si="347"/>
        <v/>
      </c>
      <c r="N2804" s="74" t="str">
        <f t="shared" si="348"/>
        <v/>
      </c>
      <c r="O2804" s="73" t="str">
        <f t="shared" si="349"/>
        <v/>
      </c>
      <c r="P2804" s="65" t="str">
        <f t="shared" ca="1" si="350"/>
        <v/>
      </c>
      <c r="Q2804" s="2"/>
      <c r="R2804" s="2"/>
      <c r="S2804" s="1" t="str">
        <f t="shared" si="351"/>
        <v/>
      </c>
      <c r="T2804" s="1" t="str">
        <f>IF(OR($C2804="",$D2804&lt;&gt;"Gelir",$L2804=""),"",IFERROR(INDEX(MUSTERILER!$B$7:$B$156,MATCH($S2804,MUSTERILER!$T$7:$T$156,0)),""))</f>
        <v/>
      </c>
      <c r="U2804" s="1" t="str">
        <f>IF($T2804="","",$T2804&amp;"|"&amp;COUNTIFS($T$7:$T2804,$T2804))</f>
        <v/>
      </c>
      <c r="V2804" s="1">
        <f t="shared" si="352"/>
        <v>0</v>
      </c>
      <c r="W2804" s="1" t="str">
        <f t="shared" si="353"/>
        <v/>
      </c>
      <c r="X2804" s="1"/>
      <c r="Y2804" s="1"/>
      <c r="Z2804" s="1"/>
      <c r="AA2804" s="1"/>
      <c r="AB2804" s="1"/>
      <c r="AC2804" s="1"/>
      <c r="AD2804" s="1">
        <f>IF($C2804="",0,SUMPRODUCT((AY_SONU!$O$7:$O$42="Evet")*(AY_SONU!$B$7:$B$42=DATE(YEAR($C2804),MONTH($C2804),1))))</f>
        <v>0</v>
      </c>
      <c r="AE2804" s="1" t="str">
        <f>IF($E2804="","",$E2804&amp;"|"&amp;COUNTIFS($E$7:$E2804,$E2804))</f>
        <v/>
      </c>
    </row>
    <row r="2805" spans="1:31" ht="18" customHeight="1" x14ac:dyDescent="0.3">
      <c r="A2805" s="2"/>
      <c r="B2805" s="65" t="str">
        <f t="shared" si="346"/>
        <v/>
      </c>
      <c r="C2805" s="66"/>
      <c r="D2805" s="60"/>
      <c r="E2805" s="61"/>
      <c r="F2805" s="61"/>
      <c r="G2805" s="67"/>
      <c r="H2805" s="60"/>
      <c r="I2805" s="60"/>
      <c r="J2805" s="61"/>
      <c r="K2805" s="61"/>
      <c r="L2805" s="60"/>
      <c r="M2805" s="74" t="str">
        <f t="shared" si="347"/>
        <v/>
      </c>
      <c r="N2805" s="74" t="str">
        <f t="shared" si="348"/>
        <v/>
      </c>
      <c r="O2805" s="73" t="str">
        <f t="shared" si="349"/>
        <v/>
      </c>
      <c r="P2805" s="65" t="str">
        <f t="shared" ca="1" si="350"/>
        <v/>
      </c>
      <c r="Q2805" s="2"/>
      <c r="R2805" s="2"/>
      <c r="S2805" s="1" t="str">
        <f t="shared" si="351"/>
        <v/>
      </c>
      <c r="T2805" s="1" t="str">
        <f>IF(OR($C2805="",$D2805&lt;&gt;"Gelir",$L2805=""),"",IFERROR(INDEX(MUSTERILER!$B$7:$B$156,MATCH($S2805,MUSTERILER!$T$7:$T$156,0)),""))</f>
        <v/>
      </c>
      <c r="U2805" s="1" t="str">
        <f>IF($T2805="","",$T2805&amp;"|"&amp;COUNTIFS($T$7:$T2805,$T2805))</f>
        <v/>
      </c>
      <c r="V2805" s="1">
        <f t="shared" si="352"/>
        <v>0</v>
      </c>
      <c r="W2805" s="1" t="str">
        <f t="shared" si="353"/>
        <v/>
      </c>
      <c r="X2805" s="1"/>
      <c r="Y2805" s="1"/>
      <c r="Z2805" s="1"/>
      <c r="AA2805" s="1"/>
      <c r="AB2805" s="1"/>
      <c r="AC2805" s="1"/>
      <c r="AD2805" s="1">
        <f>IF($C2805="",0,SUMPRODUCT((AY_SONU!$O$7:$O$42="Evet")*(AY_SONU!$B$7:$B$42=DATE(YEAR($C2805),MONTH($C2805),1))))</f>
        <v>0</v>
      </c>
      <c r="AE2805" s="1" t="str">
        <f>IF($E2805="","",$E2805&amp;"|"&amp;COUNTIFS($E$7:$E2805,$E2805))</f>
        <v/>
      </c>
    </row>
    <row r="2806" spans="1:31" ht="18" customHeight="1" x14ac:dyDescent="0.3">
      <c r="A2806" s="2"/>
      <c r="B2806" s="65" t="str">
        <f t="shared" si="346"/>
        <v/>
      </c>
      <c r="C2806" s="66"/>
      <c r="D2806" s="60"/>
      <c r="E2806" s="61"/>
      <c r="F2806" s="61"/>
      <c r="G2806" s="67"/>
      <c r="H2806" s="60"/>
      <c r="I2806" s="60"/>
      <c r="J2806" s="61"/>
      <c r="K2806" s="61"/>
      <c r="L2806" s="60"/>
      <c r="M2806" s="74" t="str">
        <f t="shared" si="347"/>
        <v/>
      </c>
      <c r="N2806" s="74" t="str">
        <f t="shared" si="348"/>
        <v/>
      </c>
      <c r="O2806" s="73" t="str">
        <f t="shared" si="349"/>
        <v/>
      </c>
      <c r="P2806" s="65" t="str">
        <f t="shared" ca="1" si="350"/>
        <v/>
      </c>
      <c r="Q2806" s="2"/>
      <c r="R2806" s="2"/>
      <c r="S2806" s="1" t="str">
        <f t="shared" si="351"/>
        <v/>
      </c>
      <c r="T2806" s="1" t="str">
        <f>IF(OR($C2806="",$D2806&lt;&gt;"Gelir",$L2806=""),"",IFERROR(INDEX(MUSTERILER!$B$7:$B$156,MATCH($S2806,MUSTERILER!$T$7:$T$156,0)),""))</f>
        <v/>
      </c>
      <c r="U2806" s="1" t="str">
        <f>IF($T2806="","",$T2806&amp;"|"&amp;COUNTIFS($T$7:$T2806,$T2806))</f>
        <v/>
      </c>
      <c r="V2806" s="1">
        <f t="shared" si="352"/>
        <v>0</v>
      </c>
      <c r="W2806" s="1" t="str">
        <f t="shared" si="353"/>
        <v/>
      </c>
      <c r="X2806" s="1"/>
      <c r="Y2806" s="1"/>
      <c r="Z2806" s="1"/>
      <c r="AA2806" s="1"/>
      <c r="AB2806" s="1"/>
      <c r="AC2806" s="1"/>
      <c r="AD2806" s="1">
        <f>IF($C2806="",0,SUMPRODUCT((AY_SONU!$O$7:$O$42="Evet")*(AY_SONU!$B$7:$B$42=DATE(YEAR($C2806),MONTH($C2806),1))))</f>
        <v>0</v>
      </c>
      <c r="AE2806" s="1" t="str">
        <f>IF($E2806="","",$E2806&amp;"|"&amp;COUNTIFS($E$7:$E2806,$E2806))</f>
        <v/>
      </c>
    </row>
    <row r="2807" spans="1:31" ht="18" customHeight="1" x14ac:dyDescent="0.3">
      <c r="A2807" s="2"/>
      <c r="B2807" s="65" t="str">
        <f t="shared" si="346"/>
        <v/>
      </c>
      <c r="C2807" s="66"/>
      <c r="D2807" s="60"/>
      <c r="E2807" s="61"/>
      <c r="F2807" s="61"/>
      <c r="G2807" s="67"/>
      <c r="H2807" s="60"/>
      <c r="I2807" s="60"/>
      <c r="J2807" s="61"/>
      <c r="K2807" s="61"/>
      <c r="L2807" s="60"/>
      <c r="M2807" s="74" t="str">
        <f t="shared" si="347"/>
        <v/>
      </c>
      <c r="N2807" s="74" t="str">
        <f t="shared" si="348"/>
        <v/>
      </c>
      <c r="O2807" s="73" t="str">
        <f t="shared" si="349"/>
        <v/>
      </c>
      <c r="P2807" s="65" t="str">
        <f t="shared" ca="1" si="350"/>
        <v/>
      </c>
      <c r="Q2807" s="2"/>
      <c r="R2807" s="2"/>
      <c r="S2807" s="1" t="str">
        <f t="shared" si="351"/>
        <v/>
      </c>
      <c r="T2807" s="1" t="str">
        <f>IF(OR($C2807="",$D2807&lt;&gt;"Gelir",$L2807=""),"",IFERROR(INDEX(MUSTERILER!$B$7:$B$156,MATCH($S2807,MUSTERILER!$T$7:$T$156,0)),""))</f>
        <v/>
      </c>
      <c r="U2807" s="1" t="str">
        <f>IF($T2807="","",$T2807&amp;"|"&amp;COUNTIFS($T$7:$T2807,$T2807))</f>
        <v/>
      </c>
      <c r="V2807" s="1">
        <f t="shared" si="352"/>
        <v>0</v>
      </c>
      <c r="W2807" s="1" t="str">
        <f t="shared" si="353"/>
        <v/>
      </c>
      <c r="X2807" s="1"/>
      <c r="Y2807" s="1"/>
      <c r="Z2807" s="1"/>
      <c r="AA2807" s="1"/>
      <c r="AB2807" s="1"/>
      <c r="AC2807" s="1"/>
      <c r="AD2807" s="1">
        <f>IF($C2807="",0,SUMPRODUCT((AY_SONU!$O$7:$O$42="Evet")*(AY_SONU!$B$7:$B$42=DATE(YEAR($C2807),MONTH($C2807),1))))</f>
        <v>0</v>
      </c>
      <c r="AE2807" s="1" t="str">
        <f>IF($E2807="","",$E2807&amp;"|"&amp;COUNTIFS($E$7:$E2807,$E2807))</f>
        <v/>
      </c>
    </row>
    <row r="2808" spans="1:31" ht="18" customHeight="1" x14ac:dyDescent="0.3">
      <c r="A2808" s="2"/>
      <c r="B2808" s="65" t="str">
        <f t="shared" si="346"/>
        <v/>
      </c>
      <c r="C2808" s="66"/>
      <c r="D2808" s="60"/>
      <c r="E2808" s="61"/>
      <c r="F2808" s="61"/>
      <c r="G2808" s="67"/>
      <c r="H2808" s="60"/>
      <c r="I2808" s="60"/>
      <c r="J2808" s="61"/>
      <c r="K2808" s="61"/>
      <c r="L2808" s="60"/>
      <c r="M2808" s="74" t="str">
        <f t="shared" si="347"/>
        <v/>
      </c>
      <c r="N2808" s="74" t="str">
        <f t="shared" si="348"/>
        <v/>
      </c>
      <c r="O2808" s="73" t="str">
        <f t="shared" si="349"/>
        <v/>
      </c>
      <c r="P2808" s="65" t="str">
        <f t="shared" ca="1" si="350"/>
        <v/>
      </c>
      <c r="Q2808" s="2"/>
      <c r="R2808" s="2"/>
      <c r="S2808" s="1" t="str">
        <f t="shared" si="351"/>
        <v/>
      </c>
      <c r="T2808" s="1" t="str">
        <f>IF(OR($C2808="",$D2808&lt;&gt;"Gelir",$L2808=""),"",IFERROR(INDEX(MUSTERILER!$B$7:$B$156,MATCH($S2808,MUSTERILER!$T$7:$T$156,0)),""))</f>
        <v/>
      </c>
      <c r="U2808" s="1" t="str">
        <f>IF($T2808="","",$T2808&amp;"|"&amp;COUNTIFS($T$7:$T2808,$T2808))</f>
        <v/>
      </c>
      <c r="V2808" s="1">
        <f t="shared" si="352"/>
        <v>0</v>
      </c>
      <c r="W2808" s="1" t="str">
        <f t="shared" si="353"/>
        <v/>
      </c>
      <c r="X2808" s="1"/>
      <c r="Y2808" s="1"/>
      <c r="Z2808" s="1"/>
      <c r="AA2808" s="1"/>
      <c r="AB2808" s="1"/>
      <c r="AC2808" s="1"/>
      <c r="AD2808" s="1">
        <f>IF($C2808="",0,SUMPRODUCT((AY_SONU!$O$7:$O$42="Evet")*(AY_SONU!$B$7:$B$42=DATE(YEAR($C2808),MONTH($C2808),1))))</f>
        <v>0</v>
      </c>
      <c r="AE2808" s="1" t="str">
        <f>IF($E2808="","",$E2808&amp;"|"&amp;COUNTIFS($E$7:$E2808,$E2808))</f>
        <v/>
      </c>
    </row>
    <row r="2809" spans="1:31" ht="18" customHeight="1" x14ac:dyDescent="0.3">
      <c r="A2809" s="2"/>
      <c r="B2809" s="65" t="str">
        <f t="shared" si="346"/>
        <v/>
      </c>
      <c r="C2809" s="66"/>
      <c r="D2809" s="60"/>
      <c r="E2809" s="61"/>
      <c r="F2809" s="61"/>
      <c r="G2809" s="67"/>
      <c r="H2809" s="60"/>
      <c r="I2809" s="60"/>
      <c r="J2809" s="61"/>
      <c r="K2809" s="61"/>
      <c r="L2809" s="60"/>
      <c r="M2809" s="74" t="str">
        <f t="shared" si="347"/>
        <v/>
      </c>
      <c r="N2809" s="74" t="str">
        <f t="shared" si="348"/>
        <v/>
      </c>
      <c r="O2809" s="73" t="str">
        <f t="shared" si="349"/>
        <v/>
      </c>
      <c r="P2809" s="65" t="str">
        <f t="shared" ca="1" si="350"/>
        <v/>
      </c>
      <c r="Q2809" s="2"/>
      <c r="R2809" s="2"/>
      <c r="S2809" s="1" t="str">
        <f t="shared" si="351"/>
        <v/>
      </c>
      <c r="T2809" s="1" t="str">
        <f>IF(OR($C2809="",$D2809&lt;&gt;"Gelir",$L2809=""),"",IFERROR(INDEX(MUSTERILER!$B$7:$B$156,MATCH($S2809,MUSTERILER!$T$7:$T$156,0)),""))</f>
        <v/>
      </c>
      <c r="U2809" s="1" t="str">
        <f>IF($T2809="","",$T2809&amp;"|"&amp;COUNTIFS($T$7:$T2809,$T2809))</f>
        <v/>
      </c>
      <c r="V2809" s="1">
        <f t="shared" si="352"/>
        <v>0</v>
      </c>
      <c r="W2809" s="1" t="str">
        <f t="shared" si="353"/>
        <v/>
      </c>
      <c r="X2809" s="1"/>
      <c r="Y2809" s="1"/>
      <c r="Z2809" s="1"/>
      <c r="AA2809" s="1"/>
      <c r="AB2809" s="1"/>
      <c r="AC2809" s="1"/>
      <c r="AD2809" s="1">
        <f>IF($C2809="",0,SUMPRODUCT((AY_SONU!$O$7:$O$42="Evet")*(AY_SONU!$B$7:$B$42=DATE(YEAR($C2809),MONTH($C2809),1))))</f>
        <v>0</v>
      </c>
      <c r="AE2809" s="1" t="str">
        <f>IF($E2809="","",$E2809&amp;"|"&amp;COUNTIFS($E$7:$E2809,$E2809))</f>
        <v/>
      </c>
    </row>
    <row r="2810" spans="1:31" ht="18" customHeight="1" x14ac:dyDescent="0.3">
      <c r="A2810" s="2"/>
      <c r="B2810" s="65" t="str">
        <f t="shared" si="346"/>
        <v/>
      </c>
      <c r="C2810" s="66"/>
      <c r="D2810" s="60"/>
      <c r="E2810" s="61"/>
      <c r="F2810" s="61"/>
      <c r="G2810" s="67"/>
      <c r="H2810" s="60"/>
      <c r="I2810" s="60"/>
      <c r="J2810" s="61"/>
      <c r="K2810" s="61"/>
      <c r="L2810" s="60"/>
      <c r="M2810" s="74" t="str">
        <f t="shared" si="347"/>
        <v/>
      </c>
      <c r="N2810" s="74" t="str">
        <f t="shared" si="348"/>
        <v/>
      </c>
      <c r="O2810" s="73" t="str">
        <f t="shared" si="349"/>
        <v/>
      </c>
      <c r="P2810" s="65" t="str">
        <f t="shared" ca="1" si="350"/>
        <v/>
      </c>
      <c r="Q2810" s="2"/>
      <c r="R2810" s="2"/>
      <c r="S2810" s="1" t="str">
        <f t="shared" si="351"/>
        <v/>
      </c>
      <c r="T2810" s="1" t="str">
        <f>IF(OR($C2810="",$D2810&lt;&gt;"Gelir",$L2810=""),"",IFERROR(INDEX(MUSTERILER!$B$7:$B$156,MATCH($S2810,MUSTERILER!$T$7:$T$156,0)),""))</f>
        <v/>
      </c>
      <c r="U2810" s="1" t="str">
        <f>IF($T2810="","",$T2810&amp;"|"&amp;COUNTIFS($T$7:$T2810,$T2810))</f>
        <v/>
      </c>
      <c r="V2810" s="1">
        <f t="shared" si="352"/>
        <v>0</v>
      </c>
      <c r="W2810" s="1" t="str">
        <f t="shared" si="353"/>
        <v/>
      </c>
      <c r="X2810" s="1"/>
      <c r="Y2810" s="1"/>
      <c r="Z2810" s="1"/>
      <c r="AA2810" s="1"/>
      <c r="AB2810" s="1"/>
      <c r="AC2810" s="1"/>
      <c r="AD2810" s="1">
        <f>IF($C2810="",0,SUMPRODUCT((AY_SONU!$O$7:$O$42="Evet")*(AY_SONU!$B$7:$B$42=DATE(YEAR($C2810),MONTH($C2810),1))))</f>
        <v>0</v>
      </c>
      <c r="AE2810" s="1" t="str">
        <f>IF($E2810="","",$E2810&amp;"|"&amp;COUNTIFS($E$7:$E2810,$E2810))</f>
        <v/>
      </c>
    </row>
    <row r="2811" spans="1:31" ht="18" customHeight="1" x14ac:dyDescent="0.3">
      <c r="A2811" s="2"/>
      <c r="B2811" s="65" t="str">
        <f t="shared" si="346"/>
        <v/>
      </c>
      <c r="C2811" s="66"/>
      <c r="D2811" s="60"/>
      <c r="E2811" s="61"/>
      <c r="F2811" s="61"/>
      <c r="G2811" s="67"/>
      <c r="H2811" s="60"/>
      <c r="I2811" s="60"/>
      <c r="J2811" s="61"/>
      <c r="K2811" s="61"/>
      <c r="L2811" s="60"/>
      <c r="M2811" s="74" t="str">
        <f t="shared" si="347"/>
        <v/>
      </c>
      <c r="N2811" s="74" t="str">
        <f t="shared" si="348"/>
        <v/>
      </c>
      <c r="O2811" s="73" t="str">
        <f t="shared" si="349"/>
        <v/>
      </c>
      <c r="P2811" s="65" t="str">
        <f t="shared" ca="1" si="350"/>
        <v/>
      </c>
      <c r="Q2811" s="2"/>
      <c r="R2811" s="2"/>
      <c r="S2811" s="1" t="str">
        <f t="shared" si="351"/>
        <v/>
      </c>
      <c r="T2811" s="1" t="str">
        <f>IF(OR($C2811="",$D2811&lt;&gt;"Gelir",$L2811=""),"",IFERROR(INDEX(MUSTERILER!$B$7:$B$156,MATCH($S2811,MUSTERILER!$T$7:$T$156,0)),""))</f>
        <v/>
      </c>
      <c r="U2811" s="1" t="str">
        <f>IF($T2811="","",$T2811&amp;"|"&amp;COUNTIFS($T$7:$T2811,$T2811))</f>
        <v/>
      </c>
      <c r="V2811" s="1">
        <f t="shared" si="352"/>
        <v>0</v>
      </c>
      <c r="W2811" s="1" t="str">
        <f t="shared" si="353"/>
        <v/>
      </c>
      <c r="X2811" s="1"/>
      <c r="Y2811" s="1"/>
      <c r="Z2811" s="1"/>
      <c r="AA2811" s="1"/>
      <c r="AB2811" s="1"/>
      <c r="AC2811" s="1"/>
      <c r="AD2811" s="1">
        <f>IF($C2811="",0,SUMPRODUCT((AY_SONU!$O$7:$O$42="Evet")*(AY_SONU!$B$7:$B$42=DATE(YEAR($C2811),MONTH($C2811),1))))</f>
        <v>0</v>
      </c>
      <c r="AE2811" s="1" t="str">
        <f>IF($E2811="","",$E2811&amp;"|"&amp;COUNTIFS($E$7:$E2811,$E2811))</f>
        <v/>
      </c>
    </row>
    <row r="2812" spans="1:31" ht="18" customHeight="1" x14ac:dyDescent="0.3">
      <c r="A2812" s="2"/>
      <c r="B2812" s="65" t="str">
        <f t="shared" si="346"/>
        <v/>
      </c>
      <c r="C2812" s="66"/>
      <c r="D2812" s="60"/>
      <c r="E2812" s="61"/>
      <c r="F2812" s="61"/>
      <c r="G2812" s="67"/>
      <c r="H2812" s="60"/>
      <c r="I2812" s="60"/>
      <c r="J2812" s="61"/>
      <c r="K2812" s="61"/>
      <c r="L2812" s="60"/>
      <c r="M2812" s="74" t="str">
        <f t="shared" si="347"/>
        <v/>
      </c>
      <c r="N2812" s="74" t="str">
        <f t="shared" si="348"/>
        <v/>
      </c>
      <c r="O2812" s="73" t="str">
        <f t="shared" si="349"/>
        <v/>
      </c>
      <c r="P2812" s="65" t="str">
        <f t="shared" ca="1" si="350"/>
        <v/>
      </c>
      <c r="Q2812" s="2"/>
      <c r="R2812" s="2"/>
      <c r="S2812" s="1" t="str">
        <f t="shared" si="351"/>
        <v/>
      </c>
      <c r="T2812" s="1" t="str">
        <f>IF(OR($C2812="",$D2812&lt;&gt;"Gelir",$L2812=""),"",IFERROR(INDEX(MUSTERILER!$B$7:$B$156,MATCH($S2812,MUSTERILER!$T$7:$T$156,0)),""))</f>
        <v/>
      </c>
      <c r="U2812" s="1" t="str">
        <f>IF($T2812="","",$T2812&amp;"|"&amp;COUNTIFS($T$7:$T2812,$T2812))</f>
        <v/>
      </c>
      <c r="V2812" s="1">
        <f t="shared" si="352"/>
        <v>0</v>
      </c>
      <c r="W2812" s="1" t="str">
        <f t="shared" si="353"/>
        <v/>
      </c>
      <c r="X2812" s="1"/>
      <c r="Y2812" s="1"/>
      <c r="Z2812" s="1"/>
      <c r="AA2812" s="1"/>
      <c r="AB2812" s="1"/>
      <c r="AC2812" s="1"/>
      <c r="AD2812" s="1">
        <f>IF($C2812="",0,SUMPRODUCT((AY_SONU!$O$7:$O$42="Evet")*(AY_SONU!$B$7:$B$42=DATE(YEAR($C2812),MONTH($C2812),1))))</f>
        <v>0</v>
      </c>
      <c r="AE2812" s="1" t="str">
        <f>IF($E2812="","",$E2812&amp;"|"&amp;COUNTIFS($E$7:$E2812,$E2812))</f>
        <v/>
      </c>
    </row>
    <row r="2813" spans="1:31" ht="18" customHeight="1" x14ac:dyDescent="0.3">
      <c r="A2813" s="2"/>
      <c r="B2813" s="65" t="str">
        <f t="shared" si="346"/>
        <v/>
      </c>
      <c r="C2813" s="66"/>
      <c r="D2813" s="60"/>
      <c r="E2813" s="61"/>
      <c r="F2813" s="61"/>
      <c r="G2813" s="67"/>
      <c r="H2813" s="60"/>
      <c r="I2813" s="60"/>
      <c r="J2813" s="61"/>
      <c r="K2813" s="61"/>
      <c r="L2813" s="60"/>
      <c r="M2813" s="74" t="str">
        <f t="shared" si="347"/>
        <v/>
      </c>
      <c r="N2813" s="74" t="str">
        <f t="shared" si="348"/>
        <v/>
      </c>
      <c r="O2813" s="73" t="str">
        <f t="shared" si="349"/>
        <v/>
      </c>
      <c r="P2813" s="65" t="str">
        <f t="shared" ca="1" si="350"/>
        <v/>
      </c>
      <c r="Q2813" s="2"/>
      <c r="R2813" s="2"/>
      <c r="S2813" s="1" t="str">
        <f t="shared" si="351"/>
        <v/>
      </c>
      <c r="T2813" s="1" t="str">
        <f>IF(OR($C2813="",$D2813&lt;&gt;"Gelir",$L2813=""),"",IFERROR(INDEX(MUSTERILER!$B$7:$B$156,MATCH($S2813,MUSTERILER!$T$7:$T$156,0)),""))</f>
        <v/>
      </c>
      <c r="U2813" s="1" t="str">
        <f>IF($T2813="","",$T2813&amp;"|"&amp;COUNTIFS($T$7:$T2813,$T2813))</f>
        <v/>
      </c>
      <c r="V2813" s="1">
        <f t="shared" si="352"/>
        <v>0</v>
      </c>
      <c r="W2813" s="1" t="str">
        <f t="shared" si="353"/>
        <v/>
      </c>
      <c r="X2813" s="1"/>
      <c r="Y2813" s="1"/>
      <c r="Z2813" s="1"/>
      <c r="AA2813" s="1"/>
      <c r="AB2813" s="1"/>
      <c r="AC2813" s="1"/>
      <c r="AD2813" s="1">
        <f>IF($C2813="",0,SUMPRODUCT((AY_SONU!$O$7:$O$42="Evet")*(AY_SONU!$B$7:$B$42=DATE(YEAR($C2813),MONTH($C2813),1))))</f>
        <v>0</v>
      </c>
      <c r="AE2813" s="1" t="str">
        <f>IF($E2813="","",$E2813&amp;"|"&amp;COUNTIFS($E$7:$E2813,$E2813))</f>
        <v/>
      </c>
    </row>
    <row r="2814" spans="1:31" ht="18" customHeight="1" x14ac:dyDescent="0.3">
      <c r="A2814" s="2"/>
      <c r="B2814" s="65" t="str">
        <f t="shared" si="346"/>
        <v/>
      </c>
      <c r="C2814" s="66"/>
      <c r="D2814" s="60"/>
      <c r="E2814" s="61"/>
      <c r="F2814" s="61"/>
      <c r="G2814" s="67"/>
      <c r="H2814" s="60"/>
      <c r="I2814" s="60"/>
      <c r="J2814" s="61"/>
      <c r="K2814" s="61"/>
      <c r="L2814" s="60"/>
      <c r="M2814" s="74" t="str">
        <f t="shared" si="347"/>
        <v/>
      </c>
      <c r="N2814" s="74" t="str">
        <f t="shared" si="348"/>
        <v/>
      </c>
      <c r="O2814" s="73" t="str">
        <f t="shared" si="349"/>
        <v/>
      </c>
      <c r="P2814" s="65" t="str">
        <f t="shared" ca="1" si="350"/>
        <v/>
      </c>
      <c r="Q2814" s="2"/>
      <c r="R2814" s="2"/>
      <c r="S2814" s="1" t="str">
        <f t="shared" si="351"/>
        <v/>
      </c>
      <c r="T2814" s="1" t="str">
        <f>IF(OR($C2814="",$D2814&lt;&gt;"Gelir",$L2814=""),"",IFERROR(INDEX(MUSTERILER!$B$7:$B$156,MATCH($S2814,MUSTERILER!$T$7:$T$156,0)),""))</f>
        <v/>
      </c>
      <c r="U2814" s="1" t="str">
        <f>IF($T2814="","",$T2814&amp;"|"&amp;COUNTIFS($T$7:$T2814,$T2814))</f>
        <v/>
      </c>
      <c r="V2814" s="1">
        <f t="shared" si="352"/>
        <v>0</v>
      </c>
      <c r="W2814" s="1" t="str">
        <f t="shared" si="353"/>
        <v/>
      </c>
      <c r="X2814" s="1"/>
      <c r="Y2814" s="1"/>
      <c r="Z2814" s="1"/>
      <c r="AA2814" s="1"/>
      <c r="AB2814" s="1"/>
      <c r="AC2814" s="1"/>
      <c r="AD2814" s="1">
        <f>IF($C2814="",0,SUMPRODUCT((AY_SONU!$O$7:$O$42="Evet")*(AY_SONU!$B$7:$B$42=DATE(YEAR($C2814),MONTH($C2814),1))))</f>
        <v>0</v>
      </c>
      <c r="AE2814" s="1" t="str">
        <f>IF($E2814="","",$E2814&amp;"|"&amp;COUNTIFS($E$7:$E2814,$E2814))</f>
        <v/>
      </c>
    </row>
    <row r="2815" spans="1:31" ht="18" customHeight="1" x14ac:dyDescent="0.3">
      <c r="A2815" s="2"/>
      <c r="B2815" s="65" t="str">
        <f t="shared" si="346"/>
        <v/>
      </c>
      <c r="C2815" s="66"/>
      <c r="D2815" s="60"/>
      <c r="E2815" s="61"/>
      <c r="F2815" s="61"/>
      <c r="G2815" s="67"/>
      <c r="H2815" s="60"/>
      <c r="I2815" s="60"/>
      <c r="J2815" s="61"/>
      <c r="K2815" s="61"/>
      <c r="L2815" s="60"/>
      <c r="M2815" s="74" t="str">
        <f t="shared" si="347"/>
        <v/>
      </c>
      <c r="N2815" s="74" t="str">
        <f t="shared" si="348"/>
        <v/>
      </c>
      <c r="O2815" s="73" t="str">
        <f t="shared" si="349"/>
        <v/>
      </c>
      <c r="P2815" s="65" t="str">
        <f t="shared" ca="1" si="350"/>
        <v/>
      </c>
      <c r="Q2815" s="2"/>
      <c r="R2815" s="2"/>
      <c r="S2815" s="1" t="str">
        <f t="shared" si="351"/>
        <v/>
      </c>
      <c r="T2815" s="1" t="str">
        <f>IF(OR($C2815="",$D2815&lt;&gt;"Gelir",$L2815=""),"",IFERROR(INDEX(MUSTERILER!$B$7:$B$156,MATCH($S2815,MUSTERILER!$T$7:$T$156,0)),""))</f>
        <v/>
      </c>
      <c r="U2815" s="1" t="str">
        <f>IF($T2815="","",$T2815&amp;"|"&amp;COUNTIFS($T$7:$T2815,$T2815))</f>
        <v/>
      </c>
      <c r="V2815" s="1">
        <f t="shared" si="352"/>
        <v>0</v>
      </c>
      <c r="W2815" s="1" t="str">
        <f t="shared" si="353"/>
        <v/>
      </c>
      <c r="X2815" s="1"/>
      <c r="Y2815" s="1"/>
      <c r="Z2815" s="1"/>
      <c r="AA2815" s="1"/>
      <c r="AB2815" s="1"/>
      <c r="AC2815" s="1"/>
      <c r="AD2815" s="1">
        <f>IF($C2815="",0,SUMPRODUCT((AY_SONU!$O$7:$O$42="Evet")*(AY_SONU!$B$7:$B$42=DATE(YEAR($C2815),MONTH($C2815),1))))</f>
        <v>0</v>
      </c>
      <c r="AE2815" s="1" t="str">
        <f>IF($E2815="","",$E2815&amp;"|"&amp;COUNTIFS($E$7:$E2815,$E2815))</f>
        <v/>
      </c>
    </row>
    <row r="2816" spans="1:31" ht="18" customHeight="1" x14ac:dyDescent="0.3">
      <c r="A2816" s="2"/>
      <c r="B2816" s="65" t="str">
        <f t="shared" si="346"/>
        <v/>
      </c>
      <c r="C2816" s="66"/>
      <c r="D2816" s="60"/>
      <c r="E2816" s="61"/>
      <c r="F2816" s="61"/>
      <c r="G2816" s="67"/>
      <c r="H2816" s="60"/>
      <c r="I2816" s="60"/>
      <c r="J2816" s="61"/>
      <c r="K2816" s="61"/>
      <c r="L2816" s="60"/>
      <c r="M2816" s="74" t="str">
        <f t="shared" si="347"/>
        <v/>
      </c>
      <c r="N2816" s="74" t="str">
        <f t="shared" si="348"/>
        <v/>
      </c>
      <c r="O2816" s="73" t="str">
        <f t="shared" si="349"/>
        <v/>
      </c>
      <c r="P2816" s="65" t="str">
        <f t="shared" ca="1" si="350"/>
        <v/>
      </c>
      <c r="Q2816" s="2"/>
      <c r="R2816" s="2"/>
      <c r="S2816" s="1" t="str">
        <f t="shared" si="351"/>
        <v/>
      </c>
      <c r="T2816" s="1" t="str">
        <f>IF(OR($C2816="",$D2816&lt;&gt;"Gelir",$L2816=""),"",IFERROR(INDEX(MUSTERILER!$B$7:$B$156,MATCH($S2816,MUSTERILER!$T$7:$T$156,0)),""))</f>
        <v/>
      </c>
      <c r="U2816" s="1" t="str">
        <f>IF($T2816="","",$T2816&amp;"|"&amp;COUNTIFS($T$7:$T2816,$T2816))</f>
        <v/>
      </c>
      <c r="V2816" s="1">
        <f t="shared" si="352"/>
        <v>0</v>
      </c>
      <c r="W2816" s="1" t="str">
        <f t="shared" si="353"/>
        <v/>
      </c>
      <c r="X2816" s="1"/>
      <c r="Y2816" s="1"/>
      <c r="Z2816" s="1"/>
      <c r="AA2816" s="1"/>
      <c r="AB2816" s="1"/>
      <c r="AC2816" s="1"/>
      <c r="AD2816" s="1">
        <f>IF($C2816="",0,SUMPRODUCT((AY_SONU!$O$7:$O$42="Evet")*(AY_SONU!$B$7:$B$42=DATE(YEAR($C2816),MONTH($C2816),1))))</f>
        <v>0</v>
      </c>
      <c r="AE2816" s="1" t="str">
        <f>IF($E2816="","",$E2816&amp;"|"&amp;COUNTIFS($E$7:$E2816,$E2816))</f>
        <v/>
      </c>
    </row>
    <row r="2817" spans="1:31" ht="18" customHeight="1" x14ac:dyDescent="0.3">
      <c r="A2817" s="2"/>
      <c r="B2817" s="65" t="str">
        <f t="shared" si="346"/>
        <v/>
      </c>
      <c r="C2817" s="66"/>
      <c r="D2817" s="60"/>
      <c r="E2817" s="61"/>
      <c r="F2817" s="61"/>
      <c r="G2817" s="67"/>
      <c r="H2817" s="60"/>
      <c r="I2817" s="60"/>
      <c r="J2817" s="61"/>
      <c r="K2817" s="61"/>
      <c r="L2817" s="60"/>
      <c r="M2817" s="74" t="str">
        <f t="shared" si="347"/>
        <v/>
      </c>
      <c r="N2817" s="74" t="str">
        <f t="shared" si="348"/>
        <v/>
      </c>
      <c r="O2817" s="73" t="str">
        <f t="shared" si="349"/>
        <v/>
      </c>
      <c r="P2817" s="65" t="str">
        <f t="shared" ca="1" si="350"/>
        <v/>
      </c>
      <c r="Q2817" s="2"/>
      <c r="R2817" s="2"/>
      <c r="S2817" s="1" t="str">
        <f t="shared" si="351"/>
        <v/>
      </c>
      <c r="T2817" s="1" t="str">
        <f>IF(OR($C2817="",$D2817&lt;&gt;"Gelir",$L2817=""),"",IFERROR(INDEX(MUSTERILER!$B$7:$B$156,MATCH($S2817,MUSTERILER!$T$7:$T$156,0)),""))</f>
        <v/>
      </c>
      <c r="U2817" s="1" t="str">
        <f>IF($T2817="","",$T2817&amp;"|"&amp;COUNTIFS($T$7:$T2817,$T2817))</f>
        <v/>
      </c>
      <c r="V2817" s="1">
        <f t="shared" si="352"/>
        <v>0</v>
      </c>
      <c r="W2817" s="1" t="str">
        <f t="shared" si="353"/>
        <v/>
      </c>
      <c r="X2817" s="1"/>
      <c r="Y2817" s="1"/>
      <c r="Z2817" s="1"/>
      <c r="AA2817" s="1"/>
      <c r="AB2817" s="1"/>
      <c r="AC2817" s="1"/>
      <c r="AD2817" s="1">
        <f>IF($C2817="",0,SUMPRODUCT((AY_SONU!$O$7:$O$42="Evet")*(AY_SONU!$B$7:$B$42=DATE(YEAR($C2817),MONTH($C2817),1))))</f>
        <v>0</v>
      </c>
      <c r="AE2817" s="1" t="str">
        <f>IF($E2817="","",$E2817&amp;"|"&amp;COUNTIFS($E$7:$E2817,$E2817))</f>
        <v/>
      </c>
    </row>
    <row r="2818" spans="1:31" ht="18" customHeight="1" x14ac:dyDescent="0.3">
      <c r="A2818" s="2"/>
      <c r="B2818" s="65" t="str">
        <f t="shared" si="346"/>
        <v/>
      </c>
      <c r="C2818" s="66"/>
      <c r="D2818" s="60"/>
      <c r="E2818" s="61"/>
      <c r="F2818" s="61"/>
      <c r="G2818" s="67"/>
      <c r="H2818" s="60"/>
      <c r="I2818" s="60"/>
      <c r="J2818" s="61"/>
      <c r="K2818" s="61"/>
      <c r="L2818" s="60"/>
      <c r="M2818" s="74" t="str">
        <f t="shared" si="347"/>
        <v/>
      </c>
      <c r="N2818" s="74" t="str">
        <f t="shared" si="348"/>
        <v/>
      </c>
      <c r="O2818" s="73" t="str">
        <f t="shared" si="349"/>
        <v/>
      </c>
      <c r="P2818" s="65" t="str">
        <f t="shared" ca="1" si="350"/>
        <v/>
      </c>
      <c r="Q2818" s="2"/>
      <c r="R2818" s="2"/>
      <c r="S2818" s="1" t="str">
        <f t="shared" si="351"/>
        <v/>
      </c>
      <c r="T2818" s="1" t="str">
        <f>IF(OR($C2818="",$D2818&lt;&gt;"Gelir",$L2818=""),"",IFERROR(INDEX(MUSTERILER!$B$7:$B$156,MATCH($S2818,MUSTERILER!$T$7:$T$156,0)),""))</f>
        <v/>
      </c>
      <c r="U2818" s="1" t="str">
        <f>IF($T2818="","",$T2818&amp;"|"&amp;COUNTIFS($T$7:$T2818,$T2818))</f>
        <v/>
      </c>
      <c r="V2818" s="1">
        <f t="shared" si="352"/>
        <v>0</v>
      </c>
      <c r="W2818" s="1" t="str">
        <f t="shared" si="353"/>
        <v/>
      </c>
      <c r="X2818" s="1"/>
      <c r="Y2818" s="1"/>
      <c r="Z2818" s="1"/>
      <c r="AA2818" s="1"/>
      <c r="AB2818" s="1"/>
      <c r="AC2818" s="1"/>
      <c r="AD2818" s="1">
        <f>IF($C2818="",0,SUMPRODUCT((AY_SONU!$O$7:$O$42="Evet")*(AY_SONU!$B$7:$B$42=DATE(YEAR($C2818),MONTH($C2818),1))))</f>
        <v>0</v>
      </c>
      <c r="AE2818" s="1" t="str">
        <f>IF($E2818="","",$E2818&amp;"|"&amp;COUNTIFS($E$7:$E2818,$E2818))</f>
        <v/>
      </c>
    </row>
    <row r="2819" spans="1:31" ht="18" customHeight="1" x14ac:dyDescent="0.3">
      <c r="A2819" s="2"/>
      <c r="B2819" s="65" t="str">
        <f t="shared" si="346"/>
        <v/>
      </c>
      <c r="C2819" s="66"/>
      <c r="D2819" s="60"/>
      <c r="E2819" s="61"/>
      <c r="F2819" s="61"/>
      <c r="G2819" s="67"/>
      <c r="H2819" s="60"/>
      <c r="I2819" s="60"/>
      <c r="J2819" s="61"/>
      <c r="K2819" s="61"/>
      <c r="L2819" s="60"/>
      <c r="M2819" s="74" t="str">
        <f t="shared" si="347"/>
        <v/>
      </c>
      <c r="N2819" s="74" t="str">
        <f t="shared" si="348"/>
        <v/>
      </c>
      <c r="O2819" s="73" t="str">
        <f t="shared" si="349"/>
        <v/>
      </c>
      <c r="P2819" s="65" t="str">
        <f t="shared" ca="1" si="350"/>
        <v/>
      </c>
      <c r="Q2819" s="2"/>
      <c r="R2819" s="2"/>
      <c r="S2819" s="1" t="str">
        <f t="shared" si="351"/>
        <v/>
      </c>
      <c r="T2819" s="1" t="str">
        <f>IF(OR($C2819="",$D2819&lt;&gt;"Gelir",$L2819=""),"",IFERROR(INDEX(MUSTERILER!$B$7:$B$156,MATCH($S2819,MUSTERILER!$T$7:$T$156,0)),""))</f>
        <v/>
      </c>
      <c r="U2819" s="1" t="str">
        <f>IF($T2819="","",$T2819&amp;"|"&amp;COUNTIFS($T$7:$T2819,$T2819))</f>
        <v/>
      </c>
      <c r="V2819" s="1">
        <f t="shared" si="352"/>
        <v>0</v>
      </c>
      <c r="W2819" s="1" t="str">
        <f t="shared" si="353"/>
        <v/>
      </c>
      <c r="X2819" s="1"/>
      <c r="Y2819" s="1"/>
      <c r="Z2819" s="1"/>
      <c r="AA2819" s="1"/>
      <c r="AB2819" s="1"/>
      <c r="AC2819" s="1"/>
      <c r="AD2819" s="1">
        <f>IF($C2819="",0,SUMPRODUCT((AY_SONU!$O$7:$O$42="Evet")*(AY_SONU!$B$7:$B$42=DATE(YEAR($C2819),MONTH($C2819),1))))</f>
        <v>0</v>
      </c>
      <c r="AE2819" s="1" t="str">
        <f>IF($E2819="","",$E2819&amp;"|"&amp;COUNTIFS($E$7:$E2819,$E2819))</f>
        <v/>
      </c>
    </row>
    <row r="2820" spans="1:31" ht="18" customHeight="1" x14ac:dyDescent="0.3">
      <c r="A2820" s="2"/>
      <c r="B2820" s="65" t="str">
        <f t="shared" si="346"/>
        <v/>
      </c>
      <c r="C2820" s="66"/>
      <c r="D2820" s="60"/>
      <c r="E2820" s="61"/>
      <c r="F2820" s="61"/>
      <c r="G2820" s="67"/>
      <c r="H2820" s="60"/>
      <c r="I2820" s="60"/>
      <c r="J2820" s="61"/>
      <c r="K2820" s="61"/>
      <c r="L2820" s="60"/>
      <c r="M2820" s="74" t="str">
        <f t="shared" si="347"/>
        <v/>
      </c>
      <c r="N2820" s="74" t="str">
        <f t="shared" si="348"/>
        <v/>
      </c>
      <c r="O2820" s="73" t="str">
        <f t="shared" si="349"/>
        <v/>
      </c>
      <c r="P2820" s="65" t="str">
        <f t="shared" ca="1" si="350"/>
        <v/>
      </c>
      <c r="Q2820" s="2"/>
      <c r="R2820" s="2"/>
      <c r="S2820" s="1" t="str">
        <f t="shared" si="351"/>
        <v/>
      </c>
      <c r="T2820" s="1" t="str">
        <f>IF(OR($C2820="",$D2820&lt;&gt;"Gelir",$L2820=""),"",IFERROR(INDEX(MUSTERILER!$B$7:$B$156,MATCH($S2820,MUSTERILER!$T$7:$T$156,0)),""))</f>
        <v/>
      </c>
      <c r="U2820" s="1" t="str">
        <f>IF($T2820="","",$T2820&amp;"|"&amp;COUNTIFS($T$7:$T2820,$T2820))</f>
        <v/>
      </c>
      <c r="V2820" s="1">
        <f t="shared" si="352"/>
        <v>0</v>
      </c>
      <c r="W2820" s="1" t="str">
        <f t="shared" si="353"/>
        <v/>
      </c>
      <c r="X2820" s="1"/>
      <c r="Y2820" s="1"/>
      <c r="Z2820" s="1"/>
      <c r="AA2820" s="1"/>
      <c r="AB2820" s="1"/>
      <c r="AC2820" s="1"/>
      <c r="AD2820" s="1">
        <f>IF($C2820="",0,SUMPRODUCT((AY_SONU!$O$7:$O$42="Evet")*(AY_SONU!$B$7:$B$42=DATE(YEAR($C2820),MONTH($C2820),1))))</f>
        <v>0</v>
      </c>
      <c r="AE2820" s="1" t="str">
        <f>IF($E2820="","",$E2820&amp;"|"&amp;COUNTIFS($E$7:$E2820,$E2820))</f>
        <v/>
      </c>
    </row>
    <row r="2821" spans="1:31" ht="18" customHeight="1" x14ac:dyDescent="0.3">
      <c r="A2821" s="2"/>
      <c r="B2821" s="65" t="str">
        <f t="shared" si="346"/>
        <v/>
      </c>
      <c r="C2821" s="66"/>
      <c r="D2821" s="60"/>
      <c r="E2821" s="61"/>
      <c r="F2821" s="61"/>
      <c r="G2821" s="67"/>
      <c r="H2821" s="60"/>
      <c r="I2821" s="60"/>
      <c r="J2821" s="61"/>
      <c r="K2821" s="61"/>
      <c r="L2821" s="60"/>
      <c r="M2821" s="74" t="str">
        <f t="shared" si="347"/>
        <v/>
      </c>
      <c r="N2821" s="74" t="str">
        <f t="shared" si="348"/>
        <v/>
      </c>
      <c r="O2821" s="73" t="str">
        <f t="shared" si="349"/>
        <v/>
      </c>
      <c r="P2821" s="65" t="str">
        <f t="shared" ca="1" si="350"/>
        <v/>
      </c>
      <c r="Q2821" s="2"/>
      <c r="R2821" s="2"/>
      <c r="S2821" s="1" t="str">
        <f t="shared" si="351"/>
        <v/>
      </c>
      <c r="T2821" s="1" t="str">
        <f>IF(OR($C2821="",$D2821&lt;&gt;"Gelir",$L2821=""),"",IFERROR(INDEX(MUSTERILER!$B$7:$B$156,MATCH($S2821,MUSTERILER!$T$7:$T$156,0)),""))</f>
        <v/>
      </c>
      <c r="U2821" s="1" t="str">
        <f>IF($T2821="","",$T2821&amp;"|"&amp;COUNTIFS($T$7:$T2821,$T2821))</f>
        <v/>
      </c>
      <c r="V2821" s="1">
        <f t="shared" si="352"/>
        <v>0</v>
      </c>
      <c r="W2821" s="1" t="str">
        <f t="shared" si="353"/>
        <v/>
      </c>
      <c r="X2821" s="1"/>
      <c r="Y2821" s="1"/>
      <c r="Z2821" s="1"/>
      <c r="AA2821" s="1"/>
      <c r="AB2821" s="1"/>
      <c r="AC2821" s="1"/>
      <c r="AD2821" s="1">
        <f>IF($C2821="",0,SUMPRODUCT((AY_SONU!$O$7:$O$42="Evet")*(AY_SONU!$B$7:$B$42=DATE(YEAR($C2821),MONTH($C2821),1))))</f>
        <v>0</v>
      </c>
      <c r="AE2821" s="1" t="str">
        <f>IF($E2821="","",$E2821&amp;"|"&amp;COUNTIFS($E$7:$E2821,$E2821))</f>
        <v/>
      </c>
    </row>
    <row r="2822" spans="1:31" ht="18" customHeight="1" x14ac:dyDescent="0.3">
      <c r="A2822" s="2"/>
      <c r="B2822" s="65" t="str">
        <f t="shared" si="346"/>
        <v/>
      </c>
      <c r="C2822" s="66"/>
      <c r="D2822" s="60"/>
      <c r="E2822" s="61"/>
      <c r="F2822" s="61"/>
      <c r="G2822" s="67"/>
      <c r="H2822" s="60"/>
      <c r="I2822" s="60"/>
      <c r="J2822" s="61"/>
      <c r="K2822" s="61"/>
      <c r="L2822" s="60"/>
      <c r="M2822" s="74" t="str">
        <f t="shared" si="347"/>
        <v/>
      </c>
      <c r="N2822" s="74" t="str">
        <f t="shared" si="348"/>
        <v/>
      </c>
      <c r="O2822" s="73" t="str">
        <f t="shared" si="349"/>
        <v/>
      </c>
      <c r="P2822" s="65" t="str">
        <f t="shared" ca="1" si="350"/>
        <v/>
      </c>
      <c r="Q2822" s="2"/>
      <c r="R2822" s="2"/>
      <c r="S2822" s="1" t="str">
        <f t="shared" si="351"/>
        <v/>
      </c>
      <c r="T2822" s="1" t="str">
        <f>IF(OR($C2822="",$D2822&lt;&gt;"Gelir",$L2822=""),"",IFERROR(INDEX(MUSTERILER!$B$7:$B$156,MATCH($S2822,MUSTERILER!$T$7:$T$156,0)),""))</f>
        <v/>
      </c>
      <c r="U2822" s="1" t="str">
        <f>IF($T2822="","",$T2822&amp;"|"&amp;COUNTIFS($T$7:$T2822,$T2822))</f>
        <v/>
      </c>
      <c r="V2822" s="1">
        <f t="shared" si="352"/>
        <v>0</v>
      </c>
      <c r="W2822" s="1" t="str">
        <f t="shared" si="353"/>
        <v/>
      </c>
      <c r="X2822" s="1"/>
      <c r="Y2822" s="1"/>
      <c r="Z2822" s="1"/>
      <c r="AA2822" s="1"/>
      <c r="AB2822" s="1"/>
      <c r="AC2822" s="1"/>
      <c r="AD2822" s="1">
        <f>IF($C2822="",0,SUMPRODUCT((AY_SONU!$O$7:$O$42="Evet")*(AY_SONU!$B$7:$B$42=DATE(YEAR($C2822),MONTH($C2822),1))))</f>
        <v>0</v>
      </c>
      <c r="AE2822" s="1" t="str">
        <f>IF($E2822="","",$E2822&amp;"|"&amp;COUNTIFS($E$7:$E2822,$E2822))</f>
        <v/>
      </c>
    </row>
    <row r="2823" spans="1:31" ht="18" customHeight="1" x14ac:dyDescent="0.3">
      <c r="A2823" s="2"/>
      <c r="B2823" s="65" t="str">
        <f t="shared" ref="B2823:B2886" si="354">IF($C2823="","","GG"&amp;TEXT(ROW()-6,"00000"))</f>
        <v/>
      </c>
      <c r="C2823" s="66"/>
      <c r="D2823" s="60"/>
      <c r="E2823" s="61"/>
      <c r="F2823" s="61"/>
      <c r="G2823" s="67"/>
      <c r="H2823" s="60"/>
      <c r="I2823" s="60"/>
      <c r="J2823" s="61"/>
      <c r="K2823" s="61"/>
      <c r="L2823" s="60"/>
      <c r="M2823" s="74" t="str">
        <f t="shared" ref="M2823:M2886" si="355">IF($C2823="","",IF($D2823="Gider",$E2823,IF($L2823&lt;&gt;"",$L2823,$H2823)))</f>
        <v/>
      </c>
      <c r="N2823" s="74" t="str">
        <f t="shared" ref="N2823:N2886" si="356">IF($C2823="","",IF($D2823="Gider",$H2823,$E2823))</f>
        <v/>
      </c>
      <c r="O2823" s="73" t="str">
        <f t="shared" ref="O2823:O2886" si="357">IF($C2823="","",DATE(YEAR($C2823),MONTH($C2823),1))</f>
        <v/>
      </c>
      <c r="P2823" s="65" t="str">
        <f t="shared" ref="P2823:P2886" ca="1" si="358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TARİH",IF(COUNTIF($W$7:$W$3006,$W2823)&gt;1,"MÜKERRER?",IF($AD2823&gt;0,"KAPALI DÖNEM",IF($I2823="Hayır","ÖDENECEK","UYGUN")))),"EKSİK"))))</f>
        <v/>
      </c>
      <c r="Q2823" s="2"/>
      <c r="R2823" s="2"/>
      <c r="S2823" s="1" t="str">
        <f t="shared" ref="S2823:S2886" si="359"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1" t="str">
        <f>IF(OR($C2823="",$D2823&lt;&gt;"Gelir",$L2823=""),"",IFERROR(INDEX(MUSTERILER!$B$7:$B$156,MATCH($S2823,MUSTERILER!$T$7:$T$156,0)),""))</f>
        <v/>
      </c>
      <c r="U2823" s="1" t="str">
        <f>IF($T2823="","",$T2823&amp;"|"&amp;COUNTIFS($T$7:$T2823,$T2823))</f>
        <v/>
      </c>
      <c r="V2823" s="1">
        <f t="shared" ref="V2823:V2886" si="360">IF($T2823="",0,1)</f>
        <v>0</v>
      </c>
      <c r="W2823" s="1" t="str">
        <f t="shared" ref="W2823:W2886" si="361">IF($C2823="","",$D2823&amp;"|"&amp;$E2823&amp;"|"&amp;TEXT($C2823,"0")&amp;"|"&amp;TEXT($G2823,"0")&amp;"|"&amp;$J2823)</f>
        <v/>
      </c>
      <c r="X2823" s="1"/>
      <c r="Y2823" s="1"/>
      <c r="Z2823" s="1"/>
      <c r="AA2823" s="1"/>
      <c r="AB2823" s="1"/>
      <c r="AC2823" s="1"/>
      <c r="AD2823" s="1">
        <f>IF($C2823="",0,SUMPRODUCT((AY_SONU!$O$7:$O$42="Evet")*(AY_SONU!$B$7:$B$42=DATE(YEAR($C2823),MONTH($C2823),1))))</f>
        <v>0</v>
      </c>
      <c r="AE2823" s="1" t="str">
        <f>IF($E2823="","",$E2823&amp;"|"&amp;COUNTIFS($E$7:$E2823,$E2823))</f>
        <v/>
      </c>
    </row>
    <row r="2824" spans="1:31" ht="18" customHeight="1" x14ac:dyDescent="0.3">
      <c r="A2824" s="2"/>
      <c r="B2824" s="65" t="str">
        <f t="shared" si="354"/>
        <v/>
      </c>
      <c r="C2824" s="66"/>
      <c r="D2824" s="60"/>
      <c r="E2824" s="61"/>
      <c r="F2824" s="61"/>
      <c r="G2824" s="67"/>
      <c r="H2824" s="60"/>
      <c r="I2824" s="60"/>
      <c r="J2824" s="61"/>
      <c r="K2824" s="61"/>
      <c r="L2824" s="60"/>
      <c r="M2824" s="74" t="str">
        <f t="shared" si="355"/>
        <v/>
      </c>
      <c r="N2824" s="74" t="str">
        <f t="shared" si="356"/>
        <v/>
      </c>
      <c r="O2824" s="73" t="str">
        <f t="shared" si="357"/>
        <v/>
      </c>
      <c r="P2824" s="65" t="str">
        <f t="shared" ca="1" si="358"/>
        <v/>
      </c>
      <c r="Q2824" s="2"/>
      <c r="R2824" s="2"/>
      <c r="S2824" s="1" t="str">
        <f t="shared" si="359"/>
        <v/>
      </c>
      <c r="T2824" s="1" t="str">
        <f>IF(OR($C2824="",$D2824&lt;&gt;"Gelir",$L2824=""),"",IFERROR(INDEX(MUSTERILER!$B$7:$B$156,MATCH($S2824,MUSTERILER!$T$7:$T$156,0)),""))</f>
        <v/>
      </c>
      <c r="U2824" s="1" t="str">
        <f>IF($T2824="","",$T2824&amp;"|"&amp;COUNTIFS($T$7:$T2824,$T2824))</f>
        <v/>
      </c>
      <c r="V2824" s="1">
        <f t="shared" si="360"/>
        <v>0</v>
      </c>
      <c r="W2824" s="1" t="str">
        <f t="shared" si="361"/>
        <v/>
      </c>
      <c r="X2824" s="1"/>
      <c r="Y2824" s="1"/>
      <c r="Z2824" s="1"/>
      <c r="AA2824" s="1"/>
      <c r="AB2824" s="1"/>
      <c r="AC2824" s="1"/>
      <c r="AD2824" s="1">
        <f>IF($C2824="",0,SUMPRODUCT((AY_SONU!$O$7:$O$42="Evet")*(AY_SONU!$B$7:$B$42=DATE(YEAR($C2824),MONTH($C2824),1))))</f>
        <v>0</v>
      </c>
      <c r="AE2824" s="1" t="str">
        <f>IF($E2824="","",$E2824&amp;"|"&amp;COUNTIFS($E$7:$E2824,$E2824))</f>
        <v/>
      </c>
    </row>
    <row r="2825" spans="1:31" ht="18" customHeight="1" x14ac:dyDescent="0.3">
      <c r="A2825" s="2"/>
      <c r="B2825" s="65" t="str">
        <f t="shared" si="354"/>
        <v/>
      </c>
      <c r="C2825" s="66"/>
      <c r="D2825" s="60"/>
      <c r="E2825" s="61"/>
      <c r="F2825" s="61"/>
      <c r="G2825" s="67"/>
      <c r="H2825" s="60"/>
      <c r="I2825" s="60"/>
      <c r="J2825" s="61"/>
      <c r="K2825" s="61"/>
      <c r="L2825" s="60"/>
      <c r="M2825" s="74" t="str">
        <f t="shared" si="355"/>
        <v/>
      </c>
      <c r="N2825" s="74" t="str">
        <f t="shared" si="356"/>
        <v/>
      </c>
      <c r="O2825" s="73" t="str">
        <f t="shared" si="357"/>
        <v/>
      </c>
      <c r="P2825" s="65" t="str">
        <f t="shared" ca="1" si="358"/>
        <v/>
      </c>
      <c r="Q2825" s="2"/>
      <c r="R2825" s="2"/>
      <c r="S2825" s="1" t="str">
        <f t="shared" si="359"/>
        <v/>
      </c>
      <c r="T2825" s="1" t="str">
        <f>IF(OR($C2825="",$D2825&lt;&gt;"Gelir",$L2825=""),"",IFERROR(INDEX(MUSTERILER!$B$7:$B$156,MATCH($S2825,MUSTERILER!$T$7:$T$156,0)),""))</f>
        <v/>
      </c>
      <c r="U2825" s="1" t="str">
        <f>IF($T2825="","",$T2825&amp;"|"&amp;COUNTIFS($T$7:$T2825,$T2825))</f>
        <v/>
      </c>
      <c r="V2825" s="1">
        <f t="shared" si="360"/>
        <v>0</v>
      </c>
      <c r="W2825" s="1" t="str">
        <f t="shared" si="361"/>
        <v/>
      </c>
      <c r="X2825" s="1"/>
      <c r="Y2825" s="1"/>
      <c r="Z2825" s="1"/>
      <c r="AA2825" s="1"/>
      <c r="AB2825" s="1"/>
      <c r="AC2825" s="1"/>
      <c r="AD2825" s="1">
        <f>IF($C2825="",0,SUMPRODUCT((AY_SONU!$O$7:$O$42="Evet")*(AY_SONU!$B$7:$B$42=DATE(YEAR($C2825),MONTH($C2825),1))))</f>
        <v>0</v>
      </c>
      <c r="AE2825" s="1" t="str">
        <f>IF($E2825="","",$E2825&amp;"|"&amp;COUNTIFS($E$7:$E2825,$E2825))</f>
        <v/>
      </c>
    </row>
    <row r="2826" spans="1:31" ht="18" customHeight="1" x14ac:dyDescent="0.3">
      <c r="A2826" s="2"/>
      <c r="B2826" s="65" t="str">
        <f t="shared" si="354"/>
        <v/>
      </c>
      <c r="C2826" s="66"/>
      <c r="D2826" s="60"/>
      <c r="E2826" s="61"/>
      <c r="F2826" s="61"/>
      <c r="G2826" s="67"/>
      <c r="H2826" s="60"/>
      <c r="I2826" s="60"/>
      <c r="J2826" s="61"/>
      <c r="K2826" s="61"/>
      <c r="L2826" s="60"/>
      <c r="M2826" s="74" t="str">
        <f t="shared" si="355"/>
        <v/>
      </c>
      <c r="N2826" s="74" t="str">
        <f t="shared" si="356"/>
        <v/>
      </c>
      <c r="O2826" s="73" t="str">
        <f t="shared" si="357"/>
        <v/>
      </c>
      <c r="P2826" s="65" t="str">
        <f t="shared" ca="1" si="358"/>
        <v/>
      </c>
      <c r="Q2826" s="2"/>
      <c r="R2826" s="2"/>
      <c r="S2826" s="1" t="str">
        <f t="shared" si="359"/>
        <v/>
      </c>
      <c r="T2826" s="1" t="str">
        <f>IF(OR($C2826="",$D2826&lt;&gt;"Gelir",$L2826=""),"",IFERROR(INDEX(MUSTERILER!$B$7:$B$156,MATCH($S2826,MUSTERILER!$T$7:$T$156,0)),""))</f>
        <v/>
      </c>
      <c r="U2826" s="1" t="str">
        <f>IF($T2826="","",$T2826&amp;"|"&amp;COUNTIFS($T$7:$T2826,$T2826))</f>
        <v/>
      </c>
      <c r="V2826" s="1">
        <f t="shared" si="360"/>
        <v>0</v>
      </c>
      <c r="W2826" s="1" t="str">
        <f t="shared" si="361"/>
        <v/>
      </c>
      <c r="X2826" s="1"/>
      <c r="Y2826" s="1"/>
      <c r="Z2826" s="1"/>
      <c r="AA2826" s="1"/>
      <c r="AB2826" s="1"/>
      <c r="AC2826" s="1"/>
      <c r="AD2826" s="1">
        <f>IF($C2826="",0,SUMPRODUCT((AY_SONU!$O$7:$O$42="Evet")*(AY_SONU!$B$7:$B$42=DATE(YEAR($C2826),MONTH($C2826),1))))</f>
        <v>0</v>
      </c>
      <c r="AE2826" s="1" t="str">
        <f>IF($E2826="","",$E2826&amp;"|"&amp;COUNTIFS($E$7:$E2826,$E2826))</f>
        <v/>
      </c>
    </row>
    <row r="2827" spans="1:31" ht="18" customHeight="1" x14ac:dyDescent="0.3">
      <c r="A2827" s="2"/>
      <c r="B2827" s="65" t="str">
        <f t="shared" si="354"/>
        <v/>
      </c>
      <c r="C2827" s="66"/>
      <c r="D2827" s="60"/>
      <c r="E2827" s="61"/>
      <c r="F2827" s="61"/>
      <c r="G2827" s="67"/>
      <c r="H2827" s="60"/>
      <c r="I2827" s="60"/>
      <c r="J2827" s="61"/>
      <c r="K2827" s="61"/>
      <c r="L2827" s="60"/>
      <c r="M2827" s="74" t="str">
        <f t="shared" si="355"/>
        <v/>
      </c>
      <c r="N2827" s="74" t="str">
        <f t="shared" si="356"/>
        <v/>
      </c>
      <c r="O2827" s="73" t="str">
        <f t="shared" si="357"/>
        <v/>
      </c>
      <c r="P2827" s="65" t="str">
        <f t="shared" ca="1" si="358"/>
        <v/>
      </c>
      <c r="Q2827" s="2"/>
      <c r="R2827" s="2"/>
      <c r="S2827" s="1" t="str">
        <f t="shared" si="359"/>
        <v/>
      </c>
      <c r="T2827" s="1" t="str">
        <f>IF(OR($C2827="",$D2827&lt;&gt;"Gelir",$L2827=""),"",IFERROR(INDEX(MUSTERILER!$B$7:$B$156,MATCH($S2827,MUSTERILER!$T$7:$T$156,0)),""))</f>
        <v/>
      </c>
      <c r="U2827" s="1" t="str">
        <f>IF($T2827="","",$T2827&amp;"|"&amp;COUNTIFS($T$7:$T2827,$T2827))</f>
        <v/>
      </c>
      <c r="V2827" s="1">
        <f t="shared" si="360"/>
        <v>0</v>
      </c>
      <c r="W2827" s="1" t="str">
        <f t="shared" si="361"/>
        <v/>
      </c>
      <c r="X2827" s="1"/>
      <c r="Y2827" s="1"/>
      <c r="Z2827" s="1"/>
      <c r="AA2827" s="1"/>
      <c r="AB2827" s="1"/>
      <c r="AC2827" s="1"/>
      <c r="AD2827" s="1">
        <f>IF($C2827="",0,SUMPRODUCT((AY_SONU!$O$7:$O$42="Evet")*(AY_SONU!$B$7:$B$42=DATE(YEAR($C2827),MONTH($C2827),1))))</f>
        <v>0</v>
      </c>
      <c r="AE2827" s="1" t="str">
        <f>IF($E2827="","",$E2827&amp;"|"&amp;COUNTIFS($E$7:$E2827,$E2827))</f>
        <v/>
      </c>
    </row>
    <row r="2828" spans="1:31" ht="18" customHeight="1" x14ac:dyDescent="0.3">
      <c r="A2828" s="2"/>
      <c r="B2828" s="65" t="str">
        <f t="shared" si="354"/>
        <v/>
      </c>
      <c r="C2828" s="66"/>
      <c r="D2828" s="60"/>
      <c r="E2828" s="61"/>
      <c r="F2828" s="61"/>
      <c r="G2828" s="67"/>
      <c r="H2828" s="60"/>
      <c r="I2828" s="60"/>
      <c r="J2828" s="61"/>
      <c r="K2828" s="61"/>
      <c r="L2828" s="60"/>
      <c r="M2828" s="74" t="str">
        <f t="shared" si="355"/>
        <v/>
      </c>
      <c r="N2828" s="74" t="str">
        <f t="shared" si="356"/>
        <v/>
      </c>
      <c r="O2828" s="73" t="str">
        <f t="shared" si="357"/>
        <v/>
      </c>
      <c r="P2828" s="65" t="str">
        <f t="shared" ca="1" si="358"/>
        <v/>
      </c>
      <c r="Q2828" s="2"/>
      <c r="R2828" s="2"/>
      <c r="S2828" s="1" t="str">
        <f t="shared" si="359"/>
        <v/>
      </c>
      <c r="T2828" s="1" t="str">
        <f>IF(OR($C2828="",$D2828&lt;&gt;"Gelir",$L2828=""),"",IFERROR(INDEX(MUSTERILER!$B$7:$B$156,MATCH($S2828,MUSTERILER!$T$7:$T$156,0)),""))</f>
        <v/>
      </c>
      <c r="U2828" s="1" t="str">
        <f>IF($T2828="","",$T2828&amp;"|"&amp;COUNTIFS($T$7:$T2828,$T2828))</f>
        <v/>
      </c>
      <c r="V2828" s="1">
        <f t="shared" si="360"/>
        <v>0</v>
      </c>
      <c r="W2828" s="1" t="str">
        <f t="shared" si="361"/>
        <v/>
      </c>
      <c r="X2828" s="1"/>
      <c r="Y2828" s="1"/>
      <c r="Z2828" s="1"/>
      <c r="AA2828" s="1"/>
      <c r="AB2828" s="1"/>
      <c r="AC2828" s="1"/>
      <c r="AD2828" s="1">
        <f>IF($C2828="",0,SUMPRODUCT((AY_SONU!$O$7:$O$42="Evet")*(AY_SONU!$B$7:$B$42=DATE(YEAR($C2828),MONTH($C2828),1))))</f>
        <v>0</v>
      </c>
      <c r="AE2828" s="1" t="str">
        <f>IF($E2828="","",$E2828&amp;"|"&amp;COUNTIFS($E$7:$E2828,$E2828))</f>
        <v/>
      </c>
    </row>
    <row r="2829" spans="1:31" ht="18" customHeight="1" x14ac:dyDescent="0.3">
      <c r="A2829" s="2"/>
      <c r="B2829" s="65" t="str">
        <f t="shared" si="354"/>
        <v/>
      </c>
      <c r="C2829" s="66"/>
      <c r="D2829" s="60"/>
      <c r="E2829" s="61"/>
      <c r="F2829" s="61"/>
      <c r="G2829" s="67"/>
      <c r="H2829" s="60"/>
      <c r="I2829" s="60"/>
      <c r="J2829" s="61"/>
      <c r="K2829" s="61"/>
      <c r="L2829" s="60"/>
      <c r="M2829" s="74" t="str">
        <f t="shared" si="355"/>
        <v/>
      </c>
      <c r="N2829" s="74" t="str">
        <f t="shared" si="356"/>
        <v/>
      </c>
      <c r="O2829" s="73" t="str">
        <f t="shared" si="357"/>
        <v/>
      </c>
      <c r="P2829" s="65" t="str">
        <f t="shared" ca="1" si="358"/>
        <v/>
      </c>
      <c r="Q2829" s="2"/>
      <c r="R2829" s="2"/>
      <c r="S2829" s="1" t="str">
        <f t="shared" si="359"/>
        <v/>
      </c>
      <c r="T2829" s="1" t="str">
        <f>IF(OR($C2829="",$D2829&lt;&gt;"Gelir",$L2829=""),"",IFERROR(INDEX(MUSTERILER!$B$7:$B$156,MATCH($S2829,MUSTERILER!$T$7:$T$156,0)),""))</f>
        <v/>
      </c>
      <c r="U2829" s="1" t="str">
        <f>IF($T2829="","",$T2829&amp;"|"&amp;COUNTIFS($T$7:$T2829,$T2829))</f>
        <v/>
      </c>
      <c r="V2829" s="1">
        <f t="shared" si="360"/>
        <v>0</v>
      </c>
      <c r="W2829" s="1" t="str">
        <f t="shared" si="361"/>
        <v/>
      </c>
      <c r="X2829" s="1"/>
      <c r="Y2829" s="1"/>
      <c r="Z2829" s="1"/>
      <c r="AA2829" s="1"/>
      <c r="AB2829" s="1"/>
      <c r="AC2829" s="1"/>
      <c r="AD2829" s="1">
        <f>IF($C2829="",0,SUMPRODUCT((AY_SONU!$O$7:$O$42="Evet")*(AY_SONU!$B$7:$B$42=DATE(YEAR($C2829),MONTH($C2829),1))))</f>
        <v>0</v>
      </c>
      <c r="AE2829" s="1" t="str">
        <f>IF($E2829="","",$E2829&amp;"|"&amp;COUNTIFS($E$7:$E2829,$E2829))</f>
        <v/>
      </c>
    </row>
    <row r="2830" spans="1:31" ht="18" customHeight="1" x14ac:dyDescent="0.3">
      <c r="A2830" s="2"/>
      <c r="B2830" s="65" t="str">
        <f t="shared" si="354"/>
        <v/>
      </c>
      <c r="C2830" s="66"/>
      <c r="D2830" s="60"/>
      <c r="E2830" s="61"/>
      <c r="F2830" s="61"/>
      <c r="G2830" s="67"/>
      <c r="H2830" s="60"/>
      <c r="I2830" s="60"/>
      <c r="J2830" s="61"/>
      <c r="K2830" s="61"/>
      <c r="L2830" s="60"/>
      <c r="M2830" s="74" t="str">
        <f t="shared" si="355"/>
        <v/>
      </c>
      <c r="N2830" s="74" t="str">
        <f t="shared" si="356"/>
        <v/>
      </c>
      <c r="O2830" s="73" t="str">
        <f t="shared" si="357"/>
        <v/>
      </c>
      <c r="P2830" s="65" t="str">
        <f t="shared" ca="1" si="358"/>
        <v/>
      </c>
      <c r="Q2830" s="2"/>
      <c r="R2830" s="2"/>
      <c r="S2830" s="1" t="str">
        <f t="shared" si="359"/>
        <v/>
      </c>
      <c r="T2830" s="1" t="str">
        <f>IF(OR($C2830="",$D2830&lt;&gt;"Gelir",$L2830=""),"",IFERROR(INDEX(MUSTERILER!$B$7:$B$156,MATCH($S2830,MUSTERILER!$T$7:$T$156,0)),""))</f>
        <v/>
      </c>
      <c r="U2830" s="1" t="str">
        <f>IF($T2830="","",$T2830&amp;"|"&amp;COUNTIFS($T$7:$T2830,$T2830))</f>
        <v/>
      </c>
      <c r="V2830" s="1">
        <f t="shared" si="360"/>
        <v>0</v>
      </c>
      <c r="W2830" s="1" t="str">
        <f t="shared" si="361"/>
        <v/>
      </c>
      <c r="X2830" s="1"/>
      <c r="Y2830" s="1"/>
      <c r="Z2830" s="1"/>
      <c r="AA2830" s="1"/>
      <c r="AB2830" s="1"/>
      <c r="AC2830" s="1"/>
      <c r="AD2830" s="1">
        <f>IF($C2830="",0,SUMPRODUCT((AY_SONU!$O$7:$O$42="Evet")*(AY_SONU!$B$7:$B$42=DATE(YEAR($C2830),MONTH($C2830),1))))</f>
        <v>0</v>
      </c>
      <c r="AE2830" s="1" t="str">
        <f>IF($E2830="","",$E2830&amp;"|"&amp;COUNTIFS($E$7:$E2830,$E2830))</f>
        <v/>
      </c>
    </row>
    <row r="2831" spans="1:31" ht="18" customHeight="1" x14ac:dyDescent="0.3">
      <c r="A2831" s="2"/>
      <c r="B2831" s="65" t="str">
        <f t="shared" si="354"/>
        <v/>
      </c>
      <c r="C2831" s="66"/>
      <c r="D2831" s="60"/>
      <c r="E2831" s="61"/>
      <c r="F2831" s="61"/>
      <c r="G2831" s="67"/>
      <c r="H2831" s="60"/>
      <c r="I2831" s="60"/>
      <c r="J2831" s="61"/>
      <c r="K2831" s="61"/>
      <c r="L2831" s="60"/>
      <c r="M2831" s="74" t="str">
        <f t="shared" si="355"/>
        <v/>
      </c>
      <c r="N2831" s="74" t="str">
        <f t="shared" si="356"/>
        <v/>
      </c>
      <c r="O2831" s="73" t="str">
        <f t="shared" si="357"/>
        <v/>
      </c>
      <c r="P2831" s="65" t="str">
        <f t="shared" ca="1" si="358"/>
        <v/>
      </c>
      <c r="Q2831" s="2"/>
      <c r="R2831" s="2"/>
      <c r="S2831" s="1" t="str">
        <f t="shared" si="359"/>
        <v/>
      </c>
      <c r="T2831" s="1" t="str">
        <f>IF(OR($C2831="",$D2831&lt;&gt;"Gelir",$L2831=""),"",IFERROR(INDEX(MUSTERILER!$B$7:$B$156,MATCH($S2831,MUSTERILER!$T$7:$T$156,0)),""))</f>
        <v/>
      </c>
      <c r="U2831" s="1" t="str">
        <f>IF($T2831="","",$T2831&amp;"|"&amp;COUNTIFS($T$7:$T2831,$T2831))</f>
        <v/>
      </c>
      <c r="V2831" s="1">
        <f t="shared" si="360"/>
        <v>0</v>
      </c>
      <c r="W2831" s="1" t="str">
        <f t="shared" si="361"/>
        <v/>
      </c>
      <c r="X2831" s="1"/>
      <c r="Y2831" s="1"/>
      <c r="Z2831" s="1"/>
      <c r="AA2831" s="1"/>
      <c r="AB2831" s="1"/>
      <c r="AC2831" s="1"/>
      <c r="AD2831" s="1">
        <f>IF($C2831="",0,SUMPRODUCT((AY_SONU!$O$7:$O$42="Evet")*(AY_SONU!$B$7:$B$42=DATE(YEAR($C2831),MONTH($C2831),1))))</f>
        <v>0</v>
      </c>
      <c r="AE2831" s="1" t="str">
        <f>IF($E2831="","",$E2831&amp;"|"&amp;COUNTIFS($E$7:$E2831,$E2831))</f>
        <v/>
      </c>
    </row>
    <row r="2832" spans="1:31" ht="18" customHeight="1" x14ac:dyDescent="0.3">
      <c r="A2832" s="2"/>
      <c r="B2832" s="65" t="str">
        <f t="shared" si="354"/>
        <v/>
      </c>
      <c r="C2832" s="66"/>
      <c r="D2832" s="60"/>
      <c r="E2832" s="61"/>
      <c r="F2832" s="61"/>
      <c r="G2832" s="67"/>
      <c r="H2832" s="60"/>
      <c r="I2832" s="60"/>
      <c r="J2832" s="61"/>
      <c r="K2832" s="61"/>
      <c r="L2832" s="60"/>
      <c r="M2832" s="74" t="str">
        <f t="shared" si="355"/>
        <v/>
      </c>
      <c r="N2832" s="74" t="str">
        <f t="shared" si="356"/>
        <v/>
      </c>
      <c r="O2832" s="73" t="str">
        <f t="shared" si="357"/>
        <v/>
      </c>
      <c r="P2832" s="65" t="str">
        <f t="shared" ca="1" si="358"/>
        <v/>
      </c>
      <c r="Q2832" s="2"/>
      <c r="R2832" s="2"/>
      <c r="S2832" s="1" t="str">
        <f t="shared" si="359"/>
        <v/>
      </c>
      <c r="T2832" s="1" t="str">
        <f>IF(OR($C2832="",$D2832&lt;&gt;"Gelir",$L2832=""),"",IFERROR(INDEX(MUSTERILER!$B$7:$B$156,MATCH($S2832,MUSTERILER!$T$7:$T$156,0)),""))</f>
        <v/>
      </c>
      <c r="U2832" s="1" t="str">
        <f>IF($T2832="","",$T2832&amp;"|"&amp;COUNTIFS($T$7:$T2832,$T2832))</f>
        <v/>
      </c>
      <c r="V2832" s="1">
        <f t="shared" si="360"/>
        <v>0</v>
      </c>
      <c r="W2832" s="1" t="str">
        <f t="shared" si="361"/>
        <v/>
      </c>
      <c r="X2832" s="1"/>
      <c r="Y2832" s="1"/>
      <c r="Z2832" s="1"/>
      <c r="AA2832" s="1"/>
      <c r="AB2832" s="1"/>
      <c r="AC2832" s="1"/>
      <c r="AD2832" s="1">
        <f>IF($C2832="",0,SUMPRODUCT((AY_SONU!$O$7:$O$42="Evet")*(AY_SONU!$B$7:$B$42=DATE(YEAR($C2832),MONTH($C2832),1))))</f>
        <v>0</v>
      </c>
      <c r="AE2832" s="1" t="str">
        <f>IF($E2832="","",$E2832&amp;"|"&amp;COUNTIFS($E$7:$E2832,$E2832))</f>
        <v/>
      </c>
    </row>
    <row r="2833" spans="1:31" ht="18" customHeight="1" x14ac:dyDescent="0.3">
      <c r="A2833" s="2"/>
      <c r="B2833" s="65" t="str">
        <f t="shared" si="354"/>
        <v/>
      </c>
      <c r="C2833" s="66"/>
      <c r="D2833" s="60"/>
      <c r="E2833" s="61"/>
      <c r="F2833" s="61"/>
      <c r="G2833" s="67"/>
      <c r="H2833" s="60"/>
      <c r="I2833" s="60"/>
      <c r="J2833" s="61"/>
      <c r="K2833" s="61"/>
      <c r="L2833" s="60"/>
      <c r="M2833" s="74" t="str">
        <f t="shared" si="355"/>
        <v/>
      </c>
      <c r="N2833" s="74" t="str">
        <f t="shared" si="356"/>
        <v/>
      </c>
      <c r="O2833" s="73" t="str">
        <f t="shared" si="357"/>
        <v/>
      </c>
      <c r="P2833" s="65" t="str">
        <f t="shared" ca="1" si="358"/>
        <v/>
      </c>
      <c r="Q2833" s="2"/>
      <c r="R2833" s="2"/>
      <c r="S2833" s="1" t="str">
        <f t="shared" si="359"/>
        <v/>
      </c>
      <c r="T2833" s="1" t="str">
        <f>IF(OR($C2833="",$D2833&lt;&gt;"Gelir",$L2833=""),"",IFERROR(INDEX(MUSTERILER!$B$7:$B$156,MATCH($S2833,MUSTERILER!$T$7:$T$156,0)),""))</f>
        <v/>
      </c>
      <c r="U2833" s="1" t="str">
        <f>IF($T2833="","",$T2833&amp;"|"&amp;COUNTIFS($T$7:$T2833,$T2833))</f>
        <v/>
      </c>
      <c r="V2833" s="1">
        <f t="shared" si="360"/>
        <v>0</v>
      </c>
      <c r="W2833" s="1" t="str">
        <f t="shared" si="361"/>
        <v/>
      </c>
      <c r="X2833" s="1"/>
      <c r="Y2833" s="1"/>
      <c r="Z2833" s="1"/>
      <c r="AA2833" s="1"/>
      <c r="AB2833" s="1"/>
      <c r="AC2833" s="1"/>
      <c r="AD2833" s="1">
        <f>IF($C2833="",0,SUMPRODUCT((AY_SONU!$O$7:$O$42="Evet")*(AY_SONU!$B$7:$B$42=DATE(YEAR($C2833),MONTH($C2833),1))))</f>
        <v>0</v>
      </c>
      <c r="AE2833" s="1" t="str">
        <f>IF($E2833="","",$E2833&amp;"|"&amp;COUNTIFS($E$7:$E2833,$E2833))</f>
        <v/>
      </c>
    </row>
    <row r="2834" spans="1:31" ht="18" customHeight="1" x14ac:dyDescent="0.3">
      <c r="A2834" s="2"/>
      <c r="B2834" s="65" t="str">
        <f t="shared" si="354"/>
        <v/>
      </c>
      <c r="C2834" s="66"/>
      <c r="D2834" s="60"/>
      <c r="E2834" s="61"/>
      <c r="F2834" s="61"/>
      <c r="G2834" s="67"/>
      <c r="H2834" s="60"/>
      <c r="I2834" s="60"/>
      <c r="J2834" s="61"/>
      <c r="K2834" s="61"/>
      <c r="L2834" s="60"/>
      <c r="M2834" s="74" t="str">
        <f t="shared" si="355"/>
        <v/>
      </c>
      <c r="N2834" s="74" t="str">
        <f t="shared" si="356"/>
        <v/>
      </c>
      <c r="O2834" s="73" t="str">
        <f t="shared" si="357"/>
        <v/>
      </c>
      <c r="P2834" s="65" t="str">
        <f t="shared" ca="1" si="358"/>
        <v/>
      </c>
      <c r="Q2834" s="2"/>
      <c r="R2834" s="2"/>
      <c r="S2834" s="1" t="str">
        <f t="shared" si="359"/>
        <v/>
      </c>
      <c r="T2834" s="1" t="str">
        <f>IF(OR($C2834="",$D2834&lt;&gt;"Gelir",$L2834=""),"",IFERROR(INDEX(MUSTERILER!$B$7:$B$156,MATCH($S2834,MUSTERILER!$T$7:$T$156,0)),""))</f>
        <v/>
      </c>
      <c r="U2834" s="1" t="str">
        <f>IF($T2834="","",$T2834&amp;"|"&amp;COUNTIFS($T$7:$T2834,$T2834))</f>
        <v/>
      </c>
      <c r="V2834" s="1">
        <f t="shared" si="360"/>
        <v>0</v>
      </c>
      <c r="W2834" s="1" t="str">
        <f t="shared" si="361"/>
        <v/>
      </c>
      <c r="X2834" s="1"/>
      <c r="Y2834" s="1"/>
      <c r="Z2834" s="1"/>
      <c r="AA2834" s="1"/>
      <c r="AB2834" s="1"/>
      <c r="AC2834" s="1"/>
      <c r="AD2834" s="1">
        <f>IF($C2834="",0,SUMPRODUCT((AY_SONU!$O$7:$O$42="Evet")*(AY_SONU!$B$7:$B$42=DATE(YEAR($C2834),MONTH($C2834),1))))</f>
        <v>0</v>
      </c>
      <c r="AE2834" s="1" t="str">
        <f>IF($E2834="","",$E2834&amp;"|"&amp;COUNTIFS($E$7:$E2834,$E2834))</f>
        <v/>
      </c>
    </row>
    <row r="2835" spans="1:31" ht="18" customHeight="1" x14ac:dyDescent="0.3">
      <c r="A2835" s="2"/>
      <c r="B2835" s="65" t="str">
        <f t="shared" si="354"/>
        <v/>
      </c>
      <c r="C2835" s="66"/>
      <c r="D2835" s="60"/>
      <c r="E2835" s="61"/>
      <c r="F2835" s="61"/>
      <c r="G2835" s="67"/>
      <c r="H2835" s="60"/>
      <c r="I2835" s="60"/>
      <c r="J2835" s="61"/>
      <c r="K2835" s="61"/>
      <c r="L2835" s="60"/>
      <c r="M2835" s="74" t="str">
        <f t="shared" si="355"/>
        <v/>
      </c>
      <c r="N2835" s="74" t="str">
        <f t="shared" si="356"/>
        <v/>
      </c>
      <c r="O2835" s="73" t="str">
        <f t="shared" si="357"/>
        <v/>
      </c>
      <c r="P2835" s="65" t="str">
        <f t="shared" ca="1" si="358"/>
        <v/>
      </c>
      <c r="Q2835" s="2"/>
      <c r="R2835" s="2"/>
      <c r="S2835" s="1" t="str">
        <f t="shared" si="359"/>
        <v/>
      </c>
      <c r="T2835" s="1" t="str">
        <f>IF(OR($C2835="",$D2835&lt;&gt;"Gelir",$L2835=""),"",IFERROR(INDEX(MUSTERILER!$B$7:$B$156,MATCH($S2835,MUSTERILER!$T$7:$T$156,0)),""))</f>
        <v/>
      </c>
      <c r="U2835" s="1" t="str">
        <f>IF($T2835="","",$T2835&amp;"|"&amp;COUNTIFS($T$7:$T2835,$T2835))</f>
        <v/>
      </c>
      <c r="V2835" s="1">
        <f t="shared" si="360"/>
        <v>0</v>
      </c>
      <c r="W2835" s="1" t="str">
        <f t="shared" si="361"/>
        <v/>
      </c>
      <c r="X2835" s="1"/>
      <c r="Y2835" s="1"/>
      <c r="Z2835" s="1"/>
      <c r="AA2835" s="1"/>
      <c r="AB2835" s="1"/>
      <c r="AC2835" s="1"/>
      <c r="AD2835" s="1">
        <f>IF($C2835="",0,SUMPRODUCT((AY_SONU!$O$7:$O$42="Evet")*(AY_SONU!$B$7:$B$42=DATE(YEAR($C2835),MONTH($C2835),1))))</f>
        <v>0</v>
      </c>
      <c r="AE2835" s="1" t="str">
        <f>IF($E2835="","",$E2835&amp;"|"&amp;COUNTIFS($E$7:$E2835,$E2835))</f>
        <v/>
      </c>
    </row>
    <row r="2836" spans="1:31" ht="18" customHeight="1" x14ac:dyDescent="0.3">
      <c r="A2836" s="2"/>
      <c r="B2836" s="65" t="str">
        <f t="shared" si="354"/>
        <v/>
      </c>
      <c r="C2836" s="66"/>
      <c r="D2836" s="60"/>
      <c r="E2836" s="61"/>
      <c r="F2836" s="61"/>
      <c r="G2836" s="67"/>
      <c r="H2836" s="60"/>
      <c r="I2836" s="60"/>
      <c r="J2836" s="61"/>
      <c r="K2836" s="61"/>
      <c r="L2836" s="60"/>
      <c r="M2836" s="74" t="str">
        <f t="shared" si="355"/>
        <v/>
      </c>
      <c r="N2836" s="74" t="str">
        <f t="shared" si="356"/>
        <v/>
      </c>
      <c r="O2836" s="73" t="str">
        <f t="shared" si="357"/>
        <v/>
      </c>
      <c r="P2836" s="65" t="str">
        <f t="shared" ca="1" si="358"/>
        <v/>
      </c>
      <c r="Q2836" s="2"/>
      <c r="R2836" s="2"/>
      <c r="S2836" s="1" t="str">
        <f t="shared" si="359"/>
        <v/>
      </c>
      <c r="T2836" s="1" t="str">
        <f>IF(OR($C2836="",$D2836&lt;&gt;"Gelir",$L2836=""),"",IFERROR(INDEX(MUSTERILER!$B$7:$B$156,MATCH($S2836,MUSTERILER!$T$7:$T$156,0)),""))</f>
        <v/>
      </c>
      <c r="U2836" s="1" t="str">
        <f>IF($T2836="","",$T2836&amp;"|"&amp;COUNTIFS($T$7:$T2836,$T2836))</f>
        <v/>
      </c>
      <c r="V2836" s="1">
        <f t="shared" si="360"/>
        <v>0</v>
      </c>
      <c r="W2836" s="1" t="str">
        <f t="shared" si="361"/>
        <v/>
      </c>
      <c r="X2836" s="1"/>
      <c r="Y2836" s="1"/>
      <c r="Z2836" s="1"/>
      <c r="AA2836" s="1"/>
      <c r="AB2836" s="1"/>
      <c r="AC2836" s="1"/>
      <c r="AD2836" s="1">
        <f>IF($C2836="",0,SUMPRODUCT((AY_SONU!$O$7:$O$42="Evet")*(AY_SONU!$B$7:$B$42=DATE(YEAR($C2836),MONTH($C2836),1))))</f>
        <v>0</v>
      </c>
      <c r="AE2836" s="1" t="str">
        <f>IF($E2836="","",$E2836&amp;"|"&amp;COUNTIFS($E$7:$E2836,$E2836))</f>
        <v/>
      </c>
    </row>
    <row r="2837" spans="1:31" ht="18" customHeight="1" x14ac:dyDescent="0.3">
      <c r="A2837" s="2"/>
      <c r="B2837" s="65" t="str">
        <f t="shared" si="354"/>
        <v/>
      </c>
      <c r="C2837" s="66"/>
      <c r="D2837" s="60"/>
      <c r="E2837" s="61"/>
      <c r="F2837" s="61"/>
      <c r="G2837" s="67"/>
      <c r="H2837" s="60"/>
      <c r="I2837" s="60"/>
      <c r="J2837" s="61"/>
      <c r="K2837" s="61"/>
      <c r="L2837" s="60"/>
      <c r="M2837" s="74" t="str">
        <f t="shared" si="355"/>
        <v/>
      </c>
      <c r="N2837" s="74" t="str">
        <f t="shared" si="356"/>
        <v/>
      </c>
      <c r="O2837" s="73" t="str">
        <f t="shared" si="357"/>
        <v/>
      </c>
      <c r="P2837" s="65" t="str">
        <f t="shared" ca="1" si="358"/>
        <v/>
      </c>
      <c r="Q2837" s="2"/>
      <c r="R2837" s="2"/>
      <c r="S2837" s="1" t="str">
        <f t="shared" si="359"/>
        <v/>
      </c>
      <c r="T2837" s="1" t="str">
        <f>IF(OR($C2837="",$D2837&lt;&gt;"Gelir",$L2837=""),"",IFERROR(INDEX(MUSTERILER!$B$7:$B$156,MATCH($S2837,MUSTERILER!$T$7:$T$156,0)),""))</f>
        <v/>
      </c>
      <c r="U2837" s="1" t="str">
        <f>IF($T2837="","",$T2837&amp;"|"&amp;COUNTIFS($T$7:$T2837,$T2837))</f>
        <v/>
      </c>
      <c r="V2837" s="1">
        <f t="shared" si="360"/>
        <v>0</v>
      </c>
      <c r="W2837" s="1" t="str">
        <f t="shared" si="361"/>
        <v/>
      </c>
      <c r="X2837" s="1"/>
      <c r="Y2837" s="1"/>
      <c r="Z2837" s="1"/>
      <c r="AA2837" s="1"/>
      <c r="AB2837" s="1"/>
      <c r="AC2837" s="1"/>
      <c r="AD2837" s="1">
        <f>IF($C2837="",0,SUMPRODUCT((AY_SONU!$O$7:$O$42="Evet")*(AY_SONU!$B$7:$B$42=DATE(YEAR($C2837),MONTH($C2837),1))))</f>
        <v>0</v>
      </c>
      <c r="AE2837" s="1" t="str">
        <f>IF($E2837="","",$E2837&amp;"|"&amp;COUNTIFS($E$7:$E2837,$E2837))</f>
        <v/>
      </c>
    </row>
    <row r="2838" spans="1:31" ht="18" customHeight="1" x14ac:dyDescent="0.3">
      <c r="A2838" s="2"/>
      <c r="B2838" s="65" t="str">
        <f t="shared" si="354"/>
        <v/>
      </c>
      <c r="C2838" s="66"/>
      <c r="D2838" s="60"/>
      <c r="E2838" s="61"/>
      <c r="F2838" s="61"/>
      <c r="G2838" s="67"/>
      <c r="H2838" s="60"/>
      <c r="I2838" s="60"/>
      <c r="J2838" s="61"/>
      <c r="K2838" s="61"/>
      <c r="L2838" s="60"/>
      <c r="M2838" s="74" t="str">
        <f t="shared" si="355"/>
        <v/>
      </c>
      <c r="N2838" s="74" t="str">
        <f t="shared" si="356"/>
        <v/>
      </c>
      <c r="O2838" s="73" t="str">
        <f t="shared" si="357"/>
        <v/>
      </c>
      <c r="P2838" s="65" t="str">
        <f t="shared" ca="1" si="358"/>
        <v/>
      </c>
      <c r="Q2838" s="2"/>
      <c r="R2838" s="2"/>
      <c r="S2838" s="1" t="str">
        <f t="shared" si="359"/>
        <v/>
      </c>
      <c r="T2838" s="1" t="str">
        <f>IF(OR($C2838="",$D2838&lt;&gt;"Gelir",$L2838=""),"",IFERROR(INDEX(MUSTERILER!$B$7:$B$156,MATCH($S2838,MUSTERILER!$T$7:$T$156,0)),""))</f>
        <v/>
      </c>
      <c r="U2838" s="1" t="str">
        <f>IF($T2838="","",$T2838&amp;"|"&amp;COUNTIFS($T$7:$T2838,$T2838))</f>
        <v/>
      </c>
      <c r="V2838" s="1">
        <f t="shared" si="360"/>
        <v>0</v>
      </c>
      <c r="W2838" s="1" t="str">
        <f t="shared" si="361"/>
        <v/>
      </c>
      <c r="X2838" s="1"/>
      <c r="Y2838" s="1"/>
      <c r="Z2838" s="1"/>
      <c r="AA2838" s="1"/>
      <c r="AB2838" s="1"/>
      <c r="AC2838" s="1"/>
      <c r="AD2838" s="1">
        <f>IF($C2838="",0,SUMPRODUCT((AY_SONU!$O$7:$O$42="Evet")*(AY_SONU!$B$7:$B$42=DATE(YEAR($C2838),MONTH($C2838),1))))</f>
        <v>0</v>
      </c>
      <c r="AE2838" s="1" t="str">
        <f>IF($E2838="","",$E2838&amp;"|"&amp;COUNTIFS($E$7:$E2838,$E2838))</f>
        <v/>
      </c>
    </row>
    <row r="2839" spans="1:31" ht="18" customHeight="1" x14ac:dyDescent="0.3">
      <c r="A2839" s="2"/>
      <c r="B2839" s="65" t="str">
        <f t="shared" si="354"/>
        <v/>
      </c>
      <c r="C2839" s="66"/>
      <c r="D2839" s="60"/>
      <c r="E2839" s="61"/>
      <c r="F2839" s="61"/>
      <c r="G2839" s="67"/>
      <c r="H2839" s="60"/>
      <c r="I2839" s="60"/>
      <c r="J2839" s="61"/>
      <c r="K2839" s="61"/>
      <c r="L2839" s="60"/>
      <c r="M2839" s="74" t="str">
        <f t="shared" si="355"/>
        <v/>
      </c>
      <c r="N2839" s="74" t="str">
        <f t="shared" si="356"/>
        <v/>
      </c>
      <c r="O2839" s="73" t="str">
        <f t="shared" si="357"/>
        <v/>
      </c>
      <c r="P2839" s="65" t="str">
        <f t="shared" ca="1" si="358"/>
        <v/>
      </c>
      <c r="Q2839" s="2"/>
      <c r="R2839" s="2"/>
      <c r="S2839" s="1" t="str">
        <f t="shared" si="359"/>
        <v/>
      </c>
      <c r="T2839" s="1" t="str">
        <f>IF(OR($C2839="",$D2839&lt;&gt;"Gelir",$L2839=""),"",IFERROR(INDEX(MUSTERILER!$B$7:$B$156,MATCH($S2839,MUSTERILER!$T$7:$T$156,0)),""))</f>
        <v/>
      </c>
      <c r="U2839" s="1" t="str">
        <f>IF($T2839="","",$T2839&amp;"|"&amp;COUNTIFS($T$7:$T2839,$T2839))</f>
        <v/>
      </c>
      <c r="V2839" s="1">
        <f t="shared" si="360"/>
        <v>0</v>
      </c>
      <c r="W2839" s="1" t="str">
        <f t="shared" si="361"/>
        <v/>
      </c>
      <c r="X2839" s="1"/>
      <c r="Y2839" s="1"/>
      <c r="Z2839" s="1"/>
      <c r="AA2839" s="1"/>
      <c r="AB2839" s="1"/>
      <c r="AC2839" s="1"/>
      <c r="AD2839" s="1">
        <f>IF($C2839="",0,SUMPRODUCT((AY_SONU!$O$7:$O$42="Evet")*(AY_SONU!$B$7:$B$42=DATE(YEAR($C2839),MONTH($C2839),1))))</f>
        <v>0</v>
      </c>
      <c r="AE2839" s="1" t="str">
        <f>IF($E2839="","",$E2839&amp;"|"&amp;COUNTIFS($E$7:$E2839,$E2839))</f>
        <v/>
      </c>
    </row>
    <row r="2840" spans="1:31" ht="18" customHeight="1" x14ac:dyDescent="0.3">
      <c r="A2840" s="2"/>
      <c r="B2840" s="65" t="str">
        <f t="shared" si="354"/>
        <v/>
      </c>
      <c r="C2840" s="66"/>
      <c r="D2840" s="60"/>
      <c r="E2840" s="61"/>
      <c r="F2840" s="61"/>
      <c r="G2840" s="67"/>
      <c r="H2840" s="60"/>
      <c r="I2840" s="60"/>
      <c r="J2840" s="61"/>
      <c r="K2840" s="61"/>
      <c r="L2840" s="60"/>
      <c r="M2840" s="74" t="str">
        <f t="shared" si="355"/>
        <v/>
      </c>
      <c r="N2840" s="74" t="str">
        <f t="shared" si="356"/>
        <v/>
      </c>
      <c r="O2840" s="73" t="str">
        <f t="shared" si="357"/>
        <v/>
      </c>
      <c r="P2840" s="65" t="str">
        <f t="shared" ca="1" si="358"/>
        <v/>
      </c>
      <c r="Q2840" s="2"/>
      <c r="R2840" s="2"/>
      <c r="S2840" s="1" t="str">
        <f t="shared" si="359"/>
        <v/>
      </c>
      <c r="T2840" s="1" t="str">
        <f>IF(OR($C2840="",$D2840&lt;&gt;"Gelir",$L2840=""),"",IFERROR(INDEX(MUSTERILER!$B$7:$B$156,MATCH($S2840,MUSTERILER!$T$7:$T$156,0)),""))</f>
        <v/>
      </c>
      <c r="U2840" s="1" t="str">
        <f>IF($T2840="","",$T2840&amp;"|"&amp;COUNTIFS($T$7:$T2840,$T2840))</f>
        <v/>
      </c>
      <c r="V2840" s="1">
        <f t="shared" si="360"/>
        <v>0</v>
      </c>
      <c r="W2840" s="1" t="str">
        <f t="shared" si="361"/>
        <v/>
      </c>
      <c r="X2840" s="1"/>
      <c r="Y2840" s="1"/>
      <c r="Z2840" s="1"/>
      <c r="AA2840" s="1"/>
      <c r="AB2840" s="1"/>
      <c r="AC2840" s="1"/>
      <c r="AD2840" s="1">
        <f>IF($C2840="",0,SUMPRODUCT((AY_SONU!$O$7:$O$42="Evet")*(AY_SONU!$B$7:$B$42=DATE(YEAR($C2840),MONTH($C2840),1))))</f>
        <v>0</v>
      </c>
      <c r="AE2840" s="1" t="str">
        <f>IF($E2840="","",$E2840&amp;"|"&amp;COUNTIFS($E$7:$E2840,$E2840))</f>
        <v/>
      </c>
    </row>
    <row r="2841" spans="1:31" ht="18" customHeight="1" x14ac:dyDescent="0.3">
      <c r="A2841" s="2"/>
      <c r="B2841" s="65" t="str">
        <f t="shared" si="354"/>
        <v/>
      </c>
      <c r="C2841" s="66"/>
      <c r="D2841" s="60"/>
      <c r="E2841" s="61"/>
      <c r="F2841" s="61"/>
      <c r="G2841" s="67"/>
      <c r="H2841" s="60"/>
      <c r="I2841" s="60"/>
      <c r="J2841" s="61"/>
      <c r="K2841" s="61"/>
      <c r="L2841" s="60"/>
      <c r="M2841" s="74" t="str">
        <f t="shared" si="355"/>
        <v/>
      </c>
      <c r="N2841" s="74" t="str">
        <f t="shared" si="356"/>
        <v/>
      </c>
      <c r="O2841" s="73" t="str">
        <f t="shared" si="357"/>
        <v/>
      </c>
      <c r="P2841" s="65" t="str">
        <f t="shared" ca="1" si="358"/>
        <v/>
      </c>
      <c r="Q2841" s="2"/>
      <c r="R2841" s="2"/>
      <c r="S2841" s="1" t="str">
        <f t="shared" si="359"/>
        <v/>
      </c>
      <c r="T2841" s="1" t="str">
        <f>IF(OR($C2841="",$D2841&lt;&gt;"Gelir",$L2841=""),"",IFERROR(INDEX(MUSTERILER!$B$7:$B$156,MATCH($S2841,MUSTERILER!$T$7:$T$156,0)),""))</f>
        <v/>
      </c>
      <c r="U2841" s="1" t="str">
        <f>IF($T2841="","",$T2841&amp;"|"&amp;COUNTIFS($T$7:$T2841,$T2841))</f>
        <v/>
      </c>
      <c r="V2841" s="1">
        <f t="shared" si="360"/>
        <v>0</v>
      </c>
      <c r="W2841" s="1" t="str">
        <f t="shared" si="361"/>
        <v/>
      </c>
      <c r="X2841" s="1"/>
      <c r="Y2841" s="1"/>
      <c r="Z2841" s="1"/>
      <c r="AA2841" s="1"/>
      <c r="AB2841" s="1"/>
      <c r="AC2841" s="1"/>
      <c r="AD2841" s="1">
        <f>IF($C2841="",0,SUMPRODUCT((AY_SONU!$O$7:$O$42="Evet")*(AY_SONU!$B$7:$B$42=DATE(YEAR($C2841),MONTH($C2841),1))))</f>
        <v>0</v>
      </c>
      <c r="AE2841" s="1" t="str">
        <f>IF($E2841="","",$E2841&amp;"|"&amp;COUNTIFS($E$7:$E2841,$E2841))</f>
        <v/>
      </c>
    </row>
    <row r="2842" spans="1:31" ht="18" customHeight="1" x14ac:dyDescent="0.3">
      <c r="A2842" s="2"/>
      <c r="B2842" s="65" t="str">
        <f t="shared" si="354"/>
        <v/>
      </c>
      <c r="C2842" s="66"/>
      <c r="D2842" s="60"/>
      <c r="E2842" s="61"/>
      <c r="F2842" s="61"/>
      <c r="G2842" s="67"/>
      <c r="H2842" s="60"/>
      <c r="I2842" s="60"/>
      <c r="J2842" s="61"/>
      <c r="K2842" s="61"/>
      <c r="L2842" s="60"/>
      <c r="M2842" s="74" t="str">
        <f t="shared" si="355"/>
        <v/>
      </c>
      <c r="N2842" s="74" t="str">
        <f t="shared" si="356"/>
        <v/>
      </c>
      <c r="O2842" s="73" t="str">
        <f t="shared" si="357"/>
        <v/>
      </c>
      <c r="P2842" s="65" t="str">
        <f t="shared" ca="1" si="358"/>
        <v/>
      </c>
      <c r="Q2842" s="2"/>
      <c r="R2842" s="2"/>
      <c r="S2842" s="1" t="str">
        <f t="shared" si="359"/>
        <v/>
      </c>
      <c r="T2842" s="1" t="str">
        <f>IF(OR($C2842="",$D2842&lt;&gt;"Gelir",$L2842=""),"",IFERROR(INDEX(MUSTERILER!$B$7:$B$156,MATCH($S2842,MUSTERILER!$T$7:$T$156,0)),""))</f>
        <v/>
      </c>
      <c r="U2842" s="1" t="str">
        <f>IF($T2842="","",$T2842&amp;"|"&amp;COUNTIFS($T$7:$T2842,$T2842))</f>
        <v/>
      </c>
      <c r="V2842" s="1">
        <f t="shared" si="360"/>
        <v>0</v>
      </c>
      <c r="W2842" s="1" t="str">
        <f t="shared" si="361"/>
        <v/>
      </c>
      <c r="X2842" s="1"/>
      <c r="Y2842" s="1"/>
      <c r="Z2842" s="1"/>
      <c r="AA2842" s="1"/>
      <c r="AB2842" s="1"/>
      <c r="AC2842" s="1"/>
      <c r="AD2842" s="1">
        <f>IF($C2842="",0,SUMPRODUCT((AY_SONU!$O$7:$O$42="Evet")*(AY_SONU!$B$7:$B$42=DATE(YEAR($C2842),MONTH($C2842),1))))</f>
        <v>0</v>
      </c>
      <c r="AE2842" s="1" t="str">
        <f>IF($E2842="","",$E2842&amp;"|"&amp;COUNTIFS($E$7:$E2842,$E2842))</f>
        <v/>
      </c>
    </row>
    <row r="2843" spans="1:31" ht="18" customHeight="1" x14ac:dyDescent="0.3">
      <c r="A2843" s="2"/>
      <c r="B2843" s="65" t="str">
        <f t="shared" si="354"/>
        <v/>
      </c>
      <c r="C2843" s="66"/>
      <c r="D2843" s="60"/>
      <c r="E2843" s="61"/>
      <c r="F2843" s="61"/>
      <c r="G2843" s="67"/>
      <c r="H2843" s="60"/>
      <c r="I2843" s="60"/>
      <c r="J2843" s="61"/>
      <c r="K2843" s="61"/>
      <c r="L2843" s="60"/>
      <c r="M2843" s="74" t="str">
        <f t="shared" si="355"/>
        <v/>
      </c>
      <c r="N2843" s="74" t="str">
        <f t="shared" si="356"/>
        <v/>
      </c>
      <c r="O2843" s="73" t="str">
        <f t="shared" si="357"/>
        <v/>
      </c>
      <c r="P2843" s="65" t="str">
        <f t="shared" ca="1" si="358"/>
        <v/>
      </c>
      <c r="Q2843" s="2"/>
      <c r="R2843" s="2"/>
      <c r="S2843" s="1" t="str">
        <f t="shared" si="359"/>
        <v/>
      </c>
      <c r="T2843" s="1" t="str">
        <f>IF(OR($C2843="",$D2843&lt;&gt;"Gelir",$L2843=""),"",IFERROR(INDEX(MUSTERILER!$B$7:$B$156,MATCH($S2843,MUSTERILER!$T$7:$T$156,0)),""))</f>
        <v/>
      </c>
      <c r="U2843" s="1" t="str">
        <f>IF($T2843="","",$T2843&amp;"|"&amp;COUNTIFS($T$7:$T2843,$T2843))</f>
        <v/>
      </c>
      <c r="V2843" s="1">
        <f t="shared" si="360"/>
        <v>0</v>
      </c>
      <c r="W2843" s="1" t="str">
        <f t="shared" si="361"/>
        <v/>
      </c>
      <c r="X2843" s="1"/>
      <c r="Y2843" s="1"/>
      <c r="Z2843" s="1"/>
      <c r="AA2843" s="1"/>
      <c r="AB2843" s="1"/>
      <c r="AC2843" s="1"/>
      <c r="AD2843" s="1">
        <f>IF($C2843="",0,SUMPRODUCT((AY_SONU!$O$7:$O$42="Evet")*(AY_SONU!$B$7:$B$42=DATE(YEAR($C2843),MONTH($C2843),1))))</f>
        <v>0</v>
      </c>
      <c r="AE2843" s="1" t="str">
        <f>IF($E2843="","",$E2843&amp;"|"&amp;COUNTIFS($E$7:$E2843,$E2843))</f>
        <v/>
      </c>
    </row>
    <row r="2844" spans="1:31" ht="18" customHeight="1" x14ac:dyDescent="0.3">
      <c r="A2844" s="2"/>
      <c r="B2844" s="65" t="str">
        <f t="shared" si="354"/>
        <v/>
      </c>
      <c r="C2844" s="66"/>
      <c r="D2844" s="60"/>
      <c r="E2844" s="61"/>
      <c r="F2844" s="61"/>
      <c r="G2844" s="67"/>
      <c r="H2844" s="60"/>
      <c r="I2844" s="60"/>
      <c r="J2844" s="61"/>
      <c r="K2844" s="61"/>
      <c r="L2844" s="60"/>
      <c r="M2844" s="74" t="str">
        <f t="shared" si="355"/>
        <v/>
      </c>
      <c r="N2844" s="74" t="str">
        <f t="shared" si="356"/>
        <v/>
      </c>
      <c r="O2844" s="73" t="str">
        <f t="shared" si="357"/>
        <v/>
      </c>
      <c r="P2844" s="65" t="str">
        <f t="shared" ca="1" si="358"/>
        <v/>
      </c>
      <c r="Q2844" s="2"/>
      <c r="R2844" s="2"/>
      <c r="S2844" s="1" t="str">
        <f t="shared" si="359"/>
        <v/>
      </c>
      <c r="T2844" s="1" t="str">
        <f>IF(OR($C2844="",$D2844&lt;&gt;"Gelir",$L2844=""),"",IFERROR(INDEX(MUSTERILER!$B$7:$B$156,MATCH($S2844,MUSTERILER!$T$7:$T$156,0)),""))</f>
        <v/>
      </c>
      <c r="U2844" s="1" t="str">
        <f>IF($T2844="","",$T2844&amp;"|"&amp;COUNTIFS($T$7:$T2844,$T2844))</f>
        <v/>
      </c>
      <c r="V2844" s="1">
        <f t="shared" si="360"/>
        <v>0</v>
      </c>
      <c r="W2844" s="1" t="str">
        <f t="shared" si="361"/>
        <v/>
      </c>
      <c r="X2844" s="1"/>
      <c r="Y2844" s="1"/>
      <c r="Z2844" s="1"/>
      <c r="AA2844" s="1"/>
      <c r="AB2844" s="1"/>
      <c r="AC2844" s="1"/>
      <c r="AD2844" s="1">
        <f>IF($C2844="",0,SUMPRODUCT((AY_SONU!$O$7:$O$42="Evet")*(AY_SONU!$B$7:$B$42=DATE(YEAR($C2844),MONTH($C2844),1))))</f>
        <v>0</v>
      </c>
      <c r="AE2844" s="1" t="str">
        <f>IF($E2844="","",$E2844&amp;"|"&amp;COUNTIFS($E$7:$E2844,$E2844))</f>
        <v/>
      </c>
    </row>
    <row r="2845" spans="1:31" ht="18" customHeight="1" x14ac:dyDescent="0.3">
      <c r="A2845" s="2"/>
      <c r="B2845" s="65" t="str">
        <f t="shared" si="354"/>
        <v/>
      </c>
      <c r="C2845" s="66"/>
      <c r="D2845" s="60"/>
      <c r="E2845" s="61"/>
      <c r="F2845" s="61"/>
      <c r="G2845" s="67"/>
      <c r="H2845" s="60"/>
      <c r="I2845" s="60"/>
      <c r="J2845" s="61"/>
      <c r="K2845" s="61"/>
      <c r="L2845" s="60"/>
      <c r="M2845" s="74" t="str">
        <f t="shared" si="355"/>
        <v/>
      </c>
      <c r="N2845" s="74" t="str">
        <f t="shared" si="356"/>
        <v/>
      </c>
      <c r="O2845" s="73" t="str">
        <f t="shared" si="357"/>
        <v/>
      </c>
      <c r="P2845" s="65" t="str">
        <f t="shared" ca="1" si="358"/>
        <v/>
      </c>
      <c r="Q2845" s="2"/>
      <c r="R2845" s="2"/>
      <c r="S2845" s="1" t="str">
        <f t="shared" si="359"/>
        <v/>
      </c>
      <c r="T2845" s="1" t="str">
        <f>IF(OR($C2845="",$D2845&lt;&gt;"Gelir",$L2845=""),"",IFERROR(INDEX(MUSTERILER!$B$7:$B$156,MATCH($S2845,MUSTERILER!$T$7:$T$156,0)),""))</f>
        <v/>
      </c>
      <c r="U2845" s="1" t="str">
        <f>IF($T2845="","",$T2845&amp;"|"&amp;COUNTIFS($T$7:$T2845,$T2845))</f>
        <v/>
      </c>
      <c r="V2845" s="1">
        <f t="shared" si="360"/>
        <v>0</v>
      </c>
      <c r="W2845" s="1" t="str">
        <f t="shared" si="361"/>
        <v/>
      </c>
      <c r="X2845" s="1"/>
      <c r="Y2845" s="1"/>
      <c r="Z2845" s="1"/>
      <c r="AA2845" s="1"/>
      <c r="AB2845" s="1"/>
      <c r="AC2845" s="1"/>
      <c r="AD2845" s="1">
        <f>IF($C2845="",0,SUMPRODUCT((AY_SONU!$O$7:$O$42="Evet")*(AY_SONU!$B$7:$B$42=DATE(YEAR($C2845),MONTH($C2845),1))))</f>
        <v>0</v>
      </c>
      <c r="AE2845" s="1" t="str">
        <f>IF($E2845="","",$E2845&amp;"|"&amp;COUNTIFS($E$7:$E2845,$E2845))</f>
        <v/>
      </c>
    </row>
    <row r="2846" spans="1:31" ht="18" customHeight="1" x14ac:dyDescent="0.3">
      <c r="A2846" s="2"/>
      <c r="B2846" s="65" t="str">
        <f t="shared" si="354"/>
        <v/>
      </c>
      <c r="C2846" s="66"/>
      <c r="D2846" s="60"/>
      <c r="E2846" s="61"/>
      <c r="F2846" s="61"/>
      <c r="G2846" s="67"/>
      <c r="H2846" s="60"/>
      <c r="I2846" s="60"/>
      <c r="J2846" s="61"/>
      <c r="K2846" s="61"/>
      <c r="L2846" s="60"/>
      <c r="M2846" s="74" t="str">
        <f t="shared" si="355"/>
        <v/>
      </c>
      <c r="N2846" s="74" t="str">
        <f t="shared" si="356"/>
        <v/>
      </c>
      <c r="O2846" s="73" t="str">
        <f t="shared" si="357"/>
        <v/>
      </c>
      <c r="P2846" s="65" t="str">
        <f t="shared" ca="1" si="358"/>
        <v/>
      </c>
      <c r="Q2846" s="2"/>
      <c r="R2846" s="2"/>
      <c r="S2846" s="1" t="str">
        <f t="shared" si="359"/>
        <v/>
      </c>
      <c r="T2846" s="1" t="str">
        <f>IF(OR($C2846="",$D2846&lt;&gt;"Gelir",$L2846=""),"",IFERROR(INDEX(MUSTERILER!$B$7:$B$156,MATCH($S2846,MUSTERILER!$T$7:$T$156,0)),""))</f>
        <v/>
      </c>
      <c r="U2846" s="1" t="str">
        <f>IF($T2846="","",$T2846&amp;"|"&amp;COUNTIFS($T$7:$T2846,$T2846))</f>
        <v/>
      </c>
      <c r="V2846" s="1">
        <f t="shared" si="360"/>
        <v>0</v>
      </c>
      <c r="W2846" s="1" t="str">
        <f t="shared" si="361"/>
        <v/>
      </c>
      <c r="X2846" s="1"/>
      <c r="Y2846" s="1"/>
      <c r="Z2846" s="1"/>
      <c r="AA2846" s="1"/>
      <c r="AB2846" s="1"/>
      <c r="AC2846" s="1"/>
      <c r="AD2846" s="1">
        <f>IF($C2846="",0,SUMPRODUCT((AY_SONU!$O$7:$O$42="Evet")*(AY_SONU!$B$7:$B$42=DATE(YEAR($C2846),MONTH($C2846),1))))</f>
        <v>0</v>
      </c>
      <c r="AE2846" s="1" t="str">
        <f>IF($E2846="","",$E2846&amp;"|"&amp;COUNTIFS($E$7:$E2846,$E2846))</f>
        <v/>
      </c>
    </row>
    <row r="2847" spans="1:31" ht="18" customHeight="1" x14ac:dyDescent="0.3">
      <c r="A2847" s="2"/>
      <c r="B2847" s="65" t="str">
        <f t="shared" si="354"/>
        <v/>
      </c>
      <c r="C2847" s="66"/>
      <c r="D2847" s="60"/>
      <c r="E2847" s="61"/>
      <c r="F2847" s="61"/>
      <c r="G2847" s="67"/>
      <c r="H2847" s="60"/>
      <c r="I2847" s="60"/>
      <c r="J2847" s="61"/>
      <c r="K2847" s="61"/>
      <c r="L2847" s="60"/>
      <c r="M2847" s="74" t="str">
        <f t="shared" si="355"/>
        <v/>
      </c>
      <c r="N2847" s="74" t="str">
        <f t="shared" si="356"/>
        <v/>
      </c>
      <c r="O2847" s="73" t="str">
        <f t="shared" si="357"/>
        <v/>
      </c>
      <c r="P2847" s="65" t="str">
        <f t="shared" ca="1" si="358"/>
        <v/>
      </c>
      <c r="Q2847" s="2"/>
      <c r="R2847" s="2"/>
      <c r="S2847" s="1" t="str">
        <f t="shared" si="359"/>
        <v/>
      </c>
      <c r="T2847" s="1" t="str">
        <f>IF(OR($C2847="",$D2847&lt;&gt;"Gelir",$L2847=""),"",IFERROR(INDEX(MUSTERILER!$B$7:$B$156,MATCH($S2847,MUSTERILER!$T$7:$T$156,0)),""))</f>
        <v/>
      </c>
      <c r="U2847" s="1" t="str">
        <f>IF($T2847="","",$T2847&amp;"|"&amp;COUNTIFS($T$7:$T2847,$T2847))</f>
        <v/>
      </c>
      <c r="V2847" s="1">
        <f t="shared" si="360"/>
        <v>0</v>
      </c>
      <c r="W2847" s="1" t="str">
        <f t="shared" si="361"/>
        <v/>
      </c>
      <c r="X2847" s="1"/>
      <c r="Y2847" s="1"/>
      <c r="Z2847" s="1"/>
      <c r="AA2847" s="1"/>
      <c r="AB2847" s="1"/>
      <c r="AC2847" s="1"/>
      <c r="AD2847" s="1">
        <f>IF($C2847="",0,SUMPRODUCT((AY_SONU!$O$7:$O$42="Evet")*(AY_SONU!$B$7:$B$42=DATE(YEAR($C2847),MONTH($C2847),1))))</f>
        <v>0</v>
      </c>
      <c r="AE2847" s="1" t="str">
        <f>IF($E2847="","",$E2847&amp;"|"&amp;COUNTIFS($E$7:$E2847,$E2847))</f>
        <v/>
      </c>
    </row>
    <row r="2848" spans="1:31" ht="18" customHeight="1" x14ac:dyDescent="0.3">
      <c r="A2848" s="2"/>
      <c r="B2848" s="65" t="str">
        <f t="shared" si="354"/>
        <v/>
      </c>
      <c r="C2848" s="66"/>
      <c r="D2848" s="60"/>
      <c r="E2848" s="61"/>
      <c r="F2848" s="61"/>
      <c r="G2848" s="67"/>
      <c r="H2848" s="60"/>
      <c r="I2848" s="60"/>
      <c r="J2848" s="61"/>
      <c r="K2848" s="61"/>
      <c r="L2848" s="60"/>
      <c r="M2848" s="74" t="str">
        <f t="shared" si="355"/>
        <v/>
      </c>
      <c r="N2848" s="74" t="str">
        <f t="shared" si="356"/>
        <v/>
      </c>
      <c r="O2848" s="73" t="str">
        <f t="shared" si="357"/>
        <v/>
      </c>
      <c r="P2848" s="65" t="str">
        <f t="shared" ca="1" si="358"/>
        <v/>
      </c>
      <c r="Q2848" s="2"/>
      <c r="R2848" s="2"/>
      <c r="S2848" s="1" t="str">
        <f t="shared" si="359"/>
        <v/>
      </c>
      <c r="T2848" s="1" t="str">
        <f>IF(OR($C2848="",$D2848&lt;&gt;"Gelir",$L2848=""),"",IFERROR(INDEX(MUSTERILER!$B$7:$B$156,MATCH($S2848,MUSTERILER!$T$7:$T$156,0)),""))</f>
        <v/>
      </c>
      <c r="U2848" s="1" t="str">
        <f>IF($T2848="","",$T2848&amp;"|"&amp;COUNTIFS($T$7:$T2848,$T2848))</f>
        <v/>
      </c>
      <c r="V2848" s="1">
        <f t="shared" si="360"/>
        <v>0</v>
      </c>
      <c r="W2848" s="1" t="str">
        <f t="shared" si="361"/>
        <v/>
      </c>
      <c r="X2848" s="1"/>
      <c r="Y2848" s="1"/>
      <c r="Z2848" s="1"/>
      <c r="AA2848" s="1"/>
      <c r="AB2848" s="1"/>
      <c r="AC2848" s="1"/>
      <c r="AD2848" s="1">
        <f>IF($C2848="",0,SUMPRODUCT((AY_SONU!$O$7:$O$42="Evet")*(AY_SONU!$B$7:$B$42=DATE(YEAR($C2848),MONTH($C2848),1))))</f>
        <v>0</v>
      </c>
      <c r="AE2848" s="1" t="str">
        <f>IF($E2848="","",$E2848&amp;"|"&amp;COUNTIFS($E$7:$E2848,$E2848))</f>
        <v/>
      </c>
    </row>
    <row r="2849" spans="1:31" ht="18" customHeight="1" x14ac:dyDescent="0.3">
      <c r="A2849" s="2"/>
      <c r="B2849" s="65" t="str">
        <f t="shared" si="354"/>
        <v/>
      </c>
      <c r="C2849" s="66"/>
      <c r="D2849" s="60"/>
      <c r="E2849" s="61"/>
      <c r="F2849" s="61"/>
      <c r="G2849" s="67"/>
      <c r="H2849" s="60"/>
      <c r="I2849" s="60"/>
      <c r="J2849" s="61"/>
      <c r="K2849" s="61"/>
      <c r="L2849" s="60"/>
      <c r="M2849" s="74" t="str">
        <f t="shared" si="355"/>
        <v/>
      </c>
      <c r="N2849" s="74" t="str">
        <f t="shared" si="356"/>
        <v/>
      </c>
      <c r="O2849" s="73" t="str">
        <f t="shared" si="357"/>
        <v/>
      </c>
      <c r="P2849" s="65" t="str">
        <f t="shared" ca="1" si="358"/>
        <v/>
      </c>
      <c r="Q2849" s="2"/>
      <c r="R2849" s="2"/>
      <c r="S2849" s="1" t="str">
        <f t="shared" si="359"/>
        <v/>
      </c>
      <c r="T2849" s="1" t="str">
        <f>IF(OR($C2849="",$D2849&lt;&gt;"Gelir",$L2849=""),"",IFERROR(INDEX(MUSTERILER!$B$7:$B$156,MATCH($S2849,MUSTERILER!$T$7:$T$156,0)),""))</f>
        <v/>
      </c>
      <c r="U2849" s="1" t="str">
        <f>IF($T2849="","",$T2849&amp;"|"&amp;COUNTIFS($T$7:$T2849,$T2849))</f>
        <v/>
      </c>
      <c r="V2849" s="1">
        <f t="shared" si="360"/>
        <v>0</v>
      </c>
      <c r="W2849" s="1" t="str">
        <f t="shared" si="361"/>
        <v/>
      </c>
      <c r="X2849" s="1"/>
      <c r="Y2849" s="1"/>
      <c r="Z2849" s="1"/>
      <c r="AA2849" s="1"/>
      <c r="AB2849" s="1"/>
      <c r="AC2849" s="1"/>
      <c r="AD2849" s="1">
        <f>IF($C2849="",0,SUMPRODUCT((AY_SONU!$O$7:$O$42="Evet")*(AY_SONU!$B$7:$B$42=DATE(YEAR($C2849),MONTH($C2849),1))))</f>
        <v>0</v>
      </c>
      <c r="AE2849" s="1" t="str">
        <f>IF($E2849="","",$E2849&amp;"|"&amp;COUNTIFS($E$7:$E2849,$E2849))</f>
        <v/>
      </c>
    </row>
    <row r="2850" spans="1:31" ht="18" customHeight="1" x14ac:dyDescent="0.3">
      <c r="A2850" s="2"/>
      <c r="B2850" s="65" t="str">
        <f t="shared" si="354"/>
        <v/>
      </c>
      <c r="C2850" s="66"/>
      <c r="D2850" s="60"/>
      <c r="E2850" s="61"/>
      <c r="F2850" s="61"/>
      <c r="G2850" s="67"/>
      <c r="H2850" s="60"/>
      <c r="I2850" s="60"/>
      <c r="J2850" s="61"/>
      <c r="K2850" s="61"/>
      <c r="L2850" s="60"/>
      <c r="M2850" s="74" t="str">
        <f t="shared" si="355"/>
        <v/>
      </c>
      <c r="N2850" s="74" t="str">
        <f t="shared" si="356"/>
        <v/>
      </c>
      <c r="O2850" s="73" t="str">
        <f t="shared" si="357"/>
        <v/>
      </c>
      <c r="P2850" s="65" t="str">
        <f t="shared" ca="1" si="358"/>
        <v/>
      </c>
      <c r="Q2850" s="2"/>
      <c r="R2850" s="2"/>
      <c r="S2850" s="1" t="str">
        <f t="shared" si="359"/>
        <v/>
      </c>
      <c r="T2850" s="1" t="str">
        <f>IF(OR($C2850="",$D2850&lt;&gt;"Gelir",$L2850=""),"",IFERROR(INDEX(MUSTERILER!$B$7:$B$156,MATCH($S2850,MUSTERILER!$T$7:$T$156,0)),""))</f>
        <v/>
      </c>
      <c r="U2850" s="1" t="str">
        <f>IF($T2850="","",$T2850&amp;"|"&amp;COUNTIFS($T$7:$T2850,$T2850))</f>
        <v/>
      </c>
      <c r="V2850" s="1">
        <f t="shared" si="360"/>
        <v>0</v>
      </c>
      <c r="W2850" s="1" t="str">
        <f t="shared" si="361"/>
        <v/>
      </c>
      <c r="X2850" s="1"/>
      <c r="Y2850" s="1"/>
      <c r="Z2850" s="1"/>
      <c r="AA2850" s="1"/>
      <c r="AB2850" s="1"/>
      <c r="AC2850" s="1"/>
      <c r="AD2850" s="1">
        <f>IF($C2850="",0,SUMPRODUCT((AY_SONU!$O$7:$O$42="Evet")*(AY_SONU!$B$7:$B$42=DATE(YEAR($C2850),MONTH($C2850),1))))</f>
        <v>0</v>
      </c>
      <c r="AE2850" s="1" t="str">
        <f>IF($E2850="","",$E2850&amp;"|"&amp;COUNTIFS($E$7:$E2850,$E2850))</f>
        <v/>
      </c>
    </row>
    <row r="2851" spans="1:31" ht="18" customHeight="1" x14ac:dyDescent="0.3">
      <c r="A2851" s="2"/>
      <c r="B2851" s="65" t="str">
        <f t="shared" si="354"/>
        <v/>
      </c>
      <c r="C2851" s="66"/>
      <c r="D2851" s="60"/>
      <c r="E2851" s="61"/>
      <c r="F2851" s="61"/>
      <c r="G2851" s="67"/>
      <c r="H2851" s="60"/>
      <c r="I2851" s="60"/>
      <c r="J2851" s="61"/>
      <c r="K2851" s="61"/>
      <c r="L2851" s="60"/>
      <c r="M2851" s="74" t="str">
        <f t="shared" si="355"/>
        <v/>
      </c>
      <c r="N2851" s="74" t="str">
        <f t="shared" si="356"/>
        <v/>
      </c>
      <c r="O2851" s="73" t="str">
        <f t="shared" si="357"/>
        <v/>
      </c>
      <c r="P2851" s="65" t="str">
        <f t="shared" ca="1" si="358"/>
        <v/>
      </c>
      <c r="Q2851" s="2"/>
      <c r="R2851" s="2"/>
      <c r="S2851" s="1" t="str">
        <f t="shared" si="359"/>
        <v/>
      </c>
      <c r="T2851" s="1" t="str">
        <f>IF(OR($C2851="",$D2851&lt;&gt;"Gelir",$L2851=""),"",IFERROR(INDEX(MUSTERILER!$B$7:$B$156,MATCH($S2851,MUSTERILER!$T$7:$T$156,0)),""))</f>
        <v/>
      </c>
      <c r="U2851" s="1" t="str">
        <f>IF($T2851="","",$T2851&amp;"|"&amp;COUNTIFS($T$7:$T2851,$T2851))</f>
        <v/>
      </c>
      <c r="V2851" s="1">
        <f t="shared" si="360"/>
        <v>0</v>
      </c>
      <c r="W2851" s="1" t="str">
        <f t="shared" si="361"/>
        <v/>
      </c>
      <c r="X2851" s="1"/>
      <c r="Y2851" s="1"/>
      <c r="Z2851" s="1"/>
      <c r="AA2851" s="1"/>
      <c r="AB2851" s="1"/>
      <c r="AC2851" s="1"/>
      <c r="AD2851" s="1">
        <f>IF($C2851="",0,SUMPRODUCT((AY_SONU!$O$7:$O$42="Evet")*(AY_SONU!$B$7:$B$42=DATE(YEAR($C2851),MONTH($C2851),1))))</f>
        <v>0</v>
      </c>
      <c r="AE2851" s="1" t="str">
        <f>IF($E2851="","",$E2851&amp;"|"&amp;COUNTIFS($E$7:$E2851,$E2851))</f>
        <v/>
      </c>
    </row>
    <row r="2852" spans="1:31" ht="18" customHeight="1" x14ac:dyDescent="0.3">
      <c r="A2852" s="2"/>
      <c r="B2852" s="65" t="str">
        <f t="shared" si="354"/>
        <v/>
      </c>
      <c r="C2852" s="66"/>
      <c r="D2852" s="60"/>
      <c r="E2852" s="61"/>
      <c r="F2852" s="61"/>
      <c r="G2852" s="67"/>
      <c r="H2852" s="60"/>
      <c r="I2852" s="60"/>
      <c r="J2852" s="61"/>
      <c r="K2852" s="61"/>
      <c r="L2852" s="60"/>
      <c r="M2852" s="74" t="str">
        <f t="shared" si="355"/>
        <v/>
      </c>
      <c r="N2852" s="74" t="str">
        <f t="shared" si="356"/>
        <v/>
      </c>
      <c r="O2852" s="73" t="str">
        <f t="shared" si="357"/>
        <v/>
      </c>
      <c r="P2852" s="65" t="str">
        <f t="shared" ca="1" si="358"/>
        <v/>
      </c>
      <c r="Q2852" s="2"/>
      <c r="R2852" s="2"/>
      <c r="S2852" s="1" t="str">
        <f t="shared" si="359"/>
        <v/>
      </c>
      <c r="T2852" s="1" t="str">
        <f>IF(OR($C2852="",$D2852&lt;&gt;"Gelir",$L2852=""),"",IFERROR(INDEX(MUSTERILER!$B$7:$B$156,MATCH($S2852,MUSTERILER!$T$7:$T$156,0)),""))</f>
        <v/>
      </c>
      <c r="U2852" s="1" t="str">
        <f>IF($T2852="","",$T2852&amp;"|"&amp;COUNTIFS($T$7:$T2852,$T2852))</f>
        <v/>
      </c>
      <c r="V2852" s="1">
        <f t="shared" si="360"/>
        <v>0</v>
      </c>
      <c r="W2852" s="1" t="str">
        <f t="shared" si="361"/>
        <v/>
      </c>
      <c r="X2852" s="1"/>
      <c r="Y2852" s="1"/>
      <c r="Z2852" s="1"/>
      <c r="AA2852" s="1"/>
      <c r="AB2852" s="1"/>
      <c r="AC2852" s="1"/>
      <c r="AD2852" s="1">
        <f>IF($C2852="",0,SUMPRODUCT((AY_SONU!$O$7:$O$42="Evet")*(AY_SONU!$B$7:$B$42=DATE(YEAR($C2852),MONTH($C2852),1))))</f>
        <v>0</v>
      </c>
      <c r="AE2852" s="1" t="str">
        <f>IF($E2852="","",$E2852&amp;"|"&amp;COUNTIFS($E$7:$E2852,$E2852))</f>
        <v/>
      </c>
    </row>
    <row r="2853" spans="1:31" ht="18" customHeight="1" x14ac:dyDescent="0.3">
      <c r="A2853" s="2"/>
      <c r="B2853" s="65" t="str">
        <f t="shared" si="354"/>
        <v/>
      </c>
      <c r="C2853" s="66"/>
      <c r="D2853" s="60"/>
      <c r="E2853" s="61"/>
      <c r="F2853" s="61"/>
      <c r="G2853" s="67"/>
      <c r="H2853" s="60"/>
      <c r="I2853" s="60"/>
      <c r="J2853" s="61"/>
      <c r="K2853" s="61"/>
      <c r="L2853" s="60"/>
      <c r="M2853" s="74" t="str">
        <f t="shared" si="355"/>
        <v/>
      </c>
      <c r="N2853" s="74" t="str">
        <f t="shared" si="356"/>
        <v/>
      </c>
      <c r="O2853" s="73" t="str">
        <f t="shared" si="357"/>
        <v/>
      </c>
      <c r="P2853" s="65" t="str">
        <f t="shared" ca="1" si="358"/>
        <v/>
      </c>
      <c r="Q2853" s="2"/>
      <c r="R2853" s="2"/>
      <c r="S2853" s="1" t="str">
        <f t="shared" si="359"/>
        <v/>
      </c>
      <c r="T2853" s="1" t="str">
        <f>IF(OR($C2853="",$D2853&lt;&gt;"Gelir",$L2853=""),"",IFERROR(INDEX(MUSTERILER!$B$7:$B$156,MATCH($S2853,MUSTERILER!$T$7:$T$156,0)),""))</f>
        <v/>
      </c>
      <c r="U2853" s="1" t="str">
        <f>IF($T2853="","",$T2853&amp;"|"&amp;COUNTIFS($T$7:$T2853,$T2853))</f>
        <v/>
      </c>
      <c r="V2853" s="1">
        <f t="shared" si="360"/>
        <v>0</v>
      </c>
      <c r="W2853" s="1" t="str">
        <f t="shared" si="361"/>
        <v/>
      </c>
      <c r="X2853" s="1"/>
      <c r="Y2853" s="1"/>
      <c r="Z2853" s="1"/>
      <c r="AA2853" s="1"/>
      <c r="AB2853" s="1"/>
      <c r="AC2853" s="1"/>
      <c r="AD2853" s="1">
        <f>IF($C2853="",0,SUMPRODUCT((AY_SONU!$O$7:$O$42="Evet")*(AY_SONU!$B$7:$B$42=DATE(YEAR($C2853),MONTH($C2853),1))))</f>
        <v>0</v>
      </c>
      <c r="AE2853" s="1" t="str">
        <f>IF($E2853="","",$E2853&amp;"|"&amp;COUNTIFS($E$7:$E2853,$E2853))</f>
        <v/>
      </c>
    </row>
    <row r="2854" spans="1:31" ht="18" customHeight="1" x14ac:dyDescent="0.3">
      <c r="A2854" s="2"/>
      <c r="B2854" s="65" t="str">
        <f t="shared" si="354"/>
        <v/>
      </c>
      <c r="C2854" s="66"/>
      <c r="D2854" s="60"/>
      <c r="E2854" s="61"/>
      <c r="F2854" s="61"/>
      <c r="G2854" s="67"/>
      <c r="H2854" s="60"/>
      <c r="I2854" s="60"/>
      <c r="J2854" s="61"/>
      <c r="K2854" s="61"/>
      <c r="L2854" s="60"/>
      <c r="M2854" s="74" t="str">
        <f t="shared" si="355"/>
        <v/>
      </c>
      <c r="N2854" s="74" t="str">
        <f t="shared" si="356"/>
        <v/>
      </c>
      <c r="O2854" s="73" t="str">
        <f t="shared" si="357"/>
        <v/>
      </c>
      <c r="P2854" s="65" t="str">
        <f t="shared" ca="1" si="358"/>
        <v/>
      </c>
      <c r="Q2854" s="2"/>
      <c r="R2854" s="2"/>
      <c r="S2854" s="1" t="str">
        <f t="shared" si="359"/>
        <v/>
      </c>
      <c r="T2854" s="1" t="str">
        <f>IF(OR($C2854="",$D2854&lt;&gt;"Gelir",$L2854=""),"",IFERROR(INDEX(MUSTERILER!$B$7:$B$156,MATCH($S2854,MUSTERILER!$T$7:$T$156,0)),""))</f>
        <v/>
      </c>
      <c r="U2854" s="1" t="str">
        <f>IF($T2854="","",$T2854&amp;"|"&amp;COUNTIFS($T$7:$T2854,$T2854))</f>
        <v/>
      </c>
      <c r="V2854" s="1">
        <f t="shared" si="360"/>
        <v>0</v>
      </c>
      <c r="W2854" s="1" t="str">
        <f t="shared" si="361"/>
        <v/>
      </c>
      <c r="X2854" s="1"/>
      <c r="Y2854" s="1"/>
      <c r="Z2854" s="1"/>
      <c r="AA2854" s="1"/>
      <c r="AB2854" s="1"/>
      <c r="AC2854" s="1"/>
      <c r="AD2854" s="1">
        <f>IF($C2854="",0,SUMPRODUCT((AY_SONU!$O$7:$O$42="Evet")*(AY_SONU!$B$7:$B$42=DATE(YEAR($C2854),MONTH($C2854),1))))</f>
        <v>0</v>
      </c>
      <c r="AE2854" s="1" t="str">
        <f>IF($E2854="","",$E2854&amp;"|"&amp;COUNTIFS($E$7:$E2854,$E2854))</f>
        <v/>
      </c>
    </row>
    <row r="2855" spans="1:31" ht="18" customHeight="1" x14ac:dyDescent="0.3">
      <c r="A2855" s="2"/>
      <c r="B2855" s="65" t="str">
        <f t="shared" si="354"/>
        <v/>
      </c>
      <c r="C2855" s="66"/>
      <c r="D2855" s="60"/>
      <c r="E2855" s="61"/>
      <c r="F2855" s="61"/>
      <c r="G2855" s="67"/>
      <c r="H2855" s="60"/>
      <c r="I2855" s="60"/>
      <c r="J2855" s="61"/>
      <c r="K2855" s="61"/>
      <c r="L2855" s="60"/>
      <c r="M2855" s="74" t="str">
        <f t="shared" si="355"/>
        <v/>
      </c>
      <c r="N2855" s="74" t="str">
        <f t="shared" si="356"/>
        <v/>
      </c>
      <c r="O2855" s="73" t="str">
        <f t="shared" si="357"/>
        <v/>
      </c>
      <c r="P2855" s="65" t="str">
        <f t="shared" ca="1" si="358"/>
        <v/>
      </c>
      <c r="Q2855" s="2"/>
      <c r="R2855" s="2"/>
      <c r="S2855" s="1" t="str">
        <f t="shared" si="359"/>
        <v/>
      </c>
      <c r="T2855" s="1" t="str">
        <f>IF(OR($C2855="",$D2855&lt;&gt;"Gelir",$L2855=""),"",IFERROR(INDEX(MUSTERILER!$B$7:$B$156,MATCH($S2855,MUSTERILER!$T$7:$T$156,0)),""))</f>
        <v/>
      </c>
      <c r="U2855" s="1" t="str">
        <f>IF($T2855="","",$T2855&amp;"|"&amp;COUNTIFS($T$7:$T2855,$T2855))</f>
        <v/>
      </c>
      <c r="V2855" s="1">
        <f t="shared" si="360"/>
        <v>0</v>
      </c>
      <c r="W2855" s="1" t="str">
        <f t="shared" si="361"/>
        <v/>
      </c>
      <c r="X2855" s="1"/>
      <c r="Y2855" s="1"/>
      <c r="Z2855" s="1"/>
      <c r="AA2855" s="1"/>
      <c r="AB2855" s="1"/>
      <c r="AC2855" s="1"/>
      <c r="AD2855" s="1">
        <f>IF($C2855="",0,SUMPRODUCT((AY_SONU!$O$7:$O$42="Evet")*(AY_SONU!$B$7:$B$42=DATE(YEAR($C2855),MONTH($C2855),1))))</f>
        <v>0</v>
      </c>
      <c r="AE2855" s="1" t="str">
        <f>IF($E2855="","",$E2855&amp;"|"&amp;COUNTIFS($E$7:$E2855,$E2855))</f>
        <v/>
      </c>
    </row>
    <row r="2856" spans="1:31" ht="18" customHeight="1" x14ac:dyDescent="0.3">
      <c r="A2856" s="2"/>
      <c r="B2856" s="65" t="str">
        <f t="shared" si="354"/>
        <v/>
      </c>
      <c r="C2856" s="66"/>
      <c r="D2856" s="60"/>
      <c r="E2856" s="61"/>
      <c r="F2856" s="61"/>
      <c r="G2856" s="67"/>
      <c r="H2856" s="60"/>
      <c r="I2856" s="60"/>
      <c r="J2856" s="61"/>
      <c r="K2856" s="61"/>
      <c r="L2856" s="60"/>
      <c r="M2856" s="74" t="str">
        <f t="shared" si="355"/>
        <v/>
      </c>
      <c r="N2856" s="74" t="str">
        <f t="shared" si="356"/>
        <v/>
      </c>
      <c r="O2856" s="73" t="str">
        <f t="shared" si="357"/>
        <v/>
      </c>
      <c r="P2856" s="65" t="str">
        <f t="shared" ca="1" si="358"/>
        <v/>
      </c>
      <c r="Q2856" s="2"/>
      <c r="R2856" s="2"/>
      <c r="S2856" s="1" t="str">
        <f t="shared" si="359"/>
        <v/>
      </c>
      <c r="T2856" s="1" t="str">
        <f>IF(OR($C2856="",$D2856&lt;&gt;"Gelir",$L2856=""),"",IFERROR(INDEX(MUSTERILER!$B$7:$B$156,MATCH($S2856,MUSTERILER!$T$7:$T$156,0)),""))</f>
        <v/>
      </c>
      <c r="U2856" s="1" t="str">
        <f>IF($T2856="","",$T2856&amp;"|"&amp;COUNTIFS($T$7:$T2856,$T2856))</f>
        <v/>
      </c>
      <c r="V2856" s="1">
        <f t="shared" si="360"/>
        <v>0</v>
      </c>
      <c r="W2856" s="1" t="str">
        <f t="shared" si="361"/>
        <v/>
      </c>
      <c r="X2856" s="1"/>
      <c r="Y2856" s="1"/>
      <c r="Z2856" s="1"/>
      <c r="AA2856" s="1"/>
      <c r="AB2856" s="1"/>
      <c r="AC2856" s="1"/>
      <c r="AD2856" s="1">
        <f>IF($C2856="",0,SUMPRODUCT((AY_SONU!$O$7:$O$42="Evet")*(AY_SONU!$B$7:$B$42=DATE(YEAR($C2856),MONTH($C2856),1))))</f>
        <v>0</v>
      </c>
      <c r="AE2856" s="1" t="str">
        <f>IF($E2856="","",$E2856&amp;"|"&amp;COUNTIFS($E$7:$E2856,$E2856))</f>
        <v/>
      </c>
    </row>
    <row r="2857" spans="1:31" ht="18" customHeight="1" x14ac:dyDescent="0.3">
      <c r="A2857" s="2"/>
      <c r="B2857" s="65" t="str">
        <f t="shared" si="354"/>
        <v/>
      </c>
      <c r="C2857" s="66"/>
      <c r="D2857" s="60"/>
      <c r="E2857" s="61"/>
      <c r="F2857" s="61"/>
      <c r="G2857" s="67"/>
      <c r="H2857" s="60"/>
      <c r="I2857" s="60"/>
      <c r="J2857" s="61"/>
      <c r="K2857" s="61"/>
      <c r="L2857" s="60"/>
      <c r="M2857" s="74" t="str">
        <f t="shared" si="355"/>
        <v/>
      </c>
      <c r="N2857" s="74" t="str">
        <f t="shared" si="356"/>
        <v/>
      </c>
      <c r="O2857" s="73" t="str">
        <f t="shared" si="357"/>
        <v/>
      </c>
      <c r="P2857" s="65" t="str">
        <f t="shared" ca="1" si="358"/>
        <v/>
      </c>
      <c r="Q2857" s="2"/>
      <c r="R2857" s="2"/>
      <c r="S2857" s="1" t="str">
        <f t="shared" si="359"/>
        <v/>
      </c>
      <c r="T2857" s="1" t="str">
        <f>IF(OR($C2857="",$D2857&lt;&gt;"Gelir",$L2857=""),"",IFERROR(INDEX(MUSTERILER!$B$7:$B$156,MATCH($S2857,MUSTERILER!$T$7:$T$156,0)),""))</f>
        <v/>
      </c>
      <c r="U2857" s="1" t="str">
        <f>IF($T2857="","",$T2857&amp;"|"&amp;COUNTIFS($T$7:$T2857,$T2857))</f>
        <v/>
      </c>
      <c r="V2857" s="1">
        <f t="shared" si="360"/>
        <v>0</v>
      </c>
      <c r="W2857" s="1" t="str">
        <f t="shared" si="361"/>
        <v/>
      </c>
      <c r="X2857" s="1"/>
      <c r="Y2857" s="1"/>
      <c r="Z2857" s="1"/>
      <c r="AA2857" s="1"/>
      <c r="AB2857" s="1"/>
      <c r="AC2857" s="1"/>
      <c r="AD2857" s="1">
        <f>IF($C2857="",0,SUMPRODUCT((AY_SONU!$O$7:$O$42="Evet")*(AY_SONU!$B$7:$B$42=DATE(YEAR($C2857),MONTH($C2857),1))))</f>
        <v>0</v>
      </c>
      <c r="AE2857" s="1" t="str">
        <f>IF($E2857="","",$E2857&amp;"|"&amp;COUNTIFS($E$7:$E2857,$E2857))</f>
        <v/>
      </c>
    </row>
    <row r="2858" spans="1:31" ht="18" customHeight="1" x14ac:dyDescent="0.3">
      <c r="A2858" s="2"/>
      <c r="B2858" s="65" t="str">
        <f t="shared" si="354"/>
        <v/>
      </c>
      <c r="C2858" s="66"/>
      <c r="D2858" s="60"/>
      <c r="E2858" s="61"/>
      <c r="F2858" s="61"/>
      <c r="G2858" s="67"/>
      <c r="H2858" s="60"/>
      <c r="I2858" s="60"/>
      <c r="J2858" s="61"/>
      <c r="K2858" s="61"/>
      <c r="L2858" s="60"/>
      <c r="M2858" s="74" t="str">
        <f t="shared" si="355"/>
        <v/>
      </c>
      <c r="N2858" s="74" t="str">
        <f t="shared" si="356"/>
        <v/>
      </c>
      <c r="O2858" s="73" t="str">
        <f t="shared" si="357"/>
        <v/>
      </c>
      <c r="P2858" s="65" t="str">
        <f t="shared" ca="1" si="358"/>
        <v/>
      </c>
      <c r="Q2858" s="2"/>
      <c r="R2858" s="2"/>
      <c r="S2858" s="1" t="str">
        <f t="shared" si="359"/>
        <v/>
      </c>
      <c r="T2858" s="1" t="str">
        <f>IF(OR($C2858="",$D2858&lt;&gt;"Gelir",$L2858=""),"",IFERROR(INDEX(MUSTERILER!$B$7:$B$156,MATCH($S2858,MUSTERILER!$T$7:$T$156,0)),""))</f>
        <v/>
      </c>
      <c r="U2858" s="1" t="str">
        <f>IF($T2858="","",$T2858&amp;"|"&amp;COUNTIFS($T$7:$T2858,$T2858))</f>
        <v/>
      </c>
      <c r="V2858" s="1">
        <f t="shared" si="360"/>
        <v>0</v>
      </c>
      <c r="W2858" s="1" t="str">
        <f t="shared" si="361"/>
        <v/>
      </c>
      <c r="X2858" s="1"/>
      <c r="Y2858" s="1"/>
      <c r="Z2858" s="1"/>
      <c r="AA2858" s="1"/>
      <c r="AB2858" s="1"/>
      <c r="AC2858" s="1"/>
      <c r="AD2858" s="1">
        <f>IF($C2858="",0,SUMPRODUCT((AY_SONU!$O$7:$O$42="Evet")*(AY_SONU!$B$7:$B$42=DATE(YEAR($C2858),MONTH($C2858),1))))</f>
        <v>0</v>
      </c>
      <c r="AE2858" s="1" t="str">
        <f>IF($E2858="","",$E2858&amp;"|"&amp;COUNTIFS($E$7:$E2858,$E2858))</f>
        <v/>
      </c>
    </row>
    <row r="2859" spans="1:31" ht="18" customHeight="1" x14ac:dyDescent="0.3">
      <c r="A2859" s="2"/>
      <c r="B2859" s="65" t="str">
        <f t="shared" si="354"/>
        <v/>
      </c>
      <c r="C2859" s="66"/>
      <c r="D2859" s="60"/>
      <c r="E2859" s="61"/>
      <c r="F2859" s="61"/>
      <c r="G2859" s="67"/>
      <c r="H2859" s="60"/>
      <c r="I2859" s="60"/>
      <c r="J2859" s="61"/>
      <c r="K2859" s="61"/>
      <c r="L2859" s="60"/>
      <c r="M2859" s="74" t="str">
        <f t="shared" si="355"/>
        <v/>
      </c>
      <c r="N2859" s="74" t="str">
        <f t="shared" si="356"/>
        <v/>
      </c>
      <c r="O2859" s="73" t="str">
        <f t="shared" si="357"/>
        <v/>
      </c>
      <c r="P2859" s="65" t="str">
        <f t="shared" ca="1" si="358"/>
        <v/>
      </c>
      <c r="Q2859" s="2"/>
      <c r="R2859" s="2"/>
      <c r="S2859" s="1" t="str">
        <f t="shared" si="359"/>
        <v/>
      </c>
      <c r="T2859" s="1" t="str">
        <f>IF(OR($C2859="",$D2859&lt;&gt;"Gelir",$L2859=""),"",IFERROR(INDEX(MUSTERILER!$B$7:$B$156,MATCH($S2859,MUSTERILER!$T$7:$T$156,0)),""))</f>
        <v/>
      </c>
      <c r="U2859" s="1" t="str">
        <f>IF($T2859="","",$T2859&amp;"|"&amp;COUNTIFS($T$7:$T2859,$T2859))</f>
        <v/>
      </c>
      <c r="V2859" s="1">
        <f t="shared" si="360"/>
        <v>0</v>
      </c>
      <c r="W2859" s="1" t="str">
        <f t="shared" si="361"/>
        <v/>
      </c>
      <c r="X2859" s="1"/>
      <c r="Y2859" s="1"/>
      <c r="Z2859" s="1"/>
      <c r="AA2859" s="1"/>
      <c r="AB2859" s="1"/>
      <c r="AC2859" s="1"/>
      <c r="AD2859" s="1">
        <f>IF($C2859="",0,SUMPRODUCT((AY_SONU!$O$7:$O$42="Evet")*(AY_SONU!$B$7:$B$42=DATE(YEAR($C2859),MONTH($C2859),1))))</f>
        <v>0</v>
      </c>
      <c r="AE2859" s="1" t="str">
        <f>IF($E2859="","",$E2859&amp;"|"&amp;COUNTIFS($E$7:$E2859,$E2859))</f>
        <v/>
      </c>
    </row>
    <row r="2860" spans="1:31" ht="18" customHeight="1" x14ac:dyDescent="0.3">
      <c r="A2860" s="2"/>
      <c r="B2860" s="65" t="str">
        <f t="shared" si="354"/>
        <v/>
      </c>
      <c r="C2860" s="66"/>
      <c r="D2860" s="60"/>
      <c r="E2860" s="61"/>
      <c r="F2860" s="61"/>
      <c r="G2860" s="67"/>
      <c r="H2860" s="60"/>
      <c r="I2860" s="60"/>
      <c r="J2860" s="61"/>
      <c r="K2860" s="61"/>
      <c r="L2860" s="60"/>
      <c r="M2860" s="74" t="str">
        <f t="shared" si="355"/>
        <v/>
      </c>
      <c r="N2860" s="74" t="str">
        <f t="shared" si="356"/>
        <v/>
      </c>
      <c r="O2860" s="73" t="str">
        <f t="shared" si="357"/>
        <v/>
      </c>
      <c r="P2860" s="65" t="str">
        <f t="shared" ca="1" si="358"/>
        <v/>
      </c>
      <c r="Q2860" s="2"/>
      <c r="R2860" s="2"/>
      <c r="S2860" s="1" t="str">
        <f t="shared" si="359"/>
        <v/>
      </c>
      <c r="T2860" s="1" t="str">
        <f>IF(OR($C2860="",$D2860&lt;&gt;"Gelir",$L2860=""),"",IFERROR(INDEX(MUSTERILER!$B$7:$B$156,MATCH($S2860,MUSTERILER!$T$7:$T$156,0)),""))</f>
        <v/>
      </c>
      <c r="U2860" s="1" t="str">
        <f>IF($T2860="","",$T2860&amp;"|"&amp;COUNTIFS($T$7:$T2860,$T2860))</f>
        <v/>
      </c>
      <c r="V2860" s="1">
        <f t="shared" si="360"/>
        <v>0</v>
      </c>
      <c r="W2860" s="1" t="str">
        <f t="shared" si="361"/>
        <v/>
      </c>
      <c r="X2860" s="1"/>
      <c r="Y2860" s="1"/>
      <c r="Z2860" s="1"/>
      <c r="AA2860" s="1"/>
      <c r="AB2860" s="1"/>
      <c r="AC2860" s="1"/>
      <c r="AD2860" s="1">
        <f>IF($C2860="",0,SUMPRODUCT((AY_SONU!$O$7:$O$42="Evet")*(AY_SONU!$B$7:$B$42=DATE(YEAR($C2860),MONTH($C2860),1))))</f>
        <v>0</v>
      </c>
      <c r="AE2860" s="1" t="str">
        <f>IF($E2860="","",$E2860&amp;"|"&amp;COUNTIFS($E$7:$E2860,$E2860))</f>
        <v/>
      </c>
    </row>
    <row r="2861" spans="1:31" ht="18" customHeight="1" x14ac:dyDescent="0.3">
      <c r="A2861" s="2"/>
      <c r="B2861" s="65" t="str">
        <f t="shared" si="354"/>
        <v/>
      </c>
      <c r="C2861" s="66"/>
      <c r="D2861" s="60"/>
      <c r="E2861" s="61"/>
      <c r="F2861" s="61"/>
      <c r="G2861" s="67"/>
      <c r="H2861" s="60"/>
      <c r="I2861" s="60"/>
      <c r="J2861" s="61"/>
      <c r="K2861" s="61"/>
      <c r="L2861" s="60"/>
      <c r="M2861" s="74" t="str">
        <f t="shared" si="355"/>
        <v/>
      </c>
      <c r="N2861" s="74" t="str">
        <f t="shared" si="356"/>
        <v/>
      </c>
      <c r="O2861" s="73" t="str">
        <f t="shared" si="357"/>
        <v/>
      </c>
      <c r="P2861" s="65" t="str">
        <f t="shared" ca="1" si="358"/>
        <v/>
      </c>
      <c r="Q2861" s="2"/>
      <c r="R2861" s="2"/>
      <c r="S2861" s="1" t="str">
        <f t="shared" si="359"/>
        <v/>
      </c>
      <c r="T2861" s="1" t="str">
        <f>IF(OR($C2861="",$D2861&lt;&gt;"Gelir",$L2861=""),"",IFERROR(INDEX(MUSTERILER!$B$7:$B$156,MATCH($S2861,MUSTERILER!$T$7:$T$156,0)),""))</f>
        <v/>
      </c>
      <c r="U2861" s="1" t="str">
        <f>IF($T2861="","",$T2861&amp;"|"&amp;COUNTIFS($T$7:$T2861,$T2861))</f>
        <v/>
      </c>
      <c r="V2861" s="1">
        <f t="shared" si="360"/>
        <v>0</v>
      </c>
      <c r="W2861" s="1" t="str">
        <f t="shared" si="361"/>
        <v/>
      </c>
      <c r="X2861" s="1"/>
      <c r="Y2861" s="1"/>
      <c r="Z2861" s="1"/>
      <c r="AA2861" s="1"/>
      <c r="AB2861" s="1"/>
      <c r="AC2861" s="1"/>
      <c r="AD2861" s="1">
        <f>IF($C2861="",0,SUMPRODUCT((AY_SONU!$O$7:$O$42="Evet")*(AY_SONU!$B$7:$B$42=DATE(YEAR($C2861),MONTH($C2861),1))))</f>
        <v>0</v>
      </c>
      <c r="AE2861" s="1" t="str">
        <f>IF($E2861="","",$E2861&amp;"|"&amp;COUNTIFS($E$7:$E2861,$E2861))</f>
        <v/>
      </c>
    </row>
    <row r="2862" spans="1:31" ht="18" customHeight="1" x14ac:dyDescent="0.3">
      <c r="A2862" s="2"/>
      <c r="B2862" s="65" t="str">
        <f t="shared" si="354"/>
        <v/>
      </c>
      <c r="C2862" s="66"/>
      <c r="D2862" s="60"/>
      <c r="E2862" s="61"/>
      <c r="F2862" s="61"/>
      <c r="G2862" s="67"/>
      <c r="H2862" s="60"/>
      <c r="I2862" s="60"/>
      <c r="J2862" s="61"/>
      <c r="K2862" s="61"/>
      <c r="L2862" s="60"/>
      <c r="M2862" s="74" t="str">
        <f t="shared" si="355"/>
        <v/>
      </c>
      <c r="N2862" s="74" t="str">
        <f t="shared" si="356"/>
        <v/>
      </c>
      <c r="O2862" s="73" t="str">
        <f t="shared" si="357"/>
        <v/>
      </c>
      <c r="P2862" s="65" t="str">
        <f t="shared" ca="1" si="358"/>
        <v/>
      </c>
      <c r="Q2862" s="2"/>
      <c r="R2862" s="2"/>
      <c r="S2862" s="1" t="str">
        <f t="shared" si="359"/>
        <v/>
      </c>
      <c r="T2862" s="1" t="str">
        <f>IF(OR($C2862="",$D2862&lt;&gt;"Gelir",$L2862=""),"",IFERROR(INDEX(MUSTERILER!$B$7:$B$156,MATCH($S2862,MUSTERILER!$T$7:$T$156,0)),""))</f>
        <v/>
      </c>
      <c r="U2862" s="1" t="str">
        <f>IF($T2862="","",$T2862&amp;"|"&amp;COUNTIFS($T$7:$T2862,$T2862))</f>
        <v/>
      </c>
      <c r="V2862" s="1">
        <f t="shared" si="360"/>
        <v>0</v>
      </c>
      <c r="W2862" s="1" t="str">
        <f t="shared" si="361"/>
        <v/>
      </c>
      <c r="X2862" s="1"/>
      <c r="Y2862" s="1"/>
      <c r="Z2862" s="1"/>
      <c r="AA2862" s="1"/>
      <c r="AB2862" s="1"/>
      <c r="AC2862" s="1"/>
      <c r="AD2862" s="1">
        <f>IF($C2862="",0,SUMPRODUCT((AY_SONU!$O$7:$O$42="Evet")*(AY_SONU!$B$7:$B$42=DATE(YEAR($C2862),MONTH($C2862),1))))</f>
        <v>0</v>
      </c>
      <c r="AE2862" s="1" t="str">
        <f>IF($E2862="","",$E2862&amp;"|"&amp;COUNTIFS($E$7:$E2862,$E2862))</f>
        <v/>
      </c>
    </row>
    <row r="2863" spans="1:31" ht="18" customHeight="1" x14ac:dyDescent="0.3">
      <c r="A2863" s="2"/>
      <c r="B2863" s="65" t="str">
        <f t="shared" si="354"/>
        <v/>
      </c>
      <c r="C2863" s="66"/>
      <c r="D2863" s="60"/>
      <c r="E2863" s="61"/>
      <c r="F2863" s="61"/>
      <c r="G2863" s="67"/>
      <c r="H2863" s="60"/>
      <c r="I2863" s="60"/>
      <c r="J2863" s="61"/>
      <c r="K2863" s="61"/>
      <c r="L2863" s="60"/>
      <c r="M2863" s="74" t="str">
        <f t="shared" si="355"/>
        <v/>
      </c>
      <c r="N2863" s="74" t="str">
        <f t="shared" si="356"/>
        <v/>
      </c>
      <c r="O2863" s="73" t="str">
        <f t="shared" si="357"/>
        <v/>
      </c>
      <c r="P2863" s="65" t="str">
        <f t="shared" ca="1" si="358"/>
        <v/>
      </c>
      <c r="Q2863" s="2"/>
      <c r="R2863" s="2"/>
      <c r="S2863" s="1" t="str">
        <f t="shared" si="359"/>
        <v/>
      </c>
      <c r="T2863" s="1" t="str">
        <f>IF(OR($C2863="",$D2863&lt;&gt;"Gelir",$L2863=""),"",IFERROR(INDEX(MUSTERILER!$B$7:$B$156,MATCH($S2863,MUSTERILER!$T$7:$T$156,0)),""))</f>
        <v/>
      </c>
      <c r="U2863" s="1" t="str">
        <f>IF($T2863="","",$T2863&amp;"|"&amp;COUNTIFS($T$7:$T2863,$T2863))</f>
        <v/>
      </c>
      <c r="V2863" s="1">
        <f t="shared" si="360"/>
        <v>0</v>
      </c>
      <c r="W2863" s="1" t="str">
        <f t="shared" si="361"/>
        <v/>
      </c>
      <c r="X2863" s="1"/>
      <c r="Y2863" s="1"/>
      <c r="Z2863" s="1"/>
      <c r="AA2863" s="1"/>
      <c r="AB2863" s="1"/>
      <c r="AC2863" s="1"/>
      <c r="AD2863" s="1">
        <f>IF($C2863="",0,SUMPRODUCT((AY_SONU!$O$7:$O$42="Evet")*(AY_SONU!$B$7:$B$42=DATE(YEAR($C2863),MONTH($C2863),1))))</f>
        <v>0</v>
      </c>
      <c r="AE2863" s="1" t="str">
        <f>IF($E2863="","",$E2863&amp;"|"&amp;COUNTIFS($E$7:$E2863,$E2863))</f>
        <v/>
      </c>
    </row>
    <row r="2864" spans="1:31" ht="18" customHeight="1" x14ac:dyDescent="0.3">
      <c r="A2864" s="2"/>
      <c r="B2864" s="65" t="str">
        <f t="shared" si="354"/>
        <v/>
      </c>
      <c r="C2864" s="66"/>
      <c r="D2864" s="60"/>
      <c r="E2864" s="61"/>
      <c r="F2864" s="61"/>
      <c r="G2864" s="67"/>
      <c r="H2864" s="60"/>
      <c r="I2864" s="60"/>
      <c r="J2864" s="61"/>
      <c r="K2864" s="61"/>
      <c r="L2864" s="60"/>
      <c r="M2864" s="74" t="str">
        <f t="shared" si="355"/>
        <v/>
      </c>
      <c r="N2864" s="74" t="str">
        <f t="shared" si="356"/>
        <v/>
      </c>
      <c r="O2864" s="73" t="str">
        <f t="shared" si="357"/>
        <v/>
      </c>
      <c r="P2864" s="65" t="str">
        <f t="shared" ca="1" si="358"/>
        <v/>
      </c>
      <c r="Q2864" s="2"/>
      <c r="R2864" s="2"/>
      <c r="S2864" s="1" t="str">
        <f t="shared" si="359"/>
        <v/>
      </c>
      <c r="T2864" s="1" t="str">
        <f>IF(OR($C2864="",$D2864&lt;&gt;"Gelir",$L2864=""),"",IFERROR(INDEX(MUSTERILER!$B$7:$B$156,MATCH($S2864,MUSTERILER!$T$7:$T$156,0)),""))</f>
        <v/>
      </c>
      <c r="U2864" s="1" t="str">
        <f>IF($T2864="","",$T2864&amp;"|"&amp;COUNTIFS($T$7:$T2864,$T2864))</f>
        <v/>
      </c>
      <c r="V2864" s="1">
        <f t="shared" si="360"/>
        <v>0</v>
      </c>
      <c r="W2864" s="1" t="str">
        <f t="shared" si="361"/>
        <v/>
      </c>
      <c r="X2864" s="1"/>
      <c r="Y2864" s="1"/>
      <c r="Z2864" s="1"/>
      <c r="AA2864" s="1"/>
      <c r="AB2864" s="1"/>
      <c r="AC2864" s="1"/>
      <c r="AD2864" s="1">
        <f>IF($C2864="",0,SUMPRODUCT((AY_SONU!$O$7:$O$42="Evet")*(AY_SONU!$B$7:$B$42=DATE(YEAR($C2864),MONTH($C2864),1))))</f>
        <v>0</v>
      </c>
      <c r="AE2864" s="1" t="str">
        <f>IF($E2864="","",$E2864&amp;"|"&amp;COUNTIFS($E$7:$E2864,$E2864))</f>
        <v/>
      </c>
    </row>
    <row r="2865" spans="1:31" ht="18" customHeight="1" x14ac:dyDescent="0.3">
      <c r="A2865" s="2"/>
      <c r="B2865" s="65" t="str">
        <f t="shared" si="354"/>
        <v/>
      </c>
      <c r="C2865" s="66"/>
      <c r="D2865" s="60"/>
      <c r="E2865" s="61"/>
      <c r="F2865" s="61"/>
      <c r="G2865" s="67"/>
      <c r="H2865" s="60"/>
      <c r="I2865" s="60"/>
      <c r="J2865" s="61"/>
      <c r="K2865" s="61"/>
      <c r="L2865" s="60"/>
      <c r="M2865" s="74" t="str">
        <f t="shared" si="355"/>
        <v/>
      </c>
      <c r="N2865" s="74" t="str">
        <f t="shared" si="356"/>
        <v/>
      </c>
      <c r="O2865" s="73" t="str">
        <f t="shared" si="357"/>
        <v/>
      </c>
      <c r="P2865" s="65" t="str">
        <f t="shared" ca="1" si="358"/>
        <v/>
      </c>
      <c r="Q2865" s="2"/>
      <c r="R2865" s="2"/>
      <c r="S2865" s="1" t="str">
        <f t="shared" si="359"/>
        <v/>
      </c>
      <c r="T2865" s="1" t="str">
        <f>IF(OR($C2865="",$D2865&lt;&gt;"Gelir",$L2865=""),"",IFERROR(INDEX(MUSTERILER!$B$7:$B$156,MATCH($S2865,MUSTERILER!$T$7:$T$156,0)),""))</f>
        <v/>
      </c>
      <c r="U2865" s="1" t="str">
        <f>IF($T2865="","",$T2865&amp;"|"&amp;COUNTIFS($T$7:$T2865,$T2865))</f>
        <v/>
      </c>
      <c r="V2865" s="1">
        <f t="shared" si="360"/>
        <v>0</v>
      </c>
      <c r="W2865" s="1" t="str">
        <f t="shared" si="361"/>
        <v/>
      </c>
      <c r="X2865" s="1"/>
      <c r="Y2865" s="1"/>
      <c r="Z2865" s="1"/>
      <c r="AA2865" s="1"/>
      <c r="AB2865" s="1"/>
      <c r="AC2865" s="1"/>
      <c r="AD2865" s="1">
        <f>IF($C2865="",0,SUMPRODUCT((AY_SONU!$O$7:$O$42="Evet")*(AY_SONU!$B$7:$B$42=DATE(YEAR($C2865),MONTH($C2865),1))))</f>
        <v>0</v>
      </c>
      <c r="AE2865" s="1" t="str">
        <f>IF($E2865="","",$E2865&amp;"|"&amp;COUNTIFS($E$7:$E2865,$E2865))</f>
        <v/>
      </c>
    </row>
    <row r="2866" spans="1:31" ht="18" customHeight="1" x14ac:dyDescent="0.3">
      <c r="A2866" s="2"/>
      <c r="B2866" s="65" t="str">
        <f t="shared" si="354"/>
        <v/>
      </c>
      <c r="C2866" s="66"/>
      <c r="D2866" s="60"/>
      <c r="E2866" s="61"/>
      <c r="F2866" s="61"/>
      <c r="G2866" s="67"/>
      <c r="H2866" s="60"/>
      <c r="I2866" s="60"/>
      <c r="J2866" s="61"/>
      <c r="K2866" s="61"/>
      <c r="L2866" s="60"/>
      <c r="M2866" s="74" t="str">
        <f t="shared" si="355"/>
        <v/>
      </c>
      <c r="N2866" s="74" t="str">
        <f t="shared" si="356"/>
        <v/>
      </c>
      <c r="O2866" s="73" t="str">
        <f t="shared" si="357"/>
        <v/>
      </c>
      <c r="P2866" s="65" t="str">
        <f t="shared" ca="1" si="358"/>
        <v/>
      </c>
      <c r="Q2866" s="2"/>
      <c r="R2866" s="2"/>
      <c r="S2866" s="1" t="str">
        <f t="shared" si="359"/>
        <v/>
      </c>
      <c r="T2866" s="1" t="str">
        <f>IF(OR($C2866="",$D2866&lt;&gt;"Gelir",$L2866=""),"",IFERROR(INDEX(MUSTERILER!$B$7:$B$156,MATCH($S2866,MUSTERILER!$T$7:$T$156,0)),""))</f>
        <v/>
      </c>
      <c r="U2866" s="1" t="str">
        <f>IF($T2866="","",$T2866&amp;"|"&amp;COUNTIFS($T$7:$T2866,$T2866))</f>
        <v/>
      </c>
      <c r="V2866" s="1">
        <f t="shared" si="360"/>
        <v>0</v>
      </c>
      <c r="W2866" s="1" t="str">
        <f t="shared" si="361"/>
        <v/>
      </c>
      <c r="X2866" s="1"/>
      <c r="Y2866" s="1"/>
      <c r="Z2866" s="1"/>
      <c r="AA2866" s="1"/>
      <c r="AB2866" s="1"/>
      <c r="AC2866" s="1"/>
      <c r="AD2866" s="1">
        <f>IF($C2866="",0,SUMPRODUCT((AY_SONU!$O$7:$O$42="Evet")*(AY_SONU!$B$7:$B$42=DATE(YEAR($C2866),MONTH($C2866),1))))</f>
        <v>0</v>
      </c>
      <c r="AE2866" s="1" t="str">
        <f>IF($E2866="","",$E2866&amp;"|"&amp;COUNTIFS($E$7:$E2866,$E2866))</f>
        <v/>
      </c>
    </row>
    <row r="2867" spans="1:31" ht="18" customHeight="1" x14ac:dyDescent="0.3">
      <c r="A2867" s="2"/>
      <c r="B2867" s="65" t="str">
        <f t="shared" si="354"/>
        <v/>
      </c>
      <c r="C2867" s="66"/>
      <c r="D2867" s="60"/>
      <c r="E2867" s="61"/>
      <c r="F2867" s="61"/>
      <c r="G2867" s="67"/>
      <c r="H2867" s="60"/>
      <c r="I2867" s="60"/>
      <c r="J2867" s="61"/>
      <c r="K2867" s="61"/>
      <c r="L2867" s="60"/>
      <c r="M2867" s="74" t="str">
        <f t="shared" si="355"/>
        <v/>
      </c>
      <c r="N2867" s="74" t="str">
        <f t="shared" si="356"/>
        <v/>
      </c>
      <c r="O2867" s="73" t="str">
        <f t="shared" si="357"/>
        <v/>
      </c>
      <c r="P2867" s="65" t="str">
        <f t="shared" ca="1" si="358"/>
        <v/>
      </c>
      <c r="Q2867" s="2"/>
      <c r="R2867" s="2"/>
      <c r="S2867" s="1" t="str">
        <f t="shared" si="359"/>
        <v/>
      </c>
      <c r="T2867" s="1" t="str">
        <f>IF(OR($C2867="",$D2867&lt;&gt;"Gelir",$L2867=""),"",IFERROR(INDEX(MUSTERILER!$B$7:$B$156,MATCH($S2867,MUSTERILER!$T$7:$T$156,0)),""))</f>
        <v/>
      </c>
      <c r="U2867" s="1" t="str">
        <f>IF($T2867="","",$T2867&amp;"|"&amp;COUNTIFS($T$7:$T2867,$T2867))</f>
        <v/>
      </c>
      <c r="V2867" s="1">
        <f t="shared" si="360"/>
        <v>0</v>
      </c>
      <c r="W2867" s="1" t="str">
        <f t="shared" si="361"/>
        <v/>
      </c>
      <c r="X2867" s="1"/>
      <c r="Y2867" s="1"/>
      <c r="Z2867" s="1"/>
      <c r="AA2867" s="1"/>
      <c r="AB2867" s="1"/>
      <c r="AC2867" s="1"/>
      <c r="AD2867" s="1">
        <f>IF($C2867="",0,SUMPRODUCT((AY_SONU!$O$7:$O$42="Evet")*(AY_SONU!$B$7:$B$42=DATE(YEAR($C2867),MONTH($C2867),1))))</f>
        <v>0</v>
      </c>
      <c r="AE2867" s="1" t="str">
        <f>IF($E2867="","",$E2867&amp;"|"&amp;COUNTIFS($E$7:$E2867,$E2867))</f>
        <v/>
      </c>
    </row>
    <row r="2868" spans="1:31" ht="18" customHeight="1" x14ac:dyDescent="0.3">
      <c r="A2868" s="2"/>
      <c r="B2868" s="65" t="str">
        <f t="shared" si="354"/>
        <v/>
      </c>
      <c r="C2868" s="66"/>
      <c r="D2868" s="60"/>
      <c r="E2868" s="61"/>
      <c r="F2868" s="61"/>
      <c r="G2868" s="67"/>
      <c r="H2868" s="60"/>
      <c r="I2868" s="60"/>
      <c r="J2868" s="61"/>
      <c r="K2868" s="61"/>
      <c r="L2868" s="60"/>
      <c r="M2868" s="74" t="str">
        <f t="shared" si="355"/>
        <v/>
      </c>
      <c r="N2868" s="74" t="str">
        <f t="shared" si="356"/>
        <v/>
      </c>
      <c r="O2868" s="73" t="str">
        <f t="shared" si="357"/>
        <v/>
      </c>
      <c r="P2868" s="65" t="str">
        <f t="shared" ca="1" si="358"/>
        <v/>
      </c>
      <c r="Q2868" s="2"/>
      <c r="R2868" s="2"/>
      <c r="S2868" s="1" t="str">
        <f t="shared" si="359"/>
        <v/>
      </c>
      <c r="T2868" s="1" t="str">
        <f>IF(OR($C2868="",$D2868&lt;&gt;"Gelir",$L2868=""),"",IFERROR(INDEX(MUSTERILER!$B$7:$B$156,MATCH($S2868,MUSTERILER!$T$7:$T$156,0)),""))</f>
        <v/>
      </c>
      <c r="U2868" s="1" t="str">
        <f>IF($T2868="","",$T2868&amp;"|"&amp;COUNTIFS($T$7:$T2868,$T2868))</f>
        <v/>
      </c>
      <c r="V2868" s="1">
        <f t="shared" si="360"/>
        <v>0</v>
      </c>
      <c r="W2868" s="1" t="str">
        <f t="shared" si="361"/>
        <v/>
      </c>
      <c r="X2868" s="1"/>
      <c r="Y2868" s="1"/>
      <c r="Z2868" s="1"/>
      <c r="AA2868" s="1"/>
      <c r="AB2868" s="1"/>
      <c r="AC2868" s="1"/>
      <c r="AD2868" s="1">
        <f>IF($C2868="",0,SUMPRODUCT((AY_SONU!$O$7:$O$42="Evet")*(AY_SONU!$B$7:$B$42=DATE(YEAR($C2868),MONTH($C2868),1))))</f>
        <v>0</v>
      </c>
      <c r="AE2868" s="1" t="str">
        <f>IF($E2868="","",$E2868&amp;"|"&amp;COUNTIFS($E$7:$E2868,$E2868))</f>
        <v/>
      </c>
    </row>
    <row r="2869" spans="1:31" ht="18" customHeight="1" x14ac:dyDescent="0.3">
      <c r="A2869" s="2"/>
      <c r="B2869" s="65" t="str">
        <f t="shared" si="354"/>
        <v/>
      </c>
      <c r="C2869" s="66"/>
      <c r="D2869" s="60"/>
      <c r="E2869" s="61"/>
      <c r="F2869" s="61"/>
      <c r="G2869" s="67"/>
      <c r="H2869" s="60"/>
      <c r="I2869" s="60"/>
      <c r="J2869" s="61"/>
      <c r="K2869" s="61"/>
      <c r="L2869" s="60"/>
      <c r="M2869" s="74" t="str">
        <f t="shared" si="355"/>
        <v/>
      </c>
      <c r="N2869" s="74" t="str">
        <f t="shared" si="356"/>
        <v/>
      </c>
      <c r="O2869" s="73" t="str">
        <f t="shared" si="357"/>
        <v/>
      </c>
      <c r="P2869" s="65" t="str">
        <f t="shared" ca="1" si="358"/>
        <v/>
      </c>
      <c r="Q2869" s="2"/>
      <c r="R2869" s="2"/>
      <c r="S2869" s="1" t="str">
        <f t="shared" si="359"/>
        <v/>
      </c>
      <c r="T2869" s="1" t="str">
        <f>IF(OR($C2869="",$D2869&lt;&gt;"Gelir",$L2869=""),"",IFERROR(INDEX(MUSTERILER!$B$7:$B$156,MATCH($S2869,MUSTERILER!$T$7:$T$156,0)),""))</f>
        <v/>
      </c>
      <c r="U2869" s="1" t="str">
        <f>IF($T2869="","",$T2869&amp;"|"&amp;COUNTIFS($T$7:$T2869,$T2869))</f>
        <v/>
      </c>
      <c r="V2869" s="1">
        <f t="shared" si="360"/>
        <v>0</v>
      </c>
      <c r="W2869" s="1" t="str">
        <f t="shared" si="361"/>
        <v/>
      </c>
      <c r="X2869" s="1"/>
      <c r="Y2869" s="1"/>
      <c r="Z2869" s="1"/>
      <c r="AA2869" s="1"/>
      <c r="AB2869" s="1"/>
      <c r="AC2869" s="1"/>
      <c r="AD2869" s="1">
        <f>IF($C2869="",0,SUMPRODUCT((AY_SONU!$O$7:$O$42="Evet")*(AY_SONU!$B$7:$B$42=DATE(YEAR($C2869),MONTH($C2869),1))))</f>
        <v>0</v>
      </c>
      <c r="AE2869" s="1" t="str">
        <f>IF($E2869="","",$E2869&amp;"|"&amp;COUNTIFS($E$7:$E2869,$E2869))</f>
        <v/>
      </c>
    </row>
    <row r="2870" spans="1:31" ht="18" customHeight="1" x14ac:dyDescent="0.3">
      <c r="A2870" s="2"/>
      <c r="B2870" s="65" t="str">
        <f t="shared" si="354"/>
        <v/>
      </c>
      <c r="C2870" s="66"/>
      <c r="D2870" s="60"/>
      <c r="E2870" s="61"/>
      <c r="F2870" s="61"/>
      <c r="G2870" s="67"/>
      <c r="H2870" s="60"/>
      <c r="I2870" s="60"/>
      <c r="J2870" s="61"/>
      <c r="K2870" s="61"/>
      <c r="L2870" s="60"/>
      <c r="M2870" s="74" t="str">
        <f t="shared" si="355"/>
        <v/>
      </c>
      <c r="N2870" s="74" t="str">
        <f t="shared" si="356"/>
        <v/>
      </c>
      <c r="O2870" s="73" t="str">
        <f t="shared" si="357"/>
        <v/>
      </c>
      <c r="P2870" s="65" t="str">
        <f t="shared" ca="1" si="358"/>
        <v/>
      </c>
      <c r="Q2870" s="2"/>
      <c r="R2870" s="2"/>
      <c r="S2870" s="1" t="str">
        <f t="shared" si="359"/>
        <v/>
      </c>
      <c r="T2870" s="1" t="str">
        <f>IF(OR($C2870="",$D2870&lt;&gt;"Gelir",$L2870=""),"",IFERROR(INDEX(MUSTERILER!$B$7:$B$156,MATCH($S2870,MUSTERILER!$T$7:$T$156,0)),""))</f>
        <v/>
      </c>
      <c r="U2870" s="1" t="str">
        <f>IF($T2870="","",$T2870&amp;"|"&amp;COUNTIFS($T$7:$T2870,$T2870))</f>
        <v/>
      </c>
      <c r="V2870" s="1">
        <f t="shared" si="360"/>
        <v>0</v>
      </c>
      <c r="W2870" s="1" t="str">
        <f t="shared" si="361"/>
        <v/>
      </c>
      <c r="X2870" s="1"/>
      <c r="Y2870" s="1"/>
      <c r="Z2870" s="1"/>
      <c r="AA2870" s="1"/>
      <c r="AB2870" s="1"/>
      <c r="AC2870" s="1"/>
      <c r="AD2870" s="1">
        <f>IF($C2870="",0,SUMPRODUCT((AY_SONU!$O$7:$O$42="Evet")*(AY_SONU!$B$7:$B$42=DATE(YEAR($C2870),MONTH($C2870),1))))</f>
        <v>0</v>
      </c>
      <c r="AE2870" s="1" t="str">
        <f>IF($E2870="","",$E2870&amp;"|"&amp;COUNTIFS($E$7:$E2870,$E2870))</f>
        <v/>
      </c>
    </row>
    <row r="2871" spans="1:31" ht="18" customHeight="1" x14ac:dyDescent="0.3">
      <c r="A2871" s="2"/>
      <c r="B2871" s="65" t="str">
        <f t="shared" si="354"/>
        <v/>
      </c>
      <c r="C2871" s="66"/>
      <c r="D2871" s="60"/>
      <c r="E2871" s="61"/>
      <c r="F2871" s="61"/>
      <c r="G2871" s="67"/>
      <c r="H2871" s="60"/>
      <c r="I2871" s="60"/>
      <c r="J2871" s="61"/>
      <c r="K2871" s="61"/>
      <c r="L2871" s="60"/>
      <c r="M2871" s="74" t="str">
        <f t="shared" si="355"/>
        <v/>
      </c>
      <c r="N2871" s="74" t="str">
        <f t="shared" si="356"/>
        <v/>
      </c>
      <c r="O2871" s="73" t="str">
        <f t="shared" si="357"/>
        <v/>
      </c>
      <c r="P2871" s="65" t="str">
        <f t="shared" ca="1" si="358"/>
        <v/>
      </c>
      <c r="Q2871" s="2"/>
      <c r="R2871" s="2"/>
      <c r="S2871" s="1" t="str">
        <f t="shared" si="359"/>
        <v/>
      </c>
      <c r="T2871" s="1" t="str">
        <f>IF(OR($C2871="",$D2871&lt;&gt;"Gelir",$L2871=""),"",IFERROR(INDEX(MUSTERILER!$B$7:$B$156,MATCH($S2871,MUSTERILER!$T$7:$T$156,0)),""))</f>
        <v/>
      </c>
      <c r="U2871" s="1" t="str">
        <f>IF($T2871="","",$T2871&amp;"|"&amp;COUNTIFS($T$7:$T2871,$T2871))</f>
        <v/>
      </c>
      <c r="V2871" s="1">
        <f t="shared" si="360"/>
        <v>0</v>
      </c>
      <c r="W2871" s="1" t="str">
        <f t="shared" si="361"/>
        <v/>
      </c>
      <c r="X2871" s="1"/>
      <c r="Y2871" s="1"/>
      <c r="Z2871" s="1"/>
      <c r="AA2871" s="1"/>
      <c r="AB2871" s="1"/>
      <c r="AC2871" s="1"/>
      <c r="AD2871" s="1">
        <f>IF($C2871="",0,SUMPRODUCT((AY_SONU!$O$7:$O$42="Evet")*(AY_SONU!$B$7:$B$42=DATE(YEAR($C2871),MONTH($C2871),1))))</f>
        <v>0</v>
      </c>
      <c r="AE2871" s="1" t="str">
        <f>IF($E2871="","",$E2871&amp;"|"&amp;COUNTIFS($E$7:$E2871,$E2871))</f>
        <v/>
      </c>
    </row>
    <row r="2872" spans="1:31" ht="18" customHeight="1" x14ac:dyDescent="0.3">
      <c r="A2872" s="2"/>
      <c r="B2872" s="65" t="str">
        <f t="shared" si="354"/>
        <v/>
      </c>
      <c r="C2872" s="66"/>
      <c r="D2872" s="60"/>
      <c r="E2872" s="61"/>
      <c r="F2872" s="61"/>
      <c r="G2872" s="67"/>
      <c r="H2872" s="60"/>
      <c r="I2872" s="60"/>
      <c r="J2872" s="61"/>
      <c r="K2872" s="61"/>
      <c r="L2872" s="60"/>
      <c r="M2872" s="74" t="str">
        <f t="shared" si="355"/>
        <v/>
      </c>
      <c r="N2872" s="74" t="str">
        <f t="shared" si="356"/>
        <v/>
      </c>
      <c r="O2872" s="73" t="str">
        <f t="shared" si="357"/>
        <v/>
      </c>
      <c r="P2872" s="65" t="str">
        <f t="shared" ca="1" si="358"/>
        <v/>
      </c>
      <c r="Q2872" s="2"/>
      <c r="R2872" s="2"/>
      <c r="S2872" s="1" t="str">
        <f t="shared" si="359"/>
        <v/>
      </c>
      <c r="T2872" s="1" t="str">
        <f>IF(OR($C2872="",$D2872&lt;&gt;"Gelir",$L2872=""),"",IFERROR(INDEX(MUSTERILER!$B$7:$B$156,MATCH($S2872,MUSTERILER!$T$7:$T$156,0)),""))</f>
        <v/>
      </c>
      <c r="U2872" s="1" t="str">
        <f>IF($T2872="","",$T2872&amp;"|"&amp;COUNTIFS($T$7:$T2872,$T2872))</f>
        <v/>
      </c>
      <c r="V2872" s="1">
        <f t="shared" si="360"/>
        <v>0</v>
      </c>
      <c r="W2872" s="1" t="str">
        <f t="shared" si="361"/>
        <v/>
      </c>
      <c r="X2872" s="1"/>
      <c r="Y2872" s="1"/>
      <c r="Z2872" s="1"/>
      <c r="AA2872" s="1"/>
      <c r="AB2872" s="1"/>
      <c r="AC2872" s="1"/>
      <c r="AD2872" s="1">
        <f>IF($C2872="",0,SUMPRODUCT((AY_SONU!$O$7:$O$42="Evet")*(AY_SONU!$B$7:$B$42=DATE(YEAR($C2872),MONTH($C2872),1))))</f>
        <v>0</v>
      </c>
      <c r="AE2872" s="1" t="str">
        <f>IF($E2872="","",$E2872&amp;"|"&amp;COUNTIFS($E$7:$E2872,$E2872))</f>
        <v/>
      </c>
    </row>
    <row r="2873" spans="1:31" ht="18" customHeight="1" x14ac:dyDescent="0.3">
      <c r="A2873" s="2"/>
      <c r="B2873" s="65" t="str">
        <f t="shared" si="354"/>
        <v/>
      </c>
      <c r="C2873" s="66"/>
      <c r="D2873" s="60"/>
      <c r="E2873" s="61"/>
      <c r="F2873" s="61"/>
      <c r="G2873" s="67"/>
      <c r="H2873" s="60"/>
      <c r="I2873" s="60"/>
      <c r="J2873" s="61"/>
      <c r="K2873" s="61"/>
      <c r="L2873" s="60"/>
      <c r="M2873" s="74" t="str">
        <f t="shared" si="355"/>
        <v/>
      </c>
      <c r="N2873" s="74" t="str">
        <f t="shared" si="356"/>
        <v/>
      </c>
      <c r="O2873" s="73" t="str">
        <f t="shared" si="357"/>
        <v/>
      </c>
      <c r="P2873" s="65" t="str">
        <f t="shared" ca="1" si="358"/>
        <v/>
      </c>
      <c r="Q2873" s="2"/>
      <c r="R2873" s="2"/>
      <c r="S2873" s="1" t="str">
        <f t="shared" si="359"/>
        <v/>
      </c>
      <c r="T2873" s="1" t="str">
        <f>IF(OR($C2873="",$D2873&lt;&gt;"Gelir",$L2873=""),"",IFERROR(INDEX(MUSTERILER!$B$7:$B$156,MATCH($S2873,MUSTERILER!$T$7:$T$156,0)),""))</f>
        <v/>
      </c>
      <c r="U2873" s="1" t="str">
        <f>IF($T2873="","",$T2873&amp;"|"&amp;COUNTIFS($T$7:$T2873,$T2873))</f>
        <v/>
      </c>
      <c r="V2873" s="1">
        <f t="shared" si="360"/>
        <v>0</v>
      </c>
      <c r="W2873" s="1" t="str">
        <f t="shared" si="361"/>
        <v/>
      </c>
      <c r="X2873" s="1"/>
      <c r="Y2873" s="1"/>
      <c r="Z2873" s="1"/>
      <c r="AA2873" s="1"/>
      <c r="AB2873" s="1"/>
      <c r="AC2873" s="1"/>
      <c r="AD2873" s="1">
        <f>IF($C2873="",0,SUMPRODUCT((AY_SONU!$O$7:$O$42="Evet")*(AY_SONU!$B$7:$B$42=DATE(YEAR($C2873),MONTH($C2873),1))))</f>
        <v>0</v>
      </c>
      <c r="AE2873" s="1" t="str">
        <f>IF($E2873="","",$E2873&amp;"|"&amp;COUNTIFS($E$7:$E2873,$E2873))</f>
        <v/>
      </c>
    </row>
    <row r="2874" spans="1:31" ht="18" customHeight="1" x14ac:dyDescent="0.3">
      <c r="A2874" s="2"/>
      <c r="B2874" s="65" t="str">
        <f t="shared" si="354"/>
        <v/>
      </c>
      <c r="C2874" s="66"/>
      <c r="D2874" s="60"/>
      <c r="E2874" s="61"/>
      <c r="F2874" s="61"/>
      <c r="G2874" s="67"/>
      <c r="H2874" s="60"/>
      <c r="I2874" s="60"/>
      <c r="J2874" s="61"/>
      <c r="K2874" s="61"/>
      <c r="L2874" s="60"/>
      <c r="M2874" s="74" t="str">
        <f t="shared" si="355"/>
        <v/>
      </c>
      <c r="N2874" s="74" t="str">
        <f t="shared" si="356"/>
        <v/>
      </c>
      <c r="O2874" s="73" t="str">
        <f t="shared" si="357"/>
        <v/>
      </c>
      <c r="P2874" s="65" t="str">
        <f t="shared" ca="1" si="358"/>
        <v/>
      </c>
      <c r="Q2874" s="2"/>
      <c r="R2874" s="2"/>
      <c r="S2874" s="1" t="str">
        <f t="shared" si="359"/>
        <v/>
      </c>
      <c r="T2874" s="1" t="str">
        <f>IF(OR($C2874="",$D2874&lt;&gt;"Gelir",$L2874=""),"",IFERROR(INDEX(MUSTERILER!$B$7:$B$156,MATCH($S2874,MUSTERILER!$T$7:$T$156,0)),""))</f>
        <v/>
      </c>
      <c r="U2874" s="1" t="str">
        <f>IF($T2874="","",$T2874&amp;"|"&amp;COUNTIFS($T$7:$T2874,$T2874))</f>
        <v/>
      </c>
      <c r="V2874" s="1">
        <f t="shared" si="360"/>
        <v>0</v>
      </c>
      <c r="W2874" s="1" t="str">
        <f t="shared" si="361"/>
        <v/>
      </c>
      <c r="X2874" s="1"/>
      <c r="Y2874" s="1"/>
      <c r="Z2874" s="1"/>
      <c r="AA2874" s="1"/>
      <c r="AB2874" s="1"/>
      <c r="AC2874" s="1"/>
      <c r="AD2874" s="1">
        <f>IF($C2874="",0,SUMPRODUCT((AY_SONU!$O$7:$O$42="Evet")*(AY_SONU!$B$7:$B$42=DATE(YEAR($C2874),MONTH($C2874),1))))</f>
        <v>0</v>
      </c>
      <c r="AE2874" s="1" t="str">
        <f>IF($E2874="","",$E2874&amp;"|"&amp;COUNTIFS($E$7:$E2874,$E2874))</f>
        <v/>
      </c>
    </row>
    <row r="2875" spans="1:31" ht="18" customHeight="1" x14ac:dyDescent="0.3">
      <c r="A2875" s="2"/>
      <c r="B2875" s="65" t="str">
        <f t="shared" si="354"/>
        <v/>
      </c>
      <c r="C2875" s="66"/>
      <c r="D2875" s="60"/>
      <c r="E2875" s="61"/>
      <c r="F2875" s="61"/>
      <c r="G2875" s="67"/>
      <c r="H2875" s="60"/>
      <c r="I2875" s="60"/>
      <c r="J2875" s="61"/>
      <c r="K2875" s="61"/>
      <c r="L2875" s="60"/>
      <c r="M2875" s="74" t="str">
        <f t="shared" si="355"/>
        <v/>
      </c>
      <c r="N2875" s="74" t="str">
        <f t="shared" si="356"/>
        <v/>
      </c>
      <c r="O2875" s="73" t="str">
        <f t="shared" si="357"/>
        <v/>
      </c>
      <c r="P2875" s="65" t="str">
        <f t="shared" ca="1" si="358"/>
        <v/>
      </c>
      <c r="Q2875" s="2"/>
      <c r="R2875" s="2"/>
      <c r="S2875" s="1" t="str">
        <f t="shared" si="359"/>
        <v/>
      </c>
      <c r="T2875" s="1" t="str">
        <f>IF(OR($C2875="",$D2875&lt;&gt;"Gelir",$L2875=""),"",IFERROR(INDEX(MUSTERILER!$B$7:$B$156,MATCH($S2875,MUSTERILER!$T$7:$T$156,0)),""))</f>
        <v/>
      </c>
      <c r="U2875" s="1" t="str">
        <f>IF($T2875="","",$T2875&amp;"|"&amp;COUNTIFS($T$7:$T2875,$T2875))</f>
        <v/>
      </c>
      <c r="V2875" s="1">
        <f t="shared" si="360"/>
        <v>0</v>
      </c>
      <c r="W2875" s="1" t="str">
        <f t="shared" si="361"/>
        <v/>
      </c>
      <c r="X2875" s="1"/>
      <c r="Y2875" s="1"/>
      <c r="Z2875" s="1"/>
      <c r="AA2875" s="1"/>
      <c r="AB2875" s="1"/>
      <c r="AC2875" s="1"/>
      <c r="AD2875" s="1">
        <f>IF($C2875="",0,SUMPRODUCT((AY_SONU!$O$7:$O$42="Evet")*(AY_SONU!$B$7:$B$42=DATE(YEAR($C2875),MONTH($C2875),1))))</f>
        <v>0</v>
      </c>
      <c r="AE2875" s="1" t="str">
        <f>IF($E2875="","",$E2875&amp;"|"&amp;COUNTIFS($E$7:$E2875,$E2875))</f>
        <v/>
      </c>
    </row>
    <row r="2876" spans="1:31" ht="18" customHeight="1" x14ac:dyDescent="0.3">
      <c r="A2876" s="2"/>
      <c r="B2876" s="65" t="str">
        <f t="shared" si="354"/>
        <v/>
      </c>
      <c r="C2876" s="66"/>
      <c r="D2876" s="60"/>
      <c r="E2876" s="61"/>
      <c r="F2876" s="61"/>
      <c r="G2876" s="67"/>
      <c r="H2876" s="60"/>
      <c r="I2876" s="60"/>
      <c r="J2876" s="61"/>
      <c r="K2876" s="61"/>
      <c r="L2876" s="60"/>
      <c r="M2876" s="74" t="str">
        <f t="shared" si="355"/>
        <v/>
      </c>
      <c r="N2876" s="74" t="str">
        <f t="shared" si="356"/>
        <v/>
      </c>
      <c r="O2876" s="73" t="str">
        <f t="shared" si="357"/>
        <v/>
      </c>
      <c r="P2876" s="65" t="str">
        <f t="shared" ca="1" si="358"/>
        <v/>
      </c>
      <c r="Q2876" s="2"/>
      <c r="R2876" s="2"/>
      <c r="S2876" s="1" t="str">
        <f t="shared" si="359"/>
        <v/>
      </c>
      <c r="T2876" s="1" t="str">
        <f>IF(OR($C2876="",$D2876&lt;&gt;"Gelir",$L2876=""),"",IFERROR(INDEX(MUSTERILER!$B$7:$B$156,MATCH($S2876,MUSTERILER!$T$7:$T$156,0)),""))</f>
        <v/>
      </c>
      <c r="U2876" s="1" t="str">
        <f>IF($T2876="","",$T2876&amp;"|"&amp;COUNTIFS($T$7:$T2876,$T2876))</f>
        <v/>
      </c>
      <c r="V2876" s="1">
        <f t="shared" si="360"/>
        <v>0</v>
      </c>
      <c r="W2876" s="1" t="str">
        <f t="shared" si="361"/>
        <v/>
      </c>
      <c r="X2876" s="1"/>
      <c r="Y2876" s="1"/>
      <c r="Z2876" s="1"/>
      <c r="AA2876" s="1"/>
      <c r="AB2876" s="1"/>
      <c r="AC2876" s="1"/>
      <c r="AD2876" s="1">
        <f>IF($C2876="",0,SUMPRODUCT((AY_SONU!$O$7:$O$42="Evet")*(AY_SONU!$B$7:$B$42=DATE(YEAR($C2876),MONTH($C2876),1))))</f>
        <v>0</v>
      </c>
      <c r="AE2876" s="1" t="str">
        <f>IF($E2876="","",$E2876&amp;"|"&amp;COUNTIFS($E$7:$E2876,$E2876))</f>
        <v/>
      </c>
    </row>
    <row r="2877" spans="1:31" ht="18" customHeight="1" x14ac:dyDescent="0.3">
      <c r="A2877" s="2"/>
      <c r="B2877" s="65" t="str">
        <f t="shared" si="354"/>
        <v/>
      </c>
      <c r="C2877" s="66"/>
      <c r="D2877" s="60"/>
      <c r="E2877" s="61"/>
      <c r="F2877" s="61"/>
      <c r="G2877" s="67"/>
      <c r="H2877" s="60"/>
      <c r="I2877" s="60"/>
      <c r="J2877" s="61"/>
      <c r="K2877" s="61"/>
      <c r="L2877" s="60"/>
      <c r="M2877" s="74" t="str">
        <f t="shared" si="355"/>
        <v/>
      </c>
      <c r="N2877" s="74" t="str">
        <f t="shared" si="356"/>
        <v/>
      </c>
      <c r="O2877" s="73" t="str">
        <f t="shared" si="357"/>
        <v/>
      </c>
      <c r="P2877" s="65" t="str">
        <f t="shared" ca="1" si="358"/>
        <v/>
      </c>
      <c r="Q2877" s="2"/>
      <c r="R2877" s="2"/>
      <c r="S2877" s="1" t="str">
        <f t="shared" si="359"/>
        <v/>
      </c>
      <c r="T2877" s="1" t="str">
        <f>IF(OR($C2877="",$D2877&lt;&gt;"Gelir",$L2877=""),"",IFERROR(INDEX(MUSTERILER!$B$7:$B$156,MATCH($S2877,MUSTERILER!$T$7:$T$156,0)),""))</f>
        <v/>
      </c>
      <c r="U2877" s="1" t="str">
        <f>IF($T2877="","",$T2877&amp;"|"&amp;COUNTIFS($T$7:$T2877,$T2877))</f>
        <v/>
      </c>
      <c r="V2877" s="1">
        <f t="shared" si="360"/>
        <v>0</v>
      </c>
      <c r="W2877" s="1" t="str">
        <f t="shared" si="361"/>
        <v/>
      </c>
      <c r="X2877" s="1"/>
      <c r="Y2877" s="1"/>
      <c r="Z2877" s="1"/>
      <c r="AA2877" s="1"/>
      <c r="AB2877" s="1"/>
      <c r="AC2877" s="1"/>
      <c r="AD2877" s="1">
        <f>IF($C2877="",0,SUMPRODUCT((AY_SONU!$O$7:$O$42="Evet")*(AY_SONU!$B$7:$B$42=DATE(YEAR($C2877),MONTH($C2877),1))))</f>
        <v>0</v>
      </c>
      <c r="AE2877" s="1" t="str">
        <f>IF($E2877="","",$E2877&amp;"|"&amp;COUNTIFS($E$7:$E2877,$E2877))</f>
        <v/>
      </c>
    </row>
    <row r="2878" spans="1:31" ht="18" customHeight="1" x14ac:dyDescent="0.3">
      <c r="A2878" s="2"/>
      <c r="B2878" s="65" t="str">
        <f t="shared" si="354"/>
        <v/>
      </c>
      <c r="C2878" s="66"/>
      <c r="D2878" s="60"/>
      <c r="E2878" s="61"/>
      <c r="F2878" s="61"/>
      <c r="G2878" s="67"/>
      <c r="H2878" s="60"/>
      <c r="I2878" s="60"/>
      <c r="J2878" s="61"/>
      <c r="K2878" s="61"/>
      <c r="L2878" s="60"/>
      <c r="M2878" s="74" t="str">
        <f t="shared" si="355"/>
        <v/>
      </c>
      <c r="N2878" s="74" t="str">
        <f t="shared" si="356"/>
        <v/>
      </c>
      <c r="O2878" s="73" t="str">
        <f t="shared" si="357"/>
        <v/>
      </c>
      <c r="P2878" s="65" t="str">
        <f t="shared" ca="1" si="358"/>
        <v/>
      </c>
      <c r="Q2878" s="2"/>
      <c r="R2878" s="2"/>
      <c r="S2878" s="1" t="str">
        <f t="shared" si="359"/>
        <v/>
      </c>
      <c r="T2878" s="1" t="str">
        <f>IF(OR($C2878="",$D2878&lt;&gt;"Gelir",$L2878=""),"",IFERROR(INDEX(MUSTERILER!$B$7:$B$156,MATCH($S2878,MUSTERILER!$T$7:$T$156,0)),""))</f>
        <v/>
      </c>
      <c r="U2878" s="1" t="str">
        <f>IF($T2878="","",$T2878&amp;"|"&amp;COUNTIFS($T$7:$T2878,$T2878))</f>
        <v/>
      </c>
      <c r="V2878" s="1">
        <f t="shared" si="360"/>
        <v>0</v>
      </c>
      <c r="W2878" s="1" t="str">
        <f t="shared" si="361"/>
        <v/>
      </c>
      <c r="X2878" s="1"/>
      <c r="Y2878" s="1"/>
      <c r="Z2878" s="1"/>
      <c r="AA2878" s="1"/>
      <c r="AB2878" s="1"/>
      <c r="AC2878" s="1"/>
      <c r="AD2878" s="1">
        <f>IF($C2878="",0,SUMPRODUCT((AY_SONU!$O$7:$O$42="Evet")*(AY_SONU!$B$7:$B$42=DATE(YEAR($C2878),MONTH($C2878),1))))</f>
        <v>0</v>
      </c>
      <c r="AE2878" s="1" t="str">
        <f>IF($E2878="","",$E2878&amp;"|"&amp;COUNTIFS($E$7:$E2878,$E2878))</f>
        <v/>
      </c>
    </row>
    <row r="2879" spans="1:31" ht="18" customHeight="1" x14ac:dyDescent="0.3">
      <c r="A2879" s="2"/>
      <c r="B2879" s="65" t="str">
        <f t="shared" si="354"/>
        <v/>
      </c>
      <c r="C2879" s="66"/>
      <c r="D2879" s="60"/>
      <c r="E2879" s="61"/>
      <c r="F2879" s="61"/>
      <c r="G2879" s="67"/>
      <c r="H2879" s="60"/>
      <c r="I2879" s="60"/>
      <c r="J2879" s="61"/>
      <c r="K2879" s="61"/>
      <c r="L2879" s="60"/>
      <c r="M2879" s="74" t="str">
        <f t="shared" si="355"/>
        <v/>
      </c>
      <c r="N2879" s="74" t="str">
        <f t="shared" si="356"/>
        <v/>
      </c>
      <c r="O2879" s="73" t="str">
        <f t="shared" si="357"/>
        <v/>
      </c>
      <c r="P2879" s="65" t="str">
        <f t="shared" ca="1" si="358"/>
        <v/>
      </c>
      <c r="Q2879" s="2"/>
      <c r="R2879" s="2"/>
      <c r="S2879" s="1" t="str">
        <f t="shared" si="359"/>
        <v/>
      </c>
      <c r="T2879" s="1" t="str">
        <f>IF(OR($C2879="",$D2879&lt;&gt;"Gelir",$L2879=""),"",IFERROR(INDEX(MUSTERILER!$B$7:$B$156,MATCH($S2879,MUSTERILER!$T$7:$T$156,0)),""))</f>
        <v/>
      </c>
      <c r="U2879" s="1" t="str">
        <f>IF($T2879="","",$T2879&amp;"|"&amp;COUNTIFS($T$7:$T2879,$T2879))</f>
        <v/>
      </c>
      <c r="V2879" s="1">
        <f t="shared" si="360"/>
        <v>0</v>
      </c>
      <c r="W2879" s="1" t="str">
        <f t="shared" si="361"/>
        <v/>
      </c>
      <c r="X2879" s="1"/>
      <c r="Y2879" s="1"/>
      <c r="Z2879" s="1"/>
      <c r="AA2879" s="1"/>
      <c r="AB2879" s="1"/>
      <c r="AC2879" s="1"/>
      <c r="AD2879" s="1">
        <f>IF($C2879="",0,SUMPRODUCT((AY_SONU!$O$7:$O$42="Evet")*(AY_SONU!$B$7:$B$42=DATE(YEAR($C2879),MONTH($C2879),1))))</f>
        <v>0</v>
      </c>
      <c r="AE2879" s="1" t="str">
        <f>IF($E2879="","",$E2879&amp;"|"&amp;COUNTIFS($E$7:$E2879,$E2879))</f>
        <v/>
      </c>
    </row>
    <row r="2880" spans="1:31" ht="18" customHeight="1" x14ac:dyDescent="0.3">
      <c r="A2880" s="2"/>
      <c r="B2880" s="65" t="str">
        <f t="shared" si="354"/>
        <v/>
      </c>
      <c r="C2880" s="66"/>
      <c r="D2880" s="60"/>
      <c r="E2880" s="61"/>
      <c r="F2880" s="61"/>
      <c r="G2880" s="67"/>
      <c r="H2880" s="60"/>
      <c r="I2880" s="60"/>
      <c r="J2880" s="61"/>
      <c r="K2880" s="61"/>
      <c r="L2880" s="60"/>
      <c r="M2880" s="74" t="str">
        <f t="shared" si="355"/>
        <v/>
      </c>
      <c r="N2880" s="74" t="str">
        <f t="shared" si="356"/>
        <v/>
      </c>
      <c r="O2880" s="73" t="str">
        <f t="shared" si="357"/>
        <v/>
      </c>
      <c r="P2880" s="65" t="str">
        <f t="shared" ca="1" si="358"/>
        <v/>
      </c>
      <c r="Q2880" s="2"/>
      <c r="R2880" s="2"/>
      <c r="S2880" s="1" t="str">
        <f t="shared" si="359"/>
        <v/>
      </c>
      <c r="T2880" s="1" t="str">
        <f>IF(OR($C2880="",$D2880&lt;&gt;"Gelir",$L2880=""),"",IFERROR(INDEX(MUSTERILER!$B$7:$B$156,MATCH($S2880,MUSTERILER!$T$7:$T$156,0)),""))</f>
        <v/>
      </c>
      <c r="U2880" s="1" t="str">
        <f>IF($T2880="","",$T2880&amp;"|"&amp;COUNTIFS($T$7:$T2880,$T2880))</f>
        <v/>
      </c>
      <c r="V2880" s="1">
        <f t="shared" si="360"/>
        <v>0</v>
      </c>
      <c r="W2880" s="1" t="str">
        <f t="shared" si="361"/>
        <v/>
      </c>
      <c r="X2880" s="1"/>
      <c r="Y2880" s="1"/>
      <c r="Z2880" s="1"/>
      <c r="AA2880" s="1"/>
      <c r="AB2880" s="1"/>
      <c r="AC2880" s="1"/>
      <c r="AD2880" s="1">
        <f>IF($C2880="",0,SUMPRODUCT((AY_SONU!$O$7:$O$42="Evet")*(AY_SONU!$B$7:$B$42=DATE(YEAR($C2880),MONTH($C2880),1))))</f>
        <v>0</v>
      </c>
      <c r="AE2880" s="1" t="str">
        <f>IF($E2880="","",$E2880&amp;"|"&amp;COUNTIFS($E$7:$E2880,$E2880))</f>
        <v/>
      </c>
    </row>
    <row r="2881" spans="1:31" ht="18" customHeight="1" x14ac:dyDescent="0.3">
      <c r="A2881" s="2"/>
      <c r="B2881" s="65" t="str">
        <f t="shared" si="354"/>
        <v/>
      </c>
      <c r="C2881" s="66"/>
      <c r="D2881" s="60"/>
      <c r="E2881" s="61"/>
      <c r="F2881" s="61"/>
      <c r="G2881" s="67"/>
      <c r="H2881" s="60"/>
      <c r="I2881" s="60"/>
      <c r="J2881" s="61"/>
      <c r="K2881" s="61"/>
      <c r="L2881" s="60"/>
      <c r="M2881" s="74" t="str">
        <f t="shared" si="355"/>
        <v/>
      </c>
      <c r="N2881" s="74" t="str">
        <f t="shared" si="356"/>
        <v/>
      </c>
      <c r="O2881" s="73" t="str">
        <f t="shared" si="357"/>
        <v/>
      </c>
      <c r="P2881" s="65" t="str">
        <f t="shared" ca="1" si="358"/>
        <v/>
      </c>
      <c r="Q2881" s="2"/>
      <c r="R2881" s="2"/>
      <c r="S2881" s="1" t="str">
        <f t="shared" si="359"/>
        <v/>
      </c>
      <c r="T2881" s="1" t="str">
        <f>IF(OR($C2881="",$D2881&lt;&gt;"Gelir",$L2881=""),"",IFERROR(INDEX(MUSTERILER!$B$7:$B$156,MATCH($S2881,MUSTERILER!$T$7:$T$156,0)),""))</f>
        <v/>
      </c>
      <c r="U2881" s="1" t="str">
        <f>IF($T2881="","",$T2881&amp;"|"&amp;COUNTIFS($T$7:$T2881,$T2881))</f>
        <v/>
      </c>
      <c r="V2881" s="1">
        <f t="shared" si="360"/>
        <v>0</v>
      </c>
      <c r="W2881" s="1" t="str">
        <f t="shared" si="361"/>
        <v/>
      </c>
      <c r="X2881" s="1"/>
      <c r="Y2881" s="1"/>
      <c r="Z2881" s="1"/>
      <c r="AA2881" s="1"/>
      <c r="AB2881" s="1"/>
      <c r="AC2881" s="1"/>
      <c r="AD2881" s="1">
        <f>IF($C2881="",0,SUMPRODUCT((AY_SONU!$O$7:$O$42="Evet")*(AY_SONU!$B$7:$B$42=DATE(YEAR($C2881),MONTH($C2881),1))))</f>
        <v>0</v>
      </c>
      <c r="AE2881" s="1" t="str">
        <f>IF($E2881="","",$E2881&amp;"|"&amp;COUNTIFS($E$7:$E2881,$E2881))</f>
        <v/>
      </c>
    </row>
    <row r="2882" spans="1:31" ht="18" customHeight="1" x14ac:dyDescent="0.3">
      <c r="A2882" s="2"/>
      <c r="B2882" s="65" t="str">
        <f t="shared" si="354"/>
        <v/>
      </c>
      <c r="C2882" s="66"/>
      <c r="D2882" s="60"/>
      <c r="E2882" s="61"/>
      <c r="F2882" s="61"/>
      <c r="G2882" s="67"/>
      <c r="H2882" s="60"/>
      <c r="I2882" s="60"/>
      <c r="J2882" s="61"/>
      <c r="K2882" s="61"/>
      <c r="L2882" s="60"/>
      <c r="M2882" s="74" t="str">
        <f t="shared" si="355"/>
        <v/>
      </c>
      <c r="N2882" s="74" t="str">
        <f t="shared" si="356"/>
        <v/>
      </c>
      <c r="O2882" s="73" t="str">
        <f t="shared" si="357"/>
        <v/>
      </c>
      <c r="P2882" s="65" t="str">
        <f t="shared" ca="1" si="358"/>
        <v/>
      </c>
      <c r="Q2882" s="2"/>
      <c r="R2882" s="2"/>
      <c r="S2882" s="1" t="str">
        <f t="shared" si="359"/>
        <v/>
      </c>
      <c r="T2882" s="1" t="str">
        <f>IF(OR($C2882="",$D2882&lt;&gt;"Gelir",$L2882=""),"",IFERROR(INDEX(MUSTERILER!$B$7:$B$156,MATCH($S2882,MUSTERILER!$T$7:$T$156,0)),""))</f>
        <v/>
      </c>
      <c r="U2882" s="1" t="str">
        <f>IF($T2882="","",$T2882&amp;"|"&amp;COUNTIFS($T$7:$T2882,$T2882))</f>
        <v/>
      </c>
      <c r="V2882" s="1">
        <f t="shared" si="360"/>
        <v>0</v>
      </c>
      <c r="W2882" s="1" t="str">
        <f t="shared" si="361"/>
        <v/>
      </c>
      <c r="X2882" s="1"/>
      <c r="Y2882" s="1"/>
      <c r="Z2882" s="1"/>
      <c r="AA2882" s="1"/>
      <c r="AB2882" s="1"/>
      <c r="AC2882" s="1"/>
      <c r="AD2882" s="1">
        <f>IF($C2882="",0,SUMPRODUCT((AY_SONU!$O$7:$O$42="Evet")*(AY_SONU!$B$7:$B$42=DATE(YEAR($C2882),MONTH($C2882),1))))</f>
        <v>0</v>
      </c>
      <c r="AE2882" s="1" t="str">
        <f>IF($E2882="","",$E2882&amp;"|"&amp;COUNTIFS($E$7:$E2882,$E2882))</f>
        <v/>
      </c>
    </row>
    <row r="2883" spans="1:31" ht="18" customHeight="1" x14ac:dyDescent="0.3">
      <c r="A2883" s="2"/>
      <c r="B2883" s="65" t="str">
        <f t="shared" si="354"/>
        <v/>
      </c>
      <c r="C2883" s="66"/>
      <c r="D2883" s="60"/>
      <c r="E2883" s="61"/>
      <c r="F2883" s="61"/>
      <c r="G2883" s="67"/>
      <c r="H2883" s="60"/>
      <c r="I2883" s="60"/>
      <c r="J2883" s="61"/>
      <c r="K2883" s="61"/>
      <c r="L2883" s="60"/>
      <c r="M2883" s="74" t="str">
        <f t="shared" si="355"/>
        <v/>
      </c>
      <c r="N2883" s="74" t="str">
        <f t="shared" si="356"/>
        <v/>
      </c>
      <c r="O2883" s="73" t="str">
        <f t="shared" si="357"/>
        <v/>
      </c>
      <c r="P2883" s="65" t="str">
        <f t="shared" ca="1" si="358"/>
        <v/>
      </c>
      <c r="Q2883" s="2"/>
      <c r="R2883" s="2"/>
      <c r="S2883" s="1" t="str">
        <f t="shared" si="359"/>
        <v/>
      </c>
      <c r="T2883" s="1" t="str">
        <f>IF(OR($C2883="",$D2883&lt;&gt;"Gelir",$L2883=""),"",IFERROR(INDEX(MUSTERILER!$B$7:$B$156,MATCH($S2883,MUSTERILER!$T$7:$T$156,0)),""))</f>
        <v/>
      </c>
      <c r="U2883" s="1" t="str">
        <f>IF($T2883="","",$T2883&amp;"|"&amp;COUNTIFS($T$7:$T2883,$T2883))</f>
        <v/>
      </c>
      <c r="V2883" s="1">
        <f t="shared" si="360"/>
        <v>0</v>
      </c>
      <c r="W2883" s="1" t="str">
        <f t="shared" si="361"/>
        <v/>
      </c>
      <c r="X2883" s="1"/>
      <c r="Y2883" s="1"/>
      <c r="Z2883" s="1"/>
      <c r="AA2883" s="1"/>
      <c r="AB2883" s="1"/>
      <c r="AC2883" s="1"/>
      <c r="AD2883" s="1">
        <f>IF($C2883="",0,SUMPRODUCT((AY_SONU!$O$7:$O$42="Evet")*(AY_SONU!$B$7:$B$42=DATE(YEAR($C2883),MONTH($C2883),1))))</f>
        <v>0</v>
      </c>
      <c r="AE2883" s="1" t="str">
        <f>IF($E2883="","",$E2883&amp;"|"&amp;COUNTIFS($E$7:$E2883,$E2883))</f>
        <v/>
      </c>
    </row>
    <row r="2884" spans="1:31" ht="18" customHeight="1" x14ac:dyDescent="0.3">
      <c r="A2884" s="2"/>
      <c r="B2884" s="65" t="str">
        <f t="shared" si="354"/>
        <v/>
      </c>
      <c r="C2884" s="66"/>
      <c r="D2884" s="60"/>
      <c r="E2884" s="61"/>
      <c r="F2884" s="61"/>
      <c r="G2884" s="67"/>
      <c r="H2884" s="60"/>
      <c r="I2884" s="60"/>
      <c r="J2884" s="61"/>
      <c r="K2884" s="61"/>
      <c r="L2884" s="60"/>
      <c r="M2884" s="74" t="str">
        <f t="shared" si="355"/>
        <v/>
      </c>
      <c r="N2884" s="74" t="str">
        <f t="shared" si="356"/>
        <v/>
      </c>
      <c r="O2884" s="73" t="str">
        <f t="shared" si="357"/>
        <v/>
      </c>
      <c r="P2884" s="65" t="str">
        <f t="shared" ca="1" si="358"/>
        <v/>
      </c>
      <c r="Q2884" s="2"/>
      <c r="R2884" s="2"/>
      <c r="S2884" s="1" t="str">
        <f t="shared" si="359"/>
        <v/>
      </c>
      <c r="T2884" s="1" t="str">
        <f>IF(OR($C2884="",$D2884&lt;&gt;"Gelir",$L2884=""),"",IFERROR(INDEX(MUSTERILER!$B$7:$B$156,MATCH($S2884,MUSTERILER!$T$7:$T$156,0)),""))</f>
        <v/>
      </c>
      <c r="U2884" s="1" t="str">
        <f>IF($T2884="","",$T2884&amp;"|"&amp;COUNTIFS($T$7:$T2884,$T2884))</f>
        <v/>
      </c>
      <c r="V2884" s="1">
        <f t="shared" si="360"/>
        <v>0</v>
      </c>
      <c r="W2884" s="1" t="str">
        <f t="shared" si="361"/>
        <v/>
      </c>
      <c r="X2884" s="1"/>
      <c r="Y2884" s="1"/>
      <c r="Z2884" s="1"/>
      <c r="AA2884" s="1"/>
      <c r="AB2884" s="1"/>
      <c r="AC2884" s="1"/>
      <c r="AD2884" s="1">
        <f>IF($C2884="",0,SUMPRODUCT((AY_SONU!$O$7:$O$42="Evet")*(AY_SONU!$B$7:$B$42=DATE(YEAR($C2884),MONTH($C2884),1))))</f>
        <v>0</v>
      </c>
      <c r="AE2884" s="1" t="str">
        <f>IF($E2884="","",$E2884&amp;"|"&amp;COUNTIFS($E$7:$E2884,$E2884))</f>
        <v/>
      </c>
    </row>
    <row r="2885" spans="1:31" ht="18" customHeight="1" x14ac:dyDescent="0.3">
      <c r="A2885" s="2"/>
      <c r="B2885" s="65" t="str">
        <f t="shared" si="354"/>
        <v/>
      </c>
      <c r="C2885" s="66"/>
      <c r="D2885" s="60"/>
      <c r="E2885" s="61"/>
      <c r="F2885" s="61"/>
      <c r="G2885" s="67"/>
      <c r="H2885" s="60"/>
      <c r="I2885" s="60"/>
      <c r="J2885" s="61"/>
      <c r="K2885" s="61"/>
      <c r="L2885" s="60"/>
      <c r="M2885" s="74" t="str">
        <f t="shared" si="355"/>
        <v/>
      </c>
      <c r="N2885" s="74" t="str">
        <f t="shared" si="356"/>
        <v/>
      </c>
      <c r="O2885" s="73" t="str">
        <f t="shared" si="357"/>
        <v/>
      </c>
      <c r="P2885" s="65" t="str">
        <f t="shared" ca="1" si="358"/>
        <v/>
      </c>
      <c r="Q2885" s="2"/>
      <c r="R2885" s="2"/>
      <c r="S2885" s="1" t="str">
        <f t="shared" si="359"/>
        <v/>
      </c>
      <c r="T2885" s="1" t="str">
        <f>IF(OR($C2885="",$D2885&lt;&gt;"Gelir",$L2885=""),"",IFERROR(INDEX(MUSTERILER!$B$7:$B$156,MATCH($S2885,MUSTERILER!$T$7:$T$156,0)),""))</f>
        <v/>
      </c>
      <c r="U2885" s="1" t="str">
        <f>IF($T2885="","",$T2885&amp;"|"&amp;COUNTIFS($T$7:$T2885,$T2885))</f>
        <v/>
      </c>
      <c r="V2885" s="1">
        <f t="shared" si="360"/>
        <v>0</v>
      </c>
      <c r="W2885" s="1" t="str">
        <f t="shared" si="361"/>
        <v/>
      </c>
      <c r="X2885" s="1"/>
      <c r="Y2885" s="1"/>
      <c r="Z2885" s="1"/>
      <c r="AA2885" s="1"/>
      <c r="AB2885" s="1"/>
      <c r="AC2885" s="1"/>
      <c r="AD2885" s="1">
        <f>IF($C2885="",0,SUMPRODUCT((AY_SONU!$O$7:$O$42="Evet")*(AY_SONU!$B$7:$B$42=DATE(YEAR($C2885),MONTH($C2885),1))))</f>
        <v>0</v>
      </c>
      <c r="AE2885" s="1" t="str">
        <f>IF($E2885="","",$E2885&amp;"|"&amp;COUNTIFS($E$7:$E2885,$E2885))</f>
        <v/>
      </c>
    </row>
    <row r="2886" spans="1:31" ht="18" customHeight="1" x14ac:dyDescent="0.3">
      <c r="A2886" s="2"/>
      <c r="B2886" s="65" t="str">
        <f t="shared" si="354"/>
        <v/>
      </c>
      <c r="C2886" s="66"/>
      <c r="D2886" s="60"/>
      <c r="E2886" s="61"/>
      <c r="F2886" s="61"/>
      <c r="G2886" s="67"/>
      <c r="H2886" s="60"/>
      <c r="I2886" s="60"/>
      <c r="J2886" s="61"/>
      <c r="K2886" s="61"/>
      <c r="L2886" s="60"/>
      <c r="M2886" s="74" t="str">
        <f t="shared" si="355"/>
        <v/>
      </c>
      <c r="N2886" s="74" t="str">
        <f t="shared" si="356"/>
        <v/>
      </c>
      <c r="O2886" s="73" t="str">
        <f t="shared" si="357"/>
        <v/>
      </c>
      <c r="P2886" s="65" t="str">
        <f t="shared" ca="1" si="358"/>
        <v/>
      </c>
      <c r="Q2886" s="2"/>
      <c r="R2886" s="2"/>
      <c r="S2886" s="1" t="str">
        <f t="shared" si="359"/>
        <v/>
      </c>
      <c r="T2886" s="1" t="str">
        <f>IF(OR($C2886="",$D2886&lt;&gt;"Gelir",$L2886=""),"",IFERROR(INDEX(MUSTERILER!$B$7:$B$156,MATCH($S2886,MUSTERILER!$T$7:$T$156,0)),""))</f>
        <v/>
      </c>
      <c r="U2886" s="1" t="str">
        <f>IF($T2886="","",$T2886&amp;"|"&amp;COUNTIFS($T$7:$T2886,$T2886))</f>
        <v/>
      </c>
      <c r="V2886" s="1">
        <f t="shared" si="360"/>
        <v>0</v>
      </c>
      <c r="W2886" s="1" t="str">
        <f t="shared" si="361"/>
        <v/>
      </c>
      <c r="X2886" s="1"/>
      <c r="Y2886" s="1"/>
      <c r="Z2886" s="1"/>
      <c r="AA2886" s="1"/>
      <c r="AB2886" s="1"/>
      <c r="AC2886" s="1"/>
      <c r="AD2886" s="1">
        <f>IF($C2886="",0,SUMPRODUCT((AY_SONU!$O$7:$O$42="Evet")*(AY_SONU!$B$7:$B$42=DATE(YEAR($C2886),MONTH($C2886),1))))</f>
        <v>0</v>
      </c>
      <c r="AE2886" s="1" t="str">
        <f>IF($E2886="","",$E2886&amp;"|"&amp;COUNTIFS($E$7:$E2886,$E2886))</f>
        <v/>
      </c>
    </row>
    <row r="2887" spans="1:31" ht="18" customHeight="1" x14ac:dyDescent="0.3">
      <c r="A2887" s="2"/>
      <c r="B2887" s="65" t="str">
        <f t="shared" ref="B2887:B2950" si="362">IF($C2887="","","GG"&amp;TEXT(ROW()-6,"00000"))</f>
        <v/>
      </c>
      <c r="C2887" s="66"/>
      <c r="D2887" s="60"/>
      <c r="E2887" s="61"/>
      <c r="F2887" s="61"/>
      <c r="G2887" s="67"/>
      <c r="H2887" s="60"/>
      <c r="I2887" s="60"/>
      <c r="J2887" s="61"/>
      <c r="K2887" s="61"/>
      <c r="L2887" s="60"/>
      <c r="M2887" s="74" t="str">
        <f t="shared" ref="M2887:M2950" si="363">IF($C2887="","",IF($D2887="Gider",$E2887,IF($L2887&lt;&gt;"",$L2887,$H2887)))</f>
        <v/>
      </c>
      <c r="N2887" s="74" t="str">
        <f t="shared" ref="N2887:N2950" si="364">IF($C2887="","",IF($D2887="Gider",$H2887,$E2887))</f>
        <v/>
      </c>
      <c r="O2887" s="73" t="str">
        <f t="shared" ref="O2887:O2950" si="365">IF($C2887="","",DATE(YEAR($C2887),MONTH($C2887),1))</f>
        <v/>
      </c>
      <c r="P2887" s="65" t="str">
        <f t="shared" ref="P2887:P2950" ca="1" si="366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TARİH",IF(COUNTIF($W$7:$W$3006,$W2887)&gt;1,"MÜKERRER?",IF($AD2887&gt;0,"KAPALI DÖNEM",IF($I2887="Hayır","ÖDENECEK","UYGUN")))),"EKSİK"))))</f>
        <v/>
      </c>
      <c r="Q2887" s="2"/>
      <c r="R2887" s="2"/>
      <c r="S2887" s="1" t="str">
        <f t="shared" ref="S2887:S2950" si="367"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1" t="str">
        <f>IF(OR($C2887="",$D2887&lt;&gt;"Gelir",$L2887=""),"",IFERROR(INDEX(MUSTERILER!$B$7:$B$156,MATCH($S2887,MUSTERILER!$T$7:$T$156,0)),""))</f>
        <v/>
      </c>
      <c r="U2887" s="1" t="str">
        <f>IF($T2887="","",$T2887&amp;"|"&amp;COUNTIFS($T$7:$T2887,$T2887))</f>
        <v/>
      </c>
      <c r="V2887" s="1">
        <f t="shared" ref="V2887:V2950" si="368">IF($T2887="",0,1)</f>
        <v>0</v>
      </c>
      <c r="W2887" s="1" t="str">
        <f t="shared" ref="W2887:W2950" si="369">IF($C2887="","",$D2887&amp;"|"&amp;$E2887&amp;"|"&amp;TEXT($C2887,"0")&amp;"|"&amp;TEXT($G2887,"0")&amp;"|"&amp;$J2887)</f>
        <v/>
      </c>
      <c r="X2887" s="1"/>
      <c r="Y2887" s="1"/>
      <c r="Z2887" s="1"/>
      <c r="AA2887" s="1"/>
      <c r="AB2887" s="1"/>
      <c r="AC2887" s="1"/>
      <c r="AD2887" s="1">
        <f>IF($C2887="",0,SUMPRODUCT((AY_SONU!$O$7:$O$42="Evet")*(AY_SONU!$B$7:$B$42=DATE(YEAR($C2887),MONTH($C2887),1))))</f>
        <v>0</v>
      </c>
      <c r="AE2887" s="1" t="str">
        <f>IF($E2887="","",$E2887&amp;"|"&amp;COUNTIFS($E$7:$E2887,$E2887))</f>
        <v/>
      </c>
    </row>
    <row r="2888" spans="1:31" ht="18" customHeight="1" x14ac:dyDescent="0.3">
      <c r="A2888" s="2"/>
      <c r="B2888" s="65" t="str">
        <f t="shared" si="362"/>
        <v/>
      </c>
      <c r="C2888" s="66"/>
      <c r="D2888" s="60"/>
      <c r="E2888" s="61"/>
      <c r="F2888" s="61"/>
      <c r="G2888" s="67"/>
      <c r="H2888" s="60"/>
      <c r="I2888" s="60"/>
      <c r="J2888" s="61"/>
      <c r="K2888" s="61"/>
      <c r="L2888" s="60"/>
      <c r="M2888" s="74" t="str">
        <f t="shared" si="363"/>
        <v/>
      </c>
      <c r="N2888" s="74" t="str">
        <f t="shared" si="364"/>
        <v/>
      </c>
      <c r="O2888" s="73" t="str">
        <f t="shared" si="365"/>
        <v/>
      </c>
      <c r="P2888" s="65" t="str">
        <f t="shared" ca="1" si="366"/>
        <v/>
      </c>
      <c r="Q2888" s="2"/>
      <c r="R2888" s="2"/>
      <c r="S2888" s="1" t="str">
        <f t="shared" si="367"/>
        <v/>
      </c>
      <c r="T2888" s="1" t="str">
        <f>IF(OR($C2888="",$D2888&lt;&gt;"Gelir",$L2888=""),"",IFERROR(INDEX(MUSTERILER!$B$7:$B$156,MATCH($S2888,MUSTERILER!$T$7:$T$156,0)),""))</f>
        <v/>
      </c>
      <c r="U2888" s="1" t="str">
        <f>IF($T2888="","",$T2888&amp;"|"&amp;COUNTIFS($T$7:$T2888,$T2888))</f>
        <v/>
      </c>
      <c r="V2888" s="1">
        <f t="shared" si="368"/>
        <v>0</v>
      </c>
      <c r="W2888" s="1" t="str">
        <f t="shared" si="369"/>
        <v/>
      </c>
      <c r="X2888" s="1"/>
      <c r="Y2888" s="1"/>
      <c r="Z2888" s="1"/>
      <c r="AA2888" s="1"/>
      <c r="AB2888" s="1"/>
      <c r="AC2888" s="1"/>
      <c r="AD2888" s="1">
        <f>IF($C2888="",0,SUMPRODUCT((AY_SONU!$O$7:$O$42="Evet")*(AY_SONU!$B$7:$B$42=DATE(YEAR($C2888),MONTH($C2888),1))))</f>
        <v>0</v>
      </c>
      <c r="AE2888" s="1" t="str">
        <f>IF($E2888="","",$E2888&amp;"|"&amp;COUNTIFS($E$7:$E2888,$E2888))</f>
        <v/>
      </c>
    </row>
    <row r="2889" spans="1:31" ht="18" customHeight="1" x14ac:dyDescent="0.3">
      <c r="A2889" s="2"/>
      <c r="B2889" s="65" t="str">
        <f t="shared" si="362"/>
        <v/>
      </c>
      <c r="C2889" s="66"/>
      <c r="D2889" s="60"/>
      <c r="E2889" s="61"/>
      <c r="F2889" s="61"/>
      <c r="G2889" s="67"/>
      <c r="H2889" s="60"/>
      <c r="I2889" s="60"/>
      <c r="J2889" s="61"/>
      <c r="K2889" s="61"/>
      <c r="L2889" s="60"/>
      <c r="M2889" s="74" t="str">
        <f t="shared" si="363"/>
        <v/>
      </c>
      <c r="N2889" s="74" t="str">
        <f t="shared" si="364"/>
        <v/>
      </c>
      <c r="O2889" s="73" t="str">
        <f t="shared" si="365"/>
        <v/>
      </c>
      <c r="P2889" s="65" t="str">
        <f t="shared" ca="1" si="366"/>
        <v/>
      </c>
      <c r="Q2889" s="2"/>
      <c r="R2889" s="2"/>
      <c r="S2889" s="1" t="str">
        <f t="shared" si="367"/>
        <v/>
      </c>
      <c r="T2889" s="1" t="str">
        <f>IF(OR($C2889="",$D2889&lt;&gt;"Gelir",$L2889=""),"",IFERROR(INDEX(MUSTERILER!$B$7:$B$156,MATCH($S2889,MUSTERILER!$T$7:$T$156,0)),""))</f>
        <v/>
      </c>
      <c r="U2889" s="1" t="str">
        <f>IF($T2889="","",$T2889&amp;"|"&amp;COUNTIFS($T$7:$T2889,$T2889))</f>
        <v/>
      </c>
      <c r="V2889" s="1">
        <f t="shared" si="368"/>
        <v>0</v>
      </c>
      <c r="W2889" s="1" t="str">
        <f t="shared" si="369"/>
        <v/>
      </c>
      <c r="X2889" s="1"/>
      <c r="Y2889" s="1"/>
      <c r="Z2889" s="1"/>
      <c r="AA2889" s="1"/>
      <c r="AB2889" s="1"/>
      <c r="AC2889" s="1"/>
      <c r="AD2889" s="1">
        <f>IF($C2889="",0,SUMPRODUCT((AY_SONU!$O$7:$O$42="Evet")*(AY_SONU!$B$7:$B$42=DATE(YEAR($C2889),MONTH($C2889),1))))</f>
        <v>0</v>
      </c>
      <c r="AE2889" s="1" t="str">
        <f>IF($E2889="","",$E2889&amp;"|"&amp;COUNTIFS($E$7:$E2889,$E2889))</f>
        <v/>
      </c>
    </row>
    <row r="2890" spans="1:31" ht="18" customHeight="1" x14ac:dyDescent="0.3">
      <c r="A2890" s="2"/>
      <c r="B2890" s="65" t="str">
        <f t="shared" si="362"/>
        <v/>
      </c>
      <c r="C2890" s="66"/>
      <c r="D2890" s="60"/>
      <c r="E2890" s="61"/>
      <c r="F2890" s="61"/>
      <c r="G2890" s="67"/>
      <c r="H2890" s="60"/>
      <c r="I2890" s="60"/>
      <c r="J2890" s="61"/>
      <c r="K2890" s="61"/>
      <c r="L2890" s="60"/>
      <c r="M2890" s="74" t="str">
        <f t="shared" si="363"/>
        <v/>
      </c>
      <c r="N2890" s="74" t="str">
        <f t="shared" si="364"/>
        <v/>
      </c>
      <c r="O2890" s="73" t="str">
        <f t="shared" si="365"/>
        <v/>
      </c>
      <c r="P2890" s="65" t="str">
        <f t="shared" ca="1" si="366"/>
        <v/>
      </c>
      <c r="Q2890" s="2"/>
      <c r="R2890" s="2"/>
      <c r="S2890" s="1" t="str">
        <f t="shared" si="367"/>
        <v/>
      </c>
      <c r="T2890" s="1" t="str">
        <f>IF(OR($C2890="",$D2890&lt;&gt;"Gelir",$L2890=""),"",IFERROR(INDEX(MUSTERILER!$B$7:$B$156,MATCH($S2890,MUSTERILER!$T$7:$T$156,0)),""))</f>
        <v/>
      </c>
      <c r="U2890" s="1" t="str">
        <f>IF($T2890="","",$T2890&amp;"|"&amp;COUNTIFS($T$7:$T2890,$T2890))</f>
        <v/>
      </c>
      <c r="V2890" s="1">
        <f t="shared" si="368"/>
        <v>0</v>
      </c>
      <c r="W2890" s="1" t="str">
        <f t="shared" si="369"/>
        <v/>
      </c>
      <c r="X2890" s="1"/>
      <c r="Y2890" s="1"/>
      <c r="Z2890" s="1"/>
      <c r="AA2890" s="1"/>
      <c r="AB2890" s="1"/>
      <c r="AC2890" s="1"/>
      <c r="AD2890" s="1">
        <f>IF($C2890="",0,SUMPRODUCT((AY_SONU!$O$7:$O$42="Evet")*(AY_SONU!$B$7:$B$42=DATE(YEAR($C2890),MONTH($C2890),1))))</f>
        <v>0</v>
      </c>
      <c r="AE2890" s="1" t="str">
        <f>IF($E2890="","",$E2890&amp;"|"&amp;COUNTIFS($E$7:$E2890,$E2890))</f>
        <v/>
      </c>
    </row>
    <row r="2891" spans="1:31" ht="18" customHeight="1" x14ac:dyDescent="0.3">
      <c r="A2891" s="2"/>
      <c r="B2891" s="65" t="str">
        <f t="shared" si="362"/>
        <v/>
      </c>
      <c r="C2891" s="66"/>
      <c r="D2891" s="60"/>
      <c r="E2891" s="61"/>
      <c r="F2891" s="61"/>
      <c r="G2891" s="67"/>
      <c r="H2891" s="60"/>
      <c r="I2891" s="60"/>
      <c r="J2891" s="61"/>
      <c r="K2891" s="61"/>
      <c r="L2891" s="60"/>
      <c r="M2891" s="74" t="str">
        <f t="shared" si="363"/>
        <v/>
      </c>
      <c r="N2891" s="74" t="str">
        <f t="shared" si="364"/>
        <v/>
      </c>
      <c r="O2891" s="73" t="str">
        <f t="shared" si="365"/>
        <v/>
      </c>
      <c r="P2891" s="65" t="str">
        <f t="shared" ca="1" si="366"/>
        <v/>
      </c>
      <c r="Q2891" s="2"/>
      <c r="R2891" s="2"/>
      <c r="S2891" s="1" t="str">
        <f t="shared" si="367"/>
        <v/>
      </c>
      <c r="T2891" s="1" t="str">
        <f>IF(OR($C2891="",$D2891&lt;&gt;"Gelir",$L2891=""),"",IFERROR(INDEX(MUSTERILER!$B$7:$B$156,MATCH($S2891,MUSTERILER!$T$7:$T$156,0)),""))</f>
        <v/>
      </c>
      <c r="U2891" s="1" t="str">
        <f>IF($T2891="","",$T2891&amp;"|"&amp;COUNTIFS($T$7:$T2891,$T2891))</f>
        <v/>
      </c>
      <c r="V2891" s="1">
        <f t="shared" si="368"/>
        <v>0</v>
      </c>
      <c r="W2891" s="1" t="str">
        <f t="shared" si="369"/>
        <v/>
      </c>
      <c r="X2891" s="1"/>
      <c r="Y2891" s="1"/>
      <c r="Z2891" s="1"/>
      <c r="AA2891" s="1"/>
      <c r="AB2891" s="1"/>
      <c r="AC2891" s="1"/>
      <c r="AD2891" s="1">
        <f>IF($C2891="",0,SUMPRODUCT((AY_SONU!$O$7:$O$42="Evet")*(AY_SONU!$B$7:$B$42=DATE(YEAR($C2891),MONTH($C2891),1))))</f>
        <v>0</v>
      </c>
      <c r="AE2891" s="1" t="str">
        <f>IF($E2891="","",$E2891&amp;"|"&amp;COUNTIFS($E$7:$E2891,$E2891))</f>
        <v/>
      </c>
    </row>
    <row r="2892" spans="1:31" ht="18" customHeight="1" x14ac:dyDescent="0.3">
      <c r="A2892" s="2"/>
      <c r="B2892" s="65" t="str">
        <f t="shared" si="362"/>
        <v/>
      </c>
      <c r="C2892" s="66"/>
      <c r="D2892" s="60"/>
      <c r="E2892" s="61"/>
      <c r="F2892" s="61"/>
      <c r="G2892" s="67"/>
      <c r="H2892" s="60"/>
      <c r="I2892" s="60"/>
      <c r="J2892" s="61"/>
      <c r="K2892" s="61"/>
      <c r="L2892" s="60"/>
      <c r="M2892" s="74" t="str">
        <f t="shared" si="363"/>
        <v/>
      </c>
      <c r="N2892" s="74" t="str">
        <f t="shared" si="364"/>
        <v/>
      </c>
      <c r="O2892" s="73" t="str">
        <f t="shared" si="365"/>
        <v/>
      </c>
      <c r="P2892" s="65" t="str">
        <f t="shared" ca="1" si="366"/>
        <v/>
      </c>
      <c r="Q2892" s="2"/>
      <c r="R2892" s="2"/>
      <c r="S2892" s="1" t="str">
        <f t="shared" si="367"/>
        <v/>
      </c>
      <c r="T2892" s="1" t="str">
        <f>IF(OR($C2892="",$D2892&lt;&gt;"Gelir",$L2892=""),"",IFERROR(INDEX(MUSTERILER!$B$7:$B$156,MATCH($S2892,MUSTERILER!$T$7:$T$156,0)),""))</f>
        <v/>
      </c>
      <c r="U2892" s="1" t="str">
        <f>IF($T2892="","",$T2892&amp;"|"&amp;COUNTIFS($T$7:$T2892,$T2892))</f>
        <v/>
      </c>
      <c r="V2892" s="1">
        <f t="shared" si="368"/>
        <v>0</v>
      </c>
      <c r="W2892" s="1" t="str">
        <f t="shared" si="369"/>
        <v/>
      </c>
      <c r="X2892" s="1"/>
      <c r="Y2892" s="1"/>
      <c r="Z2892" s="1"/>
      <c r="AA2892" s="1"/>
      <c r="AB2892" s="1"/>
      <c r="AC2892" s="1"/>
      <c r="AD2892" s="1">
        <f>IF($C2892="",0,SUMPRODUCT((AY_SONU!$O$7:$O$42="Evet")*(AY_SONU!$B$7:$B$42=DATE(YEAR($C2892),MONTH($C2892),1))))</f>
        <v>0</v>
      </c>
      <c r="AE2892" s="1" t="str">
        <f>IF($E2892="","",$E2892&amp;"|"&amp;COUNTIFS($E$7:$E2892,$E2892))</f>
        <v/>
      </c>
    </row>
    <row r="2893" spans="1:31" ht="18" customHeight="1" x14ac:dyDescent="0.3">
      <c r="A2893" s="2"/>
      <c r="B2893" s="65" t="str">
        <f t="shared" si="362"/>
        <v/>
      </c>
      <c r="C2893" s="66"/>
      <c r="D2893" s="60"/>
      <c r="E2893" s="61"/>
      <c r="F2893" s="61"/>
      <c r="G2893" s="67"/>
      <c r="H2893" s="60"/>
      <c r="I2893" s="60"/>
      <c r="J2893" s="61"/>
      <c r="K2893" s="61"/>
      <c r="L2893" s="60"/>
      <c r="M2893" s="74" t="str">
        <f t="shared" si="363"/>
        <v/>
      </c>
      <c r="N2893" s="74" t="str">
        <f t="shared" si="364"/>
        <v/>
      </c>
      <c r="O2893" s="73" t="str">
        <f t="shared" si="365"/>
        <v/>
      </c>
      <c r="P2893" s="65" t="str">
        <f t="shared" ca="1" si="366"/>
        <v/>
      </c>
      <c r="Q2893" s="2"/>
      <c r="R2893" s="2"/>
      <c r="S2893" s="1" t="str">
        <f t="shared" si="367"/>
        <v/>
      </c>
      <c r="T2893" s="1" t="str">
        <f>IF(OR($C2893="",$D2893&lt;&gt;"Gelir",$L2893=""),"",IFERROR(INDEX(MUSTERILER!$B$7:$B$156,MATCH($S2893,MUSTERILER!$T$7:$T$156,0)),""))</f>
        <v/>
      </c>
      <c r="U2893" s="1" t="str">
        <f>IF($T2893="","",$T2893&amp;"|"&amp;COUNTIFS($T$7:$T2893,$T2893))</f>
        <v/>
      </c>
      <c r="V2893" s="1">
        <f t="shared" si="368"/>
        <v>0</v>
      </c>
      <c r="W2893" s="1" t="str">
        <f t="shared" si="369"/>
        <v/>
      </c>
      <c r="X2893" s="1"/>
      <c r="Y2893" s="1"/>
      <c r="Z2893" s="1"/>
      <c r="AA2893" s="1"/>
      <c r="AB2893" s="1"/>
      <c r="AC2893" s="1"/>
      <c r="AD2893" s="1">
        <f>IF($C2893="",0,SUMPRODUCT((AY_SONU!$O$7:$O$42="Evet")*(AY_SONU!$B$7:$B$42=DATE(YEAR($C2893),MONTH($C2893),1))))</f>
        <v>0</v>
      </c>
      <c r="AE2893" s="1" t="str">
        <f>IF($E2893="","",$E2893&amp;"|"&amp;COUNTIFS($E$7:$E2893,$E2893))</f>
        <v/>
      </c>
    </row>
    <row r="2894" spans="1:31" ht="18" customHeight="1" x14ac:dyDescent="0.3">
      <c r="A2894" s="2"/>
      <c r="B2894" s="65" t="str">
        <f t="shared" si="362"/>
        <v/>
      </c>
      <c r="C2894" s="66"/>
      <c r="D2894" s="60"/>
      <c r="E2894" s="61"/>
      <c r="F2894" s="61"/>
      <c r="G2894" s="67"/>
      <c r="H2894" s="60"/>
      <c r="I2894" s="60"/>
      <c r="J2894" s="61"/>
      <c r="K2894" s="61"/>
      <c r="L2894" s="60"/>
      <c r="M2894" s="74" t="str">
        <f t="shared" si="363"/>
        <v/>
      </c>
      <c r="N2894" s="74" t="str">
        <f t="shared" si="364"/>
        <v/>
      </c>
      <c r="O2894" s="73" t="str">
        <f t="shared" si="365"/>
        <v/>
      </c>
      <c r="P2894" s="65" t="str">
        <f t="shared" ca="1" si="366"/>
        <v/>
      </c>
      <c r="Q2894" s="2"/>
      <c r="R2894" s="2"/>
      <c r="S2894" s="1" t="str">
        <f t="shared" si="367"/>
        <v/>
      </c>
      <c r="T2894" s="1" t="str">
        <f>IF(OR($C2894="",$D2894&lt;&gt;"Gelir",$L2894=""),"",IFERROR(INDEX(MUSTERILER!$B$7:$B$156,MATCH($S2894,MUSTERILER!$T$7:$T$156,0)),""))</f>
        <v/>
      </c>
      <c r="U2894" s="1" t="str">
        <f>IF($T2894="","",$T2894&amp;"|"&amp;COUNTIFS($T$7:$T2894,$T2894))</f>
        <v/>
      </c>
      <c r="V2894" s="1">
        <f t="shared" si="368"/>
        <v>0</v>
      </c>
      <c r="W2894" s="1" t="str">
        <f t="shared" si="369"/>
        <v/>
      </c>
      <c r="X2894" s="1"/>
      <c r="Y2894" s="1"/>
      <c r="Z2894" s="1"/>
      <c r="AA2894" s="1"/>
      <c r="AB2894" s="1"/>
      <c r="AC2894" s="1"/>
      <c r="AD2894" s="1">
        <f>IF($C2894="",0,SUMPRODUCT((AY_SONU!$O$7:$O$42="Evet")*(AY_SONU!$B$7:$B$42=DATE(YEAR($C2894),MONTH($C2894),1))))</f>
        <v>0</v>
      </c>
      <c r="AE2894" s="1" t="str">
        <f>IF($E2894="","",$E2894&amp;"|"&amp;COUNTIFS($E$7:$E2894,$E2894))</f>
        <v/>
      </c>
    </row>
    <row r="2895" spans="1:31" ht="18" customHeight="1" x14ac:dyDescent="0.3">
      <c r="A2895" s="2"/>
      <c r="B2895" s="65" t="str">
        <f t="shared" si="362"/>
        <v/>
      </c>
      <c r="C2895" s="66"/>
      <c r="D2895" s="60"/>
      <c r="E2895" s="61"/>
      <c r="F2895" s="61"/>
      <c r="G2895" s="67"/>
      <c r="H2895" s="60"/>
      <c r="I2895" s="60"/>
      <c r="J2895" s="61"/>
      <c r="K2895" s="61"/>
      <c r="L2895" s="60"/>
      <c r="M2895" s="74" t="str">
        <f t="shared" si="363"/>
        <v/>
      </c>
      <c r="N2895" s="74" t="str">
        <f t="shared" si="364"/>
        <v/>
      </c>
      <c r="O2895" s="73" t="str">
        <f t="shared" si="365"/>
        <v/>
      </c>
      <c r="P2895" s="65" t="str">
        <f t="shared" ca="1" si="366"/>
        <v/>
      </c>
      <c r="Q2895" s="2"/>
      <c r="R2895" s="2"/>
      <c r="S2895" s="1" t="str">
        <f t="shared" si="367"/>
        <v/>
      </c>
      <c r="T2895" s="1" t="str">
        <f>IF(OR($C2895="",$D2895&lt;&gt;"Gelir",$L2895=""),"",IFERROR(INDEX(MUSTERILER!$B$7:$B$156,MATCH($S2895,MUSTERILER!$T$7:$T$156,0)),""))</f>
        <v/>
      </c>
      <c r="U2895" s="1" t="str">
        <f>IF($T2895="","",$T2895&amp;"|"&amp;COUNTIFS($T$7:$T2895,$T2895))</f>
        <v/>
      </c>
      <c r="V2895" s="1">
        <f t="shared" si="368"/>
        <v>0</v>
      </c>
      <c r="W2895" s="1" t="str">
        <f t="shared" si="369"/>
        <v/>
      </c>
      <c r="X2895" s="1"/>
      <c r="Y2895" s="1"/>
      <c r="Z2895" s="1"/>
      <c r="AA2895" s="1"/>
      <c r="AB2895" s="1"/>
      <c r="AC2895" s="1"/>
      <c r="AD2895" s="1">
        <f>IF($C2895="",0,SUMPRODUCT((AY_SONU!$O$7:$O$42="Evet")*(AY_SONU!$B$7:$B$42=DATE(YEAR($C2895),MONTH($C2895),1))))</f>
        <v>0</v>
      </c>
      <c r="AE2895" s="1" t="str">
        <f>IF($E2895="","",$E2895&amp;"|"&amp;COUNTIFS($E$7:$E2895,$E2895))</f>
        <v/>
      </c>
    </row>
    <row r="2896" spans="1:31" ht="18" customHeight="1" x14ac:dyDescent="0.3">
      <c r="A2896" s="2"/>
      <c r="B2896" s="65" t="str">
        <f t="shared" si="362"/>
        <v/>
      </c>
      <c r="C2896" s="66"/>
      <c r="D2896" s="60"/>
      <c r="E2896" s="61"/>
      <c r="F2896" s="61"/>
      <c r="G2896" s="67"/>
      <c r="H2896" s="60"/>
      <c r="I2896" s="60"/>
      <c r="J2896" s="61"/>
      <c r="K2896" s="61"/>
      <c r="L2896" s="60"/>
      <c r="M2896" s="74" t="str">
        <f t="shared" si="363"/>
        <v/>
      </c>
      <c r="N2896" s="74" t="str">
        <f t="shared" si="364"/>
        <v/>
      </c>
      <c r="O2896" s="73" t="str">
        <f t="shared" si="365"/>
        <v/>
      </c>
      <c r="P2896" s="65" t="str">
        <f t="shared" ca="1" si="366"/>
        <v/>
      </c>
      <c r="Q2896" s="2"/>
      <c r="R2896" s="2"/>
      <c r="S2896" s="1" t="str">
        <f t="shared" si="367"/>
        <v/>
      </c>
      <c r="T2896" s="1" t="str">
        <f>IF(OR($C2896="",$D2896&lt;&gt;"Gelir",$L2896=""),"",IFERROR(INDEX(MUSTERILER!$B$7:$B$156,MATCH($S2896,MUSTERILER!$T$7:$T$156,0)),""))</f>
        <v/>
      </c>
      <c r="U2896" s="1" t="str">
        <f>IF($T2896="","",$T2896&amp;"|"&amp;COUNTIFS($T$7:$T2896,$T2896))</f>
        <v/>
      </c>
      <c r="V2896" s="1">
        <f t="shared" si="368"/>
        <v>0</v>
      </c>
      <c r="W2896" s="1" t="str">
        <f t="shared" si="369"/>
        <v/>
      </c>
      <c r="X2896" s="1"/>
      <c r="Y2896" s="1"/>
      <c r="Z2896" s="1"/>
      <c r="AA2896" s="1"/>
      <c r="AB2896" s="1"/>
      <c r="AC2896" s="1"/>
      <c r="AD2896" s="1">
        <f>IF($C2896="",0,SUMPRODUCT((AY_SONU!$O$7:$O$42="Evet")*(AY_SONU!$B$7:$B$42=DATE(YEAR($C2896),MONTH($C2896),1))))</f>
        <v>0</v>
      </c>
      <c r="AE2896" s="1" t="str">
        <f>IF($E2896="","",$E2896&amp;"|"&amp;COUNTIFS($E$7:$E2896,$E2896))</f>
        <v/>
      </c>
    </row>
    <row r="2897" spans="1:31" ht="18" customHeight="1" x14ac:dyDescent="0.3">
      <c r="A2897" s="2"/>
      <c r="B2897" s="65" t="str">
        <f t="shared" si="362"/>
        <v/>
      </c>
      <c r="C2897" s="66"/>
      <c r="D2897" s="60"/>
      <c r="E2897" s="61"/>
      <c r="F2897" s="61"/>
      <c r="G2897" s="67"/>
      <c r="H2897" s="60"/>
      <c r="I2897" s="60"/>
      <c r="J2897" s="61"/>
      <c r="K2897" s="61"/>
      <c r="L2897" s="60"/>
      <c r="M2897" s="74" t="str">
        <f t="shared" si="363"/>
        <v/>
      </c>
      <c r="N2897" s="74" t="str">
        <f t="shared" si="364"/>
        <v/>
      </c>
      <c r="O2897" s="73" t="str">
        <f t="shared" si="365"/>
        <v/>
      </c>
      <c r="P2897" s="65" t="str">
        <f t="shared" ca="1" si="366"/>
        <v/>
      </c>
      <c r="Q2897" s="2"/>
      <c r="R2897" s="2"/>
      <c r="S2897" s="1" t="str">
        <f t="shared" si="367"/>
        <v/>
      </c>
      <c r="T2897" s="1" t="str">
        <f>IF(OR($C2897="",$D2897&lt;&gt;"Gelir",$L2897=""),"",IFERROR(INDEX(MUSTERILER!$B$7:$B$156,MATCH($S2897,MUSTERILER!$T$7:$T$156,0)),""))</f>
        <v/>
      </c>
      <c r="U2897" s="1" t="str">
        <f>IF($T2897="","",$T2897&amp;"|"&amp;COUNTIFS($T$7:$T2897,$T2897))</f>
        <v/>
      </c>
      <c r="V2897" s="1">
        <f t="shared" si="368"/>
        <v>0</v>
      </c>
      <c r="W2897" s="1" t="str">
        <f t="shared" si="369"/>
        <v/>
      </c>
      <c r="X2897" s="1"/>
      <c r="Y2897" s="1"/>
      <c r="Z2897" s="1"/>
      <c r="AA2897" s="1"/>
      <c r="AB2897" s="1"/>
      <c r="AC2897" s="1"/>
      <c r="AD2897" s="1">
        <f>IF($C2897="",0,SUMPRODUCT((AY_SONU!$O$7:$O$42="Evet")*(AY_SONU!$B$7:$B$42=DATE(YEAR($C2897),MONTH($C2897),1))))</f>
        <v>0</v>
      </c>
      <c r="AE2897" s="1" t="str">
        <f>IF($E2897="","",$E2897&amp;"|"&amp;COUNTIFS($E$7:$E2897,$E2897))</f>
        <v/>
      </c>
    </row>
    <row r="2898" spans="1:31" ht="18" customHeight="1" x14ac:dyDescent="0.3">
      <c r="A2898" s="2"/>
      <c r="B2898" s="65" t="str">
        <f t="shared" si="362"/>
        <v/>
      </c>
      <c r="C2898" s="66"/>
      <c r="D2898" s="60"/>
      <c r="E2898" s="61"/>
      <c r="F2898" s="61"/>
      <c r="G2898" s="67"/>
      <c r="H2898" s="60"/>
      <c r="I2898" s="60"/>
      <c r="J2898" s="61"/>
      <c r="K2898" s="61"/>
      <c r="L2898" s="60"/>
      <c r="M2898" s="74" t="str">
        <f t="shared" si="363"/>
        <v/>
      </c>
      <c r="N2898" s="74" t="str">
        <f t="shared" si="364"/>
        <v/>
      </c>
      <c r="O2898" s="73" t="str">
        <f t="shared" si="365"/>
        <v/>
      </c>
      <c r="P2898" s="65" t="str">
        <f t="shared" ca="1" si="366"/>
        <v/>
      </c>
      <c r="Q2898" s="2"/>
      <c r="R2898" s="2"/>
      <c r="S2898" s="1" t="str">
        <f t="shared" si="367"/>
        <v/>
      </c>
      <c r="T2898" s="1" t="str">
        <f>IF(OR($C2898="",$D2898&lt;&gt;"Gelir",$L2898=""),"",IFERROR(INDEX(MUSTERILER!$B$7:$B$156,MATCH($S2898,MUSTERILER!$T$7:$T$156,0)),""))</f>
        <v/>
      </c>
      <c r="U2898" s="1" t="str">
        <f>IF($T2898="","",$T2898&amp;"|"&amp;COUNTIFS($T$7:$T2898,$T2898))</f>
        <v/>
      </c>
      <c r="V2898" s="1">
        <f t="shared" si="368"/>
        <v>0</v>
      </c>
      <c r="W2898" s="1" t="str">
        <f t="shared" si="369"/>
        <v/>
      </c>
      <c r="X2898" s="1"/>
      <c r="Y2898" s="1"/>
      <c r="Z2898" s="1"/>
      <c r="AA2898" s="1"/>
      <c r="AB2898" s="1"/>
      <c r="AC2898" s="1"/>
      <c r="AD2898" s="1">
        <f>IF($C2898="",0,SUMPRODUCT((AY_SONU!$O$7:$O$42="Evet")*(AY_SONU!$B$7:$B$42=DATE(YEAR($C2898),MONTH($C2898),1))))</f>
        <v>0</v>
      </c>
      <c r="AE2898" s="1" t="str">
        <f>IF($E2898="","",$E2898&amp;"|"&amp;COUNTIFS($E$7:$E2898,$E2898))</f>
        <v/>
      </c>
    </row>
    <row r="2899" spans="1:31" ht="18" customHeight="1" x14ac:dyDescent="0.3">
      <c r="A2899" s="2"/>
      <c r="B2899" s="65" t="str">
        <f t="shared" si="362"/>
        <v/>
      </c>
      <c r="C2899" s="66"/>
      <c r="D2899" s="60"/>
      <c r="E2899" s="61"/>
      <c r="F2899" s="61"/>
      <c r="G2899" s="67"/>
      <c r="H2899" s="60"/>
      <c r="I2899" s="60"/>
      <c r="J2899" s="61"/>
      <c r="K2899" s="61"/>
      <c r="L2899" s="60"/>
      <c r="M2899" s="74" t="str">
        <f t="shared" si="363"/>
        <v/>
      </c>
      <c r="N2899" s="74" t="str">
        <f t="shared" si="364"/>
        <v/>
      </c>
      <c r="O2899" s="73" t="str">
        <f t="shared" si="365"/>
        <v/>
      </c>
      <c r="P2899" s="65" t="str">
        <f t="shared" ca="1" si="366"/>
        <v/>
      </c>
      <c r="Q2899" s="2"/>
      <c r="R2899" s="2"/>
      <c r="S2899" s="1" t="str">
        <f t="shared" si="367"/>
        <v/>
      </c>
      <c r="T2899" s="1" t="str">
        <f>IF(OR($C2899="",$D2899&lt;&gt;"Gelir",$L2899=""),"",IFERROR(INDEX(MUSTERILER!$B$7:$B$156,MATCH($S2899,MUSTERILER!$T$7:$T$156,0)),""))</f>
        <v/>
      </c>
      <c r="U2899" s="1" t="str">
        <f>IF($T2899="","",$T2899&amp;"|"&amp;COUNTIFS($T$7:$T2899,$T2899))</f>
        <v/>
      </c>
      <c r="V2899" s="1">
        <f t="shared" si="368"/>
        <v>0</v>
      </c>
      <c r="W2899" s="1" t="str">
        <f t="shared" si="369"/>
        <v/>
      </c>
      <c r="X2899" s="1"/>
      <c r="Y2899" s="1"/>
      <c r="Z2899" s="1"/>
      <c r="AA2899" s="1"/>
      <c r="AB2899" s="1"/>
      <c r="AC2899" s="1"/>
      <c r="AD2899" s="1">
        <f>IF($C2899="",0,SUMPRODUCT((AY_SONU!$O$7:$O$42="Evet")*(AY_SONU!$B$7:$B$42=DATE(YEAR($C2899),MONTH($C2899),1))))</f>
        <v>0</v>
      </c>
      <c r="AE2899" s="1" t="str">
        <f>IF($E2899="","",$E2899&amp;"|"&amp;COUNTIFS($E$7:$E2899,$E2899))</f>
        <v/>
      </c>
    </row>
    <row r="2900" spans="1:31" ht="18" customHeight="1" x14ac:dyDescent="0.3">
      <c r="A2900" s="2"/>
      <c r="B2900" s="65" t="str">
        <f t="shared" si="362"/>
        <v/>
      </c>
      <c r="C2900" s="66"/>
      <c r="D2900" s="60"/>
      <c r="E2900" s="61"/>
      <c r="F2900" s="61"/>
      <c r="G2900" s="67"/>
      <c r="H2900" s="60"/>
      <c r="I2900" s="60"/>
      <c r="J2900" s="61"/>
      <c r="K2900" s="61"/>
      <c r="L2900" s="60"/>
      <c r="M2900" s="74" t="str">
        <f t="shared" si="363"/>
        <v/>
      </c>
      <c r="N2900" s="74" t="str">
        <f t="shared" si="364"/>
        <v/>
      </c>
      <c r="O2900" s="73" t="str">
        <f t="shared" si="365"/>
        <v/>
      </c>
      <c r="P2900" s="65" t="str">
        <f t="shared" ca="1" si="366"/>
        <v/>
      </c>
      <c r="Q2900" s="2"/>
      <c r="R2900" s="2"/>
      <c r="S2900" s="1" t="str">
        <f t="shared" si="367"/>
        <v/>
      </c>
      <c r="T2900" s="1" t="str">
        <f>IF(OR($C2900="",$D2900&lt;&gt;"Gelir",$L2900=""),"",IFERROR(INDEX(MUSTERILER!$B$7:$B$156,MATCH($S2900,MUSTERILER!$T$7:$T$156,0)),""))</f>
        <v/>
      </c>
      <c r="U2900" s="1" t="str">
        <f>IF($T2900="","",$T2900&amp;"|"&amp;COUNTIFS($T$7:$T2900,$T2900))</f>
        <v/>
      </c>
      <c r="V2900" s="1">
        <f t="shared" si="368"/>
        <v>0</v>
      </c>
      <c r="W2900" s="1" t="str">
        <f t="shared" si="369"/>
        <v/>
      </c>
      <c r="X2900" s="1"/>
      <c r="Y2900" s="1"/>
      <c r="Z2900" s="1"/>
      <c r="AA2900" s="1"/>
      <c r="AB2900" s="1"/>
      <c r="AC2900" s="1"/>
      <c r="AD2900" s="1">
        <f>IF($C2900="",0,SUMPRODUCT((AY_SONU!$O$7:$O$42="Evet")*(AY_SONU!$B$7:$B$42=DATE(YEAR($C2900),MONTH($C2900),1))))</f>
        <v>0</v>
      </c>
      <c r="AE2900" s="1" t="str">
        <f>IF($E2900="","",$E2900&amp;"|"&amp;COUNTIFS($E$7:$E2900,$E2900))</f>
        <v/>
      </c>
    </row>
    <row r="2901" spans="1:31" ht="18" customHeight="1" x14ac:dyDescent="0.3">
      <c r="A2901" s="2"/>
      <c r="B2901" s="65" t="str">
        <f t="shared" si="362"/>
        <v/>
      </c>
      <c r="C2901" s="66"/>
      <c r="D2901" s="60"/>
      <c r="E2901" s="61"/>
      <c r="F2901" s="61"/>
      <c r="G2901" s="67"/>
      <c r="H2901" s="60"/>
      <c r="I2901" s="60"/>
      <c r="J2901" s="61"/>
      <c r="K2901" s="61"/>
      <c r="L2901" s="60"/>
      <c r="M2901" s="74" t="str">
        <f t="shared" si="363"/>
        <v/>
      </c>
      <c r="N2901" s="74" t="str">
        <f t="shared" si="364"/>
        <v/>
      </c>
      <c r="O2901" s="73" t="str">
        <f t="shared" si="365"/>
        <v/>
      </c>
      <c r="P2901" s="65" t="str">
        <f t="shared" ca="1" si="366"/>
        <v/>
      </c>
      <c r="Q2901" s="2"/>
      <c r="R2901" s="2"/>
      <c r="S2901" s="1" t="str">
        <f t="shared" si="367"/>
        <v/>
      </c>
      <c r="T2901" s="1" t="str">
        <f>IF(OR($C2901="",$D2901&lt;&gt;"Gelir",$L2901=""),"",IFERROR(INDEX(MUSTERILER!$B$7:$B$156,MATCH($S2901,MUSTERILER!$T$7:$T$156,0)),""))</f>
        <v/>
      </c>
      <c r="U2901" s="1" t="str">
        <f>IF($T2901="","",$T2901&amp;"|"&amp;COUNTIFS($T$7:$T2901,$T2901))</f>
        <v/>
      </c>
      <c r="V2901" s="1">
        <f t="shared" si="368"/>
        <v>0</v>
      </c>
      <c r="W2901" s="1" t="str">
        <f t="shared" si="369"/>
        <v/>
      </c>
      <c r="X2901" s="1"/>
      <c r="Y2901" s="1"/>
      <c r="Z2901" s="1"/>
      <c r="AA2901" s="1"/>
      <c r="AB2901" s="1"/>
      <c r="AC2901" s="1"/>
      <c r="AD2901" s="1">
        <f>IF($C2901="",0,SUMPRODUCT((AY_SONU!$O$7:$O$42="Evet")*(AY_SONU!$B$7:$B$42=DATE(YEAR($C2901),MONTH($C2901),1))))</f>
        <v>0</v>
      </c>
      <c r="AE2901" s="1" t="str">
        <f>IF($E2901="","",$E2901&amp;"|"&amp;COUNTIFS($E$7:$E2901,$E2901))</f>
        <v/>
      </c>
    </row>
    <row r="2902" spans="1:31" ht="18" customHeight="1" x14ac:dyDescent="0.3">
      <c r="A2902" s="2"/>
      <c r="B2902" s="65" t="str">
        <f t="shared" si="362"/>
        <v/>
      </c>
      <c r="C2902" s="66"/>
      <c r="D2902" s="60"/>
      <c r="E2902" s="61"/>
      <c r="F2902" s="61"/>
      <c r="G2902" s="67"/>
      <c r="H2902" s="60"/>
      <c r="I2902" s="60"/>
      <c r="J2902" s="61"/>
      <c r="K2902" s="61"/>
      <c r="L2902" s="60"/>
      <c r="M2902" s="74" t="str">
        <f t="shared" si="363"/>
        <v/>
      </c>
      <c r="N2902" s="74" t="str">
        <f t="shared" si="364"/>
        <v/>
      </c>
      <c r="O2902" s="73" t="str">
        <f t="shared" si="365"/>
        <v/>
      </c>
      <c r="P2902" s="65" t="str">
        <f t="shared" ca="1" si="366"/>
        <v/>
      </c>
      <c r="Q2902" s="2"/>
      <c r="R2902" s="2"/>
      <c r="S2902" s="1" t="str">
        <f t="shared" si="367"/>
        <v/>
      </c>
      <c r="T2902" s="1" t="str">
        <f>IF(OR($C2902="",$D2902&lt;&gt;"Gelir",$L2902=""),"",IFERROR(INDEX(MUSTERILER!$B$7:$B$156,MATCH($S2902,MUSTERILER!$T$7:$T$156,0)),""))</f>
        <v/>
      </c>
      <c r="U2902" s="1" t="str">
        <f>IF($T2902="","",$T2902&amp;"|"&amp;COUNTIFS($T$7:$T2902,$T2902))</f>
        <v/>
      </c>
      <c r="V2902" s="1">
        <f t="shared" si="368"/>
        <v>0</v>
      </c>
      <c r="W2902" s="1" t="str">
        <f t="shared" si="369"/>
        <v/>
      </c>
      <c r="X2902" s="1"/>
      <c r="Y2902" s="1"/>
      <c r="Z2902" s="1"/>
      <c r="AA2902" s="1"/>
      <c r="AB2902" s="1"/>
      <c r="AC2902" s="1"/>
      <c r="AD2902" s="1">
        <f>IF($C2902="",0,SUMPRODUCT((AY_SONU!$O$7:$O$42="Evet")*(AY_SONU!$B$7:$B$42=DATE(YEAR($C2902),MONTH($C2902),1))))</f>
        <v>0</v>
      </c>
      <c r="AE2902" s="1" t="str">
        <f>IF($E2902="","",$E2902&amp;"|"&amp;COUNTIFS($E$7:$E2902,$E2902))</f>
        <v/>
      </c>
    </row>
    <row r="2903" spans="1:31" ht="18" customHeight="1" x14ac:dyDescent="0.3">
      <c r="A2903" s="2"/>
      <c r="B2903" s="65" t="str">
        <f t="shared" si="362"/>
        <v/>
      </c>
      <c r="C2903" s="66"/>
      <c r="D2903" s="60"/>
      <c r="E2903" s="61"/>
      <c r="F2903" s="61"/>
      <c r="G2903" s="67"/>
      <c r="H2903" s="60"/>
      <c r="I2903" s="60"/>
      <c r="J2903" s="61"/>
      <c r="K2903" s="61"/>
      <c r="L2903" s="60"/>
      <c r="M2903" s="74" t="str">
        <f t="shared" si="363"/>
        <v/>
      </c>
      <c r="N2903" s="74" t="str">
        <f t="shared" si="364"/>
        <v/>
      </c>
      <c r="O2903" s="73" t="str">
        <f t="shared" si="365"/>
        <v/>
      </c>
      <c r="P2903" s="65" t="str">
        <f t="shared" ca="1" si="366"/>
        <v/>
      </c>
      <c r="Q2903" s="2"/>
      <c r="R2903" s="2"/>
      <c r="S2903" s="1" t="str">
        <f t="shared" si="367"/>
        <v/>
      </c>
      <c r="T2903" s="1" t="str">
        <f>IF(OR($C2903="",$D2903&lt;&gt;"Gelir",$L2903=""),"",IFERROR(INDEX(MUSTERILER!$B$7:$B$156,MATCH($S2903,MUSTERILER!$T$7:$T$156,0)),""))</f>
        <v/>
      </c>
      <c r="U2903" s="1" t="str">
        <f>IF($T2903="","",$T2903&amp;"|"&amp;COUNTIFS($T$7:$T2903,$T2903))</f>
        <v/>
      </c>
      <c r="V2903" s="1">
        <f t="shared" si="368"/>
        <v>0</v>
      </c>
      <c r="W2903" s="1" t="str">
        <f t="shared" si="369"/>
        <v/>
      </c>
      <c r="X2903" s="1"/>
      <c r="Y2903" s="1"/>
      <c r="Z2903" s="1"/>
      <c r="AA2903" s="1"/>
      <c r="AB2903" s="1"/>
      <c r="AC2903" s="1"/>
      <c r="AD2903" s="1">
        <f>IF($C2903="",0,SUMPRODUCT((AY_SONU!$O$7:$O$42="Evet")*(AY_SONU!$B$7:$B$42=DATE(YEAR($C2903),MONTH($C2903),1))))</f>
        <v>0</v>
      </c>
      <c r="AE2903" s="1" t="str">
        <f>IF($E2903="","",$E2903&amp;"|"&amp;COUNTIFS($E$7:$E2903,$E2903))</f>
        <v/>
      </c>
    </row>
    <row r="2904" spans="1:31" ht="18" customHeight="1" x14ac:dyDescent="0.3">
      <c r="A2904" s="2"/>
      <c r="B2904" s="65" t="str">
        <f t="shared" si="362"/>
        <v/>
      </c>
      <c r="C2904" s="66"/>
      <c r="D2904" s="60"/>
      <c r="E2904" s="61"/>
      <c r="F2904" s="61"/>
      <c r="G2904" s="67"/>
      <c r="H2904" s="60"/>
      <c r="I2904" s="60"/>
      <c r="J2904" s="61"/>
      <c r="K2904" s="61"/>
      <c r="L2904" s="60"/>
      <c r="M2904" s="74" t="str">
        <f t="shared" si="363"/>
        <v/>
      </c>
      <c r="N2904" s="74" t="str">
        <f t="shared" si="364"/>
        <v/>
      </c>
      <c r="O2904" s="73" t="str">
        <f t="shared" si="365"/>
        <v/>
      </c>
      <c r="P2904" s="65" t="str">
        <f t="shared" ca="1" si="366"/>
        <v/>
      </c>
      <c r="Q2904" s="2"/>
      <c r="R2904" s="2"/>
      <c r="S2904" s="1" t="str">
        <f t="shared" si="367"/>
        <v/>
      </c>
      <c r="T2904" s="1" t="str">
        <f>IF(OR($C2904="",$D2904&lt;&gt;"Gelir",$L2904=""),"",IFERROR(INDEX(MUSTERILER!$B$7:$B$156,MATCH($S2904,MUSTERILER!$T$7:$T$156,0)),""))</f>
        <v/>
      </c>
      <c r="U2904" s="1" t="str">
        <f>IF($T2904="","",$T2904&amp;"|"&amp;COUNTIFS($T$7:$T2904,$T2904))</f>
        <v/>
      </c>
      <c r="V2904" s="1">
        <f t="shared" si="368"/>
        <v>0</v>
      </c>
      <c r="W2904" s="1" t="str">
        <f t="shared" si="369"/>
        <v/>
      </c>
      <c r="X2904" s="1"/>
      <c r="Y2904" s="1"/>
      <c r="Z2904" s="1"/>
      <c r="AA2904" s="1"/>
      <c r="AB2904" s="1"/>
      <c r="AC2904" s="1"/>
      <c r="AD2904" s="1">
        <f>IF($C2904="",0,SUMPRODUCT((AY_SONU!$O$7:$O$42="Evet")*(AY_SONU!$B$7:$B$42=DATE(YEAR($C2904),MONTH($C2904),1))))</f>
        <v>0</v>
      </c>
      <c r="AE2904" s="1" t="str">
        <f>IF($E2904="","",$E2904&amp;"|"&amp;COUNTIFS($E$7:$E2904,$E2904))</f>
        <v/>
      </c>
    </row>
    <row r="2905" spans="1:31" ht="18" customHeight="1" x14ac:dyDescent="0.3">
      <c r="A2905" s="2"/>
      <c r="B2905" s="65" t="str">
        <f t="shared" si="362"/>
        <v/>
      </c>
      <c r="C2905" s="66"/>
      <c r="D2905" s="60"/>
      <c r="E2905" s="61"/>
      <c r="F2905" s="61"/>
      <c r="G2905" s="67"/>
      <c r="H2905" s="60"/>
      <c r="I2905" s="60"/>
      <c r="J2905" s="61"/>
      <c r="K2905" s="61"/>
      <c r="L2905" s="60"/>
      <c r="M2905" s="74" t="str">
        <f t="shared" si="363"/>
        <v/>
      </c>
      <c r="N2905" s="74" t="str">
        <f t="shared" si="364"/>
        <v/>
      </c>
      <c r="O2905" s="73" t="str">
        <f t="shared" si="365"/>
        <v/>
      </c>
      <c r="P2905" s="65" t="str">
        <f t="shared" ca="1" si="366"/>
        <v/>
      </c>
      <c r="Q2905" s="2"/>
      <c r="R2905" s="2"/>
      <c r="S2905" s="1" t="str">
        <f t="shared" si="367"/>
        <v/>
      </c>
      <c r="T2905" s="1" t="str">
        <f>IF(OR($C2905="",$D2905&lt;&gt;"Gelir",$L2905=""),"",IFERROR(INDEX(MUSTERILER!$B$7:$B$156,MATCH($S2905,MUSTERILER!$T$7:$T$156,0)),""))</f>
        <v/>
      </c>
      <c r="U2905" s="1" t="str">
        <f>IF($T2905="","",$T2905&amp;"|"&amp;COUNTIFS($T$7:$T2905,$T2905))</f>
        <v/>
      </c>
      <c r="V2905" s="1">
        <f t="shared" si="368"/>
        <v>0</v>
      </c>
      <c r="W2905" s="1" t="str">
        <f t="shared" si="369"/>
        <v/>
      </c>
      <c r="X2905" s="1"/>
      <c r="Y2905" s="1"/>
      <c r="Z2905" s="1"/>
      <c r="AA2905" s="1"/>
      <c r="AB2905" s="1"/>
      <c r="AC2905" s="1"/>
      <c r="AD2905" s="1">
        <f>IF($C2905="",0,SUMPRODUCT((AY_SONU!$O$7:$O$42="Evet")*(AY_SONU!$B$7:$B$42=DATE(YEAR($C2905),MONTH($C2905),1))))</f>
        <v>0</v>
      </c>
      <c r="AE2905" s="1" t="str">
        <f>IF($E2905="","",$E2905&amp;"|"&amp;COUNTIFS($E$7:$E2905,$E2905))</f>
        <v/>
      </c>
    </row>
    <row r="2906" spans="1:31" ht="18" customHeight="1" x14ac:dyDescent="0.3">
      <c r="A2906" s="2"/>
      <c r="B2906" s="65" t="str">
        <f t="shared" si="362"/>
        <v/>
      </c>
      <c r="C2906" s="66"/>
      <c r="D2906" s="60"/>
      <c r="E2906" s="61"/>
      <c r="F2906" s="61"/>
      <c r="G2906" s="67"/>
      <c r="H2906" s="60"/>
      <c r="I2906" s="60"/>
      <c r="J2906" s="61"/>
      <c r="K2906" s="61"/>
      <c r="L2906" s="60"/>
      <c r="M2906" s="74" t="str">
        <f t="shared" si="363"/>
        <v/>
      </c>
      <c r="N2906" s="74" t="str">
        <f t="shared" si="364"/>
        <v/>
      </c>
      <c r="O2906" s="73" t="str">
        <f t="shared" si="365"/>
        <v/>
      </c>
      <c r="P2906" s="65" t="str">
        <f t="shared" ca="1" si="366"/>
        <v/>
      </c>
      <c r="Q2906" s="2"/>
      <c r="R2906" s="2"/>
      <c r="S2906" s="1" t="str">
        <f t="shared" si="367"/>
        <v/>
      </c>
      <c r="T2906" s="1" t="str">
        <f>IF(OR($C2906="",$D2906&lt;&gt;"Gelir",$L2906=""),"",IFERROR(INDEX(MUSTERILER!$B$7:$B$156,MATCH($S2906,MUSTERILER!$T$7:$T$156,0)),""))</f>
        <v/>
      </c>
      <c r="U2906" s="1" t="str">
        <f>IF($T2906="","",$T2906&amp;"|"&amp;COUNTIFS($T$7:$T2906,$T2906))</f>
        <v/>
      </c>
      <c r="V2906" s="1">
        <f t="shared" si="368"/>
        <v>0</v>
      </c>
      <c r="W2906" s="1" t="str">
        <f t="shared" si="369"/>
        <v/>
      </c>
      <c r="X2906" s="1"/>
      <c r="Y2906" s="1"/>
      <c r="Z2906" s="1"/>
      <c r="AA2906" s="1"/>
      <c r="AB2906" s="1"/>
      <c r="AC2906" s="1"/>
      <c r="AD2906" s="1">
        <f>IF($C2906="",0,SUMPRODUCT((AY_SONU!$O$7:$O$42="Evet")*(AY_SONU!$B$7:$B$42=DATE(YEAR($C2906),MONTH($C2906),1))))</f>
        <v>0</v>
      </c>
      <c r="AE2906" s="1" t="str">
        <f>IF($E2906="","",$E2906&amp;"|"&amp;COUNTIFS($E$7:$E2906,$E2906))</f>
        <v/>
      </c>
    </row>
    <row r="2907" spans="1:31" ht="18" customHeight="1" x14ac:dyDescent="0.3">
      <c r="A2907" s="2"/>
      <c r="B2907" s="65" t="str">
        <f t="shared" si="362"/>
        <v/>
      </c>
      <c r="C2907" s="66"/>
      <c r="D2907" s="60"/>
      <c r="E2907" s="61"/>
      <c r="F2907" s="61"/>
      <c r="G2907" s="67"/>
      <c r="H2907" s="60"/>
      <c r="I2907" s="60"/>
      <c r="J2907" s="61"/>
      <c r="K2907" s="61"/>
      <c r="L2907" s="60"/>
      <c r="M2907" s="74" t="str">
        <f t="shared" si="363"/>
        <v/>
      </c>
      <c r="N2907" s="74" t="str">
        <f t="shared" si="364"/>
        <v/>
      </c>
      <c r="O2907" s="73" t="str">
        <f t="shared" si="365"/>
        <v/>
      </c>
      <c r="P2907" s="65" t="str">
        <f t="shared" ca="1" si="366"/>
        <v/>
      </c>
      <c r="Q2907" s="2"/>
      <c r="R2907" s="2"/>
      <c r="S2907" s="1" t="str">
        <f t="shared" si="367"/>
        <v/>
      </c>
      <c r="T2907" s="1" t="str">
        <f>IF(OR($C2907="",$D2907&lt;&gt;"Gelir",$L2907=""),"",IFERROR(INDEX(MUSTERILER!$B$7:$B$156,MATCH($S2907,MUSTERILER!$T$7:$T$156,0)),""))</f>
        <v/>
      </c>
      <c r="U2907" s="1" t="str">
        <f>IF($T2907="","",$T2907&amp;"|"&amp;COUNTIFS($T$7:$T2907,$T2907))</f>
        <v/>
      </c>
      <c r="V2907" s="1">
        <f t="shared" si="368"/>
        <v>0</v>
      </c>
      <c r="W2907" s="1" t="str">
        <f t="shared" si="369"/>
        <v/>
      </c>
      <c r="X2907" s="1"/>
      <c r="Y2907" s="1"/>
      <c r="Z2907" s="1"/>
      <c r="AA2907" s="1"/>
      <c r="AB2907" s="1"/>
      <c r="AC2907" s="1"/>
      <c r="AD2907" s="1">
        <f>IF($C2907="",0,SUMPRODUCT((AY_SONU!$O$7:$O$42="Evet")*(AY_SONU!$B$7:$B$42=DATE(YEAR($C2907),MONTH($C2907),1))))</f>
        <v>0</v>
      </c>
      <c r="AE2907" s="1" t="str">
        <f>IF($E2907="","",$E2907&amp;"|"&amp;COUNTIFS($E$7:$E2907,$E2907))</f>
        <v/>
      </c>
    </row>
    <row r="2908" spans="1:31" ht="18" customHeight="1" x14ac:dyDescent="0.3">
      <c r="A2908" s="2"/>
      <c r="B2908" s="65" t="str">
        <f t="shared" si="362"/>
        <v/>
      </c>
      <c r="C2908" s="66"/>
      <c r="D2908" s="60"/>
      <c r="E2908" s="61"/>
      <c r="F2908" s="61"/>
      <c r="G2908" s="67"/>
      <c r="H2908" s="60"/>
      <c r="I2908" s="60"/>
      <c r="J2908" s="61"/>
      <c r="K2908" s="61"/>
      <c r="L2908" s="60"/>
      <c r="M2908" s="74" t="str">
        <f t="shared" si="363"/>
        <v/>
      </c>
      <c r="N2908" s="74" t="str">
        <f t="shared" si="364"/>
        <v/>
      </c>
      <c r="O2908" s="73" t="str">
        <f t="shared" si="365"/>
        <v/>
      </c>
      <c r="P2908" s="65" t="str">
        <f t="shared" ca="1" si="366"/>
        <v/>
      </c>
      <c r="Q2908" s="2"/>
      <c r="R2908" s="2"/>
      <c r="S2908" s="1" t="str">
        <f t="shared" si="367"/>
        <v/>
      </c>
      <c r="T2908" s="1" t="str">
        <f>IF(OR($C2908="",$D2908&lt;&gt;"Gelir",$L2908=""),"",IFERROR(INDEX(MUSTERILER!$B$7:$B$156,MATCH($S2908,MUSTERILER!$T$7:$T$156,0)),""))</f>
        <v/>
      </c>
      <c r="U2908" s="1" t="str">
        <f>IF($T2908="","",$T2908&amp;"|"&amp;COUNTIFS($T$7:$T2908,$T2908))</f>
        <v/>
      </c>
      <c r="V2908" s="1">
        <f t="shared" si="368"/>
        <v>0</v>
      </c>
      <c r="W2908" s="1" t="str">
        <f t="shared" si="369"/>
        <v/>
      </c>
      <c r="X2908" s="1"/>
      <c r="Y2908" s="1"/>
      <c r="Z2908" s="1"/>
      <c r="AA2908" s="1"/>
      <c r="AB2908" s="1"/>
      <c r="AC2908" s="1"/>
      <c r="AD2908" s="1">
        <f>IF($C2908="",0,SUMPRODUCT((AY_SONU!$O$7:$O$42="Evet")*(AY_SONU!$B$7:$B$42=DATE(YEAR($C2908),MONTH($C2908),1))))</f>
        <v>0</v>
      </c>
      <c r="AE2908" s="1" t="str">
        <f>IF($E2908="","",$E2908&amp;"|"&amp;COUNTIFS($E$7:$E2908,$E2908))</f>
        <v/>
      </c>
    </row>
    <row r="2909" spans="1:31" ht="18" customHeight="1" x14ac:dyDescent="0.3">
      <c r="A2909" s="2"/>
      <c r="B2909" s="65" t="str">
        <f t="shared" si="362"/>
        <v/>
      </c>
      <c r="C2909" s="66"/>
      <c r="D2909" s="60"/>
      <c r="E2909" s="61"/>
      <c r="F2909" s="61"/>
      <c r="G2909" s="67"/>
      <c r="H2909" s="60"/>
      <c r="I2909" s="60"/>
      <c r="J2909" s="61"/>
      <c r="K2909" s="61"/>
      <c r="L2909" s="60"/>
      <c r="M2909" s="74" t="str">
        <f t="shared" si="363"/>
        <v/>
      </c>
      <c r="N2909" s="74" t="str">
        <f t="shared" si="364"/>
        <v/>
      </c>
      <c r="O2909" s="73" t="str">
        <f t="shared" si="365"/>
        <v/>
      </c>
      <c r="P2909" s="65" t="str">
        <f t="shared" ca="1" si="366"/>
        <v/>
      </c>
      <c r="Q2909" s="2"/>
      <c r="R2909" s="2"/>
      <c r="S2909" s="1" t="str">
        <f t="shared" si="367"/>
        <v/>
      </c>
      <c r="T2909" s="1" t="str">
        <f>IF(OR($C2909="",$D2909&lt;&gt;"Gelir",$L2909=""),"",IFERROR(INDEX(MUSTERILER!$B$7:$B$156,MATCH($S2909,MUSTERILER!$T$7:$T$156,0)),""))</f>
        <v/>
      </c>
      <c r="U2909" s="1" t="str">
        <f>IF($T2909="","",$T2909&amp;"|"&amp;COUNTIFS($T$7:$T2909,$T2909))</f>
        <v/>
      </c>
      <c r="V2909" s="1">
        <f t="shared" si="368"/>
        <v>0</v>
      </c>
      <c r="W2909" s="1" t="str">
        <f t="shared" si="369"/>
        <v/>
      </c>
      <c r="X2909" s="1"/>
      <c r="Y2909" s="1"/>
      <c r="Z2909" s="1"/>
      <c r="AA2909" s="1"/>
      <c r="AB2909" s="1"/>
      <c r="AC2909" s="1"/>
      <c r="AD2909" s="1">
        <f>IF($C2909="",0,SUMPRODUCT((AY_SONU!$O$7:$O$42="Evet")*(AY_SONU!$B$7:$B$42=DATE(YEAR($C2909),MONTH($C2909),1))))</f>
        <v>0</v>
      </c>
      <c r="AE2909" s="1" t="str">
        <f>IF($E2909="","",$E2909&amp;"|"&amp;COUNTIFS($E$7:$E2909,$E2909))</f>
        <v/>
      </c>
    </row>
    <row r="2910" spans="1:31" ht="18" customHeight="1" x14ac:dyDescent="0.3">
      <c r="A2910" s="2"/>
      <c r="B2910" s="65" t="str">
        <f t="shared" si="362"/>
        <v/>
      </c>
      <c r="C2910" s="66"/>
      <c r="D2910" s="60"/>
      <c r="E2910" s="61"/>
      <c r="F2910" s="61"/>
      <c r="G2910" s="67"/>
      <c r="H2910" s="60"/>
      <c r="I2910" s="60"/>
      <c r="J2910" s="61"/>
      <c r="K2910" s="61"/>
      <c r="L2910" s="60"/>
      <c r="M2910" s="74" t="str">
        <f t="shared" si="363"/>
        <v/>
      </c>
      <c r="N2910" s="74" t="str">
        <f t="shared" si="364"/>
        <v/>
      </c>
      <c r="O2910" s="73" t="str">
        <f t="shared" si="365"/>
        <v/>
      </c>
      <c r="P2910" s="65" t="str">
        <f t="shared" ca="1" si="366"/>
        <v/>
      </c>
      <c r="Q2910" s="2"/>
      <c r="R2910" s="2"/>
      <c r="S2910" s="1" t="str">
        <f t="shared" si="367"/>
        <v/>
      </c>
      <c r="T2910" s="1" t="str">
        <f>IF(OR($C2910="",$D2910&lt;&gt;"Gelir",$L2910=""),"",IFERROR(INDEX(MUSTERILER!$B$7:$B$156,MATCH($S2910,MUSTERILER!$T$7:$T$156,0)),""))</f>
        <v/>
      </c>
      <c r="U2910" s="1" t="str">
        <f>IF($T2910="","",$T2910&amp;"|"&amp;COUNTIFS($T$7:$T2910,$T2910))</f>
        <v/>
      </c>
      <c r="V2910" s="1">
        <f t="shared" si="368"/>
        <v>0</v>
      </c>
      <c r="W2910" s="1" t="str">
        <f t="shared" si="369"/>
        <v/>
      </c>
      <c r="X2910" s="1"/>
      <c r="Y2910" s="1"/>
      <c r="Z2910" s="1"/>
      <c r="AA2910" s="1"/>
      <c r="AB2910" s="1"/>
      <c r="AC2910" s="1"/>
      <c r="AD2910" s="1">
        <f>IF($C2910="",0,SUMPRODUCT((AY_SONU!$O$7:$O$42="Evet")*(AY_SONU!$B$7:$B$42=DATE(YEAR($C2910),MONTH($C2910),1))))</f>
        <v>0</v>
      </c>
      <c r="AE2910" s="1" t="str">
        <f>IF($E2910="","",$E2910&amp;"|"&amp;COUNTIFS($E$7:$E2910,$E2910))</f>
        <v/>
      </c>
    </row>
    <row r="2911" spans="1:31" ht="18" customHeight="1" x14ac:dyDescent="0.3">
      <c r="A2911" s="2"/>
      <c r="B2911" s="65" t="str">
        <f t="shared" si="362"/>
        <v/>
      </c>
      <c r="C2911" s="66"/>
      <c r="D2911" s="60"/>
      <c r="E2911" s="61"/>
      <c r="F2911" s="61"/>
      <c r="G2911" s="67"/>
      <c r="H2911" s="60"/>
      <c r="I2911" s="60"/>
      <c r="J2911" s="61"/>
      <c r="K2911" s="61"/>
      <c r="L2911" s="60"/>
      <c r="M2911" s="74" t="str">
        <f t="shared" si="363"/>
        <v/>
      </c>
      <c r="N2911" s="74" t="str">
        <f t="shared" si="364"/>
        <v/>
      </c>
      <c r="O2911" s="73" t="str">
        <f t="shared" si="365"/>
        <v/>
      </c>
      <c r="P2911" s="65" t="str">
        <f t="shared" ca="1" si="366"/>
        <v/>
      </c>
      <c r="Q2911" s="2"/>
      <c r="R2911" s="2"/>
      <c r="S2911" s="1" t="str">
        <f t="shared" si="367"/>
        <v/>
      </c>
      <c r="T2911" s="1" t="str">
        <f>IF(OR($C2911="",$D2911&lt;&gt;"Gelir",$L2911=""),"",IFERROR(INDEX(MUSTERILER!$B$7:$B$156,MATCH($S2911,MUSTERILER!$T$7:$T$156,0)),""))</f>
        <v/>
      </c>
      <c r="U2911" s="1" t="str">
        <f>IF($T2911="","",$T2911&amp;"|"&amp;COUNTIFS($T$7:$T2911,$T2911))</f>
        <v/>
      </c>
      <c r="V2911" s="1">
        <f t="shared" si="368"/>
        <v>0</v>
      </c>
      <c r="W2911" s="1" t="str">
        <f t="shared" si="369"/>
        <v/>
      </c>
      <c r="X2911" s="1"/>
      <c r="Y2911" s="1"/>
      <c r="Z2911" s="1"/>
      <c r="AA2911" s="1"/>
      <c r="AB2911" s="1"/>
      <c r="AC2911" s="1"/>
      <c r="AD2911" s="1">
        <f>IF($C2911="",0,SUMPRODUCT((AY_SONU!$O$7:$O$42="Evet")*(AY_SONU!$B$7:$B$42=DATE(YEAR($C2911),MONTH($C2911),1))))</f>
        <v>0</v>
      </c>
      <c r="AE2911" s="1" t="str">
        <f>IF($E2911="","",$E2911&amp;"|"&amp;COUNTIFS($E$7:$E2911,$E2911))</f>
        <v/>
      </c>
    </row>
    <row r="2912" spans="1:31" ht="18" customHeight="1" x14ac:dyDescent="0.3">
      <c r="A2912" s="2"/>
      <c r="B2912" s="65" t="str">
        <f t="shared" si="362"/>
        <v/>
      </c>
      <c r="C2912" s="66"/>
      <c r="D2912" s="60"/>
      <c r="E2912" s="61"/>
      <c r="F2912" s="61"/>
      <c r="G2912" s="67"/>
      <c r="H2912" s="60"/>
      <c r="I2912" s="60"/>
      <c r="J2912" s="61"/>
      <c r="K2912" s="61"/>
      <c r="L2912" s="60"/>
      <c r="M2912" s="74" t="str">
        <f t="shared" si="363"/>
        <v/>
      </c>
      <c r="N2912" s="74" t="str">
        <f t="shared" si="364"/>
        <v/>
      </c>
      <c r="O2912" s="73" t="str">
        <f t="shared" si="365"/>
        <v/>
      </c>
      <c r="P2912" s="65" t="str">
        <f t="shared" ca="1" si="366"/>
        <v/>
      </c>
      <c r="Q2912" s="2"/>
      <c r="R2912" s="2"/>
      <c r="S2912" s="1" t="str">
        <f t="shared" si="367"/>
        <v/>
      </c>
      <c r="T2912" s="1" t="str">
        <f>IF(OR($C2912="",$D2912&lt;&gt;"Gelir",$L2912=""),"",IFERROR(INDEX(MUSTERILER!$B$7:$B$156,MATCH($S2912,MUSTERILER!$T$7:$T$156,0)),""))</f>
        <v/>
      </c>
      <c r="U2912" s="1" t="str">
        <f>IF($T2912="","",$T2912&amp;"|"&amp;COUNTIFS($T$7:$T2912,$T2912))</f>
        <v/>
      </c>
      <c r="V2912" s="1">
        <f t="shared" si="368"/>
        <v>0</v>
      </c>
      <c r="W2912" s="1" t="str">
        <f t="shared" si="369"/>
        <v/>
      </c>
      <c r="X2912" s="1"/>
      <c r="Y2912" s="1"/>
      <c r="Z2912" s="1"/>
      <c r="AA2912" s="1"/>
      <c r="AB2912" s="1"/>
      <c r="AC2912" s="1"/>
      <c r="AD2912" s="1">
        <f>IF($C2912="",0,SUMPRODUCT((AY_SONU!$O$7:$O$42="Evet")*(AY_SONU!$B$7:$B$42=DATE(YEAR($C2912),MONTH($C2912),1))))</f>
        <v>0</v>
      </c>
      <c r="AE2912" s="1" t="str">
        <f>IF($E2912="","",$E2912&amp;"|"&amp;COUNTIFS($E$7:$E2912,$E2912))</f>
        <v/>
      </c>
    </row>
    <row r="2913" spans="1:31" ht="18" customHeight="1" x14ac:dyDescent="0.3">
      <c r="A2913" s="2"/>
      <c r="B2913" s="65" t="str">
        <f t="shared" si="362"/>
        <v/>
      </c>
      <c r="C2913" s="66"/>
      <c r="D2913" s="60"/>
      <c r="E2913" s="61"/>
      <c r="F2913" s="61"/>
      <c r="G2913" s="67"/>
      <c r="H2913" s="60"/>
      <c r="I2913" s="60"/>
      <c r="J2913" s="61"/>
      <c r="K2913" s="61"/>
      <c r="L2913" s="60"/>
      <c r="M2913" s="74" t="str">
        <f t="shared" si="363"/>
        <v/>
      </c>
      <c r="N2913" s="74" t="str">
        <f t="shared" si="364"/>
        <v/>
      </c>
      <c r="O2913" s="73" t="str">
        <f t="shared" si="365"/>
        <v/>
      </c>
      <c r="P2913" s="65" t="str">
        <f t="shared" ca="1" si="366"/>
        <v/>
      </c>
      <c r="Q2913" s="2"/>
      <c r="R2913" s="2"/>
      <c r="S2913" s="1" t="str">
        <f t="shared" si="367"/>
        <v/>
      </c>
      <c r="T2913" s="1" t="str">
        <f>IF(OR($C2913="",$D2913&lt;&gt;"Gelir",$L2913=""),"",IFERROR(INDEX(MUSTERILER!$B$7:$B$156,MATCH($S2913,MUSTERILER!$T$7:$T$156,0)),""))</f>
        <v/>
      </c>
      <c r="U2913" s="1" t="str">
        <f>IF($T2913="","",$T2913&amp;"|"&amp;COUNTIFS($T$7:$T2913,$T2913))</f>
        <v/>
      </c>
      <c r="V2913" s="1">
        <f t="shared" si="368"/>
        <v>0</v>
      </c>
      <c r="W2913" s="1" t="str">
        <f t="shared" si="369"/>
        <v/>
      </c>
      <c r="X2913" s="1"/>
      <c r="Y2913" s="1"/>
      <c r="Z2913" s="1"/>
      <c r="AA2913" s="1"/>
      <c r="AB2913" s="1"/>
      <c r="AC2913" s="1"/>
      <c r="AD2913" s="1">
        <f>IF($C2913="",0,SUMPRODUCT((AY_SONU!$O$7:$O$42="Evet")*(AY_SONU!$B$7:$B$42=DATE(YEAR($C2913),MONTH($C2913),1))))</f>
        <v>0</v>
      </c>
      <c r="AE2913" s="1" t="str">
        <f>IF($E2913="","",$E2913&amp;"|"&amp;COUNTIFS($E$7:$E2913,$E2913))</f>
        <v/>
      </c>
    </row>
    <row r="2914" spans="1:31" ht="18" customHeight="1" x14ac:dyDescent="0.3">
      <c r="A2914" s="2"/>
      <c r="B2914" s="65" t="str">
        <f t="shared" si="362"/>
        <v/>
      </c>
      <c r="C2914" s="66"/>
      <c r="D2914" s="60"/>
      <c r="E2914" s="61"/>
      <c r="F2914" s="61"/>
      <c r="G2914" s="67"/>
      <c r="H2914" s="60"/>
      <c r="I2914" s="60"/>
      <c r="J2914" s="61"/>
      <c r="K2914" s="61"/>
      <c r="L2914" s="60"/>
      <c r="M2914" s="74" t="str">
        <f t="shared" si="363"/>
        <v/>
      </c>
      <c r="N2914" s="74" t="str">
        <f t="shared" si="364"/>
        <v/>
      </c>
      <c r="O2914" s="73" t="str">
        <f t="shared" si="365"/>
        <v/>
      </c>
      <c r="P2914" s="65" t="str">
        <f t="shared" ca="1" si="366"/>
        <v/>
      </c>
      <c r="Q2914" s="2"/>
      <c r="R2914" s="2"/>
      <c r="S2914" s="1" t="str">
        <f t="shared" si="367"/>
        <v/>
      </c>
      <c r="T2914" s="1" t="str">
        <f>IF(OR($C2914="",$D2914&lt;&gt;"Gelir",$L2914=""),"",IFERROR(INDEX(MUSTERILER!$B$7:$B$156,MATCH($S2914,MUSTERILER!$T$7:$T$156,0)),""))</f>
        <v/>
      </c>
      <c r="U2914" s="1" t="str">
        <f>IF($T2914="","",$T2914&amp;"|"&amp;COUNTIFS($T$7:$T2914,$T2914))</f>
        <v/>
      </c>
      <c r="V2914" s="1">
        <f t="shared" si="368"/>
        <v>0</v>
      </c>
      <c r="W2914" s="1" t="str">
        <f t="shared" si="369"/>
        <v/>
      </c>
      <c r="X2914" s="1"/>
      <c r="Y2914" s="1"/>
      <c r="Z2914" s="1"/>
      <c r="AA2914" s="1"/>
      <c r="AB2914" s="1"/>
      <c r="AC2914" s="1"/>
      <c r="AD2914" s="1">
        <f>IF($C2914="",0,SUMPRODUCT((AY_SONU!$O$7:$O$42="Evet")*(AY_SONU!$B$7:$B$42=DATE(YEAR($C2914),MONTH($C2914),1))))</f>
        <v>0</v>
      </c>
      <c r="AE2914" s="1" t="str">
        <f>IF($E2914="","",$E2914&amp;"|"&amp;COUNTIFS($E$7:$E2914,$E2914))</f>
        <v/>
      </c>
    </row>
    <row r="2915" spans="1:31" ht="18" customHeight="1" x14ac:dyDescent="0.3">
      <c r="A2915" s="2"/>
      <c r="B2915" s="65" t="str">
        <f t="shared" si="362"/>
        <v/>
      </c>
      <c r="C2915" s="66"/>
      <c r="D2915" s="60"/>
      <c r="E2915" s="61"/>
      <c r="F2915" s="61"/>
      <c r="G2915" s="67"/>
      <c r="H2915" s="60"/>
      <c r="I2915" s="60"/>
      <c r="J2915" s="61"/>
      <c r="K2915" s="61"/>
      <c r="L2915" s="60"/>
      <c r="M2915" s="74" t="str">
        <f t="shared" si="363"/>
        <v/>
      </c>
      <c r="N2915" s="74" t="str">
        <f t="shared" si="364"/>
        <v/>
      </c>
      <c r="O2915" s="73" t="str">
        <f t="shared" si="365"/>
        <v/>
      </c>
      <c r="P2915" s="65" t="str">
        <f t="shared" ca="1" si="366"/>
        <v/>
      </c>
      <c r="Q2915" s="2"/>
      <c r="R2915" s="2"/>
      <c r="S2915" s="1" t="str">
        <f t="shared" si="367"/>
        <v/>
      </c>
      <c r="T2915" s="1" t="str">
        <f>IF(OR($C2915="",$D2915&lt;&gt;"Gelir",$L2915=""),"",IFERROR(INDEX(MUSTERILER!$B$7:$B$156,MATCH($S2915,MUSTERILER!$T$7:$T$156,0)),""))</f>
        <v/>
      </c>
      <c r="U2915" s="1" t="str">
        <f>IF($T2915="","",$T2915&amp;"|"&amp;COUNTIFS($T$7:$T2915,$T2915))</f>
        <v/>
      </c>
      <c r="V2915" s="1">
        <f t="shared" si="368"/>
        <v>0</v>
      </c>
      <c r="W2915" s="1" t="str">
        <f t="shared" si="369"/>
        <v/>
      </c>
      <c r="X2915" s="1"/>
      <c r="Y2915" s="1"/>
      <c r="Z2915" s="1"/>
      <c r="AA2915" s="1"/>
      <c r="AB2915" s="1"/>
      <c r="AC2915" s="1"/>
      <c r="AD2915" s="1">
        <f>IF($C2915="",0,SUMPRODUCT((AY_SONU!$O$7:$O$42="Evet")*(AY_SONU!$B$7:$B$42=DATE(YEAR($C2915),MONTH($C2915),1))))</f>
        <v>0</v>
      </c>
      <c r="AE2915" s="1" t="str">
        <f>IF($E2915="","",$E2915&amp;"|"&amp;COUNTIFS($E$7:$E2915,$E2915))</f>
        <v/>
      </c>
    </row>
    <row r="2916" spans="1:31" ht="18" customHeight="1" x14ac:dyDescent="0.3">
      <c r="A2916" s="2"/>
      <c r="B2916" s="65" t="str">
        <f t="shared" si="362"/>
        <v/>
      </c>
      <c r="C2916" s="66"/>
      <c r="D2916" s="60"/>
      <c r="E2916" s="61"/>
      <c r="F2916" s="61"/>
      <c r="G2916" s="67"/>
      <c r="H2916" s="60"/>
      <c r="I2916" s="60"/>
      <c r="J2916" s="61"/>
      <c r="K2916" s="61"/>
      <c r="L2916" s="60"/>
      <c r="M2916" s="74" t="str">
        <f t="shared" si="363"/>
        <v/>
      </c>
      <c r="N2916" s="74" t="str">
        <f t="shared" si="364"/>
        <v/>
      </c>
      <c r="O2916" s="73" t="str">
        <f t="shared" si="365"/>
        <v/>
      </c>
      <c r="P2916" s="65" t="str">
        <f t="shared" ca="1" si="366"/>
        <v/>
      </c>
      <c r="Q2916" s="2"/>
      <c r="R2916" s="2"/>
      <c r="S2916" s="1" t="str">
        <f t="shared" si="367"/>
        <v/>
      </c>
      <c r="T2916" s="1" t="str">
        <f>IF(OR($C2916="",$D2916&lt;&gt;"Gelir",$L2916=""),"",IFERROR(INDEX(MUSTERILER!$B$7:$B$156,MATCH($S2916,MUSTERILER!$T$7:$T$156,0)),""))</f>
        <v/>
      </c>
      <c r="U2916" s="1" t="str">
        <f>IF($T2916="","",$T2916&amp;"|"&amp;COUNTIFS($T$7:$T2916,$T2916))</f>
        <v/>
      </c>
      <c r="V2916" s="1">
        <f t="shared" si="368"/>
        <v>0</v>
      </c>
      <c r="W2916" s="1" t="str">
        <f t="shared" si="369"/>
        <v/>
      </c>
      <c r="X2916" s="1"/>
      <c r="Y2916" s="1"/>
      <c r="Z2916" s="1"/>
      <c r="AA2916" s="1"/>
      <c r="AB2916" s="1"/>
      <c r="AC2916" s="1"/>
      <c r="AD2916" s="1">
        <f>IF($C2916="",0,SUMPRODUCT((AY_SONU!$O$7:$O$42="Evet")*(AY_SONU!$B$7:$B$42=DATE(YEAR($C2916),MONTH($C2916),1))))</f>
        <v>0</v>
      </c>
      <c r="AE2916" s="1" t="str">
        <f>IF($E2916="","",$E2916&amp;"|"&amp;COUNTIFS($E$7:$E2916,$E2916))</f>
        <v/>
      </c>
    </row>
    <row r="2917" spans="1:31" ht="18" customHeight="1" x14ac:dyDescent="0.3">
      <c r="A2917" s="2"/>
      <c r="B2917" s="65" t="str">
        <f t="shared" si="362"/>
        <v/>
      </c>
      <c r="C2917" s="66"/>
      <c r="D2917" s="60"/>
      <c r="E2917" s="61"/>
      <c r="F2917" s="61"/>
      <c r="G2917" s="67"/>
      <c r="H2917" s="60"/>
      <c r="I2917" s="60"/>
      <c r="J2917" s="61"/>
      <c r="K2917" s="61"/>
      <c r="L2917" s="60"/>
      <c r="M2917" s="74" t="str">
        <f t="shared" si="363"/>
        <v/>
      </c>
      <c r="N2917" s="74" t="str">
        <f t="shared" si="364"/>
        <v/>
      </c>
      <c r="O2917" s="73" t="str">
        <f t="shared" si="365"/>
        <v/>
      </c>
      <c r="P2917" s="65" t="str">
        <f t="shared" ca="1" si="366"/>
        <v/>
      </c>
      <c r="Q2917" s="2"/>
      <c r="R2917" s="2"/>
      <c r="S2917" s="1" t="str">
        <f t="shared" si="367"/>
        <v/>
      </c>
      <c r="T2917" s="1" t="str">
        <f>IF(OR($C2917="",$D2917&lt;&gt;"Gelir",$L2917=""),"",IFERROR(INDEX(MUSTERILER!$B$7:$B$156,MATCH($S2917,MUSTERILER!$T$7:$T$156,0)),""))</f>
        <v/>
      </c>
      <c r="U2917" s="1" t="str">
        <f>IF($T2917="","",$T2917&amp;"|"&amp;COUNTIFS($T$7:$T2917,$T2917))</f>
        <v/>
      </c>
      <c r="V2917" s="1">
        <f t="shared" si="368"/>
        <v>0</v>
      </c>
      <c r="W2917" s="1" t="str">
        <f t="shared" si="369"/>
        <v/>
      </c>
      <c r="X2917" s="1"/>
      <c r="Y2917" s="1"/>
      <c r="Z2917" s="1"/>
      <c r="AA2917" s="1"/>
      <c r="AB2917" s="1"/>
      <c r="AC2917" s="1"/>
      <c r="AD2917" s="1">
        <f>IF($C2917="",0,SUMPRODUCT((AY_SONU!$O$7:$O$42="Evet")*(AY_SONU!$B$7:$B$42=DATE(YEAR($C2917),MONTH($C2917),1))))</f>
        <v>0</v>
      </c>
      <c r="AE2917" s="1" t="str">
        <f>IF($E2917="","",$E2917&amp;"|"&amp;COUNTIFS($E$7:$E2917,$E2917))</f>
        <v/>
      </c>
    </row>
    <row r="2918" spans="1:31" ht="18" customHeight="1" x14ac:dyDescent="0.3">
      <c r="A2918" s="2"/>
      <c r="B2918" s="65" t="str">
        <f t="shared" si="362"/>
        <v/>
      </c>
      <c r="C2918" s="66"/>
      <c r="D2918" s="60"/>
      <c r="E2918" s="61"/>
      <c r="F2918" s="61"/>
      <c r="G2918" s="67"/>
      <c r="H2918" s="60"/>
      <c r="I2918" s="60"/>
      <c r="J2918" s="61"/>
      <c r="K2918" s="61"/>
      <c r="L2918" s="60"/>
      <c r="M2918" s="74" t="str">
        <f t="shared" si="363"/>
        <v/>
      </c>
      <c r="N2918" s="74" t="str">
        <f t="shared" si="364"/>
        <v/>
      </c>
      <c r="O2918" s="73" t="str">
        <f t="shared" si="365"/>
        <v/>
      </c>
      <c r="P2918" s="65" t="str">
        <f t="shared" ca="1" si="366"/>
        <v/>
      </c>
      <c r="Q2918" s="2"/>
      <c r="R2918" s="2"/>
      <c r="S2918" s="1" t="str">
        <f t="shared" si="367"/>
        <v/>
      </c>
      <c r="T2918" s="1" t="str">
        <f>IF(OR($C2918="",$D2918&lt;&gt;"Gelir",$L2918=""),"",IFERROR(INDEX(MUSTERILER!$B$7:$B$156,MATCH($S2918,MUSTERILER!$T$7:$T$156,0)),""))</f>
        <v/>
      </c>
      <c r="U2918" s="1" t="str">
        <f>IF($T2918="","",$T2918&amp;"|"&amp;COUNTIFS($T$7:$T2918,$T2918))</f>
        <v/>
      </c>
      <c r="V2918" s="1">
        <f t="shared" si="368"/>
        <v>0</v>
      </c>
      <c r="W2918" s="1" t="str">
        <f t="shared" si="369"/>
        <v/>
      </c>
      <c r="X2918" s="1"/>
      <c r="Y2918" s="1"/>
      <c r="Z2918" s="1"/>
      <c r="AA2918" s="1"/>
      <c r="AB2918" s="1"/>
      <c r="AC2918" s="1"/>
      <c r="AD2918" s="1">
        <f>IF($C2918="",0,SUMPRODUCT((AY_SONU!$O$7:$O$42="Evet")*(AY_SONU!$B$7:$B$42=DATE(YEAR($C2918),MONTH($C2918),1))))</f>
        <v>0</v>
      </c>
      <c r="AE2918" s="1" t="str">
        <f>IF($E2918="","",$E2918&amp;"|"&amp;COUNTIFS($E$7:$E2918,$E2918))</f>
        <v/>
      </c>
    </row>
    <row r="2919" spans="1:31" ht="18" customHeight="1" x14ac:dyDescent="0.3">
      <c r="A2919" s="2"/>
      <c r="B2919" s="65" t="str">
        <f t="shared" si="362"/>
        <v/>
      </c>
      <c r="C2919" s="66"/>
      <c r="D2919" s="60"/>
      <c r="E2919" s="61"/>
      <c r="F2919" s="61"/>
      <c r="G2919" s="67"/>
      <c r="H2919" s="60"/>
      <c r="I2919" s="60"/>
      <c r="J2919" s="61"/>
      <c r="K2919" s="61"/>
      <c r="L2919" s="60"/>
      <c r="M2919" s="74" t="str">
        <f t="shared" si="363"/>
        <v/>
      </c>
      <c r="N2919" s="74" t="str">
        <f t="shared" si="364"/>
        <v/>
      </c>
      <c r="O2919" s="73" t="str">
        <f t="shared" si="365"/>
        <v/>
      </c>
      <c r="P2919" s="65" t="str">
        <f t="shared" ca="1" si="366"/>
        <v/>
      </c>
      <c r="Q2919" s="2"/>
      <c r="R2919" s="2"/>
      <c r="S2919" s="1" t="str">
        <f t="shared" si="367"/>
        <v/>
      </c>
      <c r="T2919" s="1" t="str">
        <f>IF(OR($C2919="",$D2919&lt;&gt;"Gelir",$L2919=""),"",IFERROR(INDEX(MUSTERILER!$B$7:$B$156,MATCH($S2919,MUSTERILER!$T$7:$T$156,0)),""))</f>
        <v/>
      </c>
      <c r="U2919" s="1" t="str">
        <f>IF($T2919="","",$T2919&amp;"|"&amp;COUNTIFS($T$7:$T2919,$T2919))</f>
        <v/>
      </c>
      <c r="V2919" s="1">
        <f t="shared" si="368"/>
        <v>0</v>
      </c>
      <c r="W2919" s="1" t="str">
        <f t="shared" si="369"/>
        <v/>
      </c>
      <c r="X2919" s="1"/>
      <c r="Y2919" s="1"/>
      <c r="Z2919" s="1"/>
      <c r="AA2919" s="1"/>
      <c r="AB2919" s="1"/>
      <c r="AC2919" s="1"/>
      <c r="AD2919" s="1">
        <f>IF($C2919="",0,SUMPRODUCT((AY_SONU!$O$7:$O$42="Evet")*(AY_SONU!$B$7:$B$42=DATE(YEAR($C2919),MONTH($C2919),1))))</f>
        <v>0</v>
      </c>
      <c r="AE2919" s="1" t="str">
        <f>IF($E2919="","",$E2919&amp;"|"&amp;COUNTIFS($E$7:$E2919,$E2919))</f>
        <v/>
      </c>
    </row>
    <row r="2920" spans="1:31" ht="18" customHeight="1" x14ac:dyDescent="0.3">
      <c r="A2920" s="2"/>
      <c r="B2920" s="65" t="str">
        <f t="shared" si="362"/>
        <v/>
      </c>
      <c r="C2920" s="66"/>
      <c r="D2920" s="60"/>
      <c r="E2920" s="61"/>
      <c r="F2920" s="61"/>
      <c r="G2920" s="67"/>
      <c r="H2920" s="60"/>
      <c r="I2920" s="60"/>
      <c r="J2920" s="61"/>
      <c r="K2920" s="61"/>
      <c r="L2920" s="60"/>
      <c r="M2920" s="74" t="str">
        <f t="shared" si="363"/>
        <v/>
      </c>
      <c r="N2920" s="74" t="str">
        <f t="shared" si="364"/>
        <v/>
      </c>
      <c r="O2920" s="73" t="str">
        <f t="shared" si="365"/>
        <v/>
      </c>
      <c r="P2920" s="65" t="str">
        <f t="shared" ca="1" si="366"/>
        <v/>
      </c>
      <c r="Q2920" s="2"/>
      <c r="R2920" s="2"/>
      <c r="S2920" s="1" t="str">
        <f t="shared" si="367"/>
        <v/>
      </c>
      <c r="T2920" s="1" t="str">
        <f>IF(OR($C2920="",$D2920&lt;&gt;"Gelir",$L2920=""),"",IFERROR(INDEX(MUSTERILER!$B$7:$B$156,MATCH($S2920,MUSTERILER!$T$7:$T$156,0)),""))</f>
        <v/>
      </c>
      <c r="U2920" s="1" t="str">
        <f>IF($T2920="","",$T2920&amp;"|"&amp;COUNTIFS($T$7:$T2920,$T2920))</f>
        <v/>
      </c>
      <c r="V2920" s="1">
        <f t="shared" si="368"/>
        <v>0</v>
      </c>
      <c r="W2920" s="1" t="str">
        <f t="shared" si="369"/>
        <v/>
      </c>
      <c r="X2920" s="1"/>
      <c r="Y2920" s="1"/>
      <c r="Z2920" s="1"/>
      <c r="AA2920" s="1"/>
      <c r="AB2920" s="1"/>
      <c r="AC2920" s="1"/>
      <c r="AD2920" s="1">
        <f>IF($C2920="",0,SUMPRODUCT((AY_SONU!$O$7:$O$42="Evet")*(AY_SONU!$B$7:$B$42=DATE(YEAR($C2920),MONTH($C2920),1))))</f>
        <v>0</v>
      </c>
      <c r="AE2920" s="1" t="str">
        <f>IF($E2920="","",$E2920&amp;"|"&amp;COUNTIFS($E$7:$E2920,$E2920))</f>
        <v/>
      </c>
    </row>
    <row r="2921" spans="1:31" ht="18" customHeight="1" x14ac:dyDescent="0.3">
      <c r="A2921" s="2"/>
      <c r="B2921" s="65" t="str">
        <f t="shared" si="362"/>
        <v/>
      </c>
      <c r="C2921" s="66"/>
      <c r="D2921" s="60"/>
      <c r="E2921" s="61"/>
      <c r="F2921" s="61"/>
      <c r="G2921" s="67"/>
      <c r="H2921" s="60"/>
      <c r="I2921" s="60"/>
      <c r="J2921" s="61"/>
      <c r="K2921" s="61"/>
      <c r="L2921" s="60"/>
      <c r="M2921" s="74" t="str">
        <f t="shared" si="363"/>
        <v/>
      </c>
      <c r="N2921" s="74" t="str">
        <f t="shared" si="364"/>
        <v/>
      </c>
      <c r="O2921" s="73" t="str">
        <f t="shared" si="365"/>
        <v/>
      </c>
      <c r="P2921" s="65" t="str">
        <f t="shared" ca="1" si="366"/>
        <v/>
      </c>
      <c r="Q2921" s="2"/>
      <c r="R2921" s="2"/>
      <c r="S2921" s="1" t="str">
        <f t="shared" si="367"/>
        <v/>
      </c>
      <c r="T2921" s="1" t="str">
        <f>IF(OR($C2921="",$D2921&lt;&gt;"Gelir",$L2921=""),"",IFERROR(INDEX(MUSTERILER!$B$7:$B$156,MATCH($S2921,MUSTERILER!$T$7:$T$156,0)),""))</f>
        <v/>
      </c>
      <c r="U2921" s="1" t="str">
        <f>IF($T2921="","",$T2921&amp;"|"&amp;COUNTIFS($T$7:$T2921,$T2921))</f>
        <v/>
      </c>
      <c r="V2921" s="1">
        <f t="shared" si="368"/>
        <v>0</v>
      </c>
      <c r="W2921" s="1" t="str">
        <f t="shared" si="369"/>
        <v/>
      </c>
      <c r="X2921" s="1"/>
      <c r="Y2921" s="1"/>
      <c r="Z2921" s="1"/>
      <c r="AA2921" s="1"/>
      <c r="AB2921" s="1"/>
      <c r="AC2921" s="1"/>
      <c r="AD2921" s="1">
        <f>IF($C2921="",0,SUMPRODUCT((AY_SONU!$O$7:$O$42="Evet")*(AY_SONU!$B$7:$B$42=DATE(YEAR($C2921),MONTH($C2921),1))))</f>
        <v>0</v>
      </c>
      <c r="AE2921" s="1" t="str">
        <f>IF($E2921="","",$E2921&amp;"|"&amp;COUNTIFS($E$7:$E2921,$E2921))</f>
        <v/>
      </c>
    </row>
    <row r="2922" spans="1:31" ht="18" customHeight="1" x14ac:dyDescent="0.3">
      <c r="A2922" s="2"/>
      <c r="B2922" s="65" t="str">
        <f t="shared" si="362"/>
        <v/>
      </c>
      <c r="C2922" s="66"/>
      <c r="D2922" s="60"/>
      <c r="E2922" s="61"/>
      <c r="F2922" s="61"/>
      <c r="G2922" s="67"/>
      <c r="H2922" s="60"/>
      <c r="I2922" s="60"/>
      <c r="J2922" s="61"/>
      <c r="K2922" s="61"/>
      <c r="L2922" s="60"/>
      <c r="M2922" s="74" t="str">
        <f t="shared" si="363"/>
        <v/>
      </c>
      <c r="N2922" s="74" t="str">
        <f t="shared" si="364"/>
        <v/>
      </c>
      <c r="O2922" s="73" t="str">
        <f t="shared" si="365"/>
        <v/>
      </c>
      <c r="P2922" s="65" t="str">
        <f t="shared" ca="1" si="366"/>
        <v/>
      </c>
      <c r="Q2922" s="2"/>
      <c r="R2922" s="2"/>
      <c r="S2922" s="1" t="str">
        <f t="shared" si="367"/>
        <v/>
      </c>
      <c r="T2922" s="1" t="str">
        <f>IF(OR($C2922="",$D2922&lt;&gt;"Gelir",$L2922=""),"",IFERROR(INDEX(MUSTERILER!$B$7:$B$156,MATCH($S2922,MUSTERILER!$T$7:$T$156,0)),""))</f>
        <v/>
      </c>
      <c r="U2922" s="1" t="str">
        <f>IF($T2922="","",$T2922&amp;"|"&amp;COUNTIFS($T$7:$T2922,$T2922))</f>
        <v/>
      </c>
      <c r="V2922" s="1">
        <f t="shared" si="368"/>
        <v>0</v>
      </c>
      <c r="W2922" s="1" t="str">
        <f t="shared" si="369"/>
        <v/>
      </c>
      <c r="X2922" s="1"/>
      <c r="Y2922" s="1"/>
      <c r="Z2922" s="1"/>
      <c r="AA2922" s="1"/>
      <c r="AB2922" s="1"/>
      <c r="AC2922" s="1"/>
      <c r="AD2922" s="1">
        <f>IF($C2922="",0,SUMPRODUCT((AY_SONU!$O$7:$O$42="Evet")*(AY_SONU!$B$7:$B$42=DATE(YEAR($C2922),MONTH($C2922),1))))</f>
        <v>0</v>
      </c>
      <c r="AE2922" s="1" t="str">
        <f>IF($E2922="","",$E2922&amp;"|"&amp;COUNTIFS($E$7:$E2922,$E2922))</f>
        <v/>
      </c>
    </row>
    <row r="2923" spans="1:31" ht="18" customHeight="1" x14ac:dyDescent="0.3">
      <c r="A2923" s="2"/>
      <c r="B2923" s="65" t="str">
        <f t="shared" si="362"/>
        <v/>
      </c>
      <c r="C2923" s="66"/>
      <c r="D2923" s="60"/>
      <c r="E2923" s="61"/>
      <c r="F2923" s="61"/>
      <c r="G2923" s="67"/>
      <c r="H2923" s="60"/>
      <c r="I2923" s="60"/>
      <c r="J2923" s="61"/>
      <c r="K2923" s="61"/>
      <c r="L2923" s="60"/>
      <c r="M2923" s="74" t="str">
        <f t="shared" si="363"/>
        <v/>
      </c>
      <c r="N2923" s="74" t="str">
        <f t="shared" si="364"/>
        <v/>
      </c>
      <c r="O2923" s="73" t="str">
        <f t="shared" si="365"/>
        <v/>
      </c>
      <c r="P2923" s="65" t="str">
        <f t="shared" ca="1" si="366"/>
        <v/>
      </c>
      <c r="Q2923" s="2"/>
      <c r="R2923" s="2"/>
      <c r="S2923" s="1" t="str">
        <f t="shared" si="367"/>
        <v/>
      </c>
      <c r="T2923" s="1" t="str">
        <f>IF(OR($C2923="",$D2923&lt;&gt;"Gelir",$L2923=""),"",IFERROR(INDEX(MUSTERILER!$B$7:$B$156,MATCH($S2923,MUSTERILER!$T$7:$T$156,0)),""))</f>
        <v/>
      </c>
      <c r="U2923" s="1" t="str">
        <f>IF($T2923="","",$T2923&amp;"|"&amp;COUNTIFS($T$7:$T2923,$T2923))</f>
        <v/>
      </c>
      <c r="V2923" s="1">
        <f t="shared" si="368"/>
        <v>0</v>
      </c>
      <c r="W2923" s="1" t="str">
        <f t="shared" si="369"/>
        <v/>
      </c>
      <c r="X2923" s="1"/>
      <c r="Y2923" s="1"/>
      <c r="Z2923" s="1"/>
      <c r="AA2923" s="1"/>
      <c r="AB2923" s="1"/>
      <c r="AC2923" s="1"/>
      <c r="AD2923" s="1">
        <f>IF($C2923="",0,SUMPRODUCT((AY_SONU!$O$7:$O$42="Evet")*(AY_SONU!$B$7:$B$42=DATE(YEAR($C2923),MONTH($C2923),1))))</f>
        <v>0</v>
      </c>
      <c r="AE2923" s="1" t="str">
        <f>IF($E2923="","",$E2923&amp;"|"&amp;COUNTIFS($E$7:$E2923,$E2923))</f>
        <v/>
      </c>
    </row>
    <row r="2924" spans="1:31" ht="18" customHeight="1" x14ac:dyDescent="0.3">
      <c r="A2924" s="2"/>
      <c r="B2924" s="65" t="str">
        <f t="shared" si="362"/>
        <v/>
      </c>
      <c r="C2924" s="66"/>
      <c r="D2924" s="60"/>
      <c r="E2924" s="61"/>
      <c r="F2924" s="61"/>
      <c r="G2924" s="67"/>
      <c r="H2924" s="60"/>
      <c r="I2924" s="60"/>
      <c r="J2924" s="61"/>
      <c r="K2924" s="61"/>
      <c r="L2924" s="60"/>
      <c r="M2924" s="74" t="str">
        <f t="shared" si="363"/>
        <v/>
      </c>
      <c r="N2924" s="74" t="str">
        <f t="shared" si="364"/>
        <v/>
      </c>
      <c r="O2924" s="73" t="str">
        <f t="shared" si="365"/>
        <v/>
      </c>
      <c r="P2924" s="65" t="str">
        <f t="shared" ca="1" si="366"/>
        <v/>
      </c>
      <c r="Q2924" s="2"/>
      <c r="R2924" s="2"/>
      <c r="S2924" s="1" t="str">
        <f t="shared" si="367"/>
        <v/>
      </c>
      <c r="T2924" s="1" t="str">
        <f>IF(OR($C2924="",$D2924&lt;&gt;"Gelir",$L2924=""),"",IFERROR(INDEX(MUSTERILER!$B$7:$B$156,MATCH($S2924,MUSTERILER!$T$7:$T$156,0)),""))</f>
        <v/>
      </c>
      <c r="U2924" s="1" t="str">
        <f>IF($T2924="","",$T2924&amp;"|"&amp;COUNTIFS($T$7:$T2924,$T2924))</f>
        <v/>
      </c>
      <c r="V2924" s="1">
        <f t="shared" si="368"/>
        <v>0</v>
      </c>
      <c r="W2924" s="1" t="str">
        <f t="shared" si="369"/>
        <v/>
      </c>
      <c r="X2924" s="1"/>
      <c r="Y2924" s="1"/>
      <c r="Z2924" s="1"/>
      <c r="AA2924" s="1"/>
      <c r="AB2924" s="1"/>
      <c r="AC2924" s="1"/>
      <c r="AD2924" s="1">
        <f>IF($C2924="",0,SUMPRODUCT((AY_SONU!$O$7:$O$42="Evet")*(AY_SONU!$B$7:$B$42=DATE(YEAR($C2924),MONTH($C2924),1))))</f>
        <v>0</v>
      </c>
      <c r="AE2924" s="1" t="str">
        <f>IF($E2924="","",$E2924&amp;"|"&amp;COUNTIFS($E$7:$E2924,$E2924))</f>
        <v/>
      </c>
    </row>
    <row r="2925" spans="1:31" ht="18" customHeight="1" x14ac:dyDescent="0.3">
      <c r="A2925" s="2"/>
      <c r="B2925" s="65" t="str">
        <f t="shared" si="362"/>
        <v/>
      </c>
      <c r="C2925" s="66"/>
      <c r="D2925" s="60"/>
      <c r="E2925" s="61"/>
      <c r="F2925" s="61"/>
      <c r="G2925" s="67"/>
      <c r="H2925" s="60"/>
      <c r="I2925" s="60"/>
      <c r="J2925" s="61"/>
      <c r="K2925" s="61"/>
      <c r="L2925" s="60"/>
      <c r="M2925" s="74" t="str">
        <f t="shared" si="363"/>
        <v/>
      </c>
      <c r="N2925" s="74" t="str">
        <f t="shared" si="364"/>
        <v/>
      </c>
      <c r="O2925" s="73" t="str">
        <f t="shared" si="365"/>
        <v/>
      </c>
      <c r="P2925" s="65" t="str">
        <f t="shared" ca="1" si="366"/>
        <v/>
      </c>
      <c r="Q2925" s="2"/>
      <c r="R2925" s="2"/>
      <c r="S2925" s="1" t="str">
        <f t="shared" si="367"/>
        <v/>
      </c>
      <c r="T2925" s="1" t="str">
        <f>IF(OR($C2925="",$D2925&lt;&gt;"Gelir",$L2925=""),"",IFERROR(INDEX(MUSTERILER!$B$7:$B$156,MATCH($S2925,MUSTERILER!$T$7:$T$156,0)),""))</f>
        <v/>
      </c>
      <c r="U2925" s="1" t="str">
        <f>IF($T2925="","",$T2925&amp;"|"&amp;COUNTIFS($T$7:$T2925,$T2925))</f>
        <v/>
      </c>
      <c r="V2925" s="1">
        <f t="shared" si="368"/>
        <v>0</v>
      </c>
      <c r="W2925" s="1" t="str">
        <f t="shared" si="369"/>
        <v/>
      </c>
      <c r="X2925" s="1"/>
      <c r="Y2925" s="1"/>
      <c r="Z2925" s="1"/>
      <c r="AA2925" s="1"/>
      <c r="AB2925" s="1"/>
      <c r="AC2925" s="1"/>
      <c r="AD2925" s="1">
        <f>IF($C2925="",0,SUMPRODUCT((AY_SONU!$O$7:$O$42="Evet")*(AY_SONU!$B$7:$B$42=DATE(YEAR($C2925),MONTH($C2925),1))))</f>
        <v>0</v>
      </c>
      <c r="AE2925" s="1" t="str">
        <f>IF($E2925="","",$E2925&amp;"|"&amp;COUNTIFS($E$7:$E2925,$E2925))</f>
        <v/>
      </c>
    </row>
    <row r="2926" spans="1:31" ht="18" customHeight="1" x14ac:dyDescent="0.3">
      <c r="A2926" s="2"/>
      <c r="B2926" s="65" t="str">
        <f t="shared" si="362"/>
        <v/>
      </c>
      <c r="C2926" s="66"/>
      <c r="D2926" s="60"/>
      <c r="E2926" s="61"/>
      <c r="F2926" s="61"/>
      <c r="G2926" s="67"/>
      <c r="H2926" s="60"/>
      <c r="I2926" s="60"/>
      <c r="J2926" s="61"/>
      <c r="K2926" s="61"/>
      <c r="L2926" s="60"/>
      <c r="M2926" s="74" t="str">
        <f t="shared" si="363"/>
        <v/>
      </c>
      <c r="N2926" s="74" t="str">
        <f t="shared" si="364"/>
        <v/>
      </c>
      <c r="O2926" s="73" t="str">
        <f t="shared" si="365"/>
        <v/>
      </c>
      <c r="P2926" s="65" t="str">
        <f t="shared" ca="1" si="366"/>
        <v/>
      </c>
      <c r="Q2926" s="2"/>
      <c r="R2926" s="2"/>
      <c r="S2926" s="1" t="str">
        <f t="shared" si="367"/>
        <v/>
      </c>
      <c r="T2926" s="1" t="str">
        <f>IF(OR($C2926="",$D2926&lt;&gt;"Gelir",$L2926=""),"",IFERROR(INDEX(MUSTERILER!$B$7:$B$156,MATCH($S2926,MUSTERILER!$T$7:$T$156,0)),""))</f>
        <v/>
      </c>
      <c r="U2926" s="1" t="str">
        <f>IF($T2926="","",$T2926&amp;"|"&amp;COUNTIFS($T$7:$T2926,$T2926))</f>
        <v/>
      </c>
      <c r="V2926" s="1">
        <f t="shared" si="368"/>
        <v>0</v>
      </c>
      <c r="W2926" s="1" t="str">
        <f t="shared" si="369"/>
        <v/>
      </c>
      <c r="X2926" s="1"/>
      <c r="Y2926" s="1"/>
      <c r="Z2926" s="1"/>
      <c r="AA2926" s="1"/>
      <c r="AB2926" s="1"/>
      <c r="AC2926" s="1"/>
      <c r="AD2926" s="1">
        <f>IF($C2926="",0,SUMPRODUCT((AY_SONU!$O$7:$O$42="Evet")*(AY_SONU!$B$7:$B$42=DATE(YEAR($C2926),MONTH($C2926),1))))</f>
        <v>0</v>
      </c>
      <c r="AE2926" s="1" t="str">
        <f>IF($E2926="","",$E2926&amp;"|"&amp;COUNTIFS($E$7:$E2926,$E2926))</f>
        <v/>
      </c>
    </row>
    <row r="2927" spans="1:31" ht="18" customHeight="1" x14ac:dyDescent="0.3">
      <c r="A2927" s="2"/>
      <c r="B2927" s="65" t="str">
        <f t="shared" si="362"/>
        <v/>
      </c>
      <c r="C2927" s="66"/>
      <c r="D2927" s="60"/>
      <c r="E2927" s="61"/>
      <c r="F2927" s="61"/>
      <c r="G2927" s="67"/>
      <c r="H2927" s="60"/>
      <c r="I2927" s="60"/>
      <c r="J2927" s="61"/>
      <c r="K2927" s="61"/>
      <c r="L2927" s="60"/>
      <c r="M2927" s="74" t="str">
        <f t="shared" si="363"/>
        <v/>
      </c>
      <c r="N2927" s="74" t="str">
        <f t="shared" si="364"/>
        <v/>
      </c>
      <c r="O2927" s="73" t="str">
        <f t="shared" si="365"/>
        <v/>
      </c>
      <c r="P2927" s="65" t="str">
        <f t="shared" ca="1" si="366"/>
        <v/>
      </c>
      <c r="Q2927" s="2"/>
      <c r="R2927" s="2"/>
      <c r="S2927" s="1" t="str">
        <f t="shared" si="367"/>
        <v/>
      </c>
      <c r="T2927" s="1" t="str">
        <f>IF(OR($C2927="",$D2927&lt;&gt;"Gelir",$L2927=""),"",IFERROR(INDEX(MUSTERILER!$B$7:$B$156,MATCH($S2927,MUSTERILER!$T$7:$T$156,0)),""))</f>
        <v/>
      </c>
      <c r="U2927" s="1" t="str">
        <f>IF($T2927="","",$T2927&amp;"|"&amp;COUNTIFS($T$7:$T2927,$T2927))</f>
        <v/>
      </c>
      <c r="V2927" s="1">
        <f t="shared" si="368"/>
        <v>0</v>
      </c>
      <c r="W2927" s="1" t="str">
        <f t="shared" si="369"/>
        <v/>
      </c>
      <c r="X2927" s="1"/>
      <c r="Y2927" s="1"/>
      <c r="Z2927" s="1"/>
      <c r="AA2927" s="1"/>
      <c r="AB2927" s="1"/>
      <c r="AC2927" s="1"/>
      <c r="AD2927" s="1">
        <f>IF($C2927="",0,SUMPRODUCT((AY_SONU!$O$7:$O$42="Evet")*(AY_SONU!$B$7:$B$42=DATE(YEAR($C2927),MONTH($C2927),1))))</f>
        <v>0</v>
      </c>
      <c r="AE2927" s="1" t="str">
        <f>IF($E2927="","",$E2927&amp;"|"&amp;COUNTIFS($E$7:$E2927,$E2927))</f>
        <v/>
      </c>
    </row>
    <row r="2928" spans="1:31" ht="18" customHeight="1" x14ac:dyDescent="0.3">
      <c r="A2928" s="2"/>
      <c r="B2928" s="65" t="str">
        <f t="shared" si="362"/>
        <v/>
      </c>
      <c r="C2928" s="66"/>
      <c r="D2928" s="60"/>
      <c r="E2928" s="61"/>
      <c r="F2928" s="61"/>
      <c r="G2928" s="67"/>
      <c r="H2928" s="60"/>
      <c r="I2928" s="60"/>
      <c r="J2928" s="61"/>
      <c r="K2928" s="61"/>
      <c r="L2928" s="60"/>
      <c r="M2928" s="74" t="str">
        <f t="shared" si="363"/>
        <v/>
      </c>
      <c r="N2928" s="74" t="str">
        <f t="shared" si="364"/>
        <v/>
      </c>
      <c r="O2928" s="73" t="str">
        <f t="shared" si="365"/>
        <v/>
      </c>
      <c r="P2928" s="65" t="str">
        <f t="shared" ca="1" si="366"/>
        <v/>
      </c>
      <c r="Q2928" s="2"/>
      <c r="R2928" s="2"/>
      <c r="S2928" s="1" t="str">
        <f t="shared" si="367"/>
        <v/>
      </c>
      <c r="T2928" s="1" t="str">
        <f>IF(OR($C2928="",$D2928&lt;&gt;"Gelir",$L2928=""),"",IFERROR(INDEX(MUSTERILER!$B$7:$B$156,MATCH($S2928,MUSTERILER!$T$7:$T$156,0)),""))</f>
        <v/>
      </c>
      <c r="U2928" s="1" t="str">
        <f>IF($T2928="","",$T2928&amp;"|"&amp;COUNTIFS($T$7:$T2928,$T2928))</f>
        <v/>
      </c>
      <c r="V2928" s="1">
        <f t="shared" si="368"/>
        <v>0</v>
      </c>
      <c r="W2928" s="1" t="str">
        <f t="shared" si="369"/>
        <v/>
      </c>
      <c r="X2928" s="1"/>
      <c r="Y2928" s="1"/>
      <c r="Z2928" s="1"/>
      <c r="AA2928" s="1"/>
      <c r="AB2928" s="1"/>
      <c r="AC2928" s="1"/>
      <c r="AD2928" s="1">
        <f>IF($C2928="",0,SUMPRODUCT((AY_SONU!$O$7:$O$42="Evet")*(AY_SONU!$B$7:$B$42=DATE(YEAR($C2928),MONTH($C2928),1))))</f>
        <v>0</v>
      </c>
      <c r="AE2928" s="1" t="str">
        <f>IF($E2928="","",$E2928&amp;"|"&amp;COUNTIFS($E$7:$E2928,$E2928))</f>
        <v/>
      </c>
    </row>
    <row r="2929" spans="1:31" ht="18" customHeight="1" x14ac:dyDescent="0.3">
      <c r="A2929" s="2"/>
      <c r="B2929" s="65" t="str">
        <f t="shared" si="362"/>
        <v/>
      </c>
      <c r="C2929" s="66"/>
      <c r="D2929" s="60"/>
      <c r="E2929" s="61"/>
      <c r="F2929" s="61"/>
      <c r="G2929" s="67"/>
      <c r="H2929" s="60"/>
      <c r="I2929" s="60"/>
      <c r="J2929" s="61"/>
      <c r="K2929" s="61"/>
      <c r="L2929" s="60"/>
      <c r="M2929" s="74" t="str">
        <f t="shared" si="363"/>
        <v/>
      </c>
      <c r="N2929" s="74" t="str">
        <f t="shared" si="364"/>
        <v/>
      </c>
      <c r="O2929" s="73" t="str">
        <f t="shared" si="365"/>
        <v/>
      </c>
      <c r="P2929" s="65" t="str">
        <f t="shared" ca="1" si="366"/>
        <v/>
      </c>
      <c r="Q2929" s="2"/>
      <c r="R2929" s="2"/>
      <c r="S2929" s="1" t="str">
        <f t="shared" si="367"/>
        <v/>
      </c>
      <c r="T2929" s="1" t="str">
        <f>IF(OR($C2929="",$D2929&lt;&gt;"Gelir",$L2929=""),"",IFERROR(INDEX(MUSTERILER!$B$7:$B$156,MATCH($S2929,MUSTERILER!$T$7:$T$156,0)),""))</f>
        <v/>
      </c>
      <c r="U2929" s="1" t="str">
        <f>IF($T2929="","",$T2929&amp;"|"&amp;COUNTIFS($T$7:$T2929,$T2929))</f>
        <v/>
      </c>
      <c r="V2929" s="1">
        <f t="shared" si="368"/>
        <v>0</v>
      </c>
      <c r="W2929" s="1" t="str">
        <f t="shared" si="369"/>
        <v/>
      </c>
      <c r="X2929" s="1"/>
      <c r="Y2929" s="1"/>
      <c r="Z2929" s="1"/>
      <c r="AA2929" s="1"/>
      <c r="AB2929" s="1"/>
      <c r="AC2929" s="1"/>
      <c r="AD2929" s="1">
        <f>IF($C2929="",0,SUMPRODUCT((AY_SONU!$O$7:$O$42="Evet")*(AY_SONU!$B$7:$B$42=DATE(YEAR($C2929),MONTH($C2929),1))))</f>
        <v>0</v>
      </c>
      <c r="AE2929" s="1" t="str">
        <f>IF($E2929="","",$E2929&amp;"|"&amp;COUNTIFS($E$7:$E2929,$E2929))</f>
        <v/>
      </c>
    </row>
    <row r="2930" spans="1:31" ht="18" customHeight="1" x14ac:dyDescent="0.3">
      <c r="A2930" s="2"/>
      <c r="B2930" s="65" t="str">
        <f t="shared" si="362"/>
        <v/>
      </c>
      <c r="C2930" s="66"/>
      <c r="D2930" s="60"/>
      <c r="E2930" s="61"/>
      <c r="F2930" s="61"/>
      <c r="G2930" s="67"/>
      <c r="H2930" s="60"/>
      <c r="I2930" s="60"/>
      <c r="J2930" s="61"/>
      <c r="K2930" s="61"/>
      <c r="L2930" s="60"/>
      <c r="M2930" s="74" t="str">
        <f t="shared" si="363"/>
        <v/>
      </c>
      <c r="N2930" s="74" t="str">
        <f t="shared" si="364"/>
        <v/>
      </c>
      <c r="O2930" s="73" t="str">
        <f t="shared" si="365"/>
        <v/>
      </c>
      <c r="P2930" s="65" t="str">
        <f t="shared" ca="1" si="366"/>
        <v/>
      </c>
      <c r="Q2930" s="2"/>
      <c r="R2930" s="2"/>
      <c r="S2930" s="1" t="str">
        <f t="shared" si="367"/>
        <v/>
      </c>
      <c r="T2930" s="1" t="str">
        <f>IF(OR($C2930="",$D2930&lt;&gt;"Gelir",$L2930=""),"",IFERROR(INDEX(MUSTERILER!$B$7:$B$156,MATCH($S2930,MUSTERILER!$T$7:$T$156,0)),""))</f>
        <v/>
      </c>
      <c r="U2930" s="1" t="str">
        <f>IF($T2930="","",$T2930&amp;"|"&amp;COUNTIFS($T$7:$T2930,$T2930))</f>
        <v/>
      </c>
      <c r="V2930" s="1">
        <f t="shared" si="368"/>
        <v>0</v>
      </c>
      <c r="W2930" s="1" t="str">
        <f t="shared" si="369"/>
        <v/>
      </c>
      <c r="X2930" s="1"/>
      <c r="Y2930" s="1"/>
      <c r="Z2930" s="1"/>
      <c r="AA2930" s="1"/>
      <c r="AB2930" s="1"/>
      <c r="AC2930" s="1"/>
      <c r="AD2930" s="1">
        <f>IF($C2930="",0,SUMPRODUCT((AY_SONU!$O$7:$O$42="Evet")*(AY_SONU!$B$7:$B$42=DATE(YEAR($C2930),MONTH($C2930),1))))</f>
        <v>0</v>
      </c>
      <c r="AE2930" s="1" t="str">
        <f>IF($E2930="","",$E2930&amp;"|"&amp;COUNTIFS($E$7:$E2930,$E2930))</f>
        <v/>
      </c>
    </row>
    <row r="2931" spans="1:31" ht="18" customHeight="1" x14ac:dyDescent="0.3">
      <c r="A2931" s="2"/>
      <c r="B2931" s="65" t="str">
        <f t="shared" si="362"/>
        <v/>
      </c>
      <c r="C2931" s="66"/>
      <c r="D2931" s="60"/>
      <c r="E2931" s="61"/>
      <c r="F2931" s="61"/>
      <c r="G2931" s="67"/>
      <c r="H2931" s="60"/>
      <c r="I2931" s="60"/>
      <c r="J2931" s="61"/>
      <c r="K2931" s="61"/>
      <c r="L2931" s="60"/>
      <c r="M2931" s="74" t="str">
        <f t="shared" si="363"/>
        <v/>
      </c>
      <c r="N2931" s="74" t="str">
        <f t="shared" si="364"/>
        <v/>
      </c>
      <c r="O2931" s="73" t="str">
        <f t="shared" si="365"/>
        <v/>
      </c>
      <c r="P2931" s="65" t="str">
        <f t="shared" ca="1" si="366"/>
        <v/>
      </c>
      <c r="Q2931" s="2"/>
      <c r="R2931" s="2"/>
      <c r="S2931" s="1" t="str">
        <f t="shared" si="367"/>
        <v/>
      </c>
      <c r="T2931" s="1" t="str">
        <f>IF(OR($C2931="",$D2931&lt;&gt;"Gelir",$L2931=""),"",IFERROR(INDEX(MUSTERILER!$B$7:$B$156,MATCH($S2931,MUSTERILER!$T$7:$T$156,0)),""))</f>
        <v/>
      </c>
      <c r="U2931" s="1" t="str">
        <f>IF($T2931="","",$T2931&amp;"|"&amp;COUNTIFS($T$7:$T2931,$T2931))</f>
        <v/>
      </c>
      <c r="V2931" s="1">
        <f t="shared" si="368"/>
        <v>0</v>
      </c>
      <c r="W2931" s="1" t="str">
        <f t="shared" si="369"/>
        <v/>
      </c>
      <c r="X2931" s="1"/>
      <c r="Y2931" s="1"/>
      <c r="Z2931" s="1"/>
      <c r="AA2931" s="1"/>
      <c r="AB2931" s="1"/>
      <c r="AC2931" s="1"/>
      <c r="AD2931" s="1">
        <f>IF($C2931="",0,SUMPRODUCT((AY_SONU!$O$7:$O$42="Evet")*(AY_SONU!$B$7:$B$42=DATE(YEAR($C2931),MONTH($C2931),1))))</f>
        <v>0</v>
      </c>
      <c r="AE2931" s="1" t="str">
        <f>IF($E2931="","",$E2931&amp;"|"&amp;COUNTIFS($E$7:$E2931,$E2931))</f>
        <v/>
      </c>
    </row>
    <row r="2932" spans="1:31" ht="18" customHeight="1" x14ac:dyDescent="0.3">
      <c r="A2932" s="2"/>
      <c r="B2932" s="65" t="str">
        <f t="shared" si="362"/>
        <v/>
      </c>
      <c r="C2932" s="66"/>
      <c r="D2932" s="60"/>
      <c r="E2932" s="61"/>
      <c r="F2932" s="61"/>
      <c r="G2932" s="67"/>
      <c r="H2932" s="60"/>
      <c r="I2932" s="60"/>
      <c r="J2932" s="61"/>
      <c r="K2932" s="61"/>
      <c r="L2932" s="60"/>
      <c r="M2932" s="74" t="str">
        <f t="shared" si="363"/>
        <v/>
      </c>
      <c r="N2932" s="74" t="str">
        <f t="shared" si="364"/>
        <v/>
      </c>
      <c r="O2932" s="73" t="str">
        <f t="shared" si="365"/>
        <v/>
      </c>
      <c r="P2932" s="65" t="str">
        <f t="shared" ca="1" si="366"/>
        <v/>
      </c>
      <c r="Q2932" s="2"/>
      <c r="R2932" s="2"/>
      <c r="S2932" s="1" t="str">
        <f t="shared" si="367"/>
        <v/>
      </c>
      <c r="T2932" s="1" t="str">
        <f>IF(OR($C2932="",$D2932&lt;&gt;"Gelir",$L2932=""),"",IFERROR(INDEX(MUSTERILER!$B$7:$B$156,MATCH($S2932,MUSTERILER!$T$7:$T$156,0)),""))</f>
        <v/>
      </c>
      <c r="U2932" s="1" t="str">
        <f>IF($T2932="","",$T2932&amp;"|"&amp;COUNTIFS($T$7:$T2932,$T2932))</f>
        <v/>
      </c>
      <c r="V2932" s="1">
        <f t="shared" si="368"/>
        <v>0</v>
      </c>
      <c r="W2932" s="1" t="str">
        <f t="shared" si="369"/>
        <v/>
      </c>
      <c r="X2932" s="1"/>
      <c r="Y2932" s="1"/>
      <c r="Z2932" s="1"/>
      <c r="AA2932" s="1"/>
      <c r="AB2932" s="1"/>
      <c r="AC2932" s="1"/>
      <c r="AD2932" s="1">
        <f>IF($C2932="",0,SUMPRODUCT((AY_SONU!$O$7:$O$42="Evet")*(AY_SONU!$B$7:$B$42=DATE(YEAR($C2932),MONTH($C2932),1))))</f>
        <v>0</v>
      </c>
      <c r="AE2932" s="1" t="str">
        <f>IF($E2932="","",$E2932&amp;"|"&amp;COUNTIFS($E$7:$E2932,$E2932))</f>
        <v/>
      </c>
    </row>
    <row r="2933" spans="1:31" ht="18" customHeight="1" x14ac:dyDescent="0.3">
      <c r="A2933" s="2"/>
      <c r="B2933" s="65" t="str">
        <f t="shared" si="362"/>
        <v/>
      </c>
      <c r="C2933" s="66"/>
      <c r="D2933" s="60"/>
      <c r="E2933" s="61"/>
      <c r="F2933" s="61"/>
      <c r="G2933" s="67"/>
      <c r="H2933" s="60"/>
      <c r="I2933" s="60"/>
      <c r="J2933" s="61"/>
      <c r="K2933" s="61"/>
      <c r="L2933" s="60"/>
      <c r="M2933" s="74" t="str">
        <f t="shared" si="363"/>
        <v/>
      </c>
      <c r="N2933" s="74" t="str">
        <f t="shared" si="364"/>
        <v/>
      </c>
      <c r="O2933" s="73" t="str">
        <f t="shared" si="365"/>
        <v/>
      </c>
      <c r="P2933" s="65" t="str">
        <f t="shared" ca="1" si="366"/>
        <v/>
      </c>
      <c r="Q2933" s="2"/>
      <c r="R2933" s="2"/>
      <c r="S2933" s="1" t="str">
        <f t="shared" si="367"/>
        <v/>
      </c>
      <c r="T2933" s="1" t="str">
        <f>IF(OR($C2933="",$D2933&lt;&gt;"Gelir",$L2933=""),"",IFERROR(INDEX(MUSTERILER!$B$7:$B$156,MATCH($S2933,MUSTERILER!$T$7:$T$156,0)),""))</f>
        <v/>
      </c>
      <c r="U2933" s="1" t="str">
        <f>IF($T2933="","",$T2933&amp;"|"&amp;COUNTIFS($T$7:$T2933,$T2933))</f>
        <v/>
      </c>
      <c r="V2933" s="1">
        <f t="shared" si="368"/>
        <v>0</v>
      </c>
      <c r="W2933" s="1" t="str">
        <f t="shared" si="369"/>
        <v/>
      </c>
      <c r="X2933" s="1"/>
      <c r="Y2933" s="1"/>
      <c r="Z2933" s="1"/>
      <c r="AA2933" s="1"/>
      <c r="AB2933" s="1"/>
      <c r="AC2933" s="1"/>
      <c r="AD2933" s="1">
        <f>IF($C2933="",0,SUMPRODUCT((AY_SONU!$O$7:$O$42="Evet")*(AY_SONU!$B$7:$B$42=DATE(YEAR($C2933),MONTH($C2933),1))))</f>
        <v>0</v>
      </c>
      <c r="AE2933" s="1" t="str">
        <f>IF($E2933="","",$E2933&amp;"|"&amp;COUNTIFS($E$7:$E2933,$E2933))</f>
        <v/>
      </c>
    </row>
    <row r="2934" spans="1:31" ht="18" customHeight="1" x14ac:dyDescent="0.3">
      <c r="A2934" s="2"/>
      <c r="B2934" s="65" t="str">
        <f t="shared" si="362"/>
        <v/>
      </c>
      <c r="C2934" s="66"/>
      <c r="D2934" s="60"/>
      <c r="E2934" s="61"/>
      <c r="F2934" s="61"/>
      <c r="G2934" s="67"/>
      <c r="H2934" s="60"/>
      <c r="I2934" s="60"/>
      <c r="J2934" s="61"/>
      <c r="K2934" s="61"/>
      <c r="L2934" s="60"/>
      <c r="M2934" s="74" t="str">
        <f t="shared" si="363"/>
        <v/>
      </c>
      <c r="N2934" s="74" t="str">
        <f t="shared" si="364"/>
        <v/>
      </c>
      <c r="O2934" s="73" t="str">
        <f t="shared" si="365"/>
        <v/>
      </c>
      <c r="P2934" s="65" t="str">
        <f t="shared" ca="1" si="366"/>
        <v/>
      </c>
      <c r="Q2934" s="2"/>
      <c r="R2934" s="2"/>
      <c r="S2934" s="1" t="str">
        <f t="shared" si="367"/>
        <v/>
      </c>
      <c r="T2934" s="1" t="str">
        <f>IF(OR($C2934="",$D2934&lt;&gt;"Gelir",$L2934=""),"",IFERROR(INDEX(MUSTERILER!$B$7:$B$156,MATCH($S2934,MUSTERILER!$T$7:$T$156,0)),""))</f>
        <v/>
      </c>
      <c r="U2934" s="1" t="str">
        <f>IF($T2934="","",$T2934&amp;"|"&amp;COUNTIFS($T$7:$T2934,$T2934))</f>
        <v/>
      </c>
      <c r="V2934" s="1">
        <f t="shared" si="368"/>
        <v>0</v>
      </c>
      <c r="W2934" s="1" t="str">
        <f t="shared" si="369"/>
        <v/>
      </c>
      <c r="X2934" s="1"/>
      <c r="Y2934" s="1"/>
      <c r="Z2934" s="1"/>
      <c r="AA2934" s="1"/>
      <c r="AB2934" s="1"/>
      <c r="AC2934" s="1"/>
      <c r="AD2934" s="1">
        <f>IF($C2934="",0,SUMPRODUCT((AY_SONU!$O$7:$O$42="Evet")*(AY_SONU!$B$7:$B$42=DATE(YEAR($C2934),MONTH($C2934),1))))</f>
        <v>0</v>
      </c>
      <c r="AE2934" s="1" t="str">
        <f>IF($E2934="","",$E2934&amp;"|"&amp;COUNTIFS($E$7:$E2934,$E2934))</f>
        <v/>
      </c>
    </row>
    <row r="2935" spans="1:31" ht="18" customHeight="1" x14ac:dyDescent="0.3">
      <c r="A2935" s="2"/>
      <c r="B2935" s="65" t="str">
        <f t="shared" si="362"/>
        <v/>
      </c>
      <c r="C2935" s="66"/>
      <c r="D2935" s="60"/>
      <c r="E2935" s="61"/>
      <c r="F2935" s="61"/>
      <c r="G2935" s="67"/>
      <c r="H2935" s="60"/>
      <c r="I2935" s="60"/>
      <c r="J2935" s="61"/>
      <c r="K2935" s="61"/>
      <c r="L2935" s="60"/>
      <c r="M2935" s="74" t="str">
        <f t="shared" si="363"/>
        <v/>
      </c>
      <c r="N2935" s="74" t="str">
        <f t="shared" si="364"/>
        <v/>
      </c>
      <c r="O2935" s="73" t="str">
        <f t="shared" si="365"/>
        <v/>
      </c>
      <c r="P2935" s="65" t="str">
        <f t="shared" ca="1" si="366"/>
        <v/>
      </c>
      <c r="Q2935" s="2"/>
      <c r="R2935" s="2"/>
      <c r="S2935" s="1" t="str">
        <f t="shared" si="367"/>
        <v/>
      </c>
      <c r="T2935" s="1" t="str">
        <f>IF(OR($C2935="",$D2935&lt;&gt;"Gelir",$L2935=""),"",IFERROR(INDEX(MUSTERILER!$B$7:$B$156,MATCH($S2935,MUSTERILER!$T$7:$T$156,0)),""))</f>
        <v/>
      </c>
      <c r="U2935" s="1" t="str">
        <f>IF($T2935="","",$T2935&amp;"|"&amp;COUNTIFS($T$7:$T2935,$T2935))</f>
        <v/>
      </c>
      <c r="V2935" s="1">
        <f t="shared" si="368"/>
        <v>0</v>
      </c>
      <c r="W2935" s="1" t="str">
        <f t="shared" si="369"/>
        <v/>
      </c>
      <c r="X2935" s="1"/>
      <c r="Y2935" s="1"/>
      <c r="Z2935" s="1"/>
      <c r="AA2935" s="1"/>
      <c r="AB2935" s="1"/>
      <c r="AC2935" s="1"/>
      <c r="AD2935" s="1">
        <f>IF($C2935="",0,SUMPRODUCT((AY_SONU!$O$7:$O$42="Evet")*(AY_SONU!$B$7:$B$42=DATE(YEAR($C2935),MONTH($C2935),1))))</f>
        <v>0</v>
      </c>
      <c r="AE2935" s="1" t="str">
        <f>IF($E2935="","",$E2935&amp;"|"&amp;COUNTIFS($E$7:$E2935,$E2935))</f>
        <v/>
      </c>
    </row>
    <row r="2936" spans="1:31" ht="18" customHeight="1" x14ac:dyDescent="0.3">
      <c r="A2936" s="2"/>
      <c r="B2936" s="65" t="str">
        <f t="shared" si="362"/>
        <v/>
      </c>
      <c r="C2936" s="66"/>
      <c r="D2936" s="60"/>
      <c r="E2936" s="61"/>
      <c r="F2936" s="61"/>
      <c r="G2936" s="67"/>
      <c r="H2936" s="60"/>
      <c r="I2936" s="60"/>
      <c r="J2936" s="61"/>
      <c r="K2936" s="61"/>
      <c r="L2936" s="60"/>
      <c r="M2936" s="74" t="str">
        <f t="shared" si="363"/>
        <v/>
      </c>
      <c r="N2936" s="74" t="str">
        <f t="shared" si="364"/>
        <v/>
      </c>
      <c r="O2936" s="73" t="str">
        <f t="shared" si="365"/>
        <v/>
      </c>
      <c r="P2936" s="65" t="str">
        <f t="shared" ca="1" si="366"/>
        <v/>
      </c>
      <c r="Q2936" s="2"/>
      <c r="R2936" s="2"/>
      <c r="S2936" s="1" t="str">
        <f t="shared" si="367"/>
        <v/>
      </c>
      <c r="T2936" s="1" t="str">
        <f>IF(OR($C2936="",$D2936&lt;&gt;"Gelir",$L2936=""),"",IFERROR(INDEX(MUSTERILER!$B$7:$B$156,MATCH($S2936,MUSTERILER!$T$7:$T$156,0)),""))</f>
        <v/>
      </c>
      <c r="U2936" s="1" t="str">
        <f>IF($T2936="","",$T2936&amp;"|"&amp;COUNTIFS($T$7:$T2936,$T2936))</f>
        <v/>
      </c>
      <c r="V2936" s="1">
        <f t="shared" si="368"/>
        <v>0</v>
      </c>
      <c r="W2936" s="1" t="str">
        <f t="shared" si="369"/>
        <v/>
      </c>
      <c r="X2936" s="1"/>
      <c r="Y2936" s="1"/>
      <c r="Z2936" s="1"/>
      <c r="AA2936" s="1"/>
      <c r="AB2936" s="1"/>
      <c r="AC2936" s="1"/>
      <c r="AD2936" s="1">
        <f>IF($C2936="",0,SUMPRODUCT((AY_SONU!$O$7:$O$42="Evet")*(AY_SONU!$B$7:$B$42=DATE(YEAR($C2936),MONTH($C2936),1))))</f>
        <v>0</v>
      </c>
      <c r="AE2936" s="1" t="str">
        <f>IF($E2936="","",$E2936&amp;"|"&amp;COUNTIFS($E$7:$E2936,$E2936))</f>
        <v/>
      </c>
    </row>
    <row r="2937" spans="1:31" ht="18" customHeight="1" x14ac:dyDescent="0.3">
      <c r="A2937" s="2"/>
      <c r="B2937" s="65" t="str">
        <f t="shared" si="362"/>
        <v/>
      </c>
      <c r="C2937" s="66"/>
      <c r="D2937" s="60"/>
      <c r="E2937" s="61"/>
      <c r="F2937" s="61"/>
      <c r="G2937" s="67"/>
      <c r="H2937" s="60"/>
      <c r="I2937" s="60"/>
      <c r="J2937" s="61"/>
      <c r="K2937" s="61"/>
      <c r="L2937" s="60"/>
      <c r="M2937" s="74" t="str">
        <f t="shared" si="363"/>
        <v/>
      </c>
      <c r="N2937" s="74" t="str">
        <f t="shared" si="364"/>
        <v/>
      </c>
      <c r="O2937" s="73" t="str">
        <f t="shared" si="365"/>
        <v/>
      </c>
      <c r="P2937" s="65" t="str">
        <f t="shared" ca="1" si="366"/>
        <v/>
      </c>
      <c r="Q2937" s="2"/>
      <c r="R2937" s="2"/>
      <c r="S2937" s="1" t="str">
        <f t="shared" si="367"/>
        <v/>
      </c>
      <c r="T2937" s="1" t="str">
        <f>IF(OR($C2937="",$D2937&lt;&gt;"Gelir",$L2937=""),"",IFERROR(INDEX(MUSTERILER!$B$7:$B$156,MATCH($S2937,MUSTERILER!$T$7:$T$156,0)),""))</f>
        <v/>
      </c>
      <c r="U2937" s="1" t="str">
        <f>IF($T2937="","",$T2937&amp;"|"&amp;COUNTIFS($T$7:$T2937,$T2937))</f>
        <v/>
      </c>
      <c r="V2937" s="1">
        <f t="shared" si="368"/>
        <v>0</v>
      </c>
      <c r="W2937" s="1" t="str">
        <f t="shared" si="369"/>
        <v/>
      </c>
      <c r="X2937" s="1"/>
      <c r="Y2937" s="1"/>
      <c r="Z2937" s="1"/>
      <c r="AA2937" s="1"/>
      <c r="AB2937" s="1"/>
      <c r="AC2937" s="1"/>
      <c r="AD2937" s="1">
        <f>IF($C2937="",0,SUMPRODUCT((AY_SONU!$O$7:$O$42="Evet")*(AY_SONU!$B$7:$B$42=DATE(YEAR($C2937),MONTH($C2937),1))))</f>
        <v>0</v>
      </c>
      <c r="AE2937" s="1" t="str">
        <f>IF($E2937="","",$E2937&amp;"|"&amp;COUNTIFS($E$7:$E2937,$E2937))</f>
        <v/>
      </c>
    </row>
    <row r="2938" spans="1:31" ht="18" customHeight="1" x14ac:dyDescent="0.3">
      <c r="A2938" s="2"/>
      <c r="B2938" s="65" t="str">
        <f t="shared" si="362"/>
        <v/>
      </c>
      <c r="C2938" s="66"/>
      <c r="D2938" s="60"/>
      <c r="E2938" s="61"/>
      <c r="F2938" s="61"/>
      <c r="G2938" s="67"/>
      <c r="H2938" s="60"/>
      <c r="I2938" s="60"/>
      <c r="J2938" s="61"/>
      <c r="K2938" s="61"/>
      <c r="L2938" s="60"/>
      <c r="M2938" s="74" t="str">
        <f t="shared" si="363"/>
        <v/>
      </c>
      <c r="N2938" s="74" t="str">
        <f t="shared" si="364"/>
        <v/>
      </c>
      <c r="O2938" s="73" t="str">
        <f t="shared" si="365"/>
        <v/>
      </c>
      <c r="P2938" s="65" t="str">
        <f t="shared" ca="1" si="366"/>
        <v/>
      </c>
      <c r="Q2938" s="2"/>
      <c r="R2938" s="2"/>
      <c r="S2938" s="1" t="str">
        <f t="shared" si="367"/>
        <v/>
      </c>
      <c r="T2938" s="1" t="str">
        <f>IF(OR($C2938="",$D2938&lt;&gt;"Gelir",$L2938=""),"",IFERROR(INDEX(MUSTERILER!$B$7:$B$156,MATCH($S2938,MUSTERILER!$T$7:$T$156,0)),""))</f>
        <v/>
      </c>
      <c r="U2938" s="1" t="str">
        <f>IF($T2938="","",$T2938&amp;"|"&amp;COUNTIFS($T$7:$T2938,$T2938))</f>
        <v/>
      </c>
      <c r="V2938" s="1">
        <f t="shared" si="368"/>
        <v>0</v>
      </c>
      <c r="W2938" s="1" t="str">
        <f t="shared" si="369"/>
        <v/>
      </c>
      <c r="X2938" s="1"/>
      <c r="Y2938" s="1"/>
      <c r="Z2938" s="1"/>
      <c r="AA2938" s="1"/>
      <c r="AB2938" s="1"/>
      <c r="AC2938" s="1"/>
      <c r="AD2938" s="1">
        <f>IF($C2938="",0,SUMPRODUCT((AY_SONU!$O$7:$O$42="Evet")*(AY_SONU!$B$7:$B$42=DATE(YEAR($C2938),MONTH($C2938),1))))</f>
        <v>0</v>
      </c>
      <c r="AE2938" s="1" t="str">
        <f>IF($E2938="","",$E2938&amp;"|"&amp;COUNTIFS($E$7:$E2938,$E2938))</f>
        <v/>
      </c>
    </row>
    <row r="2939" spans="1:31" ht="18" customHeight="1" x14ac:dyDescent="0.3">
      <c r="A2939" s="2"/>
      <c r="B2939" s="65" t="str">
        <f t="shared" si="362"/>
        <v/>
      </c>
      <c r="C2939" s="66"/>
      <c r="D2939" s="60"/>
      <c r="E2939" s="61"/>
      <c r="F2939" s="61"/>
      <c r="G2939" s="67"/>
      <c r="H2939" s="60"/>
      <c r="I2939" s="60"/>
      <c r="J2939" s="61"/>
      <c r="K2939" s="61"/>
      <c r="L2939" s="60"/>
      <c r="M2939" s="74" t="str">
        <f t="shared" si="363"/>
        <v/>
      </c>
      <c r="N2939" s="74" t="str">
        <f t="shared" si="364"/>
        <v/>
      </c>
      <c r="O2939" s="73" t="str">
        <f t="shared" si="365"/>
        <v/>
      </c>
      <c r="P2939" s="65" t="str">
        <f t="shared" ca="1" si="366"/>
        <v/>
      </c>
      <c r="Q2939" s="2"/>
      <c r="R2939" s="2"/>
      <c r="S2939" s="1" t="str">
        <f t="shared" si="367"/>
        <v/>
      </c>
      <c r="T2939" s="1" t="str">
        <f>IF(OR($C2939="",$D2939&lt;&gt;"Gelir",$L2939=""),"",IFERROR(INDEX(MUSTERILER!$B$7:$B$156,MATCH($S2939,MUSTERILER!$T$7:$T$156,0)),""))</f>
        <v/>
      </c>
      <c r="U2939" s="1" t="str">
        <f>IF($T2939="","",$T2939&amp;"|"&amp;COUNTIFS($T$7:$T2939,$T2939))</f>
        <v/>
      </c>
      <c r="V2939" s="1">
        <f t="shared" si="368"/>
        <v>0</v>
      </c>
      <c r="W2939" s="1" t="str">
        <f t="shared" si="369"/>
        <v/>
      </c>
      <c r="X2939" s="1"/>
      <c r="Y2939" s="1"/>
      <c r="Z2939" s="1"/>
      <c r="AA2939" s="1"/>
      <c r="AB2939" s="1"/>
      <c r="AC2939" s="1"/>
      <c r="AD2939" s="1">
        <f>IF($C2939="",0,SUMPRODUCT((AY_SONU!$O$7:$O$42="Evet")*(AY_SONU!$B$7:$B$42=DATE(YEAR($C2939),MONTH($C2939),1))))</f>
        <v>0</v>
      </c>
      <c r="AE2939" s="1" t="str">
        <f>IF($E2939="","",$E2939&amp;"|"&amp;COUNTIFS($E$7:$E2939,$E2939))</f>
        <v/>
      </c>
    </row>
    <row r="2940" spans="1:31" ht="18" customHeight="1" x14ac:dyDescent="0.3">
      <c r="A2940" s="2"/>
      <c r="B2940" s="65" t="str">
        <f t="shared" si="362"/>
        <v/>
      </c>
      <c r="C2940" s="66"/>
      <c r="D2940" s="60"/>
      <c r="E2940" s="61"/>
      <c r="F2940" s="61"/>
      <c r="G2940" s="67"/>
      <c r="H2940" s="60"/>
      <c r="I2940" s="60"/>
      <c r="J2940" s="61"/>
      <c r="K2940" s="61"/>
      <c r="L2940" s="60"/>
      <c r="M2940" s="74" t="str">
        <f t="shared" si="363"/>
        <v/>
      </c>
      <c r="N2940" s="74" t="str">
        <f t="shared" si="364"/>
        <v/>
      </c>
      <c r="O2940" s="73" t="str">
        <f t="shared" si="365"/>
        <v/>
      </c>
      <c r="P2940" s="65" t="str">
        <f t="shared" ca="1" si="366"/>
        <v/>
      </c>
      <c r="Q2940" s="2"/>
      <c r="R2940" s="2"/>
      <c r="S2940" s="1" t="str">
        <f t="shared" si="367"/>
        <v/>
      </c>
      <c r="T2940" s="1" t="str">
        <f>IF(OR($C2940="",$D2940&lt;&gt;"Gelir",$L2940=""),"",IFERROR(INDEX(MUSTERILER!$B$7:$B$156,MATCH($S2940,MUSTERILER!$T$7:$T$156,0)),""))</f>
        <v/>
      </c>
      <c r="U2940" s="1" t="str">
        <f>IF($T2940="","",$T2940&amp;"|"&amp;COUNTIFS($T$7:$T2940,$T2940))</f>
        <v/>
      </c>
      <c r="V2940" s="1">
        <f t="shared" si="368"/>
        <v>0</v>
      </c>
      <c r="W2940" s="1" t="str">
        <f t="shared" si="369"/>
        <v/>
      </c>
      <c r="X2940" s="1"/>
      <c r="Y2940" s="1"/>
      <c r="Z2940" s="1"/>
      <c r="AA2940" s="1"/>
      <c r="AB2940" s="1"/>
      <c r="AC2940" s="1"/>
      <c r="AD2940" s="1">
        <f>IF($C2940="",0,SUMPRODUCT((AY_SONU!$O$7:$O$42="Evet")*(AY_SONU!$B$7:$B$42=DATE(YEAR($C2940),MONTH($C2940),1))))</f>
        <v>0</v>
      </c>
      <c r="AE2940" s="1" t="str">
        <f>IF($E2940="","",$E2940&amp;"|"&amp;COUNTIFS($E$7:$E2940,$E2940))</f>
        <v/>
      </c>
    </row>
    <row r="2941" spans="1:31" ht="18" customHeight="1" x14ac:dyDescent="0.3">
      <c r="A2941" s="2"/>
      <c r="B2941" s="65" t="str">
        <f t="shared" si="362"/>
        <v/>
      </c>
      <c r="C2941" s="66"/>
      <c r="D2941" s="60"/>
      <c r="E2941" s="61"/>
      <c r="F2941" s="61"/>
      <c r="G2941" s="67"/>
      <c r="H2941" s="60"/>
      <c r="I2941" s="60"/>
      <c r="J2941" s="61"/>
      <c r="K2941" s="61"/>
      <c r="L2941" s="60"/>
      <c r="M2941" s="74" t="str">
        <f t="shared" si="363"/>
        <v/>
      </c>
      <c r="N2941" s="74" t="str">
        <f t="shared" si="364"/>
        <v/>
      </c>
      <c r="O2941" s="73" t="str">
        <f t="shared" si="365"/>
        <v/>
      </c>
      <c r="P2941" s="65" t="str">
        <f t="shared" ca="1" si="366"/>
        <v/>
      </c>
      <c r="Q2941" s="2"/>
      <c r="R2941" s="2"/>
      <c r="S2941" s="1" t="str">
        <f t="shared" si="367"/>
        <v/>
      </c>
      <c r="T2941" s="1" t="str">
        <f>IF(OR($C2941="",$D2941&lt;&gt;"Gelir",$L2941=""),"",IFERROR(INDEX(MUSTERILER!$B$7:$B$156,MATCH($S2941,MUSTERILER!$T$7:$T$156,0)),""))</f>
        <v/>
      </c>
      <c r="U2941" s="1" t="str">
        <f>IF($T2941="","",$T2941&amp;"|"&amp;COUNTIFS($T$7:$T2941,$T2941))</f>
        <v/>
      </c>
      <c r="V2941" s="1">
        <f t="shared" si="368"/>
        <v>0</v>
      </c>
      <c r="W2941" s="1" t="str">
        <f t="shared" si="369"/>
        <v/>
      </c>
      <c r="X2941" s="1"/>
      <c r="Y2941" s="1"/>
      <c r="Z2941" s="1"/>
      <c r="AA2941" s="1"/>
      <c r="AB2941" s="1"/>
      <c r="AC2941" s="1"/>
      <c r="AD2941" s="1">
        <f>IF($C2941="",0,SUMPRODUCT((AY_SONU!$O$7:$O$42="Evet")*(AY_SONU!$B$7:$B$42=DATE(YEAR($C2941),MONTH($C2941),1))))</f>
        <v>0</v>
      </c>
      <c r="AE2941" s="1" t="str">
        <f>IF($E2941="","",$E2941&amp;"|"&amp;COUNTIFS($E$7:$E2941,$E2941))</f>
        <v/>
      </c>
    </row>
    <row r="2942" spans="1:31" ht="18" customHeight="1" x14ac:dyDescent="0.3">
      <c r="A2942" s="2"/>
      <c r="B2942" s="65" t="str">
        <f t="shared" si="362"/>
        <v/>
      </c>
      <c r="C2942" s="66"/>
      <c r="D2942" s="60"/>
      <c r="E2942" s="61"/>
      <c r="F2942" s="61"/>
      <c r="G2942" s="67"/>
      <c r="H2942" s="60"/>
      <c r="I2942" s="60"/>
      <c r="J2942" s="61"/>
      <c r="K2942" s="61"/>
      <c r="L2942" s="60"/>
      <c r="M2942" s="74" t="str">
        <f t="shared" si="363"/>
        <v/>
      </c>
      <c r="N2942" s="74" t="str">
        <f t="shared" si="364"/>
        <v/>
      </c>
      <c r="O2942" s="73" t="str">
        <f t="shared" si="365"/>
        <v/>
      </c>
      <c r="P2942" s="65" t="str">
        <f t="shared" ca="1" si="366"/>
        <v/>
      </c>
      <c r="Q2942" s="2"/>
      <c r="R2942" s="2"/>
      <c r="S2942" s="1" t="str">
        <f t="shared" si="367"/>
        <v/>
      </c>
      <c r="T2942" s="1" t="str">
        <f>IF(OR($C2942="",$D2942&lt;&gt;"Gelir",$L2942=""),"",IFERROR(INDEX(MUSTERILER!$B$7:$B$156,MATCH($S2942,MUSTERILER!$T$7:$T$156,0)),""))</f>
        <v/>
      </c>
      <c r="U2942" s="1" t="str">
        <f>IF($T2942="","",$T2942&amp;"|"&amp;COUNTIFS($T$7:$T2942,$T2942))</f>
        <v/>
      </c>
      <c r="V2942" s="1">
        <f t="shared" si="368"/>
        <v>0</v>
      </c>
      <c r="W2942" s="1" t="str">
        <f t="shared" si="369"/>
        <v/>
      </c>
      <c r="X2942" s="1"/>
      <c r="Y2942" s="1"/>
      <c r="Z2942" s="1"/>
      <c r="AA2942" s="1"/>
      <c r="AB2942" s="1"/>
      <c r="AC2942" s="1"/>
      <c r="AD2942" s="1">
        <f>IF($C2942="",0,SUMPRODUCT((AY_SONU!$O$7:$O$42="Evet")*(AY_SONU!$B$7:$B$42=DATE(YEAR($C2942),MONTH($C2942),1))))</f>
        <v>0</v>
      </c>
      <c r="AE2942" s="1" t="str">
        <f>IF($E2942="","",$E2942&amp;"|"&amp;COUNTIFS($E$7:$E2942,$E2942))</f>
        <v/>
      </c>
    </row>
    <row r="2943" spans="1:31" ht="18" customHeight="1" x14ac:dyDescent="0.3">
      <c r="A2943" s="2"/>
      <c r="B2943" s="65" t="str">
        <f t="shared" si="362"/>
        <v/>
      </c>
      <c r="C2943" s="66"/>
      <c r="D2943" s="60"/>
      <c r="E2943" s="61"/>
      <c r="F2943" s="61"/>
      <c r="G2943" s="67"/>
      <c r="H2943" s="60"/>
      <c r="I2943" s="60"/>
      <c r="J2943" s="61"/>
      <c r="K2943" s="61"/>
      <c r="L2943" s="60"/>
      <c r="M2943" s="74" t="str">
        <f t="shared" si="363"/>
        <v/>
      </c>
      <c r="N2943" s="74" t="str">
        <f t="shared" si="364"/>
        <v/>
      </c>
      <c r="O2943" s="73" t="str">
        <f t="shared" si="365"/>
        <v/>
      </c>
      <c r="P2943" s="65" t="str">
        <f t="shared" ca="1" si="366"/>
        <v/>
      </c>
      <c r="Q2943" s="2"/>
      <c r="R2943" s="2"/>
      <c r="S2943" s="1" t="str">
        <f t="shared" si="367"/>
        <v/>
      </c>
      <c r="T2943" s="1" t="str">
        <f>IF(OR($C2943="",$D2943&lt;&gt;"Gelir",$L2943=""),"",IFERROR(INDEX(MUSTERILER!$B$7:$B$156,MATCH($S2943,MUSTERILER!$T$7:$T$156,0)),""))</f>
        <v/>
      </c>
      <c r="U2943" s="1" t="str">
        <f>IF($T2943="","",$T2943&amp;"|"&amp;COUNTIFS($T$7:$T2943,$T2943))</f>
        <v/>
      </c>
      <c r="V2943" s="1">
        <f t="shared" si="368"/>
        <v>0</v>
      </c>
      <c r="W2943" s="1" t="str">
        <f t="shared" si="369"/>
        <v/>
      </c>
      <c r="X2943" s="1"/>
      <c r="Y2943" s="1"/>
      <c r="Z2943" s="1"/>
      <c r="AA2943" s="1"/>
      <c r="AB2943" s="1"/>
      <c r="AC2943" s="1"/>
      <c r="AD2943" s="1">
        <f>IF($C2943="",0,SUMPRODUCT((AY_SONU!$O$7:$O$42="Evet")*(AY_SONU!$B$7:$B$42=DATE(YEAR($C2943),MONTH($C2943),1))))</f>
        <v>0</v>
      </c>
      <c r="AE2943" s="1" t="str">
        <f>IF($E2943="","",$E2943&amp;"|"&amp;COUNTIFS($E$7:$E2943,$E2943))</f>
        <v/>
      </c>
    </row>
    <row r="2944" spans="1:31" ht="18" customHeight="1" x14ac:dyDescent="0.3">
      <c r="A2944" s="2"/>
      <c r="B2944" s="65" t="str">
        <f t="shared" si="362"/>
        <v/>
      </c>
      <c r="C2944" s="66"/>
      <c r="D2944" s="60"/>
      <c r="E2944" s="61"/>
      <c r="F2944" s="61"/>
      <c r="G2944" s="67"/>
      <c r="H2944" s="60"/>
      <c r="I2944" s="60"/>
      <c r="J2944" s="61"/>
      <c r="K2944" s="61"/>
      <c r="L2944" s="60"/>
      <c r="M2944" s="74" t="str">
        <f t="shared" si="363"/>
        <v/>
      </c>
      <c r="N2944" s="74" t="str">
        <f t="shared" si="364"/>
        <v/>
      </c>
      <c r="O2944" s="73" t="str">
        <f t="shared" si="365"/>
        <v/>
      </c>
      <c r="P2944" s="65" t="str">
        <f t="shared" ca="1" si="366"/>
        <v/>
      </c>
      <c r="Q2944" s="2"/>
      <c r="R2944" s="2"/>
      <c r="S2944" s="1" t="str">
        <f t="shared" si="367"/>
        <v/>
      </c>
      <c r="T2944" s="1" t="str">
        <f>IF(OR($C2944="",$D2944&lt;&gt;"Gelir",$L2944=""),"",IFERROR(INDEX(MUSTERILER!$B$7:$B$156,MATCH($S2944,MUSTERILER!$T$7:$T$156,0)),""))</f>
        <v/>
      </c>
      <c r="U2944" s="1" t="str">
        <f>IF($T2944="","",$T2944&amp;"|"&amp;COUNTIFS($T$7:$T2944,$T2944))</f>
        <v/>
      </c>
      <c r="V2944" s="1">
        <f t="shared" si="368"/>
        <v>0</v>
      </c>
      <c r="W2944" s="1" t="str">
        <f t="shared" si="369"/>
        <v/>
      </c>
      <c r="X2944" s="1"/>
      <c r="Y2944" s="1"/>
      <c r="Z2944" s="1"/>
      <c r="AA2944" s="1"/>
      <c r="AB2944" s="1"/>
      <c r="AC2944" s="1"/>
      <c r="AD2944" s="1">
        <f>IF($C2944="",0,SUMPRODUCT((AY_SONU!$O$7:$O$42="Evet")*(AY_SONU!$B$7:$B$42=DATE(YEAR($C2944),MONTH($C2944),1))))</f>
        <v>0</v>
      </c>
      <c r="AE2944" s="1" t="str">
        <f>IF($E2944="","",$E2944&amp;"|"&amp;COUNTIFS($E$7:$E2944,$E2944))</f>
        <v/>
      </c>
    </row>
    <row r="2945" spans="1:31" ht="18" customHeight="1" x14ac:dyDescent="0.3">
      <c r="A2945" s="2"/>
      <c r="B2945" s="65" t="str">
        <f t="shared" si="362"/>
        <v/>
      </c>
      <c r="C2945" s="66"/>
      <c r="D2945" s="60"/>
      <c r="E2945" s="61"/>
      <c r="F2945" s="61"/>
      <c r="G2945" s="67"/>
      <c r="H2945" s="60"/>
      <c r="I2945" s="60"/>
      <c r="J2945" s="61"/>
      <c r="K2945" s="61"/>
      <c r="L2945" s="60"/>
      <c r="M2945" s="74" t="str">
        <f t="shared" si="363"/>
        <v/>
      </c>
      <c r="N2945" s="74" t="str">
        <f t="shared" si="364"/>
        <v/>
      </c>
      <c r="O2945" s="73" t="str">
        <f t="shared" si="365"/>
        <v/>
      </c>
      <c r="P2945" s="65" t="str">
        <f t="shared" ca="1" si="366"/>
        <v/>
      </c>
      <c r="Q2945" s="2"/>
      <c r="R2945" s="2"/>
      <c r="S2945" s="1" t="str">
        <f t="shared" si="367"/>
        <v/>
      </c>
      <c r="T2945" s="1" t="str">
        <f>IF(OR($C2945="",$D2945&lt;&gt;"Gelir",$L2945=""),"",IFERROR(INDEX(MUSTERILER!$B$7:$B$156,MATCH($S2945,MUSTERILER!$T$7:$T$156,0)),""))</f>
        <v/>
      </c>
      <c r="U2945" s="1" t="str">
        <f>IF($T2945="","",$T2945&amp;"|"&amp;COUNTIFS($T$7:$T2945,$T2945))</f>
        <v/>
      </c>
      <c r="V2945" s="1">
        <f t="shared" si="368"/>
        <v>0</v>
      </c>
      <c r="W2945" s="1" t="str">
        <f t="shared" si="369"/>
        <v/>
      </c>
      <c r="X2945" s="1"/>
      <c r="Y2945" s="1"/>
      <c r="Z2945" s="1"/>
      <c r="AA2945" s="1"/>
      <c r="AB2945" s="1"/>
      <c r="AC2945" s="1"/>
      <c r="AD2945" s="1">
        <f>IF($C2945="",0,SUMPRODUCT((AY_SONU!$O$7:$O$42="Evet")*(AY_SONU!$B$7:$B$42=DATE(YEAR($C2945),MONTH($C2945),1))))</f>
        <v>0</v>
      </c>
      <c r="AE2945" s="1" t="str">
        <f>IF($E2945="","",$E2945&amp;"|"&amp;COUNTIFS($E$7:$E2945,$E2945))</f>
        <v/>
      </c>
    </row>
    <row r="2946" spans="1:31" ht="18" customHeight="1" x14ac:dyDescent="0.3">
      <c r="A2946" s="2"/>
      <c r="B2946" s="65" t="str">
        <f t="shared" si="362"/>
        <v/>
      </c>
      <c r="C2946" s="66"/>
      <c r="D2946" s="60"/>
      <c r="E2946" s="61"/>
      <c r="F2946" s="61"/>
      <c r="G2946" s="67"/>
      <c r="H2946" s="60"/>
      <c r="I2946" s="60"/>
      <c r="J2946" s="61"/>
      <c r="K2946" s="61"/>
      <c r="L2946" s="60"/>
      <c r="M2946" s="74" t="str">
        <f t="shared" si="363"/>
        <v/>
      </c>
      <c r="N2946" s="74" t="str">
        <f t="shared" si="364"/>
        <v/>
      </c>
      <c r="O2946" s="73" t="str">
        <f t="shared" si="365"/>
        <v/>
      </c>
      <c r="P2946" s="65" t="str">
        <f t="shared" ca="1" si="366"/>
        <v/>
      </c>
      <c r="Q2946" s="2"/>
      <c r="R2946" s="2"/>
      <c r="S2946" s="1" t="str">
        <f t="shared" si="367"/>
        <v/>
      </c>
      <c r="T2946" s="1" t="str">
        <f>IF(OR($C2946="",$D2946&lt;&gt;"Gelir",$L2946=""),"",IFERROR(INDEX(MUSTERILER!$B$7:$B$156,MATCH($S2946,MUSTERILER!$T$7:$T$156,0)),""))</f>
        <v/>
      </c>
      <c r="U2946" s="1" t="str">
        <f>IF($T2946="","",$T2946&amp;"|"&amp;COUNTIFS($T$7:$T2946,$T2946))</f>
        <v/>
      </c>
      <c r="V2946" s="1">
        <f t="shared" si="368"/>
        <v>0</v>
      </c>
      <c r="W2946" s="1" t="str">
        <f t="shared" si="369"/>
        <v/>
      </c>
      <c r="X2946" s="1"/>
      <c r="Y2946" s="1"/>
      <c r="Z2946" s="1"/>
      <c r="AA2946" s="1"/>
      <c r="AB2946" s="1"/>
      <c r="AC2946" s="1"/>
      <c r="AD2946" s="1">
        <f>IF($C2946="",0,SUMPRODUCT((AY_SONU!$O$7:$O$42="Evet")*(AY_SONU!$B$7:$B$42=DATE(YEAR($C2946),MONTH($C2946),1))))</f>
        <v>0</v>
      </c>
      <c r="AE2946" s="1" t="str">
        <f>IF($E2946="","",$E2946&amp;"|"&amp;COUNTIFS($E$7:$E2946,$E2946))</f>
        <v/>
      </c>
    </row>
    <row r="2947" spans="1:31" ht="18" customHeight="1" x14ac:dyDescent="0.3">
      <c r="A2947" s="2"/>
      <c r="B2947" s="65" t="str">
        <f t="shared" si="362"/>
        <v/>
      </c>
      <c r="C2947" s="66"/>
      <c r="D2947" s="60"/>
      <c r="E2947" s="61"/>
      <c r="F2947" s="61"/>
      <c r="G2947" s="67"/>
      <c r="H2947" s="60"/>
      <c r="I2947" s="60"/>
      <c r="J2947" s="61"/>
      <c r="K2947" s="61"/>
      <c r="L2947" s="60"/>
      <c r="M2947" s="74" t="str">
        <f t="shared" si="363"/>
        <v/>
      </c>
      <c r="N2947" s="74" t="str">
        <f t="shared" si="364"/>
        <v/>
      </c>
      <c r="O2947" s="73" t="str">
        <f t="shared" si="365"/>
        <v/>
      </c>
      <c r="P2947" s="65" t="str">
        <f t="shared" ca="1" si="366"/>
        <v/>
      </c>
      <c r="Q2947" s="2"/>
      <c r="R2947" s="2"/>
      <c r="S2947" s="1" t="str">
        <f t="shared" si="367"/>
        <v/>
      </c>
      <c r="T2947" s="1" t="str">
        <f>IF(OR($C2947="",$D2947&lt;&gt;"Gelir",$L2947=""),"",IFERROR(INDEX(MUSTERILER!$B$7:$B$156,MATCH($S2947,MUSTERILER!$T$7:$T$156,0)),""))</f>
        <v/>
      </c>
      <c r="U2947" s="1" t="str">
        <f>IF($T2947="","",$T2947&amp;"|"&amp;COUNTIFS($T$7:$T2947,$T2947))</f>
        <v/>
      </c>
      <c r="V2947" s="1">
        <f t="shared" si="368"/>
        <v>0</v>
      </c>
      <c r="W2947" s="1" t="str">
        <f t="shared" si="369"/>
        <v/>
      </c>
      <c r="X2947" s="1"/>
      <c r="Y2947" s="1"/>
      <c r="Z2947" s="1"/>
      <c r="AA2947" s="1"/>
      <c r="AB2947" s="1"/>
      <c r="AC2947" s="1"/>
      <c r="AD2947" s="1">
        <f>IF($C2947="",0,SUMPRODUCT((AY_SONU!$O$7:$O$42="Evet")*(AY_SONU!$B$7:$B$42=DATE(YEAR($C2947),MONTH($C2947),1))))</f>
        <v>0</v>
      </c>
      <c r="AE2947" s="1" t="str">
        <f>IF($E2947="","",$E2947&amp;"|"&amp;COUNTIFS($E$7:$E2947,$E2947))</f>
        <v/>
      </c>
    </row>
    <row r="2948" spans="1:31" ht="18" customHeight="1" x14ac:dyDescent="0.3">
      <c r="A2948" s="2"/>
      <c r="B2948" s="65" t="str">
        <f t="shared" si="362"/>
        <v/>
      </c>
      <c r="C2948" s="66"/>
      <c r="D2948" s="60"/>
      <c r="E2948" s="61"/>
      <c r="F2948" s="61"/>
      <c r="G2948" s="67"/>
      <c r="H2948" s="60"/>
      <c r="I2948" s="60"/>
      <c r="J2948" s="61"/>
      <c r="K2948" s="61"/>
      <c r="L2948" s="60"/>
      <c r="M2948" s="74" t="str">
        <f t="shared" si="363"/>
        <v/>
      </c>
      <c r="N2948" s="74" t="str">
        <f t="shared" si="364"/>
        <v/>
      </c>
      <c r="O2948" s="73" t="str">
        <f t="shared" si="365"/>
        <v/>
      </c>
      <c r="P2948" s="65" t="str">
        <f t="shared" ca="1" si="366"/>
        <v/>
      </c>
      <c r="Q2948" s="2"/>
      <c r="R2948" s="2"/>
      <c r="S2948" s="1" t="str">
        <f t="shared" si="367"/>
        <v/>
      </c>
      <c r="T2948" s="1" t="str">
        <f>IF(OR($C2948="",$D2948&lt;&gt;"Gelir",$L2948=""),"",IFERROR(INDEX(MUSTERILER!$B$7:$B$156,MATCH($S2948,MUSTERILER!$T$7:$T$156,0)),""))</f>
        <v/>
      </c>
      <c r="U2948" s="1" t="str">
        <f>IF($T2948="","",$T2948&amp;"|"&amp;COUNTIFS($T$7:$T2948,$T2948))</f>
        <v/>
      </c>
      <c r="V2948" s="1">
        <f t="shared" si="368"/>
        <v>0</v>
      </c>
      <c r="W2948" s="1" t="str">
        <f t="shared" si="369"/>
        <v/>
      </c>
      <c r="X2948" s="1"/>
      <c r="Y2948" s="1"/>
      <c r="Z2948" s="1"/>
      <c r="AA2948" s="1"/>
      <c r="AB2948" s="1"/>
      <c r="AC2948" s="1"/>
      <c r="AD2948" s="1">
        <f>IF($C2948="",0,SUMPRODUCT((AY_SONU!$O$7:$O$42="Evet")*(AY_SONU!$B$7:$B$42=DATE(YEAR($C2948),MONTH($C2948),1))))</f>
        <v>0</v>
      </c>
      <c r="AE2948" s="1" t="str">
        <f>IF($E2948="","",$E2948&amp;"|"&amp;COUNTIFS($E$7:$E2948,$E2948))</f>
        <v/>
      </c>
    </row>
    <row r="2949" spans="1:31" ht="18" customHeight="1" x14ac:dyDescent="0.3">
      <c r="A2949" s="2"/>
      <c r="B2949" s="65" t="str">
        <f t="shared" si="362"/>
        <v/>
      </c>
      <c r="C2949" s="66"/>
      <c r="D2949" s="60"/>
      <c r="E2949" s="61"/>
      <c r="F2949" s="61"/>
      <c r="G2949" s="67"/>
      <c r="H2949" s="60"/>
      <c r="I2949" s="60"/>
      <c r="J2949" s="61"/>
      <c r="K2949" s="61"/>
      <c r="L2949" s="60"/>
      <c r="M2949" s="74" t="str">
        <f t="shared" si="363"/>
        <v/>
      </c>
      <c r="N2949" s="74" t="str">
        <f t="shared" si="364"/>
        <v/>
      </c>
      <c r="O2949" s="73" t="str">
        <f t="shared" si="365"/>
        <v/>
      </c>
      <c r="P2949" s="65" t="str">
        <f t="shared" ca="1" si="366"/>
        <v/>
      </c>
      <c r="Q2949" s="2"/>
      <c r="R2949" s="2"/>
      <c r="S2949" s="1" t="str">
        <f t="shared" si="367"/>
        <v/>
      </c>
      <c r="T2949" s="1" t="str">
        <f>IF(OR($C2949="",$D2949&lt;&gt;"Gelir",$L2949=""),"",IFERROR(INDEX(MUSTERILER!$B$7:$B$156,MATCH($S2949,MUSTERILER!$T$7:$T$156,0)),""))</f>
        <v/>
      </c>
      <c r="U2949" s="1" t="str">
        <f>IF($T2949="","",$T2949&amp;"|"&amp;COUNTIFS($T$7:$T2949,$T2949))</f>
        <v/>
      </c>
      <c r="V2949" s="1">
        <f t="shared" si="368"/>
        <v>0</v>
      </c>
      <c r="W2949" s="1" t="str">
        <f t="shared" si="369"/>
        <v/>
      </c>
      <c r="X2949" s="1"/>
      <c r="Y2949" s="1"/>
      <c r="Z2949" s="1"/>
      <c r="AA2949" s="1"/>
      <c r="AB2949" s="1"/>
      <c r="AC2949" s="1"/>
      <c r="AD2949" s="1">
        <f>IF($C2949="",0,SUMPRODUCT((AY_SONU!$O$7:$O$42="Evet")*(AY_SONU!$B$7:$B$42=DATE(YEAR($C2949),MONTH($C2949),1))))</f>
        <v>0</v>
      </c>
      <c r="AE2949" s="1" t="str">
        <f>IF($E2949="","",$E2949&amp;"|"&amp;COUNTIFS($E$7:$E2949,$E2949))</f>
        <v/>
      </c>
    </row>
    <row r="2950" spans="1:31" ht="18" customHeight="1" x14ac:dyDescent="0.3">
      <c r="A2950" s="2"/>
      <c r="B2950" s="65" t="str">
        <f t="shared" si="362"/>
        <v/>
      </c>
      <c r="C2950" s="66"/>
      <c r="D2950" s="60"/>
      <c r="E2950" s="61"/>
      <c r="F2950" s="61"/>
      <c r="G2950" s="67"/>
      <c r="H2950" s="60"/>
      <c r="I2950" s="60"/>
      <c r="J2950" s="61"/>
      <c r="K2950" s="61"/>
      <c r="L2950" s="60"/>
      <c r="M2950" s="74" t="str">
        <f t="shared" si="363"/>
        <v/>
      </c>
      <c r="N2950" s="74" t="str">
        <f t="shared" si="364"/>
        <v/>
      </c>
      <c r="O2950" s="73" t="str">
        <f t="shared" si="365"/>
        <v/>
      </c>
      <c r="P2950" s="65" t="str">
        <f t="shared" ca="1" si="366"/>
        <v/>
      </c>
      <c r="Q2950" s="2"/>
      <c r="R2950" s="2"/>
      <c r="S2950" s="1" t="str">
        <f t="shared" si="367"/>
        <v/>
      </c>
      <c r="T2950" s="1" t="str">
        <f>IF(OR($C2950="",$D2950&lt;&gt;"Gelir",$L2950=""),"",IFERROR(INDEX(MUSTERILER!$B$7:$B$156,MATCH($S2950,MUSTERILER!$T$7:$T$156,0)),""))</f>
        <v/>
      </c>
      <c r="U2950" s="1" t="str">
        <f>IF($T2950="","",$T2950&amp;"|"&amp;COUNTIFS($T$7:$T2950,$T2950))</f>
        <v/>
      </c>
      <c r="V2950" s="1">
        <f t="shared" si="368"/>
        <v>0</v>
      </c>
      <c r="W2950" s="1" t="str">
        <f t="shared" si="369"/>
        <v/>
      </c>
      <c r="X2950" s="1"/>
      <c r="Y2950" s="1"/>
      <c r="Z2950" s="1"/>
      <c r="AA2950" s="1"/>
      <c r="AB2950" s="1"/>
      <c r="AC2950" s="1"/>
      <c r="AD2950" s="1">
        <f>IF($C2950="",0,SUMPRODUCT((AY_SONU!$O$7:$O$42="Evet")*(AY_SONU!$B$7:$B$42=DATE(YEAR($C2950),MONTH($C2950),1))))</f>
        <v>0</v>
      </c>
      <c r="AE2950" s="1" t="str">
        <f>IF($E2950="","",$E2950&amp;"|"&amp;COUNTIFS($E$7:$E2950,$E2950))</f>
        <v/>
      </c>
    </row>
    <row r="2951" spans="1:31" ht="18" customHeight="1" x14ac:dyDescent="0.3">
      <c r="A2951" s="2"/>
      <c r="B2951" s="65" t="str">
        <f t="shared" ref="B2951:B3006" si="370">IF($C2951="","","GG"&amp;TEXT(ROW()-6,"00000"))</f>
        <v/>
      </c>
      <c r="C2951" s="66"/>
      <c r="D2951" s="60"/>
      <c r="E2951" s="61"/>
      <c r="F2951" s="61"/>
      <c r="G2951" s="67"/>
      <c r="H2951" s="60"/>
      <c r="I2951" s="60"/>
      <c r="J2951" s="61"/>
      <c r="K2951" s="61"/>
      <c r="L2951" s="60"/>
      <c r="M2951" s="74" t="str">
        <f t="shared" ref="M2951:M3006" si="371">IF($C2951="","",IF($D2951="Gider",$E2951,IF($L2951&lt;&gt;"",$L2951,$H2951)))</f>
        <v/>
      </c>
      <c r="N2951" s="74" t="str">
        <f t="shared" ref="N2951:N3006" si="372">IF($C2951="","",IF($D2951="Gider",$H2951,$E2951))</f>
        <v/>
      </c>
      <c r="O2951" s="73" t="str">
        <f t="shared" ref="O2951:O3006" si="373">IF($C2951="","",DATE(YEAR($C2951),MONTH($C2951),1))</f>
        <v/>
      </c>
      <c r="P2951" s="65" t="str">
        <f t="shared" ref="P2951:P3006" ca="1" si="374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TARİH",IF(COUNTIF($W$7:$W$3006,$W2951)&gt;1,"MÜKERRER?",IF($AD2951&gt;0,"KAPALI DÖNEM",IF($I2951="Hayır","ÖDENECEK","UYGUN")))),"EKSİK"))))</f>
        <v/>
      </c>
      <c r="Q2951" s="2"/>
      <c r="R2951" s="2"/>
      <c r="S2951" s="1" t="str">
        <f t="shared" ref="S2951:S3006" si="375"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1" t="str">
        <f>IF(OR($C2951="",$D2951&lt;&gt;"Gelir",$L2951=""),"",IFERROR(INDEX(MUSTERILER!$B$7:$B$156,MATCH($S2951,MUSTERILER!$T$7:$T$156,0)),""))</f>
        <v/>
      </c>
      <c r="U2951" s="1" t="str">
        <f>IF($T2951="","",$T2951&amp;"|"&amp;COUNTIFS($T$7:$T2951,$T2951))</f>
        <v/>
      </c>
      <c r="V2951" s="1">
        <f t="shared" ref="V2951:V3006" si="376">IF($T2951="",0,1)</f>
        <v>0</v>
      </c>
      <c r="W2951" s="1" t="str">
        <f t="shared" ref="W2951:W3006" si="377">IF($C2951="","",$D2951&amp;"|"&amp;$E2951&amp;"|"&amp;TEXT($C2951,"0")&amp;"|"&amp;TEXT($G2951,"0")&amp;"|"&amp;$J2951)</f>
        <v/>
      </c>
      <c r="X2951" s="1"/>
      <c r="Y2951" s="1"/>
      <c r="Z2951" s="1"/>
      <c r="AA2951" s="1"/>
      <c r="AB2951" s="1"/>
      <c r="AC2951" s="1"/>
      <c r="AD2951" s="1">
        <f>IF($C2951="",0,SUMPRODUCT((AY_SONU!$O$7:$O$42="Evet")*(AY_SONU!$B$7:$B$42=DATE(YEAR($C2951),MONTH($C2951),1))))</f>
        <v>0</v>
      </c>
      <c r="AE2951" s="1" t="str">
        <f>IF($E2951="","",$E2951&amp;"|"&amp;COUNTIFS($E$7:$E2951,$E2951))</f>
        <v/>
      </c>
    </row>
    <row r="2952" spans="1:31" ht="18" customHeight="1" x14ac:dyDescent="0.3">
      <c r="A2952" s="2"/>
      <c r="B2952" s="65" t="str">
        <f t="shared" si="370"/>
        <v/>
      </c>
      <c r="C2952" s="66"/>
      <c r="D2952" s="60"/>
      <c r="E2952" s="61"/>
      <c r="F2952" s="61"/>
      <c r="G2952" s="67"/>
      <c r="H2952" s="60"/>
      <c r="I2952" s="60"/>
      <c r="J2952" s="61"/>
      <c r="K2952" s="61"/>
      <c r="L2952" s="60"/>
      <c r="M2952" s="74" t="str">
        <f t="shared" si="371"/>
        <v/>
      </c>
      <c r="N2952" s="74" t="str">
        <f t="shared" si="372"/>
        <v/>
      </c>
      <c r="O2952" s="73" t="str">
        <f t="shared" si="373"/>
        <v/>
      </c>
      <c r="P2952" s="65" t="str">
        <f t="shared" ca="1" si="374"/>
        <v/>
      </c>
      <c r="Q2952" s="2"/>
      <c r="R2952" s="2"/>
      <c r="S2952" s="1" t="str">
        <f t="shared" si="375"/>
        <v/>
      </c>
      <c r="T2952" s="1" t="str">
        <f>IF(OR($C2952="",$D2952&lt;&gt;"Gelir",$L2952=""),"",IFERROR(INDEX(MUSTERILER!$B$7:$B$156,MATCH($S2952,MUSTERILER!$T$7:$T$156,0)),""))</f>
        <v/>
      </c>
      <c r="U2952" s="1" t="str">
        <f>IF($T2952="","",$T2952&amp;"|"&amp;COUNTIFS($T$7:$T2952,$T2952))</f>
        <v/>
      </c>
      <c r="V2952" s="1">
        <f t="shared" si="376"/>
        <v>0</v>
      </c>
      <c r="W2952" s="1" t="str">
        <f t="shared" si="377"/>
        <v/>
      </c>
      <c r="X2952" s="1"/>
      <c r="Y2952" s="1"/>
      <c r="Z2952" s="1"/>
      <c r="AA2952" s="1"/>
      <c r="AB2952" s="1"/>
      <c r="AC2952" s="1"/>
      <c r="AD2952" s="1">
        <f>IF($C2952="",0,SUMPRODUCT((AY_SONU!$O$7:$O$42="Evet")*(AY_SONU!$B$7:$B$42=DATE(YEAR($C2952),MONTH($C2952),1))))</f>
        <v>0</v>
      </c>
      <c r="AE2952" s="1" t="str">
        <f>IF($E2952="","",$E2952&amp;"|"&amp;COUNTIFS($E$7:$E2952,$E2952))</f>
        <v/>
      </c>
    </row>
    <row r="2953" spans="1:31" ht="18" customHeight="1" x14ac:dyDescent="0.3">
      <c r="A2953" s="2"/>
      <c r="B2953" s="65" t="str">
        <f t="shared" si="370"/>
        <v/>
      </c>
      <c r="C2953" s="66"/>
      <c r="D2953" s="60"/>
      <c r="E2953" s="61"/>
      <c r="F2953" s="61"/>
      <c r="G2953" s="67"/>
      <c r="H2953" s="60"/>
      <c r="I2953" s="60"/>
      <c r="J2953" s="61"/>
      <c r="K2953" s="61"/>
      <c r="L2953" s="60"/>
      <c r="M2953" s="74" t="str">
        <f t="shared" si="371"/>
        <v/>
      </c>
      <c r="N2953" s="74" t="str">
        <f t="shared" si="372"/>
        <v/>
      </c>
      <c r="O2953" s="73" t="str">
        <f t="shared" si="373"/>
        <v/>
      </c>
      <c r="P2953" s="65" t="str">
        <f t="shared" ca="1" si="374"/>
        <v/>
      </c>
      <c r="Q2953" s="2"/>
      <c r="R2953" s="2"/>
      <c r="S2953" s="1" t="str">
        <f t="shared" si="375"/>
        <v/>
      </c>
      <c r="T2953" s="1" t="str">
        <f>IF(OR($C2953="",$D2953&lt;&gt;"Gelir",$L2953=""),"",IFERROR(INDEX(MUSTERILER!$B$7:$B$156,MATCH($S2953,MUSTERILER!$T$7:$T$156,0)),""))</f>
        <v/>
      </c>
      <c r="U2953" s="1" t="str">
        <f>IF($T2953="","",$T2953&amp;"|"&amp;COUNTIFS($T$7:$T2953,$T2953))</f>
        <v/>
      </c>
      <c r="V2953" s="1">
        <f t="shared" si="376"/>
        <v>0</v>
      </c>
      <c r="W2953" s="1" t="str">
        <f t="shared" si="377"/>
        <v/>
      </c>
      <c r="X2953" s="1"/>
      <c r="Y2953" s="1"/>
      <c r="Z2953" s="1"/>
      <c r="AA2953" s="1"/>
      <c r="AB2953" s="1"/>
      <c r="AC2953" s="1"/>
      <c r="AD2953" s="1">
        <f>IF($C2953="",0,SUMPRODUCT((AY_SONU!$O$7:$O$42="Evet")*(AY_SONU!$B$7:$B$42=DATE(YEAR($C2953),MONTH($C2953),1))))</f>
        <v>0</v>
      </c>
      <c r="AE2953" s="1" t="str">
        <f>IF($E2953="","",$E2953&amp;"|"&amp;COUNTIFS($E$7:$E2953,$E2953))</f>
        <v/>
      </c>
    </row>
    <row r="2954" spans="1:31" ht="18" customHeight="1" x14ac:dyDescent="0.3">
      <c r="A2954" s="2"/>
      <c r="B2954" s="65" t="str">
        <f t="shared" si="370"/>
        <v/>
      </c>
      <c r="C2954" s="66"/>
      <c r="D2954" s="60"/>
      <c r="E2954" s="61"/>
      <c r="F2954" s="61"/>
      <c r="G2954" s="67"/>
      <c r="H2954" s="60"/>
      <c r="I2954" s="60"/>
      <c r="J2954" s="61"/>
      <c r="K2954" s="61"/>
      <c r="L2954" s="60"/>
      <c r="M2954" s="74" t="str">
        <f t="shared" si="371"/>
        <v/>
      </c>
      <c r="N2954" s="74" t="str">
        <f t="shared" si="372"/>
        <v/>
      </c>
      <c r="O2954" s="73" t="str">
        <f t="shared" si="373"/>
        <v/>
      </c>
      <c r="P2954" s="65" t="str">
        <f t="shared" ca="1" si="374"/>
        <v/>
      </c>
      <c r="Q2954" s="2"/>
      <c r="R2954" s="2"/>
      <c r="S2954" s="1" t="str">
        <f t="shared" si="375"/>
        <v/>
      </c>
      <c r="T2954" s="1" t="str">
        <f>IF(OR($C2954="",$D2954&lt;&gt;"Gelir",$L2954=""),"",IFERROR(INDEX(MUSTERILER!$B$7:$B$156,MATCH($S2954,MUSTERILER!$T$7:$T$156,0)),""))</f>
        <v/>
      </c>
      <c r="U2954" s="1" t="str">
        <f>IF($T2954="","",$T2954&amp;"|"&amp;COUNTIFS($T$7:$T2954,$T2954))</f>
        <v/>
      </c>
      <c r="V2954" s="1">
        <f t="shared" si="376"/>
        <v>0</v>
      </c>
      <c r="W2954" s="1" t="str">
        <f t="shared" si="377"/>
        <v/>
      </c>
      <c r="X2954" s="1"/>
      <c r="Y2954" s="1"/>
      <c r="Z2954" s="1"/>
      <c r="AA2954" s="1"/>
      <c r="AB2954" s="1"/>
      <c r="AC2954" s="1"/>
      <c r="AD2954" s="1">
        <f>IF($C2954="",0,SUMPRODUCT((AY_SONU!$O$7:$O$42="Evet")*(AY_SONU!$B$7:$B$42=DATE(YEAR($C2954),MONTH($C2954),1))))</f>
        <v>0</v>
      </c>
      <c r="AE2954" s="1" t="str">
        <f>IF($E2954="","",$E2954&amp;"|"&amp;COUNTIFS($E$7:$E2954,$E2954))</f>
        <v/>
      </c>
    </row>
    <row r="2955" spans="1:31" ht="18" customHeight="1" x14ac:dyDescent="0.3">
      <c r="A2955" s="2"/>
      <c r="B2955" s="65" t="str">
        <f t="shared" si="370"/>
        <v/>
      </c>
      <c r="C2955" s="66"/>
      <c r="D2955" s="60"/>
      <c r="E2955" s="61"/>
      <c r="F2955" s="61"/>
      <c r="G2955" s="67"/>
      <c r="H2955" s="60"/>
      <c r="I2955" s="60"/>
      <c r="J2955" s="61"/>
      <c r="K2955" s="61"/>
      <c r="L2955" s="60"/>
      <c r="M2955" s="74" t="str">
        <f t="shared" si="371"/>
        <v/>
      </c>
      <c r="N2955" s="74" t="str">
        <f t="shared" si="372"/>
        <v/>
      </c>
      <c r="O2955" s="73" t="str">
        <f t="shared" si="373"/>
        <v/>
      </c>
      <c r="P2955" s="65" t="str">
        <f t="shared" ca="1" si="374"/>
        <v/>
      </c>
      <c r="Q2955" s="2"/>
      <c r="R2955" s="2"/>
      <c r="S2955" s="1" t="str">
        <f t="shared" si="375"/>
        <v/>
      </c>
      <c r="T2955" s="1" t="str">
        <f>IF(OR($C2955="",$D2955&lt;&gt;"Gelir",$L2955=""),"",IFERROR(INDEX(MUSTERILER!$B$7:$B$156,MATCH($S2955,MUSTERILER!$T$7:$T$156,0)),""))</f>
        <v/>
      </c>
      <c r="U2955" s="1" t="str">
        <f>IF($T2955="","",$T2955&amp;"|"&amp;COUNTIFS($T$7:$T2955,$T2955))</f>
        <v/>
      </c>
      <c r="V2955" s="1">
        <f t="shared" si="376"/>
        <v>0</v>
      </c>
      <c r="W2955" s="1" t="str">
        <f t="shared" si="377"/>
        <v/>
      </c>
      <c r="X2955" s="1"/>
      <c r="Y2955" s="1"/>
      <c r="Z2955" s="1"/>
      <c r="AA2955" s="1"/>
      <c r="AB2955" s="1"/>
      <c r="AC2955" s="1"/>
      <c r="AD2955" s="1">
        <f>IF($C2955="",0,SUMPRODUCT((AY_SONU!$O$7:$O$42="Evet")*(AY_SONU!$B$7:$B$42=DATE(YEAR($C2955),MONTH($C2955),1))))</f>
        <v>0</v>
      </c>
      <c r="AE2955" s="1" t="str">
        <f>IF($E2955="","",$E2955&amp;"|"&amp;COUNTIFS($E$7:$E2955,$E2955))</f>
        <v/>
      </c>
    </row>
    <row r="2956" spans="1:31" ht="18" customHeight="1" x14ac:dyDescent="0.3">
      <c r="A2956" s="2"/>
      <c r="B2956" s="65" t="str">
        <f t="shared" si="370"/>
        <v/>
      </c>
      <c r="C2956" s="66"/>
      <c r="D2956" s="60"/>
      <c r="E2956" s="61"/>
      <c r="F2956" s="61"/>
      <c r="G2956" s="67"/>
      <c r="H2956" s="60"/>
      <c r="I2956" s="60"/>
      <c r="J2956" s="61"/>
      <c r="K2956" s="61"/>
      <c r="L2956" s="60"/>
      <c r="M2956" s="74" t="str">
        <f t="shared" si="371"/>
        <v/>
      </c>
      <c r="N2956" s="74" t="str">
        <f t="shared" si="372"/>
        <v/>
      </c>
      <c r="O2956" s="73" t="str">
        <f t="shared" si="373"/>
        <v/>
      </c>
      <c r="P2956" s="65" t="str">
        <f t="shared" ca="1" si="374"/>
        <v/>
      </c>
      <c r="Q2956" s="2"/>
      <c r="R2956" s="2"/>
      <c r="S2956" s="1" t="str">
        <f t="shared" si="375"/>
        <v/>
      </c>
      <c r="T2956" s="1" t="str">
        <f>IF(OR($C2956="",$D2956&lt;&gt;"Gelir",$L2956=""),"",IFERROR(INDEX(MUSTERILER!$B$7:$B$156,MATCH($S2956,MUSTERILER!$T$7:$T$156,0)),""))</f>
        <v/>
      </c>
      <c r="U2956" s="1" t="str">
        <f>IF($T2956="","",$T2956&amp;"|"&amp;COUNTIFS($T$7:$T2956,$T2956))</f>
        <v/>
      </c>
      <c r="V2956" s="1">
        <f t="shared" si="376"/>
        <v>0</v>
      </c>
      <c r="W2956" s="1" t="str">
        <f t="shared" si="377"/>
        <v/>
      </c>
      <c r="X2956" s="1"/>
      <c r="Y2956" s="1"/>
      <c r="Z2956" s="1"/>
      <c r="AA2956" s="1"/>
      <c r="AB2956" s="1"/>
      <c r="AC2956" s="1"/>
      <c r="AD2956" s="1">
        <f>IF($C2956="",0,SUMPRODUCT((AY_SONU!$O$7:$O$42="Evet")*(AY_SONU!$B$7:$B$42=DATE(YEAR($C2956),MONTH($C2956),1))))</f>
        <v>0</v>
      </c>
      <c r="AE2956" s="1" t="str">
        <f>IF($E2956="","",$E2956&amp;"|"&amp;COUNTIFS($E$7:$E2956,$E2956))</f>
        <v/>
      </c>
    </row>
    <row r="2957" spans="1:31" ht="18" customHeight="1" x14ac:dyDescent="0.3">
      <c r="A2957" s="2"/>
      <c r="B2957" s="65" t="str">
        <f t="shared" si="370"/>
        <v/>
      </c>
      <c r="C2957" s="66"/>
      <c r="D2957" s="60"/>
      <c r="E2957" s="61"/>
      <c r="F2957" s="61"/>
      <c r="G2957" s="67"/>
      <c r="H2957" s="60"/>
      <c r="I2957" s="60"/>
      <c r="J2957" s="61"/>
      <c r="K2957" s="61"/>
      <c r="L2957" s="60"/>
      <c r="M2957" s="74" t="str">
        <f t="shared" si="371"/>
        <v/>
      </c>
      <c r="N2957" s="74" t="str">
        <f t="shared" si="372"/>
        <v/>
      </c>
      <c r="O2957" s="73" t="str">
        <f t="shared" si="373"/>
        <v/>
      </c>
      <c r="P2957" s="65" t="str">
        <f t="shared" ca="1" si="374"/>
        <v/>
      </c>
      <c r="Q2957" s="2"/>
      <c r="R2957" s="2"/>
      <c r="S2957" s="1" t="str">
        <f t="shared" si="375"/>
        <v/>
      </c>
      <c r="T2957" s="1" t="str">
        <f>IF(OR($C2957="",$D2957&lt;&gt;"Gelir",$L2957=""),"",IFERROR(INDEX(MUSTERILER!$B$7:$B$156,MATCH($S2957,MUSTERILER!$T$7:$T$156,0)),""))</f>
        <v/>
      </c>
      <c r="U2957" s="1" t="str">
        <f>IF($T2957="","",$T2957&amp;"|"&amp;COUNTIFS($T$7:$T2957,$T2957))</f>
        <v/>
      </c>
      <c r="V2957" s="1">
        <f t="shared" si="376"/>
        <v>0</v>
      </c>
      <c r="W2957" s="1" t="str">
        <f t="shared" si="377"/>
        <v/>
      </c>
      <c r="X2957" s="1"/>
      <c r="Y2957" s="1"/>
      <c r="Z2957" s="1"/>
      <c r="AA2957" s="1"/>
      <c r="AB2957" s="1"/>
      <c r="AC2957" s="1"/>
      <c r="AD2957" s="1">
        <f>IF($C2957="",0,SUMPRODUCT((AY_SONU!$O$7:$O$42="Evet")*(AY_SONU!$B$7:$B$42=DATE(YEAR($C2957),MONTH($C2957),1))))</f>
        <v>0</v>
      </c>
      <c r="AE2957" s="1" t="str">
        <f>IF($E2957="","",$E2957&amp;"|"&amp;COUNTIFS($E$7:$E2957,$E2957))</f>
        <v/>
      </c>
    </row>
    <row r="2958" spans="1:31" ht="18" customHeight="1" x14ac:dyDescent="0.3">
      <c r="A2958" s="2"/>
      <c r="B2958" s="65" t="str">
        <f t="shared" si="370"/>
        <v/>
      </c>
      <c r="C2958" s="66"/>
      <c r="D2958" s="60"/>
      <c r="E2958" s="61"/>
      <c r="F2958" s="61"/>
      <c r="G2958" s="67"/>
      <c r="H2958" s="60"/>
      <c r="I2958" s="60"/>
      <c r="J2958" s="61"/>
      <c r="K2958" s="61"/>
      <c r="L2958" s="60"/>
      <c r="M2958" s="74" t="str">
        <f t="shared" si="371"/>
        <v/>
      </c>
      <c r="N2958" s="74" t="str">
        <f t="shared" si="372"/>
        <v/>
      </c>
      <c r="O2958" s="73" t="str">
        <f t="shared" si="373"/>
        <v/>
      </c>
      <c r="P2958" s="65" t="str">
        <f t="shared" ca="1" si="374"/>
        <v/>
      </c>
      <c r="Q2958" s="2"/>
      <c r="R2958" s="2"/>
      <c r="S2958" s="1" t="str">
        <f t="shared" si="375"/>
        <v/>
      </c>
      <c r="T2958" s="1" t="str">
        <f>IF(OR($C2958="",$D2958&lt;&gt;"Gelir",$L2958=""),"",IFERROR(INDEX(MUSTERILER!$B$7:$B$156,MATCH($S2958,MUSTERILER!$T$7:$T$156,0)),""))</f>
        <v/>
      </c>
      <c r="U2958" s="1" t="str">
        <f>IF($T2958="","",$T2958&amp;"|"&amp;COUNTIFS($T$7:$T2958,$T2958))</f>
        <v/>
      </c>
      <c r="V2958" s="1">
        <f t="shared" si="376"/>
        <v>0</v>
      </c>
      <c r="W2958" s="1" t="str">
        <f t="shared" si="377"/>
        <v/>
      </c>
      <c r="X2958" s="1"/>
      <c r="Y2958" s="1"/>
      <c r="Z2958" s="1"/>
      <c r="AA2958" s="1"/>
      <c r="AB2958" s="1"/>
      <c r="AC2958" s="1"/>
      <c r="AD2958" s="1">
        <f>IF($C2958="",0,SUMPRODUCT((AY_SONU!$O$7:$O$42="Evet")*(AY_SONU!$B$7:$B$42=DATE(YEAR($C2958),MONTH($C2958),1))))</f>
        <v>0</v>
      </c>
      <c r="AE2958" s="1" t="str">
        <f>IF($E2958="","",$E2958&amp;"|"&amp;COUNTIFS($E$7:$E2958,$E2958))</f>
        <v/>
      </c>
    </row>
    <row r="2959" spans="1:31" ht="18" customHeight="1" x14ac:dyDescent="0.3">
      <c r="A2959" s="2"/>
      <c r="B2959" s="65" t="str">
        <f t="shared" si="370"/>
        <v/>
      </c>
      <c r="C2959" s="66"/>
      <c r="D2959" s="60"/>
      <c r="E2959" s="61"/>
      <c r="F2959" s="61"/>
      <c r="G2959" s="67"/>
      <c r="H2959" s="60"/>
      <c r="I2959" s="60"/>
      <c r="J2959" s="61"/>
      <c r="K2959" s="61"/>
      <c r="L2959" s="60"/>
      <c r="M2959" s="74" t="str">
        <f t="shared" si="371"/>
        <v/>
      </c>
      <c r="N2959" s="74" t="str">
        <f t="shared" si="372"/>
        <v/>
      </c>
      <c r="O2959" s="73" t="str">
        <f t="shared" si="373"/>
        <v/>
      </c>
      <c r="P2959" s="65" t="str">
        <f t="shared" ca="1" si="374"/>
        <v/>
      </c>
      <c r="Q2959" s="2"/>
      <c r="R2959" s="2"/>
      <c r="S2959" s="1" t="str">
        <f t="shared" si="375"/>
        <v/>
      </c>
      <c r="T2959" s="1" t="str">
        <f>IF(OR($C2959="",$D2959&lt;&gt;"Gelir",$L2959=""),"",IFERROR(INDEX(MUSTERILER!$B$7:$B$156,MATCH($S2959,MUSTERILER!$T$7:$T$156,0)),""))</f>
        <v/>
      </c>
      <c r="U2959" s="1" t="str">
        <f>IF($T2959="","",$T2959&amp;"|"&amp;COUNTIFS($T$7:$T2959,$T2959))</f>
        <v/>
      </c>
      <c r="V2959" s="1">
        <f t="shared" si="376"/>
        <v>0</v>
      </c>
      <c r="W2959" s="1" t="str">
        <f t="shared" si="377"/>
        <v/>
      </c>
      <c r="X2959" s="1"/>
      <c r="Y2959" s="1"/>
      <c r="Z2959" s="1"/>
      <c r="AA2959" s="1"/>
      <c r="AB2959" s="1"/>
      <c r="AC2959" s="1"/>
      <c r="AD2959" s="1">
        <f>IF($C2959="",0,SUMPRODUCT((AY_SONU!$O$7:$O$42="Evet")*(AY_SONU!$B$7:$B$42=DATE(YEAR($C2959),MONTH($C2959),1))))</f>
        <v>0</v>
      </c>
      <c r="AE2959" s="1" t="str">
        <f>IF($E2959="","",$E2959&amp;"|"&amp;COUNTIFS($E$7:$E2959,$E2959))</f>
        <v/>
      </c>
    </row>
    <row r="2960" spans="1:31" ht="18" customHeight="1" x14ac:dyDescent="0.3">
      <c r="A2960" s="2"/>
      <c r="B2960" s="65" t="str">
        <f t="shared" si="370"/>
        <v/>
      </c>
      <c r="C2960" s="66"/>
      <c r="D2960" s="60"/>
      <c r="E2960" s="61"/>
      <c r="F2960" s="61"/>
      <c r="G2960" s="67"/>
      <c r="H2960" s="60"/>
      <c r="I2960" s="60"/>
      <c r="J2960" s="61"/>
      <c r="K2960" s="61"/>
      <c r="L2960" s="60"/>
      <c r="M2960" s="74" t="str">
        <f t="shared" si="371"/>
        <v/>
      </c>
      <c r="N2960" s="74" t="str">
        <f t="shared" si="372"/>
        <v/>
      </c>
      <c r="O2960" s="73" t="str">
        <f t="shared" si="373"/>
        <v/>
      </c>
      <c r="P2960" s="65" t="str">
        <f t="shared" ca="1" si="374"/>
        <v/>
      </c>
      <c r="Q2960" s="2"/>
      <c r="R2960" s="2"/>
      <c r="S2960" s="1" t="str">
        <f t="shared" si="375"/>
        <v/>
      </c>
      <c r="T2960" s="1" t="str">
        <f>IF(OR($C2960="",$D2960&lt;&gt;"Gelir",$L2960=""),"",IFERROR(INDEX(MUSTERILER!$B$7:$B$156,MATCH($S2960,MUSTERILER!$T$7:$T$156,0)),""))</f>
        <v/>
      </c>
      <c r="U2960" s="1" t="str">
        <f>IF($T2960="","",$T2960&amp;"|"&amp;COUNTIFS($T$7:$T2960,$T2960))</f>
        <v/>
      </c>
      <c r="V2960" s="1">
        <f t="shared" si="376"/>
        <v>0</v>
      </c>
      <c r="W2960" s="1" t="str">
        <f t="shared" si="377"/>
        <v/>
      </c>
      <c r="X2960" s="1"/>
      <c r="Y2960" s="1"/>
      <c r="Z2960" s="1"/>
      <c r="AA2960" s="1"/>
      <c r="AB2960" s="1"/>
      <c r="AC2960" s="1"/>
      <c r="AD2960" s="1">
        <f>IF($C2960="",0,SUMPRODUCT((AY_SONU!$O$7:$O$42="Evet")*(AY_SONU!$B$7:$B$42=DATE(YEAR($C2960),MONTH($C2960),1))))</f>
        <v>0</v>
      </c>
      <c r="AE2960" s="1" t="str">
        <f>IF($E2960="","",$E2960&amp;"|"&amp;COUNTIFS($E$7:$E2960,$E2960))</f>
        <v/>
      </c>
    </row>
    <row r="2961" spans="1:31" ht="18" customHeight="1" x14ac:dyDescent="0.3">
      <c r="A2961" s="2"/>
      <c r="B2961" s="65" t="str">
        <f t="shared" si="370"/>
        <v/>
      </c>
      <c r="C2961" s="66"/>
      <c r="D2961" s="60"/>
      <c r="E2961" s="61"/>
      <c r="F2961" s="61"/>
      <c r="G2961" s="67"/>
      <c r="H2961" s="60"/>
      <c r="I2961" s="60"/>
      <c r="J2961" s="61"/>
      <c r="K2961" s="61"/>
      <c r="L2961" s="60"/>
      <c r="M2961" s="74" t="str">
        <f t="shared" si="371"/>
        <v/>
      </c>
      <c r="N2961" s="74" t="str">
        <f t="shared" si="372"/>
        <v/>
      </c>
      <c r="O2961" s="73" t="str">
        <f t="shared" si="373"/>
        <v/>
      </c>
      <c r="P2961" s="65" t="str">
        <f t="shared" ca="1" si="374"/>
        <v/>
      </c>
      <c r="Q2961" s="2"/>
      <c r="R2961" s="2"/>
      <c r="S2961" s="1" t="str">
        <f t="shared" si="375"/>
        <v/>
      </c>
      <c r="T2961" s="1" t="str">
        <f>IF(OR($C2961="",$D2961&lt;&gt;"Gelir",$L2961=""),"",IFERROR(INDEX(MUSTERILER!$B$7:$B$156,MATCH($S2961,MUSTERILER!$T$7:$T$156,0)),""))</f>
        <v/>
      </c>
      <c r="U2961" s="1" t="str">
        <f>IF($T2961="","",$T2961&amp;"|"&amp;COUNTIFS($T$7:$T2961,$T2961))</f>
        <v/>
      </c>
      <c r="V2961" s="1">
        <f t="shared" si="376"/>
        <v>0</v>
      </c>
      <c r="W2961" s="1" t="str">
        <f t="shared" si="377"/>
        <v/>
      </c>
      <c r="X2961" s="1"/>
      <c r="Y2961" s="1"/>
      <c r="Z2961" s="1"/>
      <c r="AA2961" s="1"/>
      <c r="AB2961" s="1"/>
      <c r="AC2961" s="1"/>
      <c r="AD2961" s="1">
        <f>IF($C2961="",0,SUMPRODUCT((AY_SONU!$O$7:$O$42="Evet")*(AY_SONU!$B$7:$B$42=DATE(YEAR($C2961),MONTH($C2961),1))))</f>
        <v>0</v>
      </c>
      <c r="AE2961" s="1" t="str">
        <f>IF($E2961="","",$E2961&amp;"|"&amp;COUNTIFS($E$7:$E2961,$E2961))</f>
        <v/>
      </c>
    </row>
    <row r="2962" spans="1:31" ht="18" customHeight="1" x14ac:dyDescent="0.3">
      <c r="A2962" s="2"/>
      <c r="B2962" s="65" t="str">
        <f t="shared" si="370"/>
        <v/>
      </c>
      <c r="C2962" s="66"/>
      <c r="D2962" s="60"/>
      <c r="E2962" s="61"/>
      <c r="F2962" s="61"/>
      <c r="G2962" s="67"/>
      <c r="H2962" s="60"/>
      <c r="I2962" s="60"/>
      <c r="J2962" s="61"/>
      <c r="K2962" s="61"/>
      <c r="L2962" s="60"/>
      <c r="M2962" s="74" t="str">
        <f t="shared" si="371"/>
        <v/>
      </c>
      <c r="N2962" s="74" t="str">
        <f t="shared" si="372"/>
        <v/>
      </c>
      <c r="O2962" s="73" t="str">
        <f t="shared" si="373"/>
        <v/>
      </c>
      <c r="P2962" s="65" t="str">
        <f t="shared" ca="1" si="374"/>
        <v/>
      </c>
      <c r="Q2962" s="2"/>
      <c r="R2962" s="2"/>
      <c r="S2962" s="1" t="str">
        <f t="shared" si="375"/>
        <v/>
      </c>
      <c r="T2962" s="1" t="str">
        <f>IF(OR($C2962="",$D2962&lt;&gt;"Gelir",$L2962=""),"",IFERROR(INDEX(MUSTERILER!$B$7:$B$156,MATCH($S2962,MUSTERILER!$T$7:$T$156,0)),""))</f>
        <v/>
      </c>
      <c r="U2962" s="1" t="str">
        <f>IF($T2962="","",$T2962&amp;"|"&amp;COUNTIFS($T$7:$T2962,$T2962))</f>
        <v/>
      </c>
      <c r="V2962" s="1">
        <f t="shared" si="376"/>
        <v>0</v>
      </c>
      <c r="W2962" s="1" t="str">
        <f t="shared" si="377"/>
        <v/>
      </c>
      <c r="X2962" s="1"/>
      <c r="Y2962" s="1"/>
      <c r="Z2962" s="1"/>
      <c r="AA2962" s="1"/>
      <c r="AB2962" s="1"/>
      <c r="AC2962" s="1"/>
      <c r="AD2962" s="1">
        <f>IF($C2962="",0,SUMPRODUCT((AY_SONU!$O$7:$O$42="Evet")*(AY_SONU!$B$7:$B$42=DATE(YEAR($C2962),MONTH($C2962),1))))</f>
        <v>0</v>
      </c>
      <c r="AE2962" s="1" t="str">
        <f>IF($E2962="","",$E2962&amp;"|"&amp;COUNTIFS($E$7:$E2962,$E2962))</f>
        <v/>
      </c>
    </row>
    <row r="2963" spans="1:31" ht="18" customHeight="1" x14ac:dyDescent="0.3">
      <c r="A2963" s="2"/>
      <c r="B2963" s="65" t="str">
        <f t="shared" si="370"/>
        <v/>
      </c>
      <c r="C2963" s="66"/>
      <c r="D2963" s="60"/>
      <c r="E2963" s="61"/>
      <c r="F2963" s="61"/>
      <c r="G2963" s="67"/>
      <c r="H2963" s="60"/>
      <c r="I2963" s="60"/>
      <c r="J2963" s="61"/>
      <c r="K2963" s="61"/>
      <c r="L2963" s="60"/>
      <c r="M2963" s="74" t="str">
        <f t="shared" si="371"/>
        <v/>
      </c>
      <c r="N2963" s="74" t="str">
        <f t="shared" si="372"/>
        <v/>
      </c>
      <c r="O2963" s="73" t="str">
        <f t="shared" si="373"/>
        <v/>
      </c>
      <c r="P2963" s="65" t="str">
        <f t="shared" ca="1" si="374"/>
        <v/>
      </c>
      <c r="Q2963" s="2"/>
      <c r="R2963" s="2"/>
      <c r="S2963" s="1" t="str">
        <f t="shared" si="375"/>
        <v/>
      </c>
      <c r="T2963" s="1" t="str">
        <f>IF(OR($C2963="",$D2963&lt;&gt;"Gelir",$L2963=""),"",IFERROR(INDEX(MUSTERILER!$B$7:$B$156,MATCH($S2963,MUSTERILER!$T$7:$T$156,0)),""))</f>
        <v/>
      </c>
      <c r="U2963" s="1" t="str">
        <f>IF($T2963="","",$T2963&amp;"|"&amp;COUNTIFS($T$7:$T2963,$T2963))</f>
        <v/>
      </c>
      <c r="V2963" s="1">
        <f t="shared" si="376"/>
        <v>0</v>
      </c>
      <c r="W2963" s="1" t="str">
        <f t="shared" si="377"/>
        <v/>
      </c>
      <c r="X2963" s="1"/>
      <c r="Y2963" s="1"/>
      <c r="Z2963" s="1"/>
      <c r="AA2963" s="1"/>
      <c r="AB2963" s="1"/>
      <c r="AC2963" s="1"/>
      <c r="AD2963" s="1">
        <f>IF($C2963="",0,SUMPRODUCT((AY_SONU!$O$7:$O$42="Evet")*(AY_SONU!$B$7:$B$42=DATE(YEAR($C2963),MONTH($C2963),1))))</f>
        <v>0</v>
      </c>
      <c r="AE2963" s="1" t="str">
        <f>IF($E2963="","",$E2963&amp;"|"&amp;COUNTIFS($E$7:$E2963,$E2963))</f>
        <v/>
      </c>
    </row>
    <row r="2964" spans="1:31" ht="18" customHeight="1" x14ac:dyDescent="0.3">
      <c r="A2964" s="2"/>
      <c r="B2964" s="65" t="str">
        <f t="shared" si="370"/>
        <v/>
      </c>
      <c r="C2964" s="66"/>
      <c r="D2964" s="60"/>
      <c r="E2964" s="61"/>
      <c r="F2964" s="61"/>
      <c r="G2964" s="67"/>
      <c r="H2964" s="60"/>
      <c r="I2964" s="60"/>
      <c r="J2964" s="61"/>
      <c r="K2964" s="61"/>
      <c r="L2964" s="60"/>
      <c r="M2964" s="74" t="str">
        <f t="shared" si="371"/>
        <v/>
      </c>
      <c r="N2964" s="74" t="str">
        <f t="shared" si="372"/>
        <v/>
      </c>
      <c r="O2964" s="73" t="str">
        <f t="shared" si="373"/>
        <v/>
      </c>
      <c r="P2964" s="65" t="str">
        <f t="shared" ca="1" si="374"/>
        <v/>
      </c>
      <c r="Q2964" s="2"/>
      <c r="R2964" s="2"/>
      <c r="S2964" s="1" t="str">
        <f t="shared" si="375"/>
        <v/>
      </c>
      <c r="T2964" s="1" t="str">
        <f>IF(OR($C2964="",$D2964&lt;&gt;"Gelir",$L2964=""),"",IFERROR(INDEX(MUSTERILER!$B$7:$B$156,MATCH($S2964,MUSTERILER!$T$7:$T$156,0)),""))</f>
        <v/>
      </c>
      <c r="U2964" s="1" t="str">
        <f>IF($T2964="","",$T2964&amp;"|"&amp;COUNTIFS($T$7:$T2964,$T2964))</f>
        <v/>
      </c>
      <c r="V2964" s="1">
        <f t="shared" si="376"/>
        <v>0</v>
      </c>
      <c r="W2964" s="1" t="str">
        <f t="shared" si="377"/>
        <v/>
      </c>
      <c r="X2964" s="1"/>
      <c r="Y2964" s="1"/>
      <c r="Z2964" s="1"/>
      <c r="AA2964" s="1"/>
      <c r="AB2964" s="1"/>
      <c r="AC2964" s="1"/>
      <c r="AD2964" s="1">
        <f>IF($C2964="",0,SUMPRODUCT((AY_SONU!$O$7:$O$42="Evet")*(AY_SONU!$B$7:$B$42=DATE(YEAR($C2964),MONTH($C2964),1))))</f>
        <v>0</v>
      </c>
      <c r="AE2964" s="1" t="str">
        <f>IF($E2964="","",$E2964&amp;"|"&amp;COUNTIFS($E$7:$E2964,$E2964))</f>
        <v/>
      </c>
    </row>
    <row r="2965" spans="1:31" ht="18" customHeight="1" x14ac:dyDescent="0.3">
      <c r="A2965" s="2"/>
      <c r="B2965" s="65" t="str">
        <f t="shared" si="370"/>
        <v/>
      </c>
      <c r="C2965" s="66"/>
      <c r="D2965" s="60"/>
      <c r="E2965" s="61"/>
      <c r="F2965" s="61"/>
      <c r="G2965" s="67"/>
      <c r="H2965" s="60"/>
      <c r="I2965" s="60"/>
      <c r="J2965" s="61"/>
      <c r="K2965" s="61"/>
      <c r="L2965" s="60"/>
      <c r="M2965" s="74" t="str">
        <f t="shared" si="371"/>
        <v/>
      </c>
      <c r="N2965" s="74" t="str">
        <f t="shared" si="372"/>
        <v/>
      </c>
      <c r="O2965" s="73" t="str">
        <f t="shared" si="373"/>
        <v/>
      </c>
      <c r="P2965" s="65" t="str">
        <f t="shared" ca="1" si="374"/>
        <v/>
      </c>
      <c r="Q2965" s="2"/>
      <c r="R2965" s="2"/>
      <c r="S2965" s="1" t="str">
        <f t="shared" si="375"/>
        <v/>
      </c>
      <c r="T2965" s="1" t="str">
        <f>IF(OR($C2965="",$D2965&lt;&gt;"Gelir",$L2965=""),"",IFERROR(INDEX(MUSTERILER!$B$7:$B$156,MATCH($S2965,MUSTERILER!$T$7:$T$156,0)),""))</f>
        <v/>
      </c>
      <c r="U2965" s="1" t="str">
        <f>IF($T2965="","",$T2965&amp;"|"&amp;COUNTIFS($T$7:$T2965,$T2965))</f>
        <v/>
      </c>
      <c r="V2965" s="1">
        <f t="shared" si="376"/>
        <v>0</v>
      </c>
      <c r="W2965" s="1" t="str">
        <f t="shared" si="377"/>
        <v/>
      </c>
      <c r="X2965" s="1"/>
      <c r="Y2965" s="1"/>
      <c r="Z2965" s="1"/>
      <c r="AA2965" s="1"/>
      <c r="AB2965" s="1"/>
      <c r="AC2965" s="1"/>
      <c r="AD2965" s="1">
        <f>IF($C2965="",0,SUMPRODUCT((AY_SONU!$O$7:$O$42="Evet")*(AY_SONU!$B$7:$B$42=DATE(YEAR($C2965),MONTH($C2965),1))))</f>
        <v>0</v>
      </c>
      <c r="AE2965" s="1" t="str">
        <f>IF($E2965="","",$E2965&amp;"|"&amp;COUNTIFS($E$7:$E2965,$E2965))</f>
        <v/>
      </c>
    </row>
    <row r="2966" spans="1:31" ht="18" customHeight="1" x14ac:dyDescent="0.3">
      <c r="A2966" s="2"/>
      <c r="B2966" s="65" t="str">
        <f t="shared" si="370"/>
        <v/>
      </c>
      <c r="C2966" s="66"/>
      <c r="D2966" s="60"/>
      <c r="E2966" s="61"/>
      <c r="F2966" s="61"/>
      <c r="G2966" s="67"/>
      <c r="H2966" s="60"/>
      <c r="I2966" s="60"/>
      <c r="J2966" s="61"/>
      <c r="K2966" s="61"/>
      <c r="L2966" s="60"/>
      <c r="M2966" s="74" t="str">
        <f t="shared" si="371"/>
        <v/>
      </c>
      <c r="N2966" s="74" t="str">
        <f t="shared" si="372"/>
        <v/>
      </c>
      <c r="O2966" s="73" t="str">
        <f t="shared" si="373"/>
        <v/>
      </c>
      <c r="P2966" s="65" t="str">
        <f t="shared" ca="1" si="374"/>
        <v/>
      </c>
      <c r="Q2966" s="2"/>
      <c r="R2966" s="2"/>
      <c r="S2966" s="1" t="str">
        <f t="shared" si="375"/>
        <v/>
      </c>
      <c r="T2966" s="1" t="str">
        <f>IF(OR($C2966="",$D2966&lt;&gt;"Gelir",$L2966=""),"",IFERROR(INDEX(MUSTERILER!$B$7:$B$156,MATCH($S2966,MUSTERILER!$T$7:$T$156,0)),""))</f>
        <v/>
      </c>
      <c r="U2966" s="1" t="str">
        <f>IF($T2966="","",$T2966&amp;"|"&amp;COUNTIFS($T$7:$T2966,$T2966))</f>
        <v/>
      </c>
      <c r="V2966" s="1">
        <f t="shared" si="376"/>
        <v>0</v>
      </c>
      <c r="W2966" s="1" t="str">
        <f t="shared" si="377"/>
        <v/>
      </c>
      <c r="X2966" s="1"/>
      <c r="Y2966" s="1"/>
      <c r="Z2966" s="1"/>
      <c r="AA2966" s="1"/>
      <c r="AB2966" s="1"/>
      <c r="AC2966" s="1"/>
      <c r="AD2966" s="1">
        <f>IF($C2966="",0,SUMPRODUCT((AY_SONU!$O$7:$O$42="Evet")*(AY_SONU!$B$7:$B$42=DATE(YEAR($C2966),MONTH($C2966),1))))</f>
        <v>0</v>
      </c>
      <c r="AE2966" s="1" t="str">
        <f>IF($E2966="","",$E2966&amp;"|"&amp;COUNTIFS($E$7:$E2966,$E2966))</f>
        <v/>
      </c>
    </row>
    <row r="2967" spans="1:31" ht="18" customHeight="1" x14ac:dyDescent="0.3">
      <c r="A2967" s="2"/>
      <c r="B2967" s="65" t="str">
        <f t="shared" si="370"/>
        <v/>
      </c>
      <c r="C2967" s="66"/>
      <c r="D2967" s="60"/>
      <c r="E2967" s="61"/>
      <c r="F2967" s="61"/>
      <c r="G2967" s="67"/>
      <c r="H2967" s="60"/>
      <c r="I2967" s="60"/>
      <c r="J2967" s="61"/>
      <c r="K2967" s="61"/>
      <c r="L2967" s="60"/>
      <c r="M2967" s="74" t="str">
        <f t="shared" si="371"/>
        <v/>
      </c>
      <c r="N2967" s="74" t="str">
        <f t="shared" si="372"/>
        <v/>
      </c>
      <c r="O2967" s="73" t="str">
        <f t="shared" si="373"/>
        <v/>
      </c>
      <c r="P2967" s="65" t="str">
        <f t="shared" ca="1" si="374"/>
        <v/>
      </c>
      <c r="Q2967" s="2"/>
      <c r="R2967" s="2"/>
      <c r="S2967" s="1" t="str">
        <f t="shared" si="375"/>
        <v/>
      </c>
      <c r="T2967" s="1" t="str">
        <f>IF(OR($C2967="",$D2967&lt;&gt;"Gelir",$L2967=""),"",IFERROR(INDEX(MUSTERILER!$B$7:$B$156,MATCH($S2967,MUSTERILER!$T$7:$T$156,0)),""))</f>
        <v/>
      </c>
      <c r="U2967" s="1" t="str">
        <f>IF($T2967="","",$T2967&amp;"|"&amp;COUNTIFS($T$7:$T2967,$T2967))</f>
        <v/>
      </c>
      <c r="V2967" s="1">
        <f t="shared" si="376"/>
        <v>0</v>
      </c>
      <c r="W2967" s="1" t="str">
        <f t="shared" si="377"/>
        <v/>
      </c>
      <c r="X2967" s="1"/>
      <c r="Y2967" s="1"/>
      <c r="Z2967" s="1"/>
      <c r="AA2967" s="1"/>
      <c r="AB2967" s="1"/>
      <c r="AC2967" s="1"/>
      <c r="AD2967" s="1">
        <f>IF($C2967="",0,SUMPRODUCT((AY_SONU!$O$7:$O$42="Evet")*(AY_SONU!$B$7:$B$42=DATE(YEAR($C2967),MONTH($C2967),1))))</f>
        <v>0</v>
      </c>
      <c r="AE2967" s="1" t="str">
        <f>IF($E2967="","",$E2967&amp;"|"&amp;COUNTIFS($E$7:$E2967,$E2967))</f>
        <v/>
      </c>
    </row>
    <row r="2968" spans="1:31" ht="18" customHeight="1" x14ac:dyDescent="0.3">
      <c r="A2968" s="2"/>
      <c r="B2968" s="65" t="str">
        <f t="shared" si="370"/>
        <v/>
      </c>
      <c r="C2968" s="66"/>
      <c r="D2968" s="60"/>
      <c r="E2968" s="61"/>
      <c r="F2968" s="61"/>
      <c r="G2968" s="67"/>
      <c r="H2968" s="60"/>
      <c r="I2968" s="60"/>
      <c r="J2968" s="61"/>
      <c r="K2968" s="61"/>
      <c r="L2968" s="60"/>
      <c r="M2968" s="74" t="str">
        <f t="shared" si="371"/>
        <v/>
      </c>
      <c r="N2968" s="74" t="str">
        <f t="shared" si="372"/>
        <v/>
      </c>
      <c r="O2968" s="73" t="str">
        <f t="shared" si="373"/>
        <v/>
      </c>
      <c r="P2968" s="65" t="str">
        <f t="shared" ca="1" si="374"/>
        <v/>
      </c>
      <c r="Q2968" s="2"/>
      <c r="R2968" s="2"/>
      <c r="S2968" s="1" t="str">
        <f t="shared" si="375"/>
        <v/>
      </c>
      <c r="T2968" s="1" t="str">
        <f>IF(OR($C2968="",$D2968&lt;&gt;"Gelir",$L2968=""),"",IFERROR(INDEX(MUSTERILER!$B$7:$B$156,MATCH($S2968,MUSTERILER!$T$7:$T$156,0)),""))</f>
        <v/>
      </c>
      <c r="U2968" s="1" t="str">
        <f>IF($T2968="","",$T2968&amp;"|"&amp;COUNTIFS($T$7:$T2968,$T2968))</f>
        <v/>
      </c>
      <c r="V2968" s="1">
        <f t="shared" si="376"/>
        <v>0</v>
      </c>
      <c r="W2968" s="1" t="str">
        <f t="shared" si="377"/>
        <v/>
      </c>
      <c r="X2968" s="1"/>
      <c r="Y2968" s="1"/>
      <c r="Z2968" s="1"/>
      <c r="AA2968" s="1"/>
      <c r="AB2968" s="1"/>
      <c r="AC2968" s="1"/>
      <c r="AD2968" s="1">
        <f>IF($C2968="",0,SUMPRODUCT((AY_SONU!$O$7:$O$42="Evet")*(AY_SONU!$B$7:$B$42=DATE(YEAR($C2968),MONTH($C2968),1))))</f>
        <v>0</v>
      </c>
      <c r="AE2968" s="1" t="str">
        <f>IF($E2968="","",$E2968&amp;"|"&amp;COUNTIFS($E$7:$E2968,$E2968))</f>
        <v/>
      </c>
    </row>
    <row r="2969" spans="1:31" ht="18" customHeight="1" x14ac:dyDescent="0.3">
      <c r="A2969" s="2"/>
      <c r="B2969" s="65" t="str">
        <f t="shared" si="370"/>
        <v/>
      </c>
      <c r="C2969" s="66"/>
      <c r="D2969" s="60"/>
      <c r="E2969" s="61"/>
      <c r="F2969" s="61"/>
      <c r="G2969" s="67"/>
      <c r="H2969" s="60"/>
      <c r="I2969" s="60"/>
      <c r="J2969" s="61"/>
      <c r="K2969" s="61"/>
      <c r="L2969" s="60"/>
      <c r="M2969" s="74" t="str">
        <f t="shared" si="371"/>
        <v/>
      </c>
      <c r="N2969" s="74" t="str">
        <f t="shared" si="372"/>
        <v/>
      </c>
      <c r="O2969" s="73" t="str">
        <f t="shared" si="373"/>
        <v/>
      </c>
      <c r="P2969" s="65" t="str">
        <f t="shared" ca="1" si="374"/>
        <v/>
      </c>
      <c r="Q2969" s="2"/>
      <c r="R2969" s="2"/>
      <c r="S2969" s="1" t="str">
        <f t="shared" si="375"/>
        <v/>
      </c>
      <c r="T2969" s="1" t="str">
        <f>IF(OR($C2969="",$D2969&lt;&gt;"Gelir",$L2969=""),"",IFERROR(INDEX(MUSTERILER!$B$7:$B$156,MATCH($S2969,MUSTERILER!$T$7:$T$156,0)),""))</f>
        <v/>
      </c>
      <c r="U2969" s="1" t="str">
        <f>IF($T2969="","",$T2969&amp;"|"&amp;COUNTIFS($T$7:$T2969,$T2969))</f>
        <v/>
      </c>
      <c r="V2969" s="1">
        <f t="shared" si="376"/>
        <v>0</v>
      </c>
      <c r="W2969" s="1" t="str">
        <f t="shared" si="377"/>
        <v/>
      </c>
      <c r="X2969" s="1"/>
      <c r="Y2969" s="1"/>
      <c r="Z2969" s="1"/>
      <c r="AA2969" s="1"/>
      <c r="AB2969" s="1"/>
      <c r="AC2969" s="1"/>
      <c r="AD2969" s="1">
        <f>IF($C2969="",0,SUMPRODUCT((AY_SONU!$O$7:$O$42="Evet")*(AY_SONU!$B$7:$B$42=DATE(YEAR($C2969),MONTH($C2969),1))))</f>
        <v>0</v>
      </c>
      <c r="AE2969" s="1" t="str">
        <f>IF($E2969="","",$E2969&amp;"|"&amp;COUNTIFS($E$7:$E2969,$E2969))</f>
        <v/>
      </c>
    </row>
    <row r="2970" spans="1:31" ht="18" customHeight="1" x14ac:dyDescent="0.3">
      <c r="A2970" s="2"/>
      <c r="B2970" s="65" t="str">
        <f t="shared" si="370"/>
        <v/>
      </c>
      <c r="C2970" s="66"/>
      <c r="D2970" s="60"/>
      <c r="E2970" s="61"/>
      <c r="F2970" s="61"/>
      <c r="G2970" s="67"/>
      <c r="H2970" s="60"/>
      <c r="I2970" s="60"/>
      <c r="J2970" s="61"/>
      <c r="K2970" s="61"/>
      <c r="L2970" s="60"/>
      <c r="M2970" s="74" t="str">
        <f t="shared" si="371"/>
        <v/>
      </c>
      <c r="N2970" s="74" t="str">
        <f t="shared" si="372"/>
        <v/>
      </c>
      <c r="O2970" s="73" t="str">
        <f t="shared" si="373"/>
        <v/>
      </c>
      <c r="P2970" s="65" t="str">
        <f t="shared" ca="1" si="374"/>
        <v/>
      </c>
      <c r="Q2970" s="2"/>
      <c r="R2970" s="2"/>
      <c r="S2970" s="1" t="str">
        <f t="shared" si="375"/>
        <v/>
      </c>
      <c r="T2970" s="1" t="str">
        <f>IF(OR($C2970="",$D2970&lt;&gt;"Gelir",$L2970=""),"",IFERROR(INDEX(MUSTERILER!$B$7:$B$156,MATCH($S2970,MUSTERILER!$T$7:$T$156,0)),""))</f>
        <v/>
      </c>
      <c r="U2970" s="1" t="str">
        <f>IF($T2970="","",$T2970&amp;"|"&amp;COUNTIFS($T$7:$T2970,$T2970))</f>
        <v/>
      </c>
      <c r="V2970" s="1">
        <f t="shared" si="376"/>
        <v>0</v>
      </c>
      <c r="W2970" s="1" t="str">
        <f t="shared" si="377"/>
        <v/>
      </c>
      <c r="X2970" s="1"/>
      <c r="Y2970" s="1"/>
      <c r="Z2970" s="1"/>
      <c r="AA2970" s="1"/>
      <c r="AB2970" s="1"/>
      <c r="AC2970" s="1"/>
      <c r="AD2970" s="1">
        <f>IF($C2970="",0,SUMPRODUCT((AY_SONU!$O$7:$O$42="Evet")*(AY_SONU!$B$7:$B$42=DATE(YEAR($C2970),MONTH($C2970),1))))</f>
        <v>0</v>
      </c>
      <c r="AE2970" s="1" t="str">
        <f>IF($E2970="","",$E2970&amp;"|"&amp;COUNTIFS($E$7:$E2970,$E2970))</f>
        <v/>
      </c>
    </row>
    <row r="2971" spans="1:31" ht="18" customHeight="1" x14ac:dyDescent="0.3">
      <c r="A2971" s="2"/>
      <c r="B2971" s="65" t="str">
        <f t="shared" si="370"/>
        <v/>
      </c>
      <c r="C2971" s="66"/>
      <c r="D2971" s="60"/>
      <c r="E2971" s="61"/>
      <c r="F2971" s="61"/>
      <c r="G2971" s="67"/>
      <c r="H2971" s="60"/>
      <c r="I2971" s="60"/>
      <c r="J2971" s="61"/>
      <c r="K2971" s="61"/>
      <c r="L2971" s="60"/>
      <c r="M2971" s="74" t="str">
        <f t="shared" si="371"/>
        <v/>
      </c>
      <c r="N2971" s="74" t="str">
        <f t="shared" si="372"/>
        <v/>
      </c>
      <c r="O2971" s="73" t="str">
        <f t="shared" si="373"/>
        <v/>
      </c>
      <c r="P2971" s="65" t="str">
        <f t="shared" ca="1" si="374"/>
        <v/>
      </c>
      <c r="Q2971" s="2"/>
      <c r="R2971" s="2"/>
      <c r="S2971" s="1" t="str">
        <f t="shared" si="375"/>
        <v/>
      </c>
      <c r="T2971" s="1" t="str">
        <f>IF(OR($C2971="",$D2971&lt;&gt;"Gelir",$L2971=""),"",IFERROR(INDEX(MUSTERILER!$B$7:$B$156,MATCH($S2971,MUSTERILER!$T$7:$T$156,0)),""))</f>
        <v/>
      </c>
      <c r="U2971" s="1" t="str">
        <f>IF($T2971="","",$T2971&amp;"|"&amp;COUNTIFS($T$7:$T2971,$T2971))</f>
        <v/>
      </c>
      <c r="V2971" s="1">
        <f t="shared" si="376"/>
        <v>0</v>
      </c>
      <c r="W2971" s="1" t="str">
        <f t="shared" si="377"/>
        <v/>
      </c>
      <c r="X2971" s="1"/>
      <c r="Y2971" s="1"/>
      <c r="Z2971" s="1"/>
      <c r="AA2971" s="1"/>
      <c r="AB2971" s="1"/>
      <c r="AC2971" s="1"/>
      <c r="AD2971" s="1">
        <f>IF($C2971="",0,SUMPRODUCT((AY_SONU!$O$7:$O$42="Evet")*(AY_SONU!$B$7:$B$42=DATE(YEAR($C2971),MONTH($C2971),1))))</f>
        <v>0</v>
      </c>
      <c r="AE2971" s="1" t="str">
        <f>IF($E2971="","",$E2971&amp;"|"&amp;COUNTIFS($E$7:$E2971,$E2971))</f>
        <v/>
      </c>
    </row>
    <row r="2972" spans="1:31" ht="18" customHeight="1" x14ac:dyDescent="0.3">
      <c r="A2972" s="2"/>
      <c r="B2972" s="65" t="str">
        <f t="shared" si="370"/>
        <v/>
      </c>
      <c r="C2972" s="66"/>
      <c r="D2972" s="60"/>
      <c r="E2972" s="61"/>
      <c r="F2972" s="61"/>
      <c r="G2972" s="67"/>
      <c r="H2972" s="60"/>
      <c r="I2972" s="60"/>
      <c r="J2972" s="61"/>
      <c r="K2972" s="61"/>
      <c r="L2972" s="60"/>
      <c r="M2972" s="74" t="str">
        <f t="shared" si="371"/>
        <v/>
      </c>
      <c r="N2972" s="74" t="str">
        <f t="shared" si="372"/>
        <v/>
      </c>
      <c r="O2972" s="73" t="str">
        <f t="shared" si="373"/>
        <v/>
      </c>
      <c r="P2972" s="65" t="str">
        <f t="shared" ca="1" si="374"/>
        <v/>
      </c>
      <c r="Q2972" s="2"/>
      <c r="R2972" s="2"/>
      <c r="S2972" s="1" t="str">
        <f t="shared" si="375"/>
        <v/>
      </c>
      <c r="T2972" s="1" t="str">
        <f>IF(OR($C2972="",$D2972&lt;&gt;"Gelir",$L2972=""),"",IFERROR(INDEX(MUSTERILER!$B$7:$B$156,MATCH($S2972,MUSTERILER!$T$7:$T$156,0)),""))</f>
        <v/>
      </c>
      <c r="U2972" s="1" t="str">
        <f>IF($T2972="","",$T2972&amp;"|"&amp;COUNTIFS($T$7:$T2972,$T2972))</f>
        <v/>
      </c>
      <c r="V2972" s="1">
        <f t="shared" si="376"/>
        <v>0</v>
      </c>
      <c r="W2972" s="1" t="str">
        <f t="shared" si="377"/>
        <v/>
      </c>
      <c r="X2972" s="1"/>
      <c r="Y2972" s="1"/>
      <c r="Z2972" s="1"/>
      <c r="AA2972" s="1"/>
      <c r="AB2972" s="1"/>
      <c r="AC2972" s="1"/>
      <c r="AD2972" s="1">
        <f>IF($C2972="",0,SUMPRODUCT((AY_SONU!$O$7:$O$42="Evet")*(AY_SONU!$B$7:$B$42=DATE(YEAR($C2972),MONTH($C2972),1))))</f>
        <v>0</v>
      </c>
      <c r="AE2972" s="1" t="str">
        <f>IF($E2972="","",$E2972&amp;"|"&amp;COUNTIFS($E$7:$E2972,$E2972))</f>
        <v/>
      </c>
    </row>
    <row r="2973" spans="1:31" ht="18" customHeight="1" x14ac:dyDescent="0.3">
      <c r="A2973" s="2"/>
      <c r="B2973" s="65" t="str">
        <f t="shared" si="370"/>
        <v/>
      </c>
      <c r="C2973" s="66"/>
      <c r="D2973" s="60"/>
      <c r="E2973" s="61"/>
      <c r="F2973" s="61"/>
      <c r="G2973" s="67"/>
      <c r="H2973" s="60"/>
      <c r="I2973" s="60"/>
      <c r="J2973" s="61"/>
      <c r="K2973" s="61"/>
      <c r="L2973" s="60"/>
      <c r="M2973" s="74" t="str">
        <f t="shared" si="371"/>
        <v/>
      </c>
      <c r="N2973" s="74" t="str">
        <f t="shared" si="372"/>
        <v/>
      </c>
      <c r="O2973" s="73" t="str">
        <f t="shared" si="373"/>
        <v/>
      </c>
      <c r="P2973" s="65" t="str">
        <f t="shared" ca="1" si="374"/>
        <v/>
      </c>
      <c r="Q2973" s="2"/>
      <c r="R2973" s="2"/>
      <c r="S2973" s="1" t="str">
        <f t="shared" si="375"/>
        <v/>
      </c>
      <c r="T2973" s="1" t="str">
        <f>IF(OR($C2973="",$D2973&lt;&gt;"Gelir",$L2973=""),"",IFERROR(INDEX(MUSTERILER!$B$7:$B$156,MATCH($S2973,MUSTERILER!$T$7:$T$156,0)),""))</f>
        <v/>
      </c>
      <c r="U2973" s="1" t="str">
        <f>IF($T2973="","",$T2973&amp;"|"&amp;COUNTIFS($T$7:$T2973,$T2973))</f>
        <v/>
      </c>
      <c r="V2973" s="1">
        <f t="shared" si="376"/>
        <v>0</v>
      </c>
      <c r="W2973" s="1" t="str">
        <f t="shared" si="377"/>
        <v/>
      </c>
      <c r="X2973" s="1"/>
      <c r="Y2973" s="1"/>
      <c r="Z2973" s="1"/>
      <c r="AA2973" s="1"/>
      <c r="AB2973" s="1"/>
      <c r="AC2973" s="1"/>
      <c r="AD2973" s="1">
        <f>IF($C2973="",0,SUMPRODUCT((AY_SONU!$O$7:$O$42="Evet")*(AY_SONU!$B$7:$B$42=DATE(YEAR($C2973),MONTH($C2973),1))))</f>
        <v>0</v>
      </c>
      <c r="AE2973" s="1" t="str">
        <f>IF($E2973="","",$E2973&amp;"|"&amp;COUNTIFS($E$7:$E2973,$E2973))</f>
        <v/>
      </c>
    </row>
    <row r="2974" spans="1:31" ht="18" customHeight="1" x14ac:dyDescent="0.3">
      <c r="A2974" s="2"/>
      <c r="B2974" s="65" t="str">
        <f t="shared" si="370"/>
        <v/>
      </c>
      <c r="C2974" s="66"/>
      <c r="D2974" s="60"/>
      <c r="E2974" s="61"/>
      <c r="F2974" s="61"/>
      <c r="G2974" s="67"/>
      <c r="H2974" s="60"/>
      <c r="I2974" s="60"/>
      <c r="J2974" s="61"/>
      <c r="K2974" s="61"/>
      <c r="L2974" s="60"/>
      <c r="M2974" s="74" t="str">
        <f t="shared" si="371"/>
        <v/>
      </c>
      <c r="N2974" s="74" t="str">
        <f t="shared" si="372"/>
        <v/>
      </c>
      <c r="O2974" s="73" t="str">
        <f t="shared" si="373"/>
        <v/>
      </c>
      <c r="P2974" s="65" t="str">
        <f t="shared" ca="1" si="374"/>
        <v/>
      </c>
      <c r="Q2974" s="2"/>
      <c r="R2974" s="2"/>
      <c r="S2974" s="1" t="str">
        <f t="shared" si="375"/>
        <v/>
      </c>
      <c r="T2974" s="1" t="str">
        <f>IF(OR($C2974="",$D2974&lt;&gt;"Gelir",$L2974=""),"",IFERROR(INDEX(MUSTERILER!$B$7:$B$156,MATCH($S2974,MUSTERILER!$T$7:$T$156,0)),""))</f>
        <v/>
      </c>
      <c r="U2974" s="1" t="str">
        <f>IF($T2974="","",$T2974&amp;"|"&amp;COUNTIFS($T$7:$T2974,$T2974))</f>
        <v/>
      </c>
      <c r="V2974" s="1">
        <f t="shared" si="376"/>
        <v>0</v>
      </c>
      <c r="W2974" s="1" t="str">
        <f t="shared" si="377"/>
        <v/>
      </c>
      <c r="X2974" s="1"/>
      <c r="Y2974" s="1"/>
      <c r="Z2974" s="1"/>
      <c r="AA2974" s="1"/>
      <c r="AB2974" s="1"/>
      <c r="AC2974" s="1"/>
      <c r="AD2974" s="1">
        <f>IF($C2974="",0,SUMPRODUCT((AY_SONU!$O$7:$O$42="Evet")*(AY_SONU!$B$7:$B$42=DATE(YEAR($C2974),MONTH($C2974),1))))</f>
        <v>0</v>
      </c>
      <c r="AE2974" s="1" t="str">
        <f>IF($E2974="","",$E2974&amp;"|"&amp;COUNTIFS($E$7:$E2974,$E2974))</f>
        <v/>
      </c>
    </row>
    <row r="2975" spans="1:31" ht="18" customHeight="1" x14ac:dyDescent="0.3">
      <c r="A2975" s="2"/>
      <c r="B2975" s="65" t="str">
        <f t="shared" si="370"/>
        <v/>
      </c>
      <c r="C2975" s="66"/>
      <c r="D2975" s="60"/>
      <c r="E2975" s="61"/>
      <c r="F2975" s="61"/>
      <c r="G2975" s="67"/>
      <c r="H2975" s="60"/>
      <c r="I2975" s="60"/>
      <c r="J2975" s="61"/>
      <c r="K2975" s="61"/>
      <c r="L2975" s="60"/>
      <c r="M2975" s="74" t="str">
        <f t="shared" si="371"/>
        <v/>
      </c>
      <c r="N2975" s="74" t="str">
        <f t="shared" si="372"/>
        <v/>
      </c>
      <c r="O2975" s="73" t="str">
        <f t="shared" si="373"/>
        <v/>
      </c>
      <c r="P2975" s="65" t="str">
        <f t="shared" ca="1" si="374"/>
        <v/>
      </c>
      <c r="Q2975" s="2"/>
      <c r="R2975" s="2"/>
      <c r="S2975" s="1" t="str">
        <f t="shared" si="375"/>
        <v/>
      </c>
      <c r="T2975" s="1" t="str">
        <f>IF(OR($C2975="",$D2975&lt;&gt;"Gelir",$L2975=""),"",IFERROR(INDEX(MUSTERILER!$B$7:$B$156,MATCH($S2975,MUSTERILER!$T$7:$T$156,0)),""))</f>
        <v/>
      </c>
      <c r="U2975" s="1" t="str">
        <f>IF($T2975="","",$T2975&amp;"|"&amp;COUNTIFS($T$7:$T2975,$T2975))</f>
        <v/>
      </c>
      <c r="V2975" s="1">
        <f t="shared" si="376"/>
        <v>0</v>
      </c>
      <c r="W2975" s="1" t="str">
        <f t="shared" si="377"/>
        <v/>
      </c>
      <c r="X2975" s="1"/>
      <c r="Y2975" s="1"/>
      <c r="Z2975" s="1"/>
      <c r="AA2975" s="1"/>
      <c r="AB2975" s="1"/>
      <c r="AC2975" s="1"/>
      <c r="AD2975" s="1">
        <f>IF($C2975="",0,SUMPRODUCT((AY_SONU!$O$7:$O$42="Evet")*(AY_SONU!$B$7:$B$42=DATE(YEAR($C2975),MONTH($C2975),1))))</f>
        <v>0</v>
      </c>
      <c r="AE2975" s="1" t="str">
        <f>IF($E2975="","",$E2975&amp;"|"&amp;COUNTIFS($E$7:$E2975,$E2975))</f>
        <v/>
      </c>
    </row>
    <row r="2976" spans="1:31" ht="18" customHeight="1" x14ac:dyDescent="0.3">
      <c r="A2976" s="2"/>
      <c r="B2976" s="65" t="str">
        <f t="shared" si="370"/>
        <v/>
      </c>
      <c r="C2976" s="66"/>
      <c r="D2976" s="60"/>
      <c r="E2976" s="61"/>
      <c r="F2976" s="61"/>
      <c r="G2976" s="67"/>
      <c r="H2976" s="60"/>
      <c r="I2976" s="60"/>
      <c r="J2976" s="61"/>
      <c r="K2976" s="61"/>
      <c r="L2976" s="60"/>
      <c r="M2976" s="74" t="str">
        <f t="shared" si="371"/>
        <v/>
      </c>
      <c r="N2976" s="74" t="str">
        <f t="shared" si="372"/>
        <v/>
      </c>
      <c r="O2976" s="73" t="str">
        <f t="shared" si="373"/>
        <v/>
      </c>
      <c r="P2976" s="65" t="str">
        <f t="shared" ca="1" si="374"/>
        <v/>
      </c>
      <c r="Q2976" s="2"/>
      <c r="R2976" s="2"/>
      <c r="S2976" s="1" t="str">
        <f t="shared" si="375"/>
        <v/>
      </c>
      <c r="T2976" s="1" t="str">
        <f>IF(OR($C2976="",$D2976&lt;&gt;"Gelir",$L2976=""),"",IFERROR(INDEX(MUSTERILER!$B$7:$B$156,MATCH($S2976,MUSTERILER!$T$7:$T$156,0)),""))</f>
        <v/>
      </c>
      <c r="U2976" s="1" t="str">
        <f>IF($T2976="","",$T2976&amp;"|"&amp;COUNTIFS($T$7:$T2976,$T2976))</f>
        <v/>
      </c>
      <c r="V2976" s="1">
        <f t="shared" si="376"/>
        <v>0</v>
      </c>
      <c r="W2976" s="1" t="str">
        <f t="shared" si="377"/>
        <v/>
      </c>
      <c r="X2976" s="1"/>
      <c r="Y2976" s="1"/>
      <c r="Z2976" s="1"/>
      <c r="AA2976" s="1"/>
      <c r="AB2976" s="1"/>
      <c r="AC2976" s="1"/>
      <c r="AD2976" s="1">
        <f>IF($C2976="",0,SUMPRODUCT((AY_SONU!$O$7:$O$42="Evet")*(AY_SONU!$B$7:$B$42=DATE(YEAR($C2976),MONTH($C2976),1))))</f>
        <v>0</v>
      </c>
      <c r="AE2976" s="1" t="str">
        <f>IF($E2976="","",$E2976&amp;"|"&amp;COUNTIFS($E$7:$E2976,$E2976))</f>
        <v/>
      </c>
    </row>
    <row r="2977" spans="1:31" ht="18" customHeight="1" x14ac:dyDescent="0.3">
      <c r="A2977" s="2"/>
      <c r="B2977" s="65" t="str">
        <f t="shared" si="370"/>
        <v/>
      </c>
      <c r="C2977" s="66"/>
      <c r="D2977" s="60"/>
      <c r="E2977" s="61"/>
      <c r="F2977" s="61"/>
      <c r="G2977" s="67"/>
      <c r="H2977" s="60"/>
      <c r="I2977" s="60"/>
      <c r="J2977" s="61"/>
      <c r="K2977" s="61"/>
      <c r="L2977" s="60"/>
      <c r="M2977" s="74" t="str">
        <f t="shared" si="371"/>
        <v/>
      </c>
      <c r="N2977" s="74" t="str">
        <f t="shared" si="372"/>
        <v/>
      </c>
      <c r="O2977" s="73" t="str">
        <f t="shared" si="373"/>
        <v/>
      </c>
      <c r="P2977" s="65" t="str">
        <f t="shared" ca="1" si="374"/>
        <v/>
      </c>
      <c r="Q2977" s="2"/>
      <c r="R2977" s="2"/>
      <c r="S2977" s="1" t="str">
        <f t="shared" si="375"/>
        <v/>
      </c>
      <c r="T2977" s="1" t="str">
        <f>IF(OR($C2977="",$D2977&lt;&gt;"Gelir",$L2977=""),"",IFERROR(INDEX(MUSTERILER!$B$7:$B$156,MATCH($S2977,MUSTERILER!$T$7:$T$156,0)),""))</f>
        <v/>
      </c>
      <c r="U2977" s="1" t="str">
        <f>IF($T2977="","",$T2977&amp;"|"&amp;COUNTIFS($T$7:$T2977,$T2977))</f>
        <v/>
      </c>
      <c r="V2977" s="1">
        <f t="shared" si="376"/>
        <v>0</v>
      </c>
      <c r="W2977" s="1" t="str">
        <f t="shared" si="377"/>
        <v/>
      </c>
      <c r="X2977" s="1"/>
      <c r="Y2977" s="1"/>
      <c r="Z2977" s="1"/>
      <c r="AA2977" s="1"/>
      <c r="AB2977" s="1"/>
      <c r="AC2977" s="1"/>
      <c r="AD2977" s="1">
        <f>IF($C2977="",0,SUMPRODUCT((AY_SONU!$O$7:$O$42="Evet")*(AY_SONU!$B$7:$B$42=DATE(YEAR($C2977),MONTH($C2977),1))))</f>
        <v>0</v>
      </c>
      <c r="AE2977" s="1" t="str">
        <f>IF($E2977="","",$E2977&amp;"|"&amp;COUNTIFS($E$7:$E2977,$E2977))</f>
        <v/>
      </c>
    </row>
    <row r="2978" spans="1:31" ht="18" customHeight="1" x14ac:dyDescent="0.3">
      <c r="A2978" s="2"/>
      <c r="B2978" s="65" t="str">
        <f t="shared" si="370"/>
        <v/>
      </c>
      <c r="C2978" s="66"/>
      <c r="D2978" s="60"/>
      <c r="E2978" s="61"/>
      <c r="F2978" s="61"/>
      <c r="G2978" s="67"/>
      <c r="H2978" s="60"/>
      <c r="I2978" s="60"/>
      <c r="J2978" s="61"/>
      <c r="K2978" s="61"/>
      <c r="L2978" s="60"/>
      <c r="M2978" s="74" t="str">
        <f t="shared" si="371"/>
        <v/>
      </c>
      <c r="N2978" s="74" t="str">
        <f t="shared" si="372"/>
        <v/>
      </c>
      <c r="O2978" s="73" t="str">
        <f t="shared" si="373"/>
        <v/>
      </c>
      <c r="P2978" s="65" t="str">
        <f t="shared" ca="1" si="374"/>
        <v/>
      </c>
      <c r="Q2978" s="2"/>
      <c r="R2978" s="2"/>
      <c r="S2978" s="1" t="str">
        <f t="shared" si="375"/>
        <v/>
      </c>
      <c r="T2978" s="1" t="str">
        <f>IF(OR($C2978="",$D2978&lt;&gt;"Gelir",$L2978=""),"",IFERROR(INDEX(MUSTERILER!$B$7:$B$156,MATCH($S2978,MUSTERILER!$T$7:$T$156,0)),""))</f>
        <v/>
      </c>
      <c r="U2978" s="1" t="str">
        <f>IF($T2978="","",$T2978&amp;"|"&amp;COUNTIFS($T$7:$T2978,$T2978))</f>
        <v/>
      </c>
      <c r="V2978" s="1">
        <f t="shared" si="376"/>
        <v>0</v>
      </c>
      <c r="W2978" s="1" t="str">
        <f t="shared" si="377"/>
        <v/>
      </c>
      <c r="X2978" s="1"/>
      <c r="Y2978" s="1"/>
      <c r="Z2978" s="1"/>
      <c r="AA2978" s="1"/>
      <c r="AB2978" s="1"/>
      <c r="AC2978" s="1"/>
      <c r="AD2978" s="1">
        <f>IF($C2978="",0,SUMPRODUCT((AY_SONU!$O$7:$O$42="Evet")*(AY_SONU!$B$7:$B$42=DATE(YEAR($C2978),MONTH($C2978),1))))</f>
        <v>0</v>
      </c>
      <c r="AE2978" s="1" t="str">
        <f>IF($E2978="","",$E2978&amp;"|"&amp;COUNTIFS($E$7:$E2978,$E2978))</f>
        <v/>
      </c>
    </row>
    <row r="2979" spans="1:31" ht="18" customHeight="1" x14ac:dyDescent="0.3">
      <c r="A2979" s="2"/>
      <c r="B2979" s="65" t="str">
        <f t="shared" si="370"/>
        <v/>
      </c>
      <c r="C2979" s="66"/>
      <c r="D2979" s="60"/>
      <c r="E2979" s="61"/>
      <c r="F2979" s="61"/>
      <c r="G2979" s="67"/>
      <c r="H2979" s="60"/>
      <c r="I2979" s="60"/>
      <c r="J2979" s="61"/>
      <c r="K2979" s="61"/>
      <c r="L2979" s="60"/>
      <c r="M2979" s="74" t="str">
        <f t="shared" si="371"/>
        <v/>
      </c>
      <c r="N2979" s="74" t="str">
        <f t="shared" si="372"/>
        <v/>
      </c>
      <c r="O2979" s="73" t="str">
        <f t="shared" si="373"/>
        <v/>
      </c>
      <c r="P2979" s="65" t="str">
        <f t="shared" ca="1" si="374"/>
        <v/>
      </c>
      <c r="Q2979" s="2"/>
      <c r="R2979" s="2"/>
      <c r="S2979" s="1" t="str">
        <f t="shared" si="375"/>
        <v/>
      </c>
      <c r="T2979" s="1" t="str">
        <f>IF(OR($C2979="",$D2979&lt;&gt;"Gelir",$L2979=""),"",IFERROR(INDEX(MUSTERILER!$B$7:$B$156,MATCH($S2979,MUSTERILER!$T$7:$T$156,0)),""))</f>
        <v/>
      </c>
      <c r="U2979" s="1" t="str">
        <f>IF($T2979="","",$T2979&amp;"|"&amp;COUNTIFS($T$7:$T2979,$T2979))</f>
        <v/>
      </c>
      <c r="V2979" s="1">
        <f t="shared" si="376"/>
        <v>0</v>
      </c>
      <c r="W2979" s="1" t="str">
        <f t="shared" si="377"/>
        <v/>
      </c>
      <c r="X2979" s="1"/>
      <c r="Y2979" s="1"/>
      <c r="Z2979" s="1"/>
      <c r="AA2979" s="1"/>
      <c r="AB2979" s="1"/>
      <c r="AC2979" s="1"/>
      <c r="AD2979" s="1">
        <f>IF($C2979="",0,SUMPRODUCT((AY_SONU!$O$7:$O$42="Evet")*(AY_SONU!$B$7:$B$42=DATE(YEAR($C2979),MONTH($C2979),1))))</f>
        <v>0</v>
      </c>
      <c r="AE2979" s="1" t="str">
        <f>IF($E2979="","",$E2979&amp;"|"&amp;COUNTIFS($E$7:$E2979,$E2979))</f>
        <v/>
      </c>
    </row>
    <row r="2980" spans="1:31" ht="18" customHeight="1" x14ac:dyDescent="0.3">
      <c r="A2980" s="2"/>
      <c r="B2980" s="65" t="str">
        <f t="shared" si="370"/>
        <v/>
      </c>
      <c r="C2980" s="66"/>
      <c r="D2980" s="60"/>
      <c r="E2980" s="61"/>
      <c r="F2980" s="61"/>
      <c r="G2980" s="67"/>
      <c r="H2980" s="60"/>
      <c r="I2980" s="60"/>
      <c r="J2980" s="61"/>
      <c r="K2980" s="61"/>
      <c r="L2980" s="60"/>
      <c r="M2980" s="74" t="str">
        <f t="shared" si="371"/>
        <v/>
      </c>
      <c r="N2980" s="74" t="str">
        <f t="shared" si="372"/>
        <v/>
      </c>
      <c r="O2980" s="73" t="str">
        <f t="shared" si="373"/>
        <v/>
      </c>
      <c r="P2980" s="65" t="str">
        <f t="shared" ca="1" si="374"/>
        <v/>
      </c>
      <c r="Q2980" s="2"/>
      <c r="R2980" s="2"/>
      <c r="S2980" s="1" t="str">
        <f t="shared" si="375"/>
        <v/>
      </c>
      <c r="T2980" s="1" t="str">
        <f>IF(OR($C2980="",$D2980&lt;&gt;"Gelir",$L2980=""),"",IFERROR(INDEX(MUSTERILER!$B$7:$B$156,MATCH($S2980,MUSTERILER!$T$7:$T$156,0)),""))</f>
        <v/>
      </c>
      <c r="U2980" s="1" t="str">
        <f>IF($T2980="","",$T2980&amp;"|"&amp;COUNTIFS($T$7:$T2980,$T2980))</f>
        <v/>
      </c>
      <c r="V2980" s="1">
        <f t="shared" si="376"/>
        <v>0</v>
      </c>
      <c r="W2980" s="1" t="str">
        <f t="shared" si="377"/>
        <v/>
      </c>
      <c r="X2980" s="1"/>
      <c r="Y2980" s="1"/>
      <c r="Z2980" s="1"/>
      <c r="AA2980" s="1"/>
      <c r="AB2980" s="1"/>
      <c r="AC2980" s="1"/>
      <c r="AD2980" s="1">
        <f>IF($C2980="",0,SUMPRODUCT((AY_SONU!$O$7:$O$42="Evet")*(AY_SONU!$B$7:$B$42=DATE(YEAR($C2980),MONTH($C2980),1))))</f>
        <v>0</v>
      </c>
      <c r="AE2980" s="1" t="str">
        <f>IF($E2980="","",$E2980&amp;"|"&amp;COUNTIFS($E$7:$E2980,$E2980))</f>
        <v/>
      </c>
    </row>
    <row r="2981" spans="1:31" ht="18" customHeight="1" x14ac:dyDescent="0.3">
      <c r="A2981" s="2"/>
      <c r="B2981" s="65" t="str">
        <f t="shared" si="370"/>
        <v/>
      </c>
      <c r="C2981" s="66"/>
      <c r="D2981" s="60"/>
      <c r="E2981" s="61"/>
      <c r="F2981" s="61"/>
      <c r="G2981" s="67"/>
      <c r="H2981" s="60"/>
      <c r="I2981" s="60"/>
      <c r="J2981" s="61"/>
      <c r="K2981" s="61"/>
      <c r="L2981" s="60"/>
      <c r="M2981" s="74" t="str">
        <f t="shared" si="371"/>
        <v/>
      </c>
      <c r="N2981" s="74" t="str">
        <f t="shared" si="372"/>
        <v/>
      </c>
      <c r="O2981" s="73" t="str">
        <f t="shared" si="373"/>
        <v/>
      </c>
      <c r="P2981" s="65" t="str">
        <f t="shared" ca="1" si="374"/>
        <v/>
      </c>
      <c r="Q2981" s="2"/>
      <c r="R2981" s="2"/>
      <c r="S2981" s="1" t="str">
        <f t="shared" si="375"/>
        <v/>
      </c>
      <c r="T2981" s="1" t="str">
        <f>IF(OR($C2981="",$D2981&lt;&gt;"Gelir",$L2981=""),"",IFERROR(INDEX(MUSTERILER!$B$7:$B$156,MATCH($S2981,MUSTERILER!$T$7:$T$156,0)),""))</f>
        <v/>
      </c>
      <c r="U2981" s="1" t="str">
        <f>IF($T2981="","",$T2981&amp;"|"&amp;COUNTIFS($T$7:$T2981,$T2981))</f>
        <v/>
      </c>
      <c r="V2981" s="1">
        <f t="shared" si="376"/>
        <v>0</v>
      </c>
      <c r="W2981" s="1" t="str">
        <f t="shared" si="377"/>
        <v/>
      </c>
      <c r="X2981" s="1"/>
      <c r="Y2981" s="1"/>
      <c r="Z2981" s="1"/>
      <c r="AA2981" s="1"/>
      <c r="AB2981" s="1"/>
      <c r="AC2981" s="1"/>
      <c r="AD2981" s="1">
        <f>IF($C2981="",0,SUMPRODUCT((AY_SONU!$O$7:$O$42="Evet")*(AY_SONU!$B$7:$B$42=DATE(YEAR($C2981),MONTH($C2981),1))))</f>
        <v>0</v>
      </c>
      <c r="AE2981" s="1" t="str">
        <f>IF($E2981="","",$E2981&amp;"|"&amp;COUNTIFS($E$7:$E2981,$E2981))</f>
        <v/>
      </c>
    </row>
    <row r="2982" spans="1:31" ht="18" customHeight="1" x14ac:dyDescent="0.3">
      <c r="A2982" s="2"/>
      <c r="B2982" s="65" t="str">
        <f t="shared" si="370"/>
        <v/>
      </c>
      <c r="C2982" s="66"/>
      <c r="D2982" s="60"/>
      <c r="E2982" s="61"/>
      <c r="F2982" s="61"/>
      <c r="G2982" s="67"/>
      <c r="H2982" s="60"/>
      <c r="I2982" s="60"/>
      <c r="J2982" s="61"/>
      <c r="K2982" s="61"/>
      <c r="L2982" s="60"/>
      <c r="M2982" s="74" t="str">
        <f t="shared" si="371"/>
        <v/>
      </c>
      <c r="N2982" s="74" t="str">
        <f t="shared" si="372"/>
        <v/>
      </c>
      <c r="O2982" s="73" t="str">
        <f t="shared" si="373"/>
        <v/>
      </c>
      <c r="P2982" s="65" t="str">
        <f t="shared" ca="1" si="374"/>
        <v/>
      </c>
      <c r="Q2982" s="2"/>
      <c r="R2982" s="2"/>
      <c r="S2982" s="1" t="str">
        <f t="shared" si="375"/>
        <v/>
      </c>
      <c r="T2982" s="1" t="str">
        <f>IF(OR($C2982="",$D2982&lt;&gt;"Gelir",$L2982=""),"",IFERROR(INDEX(MUSTERILER!$B$7:$B$156,MATCH($S2982,MUSTERILER!$T$7:$T$156,0)),""))</f>
        <v/>
      </c>
      <c r="U2982" s="1" t="str">
        <f>IF($T2982="","",$T2982&amp;"|"&amp;COUNTIFS($T$7:$T2982,$T2982))</f>
        <v/>
      </c>
      <c r="V2982" s="1">
        <f t="shared" si="376"/>
        <v>0</v>
      </c>
      <c r="W2982" s="1" t="str">
        <f t="shared" si="377"/>
        <v/>
      </c>
      <c r="X2982" s="1"/>
      <c r="Y2982" s="1"/>
      <c r="Z2982" s="1"/>
      <c r="AA2982" s="1"/>
      <c r="AB2982" s="1"/>
      <c r="AC2982" s="1"/>
      <c r="AD2982" s="1">
        <f>IF($C2982="",0,SUMPRODUCT((AY_SONU!$O$7:$O$42="Evet")*(AY_SONU!$B$7:$B$42=DATE(YEAR($C2982),MONTH($C2982),1))))</f>
        <v>0</v>
      </c>
      <c r="AE2982" s="1" t="str">
        <f>IF($E2982="","",$E2982&amp;"|"&amp;COUNTIFS($E$7:$E2982,$E2982))</f>
        <v/>
      </c>
    </row>
    <row r="2983" spans="1:31" ht="18" customHeight="1" x14ac:dyDescent="0.3">
      <c r="A2983" s="2"/>
      <c r="B2983" s="65" t="str">
        <f t="shared" si="370"/>
        <v/>
      </c>
      <c r="C2983" s="66"/>
      <c r="D2983" s="60"/>
      <c r="E2983" s="61"/>
      <c r="F2983" s="61"/>
      <c r="G2983" s="67"/>
      <c r="H2983" s="60"/>
      <c r="I2983" s="60"/>
      <c r="J2983" s="61"/>
      <c r="K2983" s="61"/>
      <c r="L2983" s="60"/>
      <c r="M2983" s="74" t="str">
        <f t="shared" si="371"/>
        <v/>
      </c>
      <c r="N2983" s="74" t="str">
        <f t="shared" si="372"/>
        <v/>
      </c>
      <c r="O2983" s="73" t="str">
        <f t="shared" si="373"/>
        <v/>
      </c>
      <c r="P2983" s="65" t="str">
        <f t="shared" ca="1" si="374"/>
        <v/>
      </c>
      <c r="Q2983" s="2"/>
      <c r="R2983" s="2"/>
      <c r="S2983" s="1" t="str">
        <f t="shared" si="375"/>
        <v/>
      </c>
      <c r="T2983" s="1" t="str">
        <f>IF(OR($C2983="",$D2983&lt;&gt;"Gelir",$L2983=""),"",IFERROR(INDEX(MUSTERILER!$B$7:$B$156,MATCH($S2983,MUSTERILER!$T$7:$T$156,0)),""))</f>
        <v/>
      </c>
      <c r="U2983" s="1" t="str">
        <f>IF($T2983="","",$T2983&amp;"|"&amp;COUNTIFS($T$7:$T2983,$T2983))</f>
        <v/>
      </c>
      <c r="V2983" s="1">
        <f t="shared" si="376"/>
        <v>0</v>
      </c>
      <c r="W2983" s="1" t="str">
        <f t="shared" si="377"/>
        <v/>
      </c>
      <c r="X2983" s="1"/>
      <c r="Y2983" s="1"/>
      <c r="Z2983" s="1"/>
      <c r="AA2983" s="1"/>
      <c r="AB2983" s="1"/>
      <c r="AC2983" s="1"/>
      <c r="AD2983" s="1">
        <f>IF($C2983="",0,SUMPRODUCT((AY_SONU!$O$7:$O$42="Evet")*(AY_SONU!$B$7:$B$42=DATE(YEAR($C2983),MONTH($C2983),1))))</f>
        <v>0</v>
      </c>
      <c r="AE2983" s="1" t="str">
        <f>IF($E2983="","",$E2983&amp;"|"&amp;COUNTIFS($E$7:$E2983,$E2983))</f>
        <v/>
      </c>
    </row>
    <row r="2984" spans="1:31" ht="18" customHeight="1" x14ac:dyDescent="0.3">
      <c r="A2984" s="2"/>
      <c r="B2984" s="65" t="str">
        <f t="shared" si="370"/>
        <v/>
      </c>
      <c r="C2984" s="66"/>
      <c r="D2984" s="60"/>
      <c r="E2984" s="61"/>
      <c r="F2984" s="61"/>
      <c r="G2984" s="67"/>
      <c r="H2984" s="60"/>
      <c r="I2984" s="60"/>
      <c r="J2984" s="61"/>
      <c r="K2984" s="61"/>
      <c r="L2984" s="60"/>
      <c r="M2984" s="74" t="str">
        <f t="shared" si="371"/>
        <v/>
      </c>
      <c r="N2984" s="74" t="str">
        <f t="shared" si="372"/>
        <v/>
      </c>
      <c r="O2984" s="73" t="str">
        <f t="shared" si="373"/>
        <v/>
      </c>
      <c r="P2984" s="65" t="str">
        <f t="shared" ca="1" si="374"/>
        <v/>
      </c>
      <c r="Q2984" s="2"/>
      <c r="R2984" s="2"/>
      <c r="S2984" s="1" t="str">
        <f t="shared" si="375"/>
        <v/>
      </c>
      <c r="T2984" s="1" t="str">
        <f>IF(OR($C2984="",$D2984&lt;&gt;"Gelir",$L2984=""),"",IFERROR(INDEX(MUSTERILER!$B$7:$B$156,MATCH($S2984,MUSTERILER!$T$7:$T$156,0)),""))</f>
        <v/>
      </c>
      <c r="U2984" s="1" t="str">
        <f>IF($T2984="","",$T2984&amp;"|"&amp;COUNTIFS($T$7:$T2984,$T2984))</f>
        <v/>
      </c>
      <c r="V2984" s="1">
        <f t="shared" si="376"/>
        <v>0</v>
      </c>
      <c r="W2984" s="1" t="str">
        <f t="shared" si="377"/>
        <v/>
      </c>
      <c r="X2984" s="1"/>
      <c r="Y2984" s="1"/>
      <c r="Z2984" s="1"/>
      <c r="AA2984" s="1"/>
      <c r="AB2984" s="1"/>
      <c r="AC2984" s="1"/>
      <c r="AD2984" s="1">
        <f>IF($C2984="",0,SUMPRODUCT((AY_SONU!$O$7:$O$42="Evet")*(AY_SONU!$B$7:$B$42=DATE(YEAR($C2984),MONTH($C2984),1))))</f>
        <v>0</v>
      </c>
      <c r="AE2984" s="1" t="str">
        <f>IF($E2984="","",$E2984&amp;"|"&amp;COUNTIFS($E$7:$E2984,$E2984))</f>
        <v/>
      </c>
    </row>
    <row r="2985" spans="1:31" ht="18" customHeight="1" x14ac:dyDescent="0.3">
      <c r="A2985" s="2"/>
      <c r="B2985" s="65" t="str">
        <f t="shared" si="370"/>
        <v/>
      </c>
      <c r="C2985" s="66"/>
      <c r="D2985" s="60"/>
      <c r="E2985" s="61"/>
      <c r="F2985" s="61"/>
      <c r="G2985" s="67"/>
      <c r="H2985" s="60"/>
      <c r="I2985" s="60"/>
      <c r="J2985" s="61"/>
      <c r="K2985" s="61"/>
      <c r="L2985" s="60"/>
      <c r="M2985" s="74" t="str">
        <f t="shared" si="371"/>
        <v/>
      </c>
      <c r="N2985" s="74" t="str">
        <f t="shared" si="372"/>
        <v/>
      </c>
      <c r="O2985" s="73" t="str">
        <f t="shared" si="373"/>
        <v/>
      </c>
      <c r="P2985" s="65" t="str">
        <f t="shared" ca="1" si="374"/>
        <v/>
      </c>
      <c r="Q2985" s="2"/>
      <c r="R2985" s="2"/>
      <c r="S2985" s="1" t="str">
        <f t="shared" si="375"/>
        <v/>
      </c>
      <c r="T2985" s="1" t="str">
        <f>IF(OR($C2985="",$D2985&lt;&gt;"Gelir",$L2985=""),"",IFERROR(INDEX(MUSTERILER!$B$7:$B$156,MATCH($S2985,MUSTERILER!$T$7:$T$156,0)),""))</f>
        <v/>
      </c>
      <c r="U2985" s="1" t="str">
        <f>IF($T2985="","",$T2985&amp;"|"&amp;COUNTIFS($T$7:$T2985,$T2985))</f>
        <v/>
      </c>
      <c r="V2985" s="1">
        <f t="shared" si="376"/>
        <v>0</v>
      </c>
      <c r="W2985" s="1" t="str">
        <f t="shared" si="377"/>
        <v/>
      </c>
      <c r="X2985" s="1"/>
      <c r="Y2985" s="1"/>
      <c r="Z2985" s="1"/>
      <c r="AA2985" s="1"/>
      <c r="AB2985" s="1"/>
      <c r="AC2985" s="1"/>
      <c r="AD2985" s="1">
        <f>IF($C2985="",0,SUMPRODUCT((AY_SONU!$O$7:$O$42="Evet")*(AY_SONU!$B$7:$B$42=DATE(YEAR($C2985),MONTH($C2985),1))))</f>
        <v>0</v>
      </c>
      <c r="AE2985" s="1" t="str">
        <f>IF($E2985="","",$E2985&amp;"|"&amp;COUNTIFS($E$7:$E2985,$E2985))</f>
        <v/>
      </c>
    </row>
    <row r="2986" spans="1:31" ht="18" customHeight="1" x14ac:dyDescent="0.3">
      <c r="A2986" s="2"/>
      <c r="B2986" s="65" t="str">
        <f t="shared" si="370"/>
        <v/>
      </c>
      <c r="C2986" s="66"/>
      <c r="D2986" s="60"/>
      <c r="E2986" s="61"/>
      <c r="F2986" s="61"/>
      <c r="G2986" s="67"/>
      <c r="H2986" s="60"/>
      <c r="I2986" s="60"/>
      <c r="J2986" s="61"/>
      <c r="K2986" s="61"/>
      <c r="L2986" s="60"/>
      <c r="M2986" s="74" t="str">
        <f t="shared" si="371"/>
        <v/>
      </c>
      <c r="N2986" s="74" t="str">
        <f t="shared" si="372"/>
        <v/>
      </c>
      <c r="O2986" s="73" t="str">
        <f t="shared" si="373"/>
        <v/>
      </c>
      <c r="P2986" s="65" t="str">
        <f t="shared" ca="1" si="374"/>
        <v/>
      </c>
      <c r="Q2986" s="2"/>
      <c r="R2986" s="2"/>
      <c r="S2986" s="1" t="str">
        <f t="shared" si="375"/>
        <v/>
      </c>
      <c r="T2986" s="1" t="str">
        <f>IF(OR($C2986="",$D2986&lt;&gt;"Gelir",$L2986=""),"",IFERROR(INDEX(MUSTERILER!$B$7:$B$156,MATCH($S2986,MUSTERILER!$T$7:$T$156,0)),""))</f>
        <v/>
      </c>
      <c r="U2986" s="1" t="str">
        <f>IF($T2986="","",$T2986&amp;"|"&amp;COUNTIFS($T$7:$T2986,$T2986))</f>
        <v/>
      </c>
      <c r="V2986" s="1">
        <f t="shared" si="376"/>
        <v>0</v>
      </c>
      <c r="W2986" s="1" t="str">
        <f t="shared" si="377"/>
        <v/>
      </c>
      <c r="X2986" s="1"/>
      <c r="Y2986" s="1"/>
      <c r="Z2986" s="1"/>
      <c r="AA2986" s="1"/>
      <c r="AB2986" s="1"/>
      <c r="AC2986" s="1"/>
      <c r="AD2986" s="1">
        <f>IF($C2986="",0,SUMPRODUCT((AY_SONU!$O$7:$O$42="Evet")*(AY_SONU!$B$7:$B$42=DATE(YEAR($C2986),MONTH($C2986),1))))</f>
        <v>0</v>
      </c>
      <c r="AE2986" s="1" t="str">
        <f>IF($E2986="","",$E2986&amp;"|"&amp;COUNTIFS($E$7:$E2986,$E2986))</f>
        <v/>
      </c>
    </row>
    <row r="2987" spans="1:31" ht="18" customHeight="1" x14ac:dyDescent="0.3">
      <c r="A2987" s="2"/>
      <c r="B2987" s="65" t="str">
        <f t="shared" si="370"/>
        <v/>
      </c>
      <c r="C2987" s="66"/>
      <c r="D2987" s="60"/>
      <c r="E2987" s="61"/>
      <c r="F2987" s="61"/>
      <c r="G2987" s="67"/>
      <c r="H2987" s="60"/>
      <c r="I2987" s="60"/>
      <c r="J2987" s="61"/>
      <c r="K2987" s="61"/>
      <c r="L2987" s="60"/>
      <c r="M2987" s="74" t="str">
        <f t="shared" si="371"/>
        <v/>
      </c>
      <c r="N2987" s="74" t="str">
        <f t="shared" si="372"/>
        <v/>
      </c>
      <c r="O2987" s="73" t="str">
        <f t="shared" si="373"/>
        <v/>
      </c>
      <c r="P2987" s="65" t="str">
        <f t="shared" ca="1" si="374"/>
        <v/>
      </c>
      <c r="Q2987" s="2"/>
      <c r="R2987" s="2"/>
      <c r="S2987" s="1" t="str">
        <f t="shared" si="375"/>
        <v/>
      </c>
      <c r="T2987" s="1" t="str">
        <f>IF(OR($C2987="",$D2987&lt;&gt;"Gelir",$L2987=""),"",IFERROR(INDEX(MUSTERILER!$B$7:$B$156,MATCH($S2987,MUSTERILER!$T$7:$T$156,0)),""))</f>
        <v/>
      </c>
      <c r="U2987" s="1" t="str">
        <f>IF($T2987="","",$T2987&amp;"|"&amp;COUNTIFS($T$7:$T2987,$T2987))</f>
        <v/>
      </c>
      <c r="V2987" s="1">
        <f t="shared" si="376"/>
        <v>0</v>
      </c>
      <c r="W2987" s="1" t="str">
        <f t="shared" si="377"/>
        <v/>
      </c>
      <c r="X2987" s="1"/>
      <c r="Y2987" s="1"/>
      <c r="Z2987" s="1"/>
      <c r="AA2987" s="1"/>
      <c r="AB2987" s="1"/>
      <c r="AC2987" s="1"/>
      <c r="AD2987" s="1">
        <f>IF($C2987="",0,SUMPRODUCT((AY_SONU!$O$7:$O$42="Evet")*(AY_SONU!$B$7:$B$42=DATE(YEAR($C2987),MONTH($C2987),1))))</f>
        <v>0</v>
      </c>
      <c r="AE2987" s="1" t="str">
        <f>IF($E2987="","",$E2987&amp;"|"&amp;COUNTIFS($E$7:$E2987,$E2987))</f>
        <v/>
      </c>
    </row>
    <row r="2988" spans="1:31" ht="18" customHeight="1" x14ac:dyDescent="0.3">
      <c r="A2988" s="2"/>
      <c r="B2988" s="65" t="str">
        <f t="shared" si="370"/>
        <v/>
      </c>
      <c r="C2988" s="66"/>
      <c r="D2988" s="60"/>
      <c r="E2988" s="61"/>
      <c r="F2988" s="61"/>
      <c r="G2988" s="67"/>
      <c r="H2988" s="60"/>
      <c r="I2988" s="60"/>
      <c r="J2988" s="61"/>
      <c r="K2988" s="61"/>
      <c r="L2988" s="60"/>
      <c r="M2988" s="74" t="str">
        <f t="shared" si="371"/>
        <v/>
      </c>
      <c r="N2988" s="74" t="str">
        <f t="shared" si="372"/>
        <v/>
      </c>
      <c r="O2988" s="73" t="str">
        <f t="shared" si="373"/>
        <v/>
      </c>
      <c r="P2988" s="65" t="str">
        <f t="shared" ca="1" si="374"/>
        <v/>
      </c>
      <c r="Q2988" s="2"/>
      <c r="R2988" s="2"/>
      <c r="S2988" s="1" t="str">
        <f t="shared" si="375"/>
        <v/>
      </c>
      <c r="T2988" s="1" t="str">
        <f>IF(OR($C2988="",$D2988&lt;&gt;"Gelir",$L2988=""),"",IFERROR(INDEX(MUSTERILER!$B$7:$B$156,MATCH($S2988,MUSTERILER!$T$7:$T$156,0)),""))</f>
        <v/>
      </c>
      <c r="U2988" s="1" t="str">
        <f>IF($T2988="","",$T2988&amp;"|"&amp;COUNTIFS($T$7:$T2988,$T2988))</f>
        <v/>
      </c>
      <c r="V2988" s="1">
        <f t="shared" si="376"/>
        <v>0</v>
      </c>
      <c r="W2988" s="1" t="str">
        <f t="shared" si="377"/>
        <v/>
      </c>
      <c r="X2988" s="1"/>
      <c r="Y2988" s="1"/>
      <c r="Z2988" s="1"/>
      <c r="AA2988" s="1"/>
      <c r="AB2988" s="1"/>
      <c r="AC2988" s="1"/>
      <c r="AD2988" s="1">
        <f>IF($C2988="",0,SUMPRODUCT((AY_SONU!$O$7:$O$42="Evet")*(AY_SONU!$B$7:$B$42=DATE(YEAR($C2988),MONTH($C2988),1))))</f>
        <v>0</v>
      </c>
      <c r="AE2988" s="1" t="str">
        <f>IF($E2988="","",$E2988&amp;"|"&amp;COUNTIFS($E$7:$E2988,$E2988))</f>
        <v/>
      </c>
    </row>
    <row r="2989" spans="1:31" ht="18" customHeight="1" x14ac:dyDescent="0.3">
      <c r="A2989" s="2"/>
      <c r="B2989" s="65" t="str">
        <f t="shared" si="370"/>
        <v/>
      </c>
      <c r="C2989" s="66"/>
      <c r="D2989" s="60"/>
      <c r="E2989" s="61"/>
      <c r="F2989" s="61"/>
      <c r="G2989" s="67"/>
      <c r="H2989" s="60"/>
      <c r="I2989" s="60"/>
      <c r="J2989" s="61"/>
      <c r="K2989" s="61"/>
      <c r="L2989" s="60"/>
      <c r="M2989" s="74" t="str">
        <f t="shared" si="371"/>
        <v/>
      </c>
      <c r="N2989" s="74" t="str">
        <f t="shared" si="372"/>
        <v/>
      </c>
      <c r="O2989" s="73" t="str">
        <f t="shared" si="373"/>
        <v/>
      </c>
      <c r="P2989" s="65" t="str">
        <f t="shared" ca="1" si="374"/>
        <v/>
      </c>
      <c r="Q2989" s="2"/>
      <c r="R2989" s="2"/>
      <c r="S2989" s="1" t="str">
        <f t="shared" si="375"/>
        <v/>
      </c>
      <c r="T2989" s="1" t="str">
        <f>IF(OR($C2989="",$D2989&lt;&gt;"Gelir",$L2989=""),"",IFERROR(INDEX(MUSTERILER!$B$7:$B$156,MATCH($S2989,MUSTERILER!$T$7:$T$156,0)),""))</f>
        <v/>
      </c>
      <c r="U2989" s="1" t="str">
        <f>IF($T2989="","",$T2989&amp;"|"&amp;COUNTIFS($T$7:$T2989,$T2989))</f>
        <v/>
      </c>
      <c r="V2989" s="1">
        <f t="shared" si="376"/>
        <v>0</v>
      </c>
      <c r="W2989" s="1" t="str">
        <f t="shared" si="377"/>
        <v/>
      </c>
      <c r="X2989" s="1"/>
      <c r="Y2989" s="1"/>
      <c r="Z2989" s="1"/>
      <c r="AA2989" s="1"/>
      <c r="AB2989" s="1"/>
      <c r="AC2989" s="1"/>
      <c r="AD2989" s="1">
        <f>IF($C2989="",0,SUMPRODUCT((AY_SONU!$O$7:$O$42="Evet")*(AY_SONU!$B$7:$B$42=DATE(YEAR($C2989),MONTH($C2989),1))))</f>
        <v>0</v>
      </c>
      <c r="AE2989" s="1" t="str">
        <f>IF($E2989="","",$E2989&amp;"|"&amp;COUNTIFS($E$7:$E2989,$E2989))</f>
        <v/>
      </c>
    </row>
    <row r="2990" spans="1:31" ht="18" customHeight="1" x14ac:dyDescent="0.3">
      <c r="A2990" s="2"/>
      <c r="B2990" s="65" t="str">
        <f t="shared" si="370"/>
        <v/>
      </c>
      <c r="C2990" s="66"/>
      <c r="D2990" s="60"/>
      <c r="E2990" s="61"/>
      <c r="F2990" s="61"/>
      <c r="G2990" s="67"/>
      <c r="H2990" s="60"/>
      <c r="I2990" s="60"/>
      <c r="J2990" s="61"/>
      <c r="K2990" s="61"/>
      <c r="L2990" s="60"/>
      <c r="M2990" s="74" t="str">
        <f t="shared" si="371"/>
        <v/>
      </c>
      <c r="N2990" s="74" t="str">
        <f t="shared" si="372"/>
        <v/>
      </c>
      <c r="O2990" s="73" t="str">
        <f t="shared" si="373"/>
        <v/>
      </c>
      <c r="P2990" s="65" t="str">
        <f t="shared" ca="1" si="374"/>
        <v/>
      </c>
      <c r="Q2990" s="2"/>
      <c r="R2990" s="2"/>
      <c r="S2990" s="1" t="str">
        <f t="shared" si="375"/>
        <v/>
      </c>
      <c r="T2990" s="1" t="str">
        <f>IF(OR($C2990="",$D2990&lt;&gt;"Gelir",$L2990=""),"",IFERROR(INDEX(MUSTERILER!$B$7:$B$156,MATCH($S2990,MUSTERILER!$T$7:$T$156,0)),""))</f>
        <v/>
      </c>
      <c r="U2990" s="1" t="str">
        <f>IF($T2990="","",$T2990&amp;"|"&amp;COUNTIFS($T$7:$T2990,$T2990))</f>
        <v/>
      </c>
      <c r="V2990" s="1">
        <f t="shared" si="376"/>
        <v>0</v>
      </c>
      <c r="W2990" s="1" t="str">
        <f t="shared" si="377"/>
        <v/>
      </c>
      <c r="X2990" s="1"/>
      <c r="Y2990" s="1"/>
      <c r="Z2990" s="1"/>
      <c r="AA2990" s="1"/>
      <c r="AB2990" s="1"/>
      <c r="AC2990" s="1"/>
      <c r="AD2990" s="1">
        <f>IF($C2990="",0,SUMPRODUCT((AY_SONU!$O$7:$O$42="Evet")*(AY_SONU!$B$7:$B$42=DATE(YEAR($C2990),MONTH($C2990),1))))</f>
        <v>0</v>
      </c>
      <c r="AE2990" s="1" t="str">
        <f>IF($E2990="","",$E2990&amp;"|"&amp;COUNTIFS($E$7:$E2990,$E2990))</f>
        <v/>
      </c>
    </row>
    <row r="2991" spans="1:31" ht="18" customHeight="1" x14ac:dyDescent="0.3">
      <c r="A2991" s="2"/>
      <c r="B2991" s="65" t="str">
        <f t="shared" si="370"/>
        <v/>
      </c>
      <c r="C2991" s="66"/>
      <c r="D2991" s="60"/>
      <c r="E2991" s="61"/>
      <c r="F2991" s="61"/>
      <c r="G2991" s="67"/>
      <c r="H2991" s="60"/>
      <c r="I2991" s="60"/>
      <c r="J2991" s="61"/>
      <c r="K2991" s="61"/>
      <c r="L2991" s="60"/>
      <c r="M2991" s="74" t="str">
        <f t="shared" si="371"/>
        <v/>
      </c>
      <c r="N2991" s="74" t="str">
        <f t="shared" si="372"/>
        <v/>
      </c>
      <c r="O2991" s="73" t="str">
        <f t="shared" si="373"/>
        <v/>
      </c>
      <c r="P2991" s="65" t="str">
        <f t="shared" ca="1" si="374"/>
        <v/>
      </c>
      <c r="Q2991" s="2"/>
      <c r="R2991" s="2"/>
      <c r="S2991" s="1" t="str">
        <f t="shared" si="375"/>
        <v/>
      </c>
      <c r="T2991" s="1" t="str">
        <f>IF(OR($C2991="",$D2991&lt;&gt;"Gelir",$L2991=""),"",IFERROR(INDEX(MUSTERILER!$B$7:$B$156,MATCH($S2991,MUSTERILER!$T$7:$T$156,0)),""))</f>
        <v/>
      </c>
      <c r="U2991" s="1" t="str">
        <f>IF($T2991="","",$T2991&amp;"|"&amp;COUNTIFS($T$7:$T2991,$T2991))</f>
        <v/>
      </c>
      <c r="V2991" s="1">
        <f t="shared" si="376"/>
        <v>0</v>
      </c>
      <c r="W2991" s="1" t="str">
        <f t="shared" si="377"/>
        <v/>
      </c>
      <c r="X2991" s="1"/>
      <c r="Y2991" s="1"/>
      <c r="Z2991" s="1"/>
      <c r="AA2991" s="1"/>
      <c r="AB2991" s="1"/>
      <c r="AC2991" s="1"/>
      <c r="AD2991" s="1">
        <f>IF($C2991="",0,SUMPRODUCT((AY_SONU!$O$7:$O$42="Evet")*(AY_SONU!$B$7:$B$42=DATE(YEAR($C2991),MONTH($C2991),1))))</f>
        <v>0</v>
      </c>
      <c r="AE2991" s="1" t="str">
        <f>IF($E2991="","",$E2991&amp;"|"&amp;COUNTIFS($E$7:$E2991,$E2991))</f>
        <v/>
      </c>
    </row>
    <row r="2992" spans="1:31" ht="18" customHeight="1" x14ac:dyDescent="0.3">
      <c r="A2992" s="2"/>
      <c r="B2992" s="65" t="str">
        <f t="shared" si="370"/>
        <v/>
      </c>
      <c r="C2992" s="66"/>
      <c r="D2992" s="60"/>
      <c r="E2992" s="61"/>
      <c r="F2992" s="61"/>
      <c r="G2992" s="67"/>
      <c r="H2992" s="60"/>
      <c r="I2992" s="60"/>
      <c r="J2992" s="61"/>
      <c r="K2992" s="61"/>
      <c r="L2992" s="60"/>
      <c r="M2992" s="74" t="str">
        <f t="shared" si="371"/>
        <v/>
      </c>
      <c r="N2992" s="74" t="str">
        <f t="shared" si="372"/>
        <v/>
      </c>
      <c r="O2992" s="73" t="str">
        <f t="shared" si="373"/>
        <v/>
      </c>
      <c r="P2992" s="65" t="str">
        <f t="shared" ca="1" si="374"/>
        <v/>
      </c>
      <c r="Q2992" s="2"/>
      <c r="R2992" s="2"/>
      <c r="S2992" s="1" t="str">
        <f t="shared" si="375"/>
        <v/>
      </c>
      <c r="T2992" s="1" t="str">
        <f>IF(OR($C2992="",$D2992&lt;&gt;"Gelir",$L2992=""),"",IFERROR(INDEX(MUSTERILER!$B$7:$B$156,MATCH($S2992,MUSTERILER!$T$7:$T$156,0)),""))</f>
        <v/>
      </c>
      <c r="U2992" s="1" t="str">
        <f>IF($T2992="","",$T2992&amp;"|"&amp;COUNTIFS($T$7:$T2992,$T2992))</f>
        <v/>
      </c>
      <c r="V2992" s="1">
        <f t="shared" si="376"/>
        <v>0</v>
      </c>
      <c r="W2992" s="1" t="str">
        <f t="shared" si="377"/>
        <v/>
      </c>
      <c r="X2992" s="1"/>
      <c r="Y2992" s="1"/>
      <c r="Z2992" s="1"/>
      <c r="AA2992" s="1"/>
      <c r="AB2992" s="1"/>
      <c r="AC2992" s="1"/>
      <c r="AD2992" s="1">
        <f>IF($C2992="",0,SUMPRODUCT((AY_SONU!$O$7:$O$42="Evet")*(AY_SONU!$B$7:$B$42=DATE(YEAR($C2992),MONTH($C2992),1))))</f>
        <v>0</v>
      </c>
      <c r="AE2992" s="1" t="str">
        <f>IF($E2992="","",$E2992&amp;"|"&amp;COUNTIFS($E$7:$E2992,$E2992))</f>
        <v/>
      </c>
    </row>
    <row r="2993" spans="1:31" ht="18" customHeight="1" x14ac:dyDescent="0.3">
      <c r="A2993" s="2"/>
      <c r="B2993" s="65" t="str">
        <f t="shared" si="370"/>
        <v/>
      </c>
      <c r="C2993" s="66"/>
      <c r="D2993" s="60"/>
      <c r="E2993" s="61"/>
      <c r="F2993" s="61"/>
      <c r="G2993" s="67"/>
      <c r="H2993" s="60"/>
      <c r="I2993" s="60"/>
      <c r="J2993" s="61"/>
      <c r="K2993" s="61"/>
      <c r="L2993" s="60"/>
      <c r="M2993" s="74" t="str">
        <f t="shared" si="371"/>
        <v/>
      </c>
      <c r="N2993" s="74" t="str">
        <f t="shared" si="372"/>
        <v/>
      </c>
      <c r="O2993" s="73" t="str">
        <f t="shared" si="373"/>
        <v/>
      </c>
      <c r="P2993" s="65" t="str">
        <f t="shared" ca="1" si="374"/>
        <v/>
      </c>
      <c r="Q2993" s="2"/>
      <c r="R2993" s="2"/>
      <c r="S2993" s="1" t="str">
        <f t="shared" si="375"/>
        <v/>
      </c>
      <c r="T2993" s="1" t="str">
        <f>IF(OR($C2993="",$D2993&lt;&gt;"Gelir",$L2993=""),"",IFERROR(INDEX(MUSTERILER!$B$7:$B$156,MATCH($S2993,MUSTERILER!$T$7:$T$156,0)),""))</f>
        <v/>
      </c>
      <c r="U2993" s="1" t="str">
        <f>IF($T2993="","",$T2993&amp;"|"&amp;COUNTIFS($T$7:$T2993,$T2993))</f>
        <v/>
      </c>
      <c r="V2993" s="1">
        <f t="shared" si="376"/>
        <v>0</v>
      </c>
      <c r="W2993" s="1" t="str">
        <f t="shared" si="377"/>
        <v/>
      </c>
      <c r="X2993" s="1"/>
      <c r="Y2993" s="1"/>
      <c r="Z2993" s="1"/>
      <c r="AA2993" s="1"/>
      <c r="AB2993" s="1"/>
      <c r="AC2993" s="1"/>
      <c r="AD2993" s="1">
        <f>IF($C2993="",0,SUMPRODUCT((AY_SONU!$O$7:$O$42="Evet")*(AY_SONU!$B$7:$B$42=DATE(YEAR($C2993),MONTH($C2993),1))))</f>
        <v>0</v>
      </c>
      <c r="AE2993" s="1" t="str">
        <f>IF($E2993="","",$E2993&amp;"|"&amp;COUNTIFS($E$7:$E2993,$E2993))</f>
        <v/>
      </c>
    </row>
    <row r="2994" spans="1:31" ht="18" customHeight="1" x14ac:dyDescent="0.3">
      <c r="A2994" s="2"/>
      <c r="B2994" s="65" t="str">
        <f t="shared" si="370"/>
        <v/>
      </c>
      <c r="C2994" s="66"/>
      <c r="D2994" s="60"/>
      <c r="E2994" s="61"/>
      <c r="F2994" s="61"/>
      <c r="G2994" s="67"/>
      <c r="H2994" s="60"/>
      <c r="I2994" s="60"/>
      <c r="J2994" s="61"/>
      <c r="K2994" s="61"/>
      <c r="L2994" s="60"/>
      <c r="M2994" s="74" t="str">
        <f t="shared" si="371"/>
        <v/>
      </c>
      <c r="N2994" s="74" t="str">
        <f t="shared" si="372"/>
        <v/>
      </c>
      <c r="O2994" s="73" t="str">
        <f t="shared" si="373"/>
        <v/>
      </c>
      <c r="P2994" s="65" t="str">
        <f t="shared" ca="1" si="374"/>
        <v/>
      </c>
      <c r="Q2994" s="2"/>
      <c r="R2994" s="2"/>
      <c r="S2994" s="1" t="str">
        <f t="shared" si="375"/>
        <v/>
      </c>
      <c r="T2994" s="1" t="str">
        <f>IF(OR($C2994="",$D2994&lt;&gt;"Gelir",$L2994=""),"",IFERROR(INDEX(MUSTERILER!$B$7:$B$156,MATCH($S2994,MUSTERILER!$T$7:$T$156,0)),""))</f>
        <v/>
      </c>
      <c r="U2994" s="1" t="str">
        <f>IF($T2994="","",$T2994&amp;"|"&amp;COUNTIFS($T$7:$T2994,$T2994))</f>
        <v/>
      </c>
      <c r="V2994" s="1">
        <f t="shared" si="376"/>
        <v>0</v>
      </c>
      <c r="W2994" s="1" t="str">
        <f t="shared" si="377"/>
        <v/>
      </c>
      <c r="X2994" s="1"/>
      <c r="Y2994" s="1"/>
      <c r="Z2994" s="1"/>
      <c r="AA2994" s="1"/>
      <c r="AB2994" s="1"/>
      <c r="AC2994" s="1"/>
      <c r="AD2994" s="1">
        <f>IF($C2994="",0,SUMPRODUCT((AY_SONU!$O$7:$O$42="Evet")*(AY_SONU!$B$7:$B$42=DATE(YEAR($C2994),MONTH($C2994),1))))</f>
        <v>0</v>
      </c>
      <c r="AE2994" s="1" t="str">
        <f>IF($E2994="","",$E2994&amp;"|"&amp;COUNTIFS($E$7:$E2994,$E2994))</f>
        <v/>
      </c>
    </row>
    <row r="2995" spans="1:31" ht="18" customHeight="1" x14ac:dyDescent="0.3">
      <c r="A2995" s="2"/>
      <c r="B2995" s="65" t="str">
        <f t="shared" si="370"/>
        <v/>
      </c>
      <c r="C2995" s="66"/>
      <c r="D2995" s="60"/>
      <c r="E2995" s="61"/>
      <c r="F2995" s="61"/>
      <c r="G2995" s="67"/>
      <c r="H2995" s="60"/>
      <c r="I2995" s="60"/>
      <c r="J2995" s="61"/>
      <c r="K2995" s="61"/>
      <c r="L2995" s="60"/>
      <c r="M2995" s="74" t="str">
        <f t="shared" si="371"/>
        <v/>
      </c>
      <c r="N2995" s="74" t="str">
        <f t="shared" si="372"/>
        <v/>
      </c>
      <c r="O2995" s="73" t="str">
        <f t="shared" si="373"/>
        <v/>
      </c>
      <c r="P2995" s="65" t="str">
        <f t="shared" ca="1" si="374"/>
        <v/>
      </c>
      <c r="Q2995" s="2"/>
      <c r="R2995" s="2"/>
      <c r="S2995" s="1" t="str">
        <f t="shared" si="375"/>
        <v/>
      </c>
      <c r="T2995" s="1" t="str">
        <f>IF(OR($C2995="",$D2995&lt;&gt;"Gelir",$L2995=""),"",IFERROR(INDEX(MUSTERILER!$B$7:$B$156,MATCH($S2995,MUSTERILER!$T$7:$T$156,0)),""))</f>
        <v/>
      </c>
      <c r="U2995" s="1" t="str">
        <f>IF($T2995="","",$T2995&amp;"|"&amp;COUNTIFS($T$7:$T2995,$T2995))</f>
        <v/>
      </c>
      <c r="V2995" s="1">
        <f t="shared" si="376"/>
        <v>0</v>
      </c>
      <c r="W2995" s="1" t="str">
        <f t="shared" si="377"/>
        <v/>
      </c>
      <c r="X2995" s="1"/>
      <c r="Y2995" s="1"/>
      <c r="Z2995" s="1"/>
      <c r="AA2995" s="1"/>
      <c r="AB2995" s="1"/>
      <c r="AC2995" s="1"/>
      <c r="AD2995" s="1">
        <f>IF($C2995="",0,SUMPRODUCT((AY_SONU!$O$7:$O$42="Evet")*(AY_SONU!$B$7:$B$42=DATE(YEAR($C2995),MONTH($C2995),1))))</f>
        <v>0</v>
      </c>
      <c r="AE2995" s="1" t="str">
        <f>IF($E2995="","",$E2995&amp;"|"&amp;COUNTIFS($E$7:$E2995,$E2995))</f>
        <v/>
      </c>
    </row>
    <row r="2996" spans="1:31" ht="18" customHeight="1" x14ac:dyDescent="0.3">
      <c r="A2996" s="2"/>
      <c r="B2996" s="65" t="str">
        <f t="shared" si="370"/>
        <v/>
      </c>
      <c r="C2996" s="66"/>
      <c r="D2996" s="60"/>
      <c r="E2996" s="61"/>
      <c r="F2996" s="61"/>
      <c r="G2996" s="67"/>
      <c r="H2996" s="60"/>
      <c r="I2996" s="60"/>
      <c r="J2996" s="61"/>
      <c r="K2996" s="61"/>
      <c r="L2996" s="60"/>
      <c r="M2996" s="74" t="str">
        <f t="shared" si="371"/>
        <v/>
      </c>
      <c r="N2996" s="74" t="str">
        <f t="shared" si="372"/>
        <v/>
      </c>
      <c r="O2996" s="73" t="str">
        <f t="shared" si="373"/>
        <v/>
      </c>
      <c r="P2996" s="65" t="str">
        <f t="shared" ca="1" si="374"/>
        <v/>
      </c>
      <c r="Q2996" s="2"/>
      <c r="R2996" s="2"/>
      <c r="S2996" s="1" t="str">
        <f t="shared" si="375"/>
        <v/>
      </c>
      <c r="T2996" s="1" t="str">
        <f>IF(OR($C2996="",$D2996&lt;&gt;"Gelir",$L2996=""),"",IFERROR(INDEX(MUSTERILER!$B$7:$B$156,MATCH($S2996,MUSTERILER!$T$7:$T$156,0)),""))</f>
        <v/>
      </c>
      <c r="U2996" s="1" t="str">
        <f>IF($T2996="","",$T2996&amp;"|"&amp;COUNTIFS($T$7:$T2996,$T2996))</f>
        <v/>
      </c>
      <c r="V2996" s="1">
        <f t="shared" si="376"/>
        <v>0</v>
      </c>
      <c r="W2996" s="1" t="str">
        <f t="shared" si="377"/>
        <v/>
      </c>
      <c r="X2996" s="1"/>
      <c r="Y2996" s="1"/>
      <c r="Z2996" s="1"/>
      <c r="AA2996" s="1"/>
      <c r="AB2996" s="1"/>
      <c r="AC2996" s="1"/>
      <c r="AD2996" s="1">
        <f>IF($C2996="",0,SUMPRODUCT((AY_SONU!$O$7:$O$42="Evet")*(AY_SONU!$B$7:$B$42=DATE(YEAR($C2996),MONTH($C2996),1))))</f>
        <v>0</v>
      </c>
      <c r="AE2996" s="1" t="str">
        <f>IF($E2996="","",$E2996&amp;"|"&amp;COUNTIFS($E$7:$E2996,$E2996))</f>
        <v/>
      </c>
    </row>
    <row r="2997" spans="1:31" ht="18" customHeight="1" x14ac:dyDescent="0.3">
      <c r="A2997" s="2"/>
      <c r="B2997" s="65" t="str">
        <f t="shared" si="370"/>
        <v/>
      </c>
      <c r="C2997" s="66"/>
      <c r="D2997" s="60"/>
      <c r="E2997" s="61"/>
      <c r="F2997" s="61"/>
      <c r="G2997" s="67"/>
      <c r="H2997" s="60"/>
      <c r="I2997" s="60"/>
      <c r="J2997" s="61"/>
      <c r="K2997" s="61"/>
      <c r="L2997" s="60"/>
      <c r="M2997" s="74" t="str">
        <f t="shared" si="371"/>
        <v/>
      </c>
      <c r="N2997" s="74" t="str">
        <f t="shared" si="372"/>
        <v/>
      </c>
      <c r="O2997" s="73" t="str">
        <f t="shared" si="373"/>
        <v/>
      </c>
      <c r="P2997" s="65" t="str">
        <f t="shared" ca="1" si="374"/>
        <v/>
      </c>
      <c r="Q2997" s="2"/>
      <c r="R2997" s="2"/>
      <c r="S2997" s="1" t="str">
        <f t="shared" si="375"/>
        <v/>
      </c>
      <c r="T2997" s="1" t="str">
        <f>IF(OR($C2997="",$D2997&lt;&gt;"Gelir",$L2997=""),"",IFERROR(INDEX(MUSTERILER!$B$7:$B$156,MATCH($S2997,MUSTERILER!$T$7:$T$156,0)),""))</f>
        <v/>
      </c>
      <c r="U2997" s="1" t="str">
        <f>IF($T2997="","",$T2997&amp;"|"&amp;COUNTIFS($T$7:$T2997,$T2997))</f>
        <v/>
      </c>
      <c r="V2997" s="1">
        <f t="shared" si="376"/>
        <v>0</v>
      </c>
      <c r="W2997" s="1" t="str">
        <f t="shared" si="377"/>
        <v/>
      </c>
      <c r="X2997" s="1"/>
      <c r="Y2997" s="1"/>
      <c r="Z2997" s="1"/>
      <c r="AA2997" s="1"/>
      <c r="AB2997" s="1"/>
      <c r="AC2997" s="1"/>
      <c r="AD2997" s="1">
        <f>IF($C2997="",0,SUMPRODUCT((AY_SONU!$O$7:$O$42="Evet")*(AY_SONU!$B$7:$B$42=DATE(YEAR($C2997),MONTH($C2997),1))))</f>
        <v>0</v>
      </c>
      <c r="AE2997" s="1" t="str">
        <f>IF($E2997="","",$E2997&amp;"|"&amp;COUNTIFS($E$7:$E2997,$E2997))</f>
        <v/>
      </c>
    </row>
    <row r="2998" spans="1:31" ht="18" customHeight="1" x14ac:dyDescent="0.3">
      <c r="A2998" s="2"/>
      <c r="B2998" s="65" t="str">
        <f t="shared" si="370"/>
        <v/>
      </c>
      <c r="C2998" s="66"/>
      <c r="D2998" s="60"/>
      <c r="E2998" s="61"/>
      <c r="F2998" s="61"/>
      <c r="G2998" s="67"/>
      <c r="H2998" s="60"/>
      <c r="I2998" s="60"/>
      <c r="J2998" s="61"/>
      <c r="K2998" s="61"/>
      <c r="L2998" s="60"/>
      <c r="M2998" s="74" t="str">
        <f t="shared" si="371"/>
        <v/>
      </c>
      <c r="N2998" s="74" t="str">
        <f t="shared" si="372"/>
        <v/>
      </c>
      <c r="O2998" s="73" t="str">
        <f t="shared" si="373"/>
        <v/>
      </c>
      <c r="P2998" s="65" t="str">
        <f t="shared" ca="1" si="374"/>
        <v/>
      </c>
      <c r="Q2998" s="2"/>
      <c r="R2998" s="2"/>
      <c r="S2998" s="1" t="str">
        <f t="shared" si="375"/>
        <v/>
      </c>
      <c r="T2998" s="1" t="str">
        <f>IF(OR($C2998="",$D2998&lt;&gt;"Gelir",$L2998=""),"",IFERROR(INDEX(MUSTERILER!$B$7:$B$156,MATCH($S2998,MUSTERILER!$T$7:$T$156,0)),""))</f>
        <v/>
      </c>
      <c r="U2998" s="1" t="str">
        <f>IF($T2998="","",$T2998&amp;"|"&amp;COUNTIFS($T$7:$T2998,$T2998))</f>
        <v/>
      </c>
      <c r="V2998" s="1">
        <f t="shared" si="376"/>
        <v>0</v>
      </c>
      <c r="W2998" s="1" t="str">
        <f t="shared" si="377"/>
        <v/>
      </c>
      <c r="X2998" s="1"/>
      <c r="Y2998" s="1"/>
      <c r="Z2998" s="1"/>
      <c r="AA2998" s="1"/>
      <c r="AB2998" s="1"/>
      <c r="AC2998" s="1"/>
      <c r="AD2998" s="1">
        <f>IF($C2998="",0,SUMPRODUCT((AY_SONU!$O$7:$O$42="Evet")*(AY_SONU!$B$7:$B$42=DATE(YEAR($C2998),MONTH($C2998),1))))</f>
        <v>0</v>
      </c>
      <c r="AE2998" s="1" t="str">
        <f>IF($E2998="","",$E2998&amp;"|"&amp;COUNTIFS($E$7:$E2998,$E2998))</f>
        <v/>
      </c>
    </row>
    <row r="2999" spans="1:31" ht="18" customHeight="1" x14ac:dyDescent="0.3">
      <c r="A2999" s="2"/>
      <c r="B2999" s="65" t="str">
        <f t="shared" si="370"/>
        <v/>
      </c>
      <c r="C2999" s="66"/>
      <c r="D2999" s="60"/>
      <c r="E2999" s="61"/>
      <c r="F2999" s="61"/>
      <c r="G2999" s="67"/>
      <c r="H2999" s="60"/>
      <c r="I2999" s="60"/>
      <c r="J2999" s="61"/>
      <c r="K2999" s="61"/>
      <c r="L2999" s="60"/>
      <c r="M2999" s="74" t="str">
        <f t="shared" si="371"/>
        <v/>
      </c>
      <c r="N2999" s="74" t="str">
        <f t="shared" si="372"/>
        <v/>
      </c>
      <c r="O2999" s="73" t="str">
        <f t="shared" si="373"/>
        <v/>
      </c>
      <c r="P2999" s="65" t="str">
        <f t="shared" ca="1" si="374"/>
        <v/>
      </c>
      <c r="Q2999" s="2"/>
      <c r="R2999" s="2"/>
      <c r="S2999" s="1" t="str">
        <f t="shared" si="375"/>
        <v/>
      </c>
      <c r="T2999" s="1" t="str">
        <f>IF(OR($C2999="",$D2999&lt;&gt;"Gelir",$L2999=""),"",IFERROR(INDEX(MUSTERILER!$B$7:$B$156,MATCH($S2999,MUSTERILER!$T$7:$T$156,0)),""))</f>
        <v/>
      </c>
      <c r="U2999" s="1" t="str">
        <f>IF($T2999="","",$T2999&amp;"|"&amp;COUNTIFS($T$7:$T2999,$T2999))</f>
        <v/>
      </c>
      <c r="V2999" s="1">
        <f t="shared" si="376"/>
        <v>0</v>
      </c>
      <c r="W2999" s="1" t="str">
        <f t="shared" si="377"/>
        <v/>
      </c>
      <c r="X2999" s="1"/>
      <c r="Y2999" s="1"/>
      <c r="Z2999" s="1"/>
      <c r="AA2999" s="1"/>
      <c r="AB2999" s="1"/>
      <c r="AC2999" s="1"/>
      <c r="AD2999" s="1">
        <f>IF($C2999="",0,SUMPRODUCT((AY_SONU!$O$7:$O$42="Evet")*(AY_SONU!$B$7:$B$42=DATE(YEAR($C2999),MONTH($C2999),1))))</f>
        <v>0</v>
      </c>
      <c r="AE2999" s="1" t="str">
        <f>IF($E2999="","",$E2999&amp;"|"&amp;COUNTIFS($E$7:$E2999,$E2999))</f>
        <v/>
      </c>
    </row>
    <row r="3000" spans="1:31" ht="18" customHeight="1" x14ac:dyDescent="0.3">
      <c r="A3000" s="2"/>
      <c r="B3000" s="65" t="str">
        <f t="shared" si="370"/>
        <v/>
      </c>
      <c r="C3000" s="66"/>
      <c r="D3000" s="60"/>
      <c r="E3000" s="61"/>
      <c r="F3000" s="61"/>
      <c r="G3000" s="67"/>
      <c r="H3000" s="60"/>
      <c r="I3000" s="60"/>
      <c r="J3000" s="61"/>
      <c r="K3000" s="61"/>
      <c r="L3000" s="60"/>
      <c r="M3000" s="74" t="str">
        <f t="shared" si="371"/>
        <v/>
      </c>
      <c r="N3000" s="74" t="str">
        <f t="shared" si="372"/>
        <v/>
      </c>
      <c r="O3000" s="73" t="str">
        <f t="shared" si="373"/>
        <v/>
      </c>
      <c r="P3000" s="65" t="str">
        <f t="shared" ca="1" si="374"/>
        <v/>
      </c>
      <c r="Q3000" s="2"/>
      <c r="R3000" s="2"/>
      <c r="S3000" s="1" t="str">
        <f t="shared" si="375"/>
        <v/>
      </c>
      <c r="T3000" s="1" t="str">
        <f>IF(OR($C3000="",$D3000&lt;&gt;"Gelir",$L3000=""),"",IFERROR(INDEX(MUSTERILER!$B$7:$B$156,MATCH($S3000,MUSTERILER!$T$7:$T$156,0)),""))</f>
        <v/>
      </c>
      <c r="U3000" s="1" t="str">
        <f>IF($T3000="","",$T3000&amp;"|"&amp;COUNTIFS($T$7:$T3000,$T3000))</f>
        <v/>
      </c>
      <c r="V3000" s="1">
        <f t="shared" si="376"/>
        <v>0</v>
      </c>
      <c r="W3000" s="1" t="str">
        <f t="shared" si="377"/>
        <v/>
      </c>
      <c r="X3000" s="1"/>
      <c r="Y3000" s="1"/>
      <c r="Z3000" s="1"/>
      <c r="AA3000" s="1"/>
      <c r="AB3000" s="1"/>
      <c r="AC3000" s="1"/>
      <c r="AD3000" s="1">
        <f>IF($C3000="",0,SUMPRODUCT((AY_SONU!$O$7:$O$42="Evet")*(AY_SONU!$B$7:$B$42=DATE(YEAR($C3000),MONTH($C3000),1))))</f>
        <v>0</v>
      </c>
      <c r="AE3000" s="1" t="str">
        <f>IF($E3000="","",$E3000&amp;"|"&amp;COUNTIFS($E$7:$E3000,$E3000))</f>
        <v/>
      </c>
    </row>
    <row r="3001" spans="1:31" ht="18" customHeight="1" x14ac:dyDescent="0.3">
      <c r="A3001" s="2"/>
      <c r="B3001" s="65" t="str">
        <f t="shared" si="370"/>
        <v/>
      </c>
      <c r="C3001" s="66"/>
      <c r="D3001" s="60"/>
      <c r="E3001" s="61"/>
      <c r="F3001" s="61"/>
      <c r="G3001" s="67"/>
      <c r="H3001" s="60"/>
      <c r="I3001" s="60"/>
      <c r="J3001" s="61"/>
      <c r="K3001" s="61"/>
      <c r="L3001" s="60"/>
      <c r="M3001" s="74" t="str">
        <f t="shared" si="371"/>
        <v/>
      </c>
      <c r="N3001" s="74" t="str">
        <f t="shared" si="372"/>
        <v/>
      </c>
      <c r="O3001" s="73" t="str">
        <f t="shared" si="373"/>
        <v/>
      </c>
      <c r="P3001" s="65" t="str">
        <f t="shared" ca="1" si="374"/>
        <v/>
      </c>
      <c r="Q3001" s="2"/>
      <c r="R3001" s="2"/>
      <c r="S3001" s="1" t="str">
        <f t="shared" si="375"/>
        <v/>
      </c>
      <c r="T3001" s="1" t="str">
        <f>IF(OR($C3001="",$D3001&lt;&gt;"Gelir",$L3001=""),"",IFERROR(INDEX(MUSTERILER!$B$7:$B$156,MATCH($S3001,MUSTERILER!$T$7:$T$156,0)),""))</f>
        <v/>
      </c>
      <c r="U3001" s="1" t="str">
        <f>IF($T3001="","",$T3001&amp;"|"&amp;COUNTIFS($T$7:$T3001,$T3001))</f>
        <v/>
      </c>
      <c r="V3001" s="1">
        <f t="shared" si="376"/>
        <v>0</v>
      </c>
      <c r="W3001" s="1" t="str">
        <f t="shared" si="377"/>
        <v/>
      </c>
      <c r="X3001" s="1"/>
      <c r="Y3001" s="1"/>
      <c r="Z3001" s="1"/>
      <c r="AA3001" s="1"/>
      <c r="AB3001" s="1"/>
      <c r="AC3001" s="1"/>
      <c r="AD3001" s="1">
        <f>IF($C3001="",0,SUMPRODUCT((AY_SONU!$O$7:$O$42="Evet")*(AY_SONU!$B$7:$B$42=DATE(YEAR($C3001),MONTH($C3001),1))))</f>
        <v>0</v>
      </c>
      <c r="AE3001" s="1" t="str">
        <f>IF($E3001="","",$E3001&amp;"|"&amp;COUNTIFS($E$7:$E3001,$E3001))</f>
        <v/>
      </c>
    </row>
    <row r="3002" spans="1:31" ht="18" customHeight="1" x14ac:dyDescent="0.3">
      <c r="A3002" s="2"/>
      <c r="B3002" s="65" t="str">
        <f t="shared" si="370"/>
        <v/>
      </c>
      <c r="C3002" s="66"/>
      <c r="D3002" s="60"/>
      <c r="E3002" s="61"/>
      <c r="F3002" s="61"/>
      <c r="G3002" s="67"/>
      <c r="H3002" s="60"/>
      <c r="I3002" s="60"/>
      <c r="J3002" s="61"/>
      <c r="K3002" s="61"/>
      <c r="L3002" s="60"/>
      <c r="M3002" s="74" t="str">
        <f t="shared" si="371"/>
        <v/>
      </c>
      <c r="N3002" s="74" t="str">
        <f t="shared" si="372"/>
        <v/>
      </c>
      <c r="O3002" s="73" t="str">
        <f t="shared" si="373"/>
        <v/>
      </c>
      <c r="P3002" s="65" t="str">
        <f t="shared" ca="1" si="374"/>
        <v/>
      </c>
      <c r="Q3002" s="2"/>
      <c r="R3002" s="2"/>
      <c r="S3002" s="1" t="str">
        <f t="shared" si="375"/>
        <v/>
      </c>
      <c r="T3002" s="1" t="str">
        <f>IF(OR($C3002="",$D3002&lt;&gt;"Gelir",$L3002=""),"",IFERROR(INDEX(MUSTERILER!$B$7:$B$156,MATCH($S3002,MUSTERILER!$T$7:$T$156,0)),""))</f>
        <v/>
      </c>
      <c r="U3002" s="1" t="str">
        <f>IF($T3002="","",$T3002&amp;"|"&amp;COUNTIFS($T$7:$T3002,$T3002))</f>
        <v/>
      </c>
      <c r="V3002" s="1">
        <f t="shared" si="376"/>
        <v>0</v>
      </c>
      <c r="W3002" s="1" t="str">
        <f t="shared" si="377"/>
        <v/>
      </c>
      <c r="X3002" s="1"/>
      <c r="Y3002" s="1"/>
      <c r="Z3002" s="1"/>
      <c r="AA3002" s="1"/>
      <c r="AB3002" s="1"/>
      <c r="AC3002" s="1"/>
      <c r="AD3002" s="1">
        <f>IF($C3002="",0,SUMPRODUCT((AY_SONU!$O$7:$O$42="Evet")*(AY_SONU!$B$7:$B$42=DATE(YEAR($C3002),MONTH($C3002),1))))</f>
        <v>0</v>
      </c>
      <c r="AE3002" s="1" t="str">
        <f>IF($E3002="","",$E3002&amp;"|"&amp;COUNTIFS($E$7:$E3002,$E3002))</f>
        <v/>
      </c>
    </row>
    <row r="3003" spans="1:31" ht="18" customHeight="1" x14ac:dyDescent="0.3">
      <c r="A3003" s="2"/>
      <c r="B3003" s="65" t="str">
        <f t="shared" si="370"/>
        <v/>
      </c>
      <c r="C3003" s="66"/>
      <c r="D3003" s="60"/>
      <c r="E3003" s="61"/>
      <c r="F3003" s="61"/>
      <c r="G3003" s="67"/>
      <c r="H3003" s="60"/>
      <c r="I3003" s="60"/>
      <c r="J3003" s="61"/>
      <c r="K3003" s="61"/>
      <c r="L3003" s="60"/>
      <c r="M3003" s="74" t="str">
        <f t="shared" si="371"/>
        <v/>
      </c>
      <c r="N3003" s="74" t="str">
        <f t="shared" si="372"/>
        <v/>
      </c>
      <c r="O3003" s="73" t="str">
        <f t="shared" si="373"/>
        <v/>
      </c>
      <c r="P3003" s="65" t="str">
        <f t="shared" ca="1" si="374"/>
        <v/>
      </c>
      <c r="Q3003" s="2"/>
      <c r="R3003" s="2"/>
      <c r="S3003" s="1" t="str">
        <f t="shared" si="375"/>
        <v/>
      </c>
      <c r="T3003" s="1" t="str">
        <f>IF(OR($C3003="",$D3003&lt;&gt;"Gelir",$L3003=""),"",IFERROR(INDEX(MUSTERILER!$B$7:$B$156,MATCH($S3003,MUSTERILER!$T$7:$T$156,0)),""))</f>
        <v/>
      </c>
      <c r="U3003" s="1" t="str">
        <f>IF($T3003="","",$T3003&amp;"|"&amp;COUNTIFS($T$7:$T3003,$T3003))</f>
        <v/>
      </c>
      <c r="V3003" s="1">
        <f t="shared" si="376"/>
        <v>0</v>
      </c>
      <c r="W3003" s="1" t="str">
        <f t="shared" si="377"/>
        <v/>
      </c>
      <c r="X3003" s="1"/>
      <c r="Y3003" s="1"/>
      <c r="Z3003" s="1"/>
      <c r="AA3003" s="1"/>
      <c r="AB3003" s="1"/>
      <c r="AC3003" s="1"/>
      <c r="AD3003" s="1">
        <f>IF($C3003="",0,SUMPRODUCT((AY_SONU!$O$7:$O$42="Evet")*(AY_SONU!$B$7:$B$42=DATE(YEAR($C3003),MONTH($C3003),1))))</f>
        <v>0</v>
      </c>
      <c r="AE3003" s="1" t="str">
        <f>IF($E3003="","",$E3003&amp;"|"&amp;COUNTIFS($E$7:$E3003,$E3003))</f>
        <v/>
      </c>
    </row>
    <row r="3004" spans="1:31" ht="18" customHeight="1" x14ac:dyDescent="0.3">
      <c r="A3004" s="2"/>
      <c r="B3004" s="65" t="str">
        <f t="shared" si="370"/>
        <v/>
      </c>
      <c r="C3004" s="66"/>
      <c r="D3004" s="60"/>
      <c r="E3004" s="61"/>
      <c r="F3004" s="61"/>
      <c r="G3004" s="67"/>
      <c r="H3004" s="60"/>
      <c r="I3004" s="60"/>
      <c r="J3004" s="61"/>
      <c r="K3004" s="61"/>
      <c r="L3004" s="60"/>
      <c r="M3004" s="74" t="str">
        <f t="shared" si="371"/>
        <v/>
      </c>
      <c r="N3004" s="74" t="str">
        <f t="shared" si="372"/>
        <v/>
      </c>
      <c r="O3004" s="73" t="str">
        <f t="shared" si="373"/>
        <v/>
      </c>
      <c r="P3004" s="65" t="str">
        <f t="shared" ca="1" si="374"/>
        <v/>
      </c>
      <c r="Q3004" s="2"/>
      <c r="R3004" s="2"/>
      <c r="S3004" s="1" t="str">
        <f t="shared" si="375"/>
        <v/>
      </c>
      <c r="T3004" s="1" t="str">
        <f>IF(OR($C3004="",$D3004&lt;&gt;"Gelir",$L3004=""),"",IFERROR(INDEX(MUSTERILER!$B$7:$B$156,MATCH($S3004,MUSTERILER!$T$7:$T$156,0)),""))</f>
        <v/>
      </c>
      <c r="U3004" s="1" t="str">
        <f>IF($T3004="","",$T3004&amp;"|"&amp;COUNTIFS($T$7:$T3004,$T3004))</f>
        <v/>
      </c>
      <c r="V3004" s="1">
        <f t="shared" si="376"/>
        <v>0</v>
      </c>
      <c r="W3004" s="1" t="str">
        <f t="shared" si="377"/>
        <v/>
      </c>
      <c r="X3004" s="1"/>
      <c r="Y3004" s="1"/>
      <c r="Z3004" s="1"/>
      <c r="AA3004" s="1"/>
      <c r="AB3004" s="1"/>
      <c r="AC3004" s="1"/>
      <c r="AD3004" s="1">
        <f>IF($C3004="",0,SUMPRODUCT((AY_SONU!$O$7:$O$42="Evet")*(AY_SONU!$B$7:$B$42=DATE(YEAR($C3004),MONTH($C3004),1))))</f>
        <v>0</v>
      </c>
      <c r="AE3004" s="1" t="str">
        <f>IF($E3004="","",$E3004&amp;"|"&amp;COUNTIFS($E$7:$E3004,$E3004))</f>
        <v/>
      </c>
    </row>
    <row r="3005" spans="1:31" ht="18" customHeight="1" x14ac:dyDescent="0.3">
      <c r="A3005" s="2"/>
      <c r="B3005" s="65" t="str">
        <f t="shared" si="370"/>
        <v/>
      </c>
      <c r="C3005" s="66"/>
      <c r="D3005" s="60"/>
      <c r="E3005" s="61"/>
      <c r="F3005" s="61"/>
      <c r="G3005" s="67"/>
      <c r="H3005" s="60"/>
      <c r="I3005" s="60"/>
      <c r="J3005" s="61"/>
      <c r="K3005" s="61"/>
      <c r="L3005" s="60"/>
      <c r="M3005" s="74" t="str">
        <f t="shared" si="371"/>
        <v/>
      </c>
      <c r="N3005" s="74" t="str">
        <f t="shared" si="372"/>
        <v/>
      </c>
      <c r="O3005" s="73" t="str">
        <f t="shared" si="373"/>
        <v/>
      </c>
      <c r="P3005" s="65" t="str">
        <f t="shared" ca="1" si="374"/>
        <v/>
      </c>
      <c r="Q3005" s="2"/>
      <c r="R3005" s="2"/>
      <c r="S3005" s="1" t="str">
        <f t="shared" si="375"/>
        <v/>
      </c>
      <c r="T3005" s="1" t="str">
        <f>IF(OR($C3005="",$D3005&lt;&gt;"Gelir",$L3005=""),"",IFERROR(INDEX(MUSTERILER!$B$7:$B$156,MATCH($S3005,MUSTERILER!$T$7:$T$156,0)),""))</f>
        <v/>
      </c>
      <c r="U3005" s="1" t="str">
        <f>IF($T3005="","",$T3005&amp;"|"&amp;COUNTIFS($T$7:$T3005,$T3005))</f>
        <v/>
      </c>
      <c r="V3005" s="1">
        <f t="shared" si="376"/>
        <v>0</v>
      </c>
      <c r="W3005" s="1" t="str">
        <f t="shared" si="377"/>
        <v/>
      </c>
      <c r="X3005" s="1"/>
      <c r="Y3005" s="1"/>
      <c r="Z3005" s="1"/>
      <c r="AA3005" s="1"/>
      <c r="AB3005" s="1"/>
      <c r="AC3005" s="1"/>
      <c r="AD3005" s="1">
        <f>IF($C3005="",0,SUMPRODUCT((AY_SONU!$O$7:$O$42="Evet")*(AY_SONU!$B$7:$B$42=DATE(YEAR($C3005),MONTH($C3005),1))))</f>
        <v>0</v>
      </c>
      <c r="AE3005" s="1" t="str">
        <f>IF($E3005="","",$E3005&amp;"|"&amp;COUNTIFS($E$7:$E3005,$E3005))</f>
        <v/>
      </c>
    </row>
    <row r="3006" spans="1:31" ht="18" customHeight="1" x14ac:dyDescent="0.3">
      <c r="A3006" s="2"/>
      <c r="B3006" s="65" t="str">
        <f t="shared" si="370"/>
        <v/>
      </c>
      <c r="C3006" s="66"/>
      <c r="D3006" s="60"/>
      <c r="E3006" s="61"/>
      <c r="F3006" s="61"/>
      <c r="G3006" s="67"/>
      <c r="H3006" s="60"/>
      <c r="I3006" s="60"/>
      <c r="J3006" s="61"/>
      <c r="K3006" s="61"/>
      <c r="L3006" s="60"/>
      <c r="M3006" s="74" t="str">
        <f t="shared" si="371"/>
        <v/>
      </c>
      <c r="N3006" s="74" t="str">
        <f t="shared" si="372"/>
        <v/>
      </c>
      <c r="O3006" s="73" t="str">
        <f t="shared" si="373"/>
        <v/>
      </c>
      <c r="P3006" s="65" t="str">
        <f t="shared" ca="1" si="374"/>
        <v/>
      </c>
      <c r="Q3006" s="2"/>
      <c r="R3006" s="2"/>
      <c r="S3006" s="1" t="str">
        <f t="shared" si="375"/>
        <v/>
      </c>
      <c r="T3006" s="1" t="str">
        <f>IF(OR($C3006="",$D3006&lt;&gt;"Gelir",$L3006=""),"",IFERROR(INDEX(MUSTERILER!$B$7:$B$156,MATCH($S3006,MUSTERILER!$T$7:$T$156,0)),""))</f>
        <v/>
      </c>
      <c r="U3006" s="1" t="str">
        <f>IF($T3006="","",$T3006&amp;"|"&amp;COUNTIFS($T$7:$T3006,$T3006))</f>
        <v/>
      </c>
      <c r="V3006" s="1">
        <f t="shared" si="376"/>
        <v>0</v>
      </c>
      <c r="W3006" s="1" t="str">
        <f t="shared" si="377"/>
        <v/>
      </c>
      <c r="X3006" s="1"/>
      <c r="Y3006" s="1"/>
      <c r="Z3006" s="1"/>
      <c r="AA3006" s="1"/>
      <c r="AB3006" s="1"/>
      <c r="AC3006" s="1"/>
      <c r="AD3006" s="1">
        <f>IF($C3006="",0,SUMPRODUCT((AY_SONU!$O$7:$O$42="Evet")*(AY_SONU!$B$7:$B$42=DATE(YEAR($C3006),MONTH($C3006),1))))</f>
        <v>0</v>
      </c>
      <c r="AE3006" s="1" t="str">
        <f>IF($E3006="","",$E3006&amp;"|"&amp;COUNTIFS($E$7:$E3006,$E3006))</f>
        <v/>
      </c>
    </row>
    <row r="3007" spans="1:31" ht="18" customHeight="1" x14ac:dyDescent="0.3">
      <c r="A3007" s="2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2"/>
      <c r="R3007" s="2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</row>
    <row r="3008" spans="1:31" ht="18" customHeight="1" x14ac:dyDescent="0.3">
      <c r="A3008" s="2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2"/>
      <c r="R3008" s="2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</row>
  </sheetData>
  <sheetProtection password="CC3D" sheet="1" formatCells="0" formatColumns="0" formatRows="0" sort="0" autoFilter="0"/>
  <autoFilter ref="B6:P3006" xr:uid="{00000000-0009-0000-0000-000005000000}"/>
  <mergeCells count="4">
    <mergeCell ref="A1:E1"/>
    <mergeCell ref="F1:P1"/>
    <mergeCell ref="A2:P2"/>
    <mergeCell ref="X5:AC5"/>
  </mergeCells>
  <conditionalFormatting sqref="P7:P3006">
    <cfRule type="expression" dxfId="61" priority="2">
      <formula>EXACT($P7,"UYGUN")</formula>
    </cfRule>
    <cfRule type="expression" dxfId="60" priority="3">
      <formula>EXACT($P7,"TAHAKKUK")</formula>
    </cfRule>
    <cfRule type="expression" dxfId="59" priority="4">
      <formula>EXACT($P7,"ÖDENECEK")</formula>
    </cfRule>
    <cfRule type="expression" dxfId="58" priority="5">
      <formula>EXACT($P7,"EKSİK")</formula>
    </cfRule>
    <cfRule type="expression" dxfId="57" priority="6">
      <formula>EXACT($P7,"İLERİ TARİH")</formula>
    </cfRule>
    <cfRule type="expression" dxfId="56" priority="7">
      <formula>EXACT($P7,"MÜKERRER?")</formula>
    </cfRule>
    <cfRule type="expression" dxfId="55" priority="8">
      <formula>EXACT($P7,"KAPALI DÖNEM")</formula>
    </cfRule>
    <cfRule type="expression" dxfId="54" priority="9">
      <formula>EXACT($P7,"TAHAKKUK NAKİT OLAMAZ")</formula>
    </cfRule>
    <cfRule type="expression" dxfId="53" priority="10">
      <formula>EXACT($P7,"TANIMSIZ BORÇLU")</formula>
    </cfRule>
  </conditionalFormatting>
  <dataValidations xWindow="517" yWindow="931" count="5">
    <dataValidation type="list" allowBlank="1" showErrorMessage="1" errorTitle="Geçersiz tür" error="Gelir veya Gider seçin." promptTitle="Geçersiz tür" prompt="Gelir veya Gider seçin." sqref="D7:D3006" xr:uid="{00000000-0002-0000-0500-000000000000}">
      <formula1>"Gelir,Gider"</formula1>
      <formula2>0</formula2>
    </dataValidation>
    <dataValidation type="list" allowBlank="1" showInputMessage="0" errorTitle="Kategori" error="Önce Tür sütununu doldurun; liste Tür’e göre gelir." promptTitle="Kategori" prompt="Önce Tür sütununu doldurun; liste Tür’e göre gelir." sqref="E7:E3006" xr:uid="{00000000-0002-0000-0500-000001000000}">
      <formula1>INDIRECT($D7)</formula1>
      <formula2>0</formula2>
    </dataValidation>
    <dataValidation type="list" allowBlank="1" showInputMessage="0" errorTitle="Borçlu Taraf" error="Müşteri seçerseniz cari borç doğar; boş bırakırsanız nakit gelir olur." promptTitle="Borçlu Taraf" prompt="Müşteri seçerseniz cari borç doğar; boş bırakırsanız nakit gelir olur." sqref="L7:L3006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6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6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D4ED8"/>
    <pageSetUpPr fitToPage="1"/>
  </sheetPr>
  <dimension ref="A1:L4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defaultColWidth="8.5703125" defaultRowHeight="14.25" x14ac:dyDescent="0.25"/>
  <cols>
    <col min="1" max="1" width="2.42578125" customWidth="1"/>
    <col min="2" max="2" width="12" customWidth="1"/>
    <col min="3" max="3" width="13" customWidth="1"/>
    <col min="4" max="5" width="22" customWidth="1"/>
    <col min="6" max="6" width="16" customWidth="1"/>
    <col min="7" max="7" width="34" customWidth="1"/>
    <col min="8" max="8" width="14" customWidth="1"/>
    <col min="9" max="9" width="16" customWidth="1"/>
    <col min="10" max="10" width="15" customWidth="1"/>
    <col min="11" max="12" width="2.42578125" customWidth="1"/>
  </cols>
  <sheetData>
    <row r="1" spans="1:12" ht="37.5" customHeight="1" x14ac:dyDescent="0.3">
      <c r="A1" s="150" t="s">
        <v>546</v>
      </c>
      <c r="B1" s="150"/>
      <c r="C1" s="150"/>
      <c r="D1" s="150"/>
      <c r="E1" s="150"/>
      <c r="F1" s="151" t="s">
        <v>872</v>
      </c>
      <c r="G1" s="151"/>
      <c r="H1" s="151"/>
      <c r="I1" s="151"/>
      <c r="J1" s="151"/>
      <c r="K1" s="151"/>
      <c r="L1" s="13"/>
    </row>
    <row r="2" spans="1:12" ht="21.75" customHeight="1" x14ac:dyDescent="0.3">
      <c r="A2" s="152" t="s">
        <v>873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4"/>
    </row>
    <row r="3" spans="1:12" ht="19.5" customHeight="1" x14ac:dyDescent="0.3">
      <c r="A3" s="2"/>
      <c r="B3" s="50" t="s">
        <v>874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HYPERLINK("#HESAPLAR!A1","Hesaplar")</f>
        <v>Hesaplar</v>
      </c>
      <c r="E4" s="2"/>
      <c r="F4" s="52" t="s">
        <v>875</v>
      </c>
      <c r="G4" s="2"/>
      <c r="H4" s="2"/>
      <c r="I4" s="2"/>
      <c r="J4" s="2"/>
      <c r="K4" s="2"/>
      <c r="L4" s="2"/>
    </row>
    <row r="5" spans="1:12" ht="25.5" customHeight="1" x14ac:dyDescent="0.3">
      <c r="A5" s="2"/>
      <c r="B5" s="53"/>
      <c r="C5" s="54" t="s">
        <v>876</v>
      </c>
      <c r="D5" s="53"/>
      <c r="E5" s="53"/>
      <c r="F5" s="56">
        <f>SUM($F$7:$F$406)</f>
        <v>260000</v>
      </c>
      <c r="G5" s="53"/>
      <c r="H5" s="53"/>
      <c r="I5" s="53"/>
      <c r="J5" s="53"/>
      <c r="K5" s="2"/>
      <c r="L5" s="2"/>
    </row>
    <row r="6" spans="1:12" ht="39.75" customHeight="1" x14ac:dyDescent="0.3">
      <c r="A6" s="2"/>
      <c r="B6" s="57" t="s">
        <v>877</v>
      </c>
      <c r="C6" s="57" t="s">
        <v>705</v>
      </c>
      <c r="D6" s="57" t="s">
        <v>878</v>
      </c>
      <c r="E6" s="57" t="s">
        <v>879</v>
      </c>
      <c r="F6" s="59" t="s">
        <v>706</v>
      </c>
      <c r="G6" s="58" t="s">
        <v>54</v>
      </c>
      <c r="H6" s="58" t="s">
        <v>709</v>
      </c>
      <c r="I6" s="58" t="s">
        <v>710</v>
      </c>
      <c r="J6" s="57" t="s">
        <v>692</v>
      </c>
      <c r="K6" s="2"/>
      <c r="L6" s="2"/>
    </row>
    <row r="7" spans="1:12" ht="18" customHeight="1" x14ac:dyDescent="0.3">
      <c r="A7" s="2"/>
      <c r="B7" s="65" t="str">
        <f t="shared" ref="B7:B70" si="0">IF($C7="","","V"&amp;TEXT(ROW()-6,"00000"))</f>
        <v>V00001</v>
      </c>
      <c r="C7" s="66">
        <v>46034</v>
      </c>
      <c r="D7" s="60" t="s">
        <v>713</v>
      </c>
      <c r="E7" s="60" t="s">
        <v>715</v>
      </c>
      <c r="F7" s="67">
        <v>15000</v>
      </c>
      <c r="G7" s="61" t="s">
        <v>880</v>
      </c>
      <c r="H7" s="61"/>
      <c r="I7" s="61"/>
      <c r="J7" s="65" t="str">
        <f t="shared" ref="J7:J70" si="1">IF($C7="","",IF(AND($D7&lt;&gt;"",$E7&lt;&gt;"",$D7&lt;&gt;$E7,$F7&gt;0),"UYGUN","HATA"))</f>
        <v>UYGUN</v>
      </c>
      <c r="K7" s="2"/>
      <c r="L7" s="2"/>
    </row>
    <row r="8" spans="1:12" ht="18" customHeight="1" x14ac:dyDescent="0.3">
      <c r="A8" s="2"/>
      <c r="B8" s="65" t="str">
        <f t="shared" si="0"/>
        <v>V00002</v>
      </c>
      <c r="C8" s="66">
        <v>46053</v>
      </c>
      <c r="D8" s="60" t="s">
        <v>713</v>
      </c>
      <c r="E8" s="60" t="s">
        <v>715</v>
      </c>
      <c r="F8" s="67">
        <v>12000</v>
      </c>
      <c r="G8" s="61" t="s">
        <v>881</v>
      </c>
      <c r="H8" s="61"/>
      <c r="I8" s="61"/>
      <c r="J8" s="65" t="str">
        <f t="shared" si="1"/>
        <v>UYGUN</v>
      </c>
      <c r="K8" s="2"/>
      <c r="L8" s="2"/>
    </row>
    <row r="9" spans="1:12" ht="18" customHeight="1" x14ac:dyDescent="0.3">
      <c r="A9" s="2"/>
      <c r="B9" s="65" t="str">
        <f t="shared" si="0"/>
        <v>V00003</v>
      </c>
      <c r="C9" s="66">
        <v>46053</v>
      </c>
      <c r="D9" s="60" t="s">
        <v>713</v>
      </c>
      <c r="E9" s="60" t="s">
        <v>715</v>
      </c>
      <c r="F9" s="67">
        <v>3000</v>
      </c>
      <c r="G9" s="61" t="s">
        <v>882</v>
      </c>
      <c r="H9" s="61"/>
      <c r="I9" s="61"/>
      <c r="J9" s="65" t="str">
        <f t="shared" si="1"/>
        <v>UYGUN</v>
      </c>
      <c r="K9" s="2"/>
      <c r="L9" s="2"/>
    </row>
    <row r="10" spans="1:12" ht="18" customHeight="1" x14ac:dyDescent="0.3">
      <c r="A10" s="2"/>
      <c r="B10" s="65" t="str">
        <f t="shared" si="0"/>
        <v>V00004</v>
      </c>
      <c r="C10" s="66">
        <v>46053</v>
      </c>
      <c r="D10" s="60" t="s">
        <v>713</v>
      </c>
      <c r="E10" s="60" t="s">
        <v>715</v>
      </c>
      <c r="F10" s="67">
        <v>2000</v>
      </c>
      <c r="G10" s="61" t="s">
        <v>883</v>
      </c>
      <c r="H10" s="61"/>
      <c r="I10" s="61"/>
      <c r="J10" s="65" t="str">
        <f t="shared" si="1"/>
        <v>UYGUN</v>
      </c>
      <c r="K10" s="2"/>
      <c r="L10" s="2"/>
    </row>
    <row r="11" spans="1:12" ht="18" customHeight="1" x14ac:dyDescent="0.3">
      <c r="A11" s="2"/>
      <c r="B11" s="65" t="str">
        <f t="shared" si="0"/>
        <v>V00005</v>
      </c>
      <c r="C11" s="66">
        <v>46053</v>
      </c>
      <c r="D11" s="60" t="s">
        <v>713</v>
      </c>
      <c r="E11" s="60" t="s">
        <v>715</v>
      </c>
      <c r="F11" s="67">
        <v>15000</v>
      </c>
      <c r="G11" s="61" t="s">
        <v>884</v>
      </c>
      <c r="H11" s="61"/>
      <c r="I11" s="61"/>
      <c r="J11" s="65" t="str">
        <f t="shared" si="1"/>
        <v>UYGUN</v>
      </c>
      <c r="K11" s="2"/>
      <c r="L11" s="2"/>
    </row>
    <row r="12" spans="1:12" ht="18" customHeight="1" x14ac:dyDescent="0.3">
      <c r="A12" s="2"/>
      <c r="B12" s="65" t="str">
        <f t="shared" si="0"/>
        <v>V00006</v>
      </c>
      <c r="C12" s="66">
        <v>46053</v>
      </c>
      <c r="D12" s="60" t="s">
        <v>713</v>
      </c>
      <c r="E12" s="60" t="s">
        <v>715</v>
      </c>
      <c r="F12" s="67">
        <v>5000</v>
      </c>
      <c r="G12" s="61" t="s">
        <v>885</v>
      </c>
      <c r="H12" s="61"/>
      <c r="I12" s="61"/>
      <c r="J12" s="65" t="str">
        <f t="shared" si="1"/>
        <v>UYGUN</v>
      </c>
      <c r="K12" s="2"/>
      <c r="L12" s="2"/>
    </row>
    <row r="13" spans="1:12" ht="18" customHeight="1" x14ac:dyDescent="0.3">
      <c r="A13" s="2"/>
      <c r="B13" s="65" t="str">
        <f t="shared" si="0"/>
        <v>V00007</v>
      </c>
      <c r="C13" s="66">
        <v>46081</v>
      </c>
      <c r="D13" s="60" t="s">
        <v>713</v>
      </c>
      <c r="E13" s="60" t="s">
        <v>715</v>
      </c>
      <c r="F13" s="67">
        <v>12000</v>
      </c>
      <c r="G13" s="61" t="s">
        <v>881</v>
      </c>
      <c r="H13" s="61"/>
      <c r="I13" s="61"/>
      <c r="J13" s="65" t="str">
        <f t="shared" si="1"/>
        <v>UYGUN</v>
      </c>
      <c r="K13" s="2"/>
      <c r="L13" s="2"/>
    </row>
    <row r="14" spans="1:12" ht="18" customHeight="1" x14ac:dyDescent="0.3">
      <c r="A14" s="2"/>
      <c r="B14" s="65" t="str">
        <f t="shared" si="0"/>
        <v>V00008</v>
      </c>
      <c r="C14" s="66">
        <v>46081</v>
      </c>
      <c r="D14" s="60" t="s">
        <v>713</v>
      </c>
      <c r="E14" s="60" t="s">
        <v>715</v>
      </c>
      <c r="F14" s="67">
        <v>3000</v>
      </c>
      <c r="G14" s="61" t="s">
        <v>882</v>
      </c>
      <c r="H14" s="61"/>
      <c r="I14" s="61"/>
      <c r="J14" s="65" t="str">
        <f t="shared" si="1"/>
        <v>UYGUN</v>
      </c>
      <c r="K14" s="2"/>
      <c r="L14" s="2"/>
    </row>
    <row r="15" spans="1:12" ht="18" customHeight="1" x14ac:dyDescent="0.3">
      <c r="A15" s="2"/>
      <c r="B15" s="65" t="str">
        <f t="shared" si="0"/>
        <v>V00009</v>
      </c>
      <c r="C15" s="66">
        <v>46081</v>
      </c>
      <c r="D15" s="60" t="s">
        <v>713</v>
      </c>
      <c r="E15" s="60" t="s">
        <v>715</v>
      </c>
      <c r="F15" s="67">
        <v>2000</v>
      </c>
      <c r="G15" s="61" t="s">
        <v>883</v>
      </c>
      <c r="H15" s="61"/>
      <c r="I15" s="61"/>
      <c r="J15" s="65" t="str">
        <f t="shared" si="1"/>
        <v>UYGUN</v>
      </c>
      <c r="K15" s="2"/>
      <c r="L15" s="2"/>
    </row>
    <row r="16" spans="1:12" ht="18" customHeight="1" x14ac:dyDescent="0.3">
      <c r="A16" s="2"/>
      <c r="B16" s="65" t="str">
        <f t="shared" si="0"/>
        <v>V00010</v>
      </c>
      <c r="C16" s="66">
        <v>46087</v>
      </c>
      <c r="D16" s="60" t="s">
        <v>715</v>
      </c>
      <c r="E16" s="60" t="s">
        <v>713</v>
      </c>
      <c r="F16" s="67">
        <v>15000</v>
      </c>
      <c r="G16" s="61" t="s">
        <v>886</v>
      </c>
      <c r="H16" s="61"/>
      <c r="I16" s="61"/>
      <c r="J16" s="65" t="str">
        <f t="shared" si="1"/>
        <v>UYGUN</v>
      </c>
      <c r="K16" s="2"/>
      <c r="L16" s="2"/>
    </row>
    <row r="17" spans="1:12" ht="18" customHeight="1" x14ac:dyDescent="0.3">
      <c r="A17" s="2"/>
      <c r="B17" s="65" t="str">
        <f t="shared" si="0"/>
        <v>V00011</v>
      </c>
      <c r="C17" s="66">
        <v>46112</v>
      </c>
      <c r="D17" s="60" t="s">
        <v>713</v>
      </c>
      <c r="E17" s="60" t="s">
        <v>715</v>
      </c>
      <c r="F17" s="67">
        <v>12000</v>
      </c>
      <c r="G17" s="61" t="s">
        <v>881</v>
      </c>
      <c r="H17" s="61"/>
      <c r="I17" s="61"/>
      <c r="J17" s="65" t="str">
        <f t="shared" si="1"/>
        <v>UYGUN</v>
      </c>
      <c r="K17" s="2"/>
      <c r="L17" s="2"/>
    </row>
    <row r="18" spans="1:12" ht="18" customHeight="1" x14ac:dyDescent="0.3">
      <c r="A18" s="2"/>
      <c r="B18" s="65" t="str">
        <f t="shared" si="0"/>
        <v>V00012</v>
      </c>
      <c r="C18" s="66">
        <v>46112</v>
      </c>
      <c r="D18" s="60" t="s">
        <v>713</v>
      </c>
      <c r="E18" s="60" t="s">
        <v>715</v>
      </c>
      <c r="F18" s="67">
        <v>2000</v>
      </c>
      <c r="G18" s="61" t="s">
        <v>883</v>
      </c>
      <c r="H18" s="61"/>
      <c r="I18" s="61"/>
      <c r="J18" s="65" t="str">
        <f t="shared" si="1"/>
        <v>UYGUN</v>
      </c>
      <c r="K18" s="2"/>
      <c r="L18" s="2"/>
    </row>
    <row r="19" spans="1:12" ht="18" customHeight="1" x14ac:dyDescent="0.3">
      <c r="A19" s="2"/>
      <c r="B19" s="65" t="str">
        <f t="shared" si="0"/>
        <v>V00013</v>
      </c>
      <c r="C19" s="66">
        <v>46137</v>
      </c>
      <c r="D19" s="60" t="s">
        <v>713</v>
      </c>
      <c r="E19" s="60" t="s">
        <v>715</v>
      </c>
      <c r="F19" s="67">
        <v>20000</v>
      </c>
      <c r="G19" s="61" t="s">
        <v>887</v>
      </c>
      <c r="H19" s="61"/>
      <c r="I19" s="61"/>
      <c r="J19" s="65" t="str">
        <f t="shared" si="1"/>
        <v>UYGUN</v>
      </c>
      <c r="K19" s="2"/>
      <c r="L19" s="2"/>
    </row>
    <row r="20" spans="1:12" ht="18" customHeight="1" x14ac:dyDescent="0.3">
      <c r="A20" s="2"/>
      <c r="B20" s="65" t="str">
        <f t="shared" si="0"/>
        <v>V00014</v>
      </c>
      <c r="C20" s="66">
        <v>46142</v>
      </c>
      <c r="D20" s="60" t="s">
        <v>713</v>
      </c>
      <c r="E20" s="60" t="s">
        <v>715</v>
      </c>
      <c r="F20" s="67">
        <v>12000</v>
      </c>
      <c r="G20" s="61" t="s">
        <v>881</v>
      </c>
      <c r="H20" s="61"/>
      <c r="I20" s="61"/>
      <c r="J20" s="65" t="str">
        <f t="shared" si="1"/>
        <v>UYGUN</v>
      </c>
      <c r="K20" s="2"/>
      <c r="L20" s="2"/>
    </row>
    <row r="21" spans="1:12" ht="18" customHeight="1" x14ac:dyDescent="0.3">
      <c r="A21" s="2"/>
      <c r="B21" s="65" t="str">
        <f t="shared" si="0"/>
        <v>V00015</v>
      </c>
      <c r="C21" s="66">
        <v>46142</v>
      </c>
      <c r="D21" s="60" t="s">
        <v>713</v>
      </c>
      <c r="E21" s="60" t="s">
        <v>715</v>
      </c>
      <c r="F21" s="67">
        <v>2000</v>
      </c>
      <c r="G21" s="61" t="s">
        <v>883</v>
      </c>
      <c r="H21" s="61"/>
      <c r="I21" s="61"/>
      <c r="J21" s="65" t="str">
        <f t="shared" si="1"/>
        <v>UYGUN</v>
      </c>
      <c r="K21" s="2"/>
      <c r="L21" s="2"/>
    </row>
    <row r="22" spans="1:12" ht="18" customHeight="1" x14ac:dyDescent="0.3">
      <c r="A22" s="2"/>
      <c r="B22" s="65" t="str">
        <f t="shared" si="0"/>
        <v>V00016</v>
      </c>
      <c r="C22" s="66">
        <v>46144</v>
      </c>
      <c r="D22" s="60" t="s">
        <v>713</v>
      </c>
      <c r="E22" s="60" t="s">
        <v>715</v>
      </c>
      <c r="F22" s="67">
        <v>1000</v>
      </c>
      <c r="G22" s="61" t="s">
        <v>888</v>
      </c>
      <c r="H22" s="61"/>
      <c r="I22" s="61"/>
      <c r="J22" s="65" t="str">
        <f t="shared" si="1"/>
        <v>UYGUN</v>
      </c>
      <c r="K22" s="2"/>
      <c r="L22" s="2"/>
    </row>
    <row r="23" spans="1:12" ht="18" customHeight="1" x14ac:dyDescent="0.3">
      <c r="A23" s="2"/>
      <c r="B23" s="65" t="str">
        <f t="shared" si="0"/>
        <v>V00017</v>
      </c>
      <c r="C23" s="66">
        <v>46147</v>
      </c>
      <c r="D23" s="60" t="s">
        <v>713</v>
      </c>
      <c r="E23" s="60" t="s">
        <v>715</v>
      </c>
      <c r="F23" s="67">
        <v>23600</v>
      </c>
      <c r="G23" s="61" t="s">
        <v>737</v>
      </c>
      <c r="H23" s="61"/>
      <c r="I23" s="61"/>
      <c r="J23" s="65" t="str">
        <f t="shared" si="1"/>
        <v>UYGUN</v>
      </c>
      <c r="K23" s="2"/>
      <c r="L23" s="2"/>
    </row>
    <row r="24" spans="1:12" ht="18" customHeight="1" x14ac:dyDescent="0.3">
      <c r="A24" s="2"/>
      <c r="B24" s="65" t="str">
        <f t="shared" si="0"/>
        <v>V00018</v>
      </c>
      <c r="C24" s="66">
        <v>46173</v>
      </c>
      <c r="D24" s="60" t="s">
        <v>713</v>
      </c>
      <c r="E24" s="60" t="s">
        <v>715</v>
      </c>
      <c r="F24" s="67">
        <v>17000</v>
      </c>
      <c r="G24" s="61" t="s">
        <v>889</v>
      </c>
      <c r="H24" s="61"/>
      <c r="I24" s="61"/>
      <c r="J24" s="65" t="str">
        <f t="shared" si="1"/>
        <v>UYGUN</v>
      </c>
      <c r="K24" s="2"/>
      <c r="L24" s="2"/>
    </row>
    <row r="25" spans="1:12" ht="18" customHeight="1" x14ac:dyDescent="0.3">
      <c r="A25" s="2"/>
      <c r="B25" s="65" t="str">
        <f t="shared" si="0"/>
        <v>V00019</v>
      </c>
      <c r="C25" s="66">
        <v>46173</v>
      </c>
      <c r="D25" s="60" t="s">
        <v>713</v>
      </c>
      <c r="E25" s="60" t="s">
        <v>715</v>
      </c>
      <c r="F25" s="67">
        <v>12000</v>
      </c>
      <c r="G25" s="61" t="s">
        <v>881</v>
      </c>
      <c r="H25" s="61"/>
      <c r="I25" s="61"/>
      <c r="J25" s="65" t="str">
        <f t="shared" si="1"/>
        <v>UYGUN</v>
      </c>
      <c r="K25" s="2"/>
      <c r="L25" s="2"/>
    </row>
    <row r="26" spans="1:12" ht="18" customHeight="1" x14ac:dyDescent="0.3">
      <c r="A26" s="2"/>
      <c r="B26" s="65" t="str">
        <f t="shared" si="0"/>
        <v>V00020</v>
      </c>
      <c r="C26" s="66">
        <v>46173</v>
      </c>
      <c r="D26" s="60" t="s">
        <v>713</v>
      </c>
      <c r="E26" s="60" t="s">
        <v>715</v>
      </c>
      <c r="F26" s="67">
        <v>2000</v>
      </c>
      <c r="G26" s="61" t="s">
        <v>883</v>
      </c>
      <c r="H26" s="61"/>
      <c r="I26" s="61"/>
      <c r="J26" s="65" t="str">
        <f t="shared" si="1"/>
        <v>UYGUN</v>
      </c>
      <c r="K26" s="2"/>
      <c r="L26" s="2"/>
    </row>
    <row r="27" spans="1:12" ht="18" customHeight="1" x14ac:dyDescent="0.3">
      <c r="A27" s="2"/>
      <c r="B27" s="65" t="str">
        <f t="shared" si="0"/>
        <v>V00021</v>
      </c>
      <c r="C27" s="66">
        <v>46203</v>
      </c>
      <c r="D27" s="60" t="s">
        <v>713</v>
      </c>
      <c r="E27" s="60" t="s">
        <v>715</v>
      </c>
      <c r="F27" s="67">
        <v>12000</v>
      </c>
      <c r="G27" s="61" t="s">
        <v>881</v>
      </c>
      <c r="H27" s="61"/>
      <c r="I27" s="61"/>
      <c r="J27" s="65" t="str">
        <f t="shared" si="1"/>
        <v>UYGUN</v>
      </c>
      <c r="K27" s="2"/>
      <c r="L27" s="2"/>
    </row>
    <row r="28" spans="1:12" ht="18" customHeight="1" x14ac:dyDescent="0.3">
      <c r="A28" s="2"/>
      <c r="B28" s="65" t="str">
        <f t="shared" si="0"/>
        <v>V00022</v>
      </c>
      <c r="C28" s="66">
        <v>46203</v>
      </c>
      <c r="D28" s="60" t="s">
        <v>713</v>
      </c>
      <c r="E28" s="60" t="s">
        <v>715</v>
      </c>
      <c r="F28" s="67">
        <v>2000</v>
      </c>
      <c r="G28" s="61" t="s">
        <v>883</v>
      </c>
      <c r="H28" s="61"/>
      <c r="I28" s="61"/>
      <c r="J28" s="65" t="str">
        <f t="shared" si="1"/>
        <v>UYGUN</v>
      </c>
      <c r="K28" s="2"/>
      <c r="L28" s="2"/>
    </row>
    <row r="29" spans="1:12" ht="18" customHeight="1" x14ac:dyDescent="0.3">
      <c r="A29" s="2"/>
      <c r="B29" s="65" t="str">
        <f t="shared" si="0"/>
        <v>V00023</v>
      </c>
      <c r="C29" s="66">
        <v>46207</v>
      </c>
      <c r="D29" s="60" t="s">
        <v>713</v>
      </c>
      <c r="E29" s="60" t="s">
        <v>715</v>
      </c>
      <c r="F29" s="67">
        <v>5000</v>
      </c>
      <c r="G29" s="61" t="s">
        <v>738</v>
      </c>
      <c r="H29" s="61"/>
      <c r="I29" s="61"/>
      <c r="J29" s="65" t="str">
        <f t="shared" si="1"/>
        <v>UYGUN</v>
      </c>
      <c r="K29" s="2"/>
      <c r="L29" s="2"/>
    </row>
    <row r="30" spans="1:12" ht="18" customHeight="1" x14ac:dyDescent="0.3">
      <c r="A30" s="2"/>
      <c r="B30" s="65" t="str">
        <f t="shared" si="0"/>
        <v>V00024</v>
      </c>
      <c r="C30" s="66">
        <v>46214</v>
      </c>
      <c r="D30" s="60" t="s">
        <v>713</v>
      </c>
      <c r="E30" s="60" t="s">
        <v>715</v>
      </c>
      <c r="F30" s="67">
        <v>5000</v>
      </c>
      <c r="G30" s="61" t="s">
        <v>738</v>
      </c>
      <c r="H30" s="61"/>
      <c r="I30" s="61"/>
      <c r="J30" s="65" t="str">
        <f t="shared" si="1"/>
        <v>UYGUN</v>
      </c>
      <c r="K30" s="2"/>
      <c r="L30" s="2"/>
    </row>
    <row r="31" spans="1:12" ht="18" customHeight="1" x14ac:dyDescent="0.3">
      <c r="A31" s="2"/>
      <c r="B31" s="65" t="str">
        <f t="shared" si="0"/>
        <v>V00025</v>
      </c>
      <c r="C31" s="66">
        <v>46221</v>
      </c>
      <c r="D31" s="60" t="s">
        <v>713</v>
      </c>
      <c r="E31" s="60" t="s">
        <v>715</v>
      </c>
      <c r="F31" s="67">
        <v>5000</v>
      </c>
      <c r="G31" s="61" t="s">
        <v>738</v>
      </c>
      <c r="H31" s="61"/>
      <c r="I31" s="61"/>
      <c r="J31" s="65" t="str">
        <f t="shared" si="1"/>
        <v>UYGUN</v>
      </c>
      <c r="K31" s="2"/>
      <c r="L31" s="2"/>
    </row>
    <row r="32" spans="1:12" ht="18" customHeight="1" x14ac:dyDescent="0.3">
      <c r="A32" s="2"/>
      <c r="B32" s="65" t="str">
        <f t="shared" si="0"/>
        <v>V00026</v>
      </c>
      <c r="C32" s="66">
        <v>46228</v>
      </c>
      <c r="D32" s="60" t="s">
        <v>713</v>
      </c>
      <c r="E32" s="60" t="s">
        <v>715</v>
      </c>
      <c r="F32" s="67">
        <v>5000</v>
      </c>
      <c r="G32" s="61" t="s">
        <v>738</v>
      </c>
      <c r="H32" s="61"/>
      <c r="I32" s="61"/>
      <c r="J32" s="65" t="str">
        <f t="shared" si="1"/>
        <v>UYGUN</v>
      </c>
      <c r="K32" s="2"/>
      <c r="L32" s="2"/>
    </row>
    <row r="33" spans="1:12" ht="18" customHeight="1" x14ac:dyDescent="0.3">
      <c r="A33" s="2"/>
      <c r="B33" s="65" t="str">
        <f t="shared" si="0"/>
        <v>V00027</v>
      </c>
      <c r="C33" s="66">
        <v>46234</v>
      </c>
      <c r="D33" s="60" t="s">
        <v>713</v>
      </c>
      <c r="E33" s="60" t="s">
        <v>715</v>
      </c>
      <c r="F33" s="67">
        <v>12000</v>
      </c>
      <c r="G33" s="61" t="s">
        <v>881</v>
      </c>
      <c r="H33" s="61"/>
      <c r="I33" s="61"/>
      <c r="J33" s="65" t="str">
        <f t="shared" si="1"/>
        <v>UYGUN</v>
      </c>
      <c r="K33" s="2"/>
      <c r="L33" s="2"/>
    </row>
    <row r="34" spans="1:12" ht="18" customHeight="1" x14ac:dyDescent="0.3">
      <c r="A34" s="2"/>
      <c r="B34" s="65" t="str">
        <f t="shared" si="0"/>
        <v>V00028</v>
      </c>
      <c r="C34" s="66">
        <v>46235</v>
      </c>
      <c r="D34" s="60" t="s">
        <v>713</v>
      </c>
      <c r="E34" s="60" t="s">
        <v>715</v>
      </c>
      <c r="F34" s="67">
        <v>5000</v>
      </c>
      <c r="G34" s="61" t="s">
        <v>738</v>
      </c>
      <c r="H34" s="61"/>
      <c r="I34" s="61"/>
      <c r="J34" s="65" t="str">
        <f t="shared" si="1"/>
        <v>UYGUN</v>
      </c>
      <c r="K34" s="2"/>
      <c r="L34" s="2"/>
    </row>
    <row r="35" spans="1:12" ht="18" customHeight="1" x14ac:dyDescent="0.3">
      <c r="A35" s="2"/>
      <c r="B35" s="65" t="str">
        <f t="shared" si="0"/>
        <v>V00029</v>
      </c>
      <c r="C35" s="66">
        <v>46243</v>
      </c>
      <c r="D35" s="60" t="s">
        <v>713</v>
      </c>
      <c r="E35" s="60" t="s">
        <v>715</v>
      </c>
      <c r="F35" s="67">
        <v>9400</v>
      </c>
      <c r="G35" s="61" t="s">
        <v>890</v>
      </c>
      <c r="H35" s="61"/>
      <c r="I35" s="61"/>
      <c r="J35" s="65" t="str">
        <f t="shared" si="1"/>
        <v>UYGUN</v>
      </c>
      <c r="K35" s="2"/>
      <c r="L35" s="2"/>
    </row>
    <row r="36" spans="1:12" ht="18" customHeight="1" x14ac:dyDescent="0.3">
      <c r="A36" s="2"/>
      <c r="B36" s="65" t="str">
        <f t="shared" si="0"/>
        <v>V00030</v>
      </c>
      <c r="C36" s="66">
        <v>46265</v>
      </c>
      <c r="D36" s="60" t="s">
        <v>713</v>
      </c>
      <c r="E36" s="60" t="s">
        <v>715</v>
      </c>
      <c r="F36" s="67">
        <v>12000</v>
      </c>
      <c r="G36" s="61" t="s">
        <v>881</v>
      </c>
      <c r="H36" s="61"/>
      <c r="I36" s="61"/>
      <c r="J36" s="65" t="str">
        <f t="shared" si="1"/>
        <v>UYGUN</v>
      </c>
      <c r="K36" s="2"/>
      <c r="L36" s="2"/>
    </row>
    <row r="37" spans="1:12" ht="18" customHeight="1" x14ac:dyDescent="0.3">
      <c r="A37" s="2"/>
      <c r="B37" s="65" t="str">
        <f t="shared" si="0"/>
        <v/>
      </c>
      <c r="C37" s="66"/>
      <c r="D37" s="60"/>
      <c r="E37" s="60"/>
      <c r="F37" s="67"/>
      <c r="G37" s="61"/>
      <c r="H37" s="61"/>
      <c r="I37" s="61"/>
      <c r="J37" s="65" t="str">
        <f t="shared" si="1"/>
        <v/>
      </c>
      <c r="K37" s="2"/>
      <c r="L37" s="2"/>
    </row>
    <row r="38" spans="1:12" ht="18" customHeight="1" x14ac:dyDescent="0.3">
      <c r="A38" s="2"/>
      <c r="B38" s="65" t="str">
        <f t="shared" si="0"/>
        <v/>
      </c>
      <c r="C38" s="66"/>
      <c r="D38" s="60"/>
      <c r="E38" s="60"/>
      <c r="F38" s="67"/>
      <c r="G38" s="61"/>
      <c r="H38" s="61"/>
      <c r="I38" s="61"/>
      <c r="J38" s="65" t="str">
        <f t="shared" si="1"/>
        <v/>
      </c>
      <c r="K38" s="2"/>
      <c r="L38" s="2"/>
    </row>
    <row r="39" spans="1:12" ht="18" customHeight="1" x14ac:dyDescent="0.3">
      <c r="A39" s="2"/>
      <c r="B39" s="65" t="str">
        <f t="shared" si="0"/>
        <v/>
      </c>
      <c r="C39" s="66"/>
      <c r="D39" s="60"/>
      <c r="E39" s="60"/>
      <c r="F39" s="67"/>
      <c r="G39" s="61"/>
      <c r="H39" s="61"/>
      <c r="I39" s="61"/>
      <c r="J39" s="65" t="str">
        <f t="shared" si="1"/>
        <v/>
      </c>
      <c r="K39" s="2"/>
      <c r="L39" s="2"/>
    </row>
    <row r="40" spans="1:12" ht="18" customHeight="1" x14ac:dyDescent="0.3">
      <c r="A40" s="2"/>
      <c r="B40" s="65" t="str">
        <f t="shared" si="0"/>
        <v/>
      </c>
      <c r="C40" s="66"/>
      <c r="D40" s="60"/>
      <c r="E40" s="60"/>
      <c r="F40" s="67"/>
      <c r="G40" s="61"/>
      <c r="H40" s="61"/>
      <c r="I40" s="61"/>
      <c r="J40" s="65" t="str">
        <f t="shared" si="1"/>
        <v/>
      </c>
      <c r="K40" s="2"/>
      <c r="L40" s="2"/>
    </row>
    <row r="41" spans="1:12" ht="18" customHeight="1" x14ac:dyDescent="0.3">
      <c r="A41" s="2"/>
      <c r="B41" s="65" t="str">
        <f t="shared" si="0"/>
        <v/>
      </c>
      <c r="C41" s="66"/>
      <c r="D41" s="60"/>
      <c r="E41" s="60"/>
      <c r="F41" s="67"/>
      <c r="G41" s="61"/>
      <c r="H41" s="61"/>
      <c r="I41" s="61"/>
      <c r="J41" s="65" t="str">
        <f t="shared" si="1"/>
        <v/>
      </c>
      <c r="K41" s="2"/>
      <c r="L41" s="2"/>
    </row>
    <row r="42" spans="1:12" ht="18" customHeight="1" x14ac:dyDescent="0.3">
      <c r="A42" s="2"/>
      <c r="B42" s="65" t="str">
        <f t="shared" si="0"/>
        <v/>
      </c>
      <c r="C42" s="66"/>
      <c r="D42" s="60"/>
      <c r="E42" s="60"/>
      <c r="F42" s="67"/>
      <c r="G42" s="61"/>
      <c r="H42" s="61"/>
      <c r="I42" s="61"/>
      <c r="J42" s="65" t="str">
        <f t="shared" si="1"/>
        <v/>
      </c>
      <c r="K42" s="2"/>
      <c r="L42" s="2"/>
    </row>
    <row r="43" spans="1:12" ht="18" customHeight="1" x14ac:dyDescent="0.3">
      <c r="A43" s="2"/>
      <c r="B43" s="65" t="str">
        <f t="shared" si="0"/>
        <v/>
      </c>
      <c r="C43" s="66"/>
      <c r="D43" s="60"/>
      <c r="E43" s="60"/>
      <c r="F43" s="67"/>
      <c r="G43" s="61"/>
      <c r="H43" s="61"/>
      <c r="I43" s="61"/>
      <c r="J43" s="65" t="str">
        <f t="shared" si="1"/>
        <v/>
      </c>
      <c r="K43" s="2"/>
      <c r="L43" s="2"/>
    </row>
    <row r="44" spans="1:12" ht="18" customHeight="1" x14ac:dyDescent="0.3">
      <c r="A44" s="2"/>
      <c r="B44" s="65" t="str">
        <f t="shared" si="0"/>
        <v/>
      </c>
      <c r="C44" s="66"/>
      <c r="D44" s="60"/>
      <c r="E44" s="60"/>
      <c r="F44" s="67"/>
      <c r="G44" s="61"/>
      <c r="H44" s="61"/>
      <c r="I44" s="61"/>
      <c r="J44" s="65" t="str">
        <f t="shared" si="1"/>
        <v/>
      </c>
      <c r="K44" s="2"/>
      <c r="L44" s="2"/>
    </row>
    <row r="45" spans="1:12" ht="18" customHeight="1" x14ac:dyDescent="0.3">
      <c r="A45" s="2"/>
      <c r="B45" s="65" t="str">
        <f t="shared" si="0"/>
        <v/>
      </c>
      <c r="C45" s="66"/>
      <c r="D45" s="60"/>
      <c r="E45" s="60"/>
      <c r="F45" s="67"/>
      <c r="G45" s="61"/>
      <c r="H45" s="61"/>
      <c r="I45" s="61"/>
      <c r="J45" s="65" t="str">
        <f t="shared" si="1"/>
        <v/>
      </c>
      <c r="K45" s="2"/>
      <c r="L45" s="2"/>
    </row>
    <row r="46" spans="1:12" ht="18" customHeight="1" x14ac:dyDescent="0.3">
      <c r="A46" s="2"/>
      <c r="B46" s="65" t="str">
        <f t="shared" si="0"/>
        <v/>
      </c>
      <c r="C46" s="66"/>
      <c r="D46" s="60"/>
      <c r="E46" s="60"/>
      <c r="F46" s="67"/>
      <c r="G46" s="61"/>
      <c r="H46" s="61"/>
      <c r="I46" s="61"/>
      <c r="J46" s="65" t="str">
        <f t="shared" si="1"/>
        <v/>
      </c>
      <c r="K46" s="2"/>
      <c r="L46" s="2"/>
    </row>
    <row r="47" spans="1:12" ht="18" customHeight="1" x14ac:dyDescent="0.3">
      <c r="A47" s="2"/>
      <c r="B47" s="65" t="str">
        <f t="shared" si="0"/>
        <v/>
      </c>
      <c r="C47" s="66"/>
      <c r="D47" s="60"/>
      <c r="E47" s="60"/>
      <c r="F47" s="67"/>
      <c r="G47" s="61"/>
      <c r="H47" s="61"/>
      <c r="I47" s="61"/>
      <c r="J47" s="65" t="str">
        <f t="shared" si="1"/>
        <v/>
      </c>
      <c r="K47" s="2"/>
      <c r="L47" s="2"/>
    </row>
    <row r="48" spans="1:12" ht="18" customHeight="1" x14ac:dyDescent="0.3">
      <c r="A48" s="2"/>
      <c r="B48" s="65" t="str">
        <f t="shared" si="0"/>
        <v/>
      </c>
      <c r="C48" s="66"/>
      <c r="D48" s="60"/>
      <c r="E48" s="60"/>
      <c r="F48" s="67"/>
      <c r="G48" s="61"/>
      <c r="H48" s="61"/>
      <c r="I48" s="61"/>
      <c r="J48" s="65" t="str">
        <f t="shared" si="1"/>
        <v/>
      </c>
      <c r="K48" s="2"/>
      <c r="L48" s="2"/>
    </row>
    <row r="49" spans="1:12" ht="18" customHeight="1" x14ac:dyDescent="0.3">
      <c r="A49" s="2"/>
      <c r="B49" s="65" t="str">
        <f t="shared" si="0"/>
        <v/>
      </c>
      <c r="C49" s="66"/>
      <c r="D49" s="60"/>
      <c r="E49" s="60"/>
      <c r="F49" s="67"/>
      <c r="G49" s="61"/>
      <c r="H49" s="61"/>
      <c r="I49" s="61"/>
      <c r="J49" s="65" t="str">
        <f t="shared" si="1"/>
        <v/>
      </c>
      <c r="K49" s="2"/>
      <c r="L49" s="2"/>
    </row>
    <row r="50" spans="1:12" ht="18" customHeight="1" x14ac:dyDescent="0.3">
      <c r="A50" s="2"/>
      <c r="B50" s="65" t="str">
        <f t="shared" si="0"/>
        <v/>
      </c>
      <c r="C50" s="66"/>
      <c r="D50" s="60"/>
      <c r="E50" s="60"/>
      <c r="F50" s="67"/>
      <c r="G50" s="61"/>
      <c r="H50" s="61"/>
      <c r="I50" s="61"/>
      <c r="J50" s="65" t="str">
        <f t="shared" si="1"/>
        <v/>
      </c>
      <c r="K50" s="2"/>
      <c r="L50" s="2"/>
    </row>
    <row r="51" spans="1:12" ht="18" customHeight="1" x14ac:dyDescent="0.3">
      <c r="A51" s="2"/>
      <c r="B51" s="65" t="str">
        <f t="shared" si="0"/>
        <v/>
      </c>
      <c r="C51" s="66"/>
      <c r="D51" s="60"/>
      <c r="E51" s="60"/>
      <c r="F51" s="67"/>
      <c r="G51" s="61"/>
      <c r="H51" s="61"/>
      <c r="I51" s="61"/>
      <c r="J51" s="65" t="str">
        <f t="shared" si="1"/>
        <v/>
      </c>
      <c r="K51" s="2"/>
      <c r="L51" s="2"/>
    </row>
    <row r="52" spans="1:12" ht="18" customHeight="1" x14ac:dyDescent="0.3">
      <c r="A52" s="2"/>
      <c r="B52" s="65" t="str">
        <f t="shared" si="0"/>
        <v/>
      </c>
      <c r="C52" s="66"/>
      <c r="D52" s="60"/>
      <c r="E52" s="60"/>
      <c r="F52" s="67"/>
      <c r="G52" s="61"/>
      <c r="H52" s="61"/>
      <c r="I52" s="61"/>
      <c r="J52" s="65" t="str">
        <f t="shared" si="1"/>
        <v/>
      </c>
      <c r="K52" s="2"/>
      <c r="L52" s="2"/>
    </row>
    <row r="53" spans="1:12" ht="18" customHeight="1" x14ac:dyDescent="0.3">
      <c r="A53" s="2"/>
      <c r="B53" s="65" t="str">
        <f t="shared" si="0"/>
        <v/>
      </c>
      <c r="C53" s="66"/>
      <c r="D53" s="60"/>
      <c r="E53" s="60"/>
      <c r="F53" s="67"/>
      <c r="G53" s="61"/>
      <c r="H53" s="61"/>
      <c r="I53" s="61"/>
      <c r="J53" s="65" t="str">
        <f t="shared" si="1"/>
        <v/>
      </c>
      <c r="K53" s="2"/>
      <c r="L53" s="2"/>
    </row>
    <row r="54" spans="1:12" ht="18" customHeight="1" x14ac:dyDescent="0.3">
      <c r="A54" s="2"/>
      <c r="B54" s="65" t="str">
        <f t="shared" si="0"/>
        <v/>
      </c>
      <c r="C54" s="66"/>
      <c r="D54" s="60"/>
      <c r="E54" s="60"/>
      <c r="F54" s="67"/>
      <c r="G54" s="61"/>
      <c r="H54" s="61"/>
      <c r="I54" s="61"/>
      <c r="J54" s="65" t="str">
        <f t="shared" si="1"/>
        <v/>
      </c>
      <c r="K54" s="2"/>
      <c r="L54" s="2"/>
    </row>
    <row r="55" spans="1:12" ht="18" customHeight="1" x14ac:dyDescent="0.3">
      <c r="A55" s="2"/>
      <c r="B55" s="65" t="str">
        <f t="shared" si="0"/>
        <v/>
      </c>
      <c r="C55" s="66"/>
      <c r="D55" s="60"/>
      <c r="E55" s="60"/>
      <c r="F55" s="67"/>
      <c r="G55" s="61"/>
      <c r="H55" s="61"/>
      <c r="I55" s="61"/>
      <c r="J55" s="65" t="str">
        <f t="shared" si="1"/>
        <v/>
      </c>
      <c r="K55" s="2"/>
      <c r="L55" s="2"/>
    </row>
    <row r="56" spans="1:12" ht="18" customHeight="1" x14ac:dyDescent="0.3">
      <c r="A56" s="2"/>
      <c r="B56" s="65" t="str">
        <f t="shared" si="0"/>
        <v/>
      </c>
      <c r="C56" s="66"/>
      <c r="D56" s="60"/>
      <c r="E56" s="60"/>
      <c r="F56" s="67"/>
      <c r="G56" s="61"/>
      <c r="H56" s="61"/>
      <c r="I56" s="61"/>
      <c r="J56" s="65" t="str">
        <f t="shared" si="1"/>
        <v/>
      </c>
      <c r="K56" s="2"/>
      <c r="L56" s="2"/>
    </row>
    <row r="57" spans="1:12" ht="18" customHeight="1" x14ac:dyDescent="0.3">
      <c r="A57" s="2"/>
      <c r="B57" s="65" t="str">
        <f t="shared" si="0"/>
        <v/>
      </c>
      <c r="C57" s="66"/>
      <c r="D57" s="60"/>
      <c r="E57" s="60"/>
      <c r="F57" s="67"/>
      <c r="G57" s="61"/>
      <c r="H57" s="61"/>
      <c r="I57" s="61"/>
      <c r="J57" s="65" t="str">
        <f t="shared" si="1"/>
        <v/>
      </c>
      <c r="K57" s="2"/>
      <c r="L57" s="2"/>
    </row>
    <row r="58" spans="1:12" ht="18" customHeight="1" x14ac:dyDescent="0.3">
      <c r="A58" s="2"/>
      <c r="B58" s="65" t="str">
        <f t="shared" si="0"/>
        <v/>
      </c>
      <c r="C58" s="66"/>
      <c r="D58" s="60"/>
      <c r="E58" s="60"/>
      <c r="F58" s="67"/>
      <c r="G58" s="61"/>
      <c r="H58" s="61"/>
      <c r="I58" s="61"/>
      <c r="J58" s="65" t="str">
        <f t="shared" si="1"/>
        <v/>
      </c>
      <c r="K58" s="2"/>
      <c r="L58" s="2"/>
    </row>
    <row r="59" spans="1:12" ht="18" customHeight="1" x14ac:dyDescent="0.3">
      <c r="A59" s="2"/>
      <c r="B59" s="65" t="str">
        <f t="shared" si="0"/>
        <v/>
      </c>
      <c r="C59" s="66"/>
      <c r="D59" s="60"/>
      <c r="E59" s="60"/>
      <c r="F59" s="67"/>
      <c r="G59" s="61"/>
      <c r="H59" s="61"/>
      <c r="I59" s="61"/>
      <c r="J59" s="65" t="str">
        <f t="shared" si="1"/>
        <v/>
      </c>
      <c r="K59" s="2"/>
      <c r="L59" s="2"/>
    </row>
    <row r="60" spans="1:12" ht="18" customHeight="1" x14ac:dyDescent="0.3">
      <c r="A60" s="2"/>
      <c r="B60" s="65" t="str">
        <f t="shared" si="0"/>
        <v/>
      </c>
      <c r="C60" s="66"/>
      <c r="D60" s="60"/>
      <c r="E60" s="60"/>
      <c r="F60" s="67"/>
      <c r="G60" s="61"/>
      <c r="H60" s="61"/>
      <c r="I60" s="61"/>
      <c r="J60" s="65" t="str">
        <f t="shared" si="1"/>
        <v/>
      </c>
      <c r="K60" s="2"/>
      <c r="L60" s="2"/>
    </row>
    <row r="61" spans="1:12" ht="18" customHeight="1" x14ac:dyDescent="0.3">
      <c r="A61" s="2"/>
      <c r="B61" s="65" t="str">
        <f t="shared" si="0"/>
        <v/>
      </c>
      <c r="C61" s="66"/>
      <c r="D61" s="60"/>
      <c r="E61" s="60"/>
      <c r="F61" s="67"/>
      <c r="G61" s="61"/>
      <c r="H61" s="61"/>
      <c r="I61" s="61"/>
      <c r="J61" s="65" t="str">
        <f t="shared" si="1"/>
        <v/>
      </c>
      <c r="K61" s="2"/>
      <c r="L61" s="2"/>
    </row>
    <row r="62" spans="1:12" ht="18" customHeight="1" x14ac:dyDescent="0.3">
      <c r="A62" s="2"/>
      <c r="B62" s="65" t="str">
        <f t="shared" si="0"/>
        <v/>
      </c>
      <c r="C62" s="66"/>
      <c r="D62" s="60"/>
      <c r="E62" s="60"/>
      <c r="F62" s="67"/>
      <c r="G62" s="61"/>
      <c r="H62" s="61"/>
      <c r="I62" s="61"/>
      <c r="J62" s="65" t="str">
        <f t="shared" si="1"/>
        <v/>
      </c>
      <c r="K62" s="2"/>
      <c r="L62" s="2"/>
    </row>
    <row r="63" spans="1:12" ht="18" customHeight="1" x14ac:dyDescent="0.3">
      <c r="A63" s="2"/>
      <c r="B63" s="65" t="str">
        <f t="shared" si="0"/>
        <v/>
      </c>
      <c r="C63" s="66"/>
      <c r="D63" s="60"/>
      <c r="E63" s="60"/>
      <c r="F63" s="67"/>
      <c r="G63" s="61"/>
      <c r="H63" s="61"/>
      <c r="I63" s="61"/>
      <c r="J63" s="65" t="str">
        <f t="shared" si="1"/>
        <v/>
      </c>
      <c r="K63" s="2"/>
      <c r="L63" s="2"/>
    </row>
    <row r="64" spans="1:12" ht="18" customHeight="1" x14ac:dyDescent="0.3">
      <c r="A64" s="2"/>
      <c r="B64" s="65" t="str">
        <f t="shared" si="0"/>
        <v/>
      </c>
      <c r="C64" s="66"/>
      <c r="D64" s="60"/>
      <c r="E64" s="60"/>
      <c r="F64" s="67"/>
      <c r="G64" s="61"/>
      <c r="H64" s="61"/>
      <c r="I64" s="61"/>
      <c r="J64" s="65" t="str">
        <f t="shared" si="1"/>
        <v/>
      </c>
      <c r="K64" s="2"/>
      <c r="L64" s="2"/>
    </row>
    <row r="65" spans="1:12" ht="18" customHeight="1" x14ac:dyDescent="0.3">
      <c r="A65" s="2"/>
      <c r="B65" s="65" t="str">
        <f t="shared" si="0"/>
        <v/>
      </c>
      <c r="C65" s="66"/>
      <c r="D65" s="60"/>
      <c r="E65" s="60"/>
      <c r="F65" s="67"/>
      <c r="G65" s="61"/>
      <c r="H65" s="61"/>
      <c r="I65" s="61"/>
      <c r="J65" s="65" t="str">
        <f t="shared" si="1"/>
        <v/>
      </c>
      <c r="K65" s="2"/>
      <c r="L65" s="2"/>
    </row>
    <row r="66" spans="1:12" ht="18" customHeight="1" x14ac:dyDescent="0.3">
      <c r="A66" s="2"/>
      <c r="B66" s="65" t="str">
        <f t="shared" si="0"/>
        <v/>
      </c>
      <c r="C66" s="66"/>
      <c r="D66" s="60"/>
      <c r="E66" s="60"/>
      <c r="F66" s="67"/>
      <c r="G66" s="61"/>
      <c r="H66" s="61"/>
      <c r="I66" s="61"/>
      <c r="J66" s="65" t="str">
        <f t="shared" si="1"/>
        <v/>
      </c>
      <c r="K66" s="2"/>
      <c r="L66" s="2"/>
    </row>
    <row r="67" spans="1:12" ht="18" customHeight="1" x14ac:dyDescent="0.3">
      <c r="A67" s="2"/>
      <c r="B67" s="65" t="str">
        <f t="shared" si="0"/>
        <v/>
      </c>
      <c r="C67" s="66"/>
      <c r="D67" s="60"/>
      <c r="E67" s="60"/>
      <c r="F67" s="67"/>
      <c r="G67" s="61"/>
      <c r="H67" s="61"/>
      <c r="I67" s="61"/>
      <c r="J67" s="65" t="str">
        <f t="shared" si="1"/>
        <v/>
      </c>
      <c r="K67" s="2"/>
      <c r="L67" s="2"/>
    </row>
    <row r="68" spans="1:12" ht="18" customHeight="1" x14ac:dyDescent="0.3">
      <c r="A68" s="2"/>
      <c r="B68" s="65" t="str">
        <f t="shared" si="0"/>
        <v/>
      </c>
      <c r="C68" s="66"/>
      <c r="D68" s="60"/>
      <c r="E68" s="60"/>
      <c r="F68" s="67"/>
      <c r="G68" s="61"/>
      <c r="H68" s="61"/>
      <c r="I68" s="61"/>
      <c r="J68" s="65" t="str">
        <f t="shared" si="1"/>
        <v/>
      </c>
      <c r="K68" s="2"/>
      <c r="L68" s="2"/>
    </row>
    <row r="69" spans="1:12" ht="18" customHeight="1" x14ac:dyDescent="0.3">
      <c r="A69" s="2"/>
      <c r="B69" s="65" t="str">
        <f t="shared" si="0"/>
        <v/>
      </c>
      <c r="C69" s="66"/>
      <c r="D69" s="60"/>
      <c r="E69" s="60"/>
      <c r="F69" s="67"/>
      <c r="G69" s="61"/>
      <c r="H69" s="61"/>
      <c r="I69" s="61"/>
      <c r="J69" s="65" t="str">
        <f t="shared" si="1"/>
        <v/>
      </c>
      <c r="K69" s="2"/>
      <c r="L69" s="2"/>
    </row>
    <row r="70" spans="1:12" ht="18" customHeight="1" x14ac:dyDescent="0.3">
      <c r="A70" s="2"/>
      <c r="B70" s="65" t="str">
        <f t="shared" si="0"/>
        <v/>
      </c>
      <c r="C70" s="66"/>
      <c r="D70" s="60"/>
      <c r="E70" s="60"/>
      <c r="F70" s="67"/>
      <c r="G70" s="61"/>
      <c r="H70" s="61"/>
      <c r="I70" s="61"/>
      <c r="J70" s="65" t="str">
        <f t="shared" si="1"/>
        <v/>
      </c>
      <c r="K70" s="2"/>
      <c r="L70" s="2"/>
    </row>
    <row r="71" spans="1:12" ht="18" customHeight="1" x14ac:dyDescent="0.3">
      <c r="A71" s="2"/>
      <c r="B71" s="65" t="str">
        <f t="shared" ref="B71:B134" si="2">IF($C71="","","V"&amp;TEXT(ROW()-6,"00000"))</f>
        <v/>
      </c>
      <c r="C71" s="66"/>
      <c r="D71" s="60"/>
      <c r="E71" s="60"/>
      <c r="F71" s="67"/>
      <c r="G71" s="61"/>
      <c r="H71" s="61"/>
      <c r="I71" s="61"/>
      <c r="J71" s="65" t="str">
        <f t="shared" ref="J71:J134" si="3">IF($C71="","",IF(AND($D71&lt;&gt;"",$E71&lt;&gt;"",$D71&lt;&gt;$E71,$F71&gt;0),"UYGUN","HATA"))</f>
        <v/>
      </c>
      <c r="K71" s="2"/>
      <c r="L71" s="2"/>
    </row>
    <row r="72" spans="1:12" ht="18" customHeight="1" x14ac:dyDescent="0.3">
      <c r="A72" s="2"/>
      <c r="B72" s="65" t="str">
        <f t="shared" si="2"/>
        <v/>
      </c>
      <c r="C72" s="66"/>
      <c r="D72" s="60"/>
      <c r="E72" s="60"/>
      <c r="F72" s="67"/>
      <c r="G72" s="61"/>
      <c r="H72" s="61"/>
      <c r="I72" s="61"/>
      <c r="J72" s="65" t="str">
        <f t="shared" si="3"/>
        <v/>
      </c>
      <c r="K72" s="2"/>
      <c r="L72" s="2"/>
    </row>
    <row r="73" spans="1:12" ht="18" customHeight="1" x14ac:dyDescent="0.3">
      <c r="A73" s="2"/>
      <c r="B73" s="65" t="str">
        <f t="shared" si="2"/>
        <v/>
      </c>
      <c r="C73" s="66"/>
      <c r="D73" s="60"/>
      <c r="E73" s="60"/>
      <c r="F73" s="67"/>
      <c r="G73" s="61"/>
      <c r="H73" s="61"/>
      <c r="I73" s="61"/>
      <c r="J73" s="65" t="str">
        <f t="shared" si="3"/>
        <v/>
      </c>
      <c r="K73" s="2"/>
      <c r="L73" s="2"/>
    </row>
    <row r="74" spans="1:12" ht="18" customHeight="1" x14ac:dyDescent="0.3">
      <c r="A74" s="2"/>
      <c r="B74" s="65" t="str">
        <f t="shared" si="2"/>
        <v/>
      </c>
      <c r="C74" s="66"/>
      <c r="D74" s="60"/>
      <c r="E74" s="60"/>
      <c r="F74" s="67"/>
      <c r="G74" s="61"/>
      <c r="H74" s="61"/>
      <c r="I74" s="61"/>
      <c r="J74" s="65" t="str">
        <f t="shared" si="3"/>
        <v/>
      </c>
      <c r="K74" s="2"/>
      <c r="L74" s="2"/>
    </row>
    <row r="75" spans="1:12" ht="18" customHeight="1" x14ac:dyDescent="0.3">
      <c r="A75" s="2"/>
      <c r="B75" s="65" t="str">
        <f t="shared" si="2"/>
        <v/>
      </c>
      <c r="C75" s="66"/>
      <c r="D75" s="60"/>
      <c r="E75" s="60"/>
      <c r="F75" s="67"/>
      <c r="G75" s="61"/>
      <c r="H75" s="61"/>
      <c r="I75" s="61"/>
      <c r="J75" s="65" t="str">
        <f t="shared" si="3"/>
        <v/>
      </c>
      <c r="K75" s="2"/>
      <c r="L75" s="2"/>
    </row>
    <row r="76" spans="1:12" ht="18" customHeight="1" x14ac:dyDescent="0.3">
      <c r="A76" s="2"/>
      <c r="B76" s="65" t="str">
        <f t="shared" si="2"/>
        <v/>
      </c>
      <c r="C76" s="66"/>
      <c r="D76" s="60"/>
      <c r="E76" s="60"/>
      <c r="F76" s="67"/>
      <c r="G76" s="61"/>
      <c r="H76" s="61"/>
      <c r="I76" s="61"/>
      <c r="J76" s="65" t="str">
        <f t="shared" si="3"/>
        <v/>
      </c>
      <c r="K76" s="2"/>
      <c r="L76" s="2"/>
    </row>
    <row r="77" spans="1:12" ht="18" customHeight="1" x14ac:dyDescent="0.3">
      <c r="A77" s="2"/>
      <c r="B77" s="65" t="str">
        <f t="shared" si="2"/>
        <v/>
      </c>
      <c r="C77" s="66"/>
      <c r="D77" s="60"/>
      <c r="E77" s="60"/>
      <c r="F77" s="67"/>
      <c r="G77" s="61"/>
      <c r="H77" s="61"/>
      <c r="I77" s="61"/>
      <c r="J77" s="65" t="str">
        <f t="shared" si="3"/>
        <v/>
      </c>
      <c r="K77" s="2"/>
      <c r="L77" s="2"/>
    </row>
    <row r="78" spans="1:12" ht="18" customHeight="1" x14ac:dyDescent="0.3">
      <c r="A78" s="2"/>
      <c r="B78" s="65" t="str">
        <f t="shared" si="2"/>
        <v/>
      </c>
      <c r="C78" s="66"/>
      <c r="D78" s="60"/>
      <c r="E78" s="60"/>
      <c r="F78" s="67"/>
      <c r="G78" s="61"/>
      <c r="H78" s="61"/>
      <c r="I78" s="61"/>
      <c r="J78" s="65" t="str">
        <f t="shared" si="3"/>
        <v/>
      </c>
      <c r="K78" s="2"/>
      <c r="L78" s="2"/>
    </row>
    <row r="79" spans="1:12" ht="18" customHeight="1" x14ac:dyDescent="0.3">
      <c r="A79" s="2"/>
      <c r="B79" s="65" t="str">
        <f t="shared" si="2"/>
        <v/>
      </c>
      <c r="C79" s="66"/>
      <c r="D79" s="60"/>
      <c r="E79" s="60"/>
      <c r="F79" s="67"/>
      <c r="G79" s="61"/>
      <c r="H79" s="61"/>
      <c r="I79" s="61"/>
      <c r="J79" s="65" t="str">
        <f t="shared" si="3"/>
        <v/>
      </c>
      <c r="K79" s="2"/>
      <c r="L79" s="2"/>
    </row>
    <row r="80" spans="1:12" ht="18" customHeight="1" x14ac:dyDescent="0.3">
      <c r="A80" s="2"/>
      <c r="B80" s="65" t="str">
        <f t="shared" si="2"/>
        <v/>
      </c>
      <c r="C80" s="66"/>
      <c r="D80" s="60"/>
      <c r="E80" s="60"/>
      <c r="F80" s="67"/>
      <c r="G80" s="61"/>
      <c r="H80" s="61"/>
      <c r="I80" s="61"/>
      <c r="J80" s="65" t="str">
        <f t="shared" si="3"/>
        <v/>
      </c>
      <c r="K80" s="2"/>
      <c r="L80" s="2"/>
    </row>
    <row r="81" spans="1:12" ht="18" customHeight="1" x14ac:dyDescent="0.3">
      <c r="A81" s="2"/>
      <c r="B81" s="65" t="str">
        <f t="shared" si="2"/>
        <v/>
      </c>
      <c r="C81" s="66"/>
      <c r="D81" s="60"/>
      <c r="E81" s="60"/>
      <c r="F81" s="67"/>
      <c r="G81" s="61"/>
      <c r="H81" s="61"/>
      <c r="I81" s="61"/>
      <c r="J81" s="65" t="str">
        <f t="shared" si="3"/>
        <v/>
      </c>
      <c r="K81" s="2"/>
      <c r="L81" s="2"/>
    </row>
    <row r="82" spans="1:12" ht="18" customHeight="1" x14ac:dyDescent="0.3">
      <c r="A82" s="2"/>
      <c r="B82" s="65" t="str">
        <f t="shared" si="2"/>
        <v/>
      </c>
      <c r="C82" s="66"/>
      <c r="D82" s="60"/>
      <c r="E82" s="60"/>
      <c r="F82" s="67"/>
      <c r="G82" s="61"/>
      <c r="H82" s="61"/>
      <c r="I82" s="61"/>
      <c r="J82" s="65" t="str">
        <f t="shared" si="3"/>
        <v/>
      </c>
      <c r="K82" s="2"/>
      <c r="L82" s="2"/>
    </row>
    <row r="83" spans="1:12" ht="18" customHeight="1" x14ac:dyDescent="0.3">
      <c r="A83" s="2"/>
      <c r="B83" s="65" t="str">
        <f t="shared" si="2"/>
        <v/>
      </c>
      <c r="C83" s="66"/>
      <c r="D83" s="60"/>
      <c r="E83" s="60"/>
      <c r="F83" s="67"/>
      <c r="G83" s="61"/>
      <c r="H83" s="61"/>
      <c r="I83" s="61"/>
      <c r="J83" s="65" t="str">
        <f t="shared" si="3"/>
        <v/>
      </c>
      <c r="K83" s="2"/>
      <c r="L83" s="2"/>
    </row>
    <row r="84" spans="1:12" ht="18" customHeight="1" x14ac:dyDescent="0.3">
      <c r="A84" s="2"/>
      <c r="B84" s="65" t="str">
        <f t="shared" si="2"/>
        <v/>
      </c>
      <c r="C84" s="66"/>
      <c r="D84" s="60"/>
      <c r="E84" s="60"/>
      <c r="F84" s="67"/>
      <c r="G84" s="61"/>
      <c r="H84" s="61"/>
      <c r="I84" s="61"/>
      <c r="J84" s="65" t="str">
        <f t="shared" si="3"/>
        <v/>
      </c>
      <c r="K84" s="2"/>
      <c r="L84" s="2"/>
    </row>
    <row r="85" spans="1:12" ht="18" customHeight="1" x14ac:dyDescent="0.3">
      <c r="A85" s="2"/>
      <c r="B85" s="65" t="str">
        <f t="shared" si="2"/>
        <v/>
      </c>
      <c r="C85" s="66"/>
      <c r="D85" s="60"/>
      <c r="E85" s="60"/>
      <c r="F85" s="67"/>
      <c r="G85" s="61"/>
      <c r="H85" s="61"/>
      <c r="I85" s="61"/>
      <c r="J85" s="65" t="str">
        <f t="shared" si="3"/>
        <v/>
      </c>
      <c r="K85" s="2"/>
      <c r="L85" s="2"/>
    </row>
    <row r="86" spans="1:12" ht="18" customHeight="1" x14ac:dyDescent="0.3">
      <c r="A86" s="2"/>
      <c r="B86" s="65" t="str">
        <f t="shared" si="2"/>
        <v/>
      </c>
      <c r="C86" s="66"/>
      <c r="D86" s="60"/>
      <c r="E86" s="60"/>
      <c r="F86" s="67"/>
      <c r="G86" s="61"/>
      <c r="H86" s="61"/>
      <c r="I86" s="61"/>
      <c r="J86" s="65" t="str">
        <f t="shared" si="3"/>
        <v/>
      </c>
      <c r="K86" s="2"/>
      <c r="L86" s="2"/>
    </row>
    <row r="87" spans="1:12" ht="18" customHeight="1" x14ac:dyDescent="0.3">
      <c r="A87" s="2"/>
      <c r="B87" s="65" t="str">
        <f t="shared" si="2"/>
        <v/>
      </c>
      <c r="C87" s="66"/>
      <c r="D87" s="60"/>
      <c r="E87" s="60"/>
      <c r="F87" s="67"/>
      <c r="G87" s="61"/>
      <c r="H87" s="61"/>
      <c r="I87" s="61"/>
      <c r="J87" s="65" t="str">
        <f t="shared" si="3"/>
        <v/>
      </c>
      <c r="K87" s="2"/>
      <c r="L87" s="2"/>
    </row>
    <row r="88" spans="1:12" ht="18" customHeight="1" x14ac:dyDescent="0.3">
      <c r="A88" s="2"/>
      <c r="B88" s="65" t="str">
        <f t="shared" si="2"/>
        <v/>
      </c>
      <c r="C88" s="66"/>
      <c r="D88" s="60"/>
      <c r="E88" s="60"/>
      <c r="F88" s="67"/>
      <c r="G88" s="61"/>
      <c r="H88" s="61"/>
      <c r="I88" s="61"/>
      <c r="J88" s="65" t="str">
        <f t="shared" si="3"/>
        <v/>
      </c>
      <c r="K88" s="2"/>
      <c r="L88" s="2"/>
    </row>
    <row r="89" spans="1:12" ht="18" customHeight="1" x14ac:dyDescent="0.3">
      <c r="A89" s="2"/>
      <c r="B89" s="65" t="str">
        <f t="shared" si="2"/>
        <v/>
      </c>
      <c r="C89" s="66"/>
      <c r="D89" s="60"/>
      <c r="E89" s="60"/>
      <c r="F89" s="67"/>
      <c r="G89" s="61"/>
      <c r="H89" s="61"/>
      <c r="I89" s="61"/>
      <c r="J89" s="65" t="str">
        <f t="shared" si="3"/>
        <v/>
      </c>
      <c r="K89" s="2"/>
      <c r="L89" s="2"/>
    </row>
    <row r="90" spans="1:12" ht="18" customHeight="1" x14ac:dyDescent="0.3">
      <c r="A90" s="2"/>
      <c r="B90" s="65" t="str">
        <f t="shared" si="2"/>
        <v/>
      </c>
      <c r="C90" s="66"/>
      <c r="D90" s="60"/>
      <c r="E90" s="60"/>
      <c r="F90" s="67"/>
      <c r="G90" s="61"/>
      <c r="H90" s="61"/>
      <c r="I90" s="61"/>
      <c r="J90" s="65" t="str">
        <f t="shared" si="3"/>
        <v/>
      </c>
      <c r="K90" s="2"/>
      <c r="L90" s="2"/>
    </row>
    <row r="91" spans="1:12" ht="18" customHeight="1" x14ac:dyDescent="0.3">
      <c r="A91" s="2"/>
      <c r="B91" s="65" t="str">
        <f t="shared" si="2"/>
        <v/>
      </c>
      <c r="C91" s="66"/>
      <c r="D91" s="60"/>
      <c r="E91" s="60"/>
      <c r="F91" s="67"/>
      <c r="G91" s="61"/>
      <c r="H91" s="61"/>
      <c r="I91" s="61"/>
      <c r="J91" s="65" t="str">
        <f t="shared" si="3"/>
        <v/>
      </c>
      <c r="K91" s="2"/>
      <c r="L91" s="2"/>
    </row>
    <row r="92" spans="1:12" ht="18" customHeight="1" x14ac:dyDescent="0.3">
      <c r="A92" s="2"/>
      <c r="B92" s="65" t="str">
        <f t="shared" si="2"/>
        <v/>
      </c>
      <c r="C92" s="66"/>
      <c r="D92" s="60"/>
      <c r="E92" s="60"/>
      <c r="F92" s="67"/>
      <c r="G92" s="61"/>
      <c r="H92" s="61"/>
      <c r="I92" s="61"/>
      <c r="J92" s="65" t="str">
        <f t="shared" si="3"/>
        <v/>
      </c>
      <c r="K92" s="2"/>
      <c r="L92" s="2"/>
    </row>
    <row r="93" spans="1:12" ht="18" customHeight="1" x14ac:dyDescent="0.3">
      <c r="A93" s="2"/>
      <c r="B93" s="65" t="str">
        <f t="shared" si="2"/>
        <v/>
      </c>
      <c r="C93" s="66"/>
      <c r="D93" s="60"/>
      <c r="E93" s="60"/>
      <c r="F93" s="67"/>
      <c r="G93" s="61"/>
      <c r="H93" s="61"/>
      <c r="I93" s="61"/>
      <c r="J93" s="65" t="str">
        <f t="shared" si="3"/>
        <v/>
      </c>
      <c r="K93" s="2"/>
      <c r="L93" s="2"/>
    </row>
    <row r="94" spans="1:12" ht="18" customHeight="1" x14ac:dyDescent="0.3">
      <c r="A94" s="2"/>
      <c r="B94" s="65" t="str">
        <f t="shared" si="2"/>
        <v/>
      </c>
      <c r="C94" s="66"/>
      <c r="D94" s="60"/>
      <c r="E94" s="60"/>
      <c r="F94" s="67"/>
      <c r="G94" s="61"/>
      <c r="H94" s="61"/>
      <c r="I94" s="61"/>
      <c r="J94" s="65" t="str">
        <f t="shared" si="3"/>
        <v/>
      </c>
      <c r="K94" s="2"/>
      <c r="L94" s="2"/>
    </row>
    <row r="95" spans="1:12" ht="18" customHeight="1" x14ac:dyDescent="0.3">
      <c r="A95" s="2"/>
      <c r="B95" s="65" t="str">
        <f t="shared" si="2"/>
        <v/>
      </c>
      <c r="C95" s="66"/>
      <c r="D95" s="60"/>
      <c r="E95" s="60"/>
      <c r="F95" s="67"/>
      <c r="G95" s="61"/>
      <c r="H95" s="61"/>
      <c r="I95" s="61"/>
      <c r="J95" s="65" t="str">
        <f t="shared" si="3"/>
        <v/>
      </c>
      <c r="K95" s="2"/>
      <c r="L95" s="2"/>
    </row>
    <row r="96" spans="1:12" ht="18" customHeight="1" x14ac:dyDescent="0.3">
      <c r="A96" s="2"/>
      <c r="B96" s="65" t="str">
        <f t="shared" si="2"/>
        <v/>
      </c>
      <c r="C96" s="66"/>
      <c r="D96" s="60"/>
      <c r="E96" s="60"/>
      <c r="F96" s="67"/>
      <c r="G96" s="61"/>
      <c r="H96" s="61"/>
      <c r="I96" s="61"/>
      <c r="J96" s="65" t="str">
        <f t="shared" si="3"/>
        <v/>
      </c>
      <c r="K96" s="2"/>
      <c r="L96" s="2"/>
    </row>
    <row r="97" spans="1:12" ht="18" customHeight="1" x14ac:dyDescent="0.3">
      <c r="A97" s="2"/>
      <c r="B97" s="65" t="str">
        <f t="shared" si="2"/>
        <v/>
      </c>
      <c r="C97" s="66"/>
      <c r="D97" s="60"/>
      <c r="E97" s="60"/>
      <c r="F97" s="67"/>
      <c r="G97" s="61"/>
      <c r="H97" s="61"/>
      <c r="I97" s="61"/>
      <c r="J97" s="65" t="str">
        <f t="shared" si="3"/>
        <v/>
      </c>
      <c r="K97" s="2"/>
      <c r="L97" s="2"/>
    </row>
    <row r="98" spans="1:12" ht="18" customHeight="1" x14ac:dyDescent="0.3">
      <c r="A98" s="2"/>
      <c r="B98" s="65" t="str">
        <f t="shared" si="2"/>
        <v/>
      </c>
      <c r="C98" s="66"/>
      <c r="D98" s="60"/>
      <c r="E98" s="60"/>
      <c r="F98" s="67"/>
      <c r="G98" s="61"/>
      <c r="H98" s="61"/>
      <c r="I98" s="61"/>
      <c r="J98" s="65" t="str">
        <f t="shared" si="3"/>
        <v/>
      </c>
      <c r="K98" s="2"/>
      <c r="L98" s="2"/>
    </row>
    <row r="99" spans="1:12" ht="18" customHeight="1" x14ac:dyDescent="0.3">
      <c r="A99" s="2"/>
      <c r="B99" s="65" t="str">
        <f t="shared" si="2"/>
        <v/>
      </c>
      <c r="C99" s="66"/>
      <c r="D99" s="60"/>
      <c r="E99" s="60"/>
      <c r="F99" s="67"/>
      <c r="G99" s="61"/>
      <c r="H99" s="61"/>
      <c r="I99" s="61"/>
      <c r="J99" s="65" t="str">
        <f t="shared" si="3"/>
        <v/>
      </c>
      <c r="K99" s="2"/>
      <c r="L99" s="2"/>
    </row>
    <row r="100" spans="1:12" ht="18" customHeight="1" x14ac:dyDescent="0.3">
      <c r="A100" s="2"/>
      <c r="B100" s="65" t="str">
        <f t="shared" si="2"/>
        <v/>
      </c>
      <c r="C100" s="66"/>
      <c r="D100" s="60"/>
      <c r="E100" s="60"/>
      <c r="F100" s="67"/>
      <c r="G100" s="61"/>
      <c r="H100" s="61"/>
      <c r="I100" s="61"/>
      <c r="J100" s="65" t="str">
        <f t="shared" si="3"/>
        <v/>
      </c>
      <c r="K100" s="2"/>
      <c r="L100" s="2"/>
    </row>
    <row r="101" spans="1:12" ht="18" customHeight="1" x14ac:dyDescent="0.3">
      <c r="A101" s="2"/>
      <c r="B101" s="65" t="str">
        <f t="shared" si="2"/>
        <v/>
      </c>
      <c r="C101" s="66"/>
      <c r="D101" s="60"/>
      <c r="E101" s="60"/>
      <c r="F101" s="67"/>
      <c r="G101" s="61"/>
      <c r="H101" s="61"/>
      <c r="I101" s="61"/>
      <c r="J101" s="65" t="str">
        <f t="shared" si="3"/>
        <v/>
      </c>
      <c r="K101" s="2"/>
      <c r="L101" s="2"/>
    </row>
    <row r="102" spans="1:12" ht="18" customHeight="1" x14ac:dyDescent="0.3">
      <c r="A102" s="2"/>
      <c r="B102" s="65" t="str">
        <f t="shared" si="2"/>
        <v/>
      </c>
      <c r="C102" s="66"/>
      <c r="D102" s="60"/>
      <c r="E102" s="60"/>
      <c r="F102" s="67"/>
      <c r="G102" s="61"/>
      <c r="H102" s="61"/>
      <c r="I102" s="61"/>
      <c r="J102" s="65" t="str">
        <f t="shared" si="3"/>
        <v/>
      </c>
      <c r="K102" s="2"/>
      <c r="L102" s="2"/>
    </row>
    <row r="103" spans="1:12" ht="18" customHeight="1" x14ac:dyDescent="0.3">
      <c r="A103" s="2"/>
      <c r="B103" s="65" t="str">
        <f t="shared" si="2"/>
        <v/>
      </c>
      <c r="C103" s="66"/>
      <c r="D103" s="60"/>
      <c r="E103" s="60"/>
      <c r="F103" s="67"/>
      <c r="G103" s="61"/>
      <c r="H103" s="61"/>
      <c r="I103" s="61"/>
      <c r="J103" s="65" t="str">
        <f t="shared" si="3"/>
        <v/>
      </c>
      <c r="K103" s="2"/>
      <c r="L103" s="2"/>
    </row>
    <row r="104" spans="1:12" ht="18" customHeight="1" x14ac:dyDescent="0.3">
      <c r="A104" s="2"/>
      <c r="B104" s="65" t="str">
        <f t="shared" si="2"/>
        <v/>
      </c>
      <c r="C104" s="66"/>
      <c r="D104" s="60"/>
      <c r="E104" s="60"/>
      <c r="F104" s="67"/>
      <c r="G104" s="61"/>
      <c r="H104" s="61"/>
      <c r="I104" s="61"/>
      <c r="J104" s="65" t="str">
        <f t="shared" si="3"/>
        <v/>
      </c>
      <c r="K104" s="2"/>
      <c r="L104" s="2"/>
    </row>
    <row r="105" spans="1:12" ht="18" customHeight="1" x14ac:dyDescent="0.3">
      <c r="A105" s="2"/>
      <c r="B105" s="65" t="str">
        <f t="shared" si="2"/>
        <v/>
      </c>
      <c r="C105" s="66"/>
      <c r="D105" s="60"/>
      <c r="E105" s="60"/>
      <c r="F105" s="67"/>
      <c r="G105" s="61"/>
      <c r="H105" s="61"/>
      <c r="I105" s="61"/>
      <c r="J105" s="65" t="str">
        <f t="shared" si="3"/>
        <v/>
      </c>
      <c r="K105" s="2"/>
      <c r="L105" s="2"/>
    </row>
    <row r="106" spans="1:12" ht="18" customHeight="1" x14ac:dyDescent="0.3">
      <c r="A106" s="2"/>
      <c r="B106" s="65" t="str">
        <f t="shared" si="2"/>
        <v/>
      </c>
      <c r="C106" s="66"/>
      <c r="D106" s="60"/>
      <c r="E106" s="60"/>
      <c r="F106" s="67"/>
      <c r="G106" s="61"/>
      <c r="H106" s="61"/>
      <c r="I106" s="61"/>
      <c r="J106" s="65" t="str">
        <f t="shared" si="3"/>
        <v/>
      </c>
      <c r="K106" s="2"/>
      <c r="L106" s="2"/>
    </row>
    <row r="107" spans="1:12" ht="18" customHeight="1" x14ac:dyDescent="0.3">
      <c r="A107" s="2"/>
      <c r="B107" s="65" t="str">
        <f t="shared" si="2"/>
        <v/>
      </c>
      <c r="C107" s="66"/>
      <c r="D107" s="60"/>
      <c r="E107" s="60"/>
      <c r="F107" s="67"/>
      <c r="G107" s="61"/>
      <c r="H107" s="61"/>
      <c r="I107" s="61"/>
      <c r="J107" s="65" t="str">
        <f t="shared" si="3"/>
        <v/>
      </c>
      <c r="K107" s="2"/>
      <c r="L107" s="2"/>
    </row>
    <row r="108" spans="1:12" ht="18" customHeight="1" x14ac:dyDescent="0.3">
      <c r="A108" s="2"/>
      <c r="B108" s="65" t="str">
        <f t="shared" si="2"/>
        <v/>
      </c>
      <c r="C108" s="66"/>
      <c r="D108" s="60"/>
      <c r="E108" s="60"/>
      <c r="F108" s="67"/>
      <c r="G108" s="61"/>
      <c r="H108" s="61"/>
      <c r="I108" s="61"/>
      <c r="J108" s="65" t="str">
        <f t="shared" si="3"/>
        <v/>
      </c>
      <c r="K108" s="2"/>
      <c r="L108" s="2"/>
    </row>
    <row r="109" spans="1:12" ht="18" customHeight="1" x14ac:dyDescent="0.3">
      <c r="A109" s="2"/>
      <c r="B109" s="65" t="str">
        <f t="shared" si="2"/>
        <v/>
      </c>
      <c r="C109" s="66"/>
      <c r="D109" s="60"/>
      <c r="E109" s="60"/>
      <c r="F109" s="67"/>
      <c r="G109" s="61"/>
      <c r="H109" s="61"/>
      <c r="I109" s="61"/>
      <c r="J109" s="65" t="str">
        <f t="shared" si="3"/>
        <v/>
      </c>
      <c r="K109" s="2"/>
      <c r="L109" s="2"/>
    </row>
    <row r="110" spans="1:12" ht="18" customHeight="1" x14ac:dyDescent="0.3">
      <c r="A110" s="2"/>
      <c r="B110" s="65" t="str">
        <f t="shared" si="2"/>
        <v/>
      </c>
      <c r="C110" s="66"/>
      <c r="D110" s="60"/>
      <c r="E110" s="60"/>
      <c r="F110" s="67"/>
      <c r="G110" s="61"/>
      <c r="H110" s="61"/>
      <c r="I110" s="61"/>
      <c r="J110" s="65" t="str">
        <f t="shared" si="3"/>
        <v/>
      </c>
      <c r="K110" s="2"/>
      <c r="L110" s="2"/>
    </row>
    <row r="111" spans="1:12" ht="18" customHeight="1" x14ac:dyDescent="0.3">
      <c r="A111" s="2"/>
      <c r="B111" s="65" t="str">
        <f t="shared" si="2"/>
        <v/>
      </c>
      <c r="C111" s="66"/>
      <c r="D111" s="60"/>
      <c r="E111" s="60"/>
      <c r="F111" s="67"/>
      <c r="G111" s="61"/>
      <c r="H111" s="61"/>
      <c r="I111" s="61"/>
      <c r="J111" s="65" t="str">
        <f t="shared" si="3"/>
        <v/>
      </c>
      <c r="K111" s="2"/>
      <c r="L111" s="2"/>
    </row>
    <row r="112" spans="1:12" ht="18" customHeight="1" x14ac:dyDescent="0.3">
      <c r="A112" s="2"/>
      <c r="B112" s="65" t="str">
        <f t="shared" si="2"/>
        <v/>
      </c>
      <c r="C112" s="66"/>
      <c r="D112" s="60"/>
      <c r="E112" s="60"/>
      <c r="F112" s="67"/>
      <c r="G112" s="61"/>
      <c r="H112" s="61"/>
      <c r="I112" s="61"/>
      <c r="J112" s="65" t="str">
        <f t="shared" si="3"/>
        <v/>
      </c>
      <c r="K112" s="2"/>
      <c r="L112" s="2"/>
    </row>
    <row r="113" spans="1:12" ht="18" customHeight="1" x14ac:dyDescent="0.3">
      <c r="A113" s="2"/>
      <c r="B113" s="65" t="str">
        <f t="shared" si="2"/>
        <v/>
      </c>
      <c r="C113" s="66"/>
      <c r="D113" s="60"/>
      <c r="E113" s="60"/>
      <c r="F113" s="67"/>
      <c r="G113" s="61"/>
      <c r="H113" s="61"/>
      <c r="I113" s="61"/>
      <c r="J113" s="65" t="str">
        <f t="shared" si="3"/>
        <v/>
      </c>
      <c r="K113" s="2"/>
      <c r="L113" s="2"/>
    </row>
    <row r="114" spans="1:12" ht="18" customHeight="1" x14ac:dyDescent="0.3">
      <c r="A114" s="2"/>
      <c r="B114" s="65" t="str">
        <f t="shared" si="2"/>
        <v/>
      </c>
      <c r="C114" s="66"/>
      <c r="D114" s="60"/>
      <c r="E114" s="60"/>
      <c r="F114" s="67"/>
      <c r="G114" s="61"/>
      <c r="H114" s="61"/>
      <c r="I114" s="61"/>
      <c r="J114" s="65" t="str">
        <f t="shared" si="3"/>
        <v/>
      </c>
      <c r="K114" s="2"/>
      <c r="L114" s="2"/>
    </row>
    <row r="115" spans="1:12" ht="18" customHeight="1" x14ac:dyDescent="0.3">
      <c r="A115" s="2"/>
      <c r="B115" s="65" t="str">
        <f t="shared" si="2"/>
        <v/>
      </c>
      <c r="C115" s="66"/>
      <c r="D115" s="60"/>
      <c r="E115" s="60"/>
      <c r="F115" s="67"/>
      <c r="G115" s="61"/>
      <c r="H115" s="61"/>
      <c r="I115" s="61"/>
      <c r="J115" s="65" t="str">
        <f t="shared" si="3"/>
        <v/>
      </c>
      <c r="K115" s="2"/>
      <c r="L115" s="2"/>
    </row>
    <row r="116" spans="1:12" ht="18" customHeight="1" x14ac:dyDescent="0.3">
      <c r="A116" s="2"/>
      <c r="B116" s="65" t="str">
        <f t="shared" si="2"/>
        <v/>
      </c>
      <c r="C116" s="66"/>
      <c r="D116" s="60"/>
      <c r="E116" s="60"/>
      <c r="F116" s="67"/>
      <c r="G116" s="61"/>
      <c r="H116" s="61"/>
      <c r="I116" s="61"/>
      <c r="J116" s="65" t="str">
        <f t="shared" si="3"/>
        <v/>
      </c>
      <c r="K116" s="2"/>
      <c r="L116" s="2"/>
    </row>
    <row r="117" spans="1:12" ht="18" customHeight="1" x14ac:dyDescent="0.3">
      <c r="A117" s="2"/>
      <c r="B117" s="65" t="str">
        <f t="shared" si="2"/>
        <v/>
      </c>
      <c r="C117" s="66"/>
      <c r="D117" s="60"/>
      <c r="E117" s="60"/>
      <c r="F117" s="67"/>
      <c r="G117" s="61"/>
      <c r="H117" s="61"/>
      <c r="I117" s="61"/>
      <c r="J117" s="65" t="str">
        <f t="shared" si="3"/>
        <v/>
      </c>
      <c r="K117" s="2"/>
      <c r="L117" s="2"/>
    </row>
    <row r="118" spans="1:12" ht="18" customHeight="1" x14ac:dyDescent="0.3">
      <c r="A118" s="2"/>
      <c r="B118" s="65" t="str">
        <f t="shared" si="2"/>
        <v/>
      </c>
      <c r="C118" s="66"/>
      <c r="D118" s="60"/>
      <c r="E118" s="60"/>
      <c r="F118" s="67"/>
      <c r="G118" s="61"/>
      <c r="H118" s="61"/>
      <c r="I118" s="61"/>
      <c r="J118" s="65" t="str">
        <f t="shared" si="3"/>
        <v/>
      </c>
      <c r="K118" s="2"/>
      <c r="L118" s="2"/>
    </row>
    <row r="119" spans="1:12" ht="18" customHeight="1" x14ac:dyDescent="0.3">
      <c r="A119" s="2"/>
      <c r="B119" s="65" t="str">
        <f t="shared" si="2"/>
        <v/>
      </c>
      <c r="C119" s="66"/>
      <c r="D119" s="60"/>
      <c r="E119" s="60"/>
      <c r="F119" s="67"/>
      <c r="G119" s="61"/>
      <c r="H119" s="61"/>
      <c r="I119" s="61"/>
      <c r="J119" s="65" t="str">
        <f t="shared" si="3"/>
        <v/>
      </c>
      <c r="K119" s="2"/>
      <c r="L119" s="2"/>
    </row>
    <row r="120" spans="1:12" ht="18" customHeight="1" x14ac:dyDescent="0.3">
      <c r="A120" s="2"/>
      <c r="B120" s="65" t="str">
        <f t="shared" si="2"/>
        <v/>
      </c>
      <c r="C120" s="66"/>
      <c r="D120" s="60"/>
      <c r="E120" s="60"/>
      <c r="F120" s="67"/>
      <c r="G120" s="61"/>
      <c r="H120" s="61"/>
      <c r="I120" s="61"/>
      <c r="J120" s="65" t="str">
        <f t="shared" si="3"/>
        <v/>
      </c>
      <c r="K120" s="2"/>
      <c r="L120" s="2"/>
    </row>
    <row r="121" spans="1:12" ht="18" customHeight="1" x14ac:dyDescent="0.3">
      <c r="A121" s="2"/>
      <c r="B121" s="65" t="str">
        <f t="shared" si="2"/>
        <v/>
      </c>
      <c r="C121" s="66"/>
      <c r="D121" s="60"/>
      <c r="E121" s="60"/>
      <c r="F121" s="67"/>
      <c r="G121" s="61"/>
      <c r="H121" s="61"/>
      <c r="I121" s="61"/>
      <c r="J121" s="65" t="str">
        <f t="shared" si="3"/>
        <v/>
      </c>
      <c r="K121" s="2"/>
      <c r="L121" s="2"/>
    </row>
    <row r="122" spans="1:12" ht="18" customHeight="1" x14ac:dyDescent="0.3">
      <c r="A122" s="2"/>
      <c r="B122" s="65" t="str">
        <f t="shared" si="2"/>
        <v/>
      </c>
      <c r="C122" s="66"/>
      <c r="D122" s="60"/>
      <c r="E122" s="60"/>
      <c r="F122" s="67"/>
      <c r="G122" s="61"/>
      <c r="H122" s="61"/>
      <c r="I122" s="61"/>
      <c r="J122" s="65" t="str">
        <f t="shared" si="3"/>
        <v/>
      </c>
      <c r="K122" s="2"/>
      <c r="L122" s="2"/>
    </row>
    <row r="123" spans="1:12" ht="18" customHeight="1" x14ac:dyDescent="0.3">
      <c r="A123" s="2"/>
      <c r="B123" s="65" t="str">
        <f t="shared" si="2"/>
        <v/>
      </c>
      <c r="C123" s="66"/>
      <c r="D123" s="60"/>
      <c r="E123" s="60"/>
      <c r="F123" s="67"/>
      <c r="G123" s="61"/>
      <c r="H123" s="61"/>
      <c r="I123" s="61"/>
      <c r="J123" s="65" t="str">
        <f t="shared" si="3"/>
        <v/>
      </c>
      <c r="K123" s="2"/>
      <c r="L123" s="2"/>
    </row>
    <row r="124" spans="1:12" ht="18" customHeight="1" x14ac:dyDescent="0.3">
      <c r="A124" s="2"/>
      <c r="B124" s="65" t="str">
        <f t="shared" si="2"/>
        <v/>
      </c>
      <c r="C124" s="66"/>
      <c r="D124" s="60"/>
      <c r="E124" s="60"/>
      <c r="F124" s="67"/>
      <c r="G124" s="61"/>
      <c r="H124" s="61"/>
      <c r="I124" s="61"/>
      <c r="J124" s="65" t="str">
        <f t="shared" si="3"/>
        <v/>
      </c>
      <c r="K124" s="2"/>
      <c r="L124" s="2"/>
    </row>
    <row r="125" spans="1:12" ht="18" customHeight="1" x14ac:dyDescent="0.3">
      <c r="A125" s="2"/>
      <c r="B125" s="65" t="str">
        <f t="shared" si="2"/>
        <v/>
      </c>
      <c r="C125" s="66"/>
      <c r="D125" s="60"/>
      <c r="E125" s="60"/>
      <c r="F125" s="67"/>
      <c r="G125" s="61"/>
      <c r="H125" s="61"/>
      <c r="I125" s="61"/>
      <c r="J125" s="65" t="str">
        <f t="shared" si="3"/>
        <v/>
      </c>
      <c r="K125" s="2"/>
      <c r="L125" s="2"/>
    </row>
    <row r="126" spans="1:12" ht="18" customHeight="1" x14ac:dyDescent="0.3">
      <c r="A126" s="2"/>
      <c r="B126" s="65" t="str">
        <f t="shared" si="2"/>
        <v/>
      </c>
      <c r="C126" s="66"/>
      <c r="D126" s="60"/>
      <c r="E126" s="60"/>
      <c r="F126" s="67"/>
      <c r="G126" s="61"/>
      <c r="H126" s="61"/>
      <c r="I126" s="61"/>
      <c r="J126" s="65" t="str">
        <f t="shared" si="3"/>
        <v/>
      </c>
      <c r="K126" s="2"/>
      <c r="L126" s="2"/>
    </row>
    <row r="127" spans="1:12" ht="18" customHeight="1" x14ac:dyDescent="0.3">
      <c r="A127" s="2"/>
      <c r="B127" s="65" t="str">
        <f t="shared" si="2"/>
        <v/>
      </c>
      <c r="C127" s="66"/>
      <c r="D127" s="60"/>
      <c r="E127" s="60"/>
      <c r="F127" s="67"/>
      <c r="G127" s="61"/>
      <c r="H127" s="61"/>
      <c r="I127" s="61"/>
      <c r="J127" s="65" t="str">
        <f t="shared" si="3"/>
        <v/>
      </c>
      <c r="K127" s="2"/>
      <c r="L127" s="2"/>
    </row>
    <row r="128" spans="1:12" ht="18" customHeight="1" x14ac:dyDescent="0.3">
      <c r="A128" s="2"/>
      <c r="B128" s="65" t="str">
        <f t="shared" si="2"/>
        <v/>
      </c>
      <c r="C128" s="66"/>
      <c r="D128" s="60"/>
      <c r="E128" s="60"/>
      <c r="F128" s="67"/>
      <c r="G128" s="61"/>
      <c r="H128" s="61"/>
      <c r="I128" s="61"/>
      <c r="J128" s="65" t="str">
        <f t="shared" si="3"/>
        <v/>
      </c>
      <c r="K128" s="2"/>
      <c r="L128" s="2"/>
    </row>
    <row r="129" spans="1:12" ht="18" customHeight="1" x14ac:dyDescent="0.3">
      <c r="A129" s="2"/>
      <c r="B129" s="65" t="str">
        <f t="shared" si="2"/>
        <v/>
      </c>
      <c r="C129" s="66"/>
      <c r="D129" s="60"/>
      <c r="E129" s="60"/>
      <c r="F129" s="67"/>
      <c r="G129" s="61"/>
      <c r="H129" s="61"/>
      <c r="I129" s="61"/>
      <c r="J129" s="65" t="str">
        <f t="shared" si="3"/>
        <v/>
      </c>
      <c r="K129" s="2"/>
      <c r="L129" s="2"/>
    </row>
    <row r="130" spans="1:12" ht="18" customHeight="1" x14ac:dyDescent="0.3">
      <c r="A130" s="2"/>
      <c r="B130" s="65" t="str">
        <f t="shared" si="2"/>
        <v/>
      </c>
      <c r="C130" s="66"/>
      <c r="D130" s="60"/>
      <c r="E130" s="60"/>
      <c r="F130" s="67"/>
      <c r="G130" s="61"/>
      <c r="H130" s="61"/>
      <c r="I130" s="61"/>
      <c r="J130" s="65" t="str">
        <f t="shared" si="3"/>
        <v/>
      </c>
      <c r="K130" s="2"/>
      <c r="L130" s="2"/>
    </row>
    <row r="131" spans="1:12" ht="18" customHeight="1" x14ac:dyDescent="0.3">
      <c r="A131" s="2"/>
      <c r="B131" s="65" t="str">
        <f t="shared" si="2"/>
        <v/>
      </c>
      <c r="C131" s="66"/>
      <c r="D131" s="60"/>
      <c r="E131" s="60"/>
      <c r="F131" s="67"/>
      <c r="G131" s="61"/>
      <c r="H131" s="61"/>
      <c r="I131" s="61"/>
      <c r="J131" s="65" t="str">
        <f t="shared" si="3"/>
        <v/>
      </c>
      <c r="K131" s="2"/>
      <c r="L131" s="2"/>
    </row>
    <row r="132" spans="1:12" ht="18" customHeight="1" x14ac:dyDescent="0.3">
      <c r="A132" s="2"/>
      <c r="B132" s="65" t="str">
        <f t="shared" si="2"/>
        <v/>
      </c>
      <c r="C132" s="66"/>
      <c r="D132" s="60"/>
      <c r="E132" s="60"/>
      <c r="F132" s="67"/>
      <c r="G132" s="61"/>
      <c r="H132" s="61"/>
      <c r="I132" s="61"/>
      <c r="J132" s="65" t="str">
        <f t="shared" si="3"/>
        <v/>
      </c>
      <c r="K132" s="2"/>
      <c r="L132" s="2"/>
    </row>
    <row r="133" spans="1:12" ht="18" customHeight="1" x14ac:dyDescent="0.3">
      <c r="A133" s="2"/>
      <c r="B133" s="65" t="str">
        <f t="shared" si="2"/>
        <v/>
      </c>
      <c r="C133" s="66"/>
      <c r="D133" s="60"/>
      <c r="E133" s="60"/>
      <c r="F133" s="67"/>
      <c r="G133" s="61"/>
      <c r="H133" s="61"/>
      <c r="I133" s="61"/>
      <c r="J133" s="65" t="str">
        <f t="shared" si="3"/>
        <v/>
      </c>
      <c r="K133" s="2"/>
      <c r="L133" s="2"/>
    </row>
    <row r="134" spans="1:12" ht="18" customHeight="1" x14ac:dyDescent="0.3">
      <c r="A134" s="2"/>
      <c r="B134" s="65" t="str">
        <f t="shared" si="2"/>
        <v/>
      </c>
      <c r="C134" s="66"/>
      <c r="D134" s="60"/>
      <c r="E134" s="60"/>
      <c r="F134" s="67"/>
      <c r="G134" s="61"/>
      <c r="H134" s="61"/>
      <c r="I134" s="61"/>
      <c r="J134" s="65" t="str">
        <f t="shared" si="3"/>
        <v/>
      </c>
      <c r="K134" s="2"/>
      <c r="L134" s="2"/>
    </row>
    <row r="135" spans="1:12" ht="18" customHeight="1" x14ac:dyDescent="0.3">
      <c r="A135" s="2"/>
      <c r="B135" s="65" t="str">
        <f t="shared" ref="B135:B198" si="4">IF($C135="","","V"&amp;TEXT(ROW()-6,"00000"))</f>
        <v/>
      </c>
      <c r="C135" s="66"/>
      <c r="D135" s="60"/>
      <c r="E135" s="60"/>
      <c r="F135" s="67"/>
      <c r="G135" s="61"/>
      <c r="H135" s="61"/>
      <c r="I135" s="61"/>
      <c r="J135" s="65" t="str">
        <f t="shared" ref="J135:J198" si="5">IF($C135="","",IF(AND($D135&lt;&gt;"",$E135&lt;&gt;"",$D135&lt;&gt;$E135,$F135&gt;0),"UYGUN","HATA"))</f>
        <v/>
      </c>
      <c r="K135" s="2"/>
      <c r="L135" s="2"/>
    </row>
    <row r="136" spans="1:12" ht="18" customHeight="1" x14ac:dyDescent="0.3">
      <c r="A136" s="2"/>
      <c r="B136" s="65" t="str">
        <f t="shared" si="4"/>
        <v/>
      </c>
      <c r="C136" s="66"/>
      <c r="D136" s="60"/>
      <c r="E136" s="60"/>
      <c r="F136" s="67"/>
      <c r="G136" s="61"/>
      <c r="H136" s="61"/>
      <c r="I136" s="61"/>
      <c r="J136" s="65" t="str">
        <f t="shared" si="5"/>
        <v/>
      </c>
      <c r="K136" s="2"/>
      <c r="L136" s="2"/>
    </row>
    <row r="137" spans="1:12" ht="18" customHeight="1" x14ac:dyDescent="0.3">
      <c r="A137" s="2"/>
      <c r="B137" s="65" t="str">
        <f t="shared" si="4"/>
        <v/>
      </c>
      <c r="C137" s="66"/>
      <c r="D137" s="60"/>
      <c r="E137" s="60"/>
      <c r="F137" s="67"/>
      <c r="G137" s="61"/>
      <c r="H137" s="61"/>
      <c r="I137" s="61"/>
      <c r="J137" s="65" t="str">
        <f t="shared" si="5"/>
        <v/>
      </c>
      <c r="K137" s="2"/>
      <c r="L137" s="2"/>
    </row>
    <row r="138" spans="1:12" ht="18" customHeight="1" x14ac:dyDescent="0.3">
      <c r="A138" s="2"/>
      <c r="B138" s="65" t="str">
        <f t="shared" si="4"/>
        <v/>
      </c>
      <c r="C138" s="66"/>
      <c r="D138" s="60"/>
      <c r="E138" s="60"/>
      <c r="F138" s="67"/>
      <c r="G138" s="61"/>
      <c r="H138" s="61"/>
      <c r="I138" s="61"/>
      <c r="J138" s="65" t="str">
        <f t="shared" si="5"/>
        <v/>
      </c>
      <c r="K138" s="2"/>
      <c r="L138" s="2"/>
    </row>
    <row r="139" spans="1:12" ht="18" customHeight="1" x14ac:dyDescent="0.3">
      <c r="A139" s="2"/>
      <c r="B139" s="65" t="str">
        <f t="shared" si="4"/>
        <v/>
      </c>
      <c r="C139" s="66"/>
      <c r="D139" s="60"/>
      <c r="E139" s="60"/>
      <c r="F139" s="67"/>
      <c r="G139" s="61"/>
      <c r="H139" s="61"/>
      <c r="I139" s="61"/>
      <c r="J139" s="65" t="str">
        <f t="shared" si="5"/>
        <v/>
      </c>
      <c r="K139" s="2"/>
      <c r="L139" s="2"/>
    </row>
    <row r="140" spans="1:12" ht="18" customHeight="1" x14ac:dyDescent="0.3">
      <c r="A140" s="2"/>
      <c r="B140" s="65" t="str">
        <f t="shared" si="4"/>
        <v/>
      </c>
      <c r="C140" s="66"/>
      <c r="D140" s="60"/>
      <c r="E140" s="60"/>
      <c r="F140" s="67"/>
      <c r="G140" s="61"/>
      <c r="H140" s="61"/>
      <c r="I140" s="61"/>
      <c r="J140" s="65" t="str">
        <f t="shared" si="5"/>
        <v/>
      </c>
      <c r="K140" s="2"/>
      <c r="L140" s="2"/>
    </row>
    <row r="141" spans="1:12" ht="18" customHeight="1" x14ac:dyDescent="0.3">
      <c r="A141" s="2"/>
      <c r="B141" s="65" t="str">
        <f t="shared" si="4"/>
        <v/>
      </c>
      <c r="C141" s="66"/>
      <c r="D141" s="60"/>
      <c r="E141" s="60"/>
      <c r="F141" s="67"/>
      <c r="G141" s="61"/>
      <c r="H141" s="61"/>
      <c r="I141" s="61"/>
      <c r="J141" s="65" t="str">
        <f t="shared" si="5"/>
        <v/>
      </c>
      <c r="K141" s="2"/>
      <c r="L141" s="2"/>
    </row>
    <row r="142" spans="1:12" ht="18" customHeight="1" x14ac:dyDescent="0.3">
      <c r="A142" s="2"/>
      <c r="B142" s="65" t="str">
        <f t="shared" si="4"/>
        <v/>
      </c>
      <c r="C142" s="66"/>
      <c r="D142" s="60"/>
      <c r="E142" s="60"/>
      <c r="F142" s="67"/>
      <c r="G142" s="61"/>
      <c r="H142" s="61"/>
      <c r="I142" s="61"/>
      <c r="J142" s="65" t="str">
        <f t="shared" si="5"/>
        <v/>
      </c>
      <c r="K142" s="2"/>
      <c r="L142" s="2"/>
    </row>
    <row r="143" spans="1:12" ht="18" customHeight="1" x14ac:dyDescent="0.3">
      <c r="A143" s="2"/>
      <c r="B143" s="65" t="str">
        <f t="shared" si="4"/>
        <v/>
      </c>
      <c r="C143" s="66"/>
      <c r="D143" s="60"/>
      <c r="E143" s="60"/>
      <c r="F143" s="67"/>
      <c r="G143" s="61"/>
      <c r="H143" s="61"/>
      <c r="I143" s="61"/>
      <c r="J143" s="65" t="str">
        <f t="shared" si="5"/>
        <v/>
      </c>
      <c r="K143" s="2"/>
      <c r="L143" s="2"/>
    </row>
    <row r="144" spans="1:12" ht="18" customHeight="1" x14ac:dyDescent="0.3">
      <c r="A144" s="2"/>
      <c r="B144" s="65" t="str">
        <f t="shared" si="4"/>
        <v/>
      </c>
      <c r="C144" s="66"/>
      <c r="D144" s="60"/>
      <c r="E144" s="60"/>
      <c r="F144" s="67"/>
      <c r="G144" s="61"/>
      <c r="H144" s="61"/>
      <c r="I144" s="61"/>
      <c r="J144" s="65" t="str">
        <f t="shared" si="5"/>
        <v/>
      </c>
      <c r="K144" s="2"/>
      <c r="L144" s="2"/>
    </row>
    <row r="145" spans="1:12" ht="18" customHeight="1" x14ac:dyDescent="0.3">
      <c r="A145" s="2"/>
      <c r="B145" s="65" t="str">
        <f t="shared" si="4"/>
        <v/>
      </c>
      <c r="C145" s="66"/>
      <c r="D145" s="60"/>
      <c r="E145" s="60"/>
      <c r="F145" s="67"/>
      <c r="G145" s="61"/>
      <c r="H145" s="61"/>
      <c r="I145" s="61"/>
      <c r="J145" s="65" t="str">
        <f t="shared" si="5"/>
        <v/>
      </c>
      <c r="K145" s="2"/>
      <c r="L145" s="2"/>
    </row>
    <row r="146" spans="1:12" ht="18" customHeight="1" x14ac:dyDescent="0.3">
      <c r="A146" s="2"/>
      <c r="B146" s="65" t="str">
        <f t="shared" si="4"/>
        <v/>
      </c>
      <c r="C146" s="66"/>
      <c r="D146" s="60"/>
      <c r="E146" s="60"/>
      <c r="F146" s="67"/>
      <c r="G146" s="61"/>
      <c r="H146" s="61"/>
      <c r="I146" s="61"/>
      <c r="J146" s="65" t="str">
        <f t="shared" si="5"/>
        <v/>
      </c>
      <c r="K146" s="2"/>
      <c r="L146" s="2"/>
    </row>
    <row r="147" spans="1:12" ht="18" customHeight="1" x14ac:dyDescent="0.3">
      <c r="A147" s="2"/>
      <c r="B147" s="65" t="str">
        <f t="shared" si="4"/>
        <v/>
      </c>
      <c r="C147" s="66"/>
      <c r="D147" s="60"/>
      <c r="E147" s="60"/>
      <c r="F147" s="67"/>
      <c r="G147" s="61"/>
      <c r="H147" s="61"/>
      <c r="I147" s="61"/>
      <c r="J147" s="65" t="str">
        <f t="shared" si="5"/>
        <v/>
      </c>
      <c r="K147" s="2"/>
      <c r="L147" s="2"/>
    </row>
    <row r="148" spans="1:12" ht="18" customHeight="1" x14ac:dyDescent="0.3">
      <c r="A148" s="2"/>
      <c r="B148" s="65" t="str">
        <f t="shared" si="4"/>
        <v/>
      </c>
      <c r="C148" s="66"/>
      <c r="D148" s="60"/>
      <c r="E148" s="60"/>
      <c r="F148" s="67"/>
      <c r="G148" s="61"/>
      <c r="H148" s="61"/>
      <c r="I148" s="61"/>
      <c r="J148" s="65" t="str">
        <f t="shared" si="5"/>
        <v/>
      </c>
      <c r="K148" s="2"/>
      <c r="L148" s="2"/>
    </row>
    <row r="149" spans="1:12" ht="18" customHeight="1" x14ac:dyDescent="0.3">
      <c r="A149" s="2"/>
      <c r="B149" s="65" t="str">
        <f t="shared" si="4"/>
        <v/>
      </c>
      <c r="C149" s="66"/>
      <c r="D149" s="60"/>
      <c r="E149" s="60"/>
      <c r="F149" s="67"/>
      <c r="G149" s="61"/>
      <c r="H149" s="61"/>
      <c r="I149" s="61"/>
      <c r="J149" s="65" t="str">
        <f t="shared" si="5"/>
        <v/>
      </c>
      <c r="K149" s="2"/>
      <c r="L149" s="2"/>
    </row>
    <row r="150" spans="1:12" ht="18" customHeight="1" x14ac:dyDescent="0.3">
      <c r="A150" s="2"/>
      <c r="B150" s="65" t="str">
        <f t="shared" si="4"/>
        <v/>
      </c>
      <c r="C150" s="66"/>
      <c r="D150" s="60"/>
      <c r="E150" s="60"/>
      <c r="F150" s="67"/>
      <c r="G150" s="61"/>
      <c r="H150" s="61"/>
      <c r="I150" s="61"/>
      <c r="J150" s="65" t="str">
        <f t="shared" si="5"/>
        <v/>
      </c>
      <c r="K150" s="2"/>
      <c r="L150" s="2"/>
    </row>
    <row r="151" spans="1:12" ht="18" customHeight="1" x14ac:dyDescent="0.3">
      <c r="A151" s="2"/>
      <c r="B151" s="65" t="str">
        <f t="shared" si="4"/>
        <v/>
      </c>
      <c r="C151" s="66"/>
      <c r="D151" s="60"/>
      <c r="E151" s="60"/>
      <c r="F151" s="67"/>
      <c r="G151" s="61"/>
      <c r="H151" s="61"/>
      <c r="I151" s="61"/>
      <c r="J151" s="65" t="str">
        <f t="shared" si="5"/>
        <v/>
      </c>
      <c r="K151" s="2"/>
      <c r="L151" s="2"/>
    </row>
    <row r="152" spans="1:12" ht="18" customHeight="1" x14ac:dyDescent="0.3">
      <c r="A152" s="2"/>
      <c r="B152" s="65" t="str">
        <f t="shared" si="4"/>
        <v/>
      </c>
      <c r="C152" s="66"/>
      <c r="D152" s="60"/>
      <c r="E152" s="60"/>
      <c r="F152" s="67"/>
      <c r="G152" s="61"/>
      <c r="H152" s="61"/>
      <c r="I152" s="61"/>
      <c r="J152" s="65" t="str">
        <f t="shared" si="5"/>
        <v/>
      </c>
      <c r="K152" s="2"/>
      <c r="L152" s="2"/>
    </row>
    <row r="153" spans="1:12" ht="18" customHeight="1" x14ac:dyDescent="0.3">
      <c r="A153" s="2"/>
      <c r="B153" s="65" t="str">
        <f t="shared" si="4"/>
        <v/>
      </c>
      <c r="C153" s="66"/>
      <c r="D153" s="60"/>
      <c r="E153" s="60"/>
      <c r="F153" s="67"/>
      <c r="G153" s="61"/>
      <c r="H153" s="61"/>
      <c r="I153" s="61"/>
      <c r="J153" s="65" t="str">
        <f t="shared" si="5"/>
        <v/>
      </c>
      <c r="K153" s="2"/>
      <c r="L153" s="2"/>
    </row>
    <row r="154" spans="1:12" ht="18" customHeight="1" x14ac:dyDescent="0.3">
      <c r="A154" s="2"/>
      <c r="B154" s="65" t="str">
        <f t="shared" si="4"/>
        <v/>
      </c>
      <c r="C154" s="66"/>
      <c r="D154" s="60"/>
      <c r="E154" s="60"/>
      <c r="F154" s="67"/>
      <c r="G154" s="61"/>
      <c r="H154" s="61"/>
      <c r="I154" s="61"/>
      <c r="J154" s="65" t="str">
        <f t="shared" si="5"/>
        <v/>
      </c>
      <c r="K154" s="2"/>
      <c r="L154" s="2"/>
    </row>
    <row r="155" spans="1:12" ht="18" customHeight="1" x14ac:dyDescent="0.3">
      <c r="A155" s="2"/>
      <c r="B155" s="65" t="str">
        <f t="shared" si="4"/>
        <v/>
      </c>
      <c r="C155" s="66"/>
      <c r="D155" s="60"/>
      <c r="E155" s="60"/>
      <c r="F155" s="67"/>
      <c r="G155" s="61"/>
      <c r="H155" s="61"/>
      <c r="I155" s="61"/>
      <c r="J155" s="65" t="str">
        <f t="shared" si="5"/>
        <v/>
      </c>
      <c r="K155" s="2"/>
      <c r="L155" s="2"/>
    </row>
    <row r="156" spans="1:12" ht="18" customHeight="1" x14ac:dyDescent="0.3">
      <c r="A156" s="2"/>
      <c r="B156" s="65" t="str">
        <f t="shared" si="4"/>
        <v/>
      </c>
      <c r="C156" s="66"/>
      <c r="D156" s="60"/>
      <c r="E156" s="60"/>
      <c r="F156" s="67"/>
      <c r="G156" s="61"/>
      <c r="H156" s="61"/>
      <c r="I156" s="61"/>
      <c r="J156" s="65" t="str">
        <f t="shared" si="5"/>
        <v/>
      </c>
      <c r="K156" s="2"/>
      <c r="L156" s="2"/>
    </row>
    <row r="157" spans="1:12" ht="18" customHeight="1" x14ac:dyDescent="0.3">
      <c r="A157" s="2"/>
      <c r="B157" s="65" t="str">
        <f t="shared" si="4"/>
        <v/>
      </c>
      <c r="C157" s="66"/>
      <c r="D157" s="60"/>
      <c r="E157" s="60"/>
      <c r="F157" s="67"/>
      <c r="G157" s="61"/>
      <c r="H157" s="61"/>
      <c r="I157" s="61"/>
      <c r="J157" s="65" t="str">
        <f t="shared" si="5"/>
        <v/>
      </c>
      <c r="K157" s="2"/>
      <c r="L157" s="2"/>
    </row>
    <row r="158" spans="1:12" ht="18" customHeight="1" x14ac:dyDescent="0.3">
      <c r="A158" s="2"/>
      <c r="B158" s="65" t="str">
        <f t="shared" si="4"/>
        <v/>
      </c>
      <c r="C158" s="66"/>
      <c r="D158" s="60"/>
      <c r="E158" s="60"/>
      <c r="F158" s="67"/>
      <c r="G158" s="61"/>
      <c r="H158" s="61"/>
      <c r="I158" s="61"/>
      <c r="J158" s="65" t="str">
        <f t="shared" si="5"/>
        <v/>
      </c>
      <c r="K158" s="2"/>
      <c r="L158" s="2"/>
    </row>
    <row r="159" spans="1:12" ht="18" customHeight="1" x14ac:dyDescent="0.3">
      <c r="A159" s="2"/>
      <c r="B159" s="65" t="str">
        <f t="shared" si="4"/>
        <v/>
      </c>
      <c r="C159" s="66"/>
      <c r="D159" s="60"/>
      <c r="E159" s="60"/>
      <c r="F159" s="67"/>
      <c r="G159" s="61"/>
      <c r="H159" s="61"/>
      <c r="I159" s="61"/>
      <c r="J159" s="65" t="str">
        <f t="shared" si="5"/>
        <v/>
      </c>
      <c r="K159" s="2"/>
      <c r="L159" s="2"/>
    </row>
    <row r="160" spans="1:12" ht="18" customHeight="1" x14ac:dyDescent="0.3">
      <c r="A160" s="2"/>
      <c r="B160" s="65" t="str">
        <f t="shared" si="4"/>
        <v/>
      </c>
      <c r="C160" s="66"/>
      <c r="D160" s="60"/>
      <c r="E160" s="60"/>
      <c r="F160" s="67"/>
      <c r="G160" s="61"/>
      <c r="H160" s="61"/>
      <c r="I160" s="61"/>
      <c r="J160" s="65" t="str">
        <f t="shared" si="5"/>
        <v/>
      </c>
      <c r="K160" s="2"/>
      <c r="L160" s="2"/>
    </row>
    <row r="161" spans="1:12" ht="18" customHeight="1" x14ac:dyDescent="0.3">
      <c r="A161" s="2"/>
      <c r="B161" s="65" t="str">
        <f t="shared" si="4"/>
        <v/>
      </c>
      <c r="C161" s="66"/>
      <c r="D161" s="60"/>
      <c r="E161" s="60"/>
      <c r="F161" s="67"/>
      <c r="G161" s="61"/>
      <c r="H161" s="61"/>
      <c r="I161" s="61"/>
      <c r="J161" s="65" t="str">
        <f t="shared" si="5"/>
        <v/>
      </c>
      <c r="K161" s="2"/>
      <c r="L161" s="2"/>
    </row>
    <row r="162" spans="1:12" ht="18" customHeight="1" x14ac:dyDescent="0.3">
      <c r="A162" s="2"/>
      <c r="B162" s="65" t="str">
        <f t="shared" si="4"/>
        <v/>
      </c>
      <c r="C162" s="66"/>
      <c r="D162" s="60"/>
      <c r="E162" s="60"/>
      <c r="F162" s="67"/>
      <c r="G162" s="61"/>
      <c r="H162" s="61"/>
      <c r="I162" s="61"/>
      <c r="J162" s="65" t="str">
        <f t="shared" si="5"/>
        <v/>
      </c>
      <c r="K162" s="2"/>
      <c r="L162" s="2"/>
    </row>
    <row r="163" spans="1:12" ht="18" customHeight="1" x14ac:dyDescent="0.3">
      <c r="A163" s="2"/>
      <c r="B163" s="65" t="str">
        <f t="shared" si="4"/>
        <v/>
      </c>
      <c r="C163" s="66"/>
      <c r="D163" s="60"/>
      <c r="E163" s="60"/>
      <c r="F163" s="67"/>
      <c r="G163" s="61"/>
      <c r="H163" s="61"/>
      <c r="I163" s="61"/>
      <c r="J163" s="65" t="str">
        <f t="shared" si="5"/>
        <v/>
      </c>
      <c r="K163" s="2"/>
      <c r="L163" s="2"/>
    </row>
    <row r="164" spans="1:12" ht="18" customHeight="1" x14ac:dyDescent="0.3">
      <c r="A164" s="2"/>
      <c r="B164" s="65" t="str">
        <f t="shared" si="4"/>
        <v/>
      </c>
      <c r="C164" s="66"/>
      <c r="D164" s="60"/>
      <c r="E164" s="60"/>
      <c r="F164" s="67"/>
      <c r="G164" s="61"/>
      <c r="H164" s="61"/>
      <c r="I164" s="61"/>
      <c r="J164" s="65" t="str">
        <f t="shared" si="5"/>
        <v/>
      </c>
      <c r="K164" s="2"/>
      <c r="L164" s="2"/>
    </row>
    <row r="165" spans="1:12" ht="18" customHeight="1" x14ac:dyDescent="0.3">
      <c r="A165" s="2"/>
      <c r="B165" s="65" t="str">
        <f t="shared" si="4"/>
        <v/>
      </c>
      <c r="C165" s="66"/>
      <c r="D165" s="60"/>
      <c r="E165" s="60"/>
      <c r="F165" s="67"/>
      <c r="G165" s="61"/>
      <c r="H165" s="61"/>
      <c r="I165" s="61"/>
      <c r="J165" s="65" t="str">
        <f t="shared" si="5"/>
        <v/>
      </c>
      <c r="K165" s="2"/>
      <c r="L165" s="2"/>
    </row>
    <row r="166" spans="1:12" ht="18" customHeight="1" x14ac:dyDescent="0.3">
      <c r="A166" s="2"/>
      <c r="B166" s="65" t="str">
        <f t="shared" si="4"/>
        <v/>
      </c>
      <c r="C166" s="66"/>
      <c r="D166" s="60"/>
      <c r="E166" s="60"/>
      <c r="F166" s="67"/>
      <c r="G166" s="61"/>
      <c r="H166" s="61"/>
      <c r="I166" s="61"/>
      <c r="J166" s="65" t="str">
        <f t="shared" si="5"/>
        <v/>
      </c>
      <c r="K166" s="2"/>
      <c r="L166" s="2"/>
    </row>
    <row r="167" spans="1:12" ht="18" customHeight="1" x14ac:dyDescent="0.3">
      <c r="A167" s="2"/>
      <c r="B167" s="65" t="str">
        <f t="shared" si="4"/>
        <v/>
      </c>
      <c r="C167" s="66"/>
      <c r="D167" s="60"/>
      <c r="E167" s="60"/>
      <c r="F167" s="67"/>
      <c r="G167" s="61"/>
      <c r="H167" s="61"/>
      <c r="I167" s="61"/>
      <c r="J167" s="65" t="str">
        <f t="shared" si="5"/>
        <v/>
      </c>
      <c r="K167" s="2"/>
      <c r="L167" s="2"/>
    </row>
    <row r="168" spans="1:12" ht="18" customHeight="1" x14ac:dyDescent="0.3">
      <c r="A168" s="2"/>
      <c r="B168" s="65" t="str">
        <f t="shared" si="4"/>
        <v/>
      </c>
      <c r="C168" s="66"/>
      <c r="D168" s="60"/>
      <c r="E168" s="60"/>
      <c r="F168" s="67"/>
      <c r="G168" s="61"/>
      <c r="H168" s="61"/>
      <c r="I168" s="61"/>
      <c r="J168" s="65" t="str">
        <f t="shared" si="5"/>
        <v/>
      </c>
      <c r="K168" s="2"/>
      <c r="L168" s="2"/>
    </row>
    <row r="169" spans="1:12" ht="18" customHeight="1" x14ac:dyDescent="0.3">
      <c r="A169" s="2"/>
      <c r="B169" s="65" t="str">
        <f t="shared" si="4"/>
        <v/>
      </c>
      <c r="C169" s="66"/>
      <c r="D169" s="60"/>
      <c r="E169" s="60"/>
      <c r="F169" s="67"/>
      <c r="G169" s="61"/>
      <c r="H169" s="61"/>
      <c r="I169" s="61"/>
      <c r="J169" s="65" t="str">
        <f t="shared" si="5"/>
        <v/>
      </c>
      <c r="K169" s="2"/>
      <c r="L169" s="2"/>
    </row>
    <row r="170" spans="1:12" ht="18" customHeight="1" x14ac:dyDescent="0.3">
      <c r="A170" s="2"/>
      <c r="B170" s="65" t="str">
        <f t="shared" si="4"/>
        <v/>
      </c>
      <c r="C170" s="66"/>
      <c r="D170" s="60"/>
      <c r="E170" s="60"/>
      <c r="F170" s="67"/>
      <c r="G170" s="61"/>
      <c r="H170" s="61"/>
      <c r="I170" s="61"/>
      <c r="J170" s="65" t="str">
        <f t="shared" si="5"/>
        <v/>
      </c>
      <c r="K170" s="2"/>
      <c r="L170" s="2"/>
    </row>
    <row r="171" spans="1:12" ht="18" customHeight="1" x14ac:dyDescent="0.3">
      <c r="A171" s="2"/>
      <c r="B171" s="65" t="str">
        <f t="shared" si="4"/>
        <v/>
      </c>
      <c r="C171" s="66"/>
      <c r="D171" s="60"/>
      <c r="E171" s="60"/>
      <c r="F171" s="67"/>
      <c r="G171" s="61"/>
      <c r="H171" s="61"/>
      <c r="I171" s="61"/>
      <c r="J171" s="65" t="str">
        <f t="shared" si="5"/>
        <v/>
      </c>
      <c r="K171" s="2"/>
      <c r="L171" s="2"/>
    </row>
    <row r="172" spans="1:12" ht="18" customHeight="1" x14ac:dyDescent="0.3">
      <c r="A172" s="2"/>
      <c r="B172" s="65" t="str">
        <f t="shared" si="4"/>
        <v/>
      </c>
      <c r="C172" s="66"/>
      <c r="D172" s="60"/>
      <c r="E172" s="60"/>
      <c r="F172" s="67"/>
      <c r="G172" s="61"/>
      <c r="H172" s="61"/>
      <c r="I172" s="61"/>
      <c r="J172" s="65" t="str">
        <f t="shared" si="5"/>
        <v/>
      </c>
      <c r="K172" s="2"/>
      <c r="L172" s="2"/>
    </row>
    <row r="173" spans="1:12" ht="18" customHeight="1" x14ac:dyDescent="0.3">
      <c r="A173" s="2"/>
      <c r="B173" s="65" t="str">
        <f t="shared" si="4"/>
        <v/>
      </c>
      <c r="C173" s="66"/>
      <c r="D173" s="60"/>
      <c r="E173" s="60"/>
      <c r="F173" s="67"/>
      <c r="G173" s="61"/>
      <c r="H173" s="61"/>
      <c r="I173" s="61"/>
      <c r="J173" s="65" t="str">
        <f t="shared" si="5"/>
        <v/>
      </c>
      <c r="K173" s="2"/>
      <c r="L173" s="2"/>
    </row>
    <row r="174" spans="1:12" ht="18" customHeight="1" x14ac:dyDescent="0.3">
      <c r="A174" s="2"/>
      <c r="B174" s="65" t="str">
        <f t="shared" si="4"/>
        <v/>
      </c>
      <c r="C174" s="66"/>
      <c r="D174" s="60"/>
      <c r="E174" s="60"/>
      <c r="F174" s="67"/>
      <c r="G174" s="61"/>
      <c r="H174" s="61"/>
      <c r="I174" s="61"/>
      <c r="J174" s="65" t="str">
        <f t="shared" si="5"/>
        <v/>
      </c>
      <c r="K174" s="2"/>
      <c r="L174" s="2"/>
    </row>
    <row r="175" spans="1:12" ht="18" customHeight="1" x14ac:dyDescent="0.3">
      <c r="A175" s="2"/>
      <c r="B175" s="65" t="str">
        <f t="shared" si="4"/>
        <v/>
      </c>
      <c r="C175" s="66"/>
      <c r="D175" s="60"/>
      <c r="E175" s="60"/>
      <c r="F175" s="67"/>
      <c r="G175" s="61"/>
      <c r="H175" s="61"/>
      <c r="I175" s="61"/>
      <c r="J175" s="65" t="str">
        <f t="shared" si="5"/>
        <v/>
      </c>
      <c r="K175" s="2"/>
      <c r="L175" s="2"/>
    </row>
    <row r="176" spans="1:12" ht="18" customHeight="1" x14ac:dyDescent="0.3">
      <c r="A176" s="2"/>
      <c r="B176" s="65" t="str">
        <f t="shared" si="4"/>
        <v/>
      </c>
      <c r="C176" s="66"/>
      <c r="D176" s="60"/>
      <c r="E176" s="60"/>
      <c r="F176" s="67"/>
      <c r="G176" s="61"/>
      <c r="H176" s="61"/>
      <c r="I176" s="61"/>
      <c r="J176" s="65" t="str">
        <f t="shared" si="5"/>
        <v/>
      </c>
      <c r="K176" s="2"/>
      <c r="L176" s="2"/>
    </row>
    <row r="177" spans="1:12" ht="18" customHeight="1" x14ac:dyDescent="0.3">
      <c r="A177" s="2"/>
      <c r="B177" s="65" t="str">
        <f t="shared" si="4"/>
        <v/>
      </c>
      <c r="C177" s="66"/>
      <c r="D177" s="60"/>
      <c r="E177" s="60"/>
      <c r="F177" s="67"/>
      <c r="G177" s="61"/>
      <c r="H177" s="61"/>
      <c r="I177" s="61"/>
      <c r="J177" s="65" t="str">
        <f t="shared" si="5"/>
        <v/>
      </c>
      <c r="K177" s="2"/>
      <c r="L177" s="2"/>
    </row>
    <row r="178" spans="1:12" ht="18" customHeight="1" x14ac:dyDescent="0.3">
      <c r="A178" s="2"/>
      <c r="B178" s="65" t="str">
        <f t="shared" si="4"/>
        <v/>
      </c>
      <c r="C178" s="66"/>
      <c r="D178" s="60"/>
      <c r="E178" s="60"/>
      <c r="F178" s="67"/>
      <c r="G178" s="61"/>
      <c r="H178" s="61"/>
      <c r="I178" s="61"/>
      <c r="J178" s="65" t="str">
        <f t="shared" si="5"/>
        <v/>
      </c>
      <c r="K178" s="2"/>
      <c r="L178" s="2"/>
    </row>
    <row r="179" spans="1:12" ht="18" customHeight="1" x14ac:dyDescent="0.3">
      <c r="A179" s="2"/>
      <c r="B179" s="65" t="str">
        <f t="shared" si="4"/>
        <v/>
      </c>
      <c r="C179" s="66"/>
      <c r="D179" s="60"/>
      <c r="E179" s="60"/>
      <c r="F179" s="67"/>
      <c r="G179" s="61"/>
      <c r="H179" s="61"/>
      <c r="I179" s="61"/>
      <c r="J179" s="65" t="str">
        <f t="shared" si="5"/>
        <v/>
      </c>
      <c r="K179" s="2"/>
      <c r="L179" s="2"/>
    </row>
    <row r="180" spans="1:12" ht="18" customHeight="1" x14ac:dyDescent="0.3">
      <c r="A180" s="2"/>
      <c r="B180" s="65" t="str">
        <f t="shared" si="4"/>
        <v/>
      </c>
      <c r="C180" s="66"/>
      <c r="D180" s="60"/>
      <c r="E180" s="60"/>
      <c r="F180" s="67"/>
      <c r="G180" s="61"/>
      <c r="H180" s="61"/>
      <c r="I180" s="61"/>
      <c r="J180" s="65" t="str">
        <f t="shared" si="5"/>
        <v/>
      </c>
      <c r="K180" s="2"/>
      <c r="L180" s="2"/>
    </row>
    <row r="181" spans="1:12" ht="18" customHeight="1" x14ac:dyDescent="0.3">
      <c r="A181" s="2"/>
      <c r="B181" s="65" t="str">
        <f t="shared" si="4"/>
        <v/>
      </c>
      <c r="C181" s="66"/>
      <c r="D181" s="60"/>
      <c r="E181" s="60"/>
      <c r="F181" s="67"/>
      <c r="G181" s="61"/>
      <c r="H181" s="61"/>
      <c r="I181" s="61"/>
      <c r="J181" s="65" t="str">
        <f t="shared" si="5"/>
        <v/>
      </c>
      <c r="K181" s="2"/>
      <c r="L181" s="2"/>
    </row>
    <row r="182" spans="1:12" ht="18" customHeight="1" x14ac:dyDescent="0.3">
      <c r="A182" s="2"/>
      <c r="B182" s="65" t="str">
        <f t="shared" si="4"/>
        <v/>
      </c>
      <c r="C182" s="66"/>
      <c r="D182" s="60"/>
      <c r="E182" s="60"/>
      <c r="F182" s="67"/>
      <c r="G182" s="61"/>
      <c r="H182" s="61"/>
      <c r="I182" s="61"/>
      <c r="J182" s="65" t="str">
        <f t="shared" si="5"/>
        <v/>
      </c>
      <c r="K182" s="2"/>
      <c r="L182" s="2"/>
    </row>
    <row r="183" spans="1:12" ht="18" customHeight="1" x14ac:dyDescent="0.3">
      <c r="A183" s="2"/>
      <c r="B183" s="65" t="str">
        <f t="shared" si="4"/>
        <v/>
      </c>
      <c r="C183" s="66"/>
      <c r="D183" s="60"/>
      <c r="E183" s="60"/>
      <c r="F183" s="67"/>
      <c r="G183" s="61"/>
      <c r="H183" s="61"/>
      <c r="I183" s="61"/>
      <c r="J183" s="65" t="str">
        <f t="shared" si="5"/>
        <v/>
      </c>
      <c r="K183" s="2"/>
      <c r="L183" s="2"/>
    </row>
    <row r="184" spans="1:12" ht="18" customHeight="1" x14ac:dyDescent="0.3">
      <c r="A184" s="2"/>
      <c r="B184" s="65" t="str">
        <f t="shared" si="4"/>
        <v/>
      </c>
      <c r="C184" s="66"/>
      <c r="D184" s="60"/>
      <c r="E184" s="60"/>
      <c r="F184" s="67"/>
      <c r="G184" s="61"/>
      <c r="H184" s="61"/>
      <c r="I184" s="61"/>
      <c r="J184" s="65" t="str">
        <f t="shared" si="5"/>
        <v/>
      </c>
      <c r="K184" s="2"/>
      <c r="L184" s="2"/>
    </row>
    <row r="185" spans="1:12" ht="18" customHeight="1" x14ac:dyDescent="0.3">
      <c r="A185" s="2"/>
      <c r="B185" s="65" t="str">
        <f t="shared" si="4"/>
        <v/>
      </c>
      <c r="C185" s="66"/>
      <c r="D185" s="60"/>
      <c r="E185" s="60"/>
      <c r="F185" s="67"/>
      <c r="G185" s="61"/>
      <c r="H185" s="61"/>
      <c r="I185" s="61"/>
      <c r="J185" s="65" t="str">
        <f t="shared" si="5"/>
        <v/>
      </c>
      <c r="K185" s="2"/>
      <c r="L185" s="2"/>
    </row>
    <row r="186" spans="1:12" ht="18" customHeight="1" x14ac:dyDescent="0.3">
      <c r="A186" s="2"/>
      <c r="B186" s="65" t="str">
        <f t="shared" si="4"/>
        <v/>
      </c>
      <c r="C186" s="66"/>
      <c r="D186" s="60"/>
      <c r="E186" s="60"/>
      <c r="F186" s="67"/>
      <c r="G186" s="61"/>
      <c r="H186" s="61"/>
      <c r="I186" s="61"/>
      <c r="J186" s="65" t="str">
        <f t="shared" si="5"/>
        <v/>
      </c>
      <c r="K186" s="2"/>
      <c r="L186" s="2"/>
    </row>
    <row r="187" spans="1:12" ht="18" customHeight="1" x14ac:dyDescent="0.3">
      <c r="A187" s="2"/>
      <c r="B187" s="65" t="str">
        <f t="shared" si="4"/>
        <v/>
      </c>
      <c r="C187" s="66"/>
      <c r="D187" s="60"/>
      <c r="E187" s="60"/>
      <c r="F187" s="67"/>
      <c r="G187" s="61"/>
      <c r="H187" s="61"/>
      <c r="I187" s="61"/>
      <c r="J187" s="65" t="str">
        <f t="shared" si="5"/>
        <v/>
      </c>
      <c r="K187" s="2"/>
      <c r="L187" s="2"/>
    </row>
    <row r="188" spans="1:12" ht="18" customHeight="1" x14ac:dyDescent="0.3">
      <c r="A188" s="2"/>
      <c r="B188" s="65" t="str">
        <f t="shared" si="4"/>
        <v/>
      </c>
      <c r="C188" s="66"/>
      <c r="D188" s="60"/>
      <c r="E188" s="60"/>
      <c r="F188" s="67"/>
      <c r="G188" s="61"/>
      <c r="H188" s="61"/>
      <c r="I188" s="61"/>
      <c r="J188" s="65" t="str">
        <f t="shared" si="5"/>
        <v/>
      </c>
      <c r="K188" s="2"/>
      <c r="L188" s="2"/>
    </row>
    <row r="189" spans="1:12" ht="18" customHeight="1" x14ac:dyDescent="0.3">
      <c r="A189" s="2"/>
      <c r="B189" s="65" t="str">
        <f t="shared" si="4"/>
        <v/>
      </c>
      <c r="C189" s="66"/>
      <c r="D189" s="60"/>
      <c r="E189" s="60"/>
      <c r="F189" s="67"/>
      <c r="G189" s="61"/>
      <c r="H189" s="61"/>
      <c r="I189" s="61"/>
      <c r="J189" s="65" t="str">
        <f t="shared" si="5"/>
        <v/>
      </c>
      <c r="K189" s="2"/>
      <c r="L189" s="2"/>
    </row>
    <row r="190" spans="1:12" ht="18" customHeight="1" x14ac:dyDescent="0.3">
      <c r="A190" s="2"/>
      <c r="B190" s="65" t="str">
        <f t="shared" si="4"/>
        <v/>
      </c>
      <c r="C190" s="66"/>
      <c r="D190" s="60"/>
      <c r="E190" s="60"/>
      <c r="F190" s="67"/>
      <c r="G190" s="61"/>
      <c r="H190" s="61"/>
      <c r="I190" s="61"/>
      <c r="J190" s="65" t="str">
        <f t="shared" si="5"/>
        <v/>
      </c>
      <c r="K190" s="2"/>
      <c r="L190" s="2"/>
    </row>
    <row r="191" spans="1:12" ht="18" customHeight="1" x14ac:dyDescent="0.3">
      <c r="A191" s="2"/>
      <c r="B191" s="65" t="str">
        <f t="shared" si="4"/>
        <v/>
      </c>
      <c r="C191" s="66"/>
      <c r="D191" s="60"/>
      <c r="E191" s="60"/>
      <c r="F191" s="67"/>
      <c r="G191" s="61"/>
      <c r="H191" s="61"/>
      <c r="I191" s="61"/>
      <c r="J191" s="65" t="str">
        <f t="shared" si="5"/>
        <v/>
      </c>
      <c r="K191" s="2"/>
      <c r="L191" s="2"/>
    </row>
    <row r="192" spans="1:12" ht="18" customHeight="1" x14ac:dyDescent="0.3">
      <c r="A192" s="2"/>
      <c r="B192" s="65" t="str">
        <f t="shared" si="4"/>
        <v/>
      </c>
      <c r="C192" s="66"/>
      <c r="D192" s="60"/>
      <c r="E192" s="60"/>
      <c r="F192" s="67"/>
      <c r="G192" s="61"/>
      <c r="H192" s="61"/>
      <c r="I192" s="61"/>
      <c r="J192" s="65" t="str">
        <f t="shared" si="5"/>
        <v/>
      </c>
      <c r="K192" s="2"/>
      <c r="L192" s="2"/>
    </row>
    <row r="193" spans="1:12" ht="18" customHeight="1" x14ac:dyDescent="0.3">
      <c r="A193" s="2"/>
      <c r="B193" s="65" t="str">
        <f t="shared" si="4"/>
        <v/>
      </c>
      <c r="C193" s="66"/>
      <c r="D193" s="60"/>
      <c r="E193" s="60"/>
      <c r="F193" s="67"/>
      <c r="G193" s="61"/>
      <c r="H193" s="61"/>
      <c r="I193" s="61"/>
      <c r="J193" s="65" t="str">
        <f t="shared" si="5"/>
        <v/>
      </c>
      <c r="K193" s="2"/>
      <c r="L193" s="2"/>
    </row>
    <row r="194" spans="1:12" ht="18" customHeight="1" x14ac:dyDescent="0.3">
      <c r="A194" s="2"/>
      <c r="B194" s="65" t="str">
        <f t="shared" si="4"/>
        <v/>
      </c>
      <c r="C194" s="66"/>
      <c r="D194" s="60"/>
      <c r="E194" s="60"/>
      <c r="F194" s="67"/>
      <c r="G194" s="61"/>
      <c r="H194" s="61"/>
      <c r="I194" s="61"/>
      <c r="J194" s="65" t="str">
        <f t="shared" si="5"/>
        <v/>
      </c>
      <c r="K194" s="2"/>
      <c r="L194" s="2"/>
    </row>
    <row r="195" spans="1:12" ht="18" customHeight="1" x14ac:dyDescent="0.3">
      <c r="A195" s="2"/>
      <c r="B195" s="65" t="str">
        <f t="shared" si="4"/>
        <v/>
      </c>
      <c r="C195" s="66"/>
      <c r="D195" s="60"/>
      <c r="E195" s="60"/>
      <c r="F195" s="67"/>
      <c r="G195" s="61"/>
      <c r="H195" s="61"/>
      <c r="I195" s="61"/>
      <c r="J195" s="65" t="str">
        <f t="shared" si="5"/>
        <v/>
      </c>
      <c r="K195" s="2"/>
      <c r="L195" s="2"/>
    </row>
    <row r="196" spans="1:12" ht="18" customHeight="1" x14ac:dyDescent="0.3">
      <c r="A196" s="2"/>
      <c r="B196" s="65" t="str">
        <f t="shared" si="4"/>
        <v/>
      </c>
      <c r="C196" s="66"/>
      <c r="D196" s="60"/>
      <c r="E196" s="60"/>
      <c r="F196" s="67"/>
      <c r="G196" s="61"/>
      <c r="H196" s="61"/>
      <c r="I196" s="61"/>
      <c r="J196" s="65" t="str">
        <f t="shared" si="5"/>
        <v/>
      </c>
      <c r="K196" s="2"/>
      <c r="L196" s="2"/>
    </row>
    <row r="197" spans="1:12" ht="18" customHeight="1" x14ac:dyDescent="0.3">
      <c r="A197" s="2"/>
      <c r="B197" s="65" t="str">
        <f t="shared" si="4"/>
        <v/>
      </c>
      <c r="C197" s="66"/>
      <c r="D197" s="60"/>
      <c r="E197" s="60"/>
      <c r="F197" s="67"/>
      <c r="G197" s="61"/>
      <c r="H197" s="61"/>
      <c r="I197" s="61"/>
      <c r="J197" s="65" t="str">
        <f t="shared" si="5"/>
        <v/>
      </c>
      <c r="K197" s="2"/>
      <c r="L197" s="2"/>
    </row>
    <row r="198" spans="1:12" ht="18" customHeight="1" x14ac:dyDescent="0.3">
      <c r="A198" s="2"/>
      <c r="B198" s="65" t="str">
        <f t="shared" si="4"/>
        <v/>
      </c>
      <c r="C198" s="66"/>
      <c r="D198" s="60"/>
      <c r="E198" s="60"/>
      <c r="F198" s="67"/>
      <c r="G198" s="61"/>
      <c r="H198" s="61"/>
      <c r="I198" s="61"/>
      <c r="J198" s="65" t="str">
        <f t="shared" si="5"/>
        <v/>
      </c>
      <c r="K198" s="2"/>
      <c r="L198" s="2"/>
    </row>
    <row r="199" spans="1:12" ht="18" customHeight="1" x14ac:dyDescent="0.3">
      <c r="A199" s="2"/>
      <c r="B199" s="65" t="str">
        <f t="shared" ref="B199:B262" si="6">IF($C199="","","V"&amp;TEXT(ROW()-6,"00000"))</f>
        <v/>
      </c>
      <c r="C199" s="66"/>
      <c r="D199" s="60"/>
      <c r="E199" s="60"/>
      <c r="F199" s="67"/>
      <c r="G199" s="61"/>
      <c r="H199" s="61"/>
      <c r="I199" s="61"/>
      <c r="J199" s="65" t="str">
        <f t="shared" ref="J199:J262" si="7">IF($C199="","",IF(AND($D199&lt;&gt;"",$E199&lt;&gt;"",$D199&lt;&gt;$E199,$F199&gt;0),"UYGUN","HATA"))</f>
        <v/>
      </c>
      <c r="K199" s="2"/>
      <c r="L199" s="2"/>
    </row>
    <row r="200" spans="1:12" ht="18" customHeight="1" x14ac:dyDescent="0.3">
      <c r="A200" s="2"/>
      <c r="B200" s="65" t="str">
        <f t="shared" si="6"/>
        <v/>
      </c>
      <c r="C200" s="66"/>
      <c r="D200" s="60"/>
      <c r="E200" s="60"/>
      <c r="F200" s="67"/>
      <c r="G200" s="61"/>
      <c r="H200" s="61"/>
      <c r="I200" s="61"/>
      <c r="J200" s="65" t="str">
        <f t="shared" si="7"/>
        <v/>
      </c>
      <c r="K200" s="2"/>
      <c r="L200" s="2"/>
    </row>
    <row r="201" spans="1:12" ht="18" customHeight="1" x14ac:dyDescent="0.3">
      <c r="A201" s="2"/>
      <c r="B201" s="65" t="str">
        <f t="shared" si="6"/>
        <v/>
      </c>
      <c r="C201" s="66"/>
      <c r="D201" s="60"/>
      <c r="E201" s="60"/>
      <c r="F201" s="67"/>
      <c r="G201" s="61"/>
      <c r="H201" s="61"/>
      <c r="I201" s="61"/>
      <c r="J201" s="65" t="str">
        <f t="shared" si="7"/>
        <v/>
      </c>
      <c r="K201" s="2"/>
      <c r="L201" s="2"/>
    </row>
    <row r="202" spans="1:12" ht="18" customHeight="1" x14ac:dyDescent="0.3">
      <c r="A202" s="2"/>
      <c r="B202" s="65" t="str">
        <f t="shared" si="6"/>
        <v/>
      </c>
      <c r="C202" s="66"/>
      <c r="D202" s="60"/>
      <c r="E202" s="60"/>
      <c r="F202" s="67"/>
      <c r="G202" s="61"/>
      <c r="H202" s="61"/>
      <c r="I202" s="61"/>
      <c r="J202" s="65" t="str">
        <f t="shared" si="7"/>
        <v/>
      </c>
      <c r="K202" s="2"/>
      <c r="L202" s="2"/>
    </row>
    <row r="203" spans="1:12" ht="18" customHeight="1" x14ac:dyDescent="0.3">
      <c r="A203" s="2"/>
      <c r="B203" s="65" t="str">
        <f t="shared" si="6"/>
        <v/>
      </c>
      <c r="C203" s="66"/>
      <c r="D203" s="60"/>
      <c r="E203" s="60"/>
      <c r="F203" s="67"/>
      <c r="G203" s="61"/>
      <c r="H203" s="61"/>
      <c r="I203" s="61"/>
      <c r="J203" s="65" t="str">
        <f t="shared" si="7"/>
        <v/>
      </c>
      <c r="K203" s="2"/>
      <c r="L203" s="2"/>
    </row>
    <row r="204" spans="1:12" ht="18" customHeight="1" x14ac:dyDescent="0.3">
      <c r="A204" s="2"/>
      <c r="B204" s="65" t="str">
        <f t="shared" si="6"/>
        <v/>
      </c>
      <c r="C204" s="66"/>
      <c r="D204" s="60"/>
      <c r="E204" s="60"/>
      <c r="F204" s="67"/>
      <c r="G204" s="61"/>
      <c r="H204" s="61"/>
      <c r="I204" s="61"/>
      <c r="J204" s="65" t="str">
        <f t="shared" si="7"/>
        <v/>
      </c>
      <c r="K204" s="2"/>
      <c r="L204" s="2"/>
    </row>
    <row r="205" spans="1:12" ht="18" customHeight="1" x14ac:dyDescent="0.3">
      <c r="A205" s="2"/>
      <c r="B205" s="65" t="str">
        <f t="shared" si="6"/>
        <v/>
      </c>
      <c r="C205" s="66"/>
      <c r="D205" s="60"/>
      <c r="E205" s="60"/>
      <c r="F205" s="67"/>
      <c r="G205" s="61"/>
      <c r="H205" s="61"/>
      <c r="I205" s="61"/>
      <c r="J205" s="65" t="str">
        <f t="shared" si="7"/>
        <v/>
      </c>
      <c r="K205" s="2"/>
      <c r="L205" s="2"/>
    </row>
    <row r="206" spans="1:12" ht="18" customHeight="1" x14ac:dyDescent="0.3">
      <c r="A206" s="2"/>
      <c r="B206" s="65" t="str">
        <f t="shared" si="6"/>
        <v/>
      </c>
      <c r="C206" s="66"/>
      <c r="D206" s="60"/>
      <c r="E206" s="60"/>
      <c r="F206" s="67"/>
      <c r="G206" s="61"/>
      <c r="H206" s="61"/>
      <c r="I206" s="61"/>
      <c r="J206" s="65" t="str">
        <f t="shared" si="7"/>
        <v/>
      </c>
      <c r="K206" s="2"/>
      <c r="L206" s="2"/>
    </row>
    <row r="207" spans="1:12" ht="18" customHeight="1" x14ac:dyDescent="0.3">
      <c r="A207" s="2"/>
      <c r="B207" s="65" t="str">
        <f t="shared" si="6"/>
        <v/>
      </c>
      <c r="C207" s="66"/>
      <c r="D207" s="60"/>
      <c r="E207" s="60"/>
      <c r="F207" s="67"/>
      <c r="G207" s="61"/>
      <c r="H207" s="61"/>
      <c r="I207" s="61"/>
      <c r="J207" s="65" t="str">
        <f t="shared" si="7"/>
        <v/>
      </c>
      <c r="K207" s="2"/>
      <c r="L207" s="2"/>
    </row>
    <row r="208" spans="1:12" ht="18" customHeight="1" x14ac:dyDescent="0.3">
      <c r="A208" s="2"/>
      <c r="B208" s="65" t="str">
        <f t="shared" si="6"/>
        <v/>
      </c>
      <c r="C208" s="66"/>
      <c r="D208" s="60"/>
      <c r="E208" s="60"/>
      <c r="F208" s="67"/>
      <c r="G208" s="61"/>
      <c r="H208" s="61"/>
      <c r="I208" s="61"/>
      <c r="J208" s="65" t="str">
        <f t="shared" si="7"/>
        <v/>
      </c>
      <c r="K208" s="2"/>
      <c r="L208" s="2"/>
    </row>
    <row r="209" spans="1:12" ht="18" customHeight="1" x14ac:dyDescent="0.3">
      <c r="A209" s="2"/>
      <c r="B209" s="65" t="str">
        <f t="shared" si="6"/>
        <v/>
      </c>
      <c r="C209" s="66"/>
      <c r="D209" s="60"/>
      <c r="E209" s="60"/>
      <c r="F209" s="67"/>
      <c r="G209" s="61"/>
      <c r="H209" s="61"/>
      <c r="I209" s="61"/>
      <c r="J209" s="65" t="str">
        <f t="shared" si="7"/>
        <v/>
      </c>
      <c r="K209" s="2"/>
      <c r="L209" s="2"/>
    </row>
    <row r="210" spans="1:12" ht="18" customHeight="1" x14ac:dyDescent="0.3">
      <c r="A210" s="2"/>
      <c r="B210" s="65" t="str">
        <f t="shared" si="6"/>
        <v/>
      </c>
      <c r="C210" s="66"/>
      <c r="D210" s="60"/>
      <c r="E210" s="60"/>
      <c r="F210" s="67"/>
      <c r="G210" s="61"/>
      <c r="H210" s="61"/>
      <c r="I210" s="61"/>
      <c r="J210" s="65" t="str">
        <f t="shared" si="7"/>
        <v/>
      </c>
      <c r="K210" s="2"/>
      <c r="L210" s="2"/>
    </row>
    <row r="211" spans="1:12" ht="18" customHeight="1" x14ac:dyDescent="0.3">
      <c r="A211" s="2"/>
      <c r="B211" s="65" t="str">
        <f t="shared" si="6"/>
        <v/>
      </c>
      <c r="C211" s="66"/>
      <c r="D211" s="60"/>
      <c r="E211" s="60"/>
      <c r="F211" s="67"/>
      <c r="G211" s="61"/>
      <c r="H211" s="61"/>
      <c r="I211" s="61"/>
      <c r="J211" s="65" t="str">
        <f t="shared" si="7"/>
        <v/>
      </c>
      <c r="K211" s="2"/>
      <c r="L211" s="2"/>
    </row>
    <row r="212" spans="1:12" ht="18" customHeight="1" x14ac:dyDescent="0.3">
      <c r="A212" s="2"/>
      <c r="B212" s="65" t="str">
        <f t="shared" si="6"/>
        <v/>
      </c>
      <c r="C212" s="66"/>
      <c r="D212" s="60"/>
      <c r="E212" s="60"/>
      <c r="F212" s="67"/>
      <c r="G212" s="61"/>
      <c r="H212" s="61"/>
      <c r="I212" s="61"/>
      <c r="J212" s="65" t="str">
        <f t="shared" si="7"/>
        <v/>
      </c>
      <c r="K212" s="2"/>
      <c r="L212" s="2"/>
    </row>
    <row r="213" spans="1:12" ht="18" customHeight="1" x14ac:dyDescent="0.3">
      <c r="A213" s="2"/>
      <c r="B213" s="65" t="str">
        <f t="shared" si="6"/>
        <v/>
      </c>
      <c r="C213" s="66"/>
      <c r="D213" s="60"/>
      <c r="E213" s="60"/>
      <c r="F213" s="67"/>
      <c r="G213" s="61"/>
      <c r="H213" s="61"/>
      <c r="I213" s="61"/>
      <c r="J213" s="65" t="str">
        <f t="shared" si="7"/>
        <v/>
      </c>
      <c r="K213" s="2"/>
      <c r="L213" s="2"/>
    </row>
    <row r="214" spans="1:12" ht="18" customHeight="1" x14ac:dyDescent="0.3">
      <c r="A214" s="2"/>
      <c r="B214" s="65" t="str">
        <f t="shared" si="6"/>
        <v/>
      </c>
      <c r="C214" s="66"/>
      <c r="D214" s="60"/>
      <c r="E214" s="60"/>
      <c r="F214" s="67"/>
      <c r="G214" s="61"/>
      <c r="H214" s="61"/>
      <c r="I214" s="61"/>
      <c r="J214" s="65" t="str">
        <f t="shared" si="7"/>
        <v/>
      </c>
      <c r="K214" s="2"/>
      <c r="L214" s="2"/>
    </row>
    <row r="215" spans="1:12" ht="18" customHeight="1" x14ac:dyDescent="0.3">
      <c r="A215" s="2"/>
      <c r="B215" s="65" t="str">
        <f t="shared" si="6"/>
        <v/>
      </c>
      <c r="C215" s="66"/>
      <c r="D215" s="60"/>
      <c r="E215" s="60"/>
      <c r="F215" s="67"/>
      <c r="G215" s="61"/>
      <c r="H215" s="61"/>
      <c r="I215" s="61"/>
      <c r="J215" s="65" t="str">
        <f t="shared" si="7"/>
        <v/>
      </c>
      <c r="K215" s="2"/>
      <c r="L215" s="2"/>
    </row>
    <row r="216" spans="1:12" ht="18" customHeight="1" x14ac:dyDescent="0.3">
      <c r="A216" s="2"/>
      <c r="B216" s="65" t="str">
        <f t="shared" si="6"/>
        <v/>
      </c>
      <c r="C216" s="66"/>
      <c r="D216" s="60"/>
      <c r="E216" s="60"/>
      <c r="F216" s="67"/>
      <c r="G216" s="61"/>
      <c r="H216" s="61"/>
      <c r="I216" s="61"/>
      <c r="J216" s="65" t="str">
        <f t="shared" si="7"/>
        <v/>
      </c>
      <c r="K216" s="2"/>
      <c r="L216" s="2"/>
    </row>
    <row r="217" spans="1:12" ht="18" customHeight="1" x14ac:dyDescent="0.3">
      <c r="A217" s="2"/>
      <c r="B217" s="65" t="str">
        <f t="shared" si="6"/>
        <v/>
      </c>
      <c r="C217" s="66"/>
      <c r="D217" s="60"/>
      <c r="E217" s="60"/>
      <c r="F217" s="67"/>
      <c r="G217" s="61"/>
      <c r="H217" s="61"/>
      <c r="I217" s="61"/>
      <c r="J217" s="65" t="str">
        <f t="shared" si="7"/>
        <v/>
      </c>
      <c r="K217" s="2"/>
      <c r="L217" s="2"/>
    </row>
    <row r="218" spans="1:12" ht="18" customHeight="1" x14ac:dyDescent="0.3">
      <c r="A218" s="2"/>
      <c r="B218" s="65" t="str">
        <f t="shared" si="6"/>
        <v/>
      </c>
      <c r="C218" s="66"/>
      <c r="D218" s="60"/>
      <c r="E218" s="60"/>
      <c r="F218" s="67"/>
      <c r="G218" s="61"/>
      <c r="H218" s="61"/>
      <c r="I218" s="61"/>
      <c r="J218" s="65" t="str">
        <f t="shared" si="7"/>
        <v/>
      </c>
      <c r="K218" s="2"/>
      <c r="L218" s="2"/>
    </row>
    <row r="219" spans="1:12" ht="18" customHeight="1" x14ac:dyDescent="0.3">
      <c r="A219" s="2"/>
      <c r="B219" s="65" t="str">
        <f t="shared" si="6"/>
        <v/>
      </c>
      <c r="C219" s="66"/>
      <c r="D219" s="60"/>
      <c r="E219" s="60"/>
      <c r="F219" s="67"/>
      <c r="G219" s="61"/>
      <c r="H219" s="61"/>
      <c r="I219" s="61"/>
      <c r="J219" s="65" t="str">
        <f t="shared" si="7"/>
        <v/>
      </c>
      <c r="K219" s="2"/>
      <c r="L219" s="2"/>
    </row>
    <row r="220" spans="1:12" ht="18" customHeight="1" x14ac:dyDescent="0.3">
      <c r="A220" s="2"/>
      <c r="B220" s="65" t="str">
        <f t="shared" si="6"/>
        <v/>
      </c>
      <c r="C220" s="66"/>
      <c r="D220" s="60"/>
      <c r="E220" s="60"/>
      <c r="F220" s="67"/>
      <c r="G220" s="61"/>
      <c r="H220" s="61"/>
      <c r="I220" s="61"/>
      <c r="J220" s="65" t="str">
        <f t="shared" si="7"/>
        <v/>
      </c>
      <c r="K220" s="2"/>
      <c r="L220" s="2"/>
    </row>
    <row r="221" spans="1:12" ht="18" customHeight="1" x14ac:dyDescent="0.3">
      <c r="A221" s="2"/>
      <c r="B221" s="65" t="str">
        <f t="shared" si="6"/>
        <v/>
      </c>
      <c r="C221" s="66"/>
      <c r="D221" s="60"/>
      <c r="E221" s="60"/>
      <c r="F221" s="67"/>
      <c r="G221" s="61"/>
      <c r="H221" s="61"/>
      <c r="I221" s="61"/>
      <c r="J221" s="65" t="str">
        <f t="shared" si="7"/>
        <v/>
      </c>
      <c r="K221" s="2"/>
      <c r="L221" s="2"/>
    </row>
    <row r="222" spans="1:12" ht="18" customHeight="1" x14ac:dyDescent="0.3">
      <c r="A222" s="2"/>
      <c r="B222" s="65" t="str">
        <f t="shared" si="6"/>
        <v/>
      </c>
      <c r="C222" s="66"/>
      <c r="D222" s="60"/>
      <c r="E222" s="60"/>
      <c r="F222" s="67"/>
      <c r="G222" s="61"/>
      <c r="H222" s="61"/>
      <c r="I222" s="61"/>
      <c r="J222" s="65" t="str">
        <f t="shared" si="7"/>
        <v/>
      </c>
      <c r="K222" s="2"/>
      <c r="L222" s="2"/>
    </row>
    <row r="223" spans="1:12" ht="18" customHeight="1" x14ac:dyDescent="0.3">
      <c r="A223" s="2"/>
      <c r="B223" s="65" t="str">
        <f t="shared" si="6"/>
        <v/>
      </c>
      <c r="C223" s="66"/>
      <c r="D223" s="60"/>
      <c r="E223" s="60"/>
      <c r="F223" s="67"/>
      <c r="G223" s="61"/>
      <c r="H223" s="61"/>
      <c r="I223" s="61"/>
      <c r="J223" s="65" t="str">
        <f t="shared" si="7"/>
        <v/>
      </c>
      <c r="K223" s="2"/>
      <c r="L223" s="2"/>
    </row>
    <row r="224" spans="1:12" ht="18" customHeight="1" x14ac:dyDescent="0.3">
      <c r="A224" s="2"/>
      <c r="B224" s="65" t="str">
        <f t="shared" si="6"/>
        <v/>
      </c>
      <c r="C224" s="66"/>
      <c r="D224" s="60"/>
      <c r="E224" s="60"/>
      <c r="F224" s="67"/>
      <c r="G224" s="61"/>
      <c r="H224" s="61"/>
      <c r="I224" s="61"/>
      <c r="J224" s="65" t="str">
        <f t="shared" si="7"/>
        <v/>
      </c>
      <c r="K224" s="2"/>
      <c r="L224" s="2"/>
    </row>
    <row r="225" spans="1:12" ht="18" customHeight="1" x14ac:dyDescent="0.3">
      <c r="A225" s="2"/>
      <c r="B225" s="65" t="str">
        <f t="shared" si="6"/>
        <v/>
      </c>
      <c r="C225" s="66"/>
      <c r="D225" s="60"/>
      <c r="E225" s="60"/>
      <c r="F225" s="67"/>
      <c r="G225" s="61"/>
      <c r="H225" s="61"/>
      <c r="I225" s="61"/>
      <c r="J225" s="65" t="str">
        <f t="shared" si="7"/>
        <v/>
      </c>
      <c r="K225" s="2"/>
      <c r="L225" s="2"/>
    </row>
    <row r="226" spans="1:12" ht="18" customHeight="1" x14ac:dyDescent="0.3">
      <c r="A226" s="2"/>
      <c r="B226" s="65" t="str">
        <f t="shared" si="6"/>
        <v/>
      </c>
      <c r="C226" s="66"/>
      <c r="D226" s="60"/>
      <c r="E226" s="60"/>
      <c r="F226" s="67"/>
      <c r="G226" s="61"/>
      <c r="H226" s="61"/>
      <c r="I226" s="61"/>
      <c r="J226" s="65" t="str">
        <f t="shared" si="7"/>
        <v/>
      </c>
      <c r="K226" s="2"/>
      <c r="L226" s="2"/>
    </row>
    <row r="227" spans="1:12" ht="18" customHeight="1" x14ac:dyDescent="0.3">
      <c r="A227" s="2"/>
      <c r="B227" s="65" t="str">
        <f t="shared" si="6"/>
        <v/>
      </c>
      <c r="C227" s="66"/>
      <c r="D227" s="60"/>
      <c r="E227" s="60"/>
      <c r="F227" s="67"/>
      <c r="G227" s="61"/>
      <c r="H227" s="61"/>
      <c r="I227" s="61"/>
      <c r="J227" s="65" t="str">
        <f t="shared" si="7"/>
        <v/>
      </c>
      <c r="K227" s="2"/>
      <c r="L227" s="2"/>
    </row>
    <row r="228" spans="1:12" ht="18" customHeight="1" x14ac:dyDescent="0.3">
      <c r="A228" s="2"/>
      <c r="B228" s="65" t="str">
        <f t="shared" si="6"/>
        <v/>
      </c>
      <c r="C228" s="66"/>
      <c r="D228" s="60"/>
      <c r="E228" s="60"/>
      <c r="F228" s="67"/>
      <c r="G228" s="61"/>
      <c r="H228" s="61"/>
      <c r="I228" s="61"/>
      <c r="J228" s="65" t="str">
        <f t="shared" si="7"/>
        <v/>
      </c>
      <c r="K228" s="2"/>
      <c r="L228" s="2"/>
    </row>
    <row r="229" spans="1:12" ht="18" customHeight="1" x14ac:dyDescent="0.3">
      <c r="A229" s="2"/>
      <c r="B229" s="65" t="str">
        <f t="shared" si="6"/>
        <v/>
      </c>
      <c r="C229" s="66"/>
      <c r="D229" s="60"/>
      <c r="E229" s="60"/>
      <c r="F229" s="67"/>
      <c r="G229" s="61"/>
      <c r="H229" s="61"/>
      <c r="I229" s="61"/>
      <c r="J229" s="65" t="str">
        <f t="shared" si="7"/>
        <v/>
      </c>
      <c r="K229" s="2"/>
      <c r="L229" s="2"/>
    </row>
    <row r="230" spans="1:12" ht="18" customHeight="1" x14ac:dyDescent="0.3">
      <c r="A230" s="2"/>
      <c r="B230" s="65" t="str">
        <f t="shared" si="6"/>
        <v/>
      </c>
      <c r="C230" s="66"/>
      <c r="D230" s="60"/>
      <c r="E230" s="60"/>
      <c r="F230" s="67"/>
      <c r="G230" s="61"/>
      <c r="H230" s="61"/>
      <c r="I230" s="61"/>
      <c r="J230" s="65" t="str">
        <f t="shared" si="7"/>
        <v/>
      </c>
      <c r="K230" s="2"/>
      <c r="L230" s="2"/>
    </row>
    <row r="231" spans="1:12" ht="18" customHeight="1" x14ac:dyDescent="0.3">
      <c r="A231" s="2"/>
      <c r="B231" s="65" t="str">
        <f t="shared" si="6"/>
        <v/>
      </c>
      <c r="C231" s="66"/>
      <c r="D231" s="60"/>
      <c r="E231" s="60"/>
      <c r="F231" s="67"/>
      <c r="G231" s="61"/>
      <c r="H231" s="61"/>
      <c r="I231" s="61"/>
      <c r="J231" s="65" t="str">
        <f t="shared" si="7"/>
        <v/>
      </c>
      <c r="K231" s="2"/>
      <c r="L231" s="2"/>
    </row>
    <row r="232" spans="1:12" ht="18" customHeight="1" x14ac:dyDescent="0.3">
      <c r="A232" s="2"/>
      <c r="B232" s="65" t="str">
        <f t="shared" si="6"/>
        <v/>
      </c>
      <c r="C232" s="66"/>
      <c r="D232" s="60"/>
      <c r="E232" s="60"/>
      <c r="F232" s="67"/>
      <c r="G232" s="61"/>
      <c r="H232" s="61"/>
      <c r="I232" s="61"/>
      <c r="J232" s="65" t="str">
        <f t="shared" si="7"/>
        <v/>
      </c>
      <c r="K232" s="2"/>
      <c r="L232" s="2"/>
    </row>
    <row r="233" spans="1:12" ht="18" customHeight="1" x14ac:dyDescent="0.3">
      <c r="A233" s="2"/>
      <c r="B233" s="65" t="str">
        <f t="shared" si="6"/>
        <v/>
      </c>
      <c r="C233" s="66"/>
      <c r="D233" s="60"/>
      <c r="E233" s="60"/>
      <c r="F233" s="67"/>
      <c r="G233" s="61"/>
      <c r="H233" s="61"/>
      <c r="I233" s="61"/>
      <c r="J233" s="65" t="str">
        <f t="shared" si="7"/>
        <v/>
      </c>
      <c r="K233" s="2"/>
      <c r="L233" s="2"/>
    </row>
    <row r="234" spans="1:12" ht="18" customHeight="1" x14ac:dyDescent="0.3">
      <c r="A234" s="2"/>
      <c r="B234" s="65" t="str">
        <f t="shared" si="6"/>
        <v/>
      </c>
      <c r="C234" s="66"/>
      <c r="D234" s="60"/>
      <c r="E234" s="60"/>
      <c r="F234" s="67"/>
      <c r="G234" s="61"/>
      <c r="H234" s="61"/>
      <c r="I234" s="61"/>
      <c r="J234" s="65" t="str">
        <f t="shared" si="7"/>
        <v/>
      </c>
      <c r="K234" s="2"/>
      <c r="L234" s="2"/>
    </row>
    <row r="235" spans="1:12" ht="18" customHeight="1" x14ac:dyDescent="0.3">
      <c r="A235" s="2"/>
      <c r="B235" s="65" t="str">
        <f t="shared" si="6"/>
        <v/>
      </c>
      <c r="C235" s="66"/>
      <c r="D235" s="60"/>
      <c r="E235" s="60"/>
      <c r="F235" s="67"/>
      <c r="G235" s="61"/>
      <c r="H235" s="61"/>
      <c r="I235" s="61"/>
      <c r="J235" s="65" t="str">
        <f t="shared" si="7"/>
        <v/>
      </c>
      <c r="K235" s="2"/>
      <c r="L235" s="2"/>
    </row>
    <row r="236" spans="1:12" ht="18" customHeight="1" x14ac:dyDescent="0.3">
      <c r="A236" s="2"/>
      <c r="B236" s="65" t="str">
        <f t="shared" si="6"/>
        <v/>
      </c>
      <c r="C236" s="66"/>
      <c r="D236" s="60"/>
      <c r="E236" s="60"/>
      <c r="F236" s="67"/>
      <c r="G236" s="61"/>
      <c r="H236" s="61"/>
      <c r="I236" s="61"/>
      <c r="J236" s="65" t="str">
        <f t="shared" si="7"/>
        <v/>
      </c>
      <c r="K236" s="2"/>
      <c r="L236" s="2"/>
    </row>
    <row r="237" spans="1:12" ht="18" customHeight="1" x14ac:dyDescent="0.3">
      <c r="A237" s="2"/>
      <c r="B237" s="65" t="str">
        <f t="shared" si="6"/>
        <v/>
      </c>
      <c r="C237" s="66"/>
      <c r="D237" s="60"/>
      <c r="E237" s="60"/>
      <c r="F237" s="67"/>
      <c r="G237" s="61"/>
      <c r="H237" s="61"/>
      <c r="I237" s="61"/>
      <c r="J237" s="65" t="str">
        <f t="shared" si="7"/>
        <v/>
      </c>
      <c r="K237" s="2"/>
      <c r="L237" s="2"/>
    </row>
    <row r="238" spans="1:12" ht="18" customHeight="1" x14ac:dyDescent="0.3">
      <c r="A238" s="2"/>
      <c r="B238" s="65" t="str">
        <f t="shared" si="6"/>
        <v/>
      </c>
      <c r="C238" s="66"/>
      <c r="D238" s="60"/>
      <c r="E238" s="60"/>
      <c r="F238" s="67"/>
      <c r="G238" s="61"/>
      <c r="H238" s="61"/>
      <c r="I238" s="61"/>
      <c r="J238" s="65" t="str">
        <f t="shared" si="7"/>
        <v/>
      </c>
      <c r="K238" s="2"/>
      <c r="L238" s="2"/>
    </row>
    <row r="239" spans="1:12" ht="18" customHeight="1" x14ac:dyDescent="0.3">
      <c r="A239" s="2"/>
      <c r="B239" s="65" t="str">
        <f t="shared" si="6"/>
        <v/>
      </c>
      <c r="C239" s="66"/>
      <c r="D239" s="60"/>
      <c r="E239" s="60"/>
      <c r="F239" s="67"/>
      <c r="G239" s="61"/>
      <c r="H239" s="61"/>
      <c r="I239" s="61"/>
      <c r="J239" s="65" t="str">
        <f t="shared" si="7"/>
        <v/>
      </c>
      <c r="K239" s="2"/>
      <c r="L239" s="2"/>
    </row>
    <row r="240" spans="1:12" ht="18" customHeight="1" x14ac:dyDescent="0.3">
      <c r="A240" s="2"/>
      <c r="B240" s="65" t="str">
        <f t="shared" si="6"/>
        <v/>
      </c>
      <c r="C240" s="66"/>
      <c r="D240" s="60"/>
      <c r="E240" s="60"/>
      <c r="F240" s="67"/>
      <c r="G240" s="61"/>
      <c r="H240" s="61"/>
      <c r="I240" s="61"/>
      <c r="J240" s="65" t="str">
        <f t="shared" si="7"/>
        <v/>
      </c>
      <c r="K240" s="2"/>
      <c r="L240" s="2"/>
    </row>
    <row r="241" spans="1:12" ht="18" customHeight="1" x14ac:dyDescent="0.3">
      <c r="A241" s="2"/>
      <c r="B241" s="65" t="str">
        <f t="shared" si="6"/>
        <v/>
      </c>
      <c r="C241" s="66"/>
      <c r="D241" s="60"/>
      <c r="E241" s="60"/>
      <c r="F241" s="67"/>
      <c r="G241" s="61"/>
      <c r="H241" s="61"/>
      <c r="I241" s="61"/>
      <c r="J241" s="65" t="str">
        <f t="shared" si="7"/>
        <v/>
      </c>
      <c r="K241" s="2"/>
      <c r="L241" s="2"/>
    </row>
    <row r="242" spans="1:12" ht="18" customHeight="1" x14ac:dyDescent="0.3">
      <c r="A242" s="2"/>
      <c r="B242" s="65" t="str">
        <f t="shared" si="6"/>
        <v/>
      </c>
      <c r="C242" s="66"/>
      <c r="D242" s="60"/>
      <c r="E242" s="60"/>
      <c r="F242" s="67"/>
      <c r="G242" s="61"/>
      <c r="H242" s="61"/>
      <c r="I242" s="61"/>
      <c r="J242" s="65" t="str">
        <f t="shared" si="7"/>
        <v/>
      </c>
      <c r="K242" s="2"/>
      <c r="L242" s="2"/>
    </row>
    <row r="243" spans="1:12" ht="18" customHeight="1" x14ac:dyDescent="0.3">
      <c r="A243" s="2"/>
      <c r="B243" s="65" t="str">
        <f t="shared" si="6"/>
        <v/>
      </c>
      <c r="C243" s="66"/>
      <c r="D243" s="60"/>
      <c r="E243" s="60"/>
      <c r="F243" s="67"/>
      <c r="G243" s="61"/>
      <c r="H243" s="61"/>
      <c r="I243" s="61"/>
      <c r="J243" s="65" t="str">
        <f t="shared" si="7"/>
        <v/>
      </c>
      <c r="K243" s="2"/>
      <c r="L243" s="2"/>
    </row>
    <row r="244" spans="1:12" ht="18" customHeight="1" x14ac:dyDescent="0.3">
      <c r="A244" s="2"/>
      <c r="B244" s="65" t="str">
        <f t="shared" si="6"/>
        <v/>
      </c>
      <c r="C244" s="66"/>
      <c r="D244" s="60"/>
      <c r="E244" s="60"/>
      <c r="F244" s="67"/>
      <c r="G244" s="61"/>
      <c r="H244" s="61"/>
      <c r="I244" s="61"/>
      <c r="J244" s="65" t="str">
        <f t="shared" si="7"/>
        <v/>
      </c>
      <c r="K244" s="2"/>
      <c r="L244" s="2"/>
    </row>
    <row r="245" spans="1:12" ht="18" customHeight="1" x14ac:dyDescent="0.3">
      <c r="A245" s="2"/>
      <c r="B245" s="65" t="str">
        <f t="shared" si="6"/>
        <v/>
      </c>
      <c r="C245" s="66"/>
      <c r="D245" s="60"/>
      <c r="E245" s="60"/>
      <c r="F245" s="67"/>
      <c r="G245" s="61"/>
      <c r="H245" s="61"/>
      <c r="I245" s="61"/>
      <c r="J245" s="65" t="str">
        <f t="shared" si="7"/>
        <v/>
      </c>
      <c r="K245" s="2"/>
      <c r="L245" s="2"/>
    </row>
    <row r="246" spans="1:12" ht="18" customHeight="1" x14ac:dyDescent="0.3">
      <c r="A246" s="2"/>
      <c r="B246" s="65" t="str">
        <f t="shared" si="6"/>
        <v/>
      </c>
      <c r="C246" s="66"/>
      <c r="D246" s="60"/>
      <c r="E246" s="60"/>
      <c r="F246" s="67"/>
      <c r="G246" s="61"/>
      <c r="H246" s="61"/>
      <c r="I246" s="61"/>
      <c r="J246" s="65" t="str">
        <f t="shared" si="7"/>
        <v/>
      </c>
      <c r="K246" s="2"/>
      <c r="L246" s="2"/>
    </row>
    <row r="247" spans="1:12" ht="18" customHeight="1" x14ac:dyDescent="0.3">
      <c r="A247" s="2"/>
      <c r="B247" s="65" t="str">
        <f t="shared" si="6"/>
        <v/>
      </c>
      <c r="C247" s="66"/>
      <c r="D247" s="60"/>
      <c r="E247" s="60"/>
      <c r="F247" s="67"/>
      <c r="G247" s="61"/>
      <c r="H247" s="61"/>
      <c r="I247" s="61"/>
      <c r="J247" s="65" t="str">
        <f t="shared" si="7"/>
        <v/>
      </c>
      <c r="K247" s="2"/>
      <c r="L247" s="2"/>
    </row>
    <row r="248" spans="1:12" ht="18" customHeight="1" x14ac:dyDescent="0.3">
      <c r="A248" s="2"/>
      <c r="B248" s="65" t="str">
        <f t="shared" si="6"/>
        <v/>
      </c>
      <c r="C248" s="66"/>
      <c r="D248" s="60"/>
      <c r="E248" s="60"/>
      <c r="F248" s="67"/>
      <c r="G248" s="61"/>
      <c r="H248" s="61"/>
      <c r="I248" s="61"/>
      <c r="J248" s="65" t="str">
        <f t="shared" si="7"/>
        <v/>
      </c>
      <c r="K248" s="2"/>
      <c r="L248" s="2"/>
    </row>
    <row r="249" spans="1:12" ht="18" customHeight="1" x14ac:dyDescent="0.3">
      <c r="A249" s="2"/>
      <c r="B249" s="65" t="str">
        <f t="shared" si="6"/>
        <v/>
      </c>
      <c r="C249" s="66"/>
      <c r="D249" s="60"/>
      <c r="E249" s="60"/>
      <c r="F249" s="67"/>
      <c r="G249" s="61"/>
      <c r="H249" s="61"/>
      <c r="I249" s="61"/>
      <c r="J249" s="65" t="str">
        <f t="shared" si="7"/>
        <v/>
      </c>
      <c r="K249" s="2"/>
      <c r="L249" s="2"/>
    </row>
    <row r="250" spans="1:12" ht="18" customHeight="1" x14ac:dyDescent="0.3">
      <c r="A250" s="2"/>
      <c r="B250" s="65" t="str">
        <f t="shared" si="6"/>
        <v/>
      </c>
      <c r="C250" s="66"/>
      <c r="D250" s="60"/>
      <c r="E250" s="60"/>
      <c r="F250" s="67"/>
      <c r="G250" s="61"/>
      <c r="H250" s="61"/>
      <c r="I250" s="61"/>
      <c r="J250" s="65" t="str">
        <f t="shared" si="7"/>
        <v/>
      </c>
      <c r="K250" s="2"/>
      <c r="L250" s="2"/>
    </row>
    <row r="251" spans="1:12" ht="18" customHeight="1" x14ac:dyDescent="0.3">
      <c r="A251" s="2"/>
      <c r="B251" s="65" t="str">
        <f t="shared" si="6"/>
        <v/>
      </c>
      <c r="C251" s="66"/>
      <c r="D251" s="60"/>
      <c r="E251" s="60"/>
      <c r="F251" s="67"/>
      <c r="G251" s="61"/>
      <c r="H251" s="61"/>
      <c r="I251" s="61"/>
      <c r="J251" s="65" t="str">
        <f t="shared" si="7"/>
        <v/>
      </c>
      <c r="K251" s="2"/>
      <c r="L251" s="2"/>
    </row>
    <row r="252" spans="1:12" ht="18" customHeight="1" x14ac:dyDescent="0.3">
      <c r="A252" s="2"/>
      <c r="B252" s="65" t="str">
        <f t="shared" si="6"/>
        <v/>
      </c>
      <c r="C252" s="66"/>
      <c r="D252" s="60"/>
      <c r="E252" s="60"/>
      <c r="F252" s="67"/>
      <c r="G252" s="61"/>
      <c r="H252" s="61"/>
      <c r="I252" s="61"/>
      <c r="J252" s="65" t="str">
        <f t="shared" si="7"/>
        <v/>
      </c>
      <c r="K252" s="2"/>
      <c r="L252" s="2"/>
    </row>
    <row r="253" spans="1:12" ht="18" customHeight="1" x14ac:dyDescent="0.3">
      <c r="A253" s="2"/>
      <c r="B253" s="65" t="str">
        <f t="shared" si="6"/>
        <v/>
      </c>
      <c r="C253" s="66"/>
      <c r="D253" s="60"/>
      <c r="E253" s="60"/>
      <c r="F253" s="67"/>
      <c r="G253" s="61"/>
      <c r="H253" s="61"/>
      <c r="I253" s="61"/>
      <c r="J253" s="65" t="str">
        <f t="shared" si="7"/>
        <v/>
      </c>
      <c r="K253" s="2"/>
      <c r="L253" s="2"/>
    </row>
    <row r="254" spans="1:12" ht="18" customHeight="1" x14ac:dyDescent="0.3">
      <c r="A254" s="2"/>
      <c r="B254" s="65" t="str">
        <f t="shared" si="6"/>
        <v/>
      </c>
      <c r="C254" s="66"/>
      <c r="D254" s="60"/>
      <c r="E254" s="60"/>
      <c r="F254" s="67"/>
      <c r="G254" s="61"/>
      <c r="H254" s="61"/>
      <c r="I254" s="61"/>
      <c r="J254" s="65" t="str">
        <f t="shared" si="7"/>
        <v/>
      </c>
      <c r="K254" s="2"/>
      <c r="L254" s="2"/>
    </row>
    <row r="255" spans="1:12" ht="18" customHeight="1" x14ac:dyDescent="0.3">
      <c r="A255" s="2"/>
      <c r="B255" s="65" t="str">
        <f t="shared" si="6"/>
        <v/>
      </c>
      <c r="C255" s="66"/>
      <c r="D255" s="60"/>
      <c r="E255" s="60"/>
      <c r="F255" s="67"/>
      <c r="G255" s="61"/>
      <c r="H255" s="61"/>
      <c r="I255" s="61"/>
      <c r="J255" s="65" t="str">
        <f t="shared" si="7"/>
        <v/>
      </c>
      <c r="K255" s="2"/>
      <c r="L255" s="2"/>
    </row>
    <row r="256" spans="1:12" ht="18" customHeight="1" x14ac:dyDescent="0.3">
      <c r="A256" s="2"/>
      <c r="B256" s="65" t="str">
        <f t="shared" si="6"/>
        <v/>
      </c>
      <c r="C256" s="66"/>
      <c r="D256" s="60"/>
      <c r="E256" s="60"/>
      <c r="F256" s="67"/>
      <c r="G256" s="61"/>
      <c r="H256" s="61"/>
      <c r="I256" s="61"/>
      <c r="J256" s="65" t="str">
        <f t="shared" si="7"/>
        <v/>
      </c>
      <c r="K256" s="2"/>
      <c r="L256" s="2"/>
    </row>
    <row r="257" spans="1:12" ht="18" customHeight="1" x14ac:dyDescent="0.3">
      <c r="A257" s="2"/>
      <c r="B257" s="65" t="str">
        <f t="shared" si="6"/>
        <v/>
      </c>
      <c r="C257" s="66"/>
      <c r="D257" s="60"/>
      <c r="E257" s="60"/>
      <c r="F257" s="67"/>
      <c r="G257" s="61"/>
      <c r="H257" s="61"/>
      <c r="I257" s="61"/>
      <c r="J257" s="65" t="str">
        <f t="shared" si="7"/>
        <v/>
      </c>
      <c r="K257" s="2"/>
      <c r="L257" s="2"/>
    </row>
    <row r="258" spans="1:12" ht="18" customHeight="1" x14ac:dyDescent="0.3">
      <c r="A258" s="2"/>
      <c r="B258" s="65" t="str">
        <f t="shared" si="6"/>
        <v/>
      </c>
      <c r="C258" s="66"/>
      <c r="D258" s="60"/>
      <c r="E258" s="60"/>
      <c r="F258" s="67"/>
      <c r="G258" s="61"/>
      <c r="H258" s="61"/>
      <c r="I258" s="61"/>
      <c r="J258" s="65" t="str">
        <f t="shared" si="7"/>
        <v/>
      </c>
      <c r="K258" s="2"/>
      <c r="L258" s="2"/>
    </row>
    <row r="259" spans="1:12" ht="18" customHeight="1" x14ac:dyDescent="0.3">
      <c r="A259" s="2"/>
      <c r="B259" s="65" t="str">
        <f t="shared" si="6"/>
        <v/>
      </c>
      <c r="C259" s="66"/>
      <c r="D259" s="60"/>
      <c r="E259" s="60"/>
      <c r="F259" s="67"/>
      <c r="G259" s="61"/>
      <c r="H259" s="61"/>
      <c r="I259" s="61"/>
      <c r="J259" s="65" t="str">
        <f t="shared" si="7"/>
        <v/>
      </c>
      <c r="K259" s="2"/>
      <c r="L259" s="2"/>
    </row>
    <row r="260" spans="1:12" ht="18" customHeight="1" x14ac:dyDescent="0.3">
      <c r="A260" s="2"/>
      <c r="B260" s="65" t="str">
        <f t="shared" si="6"/>
        <v/>
      </c>
      <c r="C260" s="66"/>
      <c r="D260" s="60"/>
      <c r="E260" s="60"/>
      <c r="F260" s="67"/>
      <c r="G260" s="61"/>
      <c r="H260" s="61"/>
      <c r="I260" s="61"/>
      <c r="J260" s="65" t="str">
        <f t="shared" si="7"/>
        <v/>
      </c>
      <c r="K260" s="2"/>
      <c r="L260" s="2"/>
    </row>
    <row r="261" spans="1:12" ht="18" customHeight="1" x14ac:dyDescent="0.3">
      <c r="A261" s="2"/>
      <c r="B261" s="65" t="str">
        <f t="shared" si="6"/>
        <v/>
      </c>
      <c r="C261" s="66"/>
      <c r="D261" s="60"/>
      <c r="E261" s="60"/>
      <c r="F261" s="67"/>
      <c r="G261" s="61"/>
      <c r="H261" s="61"/>
      <c r="I261" s="61"/>
      <c r="J261" s="65" t="str">
        <f t="shared" si="7"/>
        <v/>
      </c>
      <c r="K261" s="2"/>
      <c r="L261" s="2"/>
    </row>
    <row r="262" spans="1:12" ht="18" customHeight="1" x14ac:dyDescent="0.3">
      <c r="A262" s="2"/>
      <c r="B262" s="65" t="str">
        <f t="shared" si="6"/>
        <v/>
      </c>
      <c r="C262" s="66"/>
      <c r="D262" s="60"/>
      <c r="E262" s="60"/>
      <c r="F262" s="67"/>
      <c r="G262" s="61"/>
      <c r="H262" s="61"/>
      <c r="I262" s="61"/>
      <c r="J262" s="65" t="str">
        <f t="shared" si="7"/>
        <v/>
      </c>
      <c r="K262" s="2"/>
      <c r="L262" s="2"/>
    </row>
    <row r="263" spans="1:12" ht="18" customHeight="1" x14ac:dyDescent="0.3">
      <c r="A263" s="2"/>
      <c r="B263" s="65" t="str">
        <f t="shared" ref="B263:B326" si="8">IF($C263="","","V"&amp;TEXT(ROW()-6,"00000"))</f>
        <v/>
      </c>
      <c r="C263" s="66"/>
      <c r="D263" s="60"/>
      <c r="E263" s="60"/>
      <c r="F263" s="67"/>
      <c r="G263" s="61"/>
      <c r="H263" s="61"/>
      <c r="I263" s="61"/>
      <c r="J263" s="65" t="str">
        <f t="shared" ref="J263:J326" si="9">IF($C263="","",IF(AND($D263&lt;&gt;"",$E263&lt;&gt;"",$D263&lt;&gt;$E263,$F263&gt;0),"UYGUN","HATA"))</f>
        <v/>
      </c>
      <c r="K263" s="2"/>
      <c r="L263" s="2"/>
    </row>
    <row r="264" spans="1:12" ht="18" customHeight="1" x14ac:dyDescent="0.3">
      <c r="A264" s="2"/>
      <c r="B264" s="65" t="str">
        <f t="shared" si="8"/>
        <v/>
      </c>
      <c r="C264" s="66"/>
      <c r="D264" s="60"/>
      <c r="E264" s="60"/>
      <c r="F264" s="67"/>
      <c r="G264" s="61"/>
      <c r="H264" s="61"/>
      <c r="I264" s="61"/>
      <c r="J264" s="65" t="str">
        <f t="shared" si="9"/>
        <v/>
      </c>
      <c r="K264" s="2"/>
      <c r="L264" s="2"/>
    </row>
    <row r="265" spans="1:12" ht="18" customHeight="1" x14ac:dyDescent="0.3">
      <c r="A265" s="2"/>
      <c r="B265" s="65" t="str">
        <f t="shared" si="8"/>
        <v/>
      </c>
      <c r="C265" s="66"/>
      <c r="D265" s="60"/>
      <c r="E265" s="60"/>
      <c r="F265" s="67"/>
      <c r="G265" s="61"/>
      <c r="H265" s="61"/>
      <c r="I265" s="61"/>
      <c r="J265" s="65" t="str">
        <f t="shared" si="9"/>
        <v/>
      </c>
      <c r="K265" s="2"/>
      <c r="L265" s="2"/>
    </row>
    <row r="266" spans="1:12" ht="18" customHeight="1" x14ac:dyDescent="0.3">
      <c r="A266" s="2"/>
      <c r="B266" s="65" t="str">
        <f t="shared" si="8"/>
        <v/>
      </c>
      <c r="C266" s="66"/>
      <c r="D266" s="60"/>
      <c r="E266" s="60"/>
      <c r="F266" s="67"/>
      <c r="G266" s="61"/>
      <c r="H266" s="61"/>
      <c r="I266" s="61"/>
      <c r="J266" s="65" t="str">
        <f t="shared" si="9"/>
        <v/>
      </c>
      <c r="K266" s="2"/>
      <c r="L266" s="2"/>
    </row>
    <row r="267" spans="1:12" ht="18" customHeight="1" x14ac:dyDescent="0.3">
      <c r="A267" s="2"/>
      <c r="B267" s="65" t="str">
        <f t="shared" si="8"/>
        <v/>
      </c>
      <c r="C267" s="66"/>
      <c r="D267" s="60"/>
      <c r="E267" s="60"/>
      <c r="F267" s="67"/>
      <c r="G267" s="61"/>
      <c r="H267" s="61"/>
      <c r="I267" s="61"/>
      <c r="J267" s="65" t="str">
        <f t="shared" si="9"/>
        <v/>
      </c>
      <c r="K267" s="2"/>
      <c r="L267" s="2"/>
    </row>
    <row r="268" spans="1:12" ht="18" customHeight="1" x14ac:dyDescent="0.3">
      <c r="A268" s="2"/>
      <c r="B268" s="65" t="str">
        <f t="shared" si="8"/>
        <v/>
      </c>
      <c r="C268" s="66"/>
      <c r="D268" s="60"/>
      <c r="E268" s="60"/>
      <c r="F268" s="67"/>
      <c r="G268" s="61"/>
      <c r="H268" s="61"/>
      <c r="I268" s="61"/>
      <c r="J268" s="65" t="str">
        <f t="shared" si="9"/>
        <v/>
      </c>
      <c r="K268" s="2"/>
      <c r="L268" s="2"/>
    </row>
    <row r="269" spans="1:12" ht="18" customHeight="1" x14ac:dyDescent="0.3">
      <c r="A269" s="2"/>
      <c r="B269" s="65" t="str">
        <f t="shared" si="8"/>
        <v/>
      </c>
      <c r="C269" s="66"/>
      <c r="D269" s="60"/>
      <c r="E269" s="60"/>
      <c r="F269" s="67"/>
      <c r="G269" s="61"/>
      <c r="H269" s="61"/>
      <c r="I269" s="61"/>
      <c r="J269" s="65" t="str">
        <f t="shared" si="9"/>
        <v/>
      </c>
      <c r="K269" s="2"/>
      <c r="L269" s="2"/>
    </row>
    <row r="270" spans="1:12" ht="18" customHeight="1" x14ac:dyDescent="0.3">
      <c r="A270" s="2"/>
      <c r="B270" s="65" t="str">
        <f t="shared" si="8"/>
        <v/>
      </c>
      <c r="C270" s="66"/>
      <c r="D270" s="60"/>
      <c r="E270" s="60"/>
      <c r="F270" s="67"/>
      <c r="G270" s="61"/>
      <c r="H270" s="61"/>
      <c r="I270" s="61"/>
      <c r="J270" s="65" t="str">
        <f t="shared" si="9"/>
        <v/>
      </c>
      <c r="K270" s="2"/>
      <c r="L270" s="2"/>
    </row>
    <row r="271" spans="1:12" ht="18" customHeight="1" x14ac:dyDescent="0.3">
      <c r="A271" s="2"/>
      <c r="B271" s="65" t="str">
        <f t="shared" si="8"/>
        <v/>
      </c>
      <c r="C271" s="66"/>
      <c r="D271" s="60"/>
      <c r="E271" s="60"/>
      <c r="F271" s="67"/>
      <c r="G271" s="61"/>
      <c r="H271" s="61"/>
      <c r="I271" s="61"/>
      <c r="J271" s="65" t="str">
        <f t="shared" si="9"/>
        <v/>
      </c>
      <c r="K271" s="2"/>
      <c r="L271" s="2"/>
    </row>
    <row r="272" spans="1:12" ht="18" customHeight="1" x14ac:dyDescent="0.3">
      <c r="A272" s="2"/>
      <c r="B272" s="65" t="str">
        <f t="shared" si="8"/>
        <v/>
      </c>
      <c r="C272" s="66"/>
      <c r="D272" s="60"/>
      <c r="E272" s="60"/>
      <c r="F272" s="67"/>
      <c r="G272" s="61"/>
      <c r="H272" s="61"/>
      <c r="I272" s="61"/>
      <c r="J272" s="65" t="str">
        <f t="shared" si="9"/>
        <v/>
      </c>
      <c r="K272" s="2"/>
      <c r="L272" s="2"/>
    </row>
    <row r="273" spans="1:12" ht="18" customHeight="1" x14ac:dyDescent="0.3">
      <c r="A273" s="2"/>
      <c r="B273" s="65" t="str">
        <f t="shared" si="8"/>
        <v/>
      </c>
      <c r="C273" s="66"/>
      <c r="D273" s="60"/>
      <c r="E273" s="60"/>
      <c r="F273" s="67"/>
      <c r="G273" s="61"/>
      <c r="H273" s="61"/>
      <c r="I273" s="61"/>
      <c r="J273" s="65" t="str">
        <f t="shared" si="9"/>
        <v/>
      </c>
      <c r="K273" s="2"/>
      <c r="L273" s="2"/>
    </row>
    <row r="274" spans="1:12" ht="18" customHeight="1" x14ac:dyDescent="0.3">
      <c r="A274" s="2"/>
      <c r="B274" s="65" t="str">
        <f t="shared" si="8"/>
        <v/>
      </c>
      <c r="C274" s="66"/>
      <c r="D274" s="60"/>
      <c r="E274" s="60"/>
      <c r="F274" s="67"/>
      <c r="G274" s="61"/>
      <c r="H274" s="61"/>
      <c r="I274" s="61"/>
      <c r="J274" s="65" t="str">
        <f t="shared" si="9"/>
        <v/>
      </c>
      <c r="K274" s="2"/>
      <c r="L274" s="2"/>
    </row>
    <row r="275" spans="1:12" ht="18" customHeight="1" x14ac:dyDescent="0.3">
      <c r="A275" s="2"/>
      <c r="B275" s="65" t="str">
        <f t="shared" si="8"/>
        <v/>
      </c>
      <c r="C275" s="66"/>
      <c r="D275" s="60"/>
      <c r="E275" s="60"/>
      <c r="F275" s="67"/>
      <c r="G275" s="61"/>
      <c r="H275" s="61"/>
      <c r="I275" s="61"/>
      <c r="J275" s="65" t="str">
        <f t="shared" si="9"/>
        <v/>
      </c>
      <c r="K275" s="2"/>
      <c r="L275" s="2"/>
    </row>
    <row r="276" spans="1:12" ht="18" customHeight="1" x14ac:dyDescent="0.3">
      <c r="A276" s="2"/>
      <c r="B276" s="65" t="str">
        <f t="shared" si="8"/>
        <v/>
      </c>
      <c r="C276" s="66"/>
      <c r="D276" s="60"/>
      <c r="E276" s="60"/>
      <c r="F276" s="67"/>
      <c r="G276" s="61"/>
      <c r="H276" s="61"/>
      <c r="I276" s="61"/>
      <c r="J276" s="65" t="str">
        <f t="shared" si="9"/>
        <v/>
      </c>
      <c r="K276" s="2"/>
      <c r="L276" s="2"/>
    </row>
    <row r="277" spans="1:12" ht="18" customHeight="1" x14ac:dyDescent="0.3">
      <c r="A277" s="2"/>
      <c r="B277" s="65" t="str">
        <f t="shared" si="8"/>
        <v/>
      </c>
      <c r="C277" s="66"/>
      <c r="D277" s="60"/>
      <c r="E277" s="60"/>
      <c r="F277" s="67"/>
      <c r="G277" s="61"/>
      <c r="H277" s="61"/>
      <c r="I277" s="61"/>
      <c r="J277" s="65" t="str">
        <f t="shared" si="9"/>
        <v/>
      </c>
      <c r="K277" s="2"/>
      <c r="L277" s="2"/>
    </row>
    <row r="278" spans="1:12" ht="18" customHeight="1" x14ac:dyDescent="0.3">
      <c r="A278" s="2"/>
      <c r="B278" s="65" t="str">
        <f t="shared" si="8"/>
        <v/>
      </c>
      <c r="C278" s="66"/>
      <c r="D278" s="60"/>
      <c r="E278" s="60"/>
      <c r="F278" s="67"/>
      <c r="G278" s="61"/>
      <c r="H278" s="61"/>
      <c r="I278" s="61"/>
      <c r="J278" s="65" t="str">
        <f t="shared" si="9"/>
        <v/>
      </c>
      <c r="K278" s="2"/>
      <c r="L278" s="2"/>
    </row>
    <row r="279" spans="1:12" ht="18" customHeight="1" x14ac:dyDescent="0.3">
      <c r="A279" s="2"/>
      <c r="B279" s="65" t="str">
        <f t="shared" si="8"/>
        <v/>
      </c>
      <c r="C279" s="66"/>
      <c r="D279" s="60"/>
      <c r="E279" s="60"/>
      <c r="F279" s="67"/>
      <c r="G279" s="61"/>
      <c r="H279" s="61"/>
      <c r="I279" s="61"/>
      <c r="J279" s="65" t="str">
        <f t="shared" si="9"/>
        <v/>
      </c>
      <c r="K279" s="2"/>
      <c r="L279" s="2"/>
    </row>
    <row r="280" spans="1:12" ht="18" customHeight="1" x14ac:dyDescent="0.3">
      <c r="A280" s="2"/>
      <c r="B280" s="65" t="str">
        <f t="shared" si="8"/>
        <v/>
      </c>
      <c r="C280" s="66"/>
      <c r="D280" s="60"/>
      <c r="E280" s="60"/>
      <c r="F280" s="67"/>
      <c r="G280" s="61"/>
      <c r="H280" s="61"/>
      <c r="I280" s="61"/>
      <c r="J280" s="65" t="str">
        <f t="shared" si="9"/>
        <v/>
      </c>
      <c r="K280" s="2"/>
      <c r="L280" s="2"/>
    </row>
    <row r="281" spans="1:12" ht="18" customHeight="1" x14ac:dyDescent="0.3">
      <c r="A281" s="2"/>
      <c r="B281" s="65" t="str">
        <f t="shared" si="8"/>
        <v/>
      </c>
      <c r="C281" s="66"/>
      <c r="D281" s="60"/>
      <c r="E281" s="60"/>
      <c r="F281" s="67"/>
      <c r="G281" s="61"/>
      <c r="H281" s="61"/>
      <c r="I281" s="61"/>
      <c r="J281" s="65" t="str">
        <f t="shared" si="9"/>
        <v/>
      </c>
      <c r="K281" s="2"/>
      <c r="L281" s="2"/>
    </row>
    <row r="282" spans="1:12" ht="18" customHeight="1" x14ac:dyDescent="0.3">
      <c r="A282" s="2"/>
      <c r="B282" s="65" t="str">
        <f t="shared" si="8"/>
        <v/>
      </c>
      <c r="C282" s="66"/>
      <c r="D282" s="60"/>
      <c r="E282" s="60"/>
      <c r="F282" s="67"/>
      <c r="G282" s="61"/>
      <c r="H282" s="61"/>
      <c r="I282" s="61"/>
      <c r="J282" s="65" t="str">
        <f t="shared" si="9"/>
        <v/>
      </c>
      <c r="K282" s="2"/>
      <c r="L282" s="2"/>
    </row>
    <row r="283" spans="1:12" ht="18" customHeight="1" x14ac:dyDescent="0.3">
      <c r="A283" s="2"/>
      <c r="B283" s="65" t="str">
        <f t="shared" si="8"/>
        <v/>
      </c>
      <c r="C283" s="66"/>
      <c r="D283" s="60"/>
      <c r="E283" s="60"/>
      <c r="F283" s="67"/>
      <c r="G283" s="61"/>
      <c r="H283" s="61"/>
      <c r="I283" s="61"/>
      <c r="J283" s="65" t="str">
        <f t="shared" si="9"/>
        <v/>
      </c>
      <c r="K283" s="2"/>
      <c r="L283" s="2"/>
    </row>
    <row r="284" spans="1:12" ht="18" customHeight="1" x14ac:dyDescent="0.3">
      <c r="A284" s="2"/>
      <c r="B284" s="65" t="str">
        <f t="shared" si="8"/>
        <v/>
      </c>
      <c r="C284" s="66"/>
      <c r="D284" s="60"/>
      <c r="E284" s="60"/>
      <c r="F284" s="67"/>
      <c r="G284" s="61"/>
      <c r="H284" s="61"/>
      <c r="I284" s="61"/>
      <c r="J284" s="65" t="str">
        <f t="shared" si="9"/>
        <v/>
      </c>
      <c r="K284" s="2"/>
      <c r="L284" s="2"/>
    </row>
    <row r="285" spans="1:12" ht="18" customHeight="1" x14ac:dyDescent="0.3">
      <c r="A285" s="2"/>
      <c r="B285" s="65" t="str">
        <f t="shared" si="8"/>
        <v/>
      </c>
      <c r="C285" s="66"/>
      <c r="D285" s="60"/>
      <c r="E285" s="60"/>
      <c r="F285" s="67"/>
      <c r="G285" s="61"/>
      <c r="H285" s="61"/>
      <c r="I285" s="61"/>
      <c r="J285" s="65" t="str">
        <f t="shared" si="9"/>
        <v/>
      </c>
      <c r="K285" s="2"/>
      <c r="L285" s="2"/>
    </row>
    <row r="286" spans="1:12" ht="18" customHeight="1" x14ac:dyDescent="0.3">
      <c r="A286" s="2"/>
      <c r="B286" s="65" t="str">
        <f t="shared" si="8"/>
        <v/>
      </c>
      <c r="C286" s="66"/>
      <c r="D286" s="60"/>
      <c r="E286" s="60"/>
      <c r="F286" s="67"/>
      <c r="G286" s="61"/>
      <c r="H286" s="61"/>
      <c r="I286" s="61"/>
      <c r="J286" s="65" t="str">
        <f t="shared" si="9"/>
        <v/>
      </c>
      <c r="K286" s="2"/>
      <c r="L286" s="2"/>
    </row>
    <row r="287" spans="1:12" ht="18" customHeight="1" x14ac:dyDescent="0.3">
      <c r="A287" s="2"/>
      <c r="B287" s="65" t="str">
        <f t="shared" si="8"/>
        <v/>
      </c>
      <c r="C287" s="66"/>
      <c r="D287" s="60"/>
      <c r="E287" s="60"/>
      <c r="F287" s="67"/>
      <c r="G287" s="61"/>
      <c r="H287" s="61"/>
      <c r="I287" s="61"/>
      <c r="J287" s="65" t="str">
        <f t="shared" si="9"/>
        <v/>
      </c>
      <c r="K287" s="2"/>
      <c r="L287" s="2"/>
    </row>
    <row r="288" spans="1:12" ht="18" customHeight="1" x14ac:dyDescent="0.3">
      <c r="A288" s="2"/>
      <c r="B288" s="65" t="str">
        <f t="shared" si="8"/>
        <v/>
      </c>
      <c r="C288" s="66"/>
      <c r="D288" s="60"/>
      <c r="E288" s="60"/>
      <c r="F288" s="67"/>
      <c r="G288" s="61"/>
      <c r="H288" s="61"/>
      <c r="I288" s="61"/>
      <c r="J288" s="65" t="str">
        <f t="shared" si="9"/>
        <v/>
      </c>
      <c r="K288" s="2"/>
      <c r="L288" s="2"/>
    </row>
    <row r="289" spans="1:12" ht="18" customHeight="1" x14ac:dyDescent="0.3">
      <c r="A289" s="2"/>
      <c r="B289" s="65" t="str">
        <f t="shared" si="8"/>
        <v/>
      </c>
      <c r="C289" s="66"/>
      <c r="D289" s="60"/>
      <c r="E289" s="60"/>
      <c r="F289" s="67"/>
      <c r="G289" s="61"/>
      <c r="H289" s="61"/>
      <c r="I289" s="61"/>
      <c r="J289" s="65" t="str">
        <f t="shared" si="9"/>
        <v/>
      </c>
      <c r="K289" s="2"/>
      <c r="L289" s="2"/>
    </row>
    <row r="290" spans="1:12" ht="18" customHeight="1" x14ac:dyDescent="0.3">
      <c r="A290" s="2"/>
      <c r="B290" s="65" t="str">
        <f t="shared" si="8"/>
        <v/>
      </c>
      <c r="C290" s="66"/>
      <c r="D290" s="60"/>
      <c r="E290" s="60"/>
      <c r="F290" s="67"/>
      <c r="G290" s="61"/>
      <c r="H290" s="61"/>
      <c r="I290" s="61"/>
      <c r="J290" s="65" t="str">
        <f t="shared" si="9"/>
        <v/>
      </c>
      <c r="K290" s="2"/>
      <c r="L290" s="2"/>
    </row>
    <row r="291" spans="1:12" ht="18" customHeight="1" x14ac:dyDescent="0.3">
      <c r="A291" s="2"/>
      <c r="B291" s="65" t="str">
        <f t="shared" si="8"/>
        <v/>
      </c>
      <c r="C291" s="66"/>
      <c r="D291" s="60"/>
      <c r="E291" s="60"/>
      <c r="F291" s="67"/>
      <c r="G291" s="61"/>
      <c r="H291" s="61"/>
      <c r="I291" s="61"/>
      <c r="J291" s="65" t="str">
        <f t="shared" si="9"/>
        <v/>
      </c>
      <c r="K291" s="2"/>
      <c r="L291" s="2"/>
    </row>
    <row r="292" spans="1:12" ht="18" customHeight="1" x14ac:dyDescent="0.3">
      <c r="A292" s="2"/>
      <c r="B292" s="65" t="str">
        <f t="shared" si="8"/>
        <v/>
      </c>
      <c r="C292" s="66"/>
      <c r="D292" s="60"/>
      <c r="E292" s="60"/>
      <c r="F292" s="67"/>
      <c r="G292" s="61"/>
      <c r="H292" s="61"/>
      <c r="I292" s="61"/>
      <c r="J292" s="65" t="str">
        <f t="shared" si="9"/>
        <v/>
      </c>
      <c r="K292" s="2"/>
      <c r="L292" s="2"/>
    </row>
    <row r="293" spans="1:12" ht="18" customHeight="1" x14ac:dyDescent="0.3">
      <c r="A293" s="2"/>
      <c r="B293" s="65" t="str">
        <f t="shared" si="8"/>
        <v/>
      </c>
      <c r="C293" s="66"/>
      <c r="D293" s="60"/>
      <c r="E293" s="60"/>
      <c r="F293" s="67"/>
      <c r="G293" s="61"/>
      <c r="H293" s="61"/>
      <c r="I293" s="61"/>
      <c r="J293" s="65" t="str">
        <f t="shared" si="9"/>
        <v/>
      </c>
      <c r="K293" s="2"/>
      <c r="L293" s="2"/>
    </row>
    <row r="294" spans="1:12" ht="18" customHeight="1" x14ac:dyDescent="0.3">
      <c r="A294" s="2"/>
      <c r="B294" s="65" t="str">
        <f t="shared" si="8"/>
        <v/>
      </c>
      <c r="C294" s="66"/>
      <c r="D294" s="60"/>
      <c r="E294" s="60"/>
      <c r="F294" s="67"/>
      <c r="G294" s="61"/>
      <c r="H294" s="61"/>
      <c r="I294" s="61"/>
      <c r="J294" s="65" t="str">
        <f t="shared" si="9"/>
        <v/>
      </c>
      <c r="K294" s="2"/>
      <c r="L294" s="2"/>
    </row>
    <row r="295" spans="1:12" ht="18" customHeight="1" x14ac:dyDescent="0.3">
      <c r="A295" s="2"/>
      <c r="B295" s="65" t="str">
        <f t="shared" si="8"/>
        <v/>
      </c>
      <c r="C295" s="66"/>
      <c r="D295" s="60"/>
      <c r="E295" s="60"/>
      <c r="F295" s="67"/>
      <c r="G295" s="61"/>
      <c r="H295" s="61"/>
      <c r="I295" s="61"/>
      <c r="J295" s="65" t="str">
        <f t="shared" si="9"/>
        <v/>
      </c>
      <c r="K295" s="2"/>
      <c r="L295" s="2"/>
    </row>
    <row r="296" spans="1:12" ht="18" customHeight="1" x14ac:dyDescent="0.3">
      <c r="A296" s="2"/>
      <c r="B296" s="65" t="str">
        <f t="shared" si="8"/>
        <v/>
      </c>
      <c r="C296" s="66"/>
      <c r="D296" s="60"/>
      <c r="E296" s="60"/>
      <c r="F296" s="67"/>
      <c r="G296" s="61"/>
      <c r="H296" s="61"/>
      <c r="I296" s="61"/>
      <c r="J296" s="65" t="str">
        <f t="shared" si="9"/>
        <v/>
      </c>
      <c r="K296" s="2"/>
      <c r="L296" s="2"/>
    </row>
    <row r="297" spans="1:12" ht="18" customHeight="1" x14ac:dyDescent="0.3">
      <c r="A297" s="2"/>
      <c r="B297" s="65" t="str">
        <f t="shared" si="8"/>
        <v/>
      </c>
      <c r="C297" s="66"/>
      <c r="D297" s="60"/>
      <c r="E297" s="60"/>
      <c r="F297" s="67"/>
      <c r="G297" s="61"/>
      <c r="H297" s="61"/>
      <c r="I297" s="61"/>
      <c r="J297" s="65" t="str">
        <f t="shared" si="9"/>
        <v/>
      </c>
      <c r="K297" s="2"/>
      <c r="L297" s="2"/>
    </row>
    <row r="298" spans="1:12" ht="18" customHeight="1" x14ac:dyDescent="0.3">
      <c r="A298" s="2"/>
      <c r="B298" s="65" t="str">
        <f t="shared" si="8"/>
        <v/>
      </c>
      <c r="C298" s="66"/>
      <c r="D298" s="60"/>
      <c r="E298" s="60"/>
      <c r="F298" s="67"/>
      <c r="G298" s="61"/>
      <c r="H298" s="61"/>
      <c r="I298" s="61"/>
      <c r="J298" s="65" t="str">
        <f t="shared" si="9"/>
        <v/>
      </c>
      <c r="K298" s="2"/>
      <c r="L298" s="2"/>
    </row>
    <row r="299" spans="1:12" ht="18" customHeight="1" x14ac:dyDescent="0.3">
      <c r="A299" s="2"/>
      <c r="B299" s="65" t="str">
        <f t="shared" si="8"/>
        <v/>
      </c>
      <c r="C299" s="66"/>
      <c r="D299" s="60"/>
      <c r="E299" s="60"/>
      <c r="F299" s="67"/>
      <c r="G299" s="61"/>
      <c r="H299" s="61"/>
      <c r="I299" s="61"/>
      <c r="J299" s="65" t="str">
        <f t="shared" si="9"/>
        <v/>
      </c>
      <c r="K299" s="2"/>
      <c r="L299" s="2"/>
    </row>
    <row r="300" spans="1:12" ht="18" customHeight="1" x14ac:dyDescent="0.3">
      <c r="A300" s="2"/>
      <c r="B300" s="65" t="str">
        <f t="shared" si="8"/>
        <v/>
      </c>
      <c r="C300" s="66"/>
      <c r="D300" s="60"/>
      <c r="E300" s="60"/>
      <c r="F300" s="67"/>
      <c r="G300" s="61"/>
      <c r="H300" s="61"/>
      <c r="I300" s="61"/>
      <c r="J300" s="65" t="str">
        <f t="shared" si="9"/>
        <v/>
      </c>
      <c r="K300" s="2"/>
      <c r="L300" s="2"/>
    </row>
    <row r="301" spans="1:12" ht="18" customHeight="1" x14ac:dyDescent="0.3">
      <c r="A301" s="2"/>
      <c r="B301" s="65" t="str">
        <f t="shared" si="8"/>
        <v/>
      </c>
      <c r="C301" s="66"/>
      <c r="D301" s="60"/>
      <c r="E301" s="60"/>
      <c r="F301" s="67"/>
      <c r="G301" s="61"/>
      <c r="H301" s="61"/>
      <c r="I301" s="61"/>
      <c r="J301" s="65" t="str">
        <f t="shared" si="9"/>
        <v/>
      </c>
      <c r="K301" s="2"/>
      <c r="L301" s="2"/>
    </row>
    <row r="302" spans="1:12" ht="18" customHeight="1" x14ac:dyDescent="0.3">
      <c r="A302" s="2"/>
      <c r="B302" s="65" t="str">
        <f t="shared" si="8"/>
        <v/>
      </c>
      <c r="C302" s="66"/>
      <c r="D302" s="60"/>
      <c r="E302" s="60"/>
      <c r="F302" s="67"/>
      <c r="G302" s="61"/>
      <c r="H302" s="61"/>
      <c r="I302" s="61"/>
      <c r="J302" s="65" t="str">
        <f t="shared" si="9"/>
        <v/>
      </c>
      <c r="K302" s="2"/>
      <c r="L302" s="2"/>
    </row>
    <row r="303" spans="1:12" ht="18" customHeight="1" x14ac:dyDescent="0.3">
      <c r="A303" s="2"/>
      <c r="B303" s="65" t="str">
        <f t="shared" si="8"/>
        <v/>
      </c>
      <c r="C303" s="66"/>
      <c r="D303" s="60"/>
      <c r="E303" s="60"/>
      <c r="F303" s="67"/>
      <c r="G303" s="61"/>
      <c r="H303" s="61"/>
      <c r="I303" s="61"/>
      <c r="J303" s="65" t="str">
        <f t="shared" si="9"/>
        <v/>
      </c>
      <c r="K303" s="2"/>
      <c r="L303" s="2"/>
    </row>
    <row r="304" spans="1:12" ht="18" customHeight="1" x14ac:dyDescent="0.3">
      <c r="A304" s="2"/>
      <c r="B304" s="65" t="str">
        <f t="shared" si="8"/>
        <v/>
      </c>
      <c r="C304" s="66"/>
      <c r="D304" s="60"/>
      <c r="E304" s="60"/>
      <c r="F304" s="67"/>
      <c r="G304" s="61"/>
      <c r="H304" s="61"/>
      <c r="I304" s="61"/>
      <c r="J304" s="65" t="str">
        <f t="shared" si="9"/>
        <v/>
      </c>
      <c r="K304" s="2"/>
      <c r="L304" s="2"/>
    </row>
    <row r="305" spans="1:12" ht="18" customHeight="1" x14ac:dyDescent="0.3">
      <c r="A305" s="2"/>
      <c r="B305" s="65" t="str">
        <f t="shared" si="8"/>
        <v/>
      </c>
      <c r="C305" s="66"/>
      <c r="D305" s="60"/>
      <c r="E305" s="60"/>
      <c r="F305" s="67"/>
      <c r="G305" s="61"/>
      <c r="H305" s="61"/>
      <c r="I305" s="61"/>
      <c r="J305" s="65" t="str">
        <f t="shared" si="9"/>
        <v/>
      </c>
      <c r="K305" s="2"/>
      <c r="L305" s="2"/>
    </row>
    <row r="306" spans="1:12" ht="18" customHeight="1" x14ac:dyDescent="0.3">
      <c r="A306" s="2"/>
      <c r="B306" s="65" t="str">
        <f t="shared" si="8"/>
        <v/>
      </c>
      <c r="C306" s="66"/>
      <c r="D306" s="60"/>
      <c r="E306" s="60"/>
      <c r="F306" s="67"/>
      <c r="G306" s="61"/>
      <c r="H306" s="61"/>
      <c r="I306" s="61"/>
      <c r="J306" s="65" t="str">
        <f t="shared" si="9"/>
        <v/>
      </c>
      <c r="K306" s="2"/>
      <c r="L306" s="2"/>
    </row>
    <row r="307" spans="1:12" ht="18" customHeight="1" x14ac:dyDescent="0.3">
      <c r="A307" s="2"/>
      <c r="B307" s="65" t="str">
        <f t="shared" si="8"/>
        <v/>
      </c>
      <c r="C307" s="66"/>
      <c r="D307" s="60"/>
      <c r="E307" s="60"/>
      <c r="F307" s="67"/>
      <c r="G307" s="61"/>
      <c r="H307" s="61"/>
      <c r="I307" s="61"/>
      <c r="J307" s="65" t="str">
        <f t="shared" si="9"/>
        <v/>
      </c>
      <c r="K307" s="2"/>
      <c r="L307" s="2"/>
    </row>
    <row r="308" spans="1:12" ht="18" customHeight="1" x14ac:dyDescent="0.3">
      <c r="A308" s="2"/>
      <c r="B308" s="65" t="str">
        <f t="shared" si="8"/>
        <v/>
      </c>
      <c r="C308" s="66"/>
      <c r="D308" s="60"/>
      <c r="E308" s="60"/>
      <c r="F308" s="67"/>
      <c r="G308" s="61"/>
      <c r="H308" s="61"/>
      <c r="I308" s="61"/>
      <c r="J308" s="65" t="str">
        <f t="shared" si="9"/>
        <v/>
      </c>
      <c r="K308" s="2"/>
      <c r="L308" s="2"/>
    </row>
    <row r="309" spans="1:12" ht="18" customHeight="1" x14ac:dyDescent="0.3">
      <c r="A309" s="2"/>
      <c r="B309" s="65" t="str">
        <f t="shared" si="8"/>
        <v/>
      </c>
      <c r="C309" s="66"/>
      <c r="D309" s="60"/>
      <c r="E309" s="60"/>
      <c r="F309" s="67"/>
      <c r="G309" s="61"/>
      <c r="H309" s="61"/>
      <c r="I309" s="61"/>
      <c r="J309" s="65" t="str">
        <f t="shared" si="9"/>
        <v/>
      </c>
      <c r="K309" s="2"/>
      <c r="L309" s="2"/>
    </row>
    <row r="310" spans="1:12" ht="18" customHeight="1" x14ac:dyDescent="0.3">
      <c r="A310" s="2"/>
      <c r="B310" s="65" t="str">
        <f t="shared" si="8"/>
        <v/>
      </c>
      <c r="C310" s="66"/>
      <c r="D310" s="60"/>
      <c r="E310" s="60"/>
      <c r="F310" s="67"/>
      <c r="G310" s="61"/>
      <c r="H310" s="61"/>
      <c r="I310" s="61"/>
      <c r="J310" s="65" t="str">
        <f t="shared" si="9"/>
        <v/>
      </c>
      <c r="K310" s="2"/>
      <c r="L310" s="2"/>
    </row>
    <row r="311" spans="1:12" ht="18" customHeight="1" x14ac:dyDescent="0.3">
      <c r="A311" s="2"/>
      <c r="B311" s="65" t="str">
        <f t="shared" si="8"/>
        <v/>
      </c>
      <c r="C311" s="66"/>
      <c r="D311" s="60"/>
      <c r="E311" s="60"/>
      <c r="F311" s="67"/>
      <c r="G311" s="61"/>
      <c r="H311" s="61"/>
      <c r="I311" s="61"/>
      <c r="J311" s="65" t="str">
        <f t="shared" si="9"/>
        <v/>
      </c>
      <c r="K311" s="2"/>
      <c r="L311" s="2"/>
    </row>
    <row r="312" spans="1:12" ht="18" customHeight="1" x14ac:dyDescent="0.3">
      <c r="A312" s="2"/>
      <c r="B312" s="65" t="str">
        <f t="shared" si="8"/>
        <v/>
      </c>
      <c r="C312" s="66"/>
      <c r="D312" s="60"/>
      <c r="E312" s="60"/>
      <c r="F312" s="67"/>
      <c r="G312" s="61"/>
      <c r="H312" s="61"/>
      <c r="I312" s="61"/>
      <c r="J312" s="65" t="str">
        <f t="shared" si="9"/>
        <v/>
      </c>
      <c r="K312" s="2"/>
      <c r="L312" s="2"/>
    </row>
    <row r="313" spans="1:12" ht="18" customHeight="1" x14ac:dyDescent="0.3">
      <c r="A313" s="2"/>
      <c r="B313" s="65" t="str">
        <f t="shared" si="8"/>
        <v/>
      </c>
      <c r="C313" s="66"/>
      <c r="D313" s="60"/>
      <c r="E313" s="60"/>
      <c r="F313" s="67"/>
      <c r="G313" s="61"/>
      <c r="H313" s="61"/>
      <c r="I313" s="61"/>
      <c r="J313" s="65" t="str">
        <f t="shared" si="9"/>
        <v/>
      </c>
      <c r="K313" s="2"/>
      <c r="L313" s="2"/>
    </row>
    <row r="314" spans="1:12" ht="18" customHeight="1" x14ac:dyDescent="0.3">
      <c r="A314" s="2"/>
      <c r="B314" s="65" t="str">
        <f t="shared" si="8"/>
        <v/>
      </c>
      <c r="C314" s="66"/>
      <c r="D314" s="60"/>
      <c r="E314" s="60"/>
      <c r="F314" s="67"/>
      <c r="G314" s="61"/>
      <c r="H314" s="61"/>
      <c r="I314" s="61"/>
      <c r="J314" s="65" t="str">
        <f t="shared" si="9"/>
        <v/>
      </c>
      <c r="K314" s="2"/>
      <c r="L314" s="2"/>
    </row>
    <row r="315" spans="1:12" ht="18" customHeight="1" x14ac:dyDescent="0.3">
      <c r="A315" s="2"/>
      <c r="B315" s="65" t="str">
        <f t="shared" si="8"/>
        <v/>
      </c>
      <c r="C315" s="66"/>
      <c r="D315" s="60"/>
      <c r="E315" s="60"/>
      <c r="F315" s="67"/>
      <c r="G315" s="61"/>
      <c r="H315" s="61"/>
      <c r="I315" s="61"/>
      <c r="J315" s="65" t="str">
        <f t="shared" si="9"/>
        <v/>
      </c>
      <c r="K315" s="2"/>
      <c r="L315" s="2"/>
    </row>
    <row r="316" spans="1:12" ht="18" customHeight="1" x14ac:dyDescent="0.3">
      <c r="A316" s="2"/>
      <c r="B316" s="65" t="str">
        <f t="shared" si="8"/>
        <v/>
      </c>
      <c r="C316" s="66"/>
      <c r="D316" s="60"/>
      <c r="E316" s="60"/>
      <c r="F316" s="67"/>
      <c r="G316" s="61"/>
      <c r="H316" s="61"/>
      <c r="I316" s="61"/>
      <c r="J316" s="65" t="str">
        <f t="shared" si="9"/>
        <v/>
      </c>
      <c r="K316" s="2"/>
      <c r="L316" s="2"/>
    </row>
    <row r="317" spans="1:12" ht="18" customHeight="1" x14ac:dyDescent="0.3">
      <c r="A317" s="2"/>
      <c r="B317" s="65" t="str">
        <f t="shared" si="8"/>
        <v/>
      </c>
      <c r="C317" s="66"/>
      <c r="D317" s="60"/>
      <c r="E317" s="60"/>
      <c r="F317" s="67"/>
      <c r="G317" s="61"/>
      <c r="H317" s="61"/>
      <c r="I317" s="61"/>
      <c r="J317" s="65" t="str">
        <f t="shared" si="9"/>
        <v/>
      </c>
      <c r="K317" s="2"/>
      <c r="L317" s="2"/>
    </row>
    <row r="318" spans="1:12" ht="18" customHeight="1" x14ac:dyDescent="0.3">
      <c r="A318" s="2"/>
      <c r="B318" s="65" t="str">
        <f t="shared" si="8"/>
        <v/>
      </c>
      <c r="C318" s="66"/>
      <c r="D318" s="60"/>
      <c r="E318" s="60"/>
      <c r="F318" s="67"/>
      <c r="G318" s="61"/>
      <c r="H318" s="61"/>
      <c r="I318" s="61"/>
      <c r="J318" s="65" t="str">
        <f t="shared" si="9"/>
        <v/>
      </c>
      <c r="K318" s="2"/>
      <c r="L318" s="2"/>
    </row>
    <row r="319" spans="1:12" ht="18" customHeight="1" x14ac:dyDescent="0.3">
      <c r="A319" s="2"/>
      <c r="B319" s="65" t="str">
        <f t="shared" si="8"/>
        <v/>
      </c>
      <c r="C319" s="66"/>
      <c r="D319" s="60"/>
      <c r="E319" s="60"/>
      <c r="F319" s="67"/>
      <c r="G319" s="61"/>
      <c r="H319" s="61"/>
      <c r="I319" s="61"/>
      <c r="J319" s="65" t="str">
        <f t="shared" si="9"/>
        <v/>
      </c>
      <c r="K319" s="2"/>
      <c r="L319" s="2"/>
    </row>
    <row r="320" spans="1:12" ht="18" customHeight="1" x14ac:dyDescent="0.3">
      <c r="A320" s="2"/>
      <c r="B320" s="65" t="str">
        <f t="shared" si="8"/>
        <v/>
      </c>
      <c r="C320" s="66"/>
      <c r="D320" s="60"/>
      <c r="E320" s="60"/>
      <c r="F320" s="67"/>
      <c r="G320" s="61"/>
      <c r="H320" s="61"/>
      <c r="I320" s="61"/>
      <c r="J320" s="65" t="str">
        <f t="shared" si="9"/>
        <v/>
      </c>
      <c r="K320" s="2"/>
      <c r="L320" s="2"/>
    </row>
    <row r="321" spans="1:12" ht="18" customHeight="1" x14ac:dyDescent="0.3">
      <c r="A321" s="2"/>
      <c r="B321" s="65" t="str">
        <f t="shared" si="8"/>
        <v/>
      </c>
      <c r="C321" s="66"/>
      <c r="D321" s="60"/>
      <c r="E321" s="60"/>
      <c r="F321" s="67"/>
      <c r="G321" s="61"/>
      <c r="H321" s="61"/>
      <c r="I321" s="61"/>
      <c r="J321" s="65" t="str">
        <f t="shared" si="9"/>
        <v/>
      </c>
      <c r="K321" s="2"/>
      <c r="L321" s="2"/>
    </row>
    <row r="322" spans="1:12" ht="18" customHeight="1" x14ac:dyDescent="0.3">
      <c r="A322" s="2"/>
      <c r="B322" s="65" t="str">
        <f t="shared" si="8"/>
        <v/>
      </c>
      <c r="C322" s="66"/>
      <c r="D322" s="60"/>
      <c r="E322" s="60"/>
      <c r="F322" s="67"/>
      <c r="G322" s="61"/>
      <c r="H322" s="61"/>
      <c r="I322" s="61"/>
      <c r="J322" s="65" t="str">
        <f t="shared" si="9"/>
        <v/>
      </c>
      <c r="K322" s="2"/>
      <c r="L322" s="2"/>
    </row>
    <row r="323" spans="1:12" ht="18" customHeight="1" x14ac:dyDescent="0.3">
      <c r="A323" s="2"/>
      <c r="B323" s="65" t="str">
        <f t="shared" si="8"/>
        <v/>
      </c>
      <c r="C323" s="66"/>
      <c r="D323" s="60"/>
      <c r="E323" s="60"/>
      <c r="F323" s="67"/>
      <c r="G323" s="61"/>
      <c r="H323" s="61"/>
      <c r="I323" s="61"/>
      <c r="J323" s="65" t="str">
        <f t="shared" si="9"/>
        <v/>
      </c>
      <c r="K323" s="2"/>
      <c r="L323" s="2"/>
    </row>
    <row r="324" spans="1:12" ht="18" customHeight="1" x14ac:dyDescent="0.3">
      <c r="A324" s="2"/>
      <c r="B324" s="65" t="str">
        <f t="shared" si="8"/>
        <v/>
      </c>
      <c r="C324" s="66"/>
      <c r="D324" s="60"/>
      <c r="E324" s="60"/>
      <c r="F324" s="67"/>
      <c r="G324" s="61"/>
      <c r="H324" s="61"/>
      <c r="I324" s="61"/>
      <c r="J324" s="65" t="str">
        <f t="shared" si="9"/>
        <v/>
      </c>
      <c r="K324" s="2"/>
      <c r="L324" s="2"/>
    </row>
    <row r="325" spans="1:12" ht="18" customHeight="1" x14ac:dyDescent="0.3">
      <c r="A325" s="2"/>
      <c r="B325" s="65" t="str">
        <f t="shared" si="8"/>
        <v/>
      </c>
      <c r="C325" s="66"/>
      <c r="D325" s="60"/>
      <c r="E325" s="60"/>
      <c r="F325" s="67"/>
      <c r="G325" s="61"/>
      <c r="H325" s="61"/>
      <c r="I325" s="61"/>
      <c r="J325" s="65" t="str">
        <f t="shared" si="9"/>
        <v/>
      </c>
      <c r="K325" s="2"/>
      <c r="L325" s="2"/>
    </row>
    <row r="326" spans="1:12" ht="18" customHeight="1" x14ac:dyDescent="0.3">
      <c r="A326" s="2"/>
      <c r="B326" s="65" t="str">
        <f t="shared" si="8"/>
        <v/>
      </c>
      <c r="C326" s="66"/>
      <c r="D326" s="60"/>
      <c r="E326" s="60"/>
      <c r="F326" s="67"/>
      <c r="G326" s="61"/>
      <c r="H326" s="61"/>
      <c r="I326" s="61"/>
      <c r="J326" s="65" t="str">
        <f t="shared" si="9"/>
        <v/>
      </c>
      <c r="K326" s="2"/>
      <c r="L326" s="2"/>
    </row>
    <row r="327" spans="1:12" ht="18" customHeight="1" x14ac:dyDescent="0.3">
      <c r="A327" s="2"/>
      <c r="B327" s="65" t="str">
        <f t="shared" ref="B327:B390" si="10">IF($C327="","","V"&amp;TEXT(ROW()-6,"00000"))</f>
        <v/>
      </c>
      <c r="C327" s="66"/>
      <c r="D327" s="60"/>
      <c r="E327" s="60"/>
      <c r="F327" s="67"/>
      <c r="G327" s="61"/>
      <c r="H327" s="61"/>
      <c r="I327" s="61"/>
      <c r="J327" s="65" t="str">
        <f t="shared" ref="J327:J390" si="11">IF($C327="","",IF(AND($D327&lt;&gt;"",$E327&lt;&gt;"",$D327&lt;&gt;$E327,$F327&gt;0),"UYGUN","HATA"))</f>
        <v/>
      </c>
      <c r="K327" s="2"/>
      <c r="L327" s="2"/>
    </row>
    <row r="328" spans="1:12" ht="18" customHeight="1" x14ac:dyDescent="0.3">
      <c r="A328" s="2"/>
      <c r="B328" s="65" t="str">
        <f t="shared" si="10"/>
        <v/>
      </c>
      <c r="C328" s="66"/>
      <c r="D328" s="60"/>
      <c r="E328" s="60"/>
      <c r="F328" s="67"/>
      <c r="G328" s="61"/>
      <c r="H328" s="61"/>
      <c r="I328" s="61"/>
      <c r="J328" s="65" t="str">
        <f t="shared" si="11"/>
        <v/>
      </c>
      <c r="K328" s="2"/>
      <c r="L328" s="2"/>
    </row>
    <row r="329" spans="1:12" ht="18" customHeight="1" x14ac:dyDescent="0.3">
      <c r="A329" s="2"/>
      <c r="B329" s="65" t="str">
        <f t="shared" si="10"/>
        <v/>
      </c>
      <c r="C329" s="66"/>
      <c r="D329" s="60"/>
      <c r="E329" s="60"/>
      <c r="F329" s="67"/>
      <c r="G329" s="61"/>
      <c r="H329" s="61"/>
      <c r="I329" s="61"/>
      <c r="J329" s="65" t="str">
        <f t="shared" si="11"/>
        <v/>
      </c>
      <c r="K329" s="2"/>
      <c r="L329" s="2"/>
    </row>
    <row r="330" spans="1:12" ht="18" customHeight="1" x14ac:dyDescent="0.3">
      <c r="A330" s="2"/>
      <c r="B330" s="65" t="str">
        <f t="shared" si="10"/>
        <v/>
      </c>
      <c r="C330" s="66"/>
      <c r="D330" s="60"/>
      <c r="E330" s="60"/>
      <c r="F330" s="67"/>
      <c r="G330" s="61"/>
      <c r="H330" s="61"/>
      <c r="I330" s="61"/>
      <c r="J330" s="65" t="str">
        <f t="shared" si="11"/>
        <v/>
      </c>
      <c r="K330" s="2"/>
      <c r="L330" s="2"/>
    </row>
    <row r="331" spans="1:12" ht="18" customHeight="1" x14ac:dyDescent="0.3">
      <c r="A331" s="2"/>
      <c r="B331" s="65" t="str">
        <f t="shared" si="10"/>
        <v/>
      </c>
      <c r="C331" s="66"/>
      <c r="D331" s="60"/>
      <c r="E331" s="60"/>
      <c r="F331" s="67"/>
      <c r="G331" s="61"/>
      <c r="H331" s="61"/>
      <c r="I331" s="61"/>
      <c r="J331" s="65" t="str">
        <f t="shared" si="11"/>
        <v/>
      </c>
      <c r="K331" s="2"/>
      <c r="L331" s="2"/>
    </row>
    <row r="332" spans="1:12" ht="18" customHeight="1" x14ac:dyDescent="0.3">
      <c r="A332" s="2"/>
      <c r="B332" s="65" t="str">
        <f t="shared" si="10"/>
        <v/>
      </c>
      <c r="C332" s="66"/>
      <c r="D332" s="60"/>
      <c r="E332" s="60"/>
      <c r="F332" s="67"/>
      <c r="G332" s="61"/>
      <c r="H332" s="61"/>
      <c r="I332" s="61"/>
      <c r="J332" s="65" t="str">
        <f t="shared" si="11"/>
        <v/>
      </c>
      <c r="K332" s="2"/>
      <c r="L332" s="2"/>
    </row>
    <row r="333" spans="1:12" ht="18" customHeight="1" x14ac:dyDescent="0.3">
      <c r="A333" s="2"/>
      <c r="B333" s="65" t="str">
        <f t="shared" si="10"/>
        <v/>
      </c>
      <c r="C333" s="66"/>
      <c r="D333" s="60"/>
      <c r="E333" s="60"/>
      <c r="F333" s="67"/>
      <c r="G333" s="61"/>
      <c r="H333" s="61"/>
      <c r="I333" s="61"/>
      <c r="J333" s="65" t="str">
        <f t="shared" si="11"/>
        <v/>
      </c>
      <c r="K333" s="2"/>
      <c r="L333" s="2"/>
    </row>
    <row r="334" spans="1:12" ht="18" customHeight="1" x14ac:dyDescent="0.3">
      <c r="A334" s="2"/>
      <c r="B334" s="65" t="str">
        <f t="shared" si="10"/>
        <v/>
      </c>
      <c r="C334" s="66"/>
      <c r="D334" s="60"/>
      <c r="E334" s="60"/>
      <c r="F334" s="67"/>
      <c r="G334" s="61"/>
      <c r="H334" s="61"/>
      <c r="I334" s="61"/>
      <c r="J334" s="65" t="str">
        <f t="shared" si="11"/>
        <v/>
      </c>
      <c r="K334" s="2"/>
      <c r="L334" s="2"/>
    </row>
    <row r="335" spans="1:12" ht="18" customHeight="1" x14ac:dyDescent="0.3">
      <c r="A335" s="2"/>
      <c r="B335" s="65" t="str">
        <f t="shared" si="10"/>
        <v/>
      </c>
      <c r="C335" s="66"/>
      <c r="D335" s="60"/>
      <c r="E335" s="60"/>
      <c r="F335" s="67"/>
      <c r="G335" s="61"/>
      <c r="H335" s="61"/>
      <c r="I335" s="61"/>
      <c r="J335" s="65" t="str">
        <f t="shared" si="11"/>
        <v/>
      </c>
      <c r="K335" s="2"/>
      <c r="L335" s="2"/>
    </row>
    <row r="336" spans="1:12" ht="18" customHeight="1" x14ac:dyDescent="0.3">
      <c r="A336" s="2"/>
      <c r="B336" s="65" t="str">
        <f t="shared" si="10"/>
        <v/>
      </c>
      <c r="C336" s="66"/>
      <c r="D336" s="60"/>
      <c r="E336" s="60"/>
      <c r="F336" s="67"/>
      <c r="G336" s="61"/>
      <c r="H336" s="61"/>
      <c r="I336" s="61"/>
      <c r="J336" s="65" t="str">
        <f t="shared" si="11"/>
        <v/>
      </c>
      <c r="K336" s="2"/>
      <c r="L336" s="2"/>
    </row>
    <row r="337" spans="1:12" ht="18" customHeight="1" x14ac:dyDescent="0.3">
      <c r="A337" s="2"/>
      <c r="B337" s="65" t="str">
        <f t="shared" si="10"/>
        <v/>
      </c>
      <c r="C337" s="66"/>
      <c r="D337" s="60"/>
      <c r="E337" s="60"/>
      <c r="F337" s="67"/>
      <c r="G337" s="61"/>
      <c r="H337" s="61"/>
      <c r="I337" s="61"/>
      <c r="J337" s="65" t="str">
        <f t="shared" si="11"/>
        <v/>
      </c>
      <c r="K337" s="2"/>
      <c r="L337" s="2"/>
    </row>
    <row r="338" spans="1:12" ht="18" customHeight="1" x14ac:dyDescent="0.3">
      <c r="A338" s="2"/>
      <c r="B338" s="65" t="str">
        <f t="shared" si="10"/>
        <v/>
      </c>
      <c r="C338" s="66"/>
      <c r="D338" s="60"/>
      <c r="E338" s="60"/>
      <c r="F338" s="67"/>
      <c r="G338" s="61"/>
      <c r="H338" s="61"/>
      <c r="I338" s="61"/>
      <c r="J338" s="65" t="str">
        <f t="shared" si="11"/>
        <v/>
      </c>
      <c r="K338" s="2"/>
      <c r="L338" s="2"/>
    </row>
    <row r="339" spans="1:12" ht="18" customHeight="1" x14ac:dyDescent="0.3">
      <c r="A339" s="2"/>
      <c r="B339" s="65" t="str">
        <f t="shared" si="10"/>
        <v/>
      </c>
      <c r="C339" s="66"/>
      <c r="D339" s="60"/>
      <c r="E339" s="60"/>
      <c r="F339" s="67"/>
      <c r="G339" s="61"/>
      <c r="H339" s="61"/>
      <c r="I339" s="61"/>
      <c r="J339" s="65" t="str">
        <f t="shared" si="11"/>
        <v/>
      </c>
      <c r="K339" s="2"/>
      <c r="L339" s="2"/>
    </row>
    <row r="340" spans="1:12" ht="18" customHeight="1" x14ac:dyDescent="0.3">
      <c r="A340" s="2"/>
      <c r="B340" s="65" t="str">
        <f t="shared" si="10"/>
        <v/>
      </c>
      <c r="C340" s="66"/>
      <c r="D340" s="60"/>
      <c r="E340" s="60"/>
      <c r="F340" s="67"/>
      <c r="G340" s="61"/>
      <c r="H340" s="61"/>
      <c r="I340" s="61"/>
      <c r="J340" s="65" t="str">
        <f t="shared" si="11"/>
        <v/>
      </c>
      <c r="K340" s="2"/>
      <c r="L340" s="2"/>
    </row>
    <row r="341" spans="1:12" ht="18" customHeight="1" x14ac:dyDescent="0.3">
      <c r="A341" s="2"/>
      <c r="B341" s="65" t="str">
        <f t="shared" si="10"/>
        <v/>
      </c>
      <c r="C341" s="66"/>
      <c r="D341" s="60"/>
      <c r="E341" s="60"/>
      <c r="F341" s="67"/>
      <c r="G341" s="61"/>
      <c r="H341" s="61"/>
      <c r="I341" s="61"/>
      <c r="J341" s="65" t="str">
        <f t="shared" si="11"/>
        <v/>
      </c>
      <c r="K341" s="2"/>
      <c r="L341" s="2"/>
    </row>
    <row r="342" spans="1:12" ht="18" customHeight="1" x14ac:dyDescent="0.3">
      <c r="A342" s="2"/>
      <c r="B342" s="65" t="str">
        <f t="shared" si="10"/>
        <v/>
      </c>
      <c r="C342" s="66"/>
      <c r="D342" s="60"/>
      <c r="E342" s="60"/>
      <c r="F342" s="67"/>
      <c r="G342" s="61"/>
      <c r="H342" s="61"/>
      <c r="I342" s="61"/>
      <c r="J342" s="65" t="str">
        <f t="shared" si="11"/>
        <v/>
      </c>
      <c r="K342" s="2"/>
      <c r="L342" s="2"/>
    </row>
    <row r="343" spans="1:12" ht="18" customHeight="1" x14ac:dyDescent="0.3">
      <c r="A343" s="2"/>
      <c r="B343" s="65" t="str">
        <f t="shared" si="10"/>
        <v/>
      </c>
      <c r="C343" s="66"/>
      <c r="D343" s="60"/>
      <c r="E343" s="60"/>
      <c r="F343" s="67"/>
      <c r="G343" s="61"/>
      <c r="H343" s="61"/>
      <c r="I343" s="61"/>
      <c r="J343" s="65" t="str">
        <f t="shared" si="11"/>
        <v/>
      </c>
      <c r="K343" s="2"/>
      <c r="L343" s="2"/>
    </row>
    <row r="344" spans="1:12" ht="18" customHeight="1" x14ac:dyDescent="0.3">
      <c r="A344" s="2"/>
      <c r="B344" s="65" t="str">
        <f t="shared" si="10"/>
        <v/>
      </c>
      <c r="C344" s="66"/>
      <c r="D344" s="60"/>
      <c r="E344" s="60"/>
      <c r="F344" s="67"/>
      <c r="G344" s="61"/>
      <c r="H344" s="61"/>
      <c r="I344" s="61"/>
      <c r="J344" s="65" t="str">
        <f t="shared" si="11"/>
        <v/>
      </c>
      <c r="K344" s="2"/>
      <c r="L344" s="2"/>
    </row>
    <row r="345" spans="1:12" ht="18" customHeight="1" x14ac:dyDescent="0.3">
      <c r="A345" s="2"/>
      <c r="B345" s="65" t="str">
        <f t="shared" si="10"/>
        <v/>
      </c>
      <c r="C345" s="66"/>
      <c r="D345" s="60"/>
      <c r="E345" s="60"/>
      <c r="F345" s="67"/>
      <c r="G345" s="61"/>
      <c r="H345" s="61"/>
      <c r="I345" s="61"/>
      <c r="J345" s="65" t="str">
        <f t="shared" si="11"/>
        <v/>
      </c>
      <c r="K345" s="2"/>
      <c r="L345" s="2"/>
    </row>
    <row r="346" spans="1:12" ht="18" customHeight="1" x14ac:dyDescent="0.3">
      <c r="A346" s="2"/>
      <c r="B346" s="65" t="str">
        <f t="shared" si="10"/>
        <v/>
      </c>
      <c r="C346" s="66"/>
      <c r="D346" s="60"/>
      <c r="E346" s="60"/>
      <c r="F346" s="67"/>
      <c r="G346" s="61"/>
      <c r="H346" s="61"/>
      <c r="I346" s="61"/>
      <c r="J346" s="65" t="str">
        <f t="shared" si="11"/>
        <v/>
      </c>
      <c r="K346" s="2"/>
      <c r="L346" s="2"/>
    </row>
    <row r="347" spans="1:12" ht="18" customHeight="1" x14ac:dyDescent="0.3">
      <c r="A347" s="2"/>
      <c r="B347" s="65" t="str">
        <f t="shared" si="10"/>
        <v/>
      </c>
      <c r="C347" s="66"/>
      <c r="D347" s="60"/>
      <c r="E347" s="60"/>
      <c r="F347" s="67"/>
      <c r="G347" s="61"/>
      <c r="H347" s="61"/>
      <c r="I347" s="61"/>
      <c r="J347" s="65" t="str">
        <f t="shared" si="11"/>
        <v/>
      </c>
      <c r="K347" s="2"/>
      <c r="L347" s="2"/>
    </row>
    <row r="348" spans="1:12" ht="18" customHeight="1" x14ac:dyDescent="0.3">
      <c r="A348" s="2"/>
      <c r="B348" s="65" t="str">
        <f t="shared" si="10"/>
        <v/>
      </c>
      <c r="C348" s="66"/>
      <c r="D348" s="60"/>
      <c r="E348" s="60"/>
      <c r="F348" s="67"/>
      <c r="G348" s="61"/>
      <c r="H348" s="61"/>
      <c r="I348" s="61"/>
      <c r="J348" s="65" t="str">
        <f t="shared" si="11"/>
        <v/>
      </c>
      <c r="K348" s="2"/>
      <c r="L348" s="2"/>
    </row>
    <row r="349" spans="1:12" ht="18" customHeight="1" x14ac:dyDescent="0.3">
      <c r="A349" s="2"/>
      <c r="B349" s="65" t="str">
        <f t="shared" si="10"/>
        <v/>
      </c>
      <c r="C349" s="66"/>
      <c r="D349" s="60"/>
      <c r="E349" s="60"/>
      <c r="F349" s="67"/>
      <c r="G349" s="61"/>
      <c r="H349" s="61"/>
      <c r="I349" s="61"/>
      <c r="J349" s="65" t="str">
        <f t="shared" si="11"/>
        <v/>
      </c>
      <c r="K349" s="2"/>
      <c r="L349" s="2"/>
    </row>
    <row r="350" spans="1:12" ht="18" customHeight="1" x14ac:dyDescent="0.3">
      <c r="A350" s="2"/>
      <c r="B350" s="65" t="str">
        <f t="shared" si="10"/>
        <v/>
      </c>
      <c r="C350" s="66"/>
      <c r="D350" s="60"/>
      <c r="E350" s="60"/>
      <c r="F350" s="67"/>
      <c r="G350" s="61"/>
      <c r="H350" s="61"/>
      <c r="I350" s="61"/>
      <c r="J350" s="65" t="str">
        <f t="shared" si="11"/>
        <v/>
      </c>
      <c r="K350" s="2"/>
      <c r="L350" s="2"/>
    </row>
    <row r="351" spans="1:12" ht="18" customHeight="1" x14ac:dyDescent="0.3">
      <c r="A351" s="2"/>
      <c r="B351" s="65" t="str">
        <f t="shared" si="10"/>
        <v/>
      </c>
      <c r="C351" s="66"/>
      <c r="D351" s="60"/>
      <c r="E351" s="60"/>
      <c r="F351" s="67"/>
      <c r="G351" s="61"/>
      <c r="H351" s="61"/>
      <c r="I351" s="61"/>
      <c r="J351" s="65" t="str">
        <f t="shared" si="11"/>
        <v/>
      </c>
      <c r="K351" s="2"/>
      <c r="L351" s="2"/>
    </row>
    <row r="352" spans="1:12" ht="18" customHeight="1" x14ac:dyDescent="0.3">
      <c r="A352" s="2"/>
      <c r="B352" s="65" t="str">
        <f t="shared" si="10"/>
        <v/>
      </c>
      <c r="C352" s="66"/>
      <c r="D352" s="60"/>
      <c r="E352" s="60"/>
      <c r="F352" s="67"/>
      <c r="G352" s="61"/>
      <c r="H352" s="61"/>
      <c r="I352" s="61"/>
      <c r="J352" s="65" t="str">
        <f t="shared" si="11"/>
        <v/>
      </c>
      <c r="K352" s="2"/>
      <c r="L352" s="2"/>
    </row>
    <row r="353" spans="1:12" ht="18" customHeight="1" x14ac:dyDescent="0.3">
      <c r="A353" s="2"/>
      <c r="B353" s="65" t="str">
        <f t="shared" si="10"/>
        <v/>
      </c>
      <c r="C353" s="66"/>
      <c r="D353" s="60"/>
      <c r="E353" s="60"/>
      <c r="F353" s="67"/>
      <c r="G353" s="61"/>
      <c r="H353" s="61"/>
      <c r="I353" s="61"/>
      <c r="J353" s="65" t="str">
        <f t="shared" si="11"/>
        <v/>
      </c>
      <c r="K353" s="2"/>
      <c r="L353" s="2"/>
    </row>
    <row r="354" spans="1:12" ht="18" customHeight="1" x14ac:dyDescent="0.3">
      <c r="A354" s="2"/>
      <c r="B354" s="65" t="str">
        <f t="shared" si="10"/>
        <v/>
      </c>
      <c r="C354" s="66"/>
      <c r="D354" s="60"/>
      <c r="E354" s="60"/>
      <c r="F354" s="67"/>
      <c r="G354" s="61"/>
      <c r="H354" s="61"/>
      <c r="I354" s="61"/>
      <c r="J354" s="65" t="str">
        <f t="shared" si="11"/>
        <v/>
      </c>
      <c r="K354" s="2"/>
      <c r="L354" s="2"/>
    </row>
    <row r="355" spans="1:12" ht="18" customHeight="1" x14ac:dyDescent="0.3">
      <c r="A355" s="2"/>
      <c r="B355" s="65" t="str">
        <f t="shared" si="10"/>
        <v/>
      </c>
      <c r="C355" s="66"/>
      <c r="D355" s="60"/>
      <c r="E355" s="60"/>
      <c r="F355" s="67"/>
      <c r="G355" s="61"/>
      <c r="H355" s="61"/>
      <c r="I355" s="61"/>
      <c r="J355" s="65" t="str">
        <f t="shared" si="11"/>
        <v/>
      </c>
      <c r="K355" s="2"/>
      <c r="L355" s="2"/>
    </row>
    <row r="356" spans="1:12" ht="18" customHeight="1" x14ac:dyDescent="0.3">
      <c r="A356" s="2"/>
      <c r="B356" s="65" t="str">
        <f t="shared" si="10"/>
        <v/>
      </c>
      <c r="C356" s="66"/>
      <c r="D356" s="60"/>
      <c r="E356" s="60"/>
      <c r="F356" s="67"/>
      <c r="G356" s="61"/>
      <c r="H356" s="61"/>
      <c r="I356" s="61"/>
      <c r="J356" s="65" t="str">
        <f t="shared" si="11"/>
        <v/>
      </c>
      <c r="K356" s="2"/>
      <c r="L356" s="2"/>
    </row>
    <row r="357" spans="1:12" ht="18" customHeight="1" x14ac:dyDescent="0.3">
      <c r="A357" s="2"/>
      <c r="B357" s="65" t="str">
        <f t="shared" si="10"/>
        <v/>
      </c>
      <c r="C357" s="66"/>
      <c r="D357" s="60"/>
      <c r="E357" s="60"/>
      <c r="F357" s="67"/>
      <c r="G357" s="61"/>
      <c r="H357" s="61"/>
      <c r="I357" s="61"/>
      <c r="J357" s="65" t="str">
        <f t="shared" si="11"/>
        <v/>
      </c>
      <c r="K357" s="2"/>
      <c r="L357" s="2"/>
    </row>
    <row r="358" spans="1:12" ht="18" customHeight="1" x14ac:dyDescent="0.3">
      <c r="A358" s="2"/>
      <c r="B358" s="65" t="str">
        <f t="shared" si="10"/>
        <v/>
      </c>
      <c r="C358" s="66"/>
      <c r="D358" s="60"/>
      <c r="E358" s="60"/>
      <c r="F358" s="67"/>
      <c r="G358" s="61"/>
      <c r="H358" s="61"/>
      <c r="I358" s="61"/>
      <c r="J358" s="65" t="str">
        <f t="shared" si="11"/>
        <v/>
      </c>
      <c r="K358" s="2"/>
      <c r="L358" s="2"/>
    </row>
    <row r="359" spans="1:12" ht="18" customHeight="1" x14ac:dyDescent="0.3">
      <c r="A359" s="2"/>
      <c r="B359" s="65" t="str">
        <f t="shared" si="10"/>
        <v/>
      </c>
      <c r="C359" s="66"/>
      <c r="D359" s="60"/>
      <c r="E359" s="60"/>
      <c r="F359" s="67"/>
      <c r="G359" s="61"/>
      <c r="H359" s="61"/>
      <c r="I359" s="61"/>
      <c r="J359" s="65" t="str">
        <f t="shared" si="11"/>
        <v/>
      </c>
      <c r="K359" s="2"/>
      <c r="L359" s="2"/>
    </row>
    <row r="360" spans="1:12" ht="18" customHeight="1" x14ac:dyDescent="0.3">
      <c r="A360" s="2"/>
      <c r="B360" s="65" t="str">
        <f t="shared" si="10"/>
        <v/>
      </c>
      <c r="C360" s="66"/>
      <c r="D360" s="60"/>
      <c r="E360" s="60"/>
      <c r="F360" s="67"/>
      <c r="G360" s="61"/>
      <c r="H360" s="61"/>
      <c r="I360" s="61"/>
      <c r="J360" s="65" t="str">
        <f t="shared" si="11"/>
        <v/>
      </c>
      <c r="K360" s="2"/>
      <c r="L360" s="2"/>
    </row>
    <row r="361" spans="1:12" ht="18" customHeight="1" x14ac:dyDescent="0.3">
      <c r="A361" s="2"/>
      <c r="B361" s="65" t="str">
        <f t="shared" si="10"/>
        <v/>
      </c>
      <c r="C361" s="66"/>
      <c r="D361" s="60"/>
      <c r="E361" s="60"/>
      <c r="F361" s="67"/>
      <c r="G361" s="61"/>
      <c r="H361" s="61"/>
      <c r="I361" s="61"/>
      <c r="J361" s="65" t="str">
        <f t="shared" si="11"/>
        <v/>
      </c>
      <c r="K361" s="2"/>
      <c r="L361" s="2"/>
    </row>
    <row r="362" spans="1:12" ht="18" customHeight="1" x14ac:dyDescent="0.3">
      <c r="A362" s="2"/>
      <c r="B362" s="65" t="str">
        <f t="shared" si="10"/>
        <v/>
      </c>
      <c r="C362" s="66"/>
      <c r="D362" s="60"/>
      <c r="E362" s="60"/>
      <c r="F362" s="67"/>
      <c r="G362" s="61"/>
      <c r="H362" s="61"/>
      <c r="I362" s="61"/>
      <c r="J362" s="65" t="str">
        <f t="shared" si="11"/>
        <v/>
      </c>
      <c r="K362" s="2"/>
      <c r="L362" s="2"/>
    </row>
    <row r="363" spans="1:12" ht="18" customHeight="1" x14ac:dyDescent="0.3">
      <c r="A363" s="2"/>
      <c r="B363" s="65" t="str">
        <f t="shared" si="10"/>
        <v/>
      </c>
      <c r="C363" s="66"/>
      <c r="D363" s="60"/>
      <c r="E363" s="60"/>
      <c r="F363" s="67"/>
      <c r="G363" s="61"/>
      <c r="H363" s="61"/>
      <c r="I363" s="61"/>
      <c r="J363" s="65" t="str">
        <f t="shared" si="11"/>
        <v/>
      </c>
      <c r="K363" s="2"/>
      <c r="L363" s="2"/>
    </row>
    <row r="364" spans="1:12" ht="18" customHeight="1" x14ac:dyDescent="0.3">
      <c r="A364" s="2"/>
      <c r="B364" s="65" t="str">
        <f t="shared" si="10"/>
        <v/>
      </c>
      <c r="C364" s="66"/>
      <c r="D364" s="60"/>
      <c r="E364" s="60"/>
      <c r="F364" s="67"/>
      <c r="G364" s="61"/>
      <c r="H364" s="61"/>
      <c r="I364" s="61"/>
      <c r="J364" s="65" t="str">
        <f t="shared" si="11"/>
        <v/>
      </c>
      <c r="K364" s="2"/>
      <c r="L364" s="2"/>
    </row>
    <row r="365" spans="1:12" ht="18" customHeight="1" x14ac:dyDescent="0.3">
      <c r="A365" s="2"/>
      <c r="B365" s="65" t="str">
        <f t="shared" si="10"/>
        <v/>
      </c>
      <c r="C365" s="66"/>
      <c r="D365" s="60"/>
      <c r="E365" s="60"/>
      <c r="F365" s="67"/>
      <c r="G365" s="61"/>
      <c r="H365" s="61"/>
      <c r="I365" s="61"/>
      <c r="J365" s="65" t="str">
        <f t="shared" si="11"/>
        <v/>
      </c>
      <c r="K365" s="2"/>
      <c r="L365" s="2"/>
    </row>
    <row r="366" spans="1:12" ht="18" customHeight="1" x14ac:dyDescent="0.3">
      <c r="A366" s="2"/>
      <c r="B366" s="65" t="str">
        <f t="shared" si="10"/>
        <v/>
      </c>
      <c r="C366" s="66"/>
      <c r="D366" s="60"/>
      <c r="E366" s="60"/>
      <c r="F366" s="67"/>
      <c r="G366" s="61"/>
      <c r="H366" s="61"/>
      <c r="I366" s="61"/>
      <c r="J366" s="65" t="str">
        <f t="shared" si="11"/>
        <v/>
      </c>
      <c r="K366" s="2"/>
      <c r="L366" s="2"/>
    </row>
    <row r="367" spans="1:12" ht="18" customHeight="1" x14ac:dyDescent="0.3">
      <c r="A367" s="2"/>
      <c r="B367" s="65" t="str">
        <f t="shared" si="10"/>
        <v/>
      </c>
      <c r="C367" s="66"/>
      <c r="D367" s="60"/>
      <c r="E367" s="60"/>
      <c r="F367" s="67"/>
      <c r="G367" s="61"/>
      <c r="H367" s="61"/>
      <c r="I367" s="61"/>
      <c r="J367" s="65" t="str">
        <f t="shared" si="11"/>
        <v/>
      </c>
      <c r="K367" s="2"/>
      <c r="L367" s="2"/>
    </row>
    <row r="368" spans="1:12" ht="18" customHeight="1" x14ac:dyDescent="0.3">
      <c r="A368" s="2"/>
      <c r="B368" s="65" t="str">
        <f t="shared" si="10"/>
        <v/>
      </c>
      <c r="C368" s="66"/>
      <c r="D368" s="60"/>
      <c r="E368" s="60"/>
      <c r="F368" s="67"/>
      <c r="G368" s="61"/>
      <c r="H368" s="61"/>
      <c r="I368" s="61"/>
      <c r="J368" s="65" t="str">
        <f t="shared" si="11"/>
        <v/>
      </c>
      <c r="K368" s="2"/>
      <c r="L368" s="2"/>
    </row>
    <row r="369" spans="1:12" ht="18" customHeight="1" x14ac:dyDescent="0.3">
      <c r="A369" s="2"/>
      <c r="B369" s="65" t="str">
        <f t="shared" si="10"/>
        <v/>
      </c>
      <c r="C369" s="66"/>
      <c r="D369" s="60"/>
      <c r="E369" s="60"/>
      <c r="F369" s="67"/>
      <c r="G369" s="61"/>
      <c r="H369" s="61"/>
      <c r="I369" s="61"/>
      <c r="J369" s="65" t="str">
        <f t="shared" si="11"/>
        <v/>
      </c>
      <c r="K369" s="2"/>
      <c r="L369" s="2"/>
    </row>
    <row r="370" spans="1:12" ht="18" customHeight="1" x14ac:dyDescent="0.3">
      <c r="A370" s="2"/>
      <c r="B370" s="65" t="str">
        <f t="shared" si="10"/>
        <v/>
      </c>
      <c r="C370" s="66"/>
      <c r="D370" s="60"/>
      <c r="E370" s="60"/>
      <c r="F370" s="67"/>
      <c r="G370" s="61"/>
      <c r="H370" s="61"/>
      <c r="I370" s="61"/>
      <c r="J370" s="65" t="str">
        <f t="shared" si="11"/>
        <v/>
      </c>
      <c r="K370" s="2"/>
      <c r="L370" s="2"/>
    </row>
    <row r="371" spans="1:12" ht="18" customHeight="1" x14ac:dyDescent="0.3">
      <c r="A371" s="2"/>
      <c r="B371" s="65" t="str">
        <f t="shared" si="10"/>
        <v/>
      </c>
      <c r="C371" s="66"/>
      <c r="D371" s="60"/>
      <c r="E371" s="60"/>
      <c r="F371" s="67"/>
      <c r="G371" s="61"/>
      <c r="H371" s="61"/>
      <c r="I371" s="61"/>
      <c r="J371" s="65" t="str">
        <f t="shared" si="11"/>
        <v/>
      </c>
      <c r="K371" s="2"/>
      <c r="L371" s="2"/>
    </row>
    <row r="372" spans="1:12" ht="18" customHeight="1" x14ac:dyDescent="0.3">
      <c r="A372" s="2"/>
      <c r="B372" s="65" t="str">
        <f t="shared" si="10"/>
        <v/>
      </c>
      <c r="C372" s="66"/>
      <c r="D372" s="60"/>
      <c r="E372" s="60"/>
      <c r="F372" s="67"/>
      <c r="G372" s="61"/>
      <c r="H372" s="61"/>
      <c r="I372" s="61"/>
      <c r="J372" s="65" t="str">
        <f t="shared" si="11"/>
        <v/>
      </c>
      <c r="K372" s="2"/>
      <c r="L372" s="2"/>
    </row>
    <row r="373" spans="1:12" ht="18" customHeight="1" x14ac:dyDescent="0.3">
      <c r="A373" s="2"/>
      <c r="B373" s="65" t="str">
        <f t="shared" si="10"/>
        <v/>
      </c>
      <c r="C373" s="66"/>
      <c r="D373" s="60"/>
      <c r="E373" s="60"/>
      <c r="F373" s="67"/>
      <c r="G373" s="61"/>
      <c r="H373" s="61"/>
      <c r="I373" s="61"/>
      <c r="J373" s="65" t="str">
        <f t="shared" si="11"/>
        <v/>
      </c>
      <c r="K373" s="2"/>
      <c r="L373" s="2"/>
    </row>
    <row r="374" spans="1:12" ht="18" customHeight="1" x14ac:dyDescent="0.3">
      <c r="A374" s="2"/>
      <c r="B374" s="65" t="str">
        <f t="shared" si="10"/>
        <v/>
      </c>
      <c r="C374" s="66"/>
      <c r="D374" s="60"/>
      <c r="E374" s="60"/>
      <c r="F374" s="67"/>
      <c r="G374" s="61"/>
      <c r="H374" s="61"/>
      <c r="I374" s="61"/>
      <c r="J374" s="65" t="str">
        <f t="shared" si="11"/>
        <v/>
      </c>
      <c r="K374" s="2"/>
      <c r="L374" s="2"/>
    </row>
    <row r="375" spans="1:12" ht="18" customHeight="1" x14ac:dyDescent="0.3">
      <c r="A375" s="2"/>
      <c r="B375" s="65" t="str">
        <f t="shared" si="10"/>
        <v/>
      </c>
      <c r="C375" s="66"/>
      <c r="D375" s="60"/>
      <c r="E375" s="60"/>
      <c r="F375" s="67"/>
      <c r="G375" s="61"/>
      <c r="H375" s="61"/>
      <c r="I375" s="61"/>
      <c r="J375" s="65" t="str">
        <f t="shared" si="11"/>
        <v/>
      </c>
      <c r="K375" s="2"/>
      <c r="L375" s="2"/>
    </row>
    <row r="376" spans="1:12" ht="18" customHeight="1" x14ac:dyDescent="0.3">
      <c r="A376" s="2"/>
      <c r="B376" s="65" t="str">
        <f t="shared" si="10"/>
        <v/>
      </c>
      <c r="C376" s="66"/>
      <c r="D376" s="60"/>
      <c r="E376" s="60"/>
      <c r="F376" s="67"/>
      <c r="G376" s="61"/>
      <c r="H376" s="61"/>
      <c r="I376" s="61"/>
      <c r="J376" s="65" t="str">
        <f t="shared" si="11"/>
        <v/>
      </c>
      <c r="K376" s="2"/>
      <c r="L376" s="2"/>
    </row>
    <row r="377" spans="1:12" ht="18" customHeight="1" x14ac:dyDescent="0.3">
      <c r="A377" s="2"/>
      <c r="B377" s="65" t="str">
        <f t="shared" si="10"/>
        <v/>
      </c>
      <c r="C377" s="66"/>
      <c r="D377" s="60"/>
      <c r="E377" s="60"/>
      <c r="F377" s="67"/>
      <c r="G377" s="61"/>
      <c r="H377" s="61"/>
      <c r="I377" s="61"/>
      <c r="J377" s="65" t="str">
        <f t="shared" si="11"/>
        <v/>
      </c>
      <c r="K377" s="2"/>
      <c r="L377" s="2"/>
    </row>
    <row r="378" spans="1:12" ht="18" customHeight="1" x14ac:dyDescent="0.3">
      <c r="A378" s="2"/>
      <c r="B378" s="65" t="str">
        <f t="shared" si="10"/>
        <v/>
      </c>
      <c r="C378" s="66"/>
      <c r="D378" s="60"/>
      <c r="E378" s="60"/>
      <c r="F378" s="67"/>
      <c r="G378" s="61"/>
      <c r="H378" s="61"/>
      <c r="I378" s="61"/>
      <c r="J378" s="65" t="str">
        <f t="shared" si="11"/>
        <v/>
      </c>
      <c r="K378" s="2"/>
      <c r="L378" s="2"/>
    </row>
    <row r="379" spans="1:12" ht="18" customHeight="1" x14ac:dyDescent="0.3">
      <c r="A379" s="2"/>
      <c r="B379" s="65" t="str">
        <f t="shared" si="10"/>
        <v/>
      </c>
      <c r="C379" s="66"/>
      <c r="D379" s="60"/>
      <c r="E379" s="60"/>
      <c r="F379" s="67"/>
      <c r="G379" s="61"/>
      <c r="H379" s="61"/>
      <c r="I379" s="61"/>
      <c r="J379" s="65" t="str">
        <f t="shared" si="11"/>
        <v/>
      </c>
      <c r="K379" s="2"/>
      <c r="L379" s="2"/>
    </row>
    <row r="380" spans="1:12" ht="18" customHeight="1" x14ac:dyDescent="0.3">
      <c r="A380" s="2"/>
      <c r="B380" s="65" t="str">
        <f t="shared" si="10"/>
        <v/>
      </c>
      <c r="C380" s="66"/>
      <c r="D380" s="60"/>
      <c r="E380" s="60"/>
      <c r="F380" s="67"/>
      <c r="G380" s="61"/>
      <c r="H380" s="61"/>
      <c r="I380" s="61"/>
      <c r="J380" s="65" t="str">
        <f t="shared" si="11"/>
        <v/>
      </c>
      <c r="K380" s="2"/>
      <c r="L380" s="2"/>
    </row>
    <row r="381" spans="1:12" ht="18" customHeight="1" x14ac:dyDescent="0.3">
      <c r="A381" s="2"/>
      <c r="B381" s="65" t="str">
        <f t="shared" si="10"/>
        <v/>
      </c>
      <c r="C381" s="66"/>
      <c r="D381" s="60"/>
      <c r="E381" s="60"/>
      <c r="F381" s="67"/>
      <c r="G381" s="61"/>
      <c r="H381" s="61"/>
      <c r="I381" s="61"/>
      <c r="J381" s="65" t="str">
        <f t="shared" si="11"/>
        <v/>
      </c>
      <c r="K381" s="2"/>
      <c r="L381" s="2"/>
    </row>
    <row r="382" spans="1:12" ht="18" customHeight="1" x14ac:dyDescent="0.3">
      <c r="A382" s="2"/>
      <c r="B382" s="65" t="str">
        <f t="shared" si="10"/>
        <v/>
      </c>
      <c r="C382" s="66"/>
      <c r="D382" s="60"/>
      <c r="E382" s="60"/>
      <c r="F382" s="67"/>
      <c r="G382" s="61"/>
      <c r="H382" s="61"/>
      <c r="I382" s="61"/>
      <c r="J382" s="65" t="str">
        <f t="shared" si="11"/>
        <v/>
      </c>
      <c r="K382" s="2"/>
      <c r="L382" s="2"/>
    </row>
    <row r="383" spans="1:12" ht="18" customHeight="1" x14ac:dyDescent="0.3">
      <c r="A383" s="2"/>
      <c r="B383" s="65" t="str">
        <f t="shared" si="10"/>
        <v/>
      </c>
      <c r="C383" s="66"/>
      <c r="D383" s="60"/>
      <c r="E383" s="60"/>
      <c r="F383" s="67"/>
      <c r="G383" s="61"/>
      <c r="H383" s="61"/>
      <c r="I383" s="61"/>
      <c r="J383" s="65" t="str">
        <f t="shared" si="11"/>
        <v/>
      </c>
      <c r="K383" s="2"/>
      <c r="L383" s="2"/>
    </row>
    <row r="384" spans="1:12" ht="18" customHeight="1" x14ac:dyDescent="0.3">
      <c r="A384" s="2"/>
      <c r="B384" s="65" t="str">
        <f t="shared" si="10"/>
        <v/>
      </c>
      <c r="C384" s="66"/>
      <c r="D384" s="60"/>
      <c r="E384" s="60"/>
      <c r="F384" s="67"/>
      <c r="G384" s="61"/>
      <c r="H384" s="61"/>
      <c r="I384" s="61"/>
      <c r="J384" s="65" t="str">
        <f t="shared" si="11"/>
        <v/>
      </c>
      <c r="K384" s="2"/>
      <c r="L384" s="2"/>
    </row>
    <row r="385" spans="1:12" ht="18" customHeight="1" x14ac:dyDescent="0.3">
      <c r="A385" s="2"/>
      <c r="B385" s="65" t="str">
        <f t="shared" si="10"/>
        <v/>
      </c>
      <c r="C385" s="66"/>
      <c r="D385" s="60"/>
      <c r="E385" s="60"/>
      <c r="F385" s="67"/>
      <c r="G385" s="61"/>
      <c r="H385" s="61"/>
      <c r="I385" s="61"/>
      <c r="J385" s="65" t="str">
        <f t="shared" si="11"/>
        <v/>
      </c>
      <c r="K385" s="2"/>
      <c r="L385" s="2"/>
    </row>
    <row r="386" spans="1:12" ht="18" customHeight="1" x14ac:dyDescent="0.3">
      <c r="A386" s="2"/>
      <c r="B386" s="65" t="str">
        <f t="shared" si="10"/>
        <v/>
      </c>
      <c r="C386" s="66"/>
      <c r="D386" s="60"/>
      <c r="E386" s="60"/>
      <c r="F386" s="67"/>
      <c r="G386" s="61"/>
      <c r="H386" s="61"/>
      <c r="I386" s="61"/>
      <c r="J386" s="65" t="str">
        <f t="shared" si="11"/>
        <v/>
      </c>
      <c r="K386" s="2"/>
      <c r="L386" s="2"/>
    </row>
    <row r="387" spans="1:12" ht="18" customHeight="1" x14ac:dyDescent="0.3">
      <c r="A387" s="2"/>
      <c r="B387" s="65" t="str">
        <f t="shared" si="10"/>
        <v/>
      </c>
      <c r="C387" s="66"/>
      <c r="D387" s="60"/>
      <c r="E387" s="60"/>
      <c r="F387" s="67"/>
      <c r="G387" s="61"/>
      <c r="H387" s="61"/>
      <c r="I387" s="61"/>
      <c r="J387" s="65" t="str">
        <f t="shared" si="11"/>
        <v/>
      </c>
      <c r="K387" s="2"/>
      <c r="L387" s="2"/>
    </row>
    <row r="388" spans="1:12" ht="18" customHeight="1" x14ac:dyDescent="0.3">
      <c r="A388" s="2"/>
      <c r="B388" s="65" t="str">
        <f t="shared" si="10"/>
        <v/>
      </c>
      <c r="C388" s="66"/>
      <c r="D388" s="60"/>
      <c r="E388" s="60"/>
      <c r="F388" s="67"/>
      <c r="G388" s="61"/>
      <c r="H388" s="61"/>
      <c r="I388" s="61"/>
      <c r="J388" s="65" t="str">
        <f t="shared" si="11"/>
        <v/>
      </c>
      <c r="K388" s="2"/>
      <c r="L388" s="2"/>
    </row>
    <row r="389" spans="1:12" ht="18" customHeight="1" x14ac:dyDescent="0.3">
      <c r="A389" s="2"/>
      <c r="B389" s="65" t="str">
        <f t="shared" si="10"/>
        <v/>
      </c>
      <c r="C389" s="66"/>
      <c r="D389" s="60"/>
      <c r="E389" s="60"/>
      <c r="F389" s="67"/>
      <c r="G389" s="61"/>
      <c r="H389" s="61"/>
      <c r="I389" s="61"/>
      <c r="J389" s="65" t="str">
        <f t="shared" si="11"/>
        <v/>
      </c>
      <c r="K389" s="2"/>
      <c r="L389" s="2"/>
    </row>
    <row r="390" spans="1:12" ht="18" customHeight="1" x14ac:dyDescent="0.3">
      <c r="A390" s="2"/>
      <c r="B390" s="65" t="str">
        <f t="shared" si="10"/>
        <v/>
      </c>
      <c r="C390" s="66"/>
      <c r="D390" s="60"/>
      <c r="E390" s="60"/>
      <c r="F390" s="67"/>
      <c r="G390" s="61"/>
      <c r="H390" s="61"/>
      <c r="I390" s="61"/>
      <c r="J390" s="65" t="str">
        <f t="shared" si="11"/>
        <v/>
      </c>
      <c r="K390" s="2"/>
      <c r="L390" s="2"/>
    </row>
    <row r="391" spans="1:12" ht="18" customHeight="1" x14ac:dyDescent="0.3">
      <c r="A391" s="2"/>
      <c r="B391" s="65" t="str">
        <f t="shared" ref="B391:B406" si="12">IF($C391="","","V"&amp;TEXT(ROW()-6,"00000"))</f>
        <v/>
      </c>
      <c r="C391" s="66"/>
      <c r="D391" s="60"/>
      <c r="E391" s="60"/>
      <c r="F391" s="67"/>
      <c r="G391" s="61"/>
      <c r="H391" s="61"/>
      <c r="I391" s="61"/>
      <c r="J391" s="65" t="str">
        <f t="shared" ref="J391:J406" si="13">IF($C391="","",IF(AND($D391&lt;&gt;"",$E391&lt;&gt;"",$D391&lt;&gt;$E391,$F391&gt;0),"UYGUN","HATA"))</f>
        <v/>
      </c>
      <c r="K391" s="2"/>
      <c r="L391" s="2"/>
    </row>
    <row r="392" spans="1:12" ht="18" customHeight="1" x14ac:dyDescent="0.3">
      <c r="A392" s="2"/>
      <c r="B392" s="65" t="str">
        <f t="shared" si="12"/>
        <v/>
      </c>
      <c r="C392" s="66"/>
      <c r="D392" s="60"/>
      <c r="E392" s="60"/>
      <c r="F392" s="67"/>
      <c r="G392" s="61"/>
      <c r="H392" s="61"/>
      <c r="I392" s="61"/>
      <c r="J392" s="65" t="str">
        <f t="shared" si="13"/>
        <v/>
      </c>
      <c r="K392" s="2"/>
      <c r="L392" s="2"/>
    </row>
    <row r="393" spans="1:12" ht="18" customHeight="1" x14ac:dyDescent="0.3">
      <c r="A393" s="2"/>
      <c r="B393" s="65" t="str">
        <f t="shared" si="12"/>
        <v/>
      </c>
      <c r="C393" s="66"/>
      <c r="D393" s="60"/>
      <c r="E393" s="60"/>
      <c r="F393" s="67"/>
      <c r="G393" s="61"/>
      <c r="H393" s="61"/>
      <c r="I393" s="61"/>
      <c r="J393" s="65" t="str">
        <f t="shared" si="13"/>
        <v/>
      </c>
      <c r="K393" s="2"/>
      <c r="L393" s="2"/>
    </row>
    <row r="394" spans="1:12" ht="18" customHeight="1" x14ac:dyDescent="0.3">
      <c r="A394" s="2"/>
      <c r="B394" s="65" t="str">
        <f t="shared" si="12"/>
        <v/>
      </c>
      <c r="C394" s="66"/>
      <c r="D394" s="60"/>
      <c r="E394" s="60"/>
      <c r="F394" s="67"/>
      <c r="G394" s="61"/>
      <c r="H394" s="61"/>
      <c r="I394" s="61"/>
      <c r="J394" s="65" t="str">
        <f t="shared" si="13"/>
        <v/>
      </c>
      <c r="K394" s="2"/>
      <c r="L394" s="2"/>
    </row>
    <row r="395" spans="1:12" ht="18" customHeight="1" x14ac:dyDescent="0.3">
      <c r="A395" s="2"/>
      <c r="B395" s="65" t="str">
        <f t="shared" si="12"/>
        <v/>
      </c>
      <c r="C395" s="66"/>
      <c r="D395" s="60"/>
      <c r="E395" s="60"/>
      <c r="F395" s="67"/>
      <c r="G395" s="61"/>
      <c r="H395" s="61"/>
      <c r="I395" s="61"/>
      <c r="J395" s="65" t="str">
        <f t="shared" si="13"/>
        <v/>
      </c>
      <c r="K395" s="2"/>
      <c r="L395" s="2"/>
    </row>
    <row r="396" spans="1:12" ht="18" customHeight="1" x14ac:dyDescent="0.3">
      <c r="A396" s="2"/>
      <c r="B396" s="65" t="str">
        <f t="shared" si="12"/>
        <v/>
      </c>
      <c r="C396" s="66"/>
      <c r="D396" s="60"/>
      <c r="E396" s="60"/>
      <c r="F396" s="67"/>
      <c r="G396" s="61"/>
      <c r="H396" s="61"/>
      <c r="I396" s="61"/>
      <c r="J396" s="65" t="str">
        <f t="shared" si="13"/>
        <v/>
      </c>
      <c r="K396" s="2"/>
      <c r="L396" s="2"/>
    </row>
    <row r="397" spans="1:12" ht="18" customHeight="1" x14ac:dyDescent="0.3">
      <c r="A397" s="2"/>
      <c r="B397" s="65" t="str">
        <f t="shared" si="12"/>
        <v/>
      </c>
      <c r="C397" s="66"/>
      <c r="D397" s="60"/>
      <c r="E397" s="60"/>
      <c r="F397" s="67"/>
      <c r="G397" s="61"/>
      <c r="H397" s="61"/>
      <c r="I397" s="61"/>
      <c r="J397" s="65" t="str">
        <f t="shared" si="13"/>
        <v/>
      </c>
      <c r="K397" s="2"/>
      <c r="L397" s="2"/>
    </row>
    <row r="398" spans="1:12" ht="18" customHeight="1" x14ac:dyDescent="0.3">
      <c r="A398" s="2"/>
      <c r="B398" s="65" t="str">
        <f t="shared" si="12"/>
        <v/>
      </c>
      <c r="C398" s="66"/>
      <c r="D398" s="60"/>
      <c r="E398" s="60"/>
      <c r="F398" s="67"/>
      <c r="G398" s="61"/>
      <c r="H398" s="61"/>
      <c r="I398" s="61"/>
      <c r="J398" s="65" t="str">
        <f t="shared" si="13"/>
        <v/>
      </c>
      <c r="K398" s="2"/>
      <c r="L398" s="2"/>
    </row>
    <row r="399" spans="1:12" ht="18" customHeight="1" x14ac:dyDescent="0.3">
      <c r="A399" s="2"/>
      <c r="B399" s="65" t="str">
        <f t="shared" si="12"/>
        <v/>
      </c>
      <c r="C399" s="66"/>
      <c r="D399" s="60"/>
      <c r="E399" s="60"/>
      <c r="F399" s="67"/>
      <c r="G399" s="61"/>
      <c r="H399" s="61"/>
      <c r="I399" s="61"/>
      <c r="J399" s="65" t="str">
        <f t="shared" si="13"/>
        <v/>
      </c>
      <c r="K399" s="2"/>
      <c r="L399" s="2"/>
    </row>
    <row r="400" spans="1:12" ht="18" customHeight="1" x14ac:dyDescent="0.3">
      <c r="A400" s="2"/>
      <c r="B400" s="65" t="str">
        <f t="shared" si="12"/>
        <v/>
      </c>
      <c r="C400" s="66"/>
      <c r="D400" s="60"/>
      <c r="E400" s="60"/>
      <c r="F400" s="67"/>
      <c r="G400" s="61"/>
      <c r="H400" s="61"/>
      <c r="I400" s="61"/>
      <c r="J400" s="65" t="str">
        <f t="shared" si="13"/>
        <v/>
      </c>
      <c r="K400" s="2"/>
      <c r="L400" s="2"/>
    </row>
    <row r="401" spans="1:12" ht="18" customHeight="1" x14ac:dyDescent="0.3">
      <c r="A401" s="2"/>
      <c r="B401" s="65" t="str">
        <f t="shared" si="12"/>
        <v/>
      </c>
      <c r="C401" s="66"/>
      <c r="D401" s="60"/>
      <c r="E401" s="60"/>
      <c r="F401" s="67"/>
      <c r="G401" s="61"/>
      <c r="H401" s="61"/>
      <c r="I401" s="61"/>
      <c r="J401" s="65" t="str">
        <f t="shared" si="13"/>
        <v/>
      </c>
      <c r="K401" s="2"/>
      <c r="L401" s="2"/>
    </row>
    <row r="402" spans="1:12" ht="18" customHeight="1" x14ac:dyDescent="0.3">
      <c r="A402" s="2"/>
      <c r="B402" s="65" t="str">
        <f t="shared" si="12"/>
        <v/>
      </c>
      <c r="C402" s="66"/>
      <c r="D402" s="60"/>
      <c r="E402" s="60"/>
      <c r="F402" s="67"/>
      <c r="G402" s="61"/>
      <c r="H402" s="61"/>
      <c r="I402" s="61"/>
      <c r="J402" s="65" t="str">
        <f t="shared" si="13"/>
        <v/>
      </c>
      <c r="K402" s="2"/>
      <c r="L402" s="2"/>
    </row>
    <row r="403" spans="1:12" ht="18" customHeight="1" x14ac:dyDescent="0.3">
      <c r="A403" s="2"/>
      <c r="B403" s="65" t="str">
        <f t="shared" si="12"/>
        <v/>
      </c>
      <c r="C403" s="66"/>
      <c r="D403" s="60"/>
      <c r="E403" s="60"/>
      <c r="F403" s="67"/>
      <c r="G403" s="61"/>
      <c r="H403" s="61"/>
      <c r="I403" s="61"/>
      <c r="J403" s="65" t="str">
        <f t="shared" si="13"/>
        <v/>
      </c>
      <c r="K403" s="2"/>
      <c r="L403" s="2"/>
    </row>
    <row r="404" spans="1:12" ht="18" customHeight="1" x14ac:dyDescent="0.3">
      <c r="A404" s="2"/>
      <c r="B404" s="65" t="str">
        <f t="shared" si="12"/>
        <v/>
      </c>
      <c r="C404" s="66"/>
      <c r="D404" s="60"/>
      <c r="E404" s="60"/>
      <c r="F404" s="67"/>
      <c r="G404" s="61"/>
      <c r="H404" s="61"/>
      <c r="I404" s="61"/>
      <c r="J404" s="65" t="str">
        <f t="shared" si="13"/>
        <v/>
      </c>
      <c r="K404" s="2"/>
      <c r="L404" s="2"/>
    </row>
    <row r="405" spans="1:12" ht="18" customHeight="1" x14ac:dyDescent="0.3">
      <c r="A405" s="2"/>
      <c r="B405" s="65" t="str">
        <f t="shared" si="12"/>
        <v/>
      </c>
      <c r="C405" s="66"/>
      <c r="D405" s="60"/>
      <c r="E405" s="60"/>
      <c r="F405" s="67"/>
      <c r="G405" s="61"/>
      <c r="H405" s="61"/>
      <c r="I405" s="61"/>
      <c r="J405" s="65" t="str">
        <f t="shared" si="13"/>
        <v/>
      </c>
      <c r="K405" s="2"/>
      <c r="L405" s="2"/>
    </row>
    <row r="406" spans="1:12" ht="18" customHeight="1" x14ac:dyDescent="0.3">
      <c r="A406" s="2"/>
      <c r="B406" s="65" t="str">
        <f t="shared" si="12"/>
        <v/>
      </c>
      <c r="C406" s="66"/>
      <c r="D406" s="60"/>
      <c r="E406" s="60"/>
      <c r="F406" s="67"/>
      <c r="G406" s="61"/>
      <c r="H406" s="61"/>
      <c r="I406" s="61"/>
      <c r="J406" s="65" t="str">
        <f t="shared" si="13"/>
        <v/>
      </c>
      <c r="K406" s="2"/>
      <c r="L406" s="2"/>
    </row>
    <row r="407" spans="1:12" ht="18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</row>
    <row r="408" spans="1:12" ht="18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</row>
  </sheetData>
  <sheetProtection password="CC3D" sheet="1" formatCells="0" formatColumns="0" formatRows="0" sort="0" autoFilter="0"/>
  <autoFilter ref="B6:J406" xr:uid="{00000000-0009-0000-0000-000006000000}"/>
  <mergeCells count="3">
    <mergeCell ref="A1:E1"/>
    <mergeCell ref="F1:K1"/>
    <mergeCell ref="A2:K2"/>
  </mergeCells>
  <conditionalFormatting sqref="J7:J406">
    <cfRule type="expression" dxfId="52" priority="2">
      <formula>EXACT($J7,"UYGUN")</formula>
    </cfRule>
    <cfRule type="expression" dxfId="51" priority="3">
      <formula>EXACT($J7,"EKSİK")</formula>
    </cfRule>
    <cfRule type="expression" dxfId="50" priority="4">
      <formula>EXACT($J7,"HATA")</formula>
    </cfRule>
    <cfRule type="expression" dxfId="49" priority="5">
      <formula>EXACT($J7,"İLERİ TARİH")</formula>
    </cfRule>
    <cfRule type="expression" dxfId="48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490"/>
    <pageSetUpPr fitToPage="1"/>
  </sheetPr>
  <dimension ref="A1:U1008"/>
  <sheetViews>
    <sheetView showGridLines="0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sqref="A1:E1"/>
    </sheetView>
  </sheetViews>
  <sheetFormatPr defaultColWidth="8.5703125" defaultRowHeight="14.25" x14ac:dyDescent="0.25"/>
  <cols>
    <col min="1" max="1" width="2.42578125" customWidth="1"/>
    <col min="2" max="2" width="11" customWidth="1"/>
    <col min="3" max="4" width="12" customWidth="1"/>
    <col min="5" max="5" width="30" customWidth="1"/>
    <col min="6" max="6" width="24" customWidth="1"/>
    <col min="7" max="7" width="14" customWidth="1"/>
    <col min="8" max="8" width="13" customWidth="1"/>
    <col min="9" max="10" width="15" customWidth="1"/>
    <col min="11" max="11" width="12" customWidth="1"/>
    <col min="12" max="12" width="18" customWidth="1"/>
    <col min="13" max="13" width="34" customWidth="1"/>
    <col min="14" max="14" width="30" customWidth="1"/>
    <col min="15" max="15" width="13" customWidth="1"/>
    <col min="16" max="16" width="12" customWidth="1"/>
    <col min="17" max="17" width="16" customWidth="1"/>
    <col min="18" max="19" width="2.42578125" customWidth="1"/>
    <col min="21" max="21" width="13" hidden="1" customWidth="1"/>
  </cols>
  <sheetData>
    <row r="1" spans="1:21" ht="37.5" customHeight="1" x14ac:dyDescent="0.3">
      <c r="A1" s="150" t="s">
        <v>546</v>
      </c>
      <c r="B1" s="150"/>
      <c r="C1" s="150"/>
      <c r="D1" s="150"/>
      <c r="E1" s="150"/>
      <c r="F1" s="151" t="s">
        <v>891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3"/>
      <c r="T1" s="1"/>
      <c r="U1" s="1"/>
    </row>
    <row r="2" spans="1:21" ht="21.75" customHeight="1" x14ac:dyDescent="0.3">
      <c r="A2" s="152" t="s">
        <v>892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4"/>
      <c r="T2" s="1"/>
      <c r="U2" s="1"/>
    </row>
    <row r="3" spans="1:21" ht="19.5" customHeight="1" x14ac:dyDescent="0.3">
      <c r="A3" s="2"/>
      <c r="B3" s="50" t="s">
        <v>893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</row>
    <row r="4" spans="1:2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2" t="s">
        <v>894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</row>
    <row r="5" spans="1:21" ht="25.5" customHeight="1" x14ac:dyDescent="0.3">
      <c r="A5" s="2"/>
      <c r="B5" s="53"/>
      <c r="C5" s="54" t="s">
        <v>895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72">
        <f ca="1">COUNTIF($Q$7:$Q$1006,"GECİKMİŞ")</f>
        <v>0</v>
      </c>
      <c r="R5" s="2"/>
      <c r="S5" s="2"/>
      <c r="T5" s="1"/>
      <c r="U5" s="1"/>
    </row>
    <row r="6" spans="1:21" ht="39.75" customHeight="1" x14ac:dyDescent="0.3">
      <c r="A6" s="2"/>
      <c r="B6" s="57" t="s">
        <v>748</v>
      </c>
      <c r="C6" s="57" t="s">
        <v>749</v>
      </c>
      <c r="D6" s="57" t="s">
        <v>19</v>
      </c>
      <c r="E6" s="58" t="s">
        <v>704</v>
      </c>
      <c r="F6" s="58" t="s">
        <v>896</v>
      </c>
      <c r="G6" s="57" t="s">
        <v>897</v>
      </c>
      <c r="H6" s="57" t="s">
        <v>898</v>
      </c>
      <c r="I6" s="57" t="s">
        <v>899</v>
      </c>
      <c r="J6" s="57" t="s">
        <v>553</v>
      </c>
      <c r="K6" s="57" t="s">
        <v>900</v>
      </c>
      <c r="L6" s="58" t="s">
        <v>554</v>
      </c>
      <c r="M6" s="58" t="s">
        <v>901</v>
      </c>
      <c r="N6" s="58" t="s">
        <v>902</v>
      </c>
      <c r="O6" s="57" t="s">
        <v>903</v>
      </c>
      <c r="P6" s="57" t="s">
        <v>904</v>
      </c>
      <c r="Q6" s="57" t="s">
        <v>905</v>
      </c>
      <c r="R6" s="2"/>
      <c r="S6" s="2"/>
      <c r="T6" s="1"/>
      <c r="U6" s="1"/>
    </row>
    <row r="7" spans="1:21" ht="18" customHeight="1" x14ac:dyDescent="0.3">
      <c r="A7" s="2"/>
      <c r="B7" s="65" t="str">
        <f t="shared" ref="B7:B70" si="0">IF($E7="","","A"&amp;TEXT(ROW()-6,"00000"))</f>
        <v/>
      </c>
      <c r="C7" s="60"/>
      <c r="D7" s="65" t="str">
        <f>IF($E7="","",IFERROR(INDEX(MUSTERILER!$B$7:$B$156,MATCH($U7,MUSTERILER!$T$7:$T$156,0)),IFERROR(INDEX(MUSTERILER!$B$7:$B$156,MATCH($E7,MUSTERILER!$B$7:$B$156,0)),IFERROR(INDEX(MUSTERILER!$B$7:$B$156,MATCH($U7&amp;"*",MUSTERILER!$T$7:$T$156,0)),"TANIMSIZ MÜŞTERİ"))))</f>
        <v/>
      </c>
      <c r="E7" s="61"/>
      <c r="F7" s="61"/>
      <c r="G7" s="60"/>
      <c r="H7" s="66"/>
      <c r="I7" s="66"/>
      <c r="J7" s="60"/>
      <c r="K7" s="60"/>
      <c r="L7" s="61"/>
      <c r="M7" s="61"/>
      <c r="N7" s="61"/>
      <c r="O7" s="66"/>
      <c r="P7" s="76" t="str">
        <f t="shared" ref="P7:P70" ca="1" si="1">IF(OR($E7="",$I7=""),"",IF(OR($J7="Tamamlandı",$J7="İptal"),"",$I7-TODAY()))</f>
        <v/>
      </c>
      <c r="Q7" s="65" t="str">
        <f t="shared" ref="Q7:Q70" ca="1" si="2"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2"/>
      <c r="S7" s="2"/>
      <c r="T7" s="1"/>
      <c r="U7" s="1" t="str">
        <f t="shared" ref="U7:U70" si="3">IF($E7="","",UPPER(SUBSTITUTE(SUBSTITUTE(SUBSTITUTE(SUBSTITUTE(SUBSTITUTE(SUBSTITUTE(SUBSTITUTE(SUBSTITUTE(SUBSTITUTE(SUBSTITUTE(SUBSTITUTE(SUBSTITUTE(SUBSTITUTE(SUBSTITUTE(SUBSTITUTE(SUBSTITUTE(SUBSTITUTE(SUBSTITUTE(TRIM($E7),"'",""),"İ","I"),"ı","I"),"i","I"),"Ş","S"),"ş","S"),"Ğ","G"),"ğ","G"),"Ü","U"),"ü","U"),"Ö","O"),"ö","O"),"Ç","C"),"ç","C"),".",""),",","")," ",""),"-","")))</f>
        <v/>
      </c>
    </row>
    <row r="8" spans="1:21" ht="18" customHeight="1" x14ac:dyDescent="0.3">
      <c r="A8" s="2"/>
      <c r="B8" s="65" t="str">
        <f t="shared" si="0"/>
        <v/>
      </c>
      <c r="C8" s="60"/>
      <c r="D8" s="65" t="str">
        <f>IF($E8="","",IFERROR(INDEX(MUSTERILER!$B$7:$B$156,MATCH($U8,MUSTERILER!$T$7:$T$156,0)),IFERROR(INDEX(MUSTERILER!$B$7:$B$156,MATCH($E8,MUSTERILER!$B$7:$B$156,0)),IFERROR(INDEX(MUSTERILER!$B$7:$B$156,MATCH($U8&amp;"*",MUSTERILER!$T$7:$T$156,0)),"TANIMSIZ MÜŞTERİ"))))</f>
        <v/>
      </c>
      <c r="E8" s="61"/>
      <c r="F8" s="61"/>
      <c r="G8" s="60"/>
      <c r="H8" s="66"/>
      <c r="I8" s="66"/>
      <c r="J8" s="60"/>
      <c r="K8" s="60"/>
      <c r="L8" s="61"/>
      <c r="M8" s="61"/>
      <c r="N8" s="61"/>
      <c r="O8" s="66"/>
      <c r="P8" s="76" t="str">
        <f t="shared" ca="1" si="1"/>
        <v/>
      </c>
      <c r="Q8" s="65" t="str">
        <f t="shared" ca="1" si="2"/>
        <v/>
      </c>
      <c r="R8" s="2"/>
      <c r="S8" s="2"/>
      <c r="T8" s="1"/>
      <c r="U8" s="1" t="str">
        <f t="shared" si="3"/>
        <v/>
      </c>
    </row>
    <row r="9" spans="1:21" ht="18" customHeight="1" x14ac:dyDescent="0.3">
      <c r="A9" s="2"/>
      <c r="B9" s="65" t="str">
        <f t="shared" si="0"/>
        <v/>
      </c>
      <c r="C9" s="60"/>
      <c r="D9" s="65" t="str">
        <f>IF($E9="","",IFERROR(INDEX(MUSTERILER!$B$7:$B$156,MATCH($U9,MUSTERILER!$T$7:$T$156,0)),IFERROR(INDEX(MUSTERILER!$B$7:$B$156,MATCH($E9,MUSTERILER!$B$7:$B$156,0)),IFERROR(INDEX(MUSTERILER!$B$7:$B$156,MATCH($U9&amp;"*",MUSTERILER!$T$7:$T$156,0)),"TANIMSIZ MÜŞTERİ"))))</f>
        <v/>
      </c>
      <c r="E9" s="61"/>
      <c r="F9" s="61"/>
      <c r="G9" s="60"/>
      <c r="H9" s="66"/>
      <c r="I9" s="66"/>
      <c r="J9" s="60"/>
      <c r="K9" s="60"/>
      <c r="L9" s="61"/>
      <c r="M9" s="61"/>
      <c r="N9" s="61"/>
      <c r="O9" s="66"/>
      <c r="P9" s="76" t="str">
        <f t="shared" ca="1" si="1"/>
        <v/>
      </c>
      <c r="Q9" s="65" t="str">
        <f t="shared" ca="1" si="2"/>
        <v/>
      </c>
      <c r="R9" s="2"/>
      <c r="S9" s="2"/>
      <c r="T9" s="1"/>
      <c r="U9" s="1" t="str">
        <f t="shared" si="3"/>
        <v/>
      </c>
    </row>
    <row r="10" spans="1:21" ht="18" customHeight="1" x14ac:dyDescent="0.3">
      <c r="A10" s="2"/>
      <c r="B10" s="65" t="str">
        <f t="shared" si="0"/>
        <v/>
      </c>
      <c r="C10" s="60"/>
      <c r="D10" s="65" t="str">
        <f>IF($E10="","",IFERROR(INDEX(MUSTERILER!$B$7:$B$156,MATCH($U10,MUSTERILER!$T$7:$T$156,0)),IFERROR(INDEX(MUSTERILER!$B$7:$B$156,MATCH($E10,MUSTERILER!$B$7:$B$156,0)),IFERROR(INDEX(MUSTERILER!$B$7:$B$156,MATCH($U10&amp;"*",MUSTERILER!$T$7:$T$156,0)),"TANIMSIZ MÜŞTERİ"))))</f>
        <v/>
      </c>
      <c r="E10" s="61"/>
      <c r="F10" s="61"/>
      <c r="G10" s="60"/>
      <c r="H10" s="66"/>
      <c r="I10" s="66"/>
      <c r="J10" s="60"/>
      <c r="K10" s="60"/>
      <c r="L10" s="61"/>
      <c r="M10" s="61"/>
      <c r="N10" s="61"/>
      <c r="O10" s="66"/>
      <c r="P10" s="76" t="str">
        <f t="shared" ca="1" si="1"/>
        <v/>
      </c>
      <c r="Q10" s="65" t="str">
        <f t="shared" ca="1" si="2"/>
        <v/>
      </c>
      <c r="R10" s="2"/>
      <c r="S10" s="2"/>
      <c r="T10" s="1"/>
      <c r="U10" s="1" t="str">
        <f t="shared" si="3"/>
        <v/>
      </c>
    </row>
    <row r="11" spans="1:21" ht="18" customHeight="1" x14ac:dyDescent="0.3">
      <c r="A11" s="2"/>
      <c r="B11" s="65" t="str">
        <f t="shared" si="0"/>
        <v/>
      </c>
      <c r="C11" s="60"/>
      <c r="D11" s="65" t="str">
        <f>IF($E11="","",IFERROR(INDEX(MUSTERILER!$B$7:$B$156,MATCH($U11,MUSTERILER!$T$7:$T$156,0)),IFERROR(INDEX(MUSTERILER!$B$7:$B$156,MATCH($E11,MUSTERILER!$B$7:$B$156,0)),IFERROR(INDEX(MUSTERILER!$B$7:$B$156,MATCH($U11&amp;"*",MUSTERILER!$T$7:$T$156,0)),"TANIMSIZ MÜŞTERİ"))))</f>
        <v/>
      </c>
      <c r="E11" s="61"/>
      <c r="F11" s="61"/>
      <c r="G11" s="60"/>
      <c r="H11" s="66"/>
      <c r="I11" s="66"/>
      <c r="J11" s="60"/>
      <c r="K11" s="60"/>
      <c r="L11" s="61"/>
      <c r="M11" s="61"/>
      <c r="N11" s="61"/>
      <c r="O11" s="66"/>
      <c r="P11" s="76" t="str">
        <f t="shared" ca="1" si="1"/>
        <v/>
      </c>
      <c r="Q11" s="65" t="str">
        <f t="shared" ca="1" si="2"/>
        <v/>
      </c>
      <c r="R11" s="2"/>
      <c r="S11" s="2"/>
      <c r="T11" s="1"/>
      <c r="U11" s="1" t="str">
        <f t="shared" si="3"/>
        <v/>
      </c>
    </row>
    <row r="12" spans="1:21" ht="18" customHeight="1" x14ac:dyDescent="0.3">
      <c r="A12" s="2"/>
      <c r="B12" s="65" t="str">
        <f t="shared" si="0"/>
        <v/>
      </c>
      <c r="C12" s="60"/>
      <c r="D12" s="65" t="str">
        <f>IF($E12="","",IFERROR(INDEX(MUSTERILER!$B$7:$B$156,MATCH($U12,MUSTERILER!$T$7:$T$156,0)),IFERROR(INDEX(MUSTERILER!$B$7:$B$156,MATCH($E12,MUSTERILER!$B$7:$B$156,0)),IFERROR(INDEX(MUSTERILER!$B$7:$B$156,MATCH($U12&amp;"*",MUSTERILER!$T$7:$T$156,0)),"TANIMSIZ MÜŞTERİ"))))</f>
        <v/>
      </c>
      <c r="E12" s="61"/>
      <c r="F12" s="61"/>
      <c r="G12" s="60"/>
      <c r="H12" s="66"/>
      <c r="I12" s="66"/>
      <c r="J12" s="60"/>
      <c r="K12" s="60"/>
      <c r="L12" s="61"/>
      <c r="M12" s="61"/>
      <c r="N12" s="61"/>
      <c r="O12" s="66"/>
      <c r="P12" s="76" t="str">
        <f t="shared" ca="1" si="1"/>
        <v/>
      </c>
      <c r="Q12" s="65" t="str">
        <f t="shared" ca="1" si="2"/>
        <v/>
      </c>
      <c r="R12" s="2"/>
      <c r="S12" s="2"/>
      <c r="T12" s="1"/>
      <c r="U12" s="1" t="str">
        <f t="shared" si="3"/>
        <v/>
      </c>
    </row>
    <row r="13" spans="1:21" ht="18" customHeight="1" x14ac:dyDescent="0.3">
      <c r="A13" s="2"/>
      <c r="B13" s="65" t="str">
        <f t="shared" si="0"/>
        <v/>
      </c>
      <c r="C13" s="60"/>
      <c r="D13" s="65" t="str">
        <f>IF($E13="","",IFERROR(INDEX(MUSTERILER!$B$7:$B$156,MATCH($U13,MUSTERILER!$T$7:$T$156,0)),IFERROR(INDEX(MUSTERILER!$B$7:$B$156,MATCH($E13,MUSTERILER!$B$7:$B$156,0)),IFERROR(INDEX(MUSTERILER!$B$7:$B$156,MATCH($U13&amp;"*",MUSTERILER!$T$7:$T$156,0)),"TANIMSIZ MÜŞTERİ"))))</f>
        <v/>
      </c>
      <c r="E13" s="61"/>
      <c r="F13" s="61"/>
      <c r="G13" s="60"/>
      <c r="H13" s="66"/>
      <c r="I13" s="66"/>
      <c r="J13" s="60"/>
      <c r="K13" s="60"/>
      <c r="L13" s="61"/>
      <c r="M13" s="61"/>
      <c r="N13" s="61"/>
      <c r="O13" s="66"/>
      <c r="P13" s="76" t="str">
        <f t="shared" ca="1" si="1"/>
        <v/>
      </c>
      <c r="Q13" s="65" t="str">
        <f t="shared" ca="1" si="2"/>
        <v/>
      </c>
      <c r="R13" s="2"/>
      <c r="S13" s="2"/>
      <c r="T13" s="1"/>
      <c r="U13" s="1" t="str">
        <f t="shared" si="3"/>
        <v/>
      </c>
    </row>
    <row r="14" spans="1:21" ht="18" customHeight="1" x14ac:dyDescent="0.3">
      <c r="A14" s="2"/>
      <c r="B14" s="65" t="str">
        <f t="shared" si="0"/>
        <v/>
      </c>
      <c r="C14" s="60"/>
      <c r="D14" s="65" t="str">
        <f>IF($E14="","",IFERROR(INDEX(MUSTERILER!$B$7:$B$156,MATCH($U14,MUSTERILER!$T$7:$T$156,0)),IFERROR(INDEX(MUSTERILER!$B$7:$B$156,MATCH($E14,MUSTERILER!$B$7:$B$156,0)),IFERROR(INDEX(MUSTERILER!$B$7:$B$156,MATCH($U14&amp;"*",MUSTERILER!$T$7:$T$156,0)),"TANIMSIZ MÜŞTERİ"))))</f>
        <v/>
      </c>
      <c r="E14" s="61"/>
      <c r="F14" s="61"/>
      <c r="G14" s="60"/>
      <c r="H14" s="66"/>
      <c r="I14" s="66"/>
      <c r="J14" s="60"/>
      <c r="K14" s="60"/>
      <c r="L14" s="61"/>
      <c r="M14" s="61"/>
      <c r="N14" s="61"/>
      <c r="O14" s="66"/>
      <c r="P14" s="76" t="str">
        <f t="shared" ca="1" si="1"/>
        <v/>
      </c>
      <c r="Q14" s="65" t="str">
        <f t="shared" ca="1" si="2"/>
        <v/>
      </c>
      <c r="R14" s="2"/>
      <c r="S14" s="2"/>
      <c r="T14" s="1"/>
      <c r="U14" s="1" t="str">
        <f t="shared" si="3"/>
        <v/>
      </c>
    </row>
    <row r="15" spans="1:21" ht="18" customHeight="1" x14ac:dyDescent="0.3">
      <c r="A15" s="2"/>
      <c r="B15" s="65" t="str">
        <f t="shared" si="0"/>
        <v/>
      </c>
      <c r="C15" s="60"/>
      <c r="D15" s="65" t="str">
        <f>IF($E15="","",IFERROR(INDEX(MUSTERILER!$B$7:$B$156,MATCH($U15,MUSTERILER!$T$7:$T$156,0)),IFERROR(INDEX(MUSTERILER!$B$7:$B$156,MATCH($E15,MUSTERILER!$B$7:$B$156,0)),IFERROR(INDEX(MUSTERILER!$B$7:$B$156,MATCH($U15&amp;"*",MUSTERILER!$T$7:$T$156,0)),"TANIMSIZ MÜŞTERİ"))))</f>
        <v/>
      </c>
      <c r="E15" s="61"/>
      <c r="F15" s="61"/>
      <c r="G15" s="60"/>
      <c r="H15" s="66"/>
      <c r="I15" s="66"/>
      <c r="J15" s="60"/>
      <c r="K15" s="60"/>
      <c r="L15" s="61"/>
      <c r="M15" s="61"/>
      <c r="N15" s="61"/>
      <c r="O15" s="66"/>
      <c r="P15" s="76" t="str">
        <f t="shared" ca="1" si="1"/>
        <v/>
      </c>
      <c r="Q15" s="65" t="str">
        <f t="shared" ca="1" si="2"/>
        <v/>
      </c>
      <c r="R15" s="2"/>
      <c r="S15" s="2"/>
      <c r="T15" s="1"/>
      <c r="U15" s="1" t="str">
        <f t="shared" si="3"/>
        <v/>
      </c>
    </row>
    <row r="16" spans="1:21" ht="18" customHeight="1" x14ac:dyDescent="0.3">
      <c r="A16" s="2"/>
      <c r="B16" s="65" t="str">
        <f t="shared" si="0"/>
        <v/>
      </c>
      <c r="C16" s="60"/>
      <c r="D16" s="65" t="str">
        <f>IF($E16="","",IFERROR(INDEX(MUSTERILER!$B$7:$B$156,MATCH($U16,MUSTERILER!$T$7:$T$156,0)),IFERROR(INDEX(MUSTERILER!$B$7:$B$156,MATCH($E16,MUSTERILER!$B$7:$B$156,0)),IFERROR(INDEX(MUSTERILER!$B$7:$B$156,MATCH($U16&amp;"*",MUSTERILER!$T$7:$T$156,0)),"TANIMSIZ MÜŞTERİ"))))</f>
        <v/>
      </c>
      <c r="E16" s="61"/>
      <c r="F16" s="61"/>
      <c r="G16" s="60"/>
      <c r="H16" s="66"/>
      <c r="I16" s="66"/>
      <c r="J16" s="60"/>
      <c r="K16" s="60"/>
      <c r="L16" s="61"/>
      <c r="M16" s="61"/>
      <c r="N16" s="61"/>
      <c r="O16" s="66"/>
      <c r="P16" s="76" t="str">
        <f t="shared" ca="1" si="1"/>
        <v/>
      </c>
      <c r="Q16" s="65" t="str">
        <f t="shared" ca="1" si="2"/>
        <v/>
      </c>
      <c r="R16" s="2"/>
      <c r="S16" s="2"/>
      <c r="T16" s="1"/>
      <c r="U16" s="1" t="str">
        <f t="shared" si="3"/>
        <v/>
      </c>
    </row>
    <row r="17" spans="1:21" ht="18" customHeight="1" x14ac:dyDescent="0.3">
      <c r="A17" s="2"/>
      <c r="B17" s="65" t="str">
        <f t="shared" si="0"/>
        <v/>
      </c>
      <c r="C17" s="60"/>
      <c r="D17" s="65" t="str">
        <f>IF($E17="","",IFERROR(INDEX(MUSTERILER!$B$7:$B$156,MATCH($U17,MUSTERILER!$T$7:$T$156,0)),IFERROR(INDEX(MUSTERILER!$B$7:$B$156,MATCH($E17,MUSTERILER!$B$7:$B$156,0)),IFERROR(INDEX(MUSTERILER!$B$7:$B$156,MATCH($U17&amp;"*",MUSTERILER!$T$7:$T$156,0)),"TANIMSIZ MÜŞTERİ"))))</f>
        <v/>
      </c>
      <c r="E17" s="61"/>
      <c r="F17" s="61"/>
      <c r="G17" s="60"/>
      <c r="H17" s="66"/>
      <c r="I17" s="66"/>
      <c r="J17" s="60"/>
      <c r="K17" s="60"/>
      <c r="L17" s="61"/>
      <c r="M17" s="61"/>
      <c r="N17" s="61"/>
      <c r="O17" s="66"/>
      <c r="P17" s="76" t="str">
        <f t="shared" ca="1" si="1"/>
        <v/>
      </c>
      <c r="Q17" s="65" t="str">
        <f t="shared" ca="1" si="2"/>
        <v/>
      </c>
      <c r="R17" s="2"/>
      <c r="S17" s="2"/>
      <c r="T17" s="1"/>
      <c r="U17" s="1" t="str">
        <f t="shared" si="3"/>
        <v/>
      </c>
    </row>
    <row r="18" spans="1:21" ht="18" customHeight="1" x14ac:dyDescent="0.3">
      <c r="A18" s="2"/>
      <c r="B18" s="65" t="str">
        <f t="shared" si="0"/>
        <v/>
      </c>
      <c r="C18" s="60"/>
      <c r="D18" s="65" t="str">
        <f>IF($E18="","",IFERROR(INDEX(MUSTERILER!$B$7:$B$156,MATCH($U18,MUSTERILER!$T$7:$T$156,0)),IFERROR(INDEX(MUSTERILER!$B$7:$B$156,MATCH($E18,MUSTERILER!$B$7:$B$156,0)),IFERROR(INDEX(MUSTERILER!$B$7:$B$156,MATCH($U18&amp;"*",MUSTERILER!$T$7:$T$156,0)),"TANIMSIZ MÜŞTERİ"))))</f>
        <v/>
      </c>
      <c r="E18" s="61"/>
      <c r="F18" s="61"/>
      <c r="G18" s="60"/>
      <c r="H18" s="66"/>
      <c r="I18" s="66"/>
      <c r="J18" s="60"/>
      <c r="K18" s="60"/>
      <c r="L18" s="61"/>
      <c r="M18" s="61"/>
      <c r="N18" s="61"/>
      <c r="O18" s="66"/>
      <c r="P18" s="76" t="str">
        <f t="shared" ca="1" si="1"/>
        <v/>
      </c>
      <c r="Q18" s="65" t="str">
        <f t="shared" ca="1" si="2"/>
        <v/>
      </c>
      <c r="R18" s="2"/>
      <c r="S18" s="2"/>
      <c r="T18" s="1"/>
      <c r="U18" s="1" t="str">
        <f t="shared" si="3"/>
        <v/>
      </c>
    </row>
    <row r="19" spans="1:21" ht="18" customHeight="1" x14ac:dyDescent="0.3">
      <c r="A19" s="2"/>
      <c r="B19" s="65" t="str">
        <f t="shared" si="0"/>
        <v/>
      </c>
      <c r="C19" s="60"/>
      <c r="D19" s="65" t="str">
        <f>IF($E19="","",IFERROR(INDEX(MUSTERILER!$B$7:$B$156,MATCH($U19,MUSTERILER!$T$7:$T$156,0)),IFERROR(INDEX(MUSTERILER!$B$7:$B$156,MATCH($E19,MUSTERILER!$B$7:$B$156,0)),IFERROR(INDEX(MUSTERILER!$B$7:$B$156,MATCH($U19&amp;"*",MUSTERILER!$T$7:$T$156,0)),"TANIMSIZ MÜŞTERİ"))))</f>
        <v/>
      </c>
      <c r="E19" s="61"/>
      <c r="F19" s="61"/>
      <c r="G19" s="60"/>
      <c r="H19" s="66"/>
      <c r="I19" s="66"/>
      <c r="J19" s="60"/>
      <c r="K19" s="60"/>
      <c r="L19" s="61"/>
      <c r="M19" s="61"/>
      <c r="N19" s="61"/>
      <c r="O19" s="66"/>
      <c r="P19" s="76" t="str">
        <f t="shared" ca="1" si="1"/>
        <v/>
      </c>
      <c r="Q19" s="65" t="str">
        <f t="shared" ca="1" si="2"/>
        <v/>
      </c>
      <c r="R19" s="2"/>
      <c r="S19" s="2"/>
      <c r="T19" s="1"/>
      <c r="U19" s="1" t="str">
        <f t="shared" si="3"/>
        <v/>
      </c>
    </row>
    <row r="20" spans="1:21" ht="18" customHeight="1" x14ac:dyDescent="0.3">
      <c r="A20" s="2"/>
      <c r="B20" s="65" t="str">
        <f t="shared" si="0"/>
        <v/>
      </c>
      <c r="C20" s="60"/>
      <c r="D20" s="65" t="str">
        <f>IF($E20="","",IFERROR(INDEX(MUSTERILER!$B$7:$B$156,MATCH($U20,MUSTERILER!$T$7:$T$156,0)),IFERROR(INDEX(MUSTERILER!$B$7:$B$156,MATCH($E20,MUSTERILER!$B$7:$B$156,0)),IFERROR(INDEX(MUSTERILER!$B$7:$B$156,MATCH($U20&amp;"*",MUSTERILER!$T$7:$T$156,0)),"TANIMSIZ MÜŞTERİ"))))</f>
        <v/>
      </c>
      <c r="E20" s="61"/>
      <c r="F20" s="61"/>
      <c r="G20" s="60"/>
      <c r="H20" s="66"/>
      <c r="I20" s="66"/>
      <c r="J20" s="60"/>
      <c r="K20" s="60"/>
      <c r="L20" s="61"/>
      <c r="M20" s="61"/>
      <c r="N20" s="61"/>
      <c r="O20" s="66"/>
      <c r="P20" s="76" t="str">
        <f t="shared" ca="1" si="1"/>
        <v/>
      </c>
      <c r="Q20" s="65" t="str">
        <f t="shared" ca="1" si="2"/>
        <v/>
      </c>
      <c r="R20" s="2"/>
      <c r="S20" s="2"/>
      <c r="T20" s="1"/>
      <c r="U20" s="1" t="str">
        <f t="shared" si="3"/>
        <v/>
      </c>
    </row>
    <row r="21" spans="1:21" ht="18" customHeight="1" x14ac:dyDescent="0.3">
      <c r="A21" s="2"/>
      <c r="B21" s="65" t="str">
        <f t="shared" si="0"/>
        <v/>
      </c>
      <c r="C21" s="60"/>
      <c r="D21" s="65" t="str">
        <f>IF($E21="","",IFERROR(INDEX(MUSTERILER!$B$7:$B$156,MATCH($U21,MUSTERILER!$T$7:$T$156,0)),IFERROR(INDEX(MUSTERILER!$B$7:$B$156,MATCH($E21,MUSTERILER!$B$7:$B$156,0)),IFERROR(INDEX(MUSTERILER!$B$7:$B$156,MATCH($U21&amp;"*",MUSTERILER!$T$7:$T$156,0)),"TANIMSIZ MÜŞTERİ"))))</f>
        <v/>
      </c>
      <c r="E21" s="61"/>
      <c r="F21" s="61"/>
      <c r="G21" s="60"/>
      <c r="H21" s="66"/>
      <c r="I21" s="66"/>
      <c r="J21" s="60"/>
      <c r="K21" s="60"/>
      <c r="L21" s="61"/>
      <c r="M21" s="61"/>
      <c r="N21" s="61"/>
      <c r="O21" s="66"/>
      <c r="P21" s="76" t="str">
        <f t="shared" ca="1" si="1"/>
        <v/>
      </c>
      <c r="Q21" s="65" t="str">
        <f t="shared" ca="1" si="2"/>
        <v/>
      </c>
      <c r="R21" s="2"/>
      <c r="S21" s="2"/>
      <c r="T21" s="1"/>
      <c r="U21" s="1" t="str">
        <f t="shared" si="3"/>
        <v/>
      </c>
    </row>
    <row r="22" spans="1:21" ht="18" customHeight="1" x14ac:dyDescent="0.3">
      <c r="A22" s="2"/>
      <c r="B22" s="65" t="str">
        <f t="shared" si="0"/>
        <v/>
      </c>
      <c r="C22" s="60"/>
      <c r="D22" s="65" t="str">
        <f>IF($E22="","",IFERROR(INDEX(MUSTERILER!$B$7:$B$156,MATCH($U22,MUSTERILER!$T$7:$T$156,0)),IFERROR(INDEX(MUSTERILER!$B$7:$B$156,MATCH($E22,MUSTERILER!$B$7:$B$156,0)),IFERROR(INDEX(MUSTERILER!$B$7:$B$156,MATCH($U22&amp;"*",MUSTERILER!$T$7:$T$156,0)),"TANIMSIZ MÜŞTERİ"))))</f>
        <v/>
      </c>
      <c r="E22" s="61"/>
      <c r="F22" s="61"/>
      <c r="G22" s="60"/>
      <c r="H22" s="66"/>
      <c r="I22" s="66"/>
      <c r="J22" s="60"/>
      <c r="K22" s="60"/>
      <c r="L22" s="61"/>
      <c r="M22" s="61"/>
      <c r="N22" s="61"/>
      <c r="O22" s="66"/>
      <c r="P22" s="76" t="str">
        <f t="shared" ca="1" si="1"/>
        <v/>
      </c>
      <c r="Q22" s="65" t="str">
        <f t="shared" ca="1" si="2"/>
        <v/>
      </c>
      <c r="R22" s="2"/>
      <c r="S22" s="2"/>
      <c r="T22" s="1"/>
      <c r="U22" s="1" t="str">
        <f t="shared" si="3"/>
        <v/>
      </c>
    </row>
    <row r="23" spans="1:21" ht="18" customHeight="1" x14ac:dyDescent="0.3">
      <c r="A23" s="2"/>
      <c r="B23" s="65" t="str">
        <f t="shared" si="0"/>
        <v/>
      </c>
      <c r="C23" s="60"/>
      <c r="D23" s="65" t="str">
        <f>IF($E23="","",IFERROR(INDEX(MUSTERILER!$B$7:$B$156,MATCH($U23,MUSTERILER!$T$7:$T$156,0)),IFERROR(INDEX(MUSTERILER!$B$7:$B$156,MATCH($E23,MUSTERILER!$B$7:$B$156,0)),IFERROR(INDEX(MUSTERILER!$B$7:$B$156,MATCH($U23&amp;"*",MUSTERILER!$T$7:$T$156,0)),"TANIMSIZ MÜŞTERİ"))))</f>
        <v/>
      </c>
      <c r="E23" s="61"/>
      <c r="F23" s="61"/>
      <c r="G23" s="60"/>
      <c r="H23" s="66"/>
      <c r="I23" s="66"/>
      <c r="J23" s="60"/>
      <c r="K23" s="60"/>
      <c r="L23" s="61"/>
      <c r="M23" s="61"/>
      <c r="N23" s="61"/>
      <c r="O23" s="66"/>
      <c r="P23" s="76" t="str">
        <f t="shared" ca="1" si="1"/>
        <v/>
      </c>
      <c r="Q23" s="65" t="str">
        <f t="shared" ca="1" si="2"/>
        <v/>
      </c>
      <c r="R23" s="2"/>
      <c r="S23" s="2"/>
      <c r="T23" s="1"/>
      <c r="U23" s="1" t="str">
        <f t="shared" si="3"/>
        <v/>
      </c>
    </row>
    <row r="24" spans="1:21" ht="18" customHeight="1" x14ac:dyDescent="0.3">
      <c r="A24" s="2"/>
      <c r="B24" s="65" t="str">
        <f t="shared" si="0"/>
        <v/>
      </c>
      <c r="C24" s="60"/>
      <c r="D24" s="65" t="str">
        <f>IF($E24="","",IFERROR(INDEX(MUSTERILER!$B$7:$B$156,MATCH($U24,MUSTERILER!$T$7:$T$156,0)),IFERROR(INDEX(MUSTERILER!$B$7:$B$156,MATCH($E24,MUSTERILER!$B$7:$B$156,0)),IFERROR(INDEX(MUSTERILER!$B$7:$B$156,MATCH($U24&amp;"*",MUSTERILER!$T$7:$T$156,0)),"TANIMSIZ MÜŞTERİ"))))</f>
        <v/>
      </c>
      <c r="E24" s="61"/>
      <c r="F24" s="61"/>
      <c r="G24" s="60"/>
      <c r="H24" s="66"/>
      <c r="I24" s="66"/>
      <c r="J24" s="60"/>
      <c r="K24" s="60"/>
      <c r="L24" s="61"/>
      <c r="M24" s="61"/>
      <c r="N24" s="61"/>
      <c r="O24" s="66"/>
      <c r="P24" s="76" t="str">
        <f t="shared" ca="1" si="1"/>
        <v/>
      </c>
      <c r="Q24" s="65" t="str">
        <f t="shared" ca="1" si="2"/>
        <v/>
      </c>
      <c r="R24" s="2"/>
      <c r="S24" s="2"/>
      <c r="T24" s="1"/>
      <c r="U24" s="1" t="str">
        <f t="shared" si="3"/>
        <v/>
      </c>
    </row>
    <row r="25" spans="1:21" ht="18" customHeight="1" x14ac:dyDescent="0.3">
      <c r="A25" s="2"/>
      <c r="B25" s="65" t="str">
        <f t="shared" si="0"/>
        <v/>
      </c>
      <c r="C25" s="60"/>
      <c r="D25" s="65" t="str">
        <f>IF($E25="","",IFERROR(INDEX(MUSTERILER!$B$7:$B$156,MATCH($U25,MUSTERILER!$T$7:$T$156,0)),IFERROR(INDEX(MUSTERILER!$B$7:$B$156,MATCH($E25,MUSTERILER!$B$7:$B$156,0)),IFERROR(INDEX(MUSTERILER!$B$7:$B$156,MATCH($U25&amp;"*",MUSTERILER!$T$7:$T$156,0)),"TANIMSIZ MÜŞTERİ"))))</f>
        <v/>
      </c>
      <c r="E25" s="61"/>
      <c r="F25" s="61"/>
      <c r="G25" s="60"/>
      <c r="H25" s="66"/>
      <c r="I25" s="66"/>
      <c r="J25" s="60"/>
      <c r="K25" s="60"/>
      <c r="L25" s="61"/>
      <c r="M25" s="61"/>
      <c r="N25" s="61"/>
      <c r="O25" s="66"/>
      <c r="P25" s="76" t="str">
        <f t="shared" ca="1" si="1"/>
        <v/>
      </c>
      <c r="Q25" s="65" t="str">
        <f t="shared" ca="1" si="2"/>
        <v/>
      </c>
      <c r="R25" s="2"/>
      <c r="S25" s="2"/>
      <c r="T25" s="1"/>
      <c r="U25" s="1" t="str">
        <f t="shared" si="3"/>
        <v/>
      </c>
    </row>
    <row r="26" spans="1:21" ht="18" customHeight="1" x14ac:dyDescent="0.3">
      <c r="A26" s="2"/>
      <c r="B26" s="65" t="str">
        <f t="shared" si="0"/>
        <v/>
      </c>
      <c r="C26" s="60"/>
      <c r="D26" s="65" t="str">
        <f>IF($E26="","",IFERROR(INDEX(MUSTERILER!$B$7:$B$156,MATCH($U26,MUSTERILER!$T$7:$T$156,0)),IFERROR(INDEX(MUSTERILER!$B$7:$B$156,MATCH($E26,MUSTERILER!$B$7:$B$156,0)),IFERROR(INDEX(MUSTERILER!$B$7:$B$156,MATCH($U26&amp;"*",MUSTERILER!$T$7:$T$156,0)),"TANIMSIZ MÜŞTERİ"))))</f>
        <v/>
      </c>
      <c r="E26" s="61"/>
      <c r="F26" s="61"/>
      <c r="G26" s="60"/>
      <c r="H26" s="66"/>
      <c r="I26" s="66"/>
      <c r="J26" s="60"/>
      <c r="K26" s="60"/>
      <c r="L26" s="61"/>
      <c r="M26" s="61"/>
      <c r="N26" s="61"/>
      <c r="O26" s="66"/>
      <c r="P26" s="76" t="str">
        <f t="shared" ca="1" si="1"/>
        <v/>
      </c>
      <c r="Q26" s="65" t="str">
        <f t="shared" ca="1" si="2"/>
        <v/>
      </c>
      <c r="R26" s="2"/>
      <c r="S26" s="2"/>
      <c r="T26" s="1"/>
      <c r="U26" s="1" t="str">
        <f t="shared" si="3"/>
        <v/>
      </c>
    </row>
    <row r="27" spans="1:21" ht="18" customHeight="1" x14ac:dyDescent="0.3">
      <c r="A27" s="2"/>
      <c r="B27" s="65" t="str">
        <f t="shared" si="0"/>
        <v/>
      </c>
      <c r="C27" s="60"/>
      <c r="D27" s="65" t="str">
        <f>IF($E27="","",IFERROR(INDEX(MUSTERILER!$B$7:$B$156,MATCH($U27,MUSTERILER!$T$7:$T$156,0)),IFERROR(INDEX(MUSTERILER!$B$7:$B$156,MATCH($E27,MUSTERILER!$B$7:$B$156,0)),IFERROR(INDEX(MUSTERILER!$B$7:$B$156,MATCH($U27&amp;"*",MUSTERILER!$T$7:$T$156,0)),"TANIMSIZ MÜŞTERİ"))))</f>
        <v/>
      </c>
      <c r="E27" s="61"/>
      <c r="F27" s="61"/>
      <c r="G27" s="60"/>
      <c r="H27" s="66"/>
      <c r="I27" s="66"/>
      <c r="J27" s="60"/>
      <c r="K27" s="60"/>
      <c r="L27" s="61"/>
      <c r="M27" s="61"/>
      <c r="N27" s="61"/>
      <c r="O27" s="66"/>
      <c r="P27" s="76" t="str">
        <f t="shared" ca="1" si="1"/>
        <v/>
      </c>
      <c r="Q27" s="65" t="str">
        <f t="shared" ca="1" si="2"/>
        <v/>
      </c>
      <c r="R27" s="2"/>
      <c r="S27" s="2"/>
      <c r="T27" s="1"/>
      <c r="U27" s="1" t="str">
        <f t="shared" si="3"/>
        <v/>
      </c>
    </row>
    <row r="28" spans="1:21" ht="18" customHeight="1" x14ac:dyDescent="0.3">
      <c r="A28" s="2"/>
      <c r="B28" s="65" t="str">
        <f t="shared" si="0"/>
        <v/>
      </c>
      <c r="C28" s="60"/>
      <c r="D28" s="65" t="str">
        <f>IF($E28="","",IFERROR(INDEX(MUSTERILER!$B$7:$B$156,MATCH($U28,MUSTERILER!$T$7:$T$156,0)),IFERROR(INDEX(MUSTERILER!$B$7:$B$156,MATCH($E28,MUSTERILER!$B$7:$B$156,0)),IFERROR(INDEX(MUSTERILER!$B$7:$B$156,MATCH($U28&amp;"*",MUSTERILER!$T$7:$T$156,0)),"TANIMSIZ MÜŞTERİ"))))</f>
        <v/>
      </c>
      <c r="E28" s="61"/>
      <c r="F28" s="61"/>
      <c r="G28" s="60"/>
      <c r="H28" s="66"/>
      <c r="I28" s="66"/>
      <c r="J28" s="60"/>
      <c r="K28" s="60"/>
      <c r="L28" s="61"/>
      <c r="M28" s="61"/>
      <c r="N28" s="61"/>
      <c r="O28" s="66"/>
      <c r="P28" s="76" t="str">
        <f t="shared" ca="1" si="1"/>
        <v/>
      </c>
      <c r="Q28" s="65" t="str">
        <f t="shared" ca="1" si="2"/>
        <v/>
      </c>
      <c r="R28" s="2"/>
      <c r="S28" s="2"/>
      <c r="T28" s="1"/>
      <c r="U28" s="1" t="str">
        <f t="shared" si="3"/>
        <v/>
      </c>
    </row>
    <row r="29" spans="1:21" ht="18" customHeight="1" x14ac:dyDescent="0.3">
      <c r="A29" s="2"/>
      <c r="B29" s="65" t="str">
        <f t="shared" si="0"/>
        <v/>
      </c>
      <c r="C29" s="60"/>
      <c r="D29" s="65" t="str">
        <f>IF($E29="","",IFERROR(INDEX(MUSTERILER!$B$7:$B$156,MATCH($U29,MUSTERILER!$T$7:$T$156,0)),IFERROR(INDEX(MUSTERILER!$B$7:$B$156,MATCH($E29,MUSTERILER!$B$7:$B$156,0)),IFERROR(INDEX(MUSTERILER!$B$7:$B$156,MATCH($U29&amp;"*",MUSTERILER!$T$7:$T$156,0)),"TANIMSIZ MÜŞTERİ"))))</f>
        <v/>
      </c>
      <c r="E29" s="61"/>
      <c r="F29" s="61"/>
      <c r="G29" s="60"/>
      <c r="H29" s="66"/>
      <c r="I29" s="66"/>
      <c r="J29" s="60"/>
      <c r="K29" s="60"/>
      <c r="L29" s="61"/>
      <c r="M29" s="61"/>
      <c r="N29" s="61"/>
      <c r="O29" s="66"/>
      <c r="P29" s="76" t="str">
        <f t="shared" ca="1" si="1"/>
        <v/>
      </c>
      <c r="Q29" s="65" t="str">
        <f t="shared" ca="1" si="2"/>
        <v/>
      </c>
      <c r="R29" s="2"/>
      <c r="S29" s="2"/>
      <c r="T29" s="1"/>
      <c r="U29" s="1" t="str">
        <f t="shared" si="3"/>
        <v/>
      </c>
    </row>
    <row r="30" spans="1:21" ht="18" customHeight="1" x14ac:dyDescent="0.3">
      <c r="A30" s="2"/>
      <c r="B30" s="65" t="str">
        <f t="shared" si="0"/>
        <v/>
      </c>
      <c r="C30" s="60"/>
      <c r="D30" s="65" t="str">
        <f>IF($E30="","",IFERROR(INDEX(MUSTERILER!$B$7:$B$156,MATCH($U30,MUSTERILER!$T$7:$T$156,0)),IFERROR(INDEX(MUSTERILER!$B$7:$B$156,MATCH($E30,MUSTERILER!$B$7:$B$156,0)),IFERROR(INDEX(MUSTERILER!$B$7:$B$156,MATCH($U30&amp;"*",MUSTERILER!$T$7:$T$156,0)),"TANIMSIZ MÜŞTERİ"))))</f>
        <v/>
      </c>
      <c r="E30" s="61"/>
      <c r="F30" s="61"/>
      <c r="G30" s="60"/>
      <c r="H30" s="66"/>
      <c r="I30" s="66"/>
      <c r="J30" s="60"/>
      <c r="K30" s="60"/>
      <c r="L30" s="61"/>
      <c r="M30" s="61"/>
      <c r="N30" s="61"/>
      <c r="O30" s="66"/>
      <c r="P30" s="76" t="str">
        <f t="shared" ca="1" si="1"/>
        <v/>
      </c>
      <c r="Q30" s="65" t="str">
        <f t="shared" ca="1" si="2"/>
        <v/>
      </c>
      <c r="R30" s="2"/>
      <c r="S30" s="2"/>
      <c r="T30" s="1"/>
      <c r="U30" s="1" t="str">
        <f t="shared" si="3"/>
        <v/>
      </c>
    </row>
    <row r="31" spans="1:21" ht="18" customHeight="1" x14ac:dyDescent="0.3">
      <c r="A31" s="2"/>
      <c r="B31" s="65" t="str">
        <f t="shared" si="0"/>
        <v/>
      </c>
      <c r="C31" s="60"/>
      <c r="D31" s="65" t="str">
        <f>IF($E31="","",IFERROR(INDEX(MUSTERILER!$B$7:$B$156,MATCH($U31,MUSTERILER!$T$7:$T$156,0)),IFERROR(INDEX(MUSTERILER!$B$7:$B$156,MATCH($E31,MUSTERILER!$B$7:$B$156,0)),IFERROR(INDEX(MUSTERILER!$B$7:$B$156,MATCH($U31&amp;"*",MUSTERILER!$T$7:$T$156,0)),"TANIMSIZ MÜŞTERİ"))))</f>
        <v/>
      </c>
      <c r="E31" s="61"/>
      <c r="F31" s="61"/>
      <c r="G31" s="60"/>
      <c r="H31" s="66"/>
      <c r="I31" s="66"/>
      <c r="J31" s="60"/>
      <c r="K31" s="60"/>
      <c r="L31" s="61"/>
      <c r="M31" s="61"/>
      <c r="N31" s="61"/>
      <c r="O31" s="66"/>
      <c r="P31" s="76" t="str">
        <f t="shared" ca="1" si="1"/>
        <v/>
      </c>
      <c r="Q31" s="65" t="str">
        <f t="shared" ca="1" si="2"/>
        <v/>
      </c>
      <c r="R31" s="2"/>
      <c r="S31" s="2"/>
      <c r="T31" s="1"/>
      <c r="U31" s="1" t="str">
        <f t="shared" si="3"/>
        <v/>
      </c>
    </row>
    <row r="32" spans="1:21" ht="18" customHeight="1" x14ac:dyDescent="0.3">
      <c r="A32" s="2"/>
      <c r="B32" s="65" t="str">
        <f t="shared" si="0"/>
        <v/>
      </c>
      <c r="C32" s="60"/>
      <c r="D32" s="65" t="str">
        <f>IF($E32="","",IFERROR(INDEX(MUSTERILER!$B$7:$B$156,MATCH($U32,MUSTERILER!$T$7:$T$156,0)),IFERROR(INDEX(MUSTERILER!$B$7:$B$156,MATCH($E32,MUSTERILER!$B$7:$B$156,0)),IFERROR(INDEX(MUSTERILER!$B$7:$B$156,MATCH($U32&amp;"*",MUSTERILER!$T$7:$T$156,0)),"TANIMSIZ MÜŞTERİ"))))</f>
        <v/>
      </c>
      <c r="E32" s="61"/>
      <c r="F32" s="61"/>
      <c r="G32" s="60"/>
      <c r="H32" s="66"/>
      <c r="I32" s="66"/>
      <c r="J32" s="60"/>
      <c r="K32" s="60"/>
      <c r="L32" s="61"/>
      <c r="M32" s="61"/>
      <c r="N32" s="61"/>
      <c r="O32" s="66"/>
      <c r="P32" s="76" t="str">
        <f t="shared" ca="1" si="1"/>
        <v/>
      </c>
      <c r="Q32" s="65" t="str">
        <f t="shared" ca="1" si="2"/>
        <v/>
      </c>
      <c r="R32" s="2"/>
      <c r="S32" s="2"/>
      <c r="T32" s="1"/>
      <c r="U32" s="1" t="str">
        <f t="shared" si="3"/>
        <v/>
      </c>
    </row>
    <row r="33" spans="1:21" ht="18" customHeight="1" x14ac:dyDescent="0.3">
      <c r="A33" s="2"/>
      <c r="B33" s="65" t="str">
        <f t="shared" si="0"/>
        <v/>
      </c>
      <c r="C33" s="60"/>
      <c r="D33" s="65" t="str">
        <f>IF($E33="","",IFERROR(INDEX(MUSTERILER!$B$7:$B$156,MATCH($U33,MUSTERILER!$T$7:$T$156,0)),IFERROR(INDEX(MUSTERILER!$B$7:$B$156,MATCH($E33,MUSTERILER!$B$7:$B$156,0)),IFERROR(INDEX(MUSTERILER!$B$7:$B$156,MATCH($U33&amp;"*",MUSTERILER!$T$7:$T$156,0)),"TANIMSIZ MÜŞTERİ"))))</f>
        <v/>
      </c>
      <c r="E33" s="61"/>
      <c r="F33" s="61"/>
      <c r="G33" s="60"/>
      <c r="H33" s="66"/>
      <c r="I33" s="66"/>
      <c r="J33" s="60"/>
      <c r="K33" s="60"/>
      <c r="L33" s="61"/>
      <c r="M33" s="61"/>
      <c r="N33" s="61"/>
      <c r="O33" s="66"/>
      <c r="P33" s="76" t="str">
        <f t="shared" ca="1" si="1"/>
        <v/>
      </c>
      <c r="Q33" s="65" t="str">
        <f t="shared" ca="1" si="2"/>
        <v/>
      </c>
      <c r="R33" s="2"/>
      <c r="S33" s="2"/>
      <c r="T33" s="1"/>
      <c r="U33" s="1" t="str">
        <f t="shared" si="3"/>
        <v/>
      </c>
    </row>
    <row r="34" spans="1:21" ht="18" customHeight="1" x14ac:dyDescent="0.3">
      <c r="A34" s="2"/>
      <c r="B34" s="65" t="str">
        <f t="shared" si="0"/>
        <v/>
      </c>
      <c r="C34" s="60"/>
      <c r="D34" s="65" t="str">
        <f>IF($E34="","",IFERROR(INDEX(MUSTERILER!$B$7:$B$156,MATCH($U34,MUSTERILER!$T$7:$T$156,0)),IFERROR(INDEX(MUSTERILER!$B$7:$B$156,MATCH($E34,MUSTERILER!$B$7:$B$156,0)),IFERROR(INDEX(MUSTERILER!$B$7:$B$156,MATCH($U34&amp;"*",MUSTERILER!$T$7:$T$156,0)),"TANIMSIZ MÜŞTERİ"))))</f>
        <v/>
      </c>
      <c r="E34" s="61"/>
      <c r="F34" s="61"/>
      <c r="G34" s="60"/>
      <c r="H34" s="66"/>
      <c r="I34" s="66"/>
      <c r="J34" s="60"/>
      <c r="K34" s="60"/>
      <c r="L34" s="61"/>
      <c r="M34" s="61"/>
      <c r="N34" s="61"/>
      <c r="O34" s="66"/>
      <c r="P34" s="76" t="str">
        <f t="shared" ca="1" si="1"/>
        <v/>
      </c>
      <c r="Q34" s="65" t="str">
        <f t="shared" ca="1" si="2"/>
        <v/>
      </c>
      <c r="R34" s="2"/>
      <c r="S34" s="2"/>
      <c r="T34" s="1"/>
      <c r="U34" s="1" t="str">
        <f t="shared" si="3"/>
        <v/>
      </c>
    </row>
    <row r="35" spans="1:21" ht="18" customHeight="1" x14ac:dyDescent="0.3">
      <c r="A35" s="2"/>
      <c r="B35" s="65" t="str">
        <f t="shared" si="0"/>
        <v/>
      </c>
      <c r="C35" s="60"/>
      <c r="D35" s="65" t="str">
        <f>IF($E35="","",IFERROR(INDEX(MUSTERILER!$B$7:$B$156,MATCH($U35,MUSTERILER!$T$7:$T$156,0)),IFERROR(INDEX(MUSTERILER!$B$7:$B$156,MATCH($E35,MUSTERILER!$B$7:$B$156,0)),IFERROR(INDEX(MUSTERILER!$B$7:$B$156,MATCH($U35&amp;"*",MUSTERILER!$T$7:$T$156,0)),"TANIMSIZ MÜŞTERİ"))))</f>
        <v/>
      </c>
      <c r="E35" s="61"/>
      <c r="F35" s="61"/>
      <c r="G35" s="60"/>
      <c r="H35" s="66"/>
      <c r="I35" s="66"/>
      <c r="J35" s="60"/>
      <c r="K35" s="60"/>
      <c r="L35" s="61"/>
      <c r="M35" s="61"/>
      <c r="N35" s="61"/>
      <c r="O35" s="66"/>
      <c r="P35" s="76" t="str">
        <f t="shared" ca="1" si="1"/>
        <v/>
      </c>
      <c r="Q35" s="65" t="str">
        <f t="shared" ca="1" si="2"/>
        <v/>
      </c>
      <c r="R35" s="2"/>
      <c r="S35" s="2"/>
      <c r="T35" s="1"/>
      <c r="U35" s="1" t="str">
        <f t="shared" si="3"/>
        <v/>
      </c>
    </row>
    <row r="36" spans="1:21" ht="18" customHeight="1" x14ac:dyDescent="0.3">
      <c r="A36" s="2"/>
      <c r="B36" s="65" t="str">
        <f t="shared" si="0"/>
        <v/>
      </c>
      <c r="C36" s="60"/>
      <c r="D36" s="65" t="str">
        <f>IF($E36="","",IFERROR(INDEX(MUSTERILER!$B$7:$B$156,MATCH($U36,MUSTERILER!$T$7:$T$156,0)),IFERROR(INDEX(MUSTERILER!$B$7:$B$156,MATCH($E36,MUSTERILER!$B$7:$B$156,0)),IFERROR(INDEX(MUSTERILER!$B$7:$B$156,MATCH($U36&amp;"*",MUSTERILER!$T$7:$T$156,0)),"TANIMSIZ MÜŞTERİ"))))</f>
        <v/>
      </c>
      <c r="E36" s="61"/>
      <c r="F36" s="61"/>
      <c r="G36" s="60"/>
      <c r="H36" s="66"/>
      <c r="I36" s="66"/>
      <c r="J36" s="60"/>
      <c r="K36" s="60"/>
      <c r="L36" s="61"/>
      <c r="M36" s="61"/>
      <c r="N36" s="61"/>
      <c r="O36" s="66"/>
      <c r="P36" s="76" t="str">
        <f t="shared" ca="1" si="1"/>
        <v/>
      </c>
      <c r="Q36" s="65" t="str">
        <f t="shared" ca="1" si="2"/>
        <v/>
      </c>
      <c r="R36" s="2"/>
      <c r="S36" s="2"/>
      <c r="T36" s="1"/>
      <c r="U36" s="1" t="str">
        <f t="shared" si="3"/>
        <v/>
      </c>
    </row>
    <row r="37" spans="1:21" ht="18" customHeight="1" x14ac:dyDescent="0.3">
      <c r="A37" s="2"/>
      <c r="B37" s="65" t="str">
        <f t="shared" si="0"/>
        <v/>
      </c>
      <c r="C37" s="60"/>
      <c r="D37" s="65" t="str">
        <f>IF($E37="","",IFERROR(INDEX(MUSTERILER!$B$7:$B$156,MATCH($U37,MUSTERILER!$T$7:$T$156,0)),IFERROR(INDEX(MUSTERILER!$B$7:$B$156,MATCH($E37,MUSTERILER!$B$7:$B$156,0)),IFERROR(INDEX(MUSTERILER!$B$7:$B$156,MATCH($U37&amp;"*",MUSTERILER!$T$7:$T$156,0)),"TANIMSIZ MÜŞTERİ"))))</f>
        <v/>
      </c>
      <c r="E37" s="61"/>
      <c r="F37" s="61"/>
      <c r="G37" s="60"/>
      <c r="H37" s="66"/>
      <c r="I37" s="66"/>
      <c r="J37" s="60"/>
      <c r="K37" s="60"/>
      <c r="L37" s="61"/>
      <c r="M37" s="61"/>
      <c r="N37" s="61"/>
      <c r="O37" s="66"/>
      <c r="P37" s="76" t="str">
        <f t="shared" ca="1" si="1"/>
        <v/>
      </c>
      <c r="Q37" s="65" t="str">
        <f t="shared" ca="1" si="2"/>
        <v/>
      </c>
      <c r="R37" s="2"/>
      <c r="S37" s="2"/>
      <c r="T37" s="1"/>
      <c r="U37" s="1" t="str">
        <f t="shared" si="3"/>
        <v/>
      </c>
    </row>
    <row r="38" spans="1:21" ht="18" customHeight="1" x14ac:dyDescent="0.3">
      <c r="A38" s="2"/>
      <c r="B38" s="65" t="str">
        <f t="shared" si="0"/>
        <v/>
      </c>
      <c r="C38" s="60"/>
      <c r="D38" s="65" t="str">
        <f>IF($E38="","",IFERROR(INDEX(MUSTERILER!$B$7:$B$156,MATCH($U38,MUSTERILER!$T$7:$T$156,0)),IFERROR(INDEX(MUSTERILER!$B$7:$B$156,MATCH($E38,MUSTERILER!$B$7:$B$156,0)),IFERROR(INDEX(MUSTERILER!$B$7:$B$156,MATCH($U38&amp;"*",MUSTERILER!$T$7:$T$156,0)),"TANIMSIZ MÜŞTERİ"))))</f>
        <v/>
      </c>
      <c r="E38" s="61"/>
      <c r="F38" s="61"/>
      <c r="G38" s="60"/>
      <c r="H38" s="66"/>
      <c r="I38" s="66"/>
      <c r="J38" s="60"/>
      <c r="K38" s="60"/>
      <c r="L38" s="61"/>
      <c r="M38" s="61"/>
      <c r="N38" s="61"/>
      <c r="O38" s="66"/>
      <c r="P38" s="76" t="str">
        <f t="shared" ca="1" si="1"/>
        <v/>
      </c>
      <c r="Q38" s="65" t="str">
        <f t="shared" ca="1" si="2"/>
        <v/>
      </c>
      <c r="R38" s="2"/>
      <c r="S38" s="2"/>
      <c r="T38" s="1"/>
      <c r="U38" s="1" t="str">
        <f t="shared" si="3"/>
        <v/>
      </c>
    </row>
    <row r="39" spans="1:21" ht="18" customHeight="1" x14ac:dyDescent="0.3">
      <c r="A39" s="2"/>
      <c r="B39" s="65" t="str">
        <f t="shared" si="0"/>
        <v/>
      </c>
      <c r="C39" s="60"/>
      <c r="D39" s="65" t="str">
        <f>IF($E39="","",IFERROR(INDEX(MUSTERILER!$B$7:$B$156,MATCH($U39,MUSTERILER!$T$7:$T$156,0)),IFERROR(INDEX(MUSTERILER!$B$7:$B$156,MATCH($E39,MUSTERILER!$B$7:$B$156,0)),IFERROR(INDEX(MUSTERILER!$B$7:$B$156,MATCH($U39&amp;"*",MUSTERILER!$T$7:$T$156,0)),"TANIMSIZ MÜŞTERİ"))))</f>
        <v/>
      </c>
      <c r="E39" s="61"/>
      <c r="F39" s="61"/>
      <c r="G39" s="60"/>
      <c r="H39" s="66"/>
      <c r="I39" s="66"/>
      <c r="J39" s="60"/>
      <c r="K39" s="60"/>
      <c r="L39" s="61"/>
      <c r="M39" s="61"/>
      <c r="N39" s="61"/>
      <c r="O39" s="66"/>
      <c r="P39" s="76" t="str">
        <f t="shared" ca="1" si="1"/>
        <v/>
      </c>
      <c r="Q39" s="65" t="str">
        <f t="shared" ca="1" si="2"/>
        <v/>
      </c>
      <c r="R39" s="2"/>
      <c r="S39" s="2"/>
      <c r="T39" s="1"/>
      <c r="U39" s="1" t="str">
        <f t="shared" si="3"/>
        <v/>
      </c>
    </row>
    <row r="40" spans="1:21" ht="18" customHeight="1" x14ac:dyDescent="0.3">
      <c r="A40" s="2"/>
      <c r="B40" s="65" t="str">
        <f t="shared" si="0"/>
        <v/>
      </c>
      <c r="C40" s="60"/>
      <c r="D40" s="65" t="str">
        <f>IF($E40="","",IFERROR(INDEX(MUSTERILER!$B$7:$B$156,MATCH($U40,MUSTERILER!$T$7:$T$156,0)),IFERROR(INDEX(MUSTERILER!$B$7:$B$156,MATCH($E40,MUSTERILER!$B$7:$B$156,0)),IFERROR(INDEX(MUSTERILER!$B$7:$B$156,MATCH($U40&amp;"*",MUSTERILER!$T$7:$T$156,0)),"TANIMSIZ MÜŞTERİ"))))</f>
        <v/>
      </c>
      <c r="E40" s="61"/>
      <c r="F40" s="61"/>
      <c r="G40" s="60"/>
      <c r="H40" s="66"/>
      <c r="I40" s="66"/>
      <c r="J40" s="60"/>
      <c r="K40" s="60"/>
      <c r="L40" s="61"/>
      <c r="M40" s="61"/>
      <c r="N40" s="61"/>
      <c r="O40" s="66"/>
      <c r="P40" s="76" t="str">
        <f t="shared" ca="1" si="1"/>
        <v/>
      </c>
      <c r="Q40" s="65" t="str">
        <f t="shared" ca="1" si="2"/>
        <v/>
      </c>
      <c r="R40" s="2"/>
      <c r="S40" s="2"/>
      <c r="T40" s="1"/>
      <c r="U40" s="1" t="str">
        <f t="shared" si="3"/>
        <v/>
      </c>
    </row>
    <row r="41" spans="1:21" ht="18" customHeight="1" x14ac:dyDescent="0.3">
      <c r="A41" s="2"/>
      <c r="B41" s="65" t="str">
        <f t="shared" si="0"/>
        <v/>
      </c>
      <c r="C41" s="60"/>
      <c r="D41" s="65" t="str">
        <f>IF($E41="","",IFERROR(INDEX(MUSTERILER!$B$7:$B$156,MATCH($U41,MUSTERILER!$T$7:$T$156,0)),IFERROR(INDEX(MUSTERILER!$B$7:$B$156,MATCH($E41,MUSTERILER!$B$7:$B$156,0)),IFERROR(INDEX(MUSTERILER!$B$7:$B$156,MATCH($U41&amp;"*",MUSTERILER!$T$7:$T$156,0)),"TANIMSIZ MÜŞTERİ"))))</f>
        <v/>
      </c>
      <c r="E41" s="61"/>
      <c r="F41" s="61"/>
      <c r="G41" s="60"/>
      <c r="H41" s="66"/>
      <c r="I41" s="66"/>
      <c r="J41" s="60"/>
      <c r="K41" s="60"/>
      <c r="L41" s="61"/>
      <c r="M41" s="61"/>
      <c r="N41" s="61"/>
      <c r="O41" s="66"/>
      <c r="P41" s="76" t="str">
        <f t="shared" ca="1" si="1"/>
        <v/>
      </c>
      <c r="Q41" s="65" t="str">
        <f t="shared" ca="1" si="2"/>
        <v/>
      </c>
      <c r="R41" s="2"/>
      <c r="S41" s="2"/>
      <c r="T41" s="1"/>
      <c r="U41" s="1" t="str">
        <f t="shared" si="3"/>
        <v/>
      </c>
    </row>
    <row r="42" spans="1:21" ht="18" customHeight="1" x14ac:dyDescent="0.3">
      <c r="A42" s="2"/>
      <c r="B42" s="65" t="str">
        <f t="shared" si="0"/>
        <v/>
      </c>
      <c r="C42" s="60"/>
      <c r="D42" s="65" t="str">
        <f>IF($E42="","",IFERROR(INDEX(MUSTERILER!$B$7:$B$156,MATCH($U42,MUSTERILER!$T$7:$T$156,0)),IFERROR(INDEX(MUSTERILER!$B$7:$B$156,MATCH($E42,MUSTERILER!$B$7:$B$156,0)),IFERROR(INDEX(MUSTERILER!$B$7:$B$156,MATCH($U42&amp;"*",MUSTERILER!$T$7:$T$156,0)),"TANIMSIZ MÜŞTERİ"))))</f>
        <v/>
      </c>
      <c r="E42" s="61"/>
      <c r="F42" s="61"/>
      <c r="G42" s="60"/>
      <c r="H42" s="66"/>
      <c r="I42" s="66"/>
      <c r="J42" s="60"/>
      <c r="K42" s="60"/>
      <c r="L42" s="61"/>
      <c r="M42" s="61"/>
      <c r="N42" s="61"/>
      <c r="O42" s="66"/>
      <c r="P42" s="76" t="str">
        <f t="shared" ca="1" si="1"/>
        <v/>
      </c>
      <c r="Q42" s="65" t="str">
        <f t="shared" ca="1" si="2"/>
        <v/>
      </c>
      <c r="R42" s="2"/>
      <c r="S42" s="2"/>
      <c r="T42" s="1"/>
      <c r="U42" s="1" t="str">
        <f t="shared" si="3"/>
        <v/>
      </c>
    </row>
    <row r="43" spans="1:21" ht="18" customHeight="1" x14ac:dyDescent="0.3">
      <c r="A43" s="2"/>
      <c r="B43" s="65" t="str">
        <f t="shared" si="0"/>
        <v/>
      </c>
      <c r="C43" s="60"/>
      <c r="D43" s="65" t="str">
        <f>IF($E43="","",IFERROR(INDEX(MUSTERILER!$B$7:$B$156,MATCH($U43,MUSTERILER!$T$7:$T$156,0)),IFERROR(INDEX(MUSTERILER!$B$7:$B$156,MATCH($E43,MUSTERILER!$B$7:$B$156,0)),IFERROR(INDEX(MUSTERILER!$B$7:$B$156,MATCH($U43&amp;"*",MUSTERILER!$T$7:$T$156,0)),"TANIMSIZ MÜŞTERİ"))))</f>
        <v/>
      </c>
      <c r="E43" s="61"/>
      <c r="F43" s="61"/>
      <c r="G43" s="60"/>
      <c r="H43" s="66"/>
      <c r="I43" s="66"/>
      <c r="J43" s="60"/>
      <c r="K43" s="60"/>
      <c r="L43" s="61"/>
      <c r="M43" s="61"/>
      <c r="N43" s="61"/>
      <c r="O43" s="66"/>
      <c r="P43" s="76" t="str">
        <f t="shared" ca="1" si="1"/>
        <v/>
      </c>
      <c r="Q43" s="65" t="str">
        <f t="shared" ca="1" si="2"/>
        <v/>
      </c>
      <c r="R43" s="2"/>
      <c r="S43" s="2"/>
      <c r="T43" s="1"/>
      <c r="U43" s="1" t="str">
        <f t="shared" si="3"/>
        <v/>
      </c>
    </row>
    <row r="44" spans="1:21" ht="18" customHeight="1" x14ac:dyDescent="0.3">
      <c r="A44" s="2"/>
      <c r="B44" s="65" t="str">
        <f t="shared" si="0"/>
        <v/>
      </c>
      <c r="C44" s="60"/>
      <c r="D44" s="65" t="str">
        <f>IF($E44="","",IFERROR(INDEX(MUSTERILER!$B$7:$B$156,MATCH($U44,MUSTERILER!$T$7:$T$156,0)),IFERROR(INDEX(MUSTERILER!$B$7:$B$156,MATCH($E44,MUSTERILER!$B$7:$B$156,0)),IFERROR(INDEX(MUSTERILER!$B$7:$B$156,MATCH($U44&amp;"*",MUSTERILER!$T$7:$T$156,0)),"TANIMSIZ MÜŞTERİ"))))</f>
        <v/>
      </c>
      <c r="E44" s="61"/>
      <c r="F44" s="61"/>
      <c r="G44" s="60"/>
      <c r="H44" s="66"/>
      <c r="I44" s="66"/>
      <c r="J44" s="60"/>
      <c r="K44" s="60"/>
      <c r="L44" s="61"/>
      <c r="M44" s="61"/>
      <c r="N44" s="61"/>
      <c r="O44" s="66"/>
      <c r="P44" s="76" t="str">
        <f t="shared" ca="1" si="1"/>
        <v/>
      </c>
      <c r="Q44" s="65" t="str">
        <f t="shared" ca="1" si="2"/>
        <v/>
      </c>
      <c r="R44" s="2"/>
      <c r="S44" s="2"/>
      <c r="T44" s="1"/>
      <c r="U44" s="1" t="str">
        <f t="shared" si="3"/>
        <v/>
      </c>
    </row>
    <row r="45" spans="1:21" ht="18" customHeight="1" x14ac:dyDescent="0.3">
      <c r="A45" s="2"/>
      <c r="B45" s="65" t="str">
        <f t="shared" si="0"/>
        <v/>
      </c>
      <c r="C45" s="60"/>
      <c r="D45" s="65" t="str">
        <f>IF($E45="","",IFERROR(INDEX(MUSTERILER!$B$7:$B$156,MATCH($U45,MUSTERILER!$T$7:$T$156,0)),IFERROR(INDEX(MUSTERILER!$B$7:$B$156,MATCH($E45,MUSTERILER!$B$7:$B$156,0)),IFERROR(INDEX(MUSTERILER!$B$7:$B$156,MATCH($U45&amp;"*",MUSTERILER!$T$7:$T$156,0)),"TANIMSIZ MÜŞTERİ"))))</f>
        <v/>
      </c>
      <c r="E45" s="61"/>
      <c r="F45" s="61"/>
      <c r="G45" s="60"/>
      <c r="H45" s="66"/>
      <c r="I45" s="66"/>
      <c r="J45" s="60"/>
      <c r="K45" s="60"/>
      <c r="L45" s="61"/>
      <c r="M45" s="61"/>
      <c r="N45" s="61"/>
      <c r="O45" s="66"/>
      <c r="P45" s="76" t="str">
        <f t="shared" ca="1" si="1"/>
        <v/>
      </c>
      <c r="Q45" s="65" t="str">
        <f t="shared" ca="1" si="2"/>
        <v/>
      </c>
      <c r="R45" s="2"/>
      <c r="S45" s="2"/>
      <c r="T45" s="1"/>
      <c r="U45" s="1" t="str">
        <f t="shared" si="3"/>
        <v/>
      </c>
    </row>
    <row r="46" spans="1:21" ht="18" customHeight="1" x14ac:dyDescent="0.3">
      <c r="A46" s="2"/>
      <c r="B46" s="65" t="str">
        <f t="shared" si="0"/>
        <v/>
      </c>
      <c r="C46" s="60"/>
      <c r="D46" s="65" t="str">
        <f>IF($E46="","",IFERROR(INDEX(MUSTERILER!$B$7:$B$156,MATCH($U46,MUSTERILER!$T$7:$T$156,0)),IFERROR(INDEX(MUSTERILER!$B$7:$B$156,MATCH($E46,MUSTERILER!$B$7:$B$156,0)),IFERROR(INDEX(MUSTERILER!$B$7:$B$156,MATCH($U46&amp;"*",MUSTERILER!$T$7:$T$156,0)),"TANIMSIZ MÜŞTERİ"))))</f>
        <v/>
      </c>
      <c r="E46" s="61"/>
      <c r="F46" s="61"/>
      <c r="G46" s="60"/>
      <c r="H46" s="66"/>
      <c r="I46" s="66"/>
      <c r="J46" s="60"/>
      <c r="K46" s="60"/>
      <c r="L46" s="61"/>
      <c r="M46" s="61"/>
      <c r="N46" s="61"/>
      <c r="O46" s="66"/>
      <c r="P46" s="76" t="str">
        <f t="shared" ca="1" si="1"/>
        <v/>
      </c>
      <c r="Q46" s="65" t="str">
        <f t="shared" ca="1" si="2"/>
        <v/>
      </c>
      <c r="R46" s="2"/>
      <c r="S46" s="2"/>
      <c r="T46" s="1"/>
      <c r="U46" s="1" t="str">
        <f t="shared" si="3"/>
        <v/>
      </c>
    </row>
    <row r="47" spans="1:21" ht="18" customHeight="1" x14ac:dyDescent="0.3">
      <c r="A47" s="2"/>
      <c r="B47" s="65" t="str">
        <f t="shared" si="0"/>
        <v/>
      </c>
      <c r="C47" s="60"/>
      <c r="D47" s="65" t="str">
        <f>IF($E47="","",IFERROR(INDEX(MUSTERILER!$B$7:$B$156,MATCH($U47,MUSTERILER!$T$7:$T$156,0)),IFERROR(INDEX(MUSTERILER!$B$7:$B$156,MATCH($E47,MUSTERILER!$B$7:$B$156,0)),IFERROR(INDEX(MUSTERILER!$B$7:$B$156,MATCH($U47&amp;"*",MUSTERILER!$T$7:$T$156,0)),"TANIMSIZ MÜŞTERİ"))))</f>
        <v/>
      </c>
      <c r="E47" s="61"/>
      <c r="F47" s="61"/>
      <c r="G47" s="60"/>
      <c r="H47" s="66"/>
      <c r="I47" s="66"/>
      <c r="J47" s="60"/>
      <c r="K47" s="60"/>
      <c r="L47" s="61"/>
      <c r="M47" s="61"/>
      <c r="N47" s="61"/>
      <c r="O47" s="66"/>
      <c r="P47" s="76" t="str">
        <f t="shared" ca="1" si="1"/>
        <v/>
      </c>
      <c r="Q47" s="65" t="str">
        <f t="shared" ca="1" si="2"/>
        <v/>
      </c>
      <c r="R47" s="2"/>
      <c r="S47" s="2"/>
      <c r="T47" s="1"/>
      <c r="U47" s="1" t="str">
        <f t="shared" si="3"/>
        <v/>
      </c>
    </row>
    <row r="48" spans="1:21" ht="18" customHeight="1" x14ac:dyDescent="0.3">
      <c r="A48" s="2"/>
      <c r="B48" s="65" t="str">
        <f t="shared" si="0"/>
        <v/>
      </c>
      <c r="C48" s="60"/>
      <c r="D48" s="65" t="str">
        <f>IF($E48="","",IFERROR(INDEX(MUSTERILER!$B$7:$B$156,MATCH($U48,MUSTERILER!$T$7:$T$156,0)),IFERROR(INDEX(MUSTERILER!$B$7:$B$156,MATCH($E48,MUSTERILER!$B$7:$B$156,0)),IFERROR(INDEX(MUSTERILER!$B$7:$B$156,MATCH($U48&amp;"*",MUSTERILER!$T$7:$T$156,0)),"TANIMSIZ MÜŞTERİ"))))</f>
        <v/>
      </c>
      <c r="E48" s="61"/>
      <c r="F48" s="61"/>
      <c r="G48" s="60"/>
      <c r="H48" s="66"/>
      <c r="I48" s="66"/>
      <c r="J48" s="60"/>
      <c r="K48" s="60"/>
      <c r="L48" s="61"/>
      <c r="M48" s="61"/>
      <c r="N48" s="61"/>
      <c r="O48" s="66"/>
      <c r="P48" s="76" t="str">
        <f t="shared" ca="1" si="1"/>
        <v/>
      </c>
      <c r="Q48" s="65" t="str">
        <f t="shared" ca="1" si="2"/>
        <v/>
      </c>
      <c r="R48" s="2"/>
      <c r="S48" s="2"/>
      <c r="T48" s="1"/>
      <c r="U48" s="1" t="str">
        <f t="shared" si="3"/>
        <v/>
      </c>
    </row>
    <row r="49" spans="1:21" ht="18" customHeight="1" x14ac:dyDescent="0.3">
      <c r="A49" s="2"/>
      <c r="B49" s="65" t="str">
        <f t="shared" si="0"/>
        <v/>
      </c>
      <c r="C49" s="60"/>
      <c r="D49" s="65" t="str">
        <f>IF($E49="","",IFERROR(INDEX(MUSTERILER!$B$7:$B$156,MATCH($U49,MUSTERILER!$T$7:$T$156,0)),IFERROR(INDEX(MUSTERILER!$B$7:$B$156,MATCH($E49,MUSTERILER!$B$7:$B$156,0)),IFERROR(INDEX(MUSTERILER!$B$7:$B$156,MATCH($U49&amp;"*",MUSTERILER!$T$7:$T$156,0)),"TANIMSIZ MÜŞTERİ"))))</f>
        <v/>
      </c>
      <c r="E49" s="61"/>
      <c r="F49" s="61"/>
      <c r="G49" s="60"/>
      <c r="H49" s="66"/>
      <c r="I49" s="66"/>
      <c r="J49" s="60"/>
      <c r="K49" s="60"/>
      <c r="L49" s="61"/>
      <c r="M49" s="61"/>
      <c r="N49" s="61"/>
      <c r="O49" s="66"/>
      <c r="P49" s="76" t="str">
        <f t="shared" ca="1" si="1"/>
        <v/>
      </c>
      <c r="Q49" s="65" t="str">
        <f t="shared" ca="1" si="2"/>
        <v/>
      </c>
      <c r="R49" s="2"/>
      <c r="S49" s="2"/>
      <c r="T49" s="1"/>
      <c r="U49" s="1" t="str">
        <f t="shared" si="3"/>
        <v/>
      </c>
    </row>
    <row r="50" spans="1:21" ht="18" customHeight="1" x14ac:dyDescent="0.3">
      <c r="A50" s="2"/>
      <c r="B50" s="65" t="str">
        <f t="shared" si="0"/>
        <v/>
      </c>
      <c r="C50" s="60"/>
      <c r="D50" s="65" t="str">
        <f>IF($E50="","",IFERROR(INDEX(MUSTERILER!$B$7:$B$156,MATCH($U50,MUSTERILER!$T$7:$T$156,0)),IFERROR(INDEX(MUSTERILER!$B$7:$B$156,MATCH($E50,MUSTERILER!$B$7:$B$156,0)),IFERROR(INDEX(MUSTERILER!$B$7:$B$156,MATCH($U50&amp;"*",MUSTERILER!$T$7:$T$156,0)),"TANIMSIZ MÜŞTERİ"))))</f>
        <v/>
      </c>
      <c r="E50" s="61"/>
      <c r="F50" s="61"/>
      <c r="G50" s="60"/>
      <c r="H50" s="66"/>
      <c r="I50" s="66"/>
      <c r="J50" s="60"/>
      <c r="K50" s="60"/>
      <c r="L50" s="61"/>
      <c r="M50" s="61"/>
      <c r="N50" s="61"/>
      <c r="O50" s="66"/>
      <c r="P50" s="76" t="str">
        <f t="shared" ca="1" si="1"/>
        <v/>
      </c>
      <c r="Q50" s="65" t="str">
        <f t="shared" ca="1" si="2"/>
        <v/>
      </c>
      <c r="R50" s="2"/>
      <c r="S50" s="2"/>
      <c r="T50" s="1"/>
      <c r="U50" s="1" t="str">
        <f t="shared" si="3"/>
        <v/>
      </c>
    </row>
    <row r="51" spans="1:21" ht="18" customHeight="1" x14ac:dyDescent="0.3">
      <c r="A51" s="2"/>
      <c r="B51" s="65" t="str">
        <f t="shared" si="0"/>
        <v/>
      </c>
      <c r="C51" s="60"/>
      <c r="D51" s="65" t="str">
        <f>IF($E51="","",IFERROR(INDEX(MUSTERILER!$B$7:$B$156,MATCH($U51,MUSTERILER!$T$7:$T$156,0)),IFERROR(INDEX(MUSTERILER!$B$7:$B$156,MATCH($E51,MUSTERILER!$B$7:$B$156,0)),IFERROR(INDEX(MUSTERILER!$B$7:$B$156,MATCH($U51&amp;"*",MUSTERILER!$T$7:$T$156,0)),"TANIMSIZ MÜŞTERİ"))))</f>
        <v/>
      </c>
      <c r="E51" s="61"/>
      <c r="F51" s="61"/>
      <c r="G51" s="60"/>
      <c r="H51" s="66"/>
      <c r="I51" s="66"/>
      <c r="J51" s="60"/>
      <c r="K51" s="60"/>
      <c r="L51" s="61"/>
      <c r="M51" s="61"/>
      <c r="N51" s="61"/>
      <c r="O51" s="66"/>
      <c r="P51" s="76" t="str">
        <f t="shared" ca="1" si="1"/>
        <v/>
      </c>
      <c r="Q51" s="65" t="str">
        <f t="shared" ca="1" si="2"/>
        <v/>
      </c>
      <c r="R51" s="2"/>
      <c r="S51" s="2"/>
      <c r="T51" s="1"/>
      <c r="U51" s="1" t="str">
        <f t="shared" si="3"/>
        <v/>
      </c>
    </row>
    <row r="52" spans="1:21" ht="18" customHeight="1" x14ac:dyDescent="0.3">
      <c r="A52" s="2"/>
      <c r="B52" s="65" t="str">
        <f t="shared" si="0"/>
        <v/>
      </c>
      <c r="C52" s="60"/>
      <c r="D52" s="65" t="str">
        <f>IF($E52="","",IFERROR(INDEX(MUSTERILER!$B$7:$B$156,MATCH($U52,MUSTERILER!$T$7:$T$156,0)),IFERROR(INDEX(MUSTERILER!$B$7:$B$156,MATCH($E52,MUSTERILER!$B$7:$B$156,0)),IFERROR(INDEX(MUSTERILER!$B$7:$B$156,MATCH($U52&amp;"*",MUSTERILER!$T$7:$T$156,0)),"TANIMSIZ MÜŞTERİ"))))</f>
        <v/>
      </c>
      <c r="E52" s="61"/>
      <c r="F52" s="61"/>
      <c r="G52" s="60"/>
      <c r="H52" s="66"/>
      <c r="I52" s="66"/>
      <c r="J52" s="60"/>
      <c r="K52" s="60"/>
      <c r="L52" s="61"/>
      <c r="M52" s="61"/>
      <c r="N52" s="61"/>
      <c r="O52" s="66"/>
      <c r="P52" s="76" t="str">
        <f t="shared" ca="1" si="1"/>
        <v/>
      </c>
      <c r="Q52" s="65" t="str">
        <f t="shared" ca="1" si="2"/>
        <v/>
      </c>
      <c r="R52" s="2"/>
      <c r="S52" s="2"/>
      <c r="T52" s="1"/>
      <c r="U52" s="1" t="str">
        <f t="shared" si="3"/>
        <v/>
      </c>
    </row>
    <row r="53" spans="1:21" ht="18" customHeight="1" x14ac:dyDescent="0.3">
      <c r="A53" s="2"/>
      <c r="B53" s="65" t="str">
        <f t="shared" si="0"/>
        <v/>
      </c>
      <c r="C53" s="60"/>
      <c r="D53" s="65" t="str">
        <f>IF($E53="","",IFERROR(INDEX(MUSTERILER!$B$7:$B$156,MATCH($U53,MUSTERILER!$T$7:$T$156,0)),IFERROR(INDEX(MUSTERILER!$B$7:$B$156,MATCH($E53,MUSTERILER!$B$7:$B$156,0)),IFERROR(INDEX(MUSTERILER!$B$7:$B$156,MATCH($U53&amp;"*",MUSTERILER!$T$7:$T$156,0)),"TANIMSIZ MÜŞTERİ"))))</f>
        <v/>
      </c>
      <c r="E53" s="61"/>
      <c r="F53" s="61"/>
      <c r="G53" s="60"/>
      <c r="H53" s="66"/>
      <c r="I53" s="66"/>
      <c r="J53" s="60"/>
      <c r="K53" s="60"/>
      <c r="L53" s="61"/>
      <c r="M53" s="61"/>
      <c r="N53" s="61"/>
      <c r="O53" s="66"/>
      <c r="P53" s="76" t="str">
        <f t="shared" ca="1" si="1"/>
        <v/>
      </c>
      <c r="Q53" s="65" t="str">
        <f t="shared" ca="1" si="2"/>
        <v/>
      </c>
      <c r="R53" s="2"/>
      <c r="S53" s="2"/>
      <c r="T53" s="1"/>
      <c r="U53" s="1" t="str">
        <f t="shared" si="3"/>
        <v/>
      </c>
    </row>
    <row r="54" spans="1:21" ht="18" customHeight="1" x14ac:dyDescent="0.3">
      <c r="A54" s="2"/>
      <c r="B54" s="65" t="str">
        <f t="shared" si="0"/>
        <v/>
      </c>
      <c r="C54" s="60"/>
      <c r="D54" s="65" t="str">
        <f>IF($E54="","",IFERROR(INDEX(MUSTERILER!$B$7:$B$156,MATCH($U54,MUSTERILER!$T$7:$T$156,0)),IFERROR(INDEX(MUSTERILER!$B$7:$B$156,MATCH($E54,MUSTERILER!$B$7:$B$156,0)),IFERROR(INDEX(MUSTERILER!$B$7:$B$156,MATCH($U54&amp;"*",MUSTERILER!$T$7:$T$156,0)),"TANIMSIZ MÜŞTERİ"))))</f>
        <v/>
      </c>
      <c r="E54" s="61"/>
      <c r="F54" s="61"/>
      <c r="G54" s="60"/>
      <c r="H54" s="66"/>
      <c r="I54" s="66"/>
      <c r="J54" s="60"/>
      <c r="K54" s="60"/>
      <c r="L54" s="61"/>
      <c r="M54" s="61"/>
      <c r="N54" s="61"/>
      <c r="O54" s="66"/>
      <c r="P54" s="76" t="str">
        <f t="shared" ca="1" si="1"/>
        <v/>
      </c>
      <c r="Q54" s="65" t="str">
        <f t="shared" ca="1" si="2"/>
        <v/>
      </c>
      <c r="R54" s="2"/>
      <c r="S54" s="2"/>
      <c r="T54" s="1"/>
      <c r="U54" s="1" t="str">
        <f t="shared" si="3"/>
        <v/>
      </c>
    </row>
    <row r="55" spans="1:21" ht="18" customHeight="1" x14ac:dyDescent="0.3">
      <c r="A55" s="2"/>
      <c r="B55" s="65" t="str">
        <f t="shared" si="0"/>
        <v/>
      </c>
      <c r="C55" s="60"/>
      <c r="D55" s="65" t="str">
        <f>IF($E55="","",IFERROR(INDEX(MUSTERILER!$B$7:$B$156,MATCH($U55,MUSTERILER!$T$7:$T$156,0)),IFERROR(INDEX(MUSTERILER!$B$7:$B$156,MATCH($E55,MUSTERILER!$B$7:$B$156,0)),IFERROR(INDEX(MUSTERILER!$B$7:$B$156,MATCH($U55&amp;"*",MUSTERILER!$T$7:$T$156,0)),"TANIMSIZ MÜŞTERİ"))))</f>
        <v/>
      </c>
      <c r="E55" s="61"/>
      <c r="F55" s="61"/>
      <c r="G55" s="60"/>
      <c r="H55" s="66"/>
      <c r="I55" s="66"/>
      <c r="J55" s="60"/>
      <c r="K55" s="60"/>
      <c r="L55" s="61"/>
      <c r="M55" s="61"/>
      <c r="N55" s="61"/>
      <c r="O55" s="66"/>
      <c r="P55" s="76" t="str">
        <f t="shared" ca="1" si="1"/>
        <v/>
      </c>
      <c r="Q55" s="65" t="str">
        <f t="shared" ca="1" si="2"/>
        <v/>
      </c>
      <c r="R55" s="2"/>
      <c r="S55" s="2"/>
      <c r="T55" s="1"/>
      <c r="U55" s="1" t="str">
        <f t="shared" si="3"/>
        <v/>
      </c>
    </row>
    <row r="56" spans="1:21" ht="18" customHeight="1" x14ac:dyDescent="0.3">
      <c r="A56" s="2"/>
      <c r="B56" s="65" t="str">
        <f t="shared" si="0"/>
        <v/>
      </c>
      <c r="C56" s="60"/>
      <c r="D56" s="65" t="str">
        <f>IF($E56="","",IFERROR(INDEX(MUSTERILER!$B$7:$B$156,MATCH($U56,MUSTERILER!$T$7:$T$156,0)),IFERROR(INDEX(MUSTERILER!$B$7:$B$156,MATCH($E56,MUSTERILER!$B$7:$B$156,0)),IFERROR(INDEX(MUSTERILER!$B$7:$B$156,MATCH($U56&amp;"*",MUSTERILER!$T$7:$T$156,0)),"TANIMSIZ MÜŞTERİ"))))</f>
        <v/>
      </c>
      <c r="E56" s="61"/>
      <c r="F56" s="61"/>
      <c r="G56" s="60"/>
      <c r="H56" s="66"/>
      <c r="I56" s="66"/>
      <c r="J56" s="60"/>
      <c r="K56" s="60"/>
      <c r="L56" s="61"/>
      <c r="M56" s="61"/>
      <c r="N56" s="61"/>
      <c r="O56" s="66"/>
      <c r="P56" s="76" t="str">
        <f t="shared" ca="1" si="1"/>
        <v/>
      </c>
      <c r="Q56" s="65" t="str">
        <f t="shared" ca="1" si="2"/>
        <v/>
      </c>
      <c r="R56" s="2"/>
      <c r="S56" s="2"/>
      <c r="T56" s="1"/>
      <c r="U56" s="1" t="str">
        <f t="shared" si="3"/>
        <v/>
      </c>
    </row>
    <row r="57" spans="1:21" ht="18" customHeight="1" x14ac:dyDescent="0.3">
      <c r="A57" s="2"/>
      <c r="B57" s="65" t="str">
        <f t="shared" si="0"/>
        <v/>
      </c>
      <c r="C57" s="60"/>
      <c r="D57" s="65" t="str">
        <f>IF($E57="","",IFERROR(INDEX(MUSTERILER!$B$7:$B$156,MATCH($U57,MUSTERILER!$T$7:$T$156,0)),IFERROR(INDEX(MUSTERILER!$B$7:$B$156,MATCH($E57,MUSTERILER!$B$7:$B$156,0)),IFERROR(INDEX(MUSTERILER!$B$7:$B$156,MATCH($U57&amp;"*",MUSTERILER!$T$7:$T$156,0)),"TANIMSIZ MÜŞTERİ"))))</f>
        <v/>
      </c>
      <c r="E57" s="61"/>
      <c r="F57" s="61"/>
      <c r="G57" s="60"/>
      <c r="H57" s="66"/>
      <c r="I57" s="66"/>
      <c r="J57" s="60"/>
      <c r="K57" s="60"/>
      <c r="L57" s="61"/>
      <c r="M57" s="61"/>
      <c r="N57" s="61"/>
      <c r="O57" s="66"/>
      <c r="P57" s="76" t="str">
        <f t="shared" ca="1" si="1"/>
        <v/>
      </c>
      <c r="Q57" s="65" t="str">
        <f t="shared" ca="1" si="2"/>
        <v/>
      </c>
      <c r="R57" s="2"/>
      <c r="S57" s="2"/>
      <c r="T57" s="1"/>
      <c r="U57" s="1" t="str">
        <f t="shared" si="3"/>
        <v/>
      </c>
    </row>
    <row r="58" spans="1:21" ht="18" customHeight="1" x14ac:dyDescent="0.3">
      <c r="A58" s="2"/>
      <c r="B58" s="65" t="str">
        <f t="shared" si="0"/>
        <v/>
      </c>
      <c r="C58" s="60"/>
      <c r="D58" s="65" t="str">
        <f>IF($E58="","",IFERROR(INDEX(MUSTERILER!$B$7:$B$156,MATCH($U58,MUSTERILER!$T$7:$T$156,0)),IFERROR(INDEX(MUSTERILER!$B$7:$B$156,MATCH($E58,MUSTERILER!$B$7:$B$156,0)),IFERROR(INDEX(MUSTERILER!$B$7:$B$156,MATCH($U58&amp;"*",MUSTERILER!$T$7:$T$156,0)),"TANIMSIZ MÜŞTERİ"))))</f>
        <v/>
      </c>
      <c r="E58" s="61"/>
      <c r="F58" s="61"/>
      <c r="G58" s="60"/>
      <c r="H58" s="66"/>
      <c r="I58" s="66"/>
      <c r="J58" s="60"/>
      <c r="K58" s="60"/>
      <c r="L58" s="61"/>
      <c r="M58" s="61"/>
      <c r="N58" s="61"/>
      <c r="O58" s="66"/>
      <c r="P58" s="76" t="str">
        <f t="shared" ca="1" si="1"/>
        <v/>
      </c>
      <c r="Q58" s="65" t="str">
        <f t="shared" ca="1" si="2"/>
        <v/>
      </c>
      <c r="R58" s="2"/>
      <c r="S58" s="2"/>
      <c r="T58" s="1"/>
      <c r="U58" s="1" t="str">
        <f t="shared" si="3"/>
        <v/>
      </c>
    </row>
    <row r="59" spans="1:21" ht="18" customHeight="1" x14ac:dyDescent="0.3">
      <c r="A59" s="2"/>
      <c r="B59" s="65" t="str">
        <f t="shared" si="0"/>
        <v/>
      </c>
      <c r="C59" s="60"/>
      <c r="D59" s="65" t="str">
        <f>IF($E59="","",IFERROR(INDEX(MUSTERILER!$B$7:$B$156,MATCH($U59,MUSTERILER!$T$7:$T$156,0)),IFERROR(INDEX(MUSTERILER!$B$7:$B$156,MATCH($E59,MUSTERILER!$B$7:$B$156,0)),IFERROR(INDEX(MUSTERILER!$B$7:$B$156,MATCH($U59&amp;"*",MUSTERILER!$T$7:$T$156,0)),"TANIMSIZ MÜŞTERİ"))))</f>
        <v/>
      </c>
      <c r="E59" s="61"/>
      <c r="F59" s="61"/>
      <c r="G59" s="60"/>
      <c r="H59" s="66"/>
      <c r="I59" s="66"/>
      <c r="J59" s="60"/>
      <c r="K59" s="60"/>
      <c r="L59" s="61"/>
      <c r="M59" s="61"/>
      <c r="N59" s="61"/>
      <c r="O59" s="66"/>
      <c r="P59" s="76" t="str">
        <f t="shared" ca="1" si="1"/>
        <v/>
      </c>
      <c r="Q59" s="65" t="str">
        <f t="shared" ca="1" si="2"/>
        <v/>
      </c>
      <c r="R59" s="2"/>
      <c r="S59" s="2"/>
      <c r="T59" s="1"/>
      <c r="U59" s="1" t="str">
        <f t="shared" si="3"/>
        <v/>
      </c>
    </row>
    <row r="60" spans="1:21" ht="18" customHeight="1" x14ac:dyDescent="0.3">
      <c r="A60" s="2"/>
      <c r="B60" s="65" t="str">
        <f t="shared" si="0"/>
        <v/>
      </c>
      <c r="C60" s="60"/>
      <c r="D60" s="65" t="str">
        <f>IF($E60="","",IFERROR(INDEX(MUSTERILER!$B$7:$B$156,MATCH($U60,MUSTERILER!$T$7:$T$156,0)),IFERROR(INDEX(MUSTERILER!$B$7:$B$156,MATCH($E60,MUSTERILER!$B$7:$B$156,0)),IFERROR(INDEX(MUSTERILER!$B$7:$B$156,MATCH($U60&amp;"*",MUSTERILER!$T$7:$T$156,0)),"TANIMSIZ MÜŞTERİ"))))</f>
        <v/>
      </c>
      <c r="E60" s="61"/>
      <c r="F60" s="61"/>
      <c r="G60" s="60"/>
      <c r="H60" s="66"/>
      <c r="I60" s="66"/>
      <c r="J60" s="60"/>
      <c r="K60" s="60"/>
      <c r="L60" s="61"/>
      <c r="M60" s="61"/>
      <c r="N60" s="61"/>
      <c r="O60" s="66"/>
      <c r="P60" s="76" t="str">
        <f t="shared" ca="1" si="1"/>
        <v/>
      </c>
      <c r="Q60" s="65" t="str">
        <f t="shared" ca="1" si="2"/>
        <v/>
      </c>
      <c r="R60" s="2"/>
      <c r="S60" s="2"/>
      <c r="T60" s="1"/>
      <c r="U60" s="1" t="str">
        <f t="shared" si="3"/>
        <v/>
      </c>
    </row>
    <row r="61" spans="1:21" ht="18" customHeight="1" x14ac:dyDescent="0.3">
      <c r="A61" s="2"/>
      <c r="B61" s="65" t="str">
        <f t="shared" si="0"/>
        <v/>
      </c>
      <c r="C61" s="60"/>
      <c r="D61" s="65" t="str">
        <f>IF($E61="","",IFERROR(INDEX(MUSTERILER!$B$7:$B$156,MATCH($U61,MUSTERILER!$T$7:$T$156,0)),IFERROR(INDEX(MUSTERILER!$B$7:$B$156,MATCH($E61,MUSTERILER!$B$7:$B$156,0)),IFERROR(INDEX(MUSTERILER!$B$7:$B$156,MATCH($U61&amp;"*",MUSTERILER!$T$7:$T$156,0)),"TANIMSIZ MÜŞTERİ"))))</f>
        <v/>
      </c>
      <c r="E61" s="61"/>
      <c r="F61" s="61"/>
      <c r="G61" s="60"/>
      <c r="H61" s="66"/>
      <c r="I61" s="66"/>
      <c r="J61" s="60"/>
      <c r="K61" s="60"/>
      <c r="L61" s="61"/>
      <c r="M61" s="61"/>
      <c r="N61" s="61"/>
      <c r="O61" s="66"/>
      <c r="P61" s="76" t="str">
        <f t="shared" ca="1" si="1"/>
        <v/>
      </c>
      <c r="Q61" s="65" t="str">
        <f t="shared" ca="1" si="2"/>
        <v/>
      </c>
      <c r="R61" s="2"/>
      <c r="S61" s="2"/>
      <c r="T61" s="1"/>
      <c r="U61" s="1" t="str">
        <f t="shared" si="3"/>
        <v/>
      </c>
    </row>
    <row r="62" spans="1:21" ht="18" customHeight="1" x14ac:dyDescent="0.3">
      <c r="A62" s="2"/>
      <c r="B62" s="65" t="str">
        <f t="shared" si="0"/>
        <v/>
      </c>
      <c r="C62" s="60"/>
      <c r="D62" s="65" t="str">
        <f>IF($E62="","",IFERROR(INDEX(MUSTERILER!$B$7:$B$156,MATCH($U62,MUSTERILER!$T$7:$T$156,0)),IFERROR(INDEX(MUSTERILER!$B$7:$B$156,MATCH($E62,MUSTERILER!$B$7:$B$156,0)),IFERROR(INDEX(MUSTERILER!$B$7:$B$156,MATCH($U62&amp;"*",MUSTERILER!$T$7:$T$156,0)),"TANIMSIZ MÜŞTERİ"))))</f>
        <v/>
      </c>
      <c r="E62" s="61"/>
      <c r="F62" s="61"/>
      <c r="G62" s="60"/>
      <c r="H62" s="66"/>
      <c r="I62" s="66"/>
      <c r="J62" s="60"/>
      <c r="K62" s="60"/>
      <c r="L62" s="61"/>
      <c r="M62" s="61"/>
      <c r="N62" s="61"/>
      <c r="O62" s="66"/>
      <c r="P62" s="76" t="str">
        <f t="shared" ca="1" si="1"/>
        <v/>
      </c>
      <c r="Q62" s="65" t="str">
        <f t="shared" ca="1" si="2"/>
        <v/>
      </c>
      <c r="R62" s="2"/>
      <c r="S62" s="2"/>
      <c r="T62" s="1"/>
      <c r="U62" s="1" t="str">
        <f t="shared" si="3"/>
        <v/>
      </c>
    </row>
    <row r="63" spans="1:21" ht="18" customHeight="1" x14ac:dyDescent="0.3">
      <c r="A63" s="2"/>
      <c r="B63" s="65" t="str">
        <f t="shared" si="0"/>
        <v/>
      </c>
      <c r="C63" s="60"/>
      <c r="D63" s="65" t="str">
        <f>IF($E63="","",IFERROR(INDEX(MUSTERILER!$B$7:$B$156,MATCH($U63,MUSTERILER!$T$7:$T$156,0)),IFERROR(INDEX(MUSTERILER!$B$7:$B$156,MATCH($E63,MUSTERILER!$B$7:$B$156,0)),IFERROR(INDEX(MUSTERILER!$B$7:$B$156,MATCH($U63&amp;"*",MUSTERILER!$T$7:$T$156,0)),"TANIMSIZ MÜŞTERİ"))))</f>
        <v/>
      </c>
      <c r="E63" s="61"/>
      <c r="F63" s="61"/>
      <c r="G63" s="60"/>
      <c r="H63" s="66"/>
      <c r="I63" s="66"/>
      <c r="J63" s="60"/>
      <c r="K63" s="60"/>
      <c r="L63" s="61"/>
      <c r="M63" s="61"/>
      <c r="N63" s="61"/>
      <c r="O63" s="66"/>
      <c r="P63" s="76" t="str">
        <f t="shared" ca="1" si="1"/>
        <v/>
      </c>
      <c r="Q63" s="65" t="str">
        <f t="shared" ca="1" si="2"/>
        <v/>
      </c>
      <c r="R63" s="2"/>
      <c r="S63" s="2"/>
      <c r="T63" s="1"/>
      <c r="U63" s="1" t="str">
        <f t="shared" si="3"/>
        <v/>
      </c>
    </row>
    <row r="64" spans="1:21" ht="18" customHeight="1" x14ac:dyDescent="0.3">
      <c r="A64" s="2"/>
      <c r="B64" s="65" t="str">
        <f t="shared" si="0"/>
        <v/>
      </c>
      <c r="C64" s="60"/>
      <c r="D64" s="65" t="str">
        <f>IF($E64="","",IFERROR(INDEX(MUSTERILER!$B$7:$B$156,MATCH($U64,MUSTERILER!$T$7:$T$156,0)),IFERROR(INDEX(MUSTERILER!$B$7:$B$156,MATCH($E64,MUSTERILER!$B$7:$B$156,0)),IFERROR(INDEX(MUSTERILER!$B$7:$B$156,MATCH($U64&amp;"*",MUSTERILER!$T$7:$T$156,0)),"TANIMSIZ MÜŞTERİ"))))</f>
        <v/>
      </c>
      <c r="E64" s="61"/>
      <c r="F64" s="61"/>
      <c r="G64" s="60"/>
      <c r="H64" s="66"/>
      <c r="I64" s="66"/>
      <c r="J64" s="60"/>
      <c r="K64" s="60"/>
      <c r="L64" s="61"/>
      <c r="M64" s="61"/>
      <c r="N64" s="61"/>
      <c r="O64" s="66"/>
      <c r="P64" s="76" t="str">
        <f t="shared" ca="1" si="1"/>
        <v/>
      </c>
      <c r="Q64" s="65" t="str">
        <f t="shared" ca="1" si="2"/>
        <v/>
      </c>
      <c r="R64" s="2"/>
      <c r="S64" s="2"/>
      <c r="T64" s="1"/>
      <c r="U64" s="1" t="str">
        <f t="shared" si="3"/>
        <v/>
      </c>
    </row>
    <row r="65" spans="1:21" ht="18" customHeight="1" x14ac:dyDescent="0.3">
      <c r="A65" s="2"/>
      <c r="B65" s="65" t="str">
        <f t="shared" si="0"/>
        <v/>
      </c>
      <c r="C65" s="60"/>
      <c r="D65" s="65" t="str">
        <f>IF($E65="","",IFERROR(INDEX(MUSTERILER!$B$7:$B$156,MATCH($U65,MUSTERILER!$T$7:$T$156,0)),IFERROR(INDEX(MUSTERILER!$B$7:$B$156,MATCH($E65,MUSTERILER!$B$7:$B$156,0)),IFERROR(INDEX(MUSTERILER!$B$7:$B$156,MATCH($U65&amp;"*",MUSTERILER!$T$7:$T$156,0)),"TANIMSIZ MÜŞTERİ"))))</f>
        <v/>
      </c>
      <c r="E65" s="61"/>
      <c r="F65" s="61"/>
      <c r="G65" s="60"/>
      <c r="H65" s="66"/>
      <c r="I65" s="66"/>
      <c r="J65" s="60"/>
      <c r="K65" s="60"/>
      <c r="L65" s="61"/>
      <c r="M65" s="61"/>
      <c r="N65" s="61"/>
      <c r="O65" s="66"/>
      <c r="P65" s="76" t="str">
        <f t="shared" ca="1" si="1"/>
        <v/>
      </c>
      <c r="Q65" s="65" t="str">
        <f t="shared" ca="1" si="2"/>
        <v/>
      </c>
      <c r="R65" s="2"/>
      <c r="S65" s="2"/>
      <c r="T65" s="1"/>
      <c r="U65" s="1" t="str">
        <f t="shared" si="3"/>
        <v/>
      </c>
    </row>
    <row r="66" spans="1:21" ht="18" customHeight="1" x14ac:dyDescent="0.3">
      <c r="A66" s="2"/>
      <c r="B66" s="65" t="str">
        <f t="shared" si="0"/>
        <v/>
      </c>
      <c r="C66" s="60"/>
      <c r="D66" s="65" t="str">
        <f>IF($E66="","",IFERROR(INDEX(MUSTERILER!$B$7:$B$156,MATCH($U66,MUSTERILER!$T$7:$T$156,0)),IFERROR(INDEX(MUSTERILER!$B$7:$B$156,MATCH($E66,MUSTERILER!$B$7:$B$156,0)),IFERROR(INDEX(MUSTERILER!$B$7:$B$156,MATCH($U66&amp;"*",MUSTERILER!$T$7:$T$156,0)),"TANIMSIZ MÜŞTERİ"))))</f>
        <v/>
      </c>
      <c r="E66" s="61"/>
      <c r="F66" s="61"/>
      <c r="G66" s="60"/>
      <c r="H66" s="66"/>
      <c r="I66" s="66"/>
      <c r="J66" s="60"/>
      <c r="K66" s="60"/>
      <c r="L66" s="61"/>
      <c r="M66" s="61"/>
      <c r="N66" s="61"/>
      <c r="O66" s="66"/>
      <c r="P66" s="76" t="str">
        <f t="shared" ca="1" si="1"/>
        <v/>
      </c>
      <c r="Q66" s="65" t="str">
        <f t="shared" ca="1" si="2"/>
        <v/>
      </c>
      <c r="R66" s="2"/>
      <c r="S66" s="2"/>
      <c r="T66" s="1"/>
      <c r="U66" s="1" t="str">
        <f t="shared" si="3"/>
        <v/>
      </c>
    </row>
    <row r="67" spans="1:21" ht="18" customHeight="1" x14ac:dyDescent="0.3">
      <c r="A67" s="2"/>
      <c r="B67" s="65" t="str">
        <f t="shared" si="0"/>
        <v/>
      </c>
      <c r="C67" s="60"/>
      <c r="D67" s="65" t="str">
        <f>IF($E67="","",IFERROR(INDEX(MUSTERILER!$B$7:$B$156,MATCH($U67,MUSTERILER!$T$7:$T$156,0)),IFERROR(INDEX(MUSTERILER!$B$7:$B$156,MATCH($E67,MUSTERILER!$B$7:$B$156,0)),IFERROR(INDEX(MUSTERILER!$B$7:$B$156,MATCH($U67&amp;"*",MUSTERILER!$T$7:$T$156,0)),"TANIMSIZ MÜŞTERİ"))))</f>
        <v/>
      </c>
      <c r="E67" s="61"/>
      <c r="F67" s="61"/>
      <c r="G67" s="60"/>
      <c r="H67" s="66"/>
      <c r="I67" s="66"/>
      <c r="J67" s="60"/>
      <c r="K67" s="60"/>
      <c r="L67" s="61"/>
      <c r="M67" s="61"/>
      <c r="N67" s="61"/>
      <c r="O67" s="66"/>
      <c r="P67" s="76" t="str">
        <f t="shared" ca="1" si="1"/>
        <v/>
      </c>
      <c r="Q67" s="65" t="str">
        <f t="shared" ca="1" si="2"/>
        <v/>
      </c>
      <c r="R67" s="2"/>
      <c r="S67" s="2"/>
      <c r="T67" s="1"/>
      <c r="U67" s="1" t="str">
        <f t="shared" si="3"/>
        <v/>
      </c>
    </row>
    <row r="68" spans="1:21" ht="18" customHeight="1" x14ac:dyDescent="0.3">
      <c r="A68" s="2"/>
      <c r="B68" s="65" t="str">
        <f t="shared" si="0"/>
        <v/>
      </c>
      <c r="C68" s="60"/>
      <c r="D68" s="65" t="str">
        <f>IF($E68="","",IFERROR(INDEX(MUSTERILER!$B$7:$B$156,MATCH($U68,MUSTERILER!$T$7:$T$156,0)),IFERROR(INDEX(MUSTERILER!$B$7:$B$156,MATCH($E68,MUSTERILER!$B$7:$B$156,0)),IFERROR(INDEX(MUSTERILER!$B$7:$B$156,MATCH($U68&amp;"*",MUSTERILER!$T$7:$T$156,0)),"TANIMSIZ MÜŞTERİ"))))</f>
        <v/>
      </c>
      <c r="E68" s="61"/>
      <c r="F68" s="61"/>
      <c r="G68" s="60"/>
      <c r="H68" s="66"/>
      <c r="I68" s="66"/>
      <c r="J68" s="60"/>
      <c r="K68" s="60"/>
      <c r="L68" s="61"/>
      <c r="M68" s="61"/>
      <c r="N68" s="61"/>
      <c r="O68" s="66"/>
      <c r="P68" s="76" t="str">
        <f t="shared" ca="1" si="1"/>
        <v/>
      </c>
      <c r="Q68" s="65" t="str">
        <f t="shared" ca="1" si="2"/>
        <v/>
      </c>
      <c r="R68" s="2"/>
      <c r="S68" s="2"/>
      <c r="T68" s="1"/>
      <c r="U68" s="1" t="str">
        <f t="shared" si="3"/>
        <v/>
      </c>
    </row>
    <row r="69" spans="1:21" ht="18" customHeight="1" x14ac:dyDescent="0.3">
      <c r="A69" s="2"/>
      <c r="B69" s="65" t="str">
        <f t="shared" si="0"/>
        <v/>
      </c>
      <c r="C69" s="60"/>
      <c r="D69" s="65" t="str">
        <f>IF($E69="","",IFERROR(INDEX(MUSTERILER!$B$7:$B$156,MATCH($U69,MUSTERILER!$T$7:$T$156,0)),IFERROR(INDEX(MUSTERILER!$B$7:$B$156,MATCH($E69,MUSTERILER!$B$7:$B$156,0)),IFERROR(INDEX(MUSTERILER!$B$7:$B$156,MATCH($U69&amp;"*",MUSTERILER!$T$7:$T$156,0)),"TANIMSIZ MÜŞTERİ"))))</f>
        <v/>
      </c>
      <c r="E69" s="61"/>
      <c r="F69" s="61"/>
      <c r="G69" s="60"/>
      <c r="H69" s="66"/>
      <c r="I69" s="66"/>
      <c r="J69" s="60"/>
      <c r="K69" s="60"/>
      <c r="L69" s="61"/>
      <c r="M69" s="61"/>
      <c r="N69" s="61"/>
      <c r="O69" s="66"/>
      <c r="P69" s="76" t="str">
        <f t="shared" ca="1" si="1"/>
        <v/>
      </c>
      <c r="Q69" s="65" t="str">
        <f t="shared" ca="1" si="2"/>
        <v/>
      </c>
      <c r="R69" s="2"/>
      <c r="S69" s="2"/>
      <c r="T69" s="1"/>
      <c r="U69" s="1" t="str">
        <f t="shared" si="3"/>
        <v/>
      </c>
    </row>
    <row r="70" spans="1:21" ht="18" customHeight="1" x14ac:dyDescent="0.3">
      <c r="A70" s="2"/>
      <c r="B70" s="65" t="str">
        <f t="shared" si="0"/>
        <v/>
      </c>
      <c r="C70" s="60"/>
      <c r="D70" s="65" t="str">
        <f>IF($E70="","",IFERROR(INDEX(MUSTERILER!$B$7:$B$156,MATCH($U70,MUSTERILER!$T$7:$T$156,0)),IFERROR(INDEX(MUSTERILER!$B$7:$B$156,MATCH($E70,MUSTERILER!$B$7:$B$156,0)),IFERROR(INDEX(MUSTERILER!$B$7:$B$156,MATCH($U70&amp;"*",MUSTERILER!$T$7:$T$156,0)),"TANIMSIZ MÜŞTERİ"))))</f>
        <v/>
      </c>
      <c r="E70" s="61"/>
      <c r="F70" s="61"/>
      <c r="G70" s="60"/>
      <c r="H70" s="66"/>
      <c r="I70" s="66"/>
      <c r="J70" s="60"/>
      <c r="K70" s="60"/>
      <c r="L70" s="61"/>
      <c r="M70" s="61"/>
      <c r="N70" s="61"/>
      <c r="O70" s="66"/>
      <c r="P70" s="76" t="str">
        <f t="shared" ca="1" si="1"/>
        <v/>
      </c>
      <c r="Q70" s="65" t="str">
        <f t="shared" ca="1" si="2"/>
        <v/>
      </c>
      <c r="R70" s="2"/>
      <c r="S70" s="2"/>
      <c r="T70" s="1"/>
      <c r="U70" s="1" t="str">
        <f t="shared" si="3"/>
        <v/>
      </c>
    </row>
    <row r="71" spans="1:21" ht="18" customHeight="1" x14ac:dyDescent="0.3">
      <c r="A71" s="2"/>
      <c r="B71" s="65" t="str">
        <f t="shared" ref="B71:B134" si="4">IF($E71="","","A"&amp;TEXT(ROW()-6,"00000"))</f>
        <v/>
      </c>
      <c r="C71" s="60"/>
      <c r="D71" s="65" t="str">
        <f>IF($E71="","",IFERROR(INDEX(MUSTERILER!$B$7:$B$156,MATCH($U71,MUSTERILER!$T$7:$T$156,0)),IFERROR(INDEX(MUSTERILER!$B$7:$B$156,MATCH($E71,MUSTERILER!$B$7:$B$156,0)),IFERROR(INDEX(MUSTERILER!$B$7:$B$156,MATCH($U71&amp;"*",MUSTERILER!$T$7:$T$156,0)),"TANIMSIZ MÜŞTERİ"))))</f>
        <v/>
      </c>
      <c r="E71" s="61"/>
      <c r="F71" s="61"/>
      <c r="G71" s="60"/>
      <c r="H71" s="66"/>
      <c r="I71" s="66"/>
      <c r="J71" s="60"/>
      <c r="K71" s="60"/>
      <c r="L71" s="61"/>
      <c r="M71" s="61"/>
      <c r="N71" s="61"/>
      <c r="O71" s="66"/>
      <c r="P71" s="76" t="str">
        <f t="shared" ref="P71:P134" ca="1" si="5">IF(OR($E71="",$I71=""),"",IF(OR($J71="Tamamlandı",$J71="İptal"),"",$I71-TODAY()))</f>
        <v/>
      </c>
      <c r="Q71" s="65" t="str">
        <f t="shared" ref="Q71:Q134" ca="1" si="6"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2"/>
      <c r="S71" s="2"/>
      <c r="T71" s="1"/>
      <c r="U71" s="1" t="str">
        <f t="shared" ref="U71:U134" si="7">IF($E71="","",UPPER(SUBSTITUTE(SUBSTITUTE(SUBSTITUTE(SUBSTITUTE(SUBSTITUTE(SUBSTITUTE(SUBSTITUTE(SUBSTITUTE(SUBSTITUTE(SUBSTITUTE(SUBSTITUTE(SUBSTITUTE(SUBSTITUTE(SUBSTITUTE(SUBSTITUTE(SUBSTITUTE(SUBSTITUTE(SUBSTITUTE(TRIM($E71),"'",""),"İ","I"),"ı","I"),"i","I"),"Ş","S"),"ş","S"),"Ğ","G"),"ğ","G"),"Ü","U"),"ü","U"),"Ö","O"),"ö","O"),"Ç","C"),"ç","C"),".",""),",","")," ",""),"-","")))</f>
        <v/>
      </c>
    </row>
    <row r="72" spans="1:21" ht="18" customHeight="1" x14ac:dyDescent="0.3">
      <c r="A72" s="2"/>
      <c r="B72" s="65" t="str">
        <f t="shared" si="4"/>
        <v/>
      </c>
      <c r="C72" s="60"/>
      <c r="D72" s="65" t="str">
        <f>IF($E72="","",IFERROR(INDEX(MUSTERILER!$B$7:$B$156,MATCH($U72,MUSTERILER!$T$7:$T$156,0)),IFERROR(INDEX(MUSTERILER!$B$7:$B$156,MATCH($E72,MUSTERILER!$B$7:$B$156,0)),IFERROR(INDEX(MUSTERILER!$B$7:$B$156,MATCH($U72&amp;"*",MUSTERILER!$T$7:$T$156,0)),"TANIMSIZ MÜŞTERİ"))))</f>
        <v/>
      </c>
      <c r="E72" s="61"/>
      <c r="F72" s="61"/>
      <c r="G72" s="60"/>
      <c r="H72" s="66"/>
      <c r="I72" s="66"/>
      <c r="J72" s="60"/>
      <c r="K72" s="60"/>
      <c r="L72" s="61"/>
      <c r="M72" s="61"/>
      <c r="N72" s="61"/>
      <c r="O72" s="66"/>
      <c r="P72" s="76" t="str">
        <f t="shared" ca="1" si="5"/>
        <v/>
      </c>
      <c r="Q72" s="65" t="str">
        <f t="shared" ca="1" si="6"/>
        <v/>
      </c>
      <c r="R72" s="2"/>
      <c r="S72" s="2"/>
      <c r="T72" s="1"/>
      <c r="U72" s="1" t="str">
        <f t="shared" si="7"/>
        <v/>
      </c>
    </row>
    <row r="73" spans="1:21" ht="18" customHeight="1" x14ac:dyDescent="0.3">
      <c r="A73" s="2"/>
      <c r="B73" s="65" t="str">
        <f t="shared" si="4"/>
        <v/>
      </c>
      <c r="C73" s="60"/>
      <c r="D73" s="65" t="str">
        <f>IF($E73="","",IFERROR(INDEX(MUSTERILER!$B$7:$B$156,MATCH($U73,MUSTERILER!$T$7:$T$156,0)),IFERROR(INDEX(MUSTERILER!$B$7:$B$156,MATCH($E73,MUSTERILER!$B$7:$B$156,0)),IFERROR(INDEX(MUSTERILER!$B$7:$B$156,MATCH($U73&amp;"*",MUSTERILER!$T$7:$T$156,0)),"TANIMSIZ MÜŞTERİ"))))</f>
        <v/>
      </c>
      <c r="E73" s="61"/>
      <c r="F73" s="61"/>
      <c r="G73" s="60"/>
      <c r="H73" s="66"/>
      <c r="I73" s="66"/>
      <c r="J73" s="60"/>
      <c r="K73" s="60"/>
      <c r="L73" s="61"/>
      <c r="M73" s="61"/>
      <c r="N73" s="61"/>
      <c r="O73" s="66"/>
      <c r="P73" s="76" t="str">
        <f t="shared" ca="1" si="5"/>
        <v/>
      </c>
      <c r="Q73" s="65" t="str">
        <f t="shared" ca="1" si="6"/>
        <v/>
      </c>
      <c r="R73" s="2"/>
      <c r="S73" s="2"/>
      <c r="T73" s="1"/>
      <c r="U73" s="1" t="str">
        <f t="shared" si="7"/>
        <v/>
      </c>
    </row>
    <row r="74" spans="1:21" ht="18" customHeight="1" x14ac:dyDescent="0.3">
      <c r="A74" s="2"/>
      <c r="B74" s="65" t="str">
        <f t="shared" si="4"/>
        <v/>
      </c>
      <c r="C74" s="60"/>
      <c r="D74" s="65" t="str">
        <f>IF($E74="","",IFERROR(INDEX(MUSTERILER!$B$7:$B$156,MATCH($U74,MUSTERILER!$T$7:$T$156,0)),IFERROR(INDEX(MUSTERILER!$B$7:$B$156,MATCH($E74,MUSTERILER!$B$7:$B$156,0)),IFERROR(INDEX(MUSTERILER!$B$7:$B$156,MATCH($U74&amp;"*",MUSTERILER!$T$7:$T$156,0)),"TANIMSIZ MÜŞTERİ"))))</f>
        <v/>
      </c>
      <c r="E74" s="61"/>
      <c r="F74" s="61"/>
      <c r="G74" s="60"/>
      <c r="H74" s="66"/>
      <c r="I74" s="66"/>
      <c r="J74" s="60"/>
      <c r="K74" s="60"/>
      <c r="L74" s="61"/>
      <c r="M74" s="61"/>
      <c r="N74" s="61"/>
      <c r="O74" s="66"/>
      <c r="P74" s="76" t="str">
        <f t="shared" ca="1" si="5"/>
        <v/>
      </c>
      <c r="Q74" s="65" t="str">
        <f t="shared" ca="1" si="6"/>
        <v/>
      </c>
      <c r="R74" s="2"/>
      <c r="S74" s="2"/>
      <c r="T74" s="1"/>
      <c r="U74" s="1" t="str">
        <f t="shared" si="7"/>
        <v/>
      </c>
    </row>
    <row r="75" spans="1:21" ht="18" customHeight="1" x14ac:dyDescent="0.3">
      <c r="A75" s="2"/>
      <c r="B75" s="65" t="str">
        <f t="shared" si="4"/>
        <v/>
      </c>
      <c r="C75" s="60"/>
      <c r="D75" s="65" t="str">
        <f>IF($E75="","",IFERROR(INDEX(MUSTERILER!$B$7:$B$156,MATCH($U75,MUSTERILER!$T$7:$T$156,0)),IFERROR(INDEX(MUSTERILER!$B$7:$B$156,MATCH($E75,MUSTERILER!$B$7:$B$156,0)),IFERROR(INDEX(MUSTERILER!$B$7:$B$156,MATCH($U75&amp;"*",MUSTERILER!$T$7:$T$156,0)),"TANIMSIZ MÜŞTERİ"))))</f>
        <v/>
      </c>
      <c r="E75" s="61"/>
      <c r="F75" s="61"/>
      <c r="G75" s="60"/>
      <c r="H75" s="66"/>
      <c r="I75" s="66"/>
      <c r="J75" s="60"/>
      <c r="K75" s="60"/>
      <c r="L75" s="61"/>
      <c r="M75" s="61"/>
      <c r="N75" s="61"/>
      <c r="O75" s="66"/>
      <c r="P75" s="76" t="str">
        <f t="shared" ca="1" si="5"/>
        <v/>
      </c>
      <c r="Q75" s="65" t="str">
        <f t="shared" ca="1" si="6"/>
        <v/>
      </c>
      <c r="R75" s="2"/>
      <c r="S75" s="2"/>
      <c r="T75" s="1"/>
      <c r="U75" s="1" t="str">
        <f t="shared" si="7"/>
        <v/>
      </c>
    </row>
    <row r="76" spans="1:21" ht="18" customHeight="1" x14ac:dyDescent="0.3">
      <c r="A76" s="2"/>
      <c r="B76" s="65" t="str">
        <f t="shared" si="4"/>
        <v/>
      </c>
      <c r="C76" s="60"/>
      <c r="D76" s="65" t="str">
        <f>IF($E76="","",IFERROR(INDEX(MUSTERILER!$B$7:$B$156,MATCH($U76,MUSTERILER!$T$7:$T$156,0)),IFERROR(INDEX(MUSTERILER!$B$7:$B$156,MATCH($E76,MUSTERILER!$B$7:$B$156,0)),IFERROR(INDEX(MUSTERILER!$B$7:$B$156,MATCH($U76&amp;"*",MUSTERILER!$T$7:$T$156,0)),"TANIMSIZ MÜŞTERİ"))))</f>
        <v/>
      </c>
      <c r="E76" s="61"/>
      <c r="F76" s="61"/>
      <c r="G76" s="60"/>
      <c r="H76" s="66"/>
      <c r="I76" s="66"/>
      <c r="J76" s="60"/>
      <c r="K76" s="60"/>
      <c r="L76" s="61"/>
      <c r="M76" s="61"/>
      <c r="N76" s="61"/>
      <c r="O76" s="66"/>
      <c r="P76" s="76" t="str">
        <f t="shared" ca="1" si="5"/>
        <v/>
      </c>
      <c r="Q76" s="65" t="str">
        <f t="shared" ca="1" si="6"/>
        <v/>
      </c>
      <c r="R76" s="2"/>
      <c r="S76" s="2"/>
      <c r="T76" s="1"/>
      <c r="U76" s="1" t="str">
        <f t="shared" si="7"/>
        <v/>
      </c>
    </row>
    <row r="77" spans="1:21" ht="18" customHeight="1" x14ac:dyDescent="0.3">
      <c r="A77" s="2"/>
      <c r="B77" s="65" t="str">
        <f t="shared" si="4"/>
        <v/>
      </c>
      <c r="C77" s="60"/>
      <c r="D77" s="65" t="str">
        <f>IF($E77="","",IFERROR(INDEX(MUSTERILER!$B$7:$B$156,MATCH($U77,MUSTERILER!$T$7:$T$156,0)),IFERROR(INDEX(MUSTERILER!$B$7:$B$156,MATCH($E77,MUSTERILER!$B$7:$B$156,0)),IFERROR(INDEX(MUSTERILER!$B$7:$B$156,MATCH($U77&amp;"*",MUSTERILER!$T$7:$T$156,0)),"TANIMSIZ MÜŞTERİ"))))</f>
        <v/>
      </c>
      <c r="E77" s="61"/>
      <c r="F77" s="61"/>
      <c r="G77" s="60"/>
      <c r="H77" s="66"/>
      <c r="I77" s="66"/>
      <c r="J77" s="60"/>
      <c r="K77" s="60"/>
      <c r="L77" s="61"/>
      <c r="M77" s="61"/>
      <c r="N77" s="61"/>
      <c r="O77" s="66"/>
      <c r="P77" s="76" t="str">
        <f t="shared" ca="1" si="5"/>
        <v/>
      </c>
      <c r="Q77" s="65" t="str">
        <f t="shared" ca="1" si="6"/>
        <v/>
      </c>
      <c r="R77" s="2"/>
      <c r="S77" s="2"/>
      <c r="T77" s="1"/>
      <c r="U77" s="1" t="str">
        <f t="shared" si="7"/>
        <v/>
      </c>
    </row>
    <row r="78" spans="1:21" ht="18" customHeight="1" x14ac:dyDescent="0.3">
      <c r="A78" s="2"/>
      <c r="B78" s="65" t="str">
        <f t="shared" si="4"/>
        <v/>
      </c>
      <c r="C78" s="60"/>
      <c r="D78" s="65" t="str">
        <f>IF($E78="","",IFERROR(INDEX(MUSTERILER!$B$7:$B$156,MATCH($U78,MUSTERILER!$T$7:$T$156,0)),IFERROR(INDEX(MUSTERILER!$B$7:$B$156,MATCH($E78,MUSTERILER!$B$7:$B$156,0)),IFERROR(INDEX(MUSTERILER!$B$7:$B$156,MATCH($U78&amp;"*",MUSTERILER!$T$7:$T$156,0)),"TANIMSIZ MÜŞTERİ"))))</f>
        <v/>
      </c>
      <c r="E78" s="61"/>
      <c r="F78" s="61"/>
      <c r="G78" s="60"/>
      <c r="H78" s="66"/>
      <c r="I78" s="66"/>
      <c r="J78" s="60"/>
      <c r="K78" s="60"/>
      <c r="L78" s="61"/>
      <c r="M78" s="61"/>
      <c r="N78" s="61"/>
      <c r="O78" s="66"/>
      <c r="P78" s="76" t="str">
        <f t="shared" ca="1" si="5"/>
        <v/>
      </c>
      <c r="Q78" s="65" t="str">
        <f t="shared" ca="1" si="6"/>
        <v/>
      </c>
      <c r="R78" s="2"/>
      <c r="S78" s="2"/>
      <c r="T78" s="1"/>
      <c r="U78" s="1" t="str">
        <f t="shared" si="7"/>
        <v/>
      </c>
    </row>
    <row r="79" spans="1:21" ht="18" customHeight="1" x14ac:dyDescent="0.3">
      <c r="A79" s="2"/>
      <c r="B79" s="65" t="str">
        <f t="shared" si="4"/>
        <v/>
      </c>
      <c r="C79" s="60"/>
      <c r="D79" s="65" t="str">
        <f>IF($E79="","",IFERROR(INDEX(MUSTERILER!$B$7:$B$156,MATCH($U79,MUSTERILER!$T$7:$T$156,0)),IFERROR(INDEX(MUSTERILER!$B$7:$B$156,MATCH($E79,MUSTERILER!$B$7:$B$156,0)),IFERROR(INDEX(MUSTERILER!$B$7:$B$156,MATCH($U79&amp;"*",MUSTERILER!$T$7:$T$156,0)),"TANIMSIZ MÜŞTERİ"))))</f>
        <v/>
      </c>
      <c r="E79" s="61"/>
      <c r="F79" s="61"/>
      <c r="G79" s="60"/>
      <c r="H79" s="66"/>
      <c r="I79" s="66"/>
      <c r="J79" s="60"/>
      <c r="K79" s="60"/>
      <c r="L79" s="61"/>
      <c r="M79" s="61"/>
      <c r="N79" s="61"/>
      <c r="O79" s="66"/>
      <c r="P79" s="76" t="str">
        <f t="shared" ca="1" si="5"/>
        <v/>
      </c>
      <c r="Q79" s="65" t="str">
        <f t="shared" ca="1" si="6"/>
        <v/>
      </c>
      <c r="R79" s="2"/>
      <c r="S79" s="2"/>
      <c r="T79" s="1"/>
      <c r="U79" s="1" t="str">
        <f t="shared" si="7"/>
        <v/>
      </c>
    </row>
    <row r="80" spans="1:21" ht="18" customHeight="1" x14ac:dyDescent="0.3">
      <c r="A80" s="2"/>
      <c r="B80" s="65" t="str">
        <f t="shared" si="4"/>
        <v/>
      </c>
      <c r="C80" s="60"/>
      <c r="D80" s="65" t="str">
        <f>IF($E80="","",IFERROR(INDEX(MUSTERILER!$B$7:$B$156,MATCH($U80,MUSTERILER!$T$7:$T$156,0)),IFERROR(INDEX(MUSTERILER!$B$7:$B$156,MATCH($E80,MUSTERILER!$B$7:$B$156,0)),IFERROR(INDEX(MUSTERILER!$B$7:$B$156,MATCH($U80&amp;"*",MUSTERILER!$T$7:$T$156,0)),"TANIMSIZ MÜŞTERİ"))))</f>
        <v/>
      </c>
      <c r="E80" s="61"/>
      <c r="F80" s="61"/>
      <c r="G80" s="60"/>
      <c r="H80" s="66"/>
      <c r="I80" s="66"/>
      <c r="J80" s="60"/>
      <c r="K80" s="60"/>
      <c r="L80" s="61"/>
      <c r="M80" s="61"/>
      <c r="N80" s="61"/>
      <c r="O80" s="66"/>
      <c r="P80" s="76" t="str">
        <f t="shared" ca="1" si="5"/>
        <v/>
      </c>
      <c r="Q80" s="65" t="str">
        <f t="shared" ca="1" si="6"/>
        <v/>
      </c>
      <c r="R80" s="2"/>
      <c r="S80" s="2"/>
      <c r="T80" s="1"/>
      <c r="U80" s="1" t="str">
        <f t="shared" si="7"/>
        <v/>
      </c>
    </row>
    <row r="81" spans="1:21" ht="18" customHeight="1" x14ac:dyDescent="0.3">
      <c r="A81" s="2"/>
      <c r="B81" s="65" t="str">
        <f t="shared" si="4"/>
        <v/>
      </c>
      <c r="C81" s="60"/>
      <c r="D81" s="65" t="str">
        <f>IF($E81="","",IFERROR(INDEX(MUSTERILER!$B$7:$B$156,MATCH($U81,MUSTERILER!$T$7:$T$156,0)),IFERROR(INDEX(MUSTERILER!$B$7:$B$156,MATCH($E81,MUSTERILER!$B$7:$B$156,0)),IFERROR(INDEX(MUSTERILER!$B$7:$B$156,MATCH($U81&amp;"*",MUSTERILER!$T$7:$T$156,0)),"TANIMSIZ MÜŞTERİ"))))</f>
        <v/>
      </c>
      <c r="E81" s="61"/>
      <c r="F81" s="61"/>
      <c r="G81" s="60"/>
      <c r="H81" s="66"/>
      <c r="I81" s="66"/>
      <c r="J81" s="60"/>
      <c r="K81" s="60"/>
      <c r="L81" s="61"/>
      <c r="M81" s="61"/>
      <c r="N81" s="61"/>
      <c r="O81" s="66"/>
      <c r="P81" s="76" t="str">
        <f t="shared" ca="1" si="5"/>
        <v/>
      </c>
      <c r="Q81" s="65" t="str">
        <f t="shared" ca="1" si="6"/>
        <v/>
      </c>
      <c r="R81" s="2"/>
      <c r="S81" s="2"/>
      <c r="T81" s="1"/>
      <c r="U81" s="1" t="str">
        <f t="shared" si="7"/>
        <v/>
      </c>
    </row>
    <row r="82" spans="1:21" ht="18" customHeight="1" x14ac:dyDescent="0.3">
      <c r="A82" s="2"/>
      <c r="B82" s="65" t="str">
        <f t="shared" si="4"/>
        <v/>
      </c>
      <c r="C82" s="60"/>
      <c r="D82" s="65" t="str">
        <f>IF($E82="","",IFERROR(INDEX(MUSTERILER!$B$7:$B$156,MATCH($U82,MUSTERILER!$T$7:$T$156,0)),IFERROR(INDEX(MUSTERILER!$B$7:$B$156,MATCH($E82,MUSTERILER!$B$7:$B$156,0)),IFERROR(INDEX(MUSTERILER!$B$7:$B$156,MATCH($U82&amp;"*",MUSTERILER!$T$7:$T$156,0)),"TANIMSIZ MÜŞTERİ"))))</f>
        <v/>
      </c>
      <c r="E82" s="61"/>
      <c r="F82" s="61"/>
      <c r="G82" s="60"/>
      <c r="H82" s="66"/>
      <c r="I82" s="66"/>
      <c r="J82" s="60"/>
      <c r="K82" s="60"/>
      <c r="L82" s="61"/>
      <c r="M82" s="61"/>
      <c r="N82" s="61"/>
      <c r="O82" s="66"/>
      <c r="P82" s="76" t="str">
        <f t="shared" ca="1" si="5"/>
        <v/>
      </c>
      <c r="Q82" s="65" t="str">
        <f t="shared" ca="1" si="6"/>
        <v/>
      </c>
      <c r="R82" s="2"/>
      <c r="S82" s="2"/>
      <c r="T82" s="1"/>
      <c r="U82" s="1" t="str">
        <f t="shared" si="7"/>
        <v/>
      </c>
    </row>
    <row r="83" spans="1:21" ht="18" customHeight="1" x14ac:dyDescent="0.3">
      <c r="A83" s="2"/>
      <c r="B83" s="65" t="str">
        <f t="shared" si="4"/>
        <v/>
      </c>
      <c r="C83" s="60"/>
      <c r="D83" s="65" t="str">
        <f>IF($E83="","",IFERROR(INDEX(MUSTERILER!$B$7:$B$156,MATCH($U83,MUSTERILER!$T$7:$T$156,0)),IFERROR(INDEX(MUSTERILER!$B$7:$B$156,MATCH($E83,MUSTERILER!$B$7:$B$156,0)),IFERROR(INDEX(MUSTERILER!$B$7:$B$156,MATCH($U83&amp;"*",MUSTERILER!$T$7:$T$156,0)),"TANIMSIZ MÜŞTERİ"))))</f>
        <v/>
      </c>
      <c r="E83" s="61"/>
      <c r="F83" s="61"/>
      <c r="G83" s="60"/>
      <c r="H83" s="66"/>
      <c r="I83" s="66"/>
      <c r="J83" s="60"/>
      <c r="K83" s="60"/>
      <c r="L83" s="61"/>
      <c r="M83" s="61"/>
      <c r="N83" s="61"/>
      <c r="O83" s="66"/>
      <c r="P83" s="76" t="str">
        <f t="shared" ca="1" si="5"/>
        <v/>
      </c>
      <c r="Q83" s="65" t="str">
        <f t="shared" ca="1" si="6"/>
        <v/>
      </c>
      <c r="R83" s="2"/>
      <c r="S83" s="2"/>
      <c r="T83" s="1"/>
      <c r="U83" s="1" t="str">
        <f t="shared" si="7"/>
        <v/>
      </c>
    </row>
    <row r="84" spans="1:21" ht="18" customHeight="1" x14ac:dyDescent="0.3">
      <c r="A84" s="2"/>
      <c r="B84" s="65" t="str">
        <f t="shared" si="4"/>
        <v/>
      </c>
      <c r="C84" s="60"/>
      <c r="D84" s="65" t="str">
        <f>IF($E84="","",IFERROR(INDEX(MUSTERILER!$B$7:$B$156,MATCH($U84,MUSTERILER!$T$7:$T$156,0)),IFERROR(INDEX(MUSTERILER!$B$7:$B$156,MATCH($E84,MUSTERILER!$B$7:$B$156,0)),IFERROR(INDEX(MUSTERILER!$B$7:$B$156,MATCH($U84&amp;"*",MUSTERILER!$T$7:$T$156,0)),"TANIMSIZ MÜŞTERİ"))))</f>
        <v/>
      </c>
      <c r="E84" s="61"/>
      <c r="F84" s="61"/>
      <c r="G84" s="60"/>
      <c r="H84" s="66"/>
      <c r="I84" s="66"/>
      <c r="J84" s="60"/>
      <c r="K84" s="60"/>
      <c r="L84" s="61"/>
      <c r="M84" s="61"/>
      <c r="N84" s="61"/>
      <c r="O84" s="66"/>
      <c r="P84" s="76" t="str">
        <f t="shared" ca="1" si="5"/>
        <v/>
      </c>
      <c r="Q84" s="65" t="str">
        <f t="shared" ca="1" si="6"/>
        <v/>
      </c>
      <c r="R84" s="2"/>
      <c r="S84" s="2"/>
      <c r="T84" s="1"/>
      <c r="U84" s="1" t="str">
        <f t="shared" si="7"/>
        <v/>
      </c>
    </row>
    <row r="85" spans="1:21" ht="18" customHeight="1" x14ac:dyDescent="0.3">
      <c r="A85" s="2"/>
      <c r="B85" s="65" t="str">
        <f t="shared" si="4"/>
        <v/>
      </c>
      <c r="C85" s="60"/>
      <c r="D85" s="65" t="str">
        <f>IF($E85="","",IFERROR(INDEX(MUSTERILER!$B$7:$B$156,MATCH($U85,MUSTERILER!$T$7:$T$156,0)),IFERROR(INDEX(MUSTERILER!$B$7:$B$156,MATCH($E85,MUSTERILER!$B$7:$B$156,0)),IFERROR(INDEX(MUSTERILER!$B$7:$B$156,MATCH($U85&amp;"*",MUSTERILER!$T$7:$T$156,0)),"TANIMSIZ MÜŞTERİ"))))</f>
        <v/>
      </c>
      <c r="E85" s="61"/>
      <c r="F85" s="61"/>
      <c r="G85" s="60"/>
      <c r="H85" s="66"/>
      <c r="I85" s="66"/>
      <c r="J85" s="60"/>
      <c r="K85" s="60"/>
      <c r="L85" s="61"/>
      <c r="M85" s="61"/>
      <c r="N85" s="61"/>
      <c r="O85" s="66"/>
      <c r="P85" s="76" t="str">
        <f t="shared" ca="1" si="5"/>
        <v/>
      </c>
      <c r="Q85" s="65" t="str">
        <f t="shared" ca="1" si="6"/>
        <v/>
      </c>
      <c r="R85" s="2"/>
      <c r="S85" s="2"/>
      <c r="T85" s="1"/>
      <c r="U85" s="1" t="str">
        <f t="shared" si="7"/>
        <v/>
      </c>
    </row>
    <row r="86" spans="1:21" ht="18" customHeight="1" x14ac:dyDescent="0.3">
      <c r="A86" s="2"/>
      <c r="B86" s="65" t="str">
        <f t="shared" si="4"/>
        <v/>
      </c>
      <c r="C86" s="60"/>
      <c r="D86" s="65" t="str">
        <f>IF($E86="","",IFERROR(INDEX(MUSTERILER!$B$7:$B$156,MATCH($U86,MUSTERILER!$T$7:$T$156,0)),IFERROR(INDEX(MUSTERILER!$B$7:$B$156,MATCH($E86,MUSTERILER!$B$7:$B$156,0)),IFERROR(INDEX(MUSTERILER!$B$7:$B$156,MATCH($U86&amp;"*",MUSTERILER!$T$7:$T$156,0)),"TANIMSIZ MÜŞTERİ"))))</f>
        <v/>
      </c>
      <c r="E86" s="61"/>
      <c r="F86" s="61"/>
      <c r="G86" s="60"/>
      <c r="H86" s="66"/>
      <c r="I86" s="66"/>
      <c r="J86" s="60"/>
      <c r="K86" s="60"/>
      <c r="L86" s="61"/>
      <c r="M86" s="61"/>
      <c r="N86" s="61"/>
      <c r="O86" s="66"/>
      <c r="P86" s="76" t="str">
        <f t="shared" ca="1" si="5"/>
        <v/>
      </c>
      <c r="Q86" s="65" t="str">
        <f t="shared" ca="1" si="6"/>
        <v/>
      </c>
      <c r="R86" s="2"/>
      <c r="S86" s="2"/>
      <c r="T86" s="1"/>
      <c r="U86" s="1" t="str">
        <f t="shared" si="7"/>
        <v/>
      </c>
    </row>
    <row r="87" spans="1:21" ht="18" customHeight="1" x14ac:dyDescent="0.3">
      <c r="A87" s="2"/>
      <c r="B87" s="65" t="str">
        <f t="shared" si="4"/>
        <v/>
      </c>
      <c r="C87" s="60"/>
      <c r="D87" s="65" t="str">
        <f>IF($E87="","",IFERROR(INDEX(MUSTERILER!$B$7:$B$156,MATCH($U87,MUSTERILER!$T$7:$T$156,0)),IFERROR(INDEX(MUSTERILER!$B$7:$B$156,MATCH($E87,MUSTERILER!$B$7:$B$156,0)),IFERROR(INDEX(MUSTERILER!$B$7:$B$156,MATCH($U87&amp;"*",MUSTERILER!$T$7:$T$156,0)),"TANIMSIZ MÜŞTERİ"))))</f>
        <v/>
      </c>
      <c r="E87" s="61"/>
      <c r="F87" s="61"/>
      <c r="G87" s="60"/>
      <c r="H87" s="66"/>
      <c r="I87" s="66"/>
      <c r="J87" s="60"/>
      <c r="K87" s="60"/>
      <c r="L87" s="61"/>
      <c r="M87" s="61"/>
      <c r="N87" s="61"/>
      <c r="O87" s="66"/>
      <c r="P87" s="76" t="str">
        <f t="shared" ca="1" si="5"/>
        <v/>
      </c>
      <c r="Q87" s="65" t="str">
        <f t="shared" ca="1" si="6"/>
        <v/>
      </c>
      <c r="R87" s="2"/>
      <c r="S87" s="2"/>
      <c r="T87" s="1"/>
      <c r="U87" s="1" t="str">
        <f t="shared" si="7"/>
        <v/>
      </c>
    </row>
    <row r="88" spans="1:21" ht="18" customHeight="1" x14ac:dyDescent="0.3">
      <c r="A88" s="2"/>
      <c r="B88" s="65" t="str">
        <f t="shared" si="4"/>
        <v/>
      </c>
      <c r="C88" s="60"/>
      <c r="D88" s="65" t="str">
        <f>IF($E88="","",IFERROR(INDEX(MUSTERILER!$B$7:$B$156,MATCH($U88,MUSTERILER!$T$7:$T$156,0)),IFERROR(INDEX(MUSTERILER!$B$7:$B$156,MATCH($E88,MUSTERILER!$B$7:$B$156,0)),IFERROR(INDEX(MUSTERILER!$B$7:$B$156,MATCH($U88&amp;"*",MUSTERILER!$T$7:$T$156,0)),"TANIMSIZ MÜŞTERİ"))))</f>
        <v/>
      </c>
      <c r="E88" s="61"/>
      <c r="F88" s="61"/>
      <c r="G88" s="60"/>
      <c r="H88" s="66"/>
      <c r="I88" s="66"/>
      <c r="J88" s="60"/>
      <c r="K88" s="60"/>
      <c r="L88" s="61"/>
      <c r="M88" s="61"/>
      <c r="N88" s="61"/>
      <c r="O88" s="66"/>
      <c r="P88" s="76" t="str">
        <f t="shared" ca="1" si="5"/>
        <v/>
      </c>
      <c r="Q88" s="65" t="str">
        <f t="shared" ca="1" si="6"/>
        <v/>
      </c>
      <c r="R88" s="2"/>
      <c r="S88" s="2"/>
      <c r="T88" s="1"/>
      <c r="U88" s="1" t="str">
        <f t="shared" si="7"/>
        <v/>
      </c>
    </row>
    <row r="89" spans="1:21" ht="18" customHeight="1" x14ac:dyDescent="0.3">
      <c r="A89" s="2"/>
      <c r="B89" s="65" t="str">
        <f t="shared" si="4"/>
        <v/>
      </c>
      <c r="C89" s="60"/>
      <c r="D89" s="65" t="str">
        <f>IF($E89="","",IFERROR(INDEX(MUSTERILER!$B$7:$B$156,MATCH($U89,MUSTERILER!$T$7:$T$156,0)),IFERROR(INDEX(MUSTERILER!$B$7:$B$156,MATCH($E89,MUSTERILER!$B$7:$B$156,0)),IFERROR(INDEX(MUSTERILER!$B$7:$B$156,MATCH($U89&amp;"*",MUSTERILER!$T$7:$T$156,0)),"TANIMSIZ MÜŞTERİ"))))</f>
        <v/>
      </c>
      <c r="E89" s="61"/>
      <c r="F89" s="61"/>
      <c r="G89" s="60"/>
      <c r="H89" s="66"/>
      <c r="I89" s="66"/>
      <c r="J89" s="60"/>
      <c r="K89" s="60"/>
      <c r="L89" s="61"/>
      <c r="M89" s="61"/>
      <c r="N89" s="61"/>
      <c r="O89" s="66"/>
      <c r="P89" s="76" t="str">
        <f t="shared" ca="1" si="5"/>
        <v/>
      </c>
      <c r="Q89" s="65" t="str">
        <f t="shared" ca="1" si="6"/>
        <v/>
      </c>
      <c r="R89" s="2"/>
      <c r="S89" s="2"/>
      <c r="T89" s="1"/>
      <c r="U89" s="1" t="str">
        <f t="shared" si="7"/>
        <v/>
      </c>
    </row>
    <row r="90" spans="1:21" ht="18" customHeight="1" x14ac:dyDescent="0.3">
      <c r="A90" s="2"/>
      <c r="B90" s="65" t="str">
        <f t="shared" si="4"/>
        <v/>
      </c>
      <c r="C90" s="60"/>
      <c r="D90" s="65" t="str">
        <f>IF($E90="","",IFERROR(INDEX(MUSTERILER!$B$7:$B$156,MATCH($U90,MUSTERILER!$T$7:$T$156,0)),IFERROR(INDEX(MUSTERILER!$B$7:$B$156,MATCH($E90,MUSTERILER!$B$7:$B$156,0)),IFERROR(INDEX(MUSTERILER!$B$7:$B$156,MATCH($U90&amp;"*",MUSTERILER!$T$7:$T$156,0)),"TANIMSIZ MÜŞTERİ"))))</f>
        <v/>
      </c>
      <c r="E90" s="61"/>
      <c r="F90" s="61"/>
      <c r="G90" s="60"/>
      <c r="H90" s="66"/>
      <c r="I90" s="66"/>
      <c r="J90" s="60"/>
      <c r="K90" s="60"/>
      <c r="L90" s="61"/>
      <c r="M90" s="61"/>
      <c r="N90" s="61"/>
      <c r="O90" s="66"/>
      <c r="P90" s="76" t="str">
        <f t="shared" ca="1" si="5"/>
        <v/>
      </c>
      <c r="Q90" s="65" t="str">
        <f t="shared" ca="1" si="6"/>
        <v/>
      </c>
      <c r="R90" s="2"/>
      <c r="S90" s="2"/>
      <c r="T90" s="1"/>
      <c r="U90" s="1" t="str">
        <f t="shared" si="7"/>
        <v/>
      </c>
    </row>
    <row r="91" spans="1:21" ht="18" customHeight="1" x14ac:dyDescent="0.3">
      <c r="A91" s="2"/>
      <c r="B91" s="65" t="str">
        <f t="shared" si="4"/>
        <v/>
      </c>
      <c r="C91" s="60"/>
      <c r="D91" s="65" t="str">
        <f>IF($E91="","",IFERROR(INDEX(MUSTERILER!$B$7:$B$156,MATCH($U91,MUSTERILER!$T$7:$T$156,0)),IFERROR(INDEX(MUSTERILER!$B$7:$B$156,MATCH($E91,MUSTERILER!$B$7:$B$156,0)),IFERROR(INDEX(MUSTERILER!$B$7:$B$156,MATCH($U91&amp;"*",MUSTERILER!$T$7:$T$156,0)),"TANIMSIZ MÜŞTERİ"))))</f>
        <v/>
      </c>
      <c r="E91" s="61"/>
      <c r="F91" s="61"/>
      <c r="G91" s="60"/>
      <c r="H91" s="66"/>
      <c r="I91" s="66"/>
      <c r="J91" s="60"/>
      <c r="K91" s="60"/>
      <c r="L91" s="61"/>
      <c r="M91" s="61"/>
      <c r="N91" s="61"/>
      <c r="O91" s="66"/>
      <c r="P91" s="76" t="str">
        <f t="shared" ca="1" si="5"/>
        <v/>
      </c>
      <c r="Q91" s="65" t="str">
        <f t="shared" ca="1" si="6"/>
        <v/>
      </c>
      <c r="R91" s="2"/>
      <c r="S91" s="2"/>
      <c r="T91" s="1"/>
      <c r="U91" s="1" t="str">
        <f t="shared" si="7"/>
        <v/>
      </c>
    </row>
    <row r="92" spans="1:21" ht="18" customHeight="1" x14ac:dyDescent="0.3">
      <c r="A92" s="2"/>
      <c r="B92" s="65" t="str">
        <f t="shared" si="4"/>
        <v/>
      </c>
      <c r="C92" s="60"/>
      <c r="D92" s="65" t="str">
        <f>IF($E92="","",IFERROR(INDEX(MUSTERILER!$B$7:$B$156,MATCH($U92,MUSTERILER!$T$7:$T$156,0)),IFERROR(INDEX(MUSTERILER!$B$7:$B$156,MATCH($E92,MUSTERILER!$B$7:$B$156,0)),IFERROR(INDEX(MUSTERILER!$B$7:$B$156,MATCH($U92&amp;"*",MUSTERILER!$T$7:$T$156,0)),"TANIMSIZ MÜŞTERİ"))))</f>
        <v/>
      </c>
      <c r="E92" s="61"/>
      <c r="F92" s="61"/>
      <c r="G92" s="60"/>
      <c r="H92" s="66"/>
      <c r="I92" s="66"/>
      <c r="J92" s="60"/>
      <c r="K92" s="60"/>
      <c r="L92" s="61"/>
      <c r="M92" s="61"/>
      <c r="N92" s="61"/>
      <c r="O92" s="66"/>
      <c r="P92" s="76" t="str">
        <f t="shared" ca="1" si="5"/>
        <v/>
      </c>
      <c r="Q92" s="65" t="str">
        <f t="shared" ca="1" si="6"/>
        <v/>
      </c>
      <c r="R92" s="2"/>
      <c r="S92" s="2"/>
      <c r="T92" s="1"/>
      <c r="U92" s="1" t="str">
        <f t="shared" si="7"/>
        <v/>
      </c>
    </row>
    <row r="93" spans="1:21" ht="18" customHeight="1" x14ac:dyDescent="0.3">
      <c r="A93" s="2"/>
      <c r="B93" s="65" t="str">
        <f t="shared" si="4"/>
        <v/>
      </c>
      <c r="C93" s="60"/>
      <c r="D93" s="65" t="str">
        <f>IF($E93="","",IFERROR(INDEX(MUSTERILER!$B$7:$B$156,MATCH($U93,MUSTERILER!$T$7:$T$156,0)),IFERROR(INDEX(MUSTERILER!$B$7:$B$156,MATCH($E93,MUSTERILER!$B$7:$B$156,0)),IFERROR(INDEX(MUSTERILER!$B$7:$B$156,MATCH($U93&amp;"*",MUSTERILER!$T$7:$T$156,0)),"TANIMSIZ MÜŞTERİ"))))</f>
        <v/>
      </c>
      <c r="E93" s="61"/>
      <c r="F93" s="61"/>
      <c r="G93" s="60"/>
      <c r="H93" s="66"/>
      <c r="I93" s="66"/>
      <c r="J93" s="60"/>
      <c r="K93" s="60"/>
      <c r="L93" s="61"/>
      <c r="M93" s="61"/>
      <c r="N93" s="61"/>
      <c r="O93" s="66"/>
      <c r="P93" s="76" t="str">
        <f t="shared" ca="1" si="5"/>
        <v/>
      </c>
      <c r="Q93" s="65" t="str">
        <f t="shared" ca="1" si="6"/>
        <v/>
      </c>
      <c r="R93" s="2"/>
      <c r="S93" s="2"/>
      <c r="T93" s="1"/>
      <c r="U93" s="1" t="str">
        <f t="shared" si="7"/>
        <v/>
      </c>
    </row>
    <row r="94" spans="1:21" ht="18" customHeight="1" x14ac:dyDescent="0.3">
      <c r="A94" s="2"/>
      <c r="B94" s="65" t="str">
        <f t="shared" si="4"/>
        <v/>
      </c>
      <c r="C94" s="60"/>
      <c r="D94" s="65" t="str">
        <f>IF($E94="","",IFERROR(INDEX(MUSTERILER!$B$7:$B$156,MATCH($U94,MUSTERILER!$T$7:$T$156,0)),IFERROR(INDEX(MUSTERILER!$B$7:$B$156,MATCH($E94,MUSTERILER!$B$7:$B$156,0)),IFERROR(INDEX(MUSTERILER!$B$7:$B$156,MATCH($U94&amp;"*",MUSTERILER!$T$7:$T$156,0)),"TANIMSIZ MÜŞTERİ"))))</f>
        <v/>
      </c>
      <c r="E94" s="61"/>
      <c r="F94" s="61"/>
      <c r="G94" s="60"/>
      <c r="H94" s="66"/>
      <c r="I94" s="66"/>
      <c r="J94" s="60"/>
      <c r="K94" s="60"/>
      <c r="L94" s="61"/>
      <c r="M94" s="61"/>
      <c r="N94" s="61"/>
      <c r="O94" s="66"/>
      <c r="P94" s="76" t="str">
        <f t="shared" ca="1" si="5"/>
        <v/>
      </c>
      <c r="Q94" s="65" t="str">
        <f t="shared" ca="1" si="6"/>
        <v/>
      </c>
      <c r="R94" s="2"/>
      <c r="S94" s="2"/>
      <c r="T94" s="1"/>
      <c r="U94" s="1" t="str">
        <f t="shared" si="7"/>
        <v/>
      </c>
    </row>
    <row r="95" spans="1:21" ht="18" customHeight="1" x14ac:dyDescent="0.3">
      <c r="A95" s="2"/>
      <c r="B95" s="65" t="str">
        <f t="shared" si="4"/>
        <v/>
      </c>
      <c r="C95" s="60"/>
      <c r="D95" s="65" t="str">
        <f>IF($E95="","",IFERROR(INDEX(MUSTERILER!$B$7:$B$156,MATCH($U95,MUSTERILER!$T$7:$T$156,0)),IFERROR(INDEX(MUSTERILER!$B$7:$B$156,MATCH($E95,MUSTERILER!$B$7:$B$156,0)),IFERROR(INDEX(MUSTERILER!$B$7:$B$156,MATCH($U95&amp;"*",MUSTERILER!$T$7:$T$156,0)),"TANIMSIZ MÜŞTERİ"))))</f>
        <v/>
      </c>
      <c r="E95" s="61"/>
      <c r="F95" s="61"/>
      <c r="G95" s="60"/>
      <c r="H95" s="66"/>
      <c r="I95" s="66"/>
      <c r="J95" s="60"/>
      <c r="K95" s="60"/>
      <c r="L95" s="61"/>
      <c r="M95" s="61"/>
      <c r="N95" s="61"/>
      <c r="O95" s="66"/>
      <c r="P95" s="76" t="str">
        <f t="shared" ca="1" si="5"/>
        <v/>
      </c>
      <c r="Q95" s="65" t="str">
        <f t="shared" ca="1" si="6"/>
        <v/>
      </c>
      <c r="R95" s="2"/>
      <c r="S95" s="2"/>
      <c r="T95" s="1"/>
      <c r="U95" s="1" t="str">
        <f t="shared" si="7"/>
        <v/>
      </c>
    </row>
    <row r="96" spans="1:21" ht="18" customHeight="1" x14ac:dyDescent="0.3">
      <c r="A96" s="2"/>
      <c r="B96" s="65" t="str">
        <f t="shared" si="4"/>
        <v/>
      </c>
      <c r="C96" s="60"/>
      <c r="D96" s="65" t="str">
        <f>IF($E96="","",IFERROR(INDEX(MUSTERILER!$B$7:$B$156,MATCH($U96,MUSTERILER!$T$7:$T$156,0)),IFERROR(INDEX(MUSTERILER!$B$7:$B$156,MATCH($E96,MUSTERILER!$B$7:$B$156,0)),IFERROR(INDEX(MUSTERILER!$B$7:$B$156,MATCH($U96&amp;"*",MUSTERILER!$T$7:$T$156,0)),"TANIMSIZ MÜŞTERİ"))))</f>
        <v/>
      </c>
      <c r="E96" s="61"/>
      <c r="F96" s="61"/>
      <c r="G96" s="60"/>
      <c r="H96" s="66"/>
      <c r="I96" s="66"/>
      <c r="J96" s="60"/>
      <c r="K96" s="60"/>
      <c r="L96" s="61"/>
      <c r="M96" s="61"/>
      <c r="N96" s="61"/>
      <c r="O96" s="66"/>
      <c r="P96" s="76" t="str">
        <f t="shared" ca="1" si="5"/>
        <v/>
      </c>
      <c r="Q96" s="65" t="str">
        <f t="shared" ca="1" si="6"/>
        <v/>
      </c>
      <c r="R96" s="2"/>
      <c r="S96" s="2"/>
      <c r="T96" s="1"/>
      <c r="U96" s="1" t="str">
        <f t="shared" si="7"/>
        <v/>
      </c>
    </row>
    <row r="97" spans="1:21" ht="18" customHeight="1" x14ac:dyDescent="0.3">
      <c r="A97" s="2"/>
      <c r="B97" s="65" t="str">
        <f t="shared" si="4"/>
        <v/>
      </c>
      <c r="C97" s="60"/>
      <c r="D97" s="65" t="str">
        <f>IF($E97="","",IFERROR(INDEX(MUSTERILER!$B$7:$B$156,MATCH($U97,MUSTERILER!$T$7:$T$156,0)),IFERROR(INDEX(MUSTERILER!$B$7:$B$156,MATCH($E97,MUSTERILER!$B$7:$B$156,0)),IFERROR(INDEX(MUSTERILER!$B$7:$B$156,MATCH($U97&amp;"*",MUSTERILER!$T$7:$T$156,0)),"TANIMSIZ MÜŞTERİ"))))</f>
        <v/>
      </c>
      <c r="E97" s="61"/>
      <c r="F97" s="61"/>
      <c r="G97" s="60"/>
      <c r="H97" s="66"/>
      <c r="I97" s="66"/>
      <c r="J97" s="60"/>
      <c r="K97" s="60"/>
      <c r="L97" s="61"/>
      <c r="M97" s="61"/>
      <c r="N97" s="61"/>
      <c r="O97" s="66"/>
      <c r="P97" s="76" t="str">
        <f t="shared" ca="1" si="5"/>
        <v/>
      </c>
      <c r="Q97" s="65" t="str">
        <f t="shared" ca="1" si="6"/>
        <v/>
      </c>
      <c r="R97" s="2"/>
      <c r="S97" s="2"/>
      <c r="T97" s="1"/>
      <c r="U97" s="1" t="str">
        <f t="shared" si="7"/>
        <v/>
      </c>
    </row>
    <row r="98" spans="1:21" ht="18" customHeight="1" x14ac:dyDescent="0.3">
      <c r="A98" s="2"/>
      <c r="B98" s="65" t="str">
        <f t="shared" si="4"/>
        <v/>
      </c>
      <c r="C98" s="60"/>
      <c r="D98" s="65" t="str">
        <f>IF($E98="","",IFERROR(INDEX(MUSTERILER!$B$7:$B$156,MATCH($U98,MUSTERILER!$T$7:$T$156,0)),IFERROR(INDEX(MUSTERILER!$B$7:$B$156,MATCH($E98,MUSTERILER!$B$7:$B$156,0)),IFERROR(INDEX(MUSTERILER!$B$7:$B$156,MATCH($U98&amp;"*",MUSTERILER!$T$7:$T$156,0)),"TANIMSIZ MÜŞTERİ"))))</f>
        <v/>
      </c>
      <c r="E98" s="61"/>
      <c r="F98" s="61"/>
      <c r="G98" s="60"/>
      <c r="H98" s="66"/>
      <c r="I98" s="66"/>
      <c r="J98" s="60"/>
      <c r="K98" s="60"/>
      <c r="L98" s="61"/>
      <c r="M98" s="61"/>
      <c r="N98" s="61"/>
      <c r="O98" s="66"/>
      <c r="P98" s="76" t="str">
        <f t="shared" ca="1" si="5"/>
        <v/>
      </c>
      <c r="Q98" s="65" t="str">
        <f t="shared" ca="1" si="6"/>
        <v/>
      </c>
      <c r="R98" s="2"/>
      <c r="S98" s="2"/>
      <c r="T98" s="1"/>
      <c r="U98" s="1" t="str">
        <f t="shared" si="7"/>
        <v/>
      </c>
    </row>
    <row r="99" spans="1:21" ht="18" customHeight="1" x14ac:dyDescent="0.3">
      <c r="A99" s="2"/>
      <c r="B99" s="65" t="str">
        <f t="shared" si="4"/>
        <v/>
      </c>
      <c r="C99" s="60"/>
      <c r="D99" s="65" t="str">
        <f>IF($E99="","",IFERROR(INDEX(MUSTERILER!$B$7:$B$156,MATCH($U99,MUSTERILER!$T$7:$T$156,0)),IFERROR(INDEX(MUSTERILER!$B$7:$B$156,MATCH($E99,MUSTERILER!$B$7:$B$156,0)),IFERROR(INDEX(MUSTERILER!$B$7:$B$156,MATCH($U99&amp;"*",MUSTERILER!$T$7:$T$156,0)),"TANIMSIZ MÜŞTERİ"))))</f>
        <v/>
      </c>
      <c r="E99" s="61"/>
      <c r="F99" s="61"/>
      <c r="G99" s="60"/>
      <c r="H99" s="66"/>
      <c r="I99" s="66"/>
      <c r="J99" s="60"/>
      <c r="K99" s="60"/>
      <c r="L99" s="61"/>
      <c r="M99" s="61"/>
      <c r="N99" s="61"/>
      <c r="O99" s="66"/>
      <c r="P99" s="76" t="str">
        <f t="shared" ca="1" si="5"/>
        <v/>
      </c>
      <c r="Q99" s="65" t="str">
        <f t="shared" ca="1" si="6"/>
        <v/>
      </c>
      <c r="R99" s="2"/>
      <c r="S99" s="2"/>
      <c r="T99" s="1"/>
      <c r="U99" s="1" t="str">
        <f t="shared" si="7"/>
        <v/>
      </c>
    </row>
    <row r="100" spans="1:21" ht="18" customHeight="1" x14ac:dyDescent="0.3">
      <c r="A100" s="2"/>
      <c r="B100" s="65" t="str">
        <f t="shared" si="4"/>
        <v/>
      </c>
      <c r="C100" s="60"/>
      <c r="D100" s="65" t="str">
        <f>IF($E100="","",IFERROR(INDEX(MUSTERILER!$B$7:$B$156,MATCH($U100,MUSTERILER!$T$7:$T$156,0)),IFERROR(INDEX(MUSTERILER!$B$7:$B$156,MATCH($E100,MUSTERILER!$B$7:$B$156,0)),IFERROR(INDEX(MUSTERILER!$B$7:$B$156,MATCH($U100&amp;"*",MUSTERILER!$T$7:$T$156,0)),"TANIMSIZ MÜŞTERİ"))))</f>
        <v/>
      </c>
      <c r="E100" s="61"/>
      <c r="F100" s="61"/>
      <c r="G100" s="60"/>
      <c r="H100" s="66"/>
      <c r="I100" s="66"/>
      <c r="J100" s="60"/>
      <c r="K100" s="60"/>
      <c r="L100" s="61"/>
      <c r="M100" s="61"/>
      <c r="N100" s="61"/>
      <c r="O100" s="66"/>
      <c r="P100" s="76" t="str">
        <f t="shared" ca="1" si="5"/>
        <v/>
      </c>
      <c r="Q100" s="65" t="str">
        <f t="shared" ca="1" si="6"/>
        <v/>
      </c>
      <c r="R100" s="2"/>
      <c r="S100" s="2"/>
      <c r="T100" s="1"/>
      <c r="U100" s="1" t="str">
        <f t="shared" si="7"/>
        <v/>
      </c>
    </row>
    <row r="101" spans="1:21" ht="18" customHeight="1" x14ac:dyDescent="0.3">
      <c r="A101" s="2"/>
      <c r="B101" s="65" t="str">
        <f t="shared" si="4"/>
        <v/>
      </c>
      <c r="C101" s="60"/>
      <c r="D101" s="65" t="str">
        <f>IF($E101="","",IFERROR(INDEX(MUSTERILER!$B$7:$B$156,MATCH($U101,MUSTERILER!$T$7:$T$156,0)),IFERROR(INDEX(MUSTERILER!$B$7:$B$156,MATCH($E101,MUSTERILER!$B$7:$B$156,0)),IFERROR(INDEX(MUSTERILER!$B$7:$B$156,MATCH($U101&amp;"*",MUSTERILER!$T$7:$T$156,0)),"TANIMSIZ MÜŞTERİ"))))</f>
        <v/>
      </c>
      <c r="E101" s="61"/>
      <c r="F101" s="61"/>
      <c r="G101" s="60"/>
      <c r="H101" s="66"/>
      <c r="I101" s="66"/>
      <c r="J101" s="60"/>
      <c r="K101" s="60"/>
      <c r="L101" s="61"/>
      <c r="M101" s="61"/>
      <c r="N101" s="61"/>
      <c r="O101" s="66"/>
      <c r="P101" s="76" t="str">
        <f t="shared" ca="1" si="5"/>
        <v/>
      </c>
      <c r="Q101" s="65" t="str">
        <f t="shared" ca="1" si="6"/>
        <v/>
      </c>
      <c r="R101" s="2"/>
      <c r="S101" s="2"/>
      <c r="T101" s="1"/>
      <c r="U101" s="1" t="str">
        <f t="shared" si="7"/>
        <v/>
      </c>
    </row>
    <row r="102" spans="1:21" ht="18" customHeight="1" x14ac:dyDescent="0.3">
      <c r="A102" s="2"/>
      <c r="B102" s="65" t="str">
        <f t="shared" si="4"/>
        <v/>
      </c>
      <c r="C102" s="60"/>
      <c r="D102" s="65" t="str">
        <f>IF($E102="","",IFERROR(INDEX(MUSTERILER!$B$7:$B$156,MATCH($U102,MUSTERILER!$T$7:$T$156,0)),IFERROR(INDEX(MUSTERILER!$B$7:$B$156,MATCH($E102,MUSTERILER!$B$7:$B$156,0)),IFERROR(INDEX(MUSTERILER!$B$7:$B$156,MATCH($U102&amp;"*",MUSTERILER!$T$7:$T$156,0)),"TANIMSIZ MÜŞTERİ"))))</f>
        <v/>
      </c>
      <c r="E102" s="61"/>
      <c r="F102" s="61"/>
      <c r="G102" s="60"/>
      <c r="H102" s="66"/>
      <c r="I102" s="66"/>
      <c r="J102" s="60"/>
      <c r="K102" s="60"/>
      <c r="L102" s="61"/>
      <c r="M102" s="61"/>
      <c r="N102" s="61"/>
      <c r="O102" s="66"/>
      <c r="P102" s="76" t="str">
        <f t="shared" ca="1" si="5"/>
        <v/>
      </c>
      <c r="Q102" s="65" t="str">
        <f t="shared" ca="1" si="6"/>
        <v/>
      </c>
      <c r="R102" s="2"/>
      <c r="S102" s="2"/>
      <c r="T102" s="1"/>
      <c r="U102" s="1" t="str">
        <f t="shared" si="7"/>
        <v/>
      </c>
    </row>
    <row r="103" spans="1:21" ht="18" customHeight="1" x14ac:dyDescent="0.3">
      <c r="A103" s="2"/>
      <c r="B103" s="65" t="str">
        <f t="shared" si="4"/>
        <v/>
      </c>
      <c r="C103" s="60"/>
      <c r="D103" s="65" t="str">
        <f>IF($E103="","",IFERROR(INDEX(MUSTERILER!$B$7:$B$156,MATCH($U103,MUSTERILER!$T$7:$T$156,0)),IFERROR(INDEX(MUSTERILER!$B$7:$B$156,MATCH($E103,MUSTERILER!$B$7:$B$156,0)),IFERROR(INDEX(MUSTERILER!$B$7:$B$156,MATCH($U103&amp;"*",MUSTERILER!$T$7:$T$156,0)),"TANIMSIZ MÜŞTERİ"))))</f>
        <v/>
      </c>
      <c r="E103" s="61"/>
      <c r="F103" s="61"/>
      <c r="G103" s="60"/>
      <c r="H103" s="66"/>
      <c r="I103" s="66"/>
      <c r="J103" s="60"/>
      <c r="K103" s="60"/>
      <c r="L103" s="61"/>
      <c r="M103" s="61"/>
      <c r="N103" s="61"/>
      <c r="O103" s="66"/>
      <c r="P103" s="76" t="str">
        <f t="shared" ca="1" si="5"/>
        <v/>
      </c>
      <c r="Q103" s="65" t="str">
        <f t="shared" ca="1" si="6"/>
        <v/>
      </c>
      <c r="R103" s="2"/>
      <c r="S103" s="2"/>
      <c r="T103" s="1"/>
      <c r="U103" s="1" t="str">
        <f t="shared" si="7"/>
        <v/>
      </c>
    </row>
    <row r="104" spans="1:21" ht="18" customHeight="1" x14ac:dyDescent="0.3">
      <c r="A104" s="2"/>
      <c r="B104" s="65" t="str">
        <f t="shared" si="4"/>
        <v/>
      </c>
      <c r="C104" s="60"/>
      <c r="D104" s="65" t="str">
        <f>IF($E104="","",IFERROR(INDEX(MUSTERILER!$B$7:$B$156,MATCH($U104,MUSTERILER!$T$7:$T$156,0)),IFERROR(INDEX(MUSTERILER!$B$7:$B$156,MATCH($E104,MUSTERILER!$B$7:$B$156,0)),IFERROR(INDEX(MUSTERILER!$B$7:$B$156,MATCH($U104&amp;"*",MUSTERILER!$T$7:$T$156,0)),"TANIMSIZ MÜŞTERİ"))))</f>
        <v/>
      </c>
      <c r="E104" s="61"/>
      <c r="F104" s="61"/>
      <c r="G104" s="60"/>
      <c r="H104" s="66"/>
      <c r="I104" s="66"/>
      <c r="J104" s="60"/>
      <c r="K104" s="60"/>
      <c r="L104" s="61"/>
      <c r="M104" s="61"/>
      <c r="N104" s="61"/>
      <c r="O104" s="66"/>
      <c r="P104" s="76" t="str">
        <f t="shared" ca="1" si="5"/>
        <v/>
      </c>
      <c r="Q104" s="65" t="str">
        <f t="shared" ca="1" si="6"/>
        <v/>
      </c>
      <c r="R104" s="2"/>
      <c r="S104" s="2"/>
      <c r="T104" s="1"/>
      <c r="U104" s="1" t="str">
        <f t="shared" si="7"/>
        <v/>
      </c>
    </row>
    <row r="105" spans="1:21" ht="18" customHeight="1" x14ac:dyDescent="0.3">
      <c r="A105" s="2"/>
      <c r="B105" s="65" t="str">
        <f t="shared" si="4"/>
        <v/>
      </c>
      <c r="C105" s="60"/>
      <c r="D105" s="65" t="str">
        <f>IF($E105="","",IFERROR(INDEX(MUSTERILER!$B$7:$B$156,MATCH($U105,MUSTERILER!$T$7:$T$156,0)),IFERROR(INDEX(MUSTERILER!$B$7:$B$156,MATCH($E105,MUSTERILER!$B$7:$B$156,0)),IFERROR(INDEX(MUSTERILER!$B$7:$B$156,MATCH($U105&amp;"*",MUSTERILER!$T$7:$T$156,0)),"TANIMSIZ MÜŞTERİ"))))</f>
        <v/>
      </c>
      <c r="E105" s="61"/>
      <c r="F105" s="61"/>
      <c r="G105" s="60"/>
      <c r="H105" s="66"/>
      <c r="I105" s="66"/>
      <c r="J105" s="60"/>
      <c r="K105" s="60"/>
      <c r="L105" s="61"/>
      <c r="M105" s="61"/>
      <c r="N105" s="61"/>
      <c r="O105" s="66"/>
      <c r="P105" s="76" t="str">
        <f t="shared" ca="1" si="5"/>
        <v/>
      </c>
      <c r="Q105" s="65" t="str">
        <f t="shared" ca="1" si="6"/>
        <v/>
      </c>
      <c r="R105" s="2"/>
      <c r="S105" s="2"/>
      <c r="T105" s="1"/>
      <c r="U105" s="1" t="str">
        <f t="shared" si="7"/>
        <v/>
      </c>
    </row>
    <row r="106" spans="1:21" ht="18" customHeight="1" x14ac:dyDescent="0.3">
      <c r="A106" s="2"/>
      <c r="B106" s="65" t="str">
        <f t="shared" si="4"/>
        <v/>
      </c>
      <c r="C106" s="60"/>
      <c r="D106" s="65" t="str">
        <f>IF($E106="","",IFERROR(INDEX(MUSTERILER!$B$7:$B$156,MATCH($U106,MUSTERILER!$T$7:$T$156,0)),IFERROR(INDEX(MUSTERILER!$B$7:$B$156,MATCH($E106,MUSTERILER!$B$7:$B$156,0)),IFERROR(INDEX(MUSTERILER!$B$7:$B$156,MATCH($U106&amp;"*",MUSTERILER!$T$7:$T$156,0)),"TANIMSIZ MÜŞTERİ"))))</f>
        <v/>
      </c>
      <c r="E106" s="61"/>
      <c r="F106" s="61"/>
      <c r="G106" s="60"/>
      <c r="H106" s="66"/>
      <c r="I106" s="66"/>
      <c r="J106" s="60"/>
      <c r="K106" s="60"/>
      <c r="L106" s="61"/>
      <c r="M106" s="61"/>
      <c r="N106" s="61"/>
      <c r="O106" s="66"/>
      <c r="P106" s="76" t="str">
        <f t="shared" ca="1" si="5"/>
        <v/>
      </c>
      <c r="Q106" s="65" t="str">
        <f t="shared" ca="1" si="6"/>
        <v/>
      </c>
      <c r="R106" s="2"/>
      <c r="S106" s="2"/>
      <c r="T106" s="1"/>
      <c r="U106" s="1" t="str">
        <f t="shared" si="7"/>
        <v/>
      </c>
    </row>
    <row r="107" spans="1:21" ht="18" customHeight="1" x14ac:dyDescent="0.3">
      <c r="A107" s="2"/>
      <c r="B107" s="65" t="str">
        <f t="shared" si="4"/>
        <v/>
      </c>
      <c r="C107" s="60"/>
      <c r="D107" s="65" t="str">
        <f>IF($E107="","",IFERROR(INDEX(MUSTERILER!$B$7:$B$156,MATCH($U107,MUSTERILER!$T$7:$T$156,0)),IFERROR(INDEX(MUSTERILER!$B$7:$B$156,MATCH($E107,MUSTERILER!$B$7:$B$156,0)),IFERROR(INDEX(MUSTERILER!$B$7:$B$156,MATCH($U107&amp;"*",MUSTERILER!$T$7:$T$156,0)),"TANIMSIZ MÜŞTERİ"))))</f>
        <v/>
      </c>
      <c r="E107" s="61"/>
      <c r="F107" s="61"/>
      <c r="G107" s="60"/>
      <c r="H107" s="66"/>
      <c r="I107" s="66"/>
      <c r="J107" s="60"/>
      <c r="K107" s="60"/>
      <c r="L107" s="61"/>
      <c r="M107" s="61"/>
      <c r="N107" s="61"/>
      <c r="O107" s="66"/>
      <c r="P107" s="76" t="str">
        <f t="shared" ca="1" si="5"/>
        <v/>
      </c>
      <c r="Q107" s="65" t="str">
        <f t="shared" ca="1" si="6"/>
        <v/>
      </c>
      <c r="R107" s="2"/>
      <c r="S107" s="2"/>
      <c r="T107" s="1"/>
      <c r="U107" s="1" t="str">
        <f t="shared" si="7"/>
        <v/>
      </c>
    </row>
    <row r="108" spans="1:21" ht="18" customHeight="1" x14ac:dyDescent="0.3">
      <c r="A108" s="2"/>
      <c r="B108" s="65" t="str">
        <f t="shared" si="4"/>
        <v/>
      </c>
      <c r="C108" s="60"/>
      <c r="D108" s="65" t="str">
        <f>IF($E108="","",IFERROR(INDEX(MUSTERILER!$B$7:$B$156,MATCH($U108,MUSTERILER!$T$7:$T$156,0)),IFERROR(INDEX(MUSTERILER!$B$7:$B$156,MATCH($E108,MUSTERILER!$B$7:$B$156,0)),IFERROR(INDEX(MUSTERILER!$B$7:$B$156,MATCH($U108&amp;"*",MUSTERILER!$T$7:$T$156,0)),"TANIMSIZ MÜŞTERİ"))))</f>
        <v/>
      </c>
      <c r="E108" s="61"/>
      <c r="F108" s="61"/>
      <c r="G108" s="60"/>
      <c r="H108" s="66"/>
      <c r="I108" s="66"/>
      <c r="J108" s="60"/>
      <c r="K108" s="60"/>
      <c r="L108" s="61"/>
      <c r="M108" s="61"/>
      <c r="N108" s="61"/>
      <c r="O108" s="66"/>
      <c r="P108" s="76" t="str">
        <f t="shared" ca="1" si="5"/>
        <v/>
      </c>
      <c r="Q108" s="65" t="str">
        <f t="shared" ca="1" si="6"/>
        <v/>
      </c>
      <c r="R108" s="2"/>
      <c r="S108" s="2"/>
      <c r="T108" s="1"/>
      <c r="U108" s="1" t="str">
        <f t="shared" si="7"/>
        <v/>
      </c>
    </row>
    <row r="109" spans="1:21" ht="18" customHeight="1" x14ac:dyDescent="0.3">
      <c r="A109" s="2"/>
      <c r="B109" s="65" t="str">
        <f t="shared" si="4"/>
        <v/>
      </c>
      <c r="C109" s="60"/>
      <c r="D109" s="65" t="str">
        <f>IF($E109="","",IFERROR(INDEX(MUSTERILER!$B$7:$B$156,MATCH($U109,MUSTERILER!$T$7:$T$156,0)),IFERROR(INDEX(MUSTERILER!$B$7:$B$156,MATCH($E109,MUSTERILER!$B$7:$B$156,0)),IFERROR(INDEX(MUSTERILER!$B$7:$B$156,MATCH($U109&amp;"*",MUSTERILER!$T$7:$T$156,0)),"TANIMSIZ MÜŞTERİ"))))</f>
        <v/>
      </c>
      <c r="E109" s="61"/>
      <c r="F109" s="61"/>
      <c r="G109" s="60"/>
      <c r="H109" s="66"/>
      <c r="I109" s="66"/>
      <c r="J109" s="60"/>
      <c r="K109" s="60"/>
      <c r="L109" s="61"/>
      <c r="M109" s="61"/>
      <c r="N109" s="61"/>
      <c r="O109" s="66"/>
      <c r="P109" s="76" t="str">
        <f t="shared" ca="1" si="5"/>
        <v/>
      </c>
      <c r="Q109" s="65" t="str">
        <f t="shared" ca="1" si="6"/>
        <v/>
      </c>
      <c r="R109" s="2"/>
      <c r="S109" s="2"/>
      <c r="T109" s="1"/>
      <c r="U109" s="1" t="str">
        <f t="shared" si="7"/>
        <v/>
      </c>
    </row>
    <row r="110" spans="1:21" ht="18" customHeight="1" x14ac:dyDescent="0.3">
      <c r="A110" s="2"/>
      <c r="B110" s="65" t="str">
        <f t="shared" si="4"/>
        <v/>
      </c>
      <c r="C110" s="60"/>
      <c r="D110" s="65" t="str">
        <f>IF($E110="","",IFERROR(INDEX(MUSTERILER!$B$7:$B$156,MATCH($U110,MUSTERILER!$T$7:$T$156,0)),IFERROR(INDEX(MUSTERILER!$B$7:$B$156,MATCH($E110,MUSTERILER!$B$7:$B$156,0)),IFERROR(INDEX(MUSTERILER!$B$7:$B$156,MATCH($U110&amp;"*",MUSTERILER!$T$7:$T$156,0)),"TANIMSIZ MÜŞTERİ"))))</f>
        <v/>
      </c>
      <c r="E110" s="61"/>
      <c r="F110" s="61"/>
      <c r="G110" s="60"/>
      <c r="H110" s="66"/>
      <c r="I110" s="66"/>
      <c r="J110" s="60"/>
      <c r="K110" s="60"/>
      <c r="L110" s="61"/>
      <c r="M110" s="61"/>
      <c r="N110" s="61"/>
      <c r="O110" s="66"/>
      <c r="P110" s="76" t="str">
        <f t="shared" ca="1" si="5"/>
        <v/>
      </c>
      <c r="Q110" s="65" t="str">
        <f t="shared" ca="1" si="6"/>
        <v/>
      </c>
      <c r="R110" s="2"/>
      <c r="S110" s="2"/>
      <c r="T110" s="1"/>
      <c r="U110" s="1" t="str">
        <f t="shared" si="7"/>
        <v/>
      </c>
    </row>
    <row r="111" spans="1:21" ht="18" customHeight="1" x14ac:dyDescent="0.3">
      <c r="A111" s="2"/>
      <c r="B111" s="65" t="str">
        <f t="shared" si="4"/>
        <v/>
      </c>
      <c r="C111" s="60"/>
      <c r="D111" s="65" t="str">
        <f>IF($E111="","",IFERROR(INDEX(MUSTERILER!$B$7:$B$156,MATCH($U111,MUSTERILER!$T$7:$T$156,0)),IFERROR(INDEX(MUSTERILER!$B$7:$B$156,MATCH($E111,MUSTERILER!$B$7:$B$156,0)),IFERROR(INDEX(MUSTERILER!$B$7:$B$156,MATCH($U111&amp;"*",MUSTERILER!$T$7:$T$156,0)),"TANIMSIZ MÜŞTERİ"))))</f>
        <v/>
      </c>
      <c r="E111" s="61"/>
      <c r="F111" s="61"/>
      <c r="G111" s="60"/>
      <c r="H111" s="66"/>
      <c r="I111" s="66"/>
      <c r="J111" s="60"/>
      <c r="K111" s="60"/>
      <c r="L111" s="61"/>
      <c r="M111" s="61"/>
      <c r="N111" s="61"/>
      <c r="O111" s="66"/>
      <c r="P111" s="76" t="str">
        <f t="shared" ca="1" si="5"/>
        <v/>
      </c>
      <c r="Q111" s="65" t="str">
        <f t="shared" ca="1" si="6"/>
        <v/>
      </c>
      <c r="R111" s="2"/>
      <c r="S111" s="2"/>
      <c r="T111" s="1"/>
      <c r="U111" s="1" t="str">
        <f t="shared" si="7"/>
        <v/>
      </c>
    </row>
    <row r="112" spans="1:21" ht="18" customHeight="1" x14ac:dyDescent="0.3">
      <c r="A112" s="2"/>
      <c r="B112" s="65" t="str">
        <f t="shared" si="4"/>
        <v/>
      </c>
      <c r="C112" s="60"/>
      <c r="D112" s="65" t="str">
        <f>IF($E112="","",IFERROR(INDEX(MUSTERILER!$B$7:$B$156,MATCH($U112,MUSTERILER!$T$7:$T$156,0)),IFERROR(INDEX(MUSTERILER!$B$7:$B$156,MATCH($E112,MUSTERILER!$B$7:$B$156,0)),IFERROR(INDEX(MUSTERILER!$B$7:$B$156,MATCH($U112&amp;"*",MUSTERILER!$T$7:$T$156,0)),"TANIMSIZ MÜŞTERİ"))))</f>
        <v/>
      </c>
      <c r="E112" s="61"/>
      <c r="F112" s="61"/>
      <c r="G112" s="60"/>
      <c r="H112" s="66"/>
      <c r="I112" s="66"/>
      <c r="J112" s="60"/>
      <c r="K112" s="60"/>
      <c r="L112" s="61"/>
      <c r="M112" s="61"/>
      <c r="N112" s="61"/>
      <c r="O112" s="66"/>
      <c r="P112" s="76" t="str">
        <f t="shared" ca="1" si="5"/>
        <v/>
      </c>
      <c r="Q112" s="65" t="str">
        <f t="shared" ca="1" si="6"/>
        <v/>
      </c>
      <c r="R112" s="2"/>
      <c r="S112" s="2"/>
      <c r="T112" s="1"/>
      <c r="U112" s="1" t="str">
        <f t="shared" si="7"/>
        <v/>
      </c>
    </row>
    <row r="113" spans="1:21" ht="18" customHeight="1" x14ac:dyDescent="0.3">
      <c r="A113" s="2"/>
      <c r="B113" s="65" t="str">
        <f t="shared" si="4"/>
        <v/>
      </c>
      <c r="C113" s="60"/>
      <c r="D113" s="65" t="str">
        <f>IF($E113="","",IFERROR(INDEX(MUSTERILER!$B$7:$B$156,MATCH($U113,MUSTERILER!$T$7:$T$156,0)),IFERROR(INDEX(MUSTERILER!$B$7:$B$156,MATCH($E113,MUSTERILER!$B$7:$B$156,0)),IFERROR(INDEX(MUSTERILER!$B$7:$B$156,MATCH($U113&amp;"*",MUSTERILER!$T$7:$T$156,0)),"TANIMSIZ MÜŞTERİ"))))</f>
        <v/>
      </c>
      <c r="E113" s="61"/>
      <c r="F113" s="61"/>
      <c r="G113" s="60"/>
      <c r="H113" s="66"/>
      <c r="I113" s="66"/>
      <c r="J113" s="60"/>
      <c r="K113" s="60"/>
      <c r="L113" s="61"/>
      <c r="M113" s="61"/>
      <c r="N113" s="61"/>
      <c r="O113" s="66"/>
      <c r="P113" s="76" t="str">
        <f t="shared" ca="1" si="5"/>
        <v/>
      </c>
      <c r="Q113" s="65" t="str">
        <f t="shared" ca="1" si="6"/>
        <v/>
      </c>
      <c r="R113" s="2"/>
      <c r="S113" s="2"/>
      <c r="T113" s="1"/>
      <c r="U113" s="1" t="str">
        <f t="shared" si="7"/>
        <v/>
      </c>
    </row>
    <row r="114" spans="1:21" ht="18" customHeight="1" x14ac:dyDescent="0.3">
      <c r="A114" s="2"/>
      <c r="B114" s="65" t="str">
        <f t="shared" si="4"/>
        <v/>
      </c>
      <c r="C114" s="60"/>
      <c r="D114" s="65" t="str">
        <f>IF($E114="","",IFERROR(INDEX(MUSTERILER!$B$7:$B$156,MATCH($U114,MUSTERILER!$T$7:$T$156,0)),IFERROR(INDEX(MUSTERILER!$B$7:$B$156,MATCH($E114,MUSTERILER!$B$7:$B$156,0)),IFERROR(INDEX(MUSTERILER!$B$7:$B$156,MATCH($U114&amp;"*",MUSTERILER!$T$7:$T$156,0)),"TANIMSIZ MÜŞTERİ"))))</f>
        <v/>
      </c>
      <c r="E114" s="61"/>
      <c r="F114" s="61"/>
      <c r="G114" s="60"/>
      <c r="H114" s="66"/>
      <c r="I114" s="66"/>
      <c r="J114" s="60"/>
      <c r="K114" s="60"/>
      <c r="L114" s="61"/>
      <c r="M114" s="61"/>
      <c r="N114" s="61"/>
      <c r="O114" s="66"/>
      <c r="P114" s="76" t="str">
        <f t="shared" ca="1" si="5"/>
        <v/>
      </c>
      <c r="Q114" s="65" t="str">
        <f t="shared" ca="1" si="6"/>
        <v/>
      </c>
      <c r="R114" s="2"/>
      <c r="S114" s="2"/>
      <c r="T114" s="1"/>
      <c r="U114" s="1" t="str">
        <f t="shared" si="7"/>
        <v/>
      </c>
    </row>
    <row r="115" spans="1:21" ht="18" customHeight="1" x14ac:dyDescent="0.3">
      <c r="A115" s="2"/>
      <c r="B115" s="65" t="str">
        <f t="shared" si="4"/>
        <v/>
      </c>
      <c r="C115" s="60"/>
      <c r="D115" s="65" t="str">
        <f>IF($E115="","",IFERROR(INDEX(MUSTERILER!$B$7:$B$156,MATCH($U115,MUSTERILER!$T$7:$T$156,0)),IFERROR(INDEX(MUSTERILER!$B$7:$B$156,MATCH($E115,MUSTERILER!$B$7:$B$156,0)),IFERROR(INDEX(MUSTERILER!$B$7:$B$156,MATCH($U115&amp;"*",MUSTERILER!$T$7:$T$156,0)),"TANIMSIZ MÜŞTERİ"))))</f>
        <v/>
      </c>
      <c r="E115" s="61"/>
      <c r="F115" s="61"/>
      <c r="G115" s="60"/>
      <c r="H115" s="66"/>
      <c r="I115" s="66"/>
      <c r="J115" s="60"/>
      <c r="K115" s="60"/>
      <c r="L115" s="61"/>
      <c r="M115" s="61"/>
      <c r="N115" s="61"/>
      <c r="O115" s="66"/>
      <c r="P115" s="76" t="str">
        <f t="shared" ca="1" si="5"/>
        <v/>
      </c>
      <c r="Q115" s="65" t="str">
        <f t="shared" ca="1" si="6"/>
        <v/>
      </c>
      <c r="R115" s="2"/>
      <c r="S115" s="2"/>
      <c r="T115" s="1"/>
      <c r="U115" s="1" t="str">
        <f t="shared" si="7"/>
        <v/>
      </c>
    </row>
    <row r="116" spans="1:21" ht="18" customHeight="1" x14ac:dyDescent="0.3">
      <c r="A116" s="2"/>
      <c r="B116" s="65" t="str">
        <f t="shared" si="4"/>
        <v/>
      </c>
      <c r="C116" s="60"/>
      <c r="D116" s="65" t="str">
        <f>IF($E116="","",IFERROR(INDEX(MUSTERILER!$B$7:$B$156,MATCH($U116,MUSTERILER!$T$7:$T$156,0)),IFERROR(INDEX(MUSTERILER!$B$7:$B$156,MATCH($E116,MUSTERILER!$B$7:$B$156,0)),IFERROR(INDEX(MUSTERILER!$B$7:$B$156,MATCH($U116&amp;"*",MUSTERILER!$T$7:$T$156,0)),"TANIMSIZ MÜŞTERİ"))))</f>
        <v/>
      </c>
      <c r="E116" s="61"/>
      <c r="F116" s="61"/>
      <c r="G116" s="60"/>
      <c r="H116" s="66"/>
      <c r="I116" s="66"/>
      <c r="J116" s="60"/>
      <c r="K116" s="60"/>
      <c r="L116" s="61"/>
      <c r="M116" s="61"/>
      <c r="N116" s="61"/>
      <c r="O116" s="66"/>
      <c r="P116" s="76" t="str">
        <f t="shared" ca="1" si="5"/>
        <v/>
      </c>
      <c r="Q116" s="65" t="str">
        <f t="shared" ca="1" si="6"/>
        <v/>
      </c>
      <c r="R116" s="2"/>
      <c r="S116" s="2"/>
      <c r="T116" s="1"/>
      <c r="U116" s="1" t="str">
        <f t="shared" si="7"/>
        <v/>
      </c>
    </row>
    <row r="117" spans="1:21" ht="18" customHeight="1" x14ac:dyDescent="0.3">
      <c r="A117" s="2"/>
      <c r="B117" s="65" t="str">
        <f t="shared" si="4"/>
        <v/>
      </c>
      <c r="C117" s="60"/>
      <c r="D117" s="65" t="str">
        <f>IF($E117="","",IFERROR(INDEX(MUSTERILER!$B$7:$B$156,MATCH($U117,MUSTERILER!$T$7:$T$156,0)),IFERROR(INDEX(MUSTERILER!$B$7:$B$156,MATCH($E117,MUSTERILER!$B$7:$B$156,0)),IFERROR(INDEX(MUSTERILER!$B$7:$B$156,MATCH($U117&amp;"*",MUSTERILER!$T$7:$T$156,0)),"TANIMSIZ MÜŞTERİ"))))</f>
        <v/>
      </c>
      <c r="E117" s="61"/>
      <c r="F117" s="61"/>
      <c r="G117" s="60"/>
      <c r="H117" s="66"/>
      <c r="I117" s="66"/>
      <c r="J117" s="60"/>
      <c r="K117" s="60"/>
      <c r="L117" s="61"/>
      <c r="M117" s="61"/>
      <c r="N117" s="61"/>
      <c r="O117" s="66"/>
      <c r="P117" s="76" t="str">
        <f t="shared" ca="1" si="5"/>
        <v/>
      </c>
      <c r="Q117" s="65" t="str">
        <f t="shared" ca="1" si="6"/>
        <v/>
      </c>
      <c r="R117" s="2"/>
      <c r="S117" s="2"/>
      <c r="T117" s="1"/>
      <c r="U117" s="1" t="str">
        <f t="shared" si="7"/>
        <v/>
      </c>
    </row>
    <row r="118" spans="1:21" ht="18" customHeight="1" x14ac:dyDescent="0.3">
      <c r="A118" s="2"/>
      <c r="B118" s="65" t="str">
        <f t="shared" si="4"/>
        <v/>
      </c>
      <c r="C118" s="60"/>
      <c r="D118" s="65" t="str">
        <f>IF($E118="","",IFERROR(INDEX(MUSTERILER!$B$7:$B$156,MATCH($U118,MUSTERILER!$T$7:$T$156,0)),IFERROR(INDEX(MUSTERILER!$B$7:$B$156,MATCH($E118,MUSTERILER!$B$7:$B$156,0)),IFERROR(INDEX(MUSTERILER!$B$7:$B$156,MATCH($U118&amp;"*",MUSTERILER!$T$7:$T$156,0)),"TANIMSIZ MÜŞTERİ"))))</f>
        <v/>
      </c>
      <c r="E118" s="61"/>
      <c r="F118" s="61"/>
      <c r="G118" s="60"/>
      <c r="H118" s="66"/>
      <c r="I118" s="66"/>
      <c r="J118" s="60"/>
      <c r="K118" s="60"/>
      <c r="L118" s="61"/>
      <c r="M118" s="61"/>
      <c r="N118" s="61"/>
      <c r="O118" s="66"/>
      <c r="P118" s="76" t="str">
        <f t="shared" ca="1" si="5"/>
        <v/>
      </c>
      <c r="Q118" s="65" t="str">
        <f t="shared" ca="1" si="6"/>
        <v/>
      </c>
      <c r="R118" s="2"/>
      <c r="S118" s="2"/>
      <c r="T118" s="1"/>
      <c r="U118" s="1" t="str">
        <f t="shared" si="7"/>
        <v/>
      </c>
    </row>
    <row r="119" spans="1:21" ht="18" customHeight="1" x14ac:dyDescent="0.3">
      <c r="A119" s="2"/>
      <c r="B119" s="65" t="str">
        <f t="shared" si="4"/>
        <v/>
      </c>
      <c r="C119" s="60"/>
      <c r="D119" s="65" t="str">
        <f>IF($E119="","",IFERROR(INDEX(MUSTERILER!$B$7:$B$156,MATCH($U119,MUSTERILER!$T$7:$T$156,0)),IFERROR(INDEX(MUSTERILER!$B$7:$B$156,MATCH($E119,MUSTERILER!$B$7:$B$156,0)),IFERROR(INDEX(MUSTERILER!$B$7:$B$156,MATCH($U119&amp;"*",MUSTERILER!$T$7:$T$156,0)),"TANIMSIZ MÜŞTERİ"))))</f>
        <v/>
      </c>
      <c r="E119" s="61"/>
      <c r="F119" s="61"/>
      <c r="G119" s="60"/>
      <c r="H119" s="66"/>
      <c r="I119" s="66"/>
      <c r="J119" s="60"/>
      <c r="K119" s="60"/>
      <c r="L119" s="61"/>
      <c r="M119" s="61"/>
      <c r="N119" s="61"/>
      <c r="O119" s="66"/>
      <c r="P119" s="76" t="str">
        <f t="shared" ca="1" si="5"/>
        <v/>
      </c>
      <c r="Q119" s="65" t="str">
        <f t="shared" ca="1" si="6"/>
        <v/>
      </c>
      <c r="R119" s="2"/>
      <c r="S119" s="2"/>
      <c r="T119" s="1"/>
      <c r="U119" s="1" t="str">
        <f t="shared" si="7"/>
        <v/>
      </c>
    </row>
    <row r="120" spans="1:21" ht="18" customHeight="1" x14ac:dyDescent="0.3">
      <c r="A120" s="2"/>
      <c r="B120" s="65" t="str">
        <f t="shared" si="4"/>
        <v/>
      </c>
      <c r="C120" s="60"/>
      <c r="D120" s="65" t="str">
        <f>IF($E120="","",IFERROR(INDEX(MUSTERILER!$B$7:$B$156,MATCH($U120,MUSTERILER!$T$7:$T$156,0)),IFERROR(INDEX(MUSTERILER!$B$7:$B$156,MATCH($E120,MUSTERILER!$B$7:$B$156,0)),IFERROR(INDEX(MUSTERILER!$B$7:$B$156,MATCH($U120&amp;"*",MUSTERILER!$T$7:$T$156,0)),"TANIMSIZ MÜŞTERİ"))))</f>
        <v/>
      </c>
      <c r="E120" s="61"/>
      <c r="F120" s="61"/>
      <c r="G120" s="60"/>
      <c r="H120" s="66"/>
      <c r="I120" s="66"/>
      <c r="J120" s="60"/>
      <c r="K120" s="60"/>
      <c r="L120" s="61"/>
      <c r="M120" s="61"/>
      <c r="N120" s="61"/>
      <c r="O120" s="66"/>
      <c r="P120" s="76" t="str">
        <f t="shared" ca="1" si="5"/>
        <v/>
      </c>
      <c r="Q120" s="65" t="str">
        <f t="shared" ca="1" si="6"/>
        <v/>
      </c>
      <c r="R120" s="2"/>
      <c r="S120" s="2"/>
      <c r="T120" s="1"/>
      <c r="U120" s="1" t="str">
        <f t="shared" si="7"/>
        <v/>
      </c>
    </row>
    <row r="121" spans="1:21" ht="18" customHeight="1" x14ac:dyDescent="0.3">
      <c r="A121" s="2"/>
      <c r="B121" s="65" t="str">
        <f t="shared" si="4"/>
        <v/>
      </c>
      <c r="C121" s="60"/>
      <c r="D121" s="65" t="str">
        <f>IF($E121="","",IFERROR(INDEX(MUSTERILER!$B$7:$B$156,MATCH($U121,MUSTERILER!$T$7:$T$156,0)),IFERROR(INDEX(MUSTERILER!$B$7:$B$156,MATCH($E121,MUSTERILER!$B$7:$B$156,0)),IFERROR(INDEX(MUSTERILER!$B$7:$B$156,MATCH($U121&amp;"*",MUSTERILER!$T$7:$T$156,0)),"TANIMSIZ MÜŞTERİ"))))</f>
        <v/>
      </c>
      <c r="E121" s="61"/>
      <c r="F121" s="61"/>
      <c r="G121" s="60"/>
      <c r="H121" s="66"/>
      <c r="I121" s="66"/>
      <c r="J121" s="60"/>
      <c r="K121" s="60"/>
      <c r="L121" s="61"/>
      <c r="M121" s="61"/>
      <c r="N121" s="61"/>
      <c r="O121" s="66"/>
      <c r="P121" s="76" t="str">
        <f t="shared" ca="1" si="5"/>
        <v/>
      </c>
      <c r="Q121" s="65" t="str">
        <f t="shared" ca="1" si="6"/>
        <v/>
      </c>
      <c r="R121" s="2"/>
      <c r="S121" s="2"/>
      <c r="T121" s="1"/>
      <c r="U121" s="1" t="str">
        <f t="shared" si="7"/>
        <v/>
      </c>
    </row>
    <row r="122" spans="1:21" ht="18" customHeight="1" x14ac:dyDescent="0.3">
      <c r="A122" s="2"/>
      <c r="B122" s="65" t="str">
        <f t="shared" si="4"/>
        <v/>
      </c>
      <c r="C122" s="60"/>
      <c r="D122" s="65" t="str">
        <f>IF($E122="","",IFERROR(INDEX(MUSTERILER!$B$7:$B$156,MATCH($U122,MUSTERILER!$T$7:$T$156,0)),IFERROR(INDEX(MUSTERILER!$B$7:$B$156,MATCH($E122,MUSTERILER!$B$7:$B$156,0)),IFERROR(INDEX(MUSTERILER!$B$7:$B$156,MATCH($U122&amp;"*",MUSTERILER!$T$7:$T$156,0)),"TANIMSIZ MÜŞTERİ"))))</f>
        <v/>
      </c>
      <c r="E122" s="61"/>
      <c r="F122" s="61"/>
      <c r="G122" s="60"/>
      <c r="H122" s="66"/>
      <c r="I122" s="66"/>
      <c r="J122" s="60"/>
      <c r="K122" s="60"/>
      <c r="L122" s="61"/>
      <c r="M122" s="61"/>
      <c r="N122" s="61"/>
      <c r="O122" s="66"/>
      <c r="P122" s="76" t="str">
        <f t="shared" ca="1" si="5"/>
        <v/>
      </c>
      <c r="Q122" s="65" t="str">
        <f t="shared" ca="1" si="6"/>
        <v/>
      </c>
      <c r="R122" s="2"/>
      <c r="S122" s="2"/>
      <c r="T122" s="1"/>
      <c r="U122" s="1" t="str">
        <f t="shared" si="7"/>
        <v/>
      </c>
    </row>
    <row r="123" spans="1:21" ht="18" customHeight="1" x14ac:dyDescent="0.3">
      <c r="A123" s="2"/>
      <c r="B123" s="65" t="str">
        <f t="shared" si="4"/>
        <v/>
      </c>
      <c r="C123" s="60"/>
      <c r="D123" s="65" t="str">
        <f>IF($E123="","",IFERROR(INDEX(MUSTERILER!$B$7:$B$156,MATCH($U123,MUSTERILER!$T$7:$T$156,0)),IFERROR(INDEX(MUSTERILER!$B$7:$B$156,MATCH($E123,MUSTERILER!$B$7:$B$156,0)),IFERROR(INDEX(MUSTERILER!$B$7:$B$156,MATCH($U123&amp;"*",MUSTERILER!$T$7:$T$156,0)),"TANIMSIZ MÜŞTERİ"))))</f>
        <v/>
      </c>
      <c r="E123" s="61"/>
      <c r="F123" s="61"/>
      <c r="G123" s="60"/>
      <c r="H123" s="66"/>
      <c r="I123" s="66"/>
      <c r="J123" s="60"/>
      <c r="K123" s="60"/>
      <c r="L123" s="61"/>
      <c r="M123" s="61"/>
      <c r="N123" s="61"/>
      <c r="O123" s="66"/>
      <c r="P123" s="76" t="str">
        <f t="shared" ca="1" si="5"/>
        <v/>
      </c>
      <c r="Q123" s="65" t="str">
        <f t="shared" ca="1" si="6"/>
        <v/>
      </c>
      <c r="R123" s="2"/>
      <c r="S123" s="2"/>
      <c r="T123" s="1"/>
      <c r="U123" s="1" t="str">
        <f t="shared" si="7"/>
        <v/>
      </c>
    </row>
    <row r="124" spans="1:21" ht="18" customHeight="1" x14ac:dyDescent="0.3">
      <c r="A124" s="2"/>
      <c r="B124" s="65" t="str">
        <f t="shared" si="4"/>
        <v/>
      </c>
      <c r="C124" s="60"/>
      <c r="D124" s="65" t="str">
        <f>IF($E124="","",IFERROR(INDEX(MUSTERILER!$B$7:$B$156,MATCH($U124,MUSTERILER!$T$7:$T$156,0)),IFERROR(INDEX(MUSTERILER!$B$7:$B$156,MATCH($E124,MUSTERILER!$B$7:$B$156,0)),IFERROR(INDEX(MUSTERILER!$B$7:$B$156,MATCH($U124&amp;"*",MUSTERILER!$T$7:$T$156,0)),"TANIMSIZ MÜŞTERİ"))))</f>
        <v/>
      </c>
      <c r="E124" s="61"/>
      <c r="F124" s="61"/>
      <c r="G124" s="60"/>
      <c r="H124" s="66"/>
      <c r="I124" s="66"/>
      <c r="J124" s="60"/>
      <c r="K124" s="60"/>
      <c r="L124" s="61"/>
      <c r="M124" s="61"/>
      <c r="N124" s="61"/>
      <c r="O124" s="66"/>
      <c r="P124" s="76" t="str">
        <f t="shared" ca="1" si="5"/>
        <v/>
      </c>
      <c r="Q124" s="65" t="str">
        <f t="shared" ca="1" si="6"/>
        <v/>
      </c>
      <c r="R124" s="2"/>
      <c r="S124" s="2"/>
      <c r="T124" s="1"/>
      <c r="U124" s="1" t="str">
        <f t="shared" si="7"/>
        <v/>
      </c>
    </row>
    <row r="125" spans="1:21" ht="18" customHeight="1" x14ac:dyDescent="0.3">
      <c r="A125" s="2"/>
      <c r="B125" s="65" t="str">
        <f t="shared" si="4"/>
        <v/>
      </c>
      <c r="C125" s="60"/>
      <c r="D125" s="65" t="str">
        <f>IF($E125="","",IFERROR(INDEX(MUSTERILER!$B$7:$B$156,MATCH($U125,MUSTERILER!$T$7:$T$156,0)),IFERROR(INDEX(MUSTERILER!$B$7:$B$156,MATCH($E125,MUSTERILER!$B$7:$B$156,0)),IFERROR(INDEX(MUSTERILER!$B$7:$B$156,MATCH($U125&amp;"*",MUSTERILER!$T$7:$T$156,0)),"TANIMSIZ MÜŞTERİ"))))</f>
        <v/>
      </c>
      <c r="E125" s="61"/>
      <c r="F125" s="61"/>
      <c r="G125" s="60"/>
      <c r="H125" s="66"/>
      <c r="I125" s="66"/>
      <c r="J125" s="60"/>
      <c r="K125" s="60"/>
      <c r="L125" s="61"/>
      <c r="M125" s="61"/>
      <c r="N125" s="61"/>
      <c r="O125" s="66"/>
      <c r="P125" s="76" t="str">
        <f t="shared" ca="1" si="5"/>
        <v/>
      </c>
      <c r="Q125" s="65" t="str">
        <f t="shared" ca="1" si="6"/>
        <v/>
      </c>
      <c r="R125" s="2"/>
      <c r="S125" s="2"/>
      <c r="T125" s="1"/>
      <c r="U125" s="1" t="str">
        <f t="shared" si="7"/>
        <v/>
      </c>
    </row>
    <row r="126" spans="1:21" ht="18" customHeight="1" x14ac:dyDescent="0.3">
      <c r="A126" s="2"/>
      <c r="B126" s="65" t="str">
        <f t="shared" si="4"/>
        <v/>
      </c>
      <c r="C126" s="60"/>
      <c r="D126" s="65" t="str">
        <f>IF($E126="","",IFERROR(INDEX(MUSTERILER!$B$7:$B$156,MATCH($U126,MUSTERILER!$T$7:$T$156,0)),IFERROR(INDEX(MUSTERILER!$B$7:$B$156,MATCH($E126,MUSTERILER!$B$7:$B$156,0)),IFERROR(INDEX(MUSTERILER!$B$7:$B$156,MATCH($U126&amp;"*",MUSTERILER!$T$7:$T$156,0)),"TANIMSIZ MÜŞTERİ"))))</f>
        <v/>
      </c>
      <c r="E126" s="61"/>
      <c r="F126" s="61"/>
      <c r="G126" s="60"/>
      <c r="H126" s="66"/>
      <c r="I126" s="66"/>
      <c r="J126" s="60"/>
      <c r="K126" s="60"/>
      <c r="L126" s="61"/>
      <c r="M126" s="61"/>
      <c r="N126" s="61"/>
      <c r="O126" s="66"/>
      <c r="P126" s="76" t="str">
        <f t="shared" ca="1" si="5"/>
        <v/>
      </c>
      <c r="Q126" s="65" t="str">
        <f t="shared" ca="1" si="6"/>
        <v/>
      </c>
      <c r="R126" s="2"/>
      <c r="S126" s="2"/>
      <c r="T126" s="1"/>
      <c r="U126" s="1" t="str">
        <f t="shared" si="7"/>
        <v/>
      </c>
    </row>
    <row r="127" spans="1:21" ht="18" customHeight="1" x14ac:dyDescent="0.3">
      <c r="A127" s="2"/>
      <c r="B127" s="65" t="str">
        <f t="shared" si="4"/>
        <v/>
      </c>
      <c r="C127" s="60"/>
      <c r="D127" s="65" t="str">
        <f>IF($E127="","",IFERROR(INDEX(MUSTERILER!$B$7:$B$156,MATCH($U127,MUSTERILER!$T$7:$T$156,0)),IFERROR(INDEX(MUSTERILER!$B$7:$B$156,MATCH($E127,MUSTERILER!$B$7:$B$156,0)),IFERROR(INDEX(MUSTERILER!$B$7:$B$156,MATCH($U127&amp;"*",MUSTERILER!$T$7:$T$156,0)),"TANIMSIZ MÜŞTERİ"))))</f>
        <v/>
      </c>
      <c r="E127" s="61"/>
      <c r="F127" s="61"/>
      <c r="G127" s="60"/>
      <c r="H127" s="66"/>
      <c r="I127" s="66"/>
      <c r="J127" s="60"/>
      <c r="K127" s="60"/>
      <c r="L127" s="61"/>
      <c r="M127" s="61"/>
      <c r="N127" s="61"/>
      <c r="O127" s="66"/>
      <c r="P127" s="76" t="str">
        <f t="shared" ca="1" si="5"/>
        <v/>
      </c>
      <c r="Q127" s="65" t="str">
        <f t="shared" ca="1" si="6"/>
        <v/>
      </c>
      <c r="R127" s="2"/>
      <c r="S127" s="2"/>
      <c r="T127" s="1"/>
      <c r="U127" s="1" t="str">
        <f t="shared" si="7"/>
        <v/>
      </c>
    </row>
    <row r="128" spans="1:21" ht="18" customHeight="1" x14ac:dyDescent="0.3">
      <c r="A128" s="2"/>
      <c r="B128" s="65" t="str">
        <f t="shared" si="4"/>
        <v/>
      </c>
      <c r="C128" s="60"/>
      <c r="D128" s="65" t="str">
        <f>IF($E128="","",IFERROR(INDEX(MUSTERILER!$B$7:$B$156,MATCH($U128,MUSTERILER!$T$7:$T$156,0)),IFERROR(INDEX(MUSTERILER!$B$7:$B$156,MATCH($E128,MUSTERILER!$B$7:$B$156,0)),IFERROR(INDEX(MUSTERILER!$B$7:$B$156,MATCH($U128&amp;"*",MUSTERILER!$T$7:$T$156,0)),"TANIMSIZ MÜŞTERİ"))))</f>
        <v/>
      </c>
      <c r="E128" s="61"/>
      <c r="F128" s="61"/>
      <c r="G128" s="60"/>
      <c r="H128" s="66"/>
      <c r="I128" s="66"/>
      <c r="J128" s="60"/>
      <c r="K128" s="60"/>
      <c r="L128" s="61"/>
      <c r="M128" s="61"/>
      <c r="N128" s="61"/>
      <c r="O128" s="66"/>
      <c r="P128" s="76" t="str">
        <f t="shared" ca="1" si="5"/>
        <v/>
      </c>
      <c r="Q128" s="65" t="str">
        <f t="shared" ca="1" si="6"/>
        <v/>
      </c>
      <c r="R128" s="2"/>
      <c r="S128" s="2"/>
      <c r="T128" s="1"/>
      <c r="U128" s="1" t="str">
        <f t="shared" si="7"/>
        <v/>
      </c>
    </row>
    <row r="129" spans="1:21" ht="18" customHeight="1" x14ac:dyDescent="0.3">
      <c r="A129" s="2"/>
      <c r="B129" s="65" t="str">
        <f t="shared" si="4"/>
        <v/>
      </c>
      <c r="C129" s="60"/>
      <c r="D129" s="65" t="str">
        <f>IF($E129="","",IFERROR(INDEX(MUSTERILER!$B$7:$B$156,MATCH($U129,MUSTERILER!$T$7:$T$156,0)),IFERROR(INDEX(MUSTERILER!$B$7:$B$156,MATCH($E129,MUSTERILER!$B$7:$B$156,0)),IFERROR(INDEX(MUSTERILER!$B$7:$B$156,MATCH($U129&amp;"*",MUSTERILER!$T$7:$T$156,0)),"TANIMSIZ MÜŞTERİ"))))</f>
        <v/>
      </c>
      <c r="E129" s="61"/>
      <c r="F129" s="61"/>
      <c r="G129" s="60"/>
      <c r="H129" s="66"/>
      <c r="I129" s="66"/>
      <c r="J129" s="60"/>
      <c r="K129" s="60"/>
      <c r="L129" s="61"/>
      <c r="M129" s="61"/>
      <c r="N129" s="61"/>
      <c r="O129" s="66"/>
      <c r="P129" s="76" t="str">
        <f t="shared" ca="1" si="5"/>
        <v/>
      </c>
      <c r="Q129" s="65" t="str">
        <f t="shared" ca="1" si="6"/>
        <v/>
      </c>
      <c r="R129" s="2"/>
      <c r="S129" s="2"/>
      <c r="T129" s="1"/>
      <c r="U129" s="1" t="str">
        <f t="shared" si="7"/>
        <v/>
      </c>
    </row>
    <row r="130" spans="1:21" ht="18" customHeight="1" x14ac:dyDescent="0.3">
      <c r="A130" s="2"/>
      <c r="B130" s="65" t="str">
        <f t="shared" si="4"/>
        <v/>
      </c>
      <c r="C130" s="60"/>
      <c r="D130" s="65" t="str">
        <f>IF($E130="","",IFERROR(INDEX(MUSTERILER!$B$7:$B$156,MATCH($U130,MUSTERILER!$T$7:$T$156,0)),IFERROR(INDEX(MUSTERILER!$B$7:$B$156,MATCH($E130,MUSTERILER!$B$7:$B$156,0)),IFERROR(INDEX(MUSTERILER!$B$7:$B$156,MATCH($U130&amp;"*",MUSTERILER!$T$7:$T$156,0)),"TANIMSIZ MÜŞTERİ"))))</f>
        <v/>
      </c>
      <c r="E130" s="61"/>
      <c r="F130" s="61"/>
      <c r="G130" s="60"/>
      <c r="H130" s="66"/>
      <c r="I130" s="66"/>
      <c r="J130" s="60"/>
      <c r="K130" s="60"/>
      <c r="L130" s="61"/>
      <c r="M130" s="61"/>
      <c r="N130" s="61"/>
      <c r="O130" s="66"/>
      <c r="P130" s="76" t="str">
        <f t="shared" ca="1" si="5"/>
        <v/>
      </c>
      <c r="Q130" s="65" t="str">
        <f t="shared" ca="1" si="6"/>
        <v/>
      </c>
      <c r="R130" s="2"/>
      <c r="S130" s="2"/>
      <c r="T130" s="1"/>
      <c r="U130" s="1" t="str">
        <f t="shared" si="7"/>
        <v/>
      </c>
    </row>
    <row r="131" spans="1:21" ht="18" customHeight="1" x14ac:dyDescent="0.3">
      <c r="A131" s="2"/>
      <c r="B131" s="65" t="str">
        <f t="shared" si="4"/>
        <v/>
      </c>
      <c r="C131" s="60"/>
      <c r="D131" s="65" t="str">
        <f>IF($E131="","",IFERROR(INDEX(MUSTERILER!$B$7:$B$156,MATCH($U131,MUSTERILER!$T$7:$T$156,0)),IFERROR(INDEX(MUSTERILER!$B$7:$B$156,MATCH($E131,MUSTERILER!$B$7:$B$156,0)),IFERROR(INDEX(MUSTERILER!$B$7:$B$156,MATCH($U131&amp;"*",MUSTERILER!$T$7:$T$156,0)),"TANIMSIZ MÜŞTERİ"))))</f>
        <v/>
      </c>
      <c r="E131" s="61"/>
      <c r="F131" s="61"/>
      <c r="G131" s="60"/>
      <c r="H131" s="66"/>
      <c r="I131" s="66"/>
      <c r="J131" s="60"/>
      <c r="K131" s="60"/>
      <c r="L131" s="61"/>
      <c r="M131" s="61"/>
      <c r="N131" s="61"/>
      <c r="O131" s="66"/>
      <c r="P131" s="76" t="str">
        <f t="shared" ca="1" si="5"/>
        <v/>
      </c>
      <c r="Q131" s="65" t="str">
        <f t="shared" ca="1" si="6"/>
        <v/>
      </c>
      <c r="R131" s="2"/>
      <c r="S131" s="2"/>
      <c r="T131" s="1"/>
      <c r="U131" s="1" t="str">
        <f t="shared" si="7"/>
        <v/>
      </c>
    </row>
    <row r="132" spans="1:21" ht="18" customHeight="1" x14ac:dyDescent="0.3">
      <c r="A132" s="2"/>
      <c r="B132" s="65" t="str">
        <f t="shared" si="4"/>
        <v/>
      </c>
      <c r="C132" s="60"/>
      <c r="D132" s="65" t="str">
        <f>IF($E132="","",IFERROR(INDEX(MUSTERILER!$B$7:$B$156,MATCH($U132,MUSTERILER!$T$7:$T$156,0)),IFERROR(INDEX(MUSTERILER!$B$7:$B$156,MATCH($E132,MUSTERILER!$B$7:$B$156,0)),IFERROR(INDEX(MUSTERILER!$B$7:$B$156,MATCH($U132&amp;"*",MUSTERILER!$T$7:$T$156,0)),"TANIMSIZ MÜŞTERİ"))))</f>
        <v/>
      </c>
      <c r="E132" s="61"/>
      <c r="F132" s="61"/>
      <c r="G132" s="60"/>
      <c r="H132" s="66"/>
      <c r="I132" s="66"/>
      <c r="J132" s="60"/>
      <c r="K132" s="60"/>
      <c r="L132" s="61"/>
      <c r="M132" s="61"/>
      <c r="N132" s="61"/>
      <c r="O132" s="66"/>
      <c r="P132" s="76" t="str">
        <f t="shared" ca="1" si="5"/>
        <v/>
      </c>
      <c r="Q132" s="65" t="str">
        <f t="shared" ca="1" si="6"/>
        <v/>
      </c>
      <c r="R132" s="2"/>
      <c r="S132" s="2"/>
      <c r="T132" s="1"/>
      <c r="U132" s="1" t="str">
        <f t="shared" si="7"/>
        <v/>
      </c>
    </row>
    <row r="133" spans="1:21" ht="18" customHeight="1" x14ac:dyDescent="0.3">
      <c r="A133" s="2"/>
      <c r="B133" s="65" t="str">
        <f t="shared" si="4"/>
        <v/>
      </c>
      <c r="C133" s="60"/>
      <c r="D133" s="65" t="str">
        <f>IF($E133="","",IFERROR(INDEX(MUSTERILER!$B$7:$B$156,MATCH($U133,MUSTERILER!$T$7:$T$156,0)),IFERROR(INDEX(MUSTERILER!$B$7:$B$156,MATCH($E133,MUSTERILER!$B$7:$B$156,0)),IFERROR(INDEX(MUSTERILER!$B$7:$B$156,MATCH($U133&amp;"*",MUSTERILER!$T$7:$T$156,0)),"TANIMSIZ MÜŞTERİ"))))</f>
        <v/>
      </c>
      <c r="E133" s="61"/>
      <c r="F133" s="61"/>
      <c r="G133" s="60"/>
      <c r="H133" s="66"/>
      <c r="I133" s="66"/>
      <c r="J133" s="60"/>
      <c r="K133" s="60"/>
      <c r="L133" s="61"/>
      <c r="M133" s="61"/>
      <c r="N133" s="61"/>
      <c r="O133" s="66"/>
      <c r="P133" s="76" t="str">
        <f t="shared" ca="1" si="5"/>
        <v/>
      </c>
      <c r="Q133" s="65" t="str">
        <f t="shared" ca="1" si="6"/>
        <v/>
      </c>
      <c r="R133" s="2"/>
      <c r="S133" s="2"/>
      <c r="T133" s="1"/>
      <c r="U133" s="1" t="str">
        <f t="shared" si="7"/>
        <v/>
      </c>
    </row>
    <row r="134" spans="1:21" ht="18" customHeight="1" x14ac:dyDescent="0.3">
      <c r="A134" s="2"/>
      <c r="B134" s="65" t="str">
        <f t="shared" si="4"/>
        <v/>
      </c>
      <c r="C134" s="60"/>
      <c r="D134" s="65" t="str">
        <f>IF($E134="","",IFERROR(INDEX(MUSTERILER!$B$7:$B$156,MATCH($U134,MUSTERILER!$T$7:$T$156,0)),IFERROR(INDEX(MUSTERILER!$B$7:$B$156,MATCH($E134,MUSTERILER!$B$7:$B$156,0)),IFERROR(INDEX(MUSTERILER!$B$7:$B$156,MATCH($U134&amp;"*",MUSTERILER!$T$7:$T$156,0)),"TANIMSIZ MÜŞTERİ"))))</f>
        <v/>
      </c>
      <c r="E134" s="61"/>
      <c r="F134" s="61"/>
      <c r="G134" s="60"/>
      <c r="H134" s="66"/>
      <c r="I134" s="66"/>
      <c r="J134" s="60"/>
      <c r="K134" s="60"/>
      <c r="L134" s="61"/>
      <c r="M134" s="61"/>
      <c r="N134" s="61"/>
      <c r="O134" s="66"/>
      <c r="P134" s="76" t="str">
        <f t="shared" ca="1" si="5"/>
        <v/>
      </c>
      <c r="Q134" s="65" t="str">
        <f t="shared" ca="1" si="6"/>
        <v/>
      </c>
      <c r="R134" s="2"/>
      <c r="S134" s="2"/>
      <c r="T134" s="1"/>
      <c r="U134" s="1" t="str">
        <f t="shared" si="7"/>
        <v/>
      </c>
    </row>
    <row r="135" spans="1:21" ht="18" customHeight="1" x14ac:dyDescent="0.3">
      <c r="A135" s="2"/>
      <c r="B135" s="65" t="str">
        <f t="shared" ref="B135:B198" si="8">IF($E135="","","A"&amp;TEXT(ROW()-6,"00000"))</f>
        <v/>
      </c>
      <c r="C135" s="60"/>
      <c r="D135" s="65" t="str">
        <f>IF($E135="","",IFERROR(INDEX(MUSTERILER!$B$7:$B$156,MATCH($U135,MUSTERILER!$T$7:$T$156,0)),IFERROR(INDEX(MUSTERILER!$B$7:$B$156,MATCH($E135,MUSTERILER!$B$7:$B$156,0)),IFERROR(INDEX(MUSTERILER!$B$7:$B$156,MATCH($U135&amp;"*",MUSTERILER!$T$7:$T$156,0)),"TANIMSIZ MÜŞTERİ"))))</f>
        <v/>
      </c>
      <c r="E135" s="61"/>
      <c r="F135" s="61"/>
      <c r="G135" s="60"/>
      <c r="H135" s="66"/>
      <c r="I135" s="66"/>
      <c r="J135" s="60"/>
      <c r="K135" s="60"/>
      <c r="L135" s="61"/>
      <c r="M135" s="61"/>
      <c r="N135" s="61"/>
      <c r="O135" s="66"/>
      <c r="P135" s="76" t="str">
        <f t="shared" ref="P135:P198" ca="1" si="9">IF(OR($E135="",$I135=""),"",IF(OR($J135="Tamamlandı",$J135="İptal"),"",$I135-TODAY()))</f>
        <v/>
      </c>
      <c r="Q135" s="65" t="str">
        <f t="shared" ref="Q135:Q198" ca="1" si="10"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2"/>
      <c r="S135" s="2"/>
      <c r="T135" s="1"/>
      <c r="U135" s="1" t="str">
        <f t="shared" ref="U135:U198" si="11">IF($E135="","",UPPER(SUBSTITUTE(SUBSTITUTE(SUBSTITUTE(SUBSTITUTE(SUBSTITUTE(SUBSTITUTE(SUBSTITUTE(SUBSTITUTE(SUBSTITUTE(SUBSTITUTE(SUBSTITUTE(SUBSTITUTE(SUBSTITUTE(SUBSTITUTE(SUBSTITUTE(SUBSTITUTE(SUBSTITUTE(SUBSTITUTE(TRIM($E135),"'",""),"İ","I"),"ı","I"),"i","I"),"Ş","S"),"ş","S"),"Ğ","G"),"ğ","G"),"Ü","U"),"ü","U"),"Ö","O"),"ö","O"),"Ç","C"),"ç","C"),".",""),",","")," ",""),"-","")))</f>
        <v/>
      </c>
    </row>
    <row r="136" spans="1:21" ht="18" customHeight="1" x14ac:dyDescent="0.3">
      <c r="A136" s="2"/>
      <c r="B136" s="65" t="str">
        <f t="shared" si="8"/>
        <v/>
      </c>
      <c r="C136" s="60"/>
      <c r="D136" s="65" t="str">
        <f>IF($E136="","",IFERROR(INDEX(MUSTERILER!$B$7:$B$156,MATCH($U136,MUSTERILER!$T$7:$T$156,0)),IFERROR(INDEX(MUSTERILER!$B$7:$B$156,MATCH($E136,MUSTERILER!$B$7:$B$156,0)),IFERROR(INDEX(MUSTERILER!$B$7:$B$156,MATCH($U136&amp;"*",MUSTERILER!$T$7:$T$156,0)),"TANIMSIZ MÜŞTERİ"))))</f>
        <v/>
      </c>
      <c r="E136" s="61"/>
      <c r="F136" s="61"/>
      <c r="G136" s="60"/>
      <c r="H136" s="66"/>
      <c r="I136" s="66"/>
      <c r="J136" s="60"/>
      <c r="K136" s="60"/>
      <c r="L136" s="61"/>
      <c r="M136" s="61"/>
      <c r="N136" s="61"/>
      <c r="O136" s="66"/>
      <c r="P136" s="76" t="str">
        <f t="shared" ca="1" si="9"/>
        <v/>
      </c>
      <c r="Q136" s="65" t="str">
        <f t="shared" ca="1" si="10"/>
        <v/>
      </c>
      <c r="R136" s="2"/>
      <c r="S136" s="2"/>
      <c r="T136" s="1"/>
      <c r="U136" s="1" t="str">
        <f t="shared" si="11"/>
        <v/>
      </c>
    </row>
    <row r="137" spans="1:21" ht="18" customHeight="1" x14ac:dyDescent="0.3">
      <c r="A137" s="2"/>
      <c r="B137" s="65" t="str">
        <f t="shared" si="8"/>
        <v/>
      </c>
      <c r="C137" s="60"/>
      <c r="D137" s="65" t="str">
        <f>IF($E137="","",IFERROR(INDEX(MUSTERILER!$B$7:$B$156,MATCH($U137,MUSTERILER!$T$7:$T$156,0)),IFERROR(INDEX(MUSTERILER!$B$7:$B$156,MATCH($E137,MUSTERILER!$B$7:$B$156,0)),IFERROR(INDEX(MUSTERILER!$B$7:$B$156,MATCH($U137&amp;"*",MUSTERILER!$T$7:$T$156,0)),"TANIMSIZ MÜŞTERİ"))))</f>
        <v/>
      </c>
      <c r="E137" s="61"/>
      <c r="F137" s="61"/>
      <c r="G137" s="60"/>
      <c r="H137" s="66"/>
      <c r="I137" s="66"/>
      <c r="J137" s="60"/>
      <c r="K137" s="60"/>
      <c r="L137" s="61"/>
      <c r="M137" s="61"/>
      <c r="N137" s="61"/>
      <c r="O137" s="66"/>
      <c r="P137" s="76" t="str">
        <f t="shared" ca="1" si="9"/>
        <v/>
      </c>
      <c r="Q137" s="65" t="str">
        <f t="shared" ca="1" si="10"/>
        <v/>
      </c>
      <c r="R137" s="2"/>
      <c r="S137" s="2"/>
      <c r="T137" s="1"/>
      <c r="U137" s="1" t="str">
        <f t="shared" si="11"/>
        <v/>
      </c>
    </row>
    <row r="138" spans="1:21" ht="18" customHeight="1" x14ac:dyDescent="0.3">
      <c r="A138" s="2"/>
      <c r="B138" s="65" t="str">
        <f t="shared" si="8"/>
        <v/>
      </c>
      <c r="C138" s="60"/>
      <c r="D138" s="65" t="str">
        <f>IF($E138="","",IFERROR(INDEX(MUSTERILER!$B$7:$B$156,MATCH($U138,MUSTERILER!$T$7:$T$156,0)),IFERROR(INDEX(MUSTERILER!$B$7:$B$156,MATCH($E138,MUSTERILER!$B$7:$B$156,0)),IFERROR(INDEX(MUSTERILER!$B$7:$B$156,MATCH($U138&amp;"*",MUSTERILER!$T$7:$T$156,0)),"TANIMSIZ MÜŞTERİ"))))</f>
        <v/>
      </c>
      <c r="E138" s="61"/>
      <c r="F138" s="61"/>
      <c r="G138" s="60"/>
      <c r="H138" s="66"/>
      <c r="I138" s="66"/>
      <c r="J138" s="60"/>
      <c r="K138" s="60"/>
      <c r="L138" s="61"/>
      <c r="M138" s="61"/>
      <c r="N138" s="61"/>
      <c r="O138" s="66"/>
      <c r="P138" s="76" t="str">
        <f t="shared" ca="1" si="9"/>
        <v/>
      </c>
      <c r="Q138" s="65" t="str">
        <f t="shared" ca="1" si="10"/>
        <v/>
      </c>
      <c r="R138" s="2"/>
      <c r="S138" s="2"/>
      <c r="T138" s="1"/>
      <c r="U138" s="1" t="str">
        <f t="shared" si="11"/>
        <v/>
      </c>
    </row>
    <row r="139" spans="1:21" ht="18" customHeight="1" x14ac:dyDescent="0.3">
      <c r="A139" s="2"/>
      <c r="B139" s="65" t="str">
        <f t="shared" si="8"/>
        <v/>
      </c>
      <c r="C139" s="60"/>
      <c r="D139" s="65" t="str">
        <f>IF($E139="","",IFERROR(INDEX(MUSTERILER!$B$7:$B$156,MATCH($U139,MUSTERILER!$T$7:$T$156,0)),IFERROR(INDEX(MUSTERILER!$B$7:$B$156,MATCH($E139,MUSTERILER!$B$7:$B$156,0)),IFERROR(INDEX(MUSTERILER!$B$7:$B$156,MATCH($U139&amp;"*",MUSTERILER!$T$7:$T$156,0)),"TANIMSIZ MÜŞTERİ"))))</f>
        <v/>
      </c>
      <c r="E139" s="61"/>
      <c r="F139" s="61"/>
      <c r="G139" s="60"/>
      <c r="H139" s="66"/>
      <c r="I139" s="66"/>
      <c r="J139" s="60"/>
      <c r="K139" s="60"/>
      <c r="L139" s="61"/>
      <c r="M139" s="61"/>
      <c r="N139" s="61"/>
      <c r="O139" s="66"/>
      <c r="P139" s="76" t="str">
        <f t="shared" ca="1" si="9"/>
        <v/>
      </c>
      <c r="Q139" s="65" t="str">
        <f t="shared" ca="1" si="10"/>
        <v/>
      </c>
      <c r="R139" s="2"/>
      <c r="S139" s="2"/>
      <c r="T139" s="1"/>
      <c r="U139" s="1" t="str">
        <f t="shared" si="11"/>
        <v/>
      </c>
    </row>
    <row r="140" spans="1:21" ht="18" customHeight="1" x14ac:dyDescent="0.3">
      <c r="A140" s="2"/>
      <c r="B140" s="65" t="str">
        <f t="shared" si="8"/>
        <v/>
      </c>
      <c r="C140" s="60"/>
      <c r="D140" s="65" t="str">
        <f>IF($E140="","",IFERROR(INDEX(MUSTERILER!$B$7:$B$156,MATCH($U140,MUSTERILER!$T$7:$T$156,0)),IFERROR(INDEX(MUSTERILER!$B$7:$B$156,MATCH($E140,MUSTERILER!$B$7:$B$156,0)),IFERROR(INDEX(MUSTERILER!$B$7:$B$156,MATCH($U140&amp;"*",MUSTERILER!$T$7:$T$156,0)),"TANIMSIZ MÜŞTERİ"))))</f>
        <v/>
      </c>
      <c r="E140" s="61"/>
      <c r="F140" s="61"/>
      <c r="G140" s="60"/>
      <c r="H140" s="66"/>
      <c r="I140" s="66"/>
      <c r="J140" s="60"/>
      <c r="K140" s="60"/>
      <c r="L140" s="61"/>
      <c r="M140" s="61"/>
      <c r="N140" s="61"/>
      <c r="O140" s="66"/>
      <c r="P140" s="76" t="str">
        <f t="shared" ca="1" si="9"/>
        <v/>
      </c>
      <c r="Q140" s="65" t="str">
        <f t="shared" ca="1" si="10"/>
        <v/>
      </c>
      <c r="R140" s="2"/>
      <c r="S140" s="2"/>
      <c r="T140" s="1"/>
      <c r="U140" s="1" t="str">
        <f t="shared" si="11"/>
        <v/>
      </c>
    </row>
    <row r="141" spans="1:21" ht="18" customHeight="1" x14ac:dyDescent="0.3">
      <c r="A141" s="2"/>
      <c r="B141" s="65" t="str">
        <f t="shared" si="8"/>
        <v/>
      </c>
      <c r="C141" s="60"/>
      <c r="D141" s="65" t="str">
        <f>IF($E141="","",IFERROR(INDEX(MUSTERILER!$B$7:$B$156,MATCH($U141,MUSTERILER!$T$7:$T$156,0)),IFERROR(INDEX(MUSTERILER!$B$7:$B$156,MATCH($E141,MUSTERILER!$B$7:$B$156,0)),IFERROR(INDEX(MUSTERILER!$B$7:$B$156,MATCH($U141&amp;"*",MUSTERILER!$T$7:$T$156,0)),"TANIMSIZ MÜŞTERİ"))))</f>
        <v/>
      </c>
      <c r="E141" s="61"/>
      <c r="F141" s="61"/>
      <c r="G141" s="60"/>
      <c r="H141" s="66"/>
      <c r="I141" s="66"/>
      <c r="J141" s="60"/>
      <c r="K141" s="60"/>
      <c r="L141" s="61"/>
      <c r="M141" s="61"/>
      <c r="N141" s="61"/>
      <c r="O141" s="66"/>
      <c r="P141" s="76" t="str">
        <f t="shared" ca="1" si="9"/>
        <v/>
      </c>
      <c r="Q141" s="65" t="str">
        <f t="shared" ca="1" si="10"/>
        <v/>
      </c>
      <c r="R141" s="2"/>
      <c r="S141" s="2"/>
      <c r="T141" s="1"/>
      <c r="U141" s="1" t="str">
        <f t="shared" si="11"/>
        <v/>
      </c>
    </row>
    <row r="142" spans="1:21" ht="18" customHeight="1" x14ac:dyDescent="0.3">
      <c r="A142" s="2"/>
      <c r="B142" s="65" t="str">
        <f t="shared" si="8"/>
        <v/>
      </c>
      <c r="C142" s="60"/>
      <c r="D142" s="65" t="str">
        <f>IF($E142="","",IFERROR(INDEX(MUSTERILER!$B$7:$B$156,MATCH($U142,MUSTERILER!$T$7:$T$156,0)),IFERROR(INDEX(MUSTERILER!$B$7:$B$156,MATCH($E142,MUSTERILER!$B$7:$B$156,0)),IFERROR(INDEX(MUSTERILER!$B$7:$B$156,MATCH($U142&amp;"*",MUSTERILER!$T$7:$T$156,0)),"TANIMSIZ MÜŞTERİ"))))</f>
        <v/>
      </c>
      <c r="E142" s="61"/>
      <c r="F142" s="61"/>
      <c r="G142" s="60"/>
      <c r="H142" s="66"/>
      <c r="I142" s="66"/>
      <c r="J142" s="60"/>
      <c r="K142" s="60"/>
      <c r="L142" s="61"/>
      <c r="M142" s="61"/>
      <c r="N142" s="61"/>
      <c r="O142" s="66"/>
      <c r="P142" s="76" t="str">
        <f t="shared" ca="1" si="9"/>
        <v/>
      </c>
      <c r="Q142" s="65" t="str">
        <f t="shared" ca="1" si="10"/>
        <v/>
      </c>
      <c r="R142" s="2"/>
      <c r="S142" s="2"/>
      <c r="T142" s="1"/>
      <c r="U142" s="1" t="str">
        <f t="shared" si="11"/>
        <v/>
      </c>
    </row>
    <row r="143" spans="1:21" ht="18" customHeight="1" x14ac:dyDescent="0.3">
      <c r="A143" s="2"/>
      <c r="B143" s="65" t="str">
        <f t="shared" si="8"/>
        <v/>
      </c>
      <c r="C143" s="60"/>
      <c r="D143" s="65" t="str">
        <f>IF($E143="","",IFERROR(INDEX(MUSTERILER!$B$7:$B$156,MATCH($U143,MUSTERILER!$T$7:$T$156,0)),IFERROR(INDEX(MUSTERILER!$B$7:$B$156,MATCH($E143,MUSTERILER!$B$7:$B$156,0)),IFERROR(INDEX(MUSTERILER!$B$7:$B$156,MATCH($U143&amp;"*",MUSTERILER!$T$7:$T$156,0)),"TANIMSIZ MÜŞTERİ"))))</f>
        <v/>
      </c>
      <c r="E143" s="61"/>
      <c r="F143" s="61"/>
      <c r="G143" s="60"/>
      <c r="H143" s="66"/>
      <c r="I143" s="66"/>
      <c r="J143" s="60"/>
      <c r="K143" s="60"/>
      <c r="L143" s="61"/>
      <c r="M143" s="61"/>
      <c r="N143" s="61"/>
      <c r="O143" s="66"/>
      <c r="P143" s="76" t="str">
        <f t="shared" ca="1" si="9"/>
        <v/>
      </c>
      <c r="Q143" s="65" t="str">
        <f t="shared" ca="1" si="10"/>
        <v/>
      </c>
      <c r="R143" s="2"/>
      <c r="S143" s="2"/>
      <c r="T143" s="1"/>
      <c r="U143" s="1" t="str">
        <f t="shared" si="11"/>
        <v/>
      </c>
    </row>
    <row r="144" spans="1:21" ht="18" customHeight="1" x14ac:dyDescent="0.3">
      <c r="A144" s="2"/>
      <c r="B144" s="65" t="str">
        <f t="shared" si="8"/>
        <v/>
      </c>
      <c r="C144" s="60"/>
      <c r="D144" s="65" t="str">
        <f>IF($E144="","",IFERROR(INDEX(MUSTERILER!$B$7:$B$156,MATCH($U144,MUSTERILER!$T$7:$T$156,0)),IFERROR(INDEX(MUSTERILER!$B$7:$B$156,MATCH($E144,MUSTERILER!$B$7:$B$156,0)),IFERROR(INDEX(MUSTERILER!$B$7:$B$156,MATCH($U144&amp;"*",MUSTERILER!$T$7:$T$156,0)),"TANIMSIZ MÜŞTERİ"))))</f>
        <v/>
      </c>
      <c r="E144" s="61"/>
      <c r="F144" s="61"/>
      <c r="G144" s="60"/>
      <c r="H144" s="66"/>
      <c r="I144" s="66"/>
      <c r="J144" s="60"/>
      <c r="K144" s="60"/>
      <c r="L144" s="61"/>
      <c r="M144" s="61"/>
      <c r="N144" s="61"/>
      <c r="O144" s="66"/>
      <c r="P144" s="76" t="str">
        <f t="shared" ca="1" si="9"/>
        <v/>
      </c>
      <c r="Q144" s="65" t="str">
        <f t="shared" ca="1" si="10"/>
        <v/>
      </c>
      <c r="R144" s="2"/>
      <c r="S144" s="2"/>
      <c r="T144" s="1"/>
      <c r="U144" s="1" t="str">
        <f t="shared" si="11"/>
        <v/>
      </c>
    </row>
    <row r="145" spans="1:21" ht="18" customHeight="1" x14ac:dyDescent="0.3">
      <c r="A145" s="2"/>
      <c r="B145" s="65" t="str">
        <f t="shared" si="8"/>
        <v/>
      </c>
      <c r="C145" s="60"/>
      <c r="D145" s="65" t="str">
        <f>IF($E145="","",IFERROR(INDEX(MUSTERILER!$B$7:$B$156,MATCH($U145,MUSTERILER!$T$7:$T$156,0)),IFERROR(INDEX(MUSTERILER!$B$7:$B$156,MATCH($E145,MUSTERILER!$B$7:$B$156,0)),IFERROR(INDEX(MUSTERILER!$B$7:$B$156,MATCH($U145&amp;"*",MUSTERILER!$T$7:$T$156,0)),"TANIMSIZ MÜŞTERİ"))))</f>
        <v/>
      </c>
      <c r="E145" s="61"/>
      <c r="F145" s="61"/>
      <c r="G145" s="60"/>
      <c r="H145" s="66"/>
      <c r="I145" s="66"/>
      <c r="J145" s="60"/>
      <c r="K145" s="60"/>
      <c r="L145" s="61"/>
      <c r="M145" s="61"/>
      <c r="N145" s="61"/>
      <c r="O145" s="66"/>
      <c r="P145" s="76" t="str">
        <f t="shared" ca="1" si="9"/>
        <v/>
      </c>
      <c r="Q145" s="65" t="str">
        <f t="shared" ca="1" si="10"/>
        <v/>
      </c>
      <c r="R145" s="2"/>
      <c r="S145" s="2"/>
      <c r="T145" s="1"/>
      <c r="U145" s="1" t="str">
        <f t="shared" si="11"/>
        <v/>
      </c>
    </row>
    <row r="146" spans="1:21" ht="18" customHeight="1" x14ac:dyDescent="0.3">
      <c r="A146" s="2"/>
      <c r="B146" s="65" t="str">
        <f t="shared" si="8"/>
        <v/>
      </c>
      <c r="C146" s="60"/>
      <c r="D146" s="65" t="str">
        <f>IF($E146="","",IFERROR(INDEX(MUSTERILER!$B$7:$B$156,MATCH($U146,MUSTERILER!$T$7:$T$156,0)),IFERROR(INDEX(MUSTERILER!$B$7:$B$156,MATCH($E146,MUSTERILER!$B$7:$B$156,0)),IFERROR(INDEX(MUSTERILER!$B$7:$B$156,MATCH($U146&amp;"*",MUSTERILER!$T$7:$T$156,0)),"TANIMSIZ MÜŞTERİ"))))</f>
        <v/>
      </c>
      <c r="E146" s="61"/>
      <c r="F146" s="61"/>
      <c r="G146" s="60"/>
      <c r="H146" s="66"/>
      <c r="I146" s="66"/>
      <c r="J146" s="60"/>
      <c r="K146" s="60"/>
      <c r="L146" s="61"/>
      <c r="M146" s="61"/>
      <c r="N146" s="61"/>
      <c r="O146" s="66"/>
      <c r="P146" s="76" t="str">
        <f t="shared" ca="1" si="9"/>
        <v/>
      </c>
      <c r="Q146" s="65" t="str">
        <f t="shared" ca="1" si="10"/>
        <v/>
      </c>
      <c r="R146" s="2"/>
      <c r="S146" s="2"/>
      <c r="T146" s="1"/>
      <c r="U146" s="1" t="str">
        <f t="shared" si="11"/>
        <v/>
      </c>
    </row>
    <row r="147" spans="1:21" ht="18" customHeight="1" x14ac:dyDescent="0.3">
      <c r="A147" s="2"/>
      <c r="B147" s="65" t="str">
        <f t="shared" si="8"/>
        <v/>
      </c>
      <c r="C147" s="60"/>
      <c r="D147" s="65" t="str">
        <f>IF($E147="","",IFERROR(INDEX(MUSTERILER!$B$7:$B$156,MATCH($U147,MUSTERILER!$T$7:$T$156,0)),IFERROR(INDEX(MUSTERILER!$B$7:$B$156,MATCH($E147,MUSTERILER!$B$7:$B$156,0)),IFERROR(INDEX(MUSTERILER!$B$7:$B$156,MATCH($U147&amp;"*",MUSTERILER!$T$7:$T$156,0)),"TANIMSIZ MÜŞTERİ"))))</f>
        <v/>
      </c>
      <c r="E147" s="61"/>
      <c r="F147" s="61"/>
      <c r="G147" s="60"/>
      <c r="H147" s="66"/>
      <c r="I147" s="66"/>
      <c r="J147" s="60"/>
      <c r="K147" s="60"/>
      <c r="L147" s="61"/>
      <c r="M147" s="61"/>
      <c r="N147" s="61"/>
      <c r="O147" s="66"/>
      <c r="P147" s="76" t="str">
        <f t="shared" ca="1" si="9"/>
        <v/>
      </c>
      <c r="Q147" s="65" t="str">
        <f t="shared" ca="1" si="10"/>
        <v/>
      </c>
      <c r="R147" s="2"/>
      <c r="S147" s="2"/>
      <c r="T147" s="1"/>
      <c r="U147" s="1" t="str">
        <f t="shared" si="11"/>
        <v/>
      </c>
    </row>
    <row r="148" spans="1:21" ht="18" customHeight="1" x14ac:dyDescent="0.3">
      <c r="A148" s="2"/>
      <c r="B148" s="65" t="str">
        <f t="shared" si="8"/>
        <v/>
      </c>
      <c r="C148" s="60"/>
      <c r="D148" s="65" t="str">
        <f>IF($E148="","",IFERROR(INDEX(MUSTERILER!$B$7:$B$156,MATCH($U148,MUSTERILER!$T$7:$T$156,0)),IFERROR(INDEX(MUSTERILER!$B$7:$B$156,MATCH($E148,MUSTERILER!$B$7:$B$156,0)),IFERROR(INDEX(MUSTERILER!$B$7:$B$156,MATCH($U148&amp;"*",MUSTERILER!$T$7:$T$156,0)),"TANIMSIZ MÜŞTERİ"))))</f>
        <v/>
      </c>
      <c r="E148" s="61"/>
      <c r="F148" s="61"/>
      <c r="G148" s="60"/>
      <c r="H148" s="66"/>
      <c r="I148" s="66"/>
      <c r="J148" s="60"/>
      <c r="K148" s="60"/>
      <c r="L148" s="61"/>
      <c r="M148" s="61"/>
      <c r="N148" s="61"/>
      <c r="O148" s="66"/>
      <c r="P148" s="76" t="str">
        <f t="shared" ca="1" si="9"/>
        <v/>
      </c>
      <c r="Q148" s="65" t="str">
        <f t="shared" ca="1" si="10"/>
        <v/>
      </c>
      <c r="R148" s="2"/>
      <c r="S148" s="2"/>
      <c r="T148" s="1"/>
      <c r="U148" s="1" t="str">
        <f t="shared" si="11"/>
        <v/>
      </c>
    </row>
    <row r="149" spans="1:21" ht="18" customHeight="1" x14ac:dyDescent="0.3">
      <c r="A149" s="2"/>
      <c r="B149" s="65" t="str">
        <f t="shared" si="8"/>
        <v/>
      </c>
      <c r="C149" s="60"/>
      <c r="D149" s="65" t="str">
        <f>IF($E149="","",IFERROR(INDEX(MUSTERILER!$B$7:$B$156,MATCH($U149,MUSTERILER!$T$7:$T$156,0)),IFERROR(INDEX(MUSTERILER!$B$7:$B$156,MATCH($E149,MUSTERILER!$B$7:$B$156,0)),IFERROR(INDEX(MUSTERILER!$B$7:$B$156,MATCH($U149&amp;"*",MUSTERILER!$T$7:$T$156,0)),"TANIMSIZ MÜŞTERİ"))))</f>
        <v/>
      </c>
      <c r="E149" s="61"/>
      <c r="F149" s="61"/>
      <c r="G149" s="60"/>
      <c r="H149" s="66"/>
      <c r="I149" s="66"/>
      <c r="J149" s="60"/>
      <c r="K149" s="60"/>
      <c r="L149" s="61"/>
      <c r="M149" s="61"/>
      <c r="N149" s="61"/>
      <c r="O149" s="66"/>
      <c r="P149" s="76" t="str">
        <f t="shared" ca="1" si="9"/>
        <v/>
      </c>
      <c r="Q149" s="65" t="str">
        <f t="shared" ca="1" si="10"/>
        <v/>
      </c>
      <c r="R149" s="2"/>
      <c r="S149" s="2"/>
      <c r="T149" s="1"/>
      <c r="U149" s="1" t="str">
        <f t="shared" si="11"/>
        <v/>
      </c>
    </row>
    <row r="150" spans="1:21" ht="18" customHeight="1" x14ac:dyDescent="0.3">
      <c r="A150" s="2"/>
      <c r="B150" s="65" t="str">
        <f t="shared" si="8"/>
        <v/>
      </c>
      <c r="C150" s="60"/>
      <c r="D150" s="65" t="str">
        <f>IF($E150="","",IFERROR(INDEX(MUSTERILER!$B$7:$B$156,MATCH($U150,MUSTERILER!$T$7:$T$156,0)),IFERROR(INDEX(MUSTERILER!$B$7:$B$156,MATCH($E150,MUSTERILER!$B$7:$B$156,0)),IFERROR(INDEX(MUSTERILER!$B$7:$B$156,MATCH($U150&amp;"*",MUSTERILER!$T$7:$T$156,0)),"TANIMSIZ MÜŞTERİ"))))</f>
        <v/>
      </c>
      <c r="E150" s="61"/>
      <c r="F150" s="61"/>
      <c r="G150" s="60"/>
      <c r="H150" s="66"/>
      <c r="I150" s="66"/>
      <c r="J150" s="60"/>
      <c r="K150" s="60"/>
      <c r="L150" s="61"/>
      <c r="M150" s="61"/>
      <c r="N150" s="61"/>
      <c r="O150" s="66"/>
      <c r="P150" s="76" t="str">
        <f t="shared" ca="1" si="9"/>
        <v/>
      </c>
      <c r="Q150" s="65" t="str">
        <f t="shared" ca="1" si="10"/>
        <v/>
      </c>
      <c r="R150" s="2"/>
      <c r="S150" s="2"/>
      <c r="T150" s="1"/>
      <c r="U150" s="1" t="str">
        <f t="shared" si="11"/>
        <v/>
      </c>
    </row>
    <row r="151" spans="1:21" ht="18" customHeight="1" x14ac:dyDescent="0.3">
      <c r="A151" s="2"/>
      <c r="B151" s="65" t="str">
        <f t="shared" si="8"/>
        <v/>
      </c>
      <c r="C151" s="60"/>
      <c r="D151" s="65" t="str">
        <f>IF($E151="","",IFERROR(INDEX(MUSTERILER!$B$7:$B$156,MATCH($U151,MUSTERILER!$T$7:$T$156,0)),IFERROR(INDEX(MUSTERILER!$B$7:$B$156,MATCH($E151,MUSTERILER!$B$7:$B$156,0)),IFERROR(INDEX(MUSTERILER!$B$7:$B$156,MATCH($U151&amp;"*",MUSTERILER!$T$7:$T$156,0)),"TANIMSIZ MÜŞTERİ"))))</f>
        <v/>
      </c>
      <c r="E151" s="61"/>
      <c r="F151" s="61"/>
      <c r="G151" s="60"/>
      <c r="H151" s="66"/>
      <c r="I151" s="66"/>
      <c r="J151" s="60"/>
      <c r="K151" s="60"/>
      <c r="L151" s="61"/>
      <c r="M151" s="61"/>
      <c r="N151" s="61"/>
      <c r="O151" s="66"/>
      <c r="P151" s="76" t="str">
        <f t="shared" ca="1" si="9"/>
        <v/>
      </c>
      <c r="Q151" s="65" t="str">
        <f t="shared" ca="1" si="10"/>
        <v/>
      </c>
      <c r="R151" s="2"/>
      <c r="S151" s="2"/>
      <c r="T151" s="1"/>
      <c r="U151" s="1" t="str">
        <f t="shared" si="11"/>
        <v/>
      </c>
    </row>
    <row r="152" spans="1:21" ht="18" customHeight="1" x14ac:dyDescent="0.3">
      <c r="A152" s="2"/>
      <c r="B152" s="65" t="str">
        <f t="shared" si="8"/>
        <v/>
      </c>
      <c r="C152" s="60"/>
      <c r="D152" s="65" t="str">
        <f>IF($E152="","",IFERROR(INDEX(MUSTERILER!$B$7:$B$156,MATCH($U152,MUSTERILER!$T$7:$T$156,0)),IFERROR(INDEX(MUSTERILER!$B$7:$B$156,MATCH($E152,MUSTERILER!$B$7:$B$156,0)),IFERROR(INDEX(MUSTERILER!$B$7:$B$156,MATCH($U152&amp;"*",MUSTERILER!$T$7:$T$156,0)),"TANIMSIZ MÜŞTERİ"))))</f>
        <v/>
      </c>
      <c r="E152" s="61"/>
      <c r="F152" s="61"/>
      <c r="G152" s="60"/>
      <c r="H152" s="66"/>
      <c r="I152" s="66"/>
      <c r="J152" s="60"/>
      <c r="K152" s="60"/>
      <c r="L152" s="61"/>
      <c r="M152" s="61"/>
      <c r="N152" s="61"/>
      <c r="O152" s="66"/>
      <c r="P152" s="76" t="str">
        <f t="shared" ca="1" si="9"/>
        <v/>
      </c>
      <c r="Q152" s="65" t="str">
        <f t="shared" ca="1" si="10"/>
        <v/>
      </c>
      <c r="R152" s="2"/>
      <c r="S152" s="2"/>
      <c r="T152" s="1"/>
      <c r="U152" s="1" t="str">
        <f t="shared" si="11"/>
        <v/>
      </c>
    </row>
    <row r="153" spans="1:21" ht="18" customHeight="1" x14ac:dyDescent="0.3">
      <c r="A153" s="2"/>
      <c r="B153" s="65" t="str">
        <f t="shared" si="8"/>
        <v/>
      </c>
      <c r="C153" s="60"/>
      <c r="D153" s="65" t="str">
        <f>IF($E153="","",IFERROR(INDEX(MUSTERILER!$B$7:$B$156,MATCH($U153,MUSTERILER!$T$7:$T$156,0)),IFERROR(INDEX(MUSTERILER!$B$7:$B$156,MATCH($E153,MUSTERILER!$B$7:$B$156,0)),IFERROR(INDEX(MUSTERILER!$B$7:$B$156,MATCH($U153&amp;"*",MUSTERILER!$T$7:$T$156,0)),"TANIMSIZ MÜŞTERİ"))))</f>
        <v/>
      </c>
      <c r="E153" s="61"/>
      <c r="F153" s="61"/>
      <c r="G153" s="60"/>
      <c r="H153" s="66"/>
      <c r="I153" s="66"/>
      <c r="J153" s="60"/>
      <c r="K153" s="60"/>
      <c r="L153" s="61"/>
      <c r="M153" s="61"/>
      <c r="N153" s="61"/>
      <c r="O153" s="66"/>
      <c r="P153" s="76" t="str">
        <f t="shared" ca="1" si="9"/>
        <v/>
      </c>
      <c r="Q153" s="65" t="str">
        <f t="shared" ca="1" si="10"/>
        <v/>
      </c>
      <c r="R153" s="2"/>
      <c r="S153" s="2"/>
      <c r="T153" s="1"/>
      <c r="U153" s="1" t="str">
        <f t="shared" si="11"/>
        <v/>
      </c>
    </row>
    <row r="154" spans="1:21" ht="18" customHeight="1" x14ac:dyDescent="0.3">
      <c r="A154" s="2"/>
      <c r="B154" s="65" t="str">
        <f t="shared" si="8"/>
        <v/>
      </c>
      <c r="C154" s="60"/>
      <c r="D154" s="65" t="str">
        <f>IF($E154="","",IFERROR(INDEX(MUSTERILER!$B$7:$B$156,MATCH($U154,MUSTERILER!$T$7:$T$156,0)),IFERROR(INDEX(MUSTERILER!$B$7:$B$156,MATCH($E154,MUSTERILER!$B$7:$B$156,0)),IFERROR(INDEX(MUSTERILER!$B$7:$B$156,MATCH($U154&amp;"*",MUSTERILER!$T$7:$T$156,0)),"TANIMSIZ MÜŞTERİ"))))</f>
        <v/>
      </c>
      <c r="E154" s="61"/>
      <c r="F154" s="61"/>
      <c r="G154" s="60"/>
      <c r="H154" s="66"/>
      <c r="I154" s="66"/>
      <c r="J154" s="60"/>
      <c r="K154" s="60"/>
      <c r="L154" s="61"/>
      <c r="M154" s="61"/>
      <c r="N154" s="61"/>
      <c r="O154" s="66"/>
      <c r="P154" s="76" t="str">
        <f t="shared" ca="1" si="9"/>
        <v/>
      </c>
      <c r="Q154" s="65" t="str">
        <f t="shared" ca="1" si="10"/>
        <v/>
      </c>
      <c r="R154" s="2"/>
      <c r="S154" s="2"/>
      <c r="T154" s="1"/>
      <c r="U154" s="1" t="str">
        <f t="shared" si="11"/>
        <v/>
      </c>
    </row>
    <row r="155" spans="1:21" ht="18" customHeight="1" x14ac:dyDescent="0.3">
      <c r="A155" s="2"/>
      <c r="B155" s="65" t="str">
        <f t="shared" si="8"/>
        <v/>
      </c>
      <c r="C155" s="60"/>
      <c r="D155" s="65" t="str">
        <f>IF($E155="","",IFERROR(INDEX(MUSTERILER!$B$7:$B$156,MATCH($U155,MUSTERILER!$T$7:$T$156,0)),IFERROR(INDEX(MUSTERILER!$B$7:$B$156,MATCH($E155,MUSTERILER!$B$7:$B$156,0)),IFERROR(INDEX(MUSTERILER!$B$7:$B$156,MATCH($U155&amp;"*",MUSTERILER!$T$7:$T$156,0)),"TANIMSIZ MÜŞTERİ"))))</f>
        <v/>
      </c>
      <c r="E155" s="61"/>
      <c r="F155" s="61"/>
      <c r="G155" s="60"/>
      <c r="H155" s="66"/>
      <c r="I155" s="66"/>
      <c r="J155" s="60"/>
      <c r="K155" s="60"/>
      <c r="L155" s="61"/>
      <c r="M155" s="61"/>
      <c r="N155" s="61"/>
      <c r="O155" s="66"/>
      <c r="P155" s="76" t="str">
        <f t="shared" ca="1" si="9"/>
        <v/>
      </c>
      <c r="Q155" s="65" t="str">
        <f t="shared" ca="1" si="10"/>
        <v/>
      </c>
      <c r="R155" s="2"/>
      <c r="S155" s="2"/>
      <c r="T155" s="1"/>
      <c r="U155" s="1" t="str">
        <f t="shared" si="11"/>
        <v/>
      </c>
    </row>
    <row r="156" spans="1:21" ht="18" customHeight="1" x14ac:dyDescent="0.3">
      <c r="A156" s="2"/>
      <c r="B156" s="65" t="str">
        <f t="shared" si="8"/>
        <v/>
      </c>
      <c r="C156" s="60"/>
      <c r="D156" s="65" t="str">
        <f>IF($E156="","",IFERROR(INDEX(MUSTERILER!$B$7:$B$156,MATCH($U156,MUSTERILER!$T$7:$T$156,0)),IFERROR(INDEX(MUSTERILER!$B$7:$B$156,MATCH($E156,MUSTERILER!$B$7:$B$156,0)),IFERROR(INDEX(MUSTERILER!$B$7:$B$156,MATCH($U156&amp;"*",MUSTERILER!$T$7:$T$156,0)),"TANIMSIZ MÜŞTERİ"))))</f>
        <v/>
      </c>
      <c r="E156" s="61"/>
      <c r="F156" s="61"/>
      <c r="G156" s="60"/>
      <c r="H156" s="66"/>
      <c r="I156" s="66"/>
      <c r="J156" s="60"/>
      <c r="K156" s="60"/>
      <c r="L156" s="61"/>
      <c r="M156" s="61"/>
      <c r="N156" s="61"/>
      <c r="O156" s="66"/>
      <c r="P156" s="76" t="str">
        <f t="shared" ca="1" si="9"/>
        <v/>
      </c>
      <c r="Q156" s="65" t="str">
        <f t="shared" ca="1" si="10"/>
        <v/>
      </c>
      <c r="R156" s="2"/>
      <c r="S156" s="2"/>
      <c r="T156" s="1"/>
      <c r="U156" s="1" t="str">
        <f t="shared" si="11"/>
        <v/>
      </c>
    </row>
    <row r="157" spans="1:21" ht="18" customHeight="1" x14ac:dyDescent="0.3">
      <c r="A157" s="2"/>
      <c r="B157" s="65" t="str">
        <f t="shared" si="8"/>
        <v/>
      </c>
      <c r="C157" s="60"/>
      <c r="D157" s="65" t="str">
        <f>IF($E157="","",IFERROR(INDEX(MUSTERILER!$B$7:$B$156,MATCH($U157,MUSTERILER!$T$7:$T$156,0)),IFERROR(INDEX(MUSTERILER!$B$7:$B$156,MATCH($E157,MUSTERILER!$B$7:$B$156,0)),IFERROR(INDEX(MUSTERILER!$B$7:$B$156,MATCH($U157&amp;"*",MUSTERILER!$T$7:$T$156,0)),"TANIMSIZ MÜŞTERİ"))))</f>
        <v/>
      </c>
      <c r="E157" s="61"/>
      <c r="F157" s="61"/>
      <c r="G157" s="60"/>
      <c r="H157" s="66"/>
      <c r="I157" s="66"/>
      <c r="J157" s="60"/>
      <c r="K157" s="60"/>
      <c r="L157" s="61"/>
      <c r="M157" s="61"/>
      <c r="N157" s="61"/>
      <c r="O157" s="66"/>
      <c r="P157" s="76" t="str">
        <f t="shared" ca="1" si="9"/>
        <v/>
      </c>
      <c r="Q157" s="65" t="str">
        <f t="shared" ca="1" si="10"/>
        <v/>
      </c>
      <c r="R157" s="2"/>
      <c r="S157" s="2"/>
      <c r="T157" s="1"/>
      <c r="U157" s="1" t="str">
        <f t="shared" si="11"/>
        <v/>
      </c>
    </row>
    <row r="158" spans="1:21" ht="18" customHeight="1" x14ac:dyDescent="0.3">
      <c r="A158" s="2"/>
      <c r="B158" s="65" t="str">
        <f t="shared" si="8"/>
        <v/>
      </c>
      <c r="C158" s="60"/>
      <c r="D158" s="65" t="str">
        <f>IF($E158="","",IFERROR(INDEX(MUSTERILER!$B$7:$B$156,MATCH($U158,MUSTERILER!$T$7:$T$156,0)),IFERROR(INDEX(MUSTERILER!$B$7:$B$156,MATCH($E158,MUSTERILER!$B$7:$B$156,0)),IFERROR(INDEX(MUSTERILER!$B$7:$B$156,MATCH($U158&amp;"*",MUSTERILER!$T$7:$T$156,0)),"TANIMSIZ MÜŞTERİ"))))</f>
        <v/>
      </c>
      <c r="E158" s="61"/>
      <c r="F158" s="61"/>
      <c r="G158" s="60"/>
      <c r="H158" s="66"/>
      <c r="I158" s="66"/>
      <c r="J158" s="60"/>
      <c r="K158" s="60"/>
      <c r="L158" s="61"/>
      <c r="M158" s="61"/>
      <c r="N158" s="61"/>
      <c r="O158" s="66"/>
      <c r="P158" s="76" t="str">
        <f t="shared" ca="1" si="9"/>
        <v/>
      </c>
      <c r="Q158" s="65" t="str">
        <f t="shared" ca="1" si="10"/>
        <v/>
      </c>
      <c r="R158" s="2"/>
      <c r="S158" s="2"/>
      <c r="T158" s="1"/>
      <c r="U158" s="1" t="str">
        <f t="shared" si="11"/>
        <v/>
      </c>
    </row>
    <row r="159" spans="1:21" ht="18" customHeight="1" x14ac:dyDescent="0.3">
      <c r="A159" s="2"/>
      <c r="B159" s="65" t="str">
        <f t="shared" si="8"/>
        <v/>
      </c>
      <c r="C159" s="60"/>
      <c r="D159" s="65" t="str">
        <f>IF($E159="","",IFERROR(INDEX(MUSTERILER!$B$7:$B$156,MATCH($U159,MUSTERILER!$T$7:$T$156,0)),IFERROR(INDEX(MUSTERILER!$B$7:$B$156,MATCH($E159,MUSTERILER!$B$7:$B$156,0)),IFERROR(INDEX(MUSTERILER!$B$7:$B$156,MATCH($U159&amp;"*",MUSTERILER!$T$7:$T$156,0)),"TANIMSIZ MÜŞTERİ"))))</f>
        <v/>
      </c>
      <c r="E159" s="61"/>
      <c r="F159" s="61"/>
      <c r="G159" s="60"/>
      <c r="H159" s="66"/>
      <c r="I159" s="66"/>
      <c r="J159" s="60"/>
      <c r="K159" s="60"/>
      <c r="L159" s="61"/>
      <c r="M159" s="61"/>
      <c r="N159" s="61"/>
      <c r="O159" s="66"/>
      <c r="P159" s="76" t="str">
        <f t="shared" ca="1" si="9"/>
        <v/>
      </c>
      <c r="Q159" s="65" t="str">
        <f t="shared" ca="1" si="10"/>
        <v/>
      </c>
      <c r="R159" s="2"/>
      <c r="S159" s="2"/>
      <c r="T159" s="1"/>
      <c r="U159" s="1" t="str">
        <f t="shared" si="11"/>
        <v/>
      </c>
    </row>
    <row r="160" spans="1:21" ht="18" customHeight="1" x14ac:dyDescent="0.3">
      <c r="A160" s="2"/>
      <c r="B160" s="65" t="str">
        <f t="shared" si="8"/>
        <v/>
      </c>
      <c r="C160" s="60"/>
      <c r="D160" s="65" t="str">
        <f>IF($E160="","",IFERROR(INDEX(MUSTERILER!$B$7:$B$156,MATCH($U160,MUSTERILER!$T$7:$T$156,0)),IFERROR(INDEX(MUSTERILER!$B$7:$B$156,MATCH($E160,MUSTERILER!$B$7:$B$156,0)),IFERROR(INDEX(MUSTERILER!$B$7:$B$156,MATCH($U160&amp;"*",MUSTERILER!$T$7:$T$156,0)),"TANIMSIZ MÜŞTERİ"))))</f>
        <v/>
      </c>
      <c r="E160" s="61"/>
      <c r="F160" s="61"/>
      <c r="G160" s="60"/>
      <c r="H160" s="66"/>
      <c r="I160" s="66"/>
      <c r="J160" s="60"/>
      <c r="K160" s="60"/>
      <c r="L160" s="61"/>
      <c r="M160" s="61"/>
      <c r="N160" s="61"/>
      <c r="O160" s="66"/>
      <c r="P160" s="76" t="str">
        <f t="shared" ca="1" si="9"/>
        <v/>
      </c>
      <c r="Q160" s="65" t="str">
        <f t="shared" ca="1" si="10"/>
        <v/>
      </c>
      <c r="R160" s="2"/>
      <c r="S160" s="2"/>
      <c r="T160" s="1"/>
      <c r="U160" s="1" t="str">
        <f t="shared" si="11"/>
        <v/>
      </c>
    </row>
    <row r="161" spans="1:21" ht="18" customHeight="1" x14ac:dyDescent="0.3">
      <c r="A161" s="2"/>
      <c r="B161" s="65" t="str">
        <f t="shared" si="8"/>
        <v/>
      </c>
      <c r="C161" s="60"/>
      <c r="D161" s="65" t="str">
        <f>IF($E161="","",IFERROR(INDEX(MUSTERILER!$B$7:$B$156,MATCH($U161,MUSTERILER!$T$7:$T$156,0)),IFERROR(INDEX(MUSTERILER!$B$7:$B$156,MATCH($E161,MUSTERILER!$B$7:$B$156,0)),IFERROR(INDEX(MUSTERILER!$B$7:$B$156,MATCH($U161&amp;"*",MUSTERILER!$T$7:$T$156,0)),"TANIMSIZ MÜŞTERİ"))))</f>
        <v/>
      </c>
      <c r="E161" s="61"/>
      <c r="F161" s="61"/>
      <c r="G161" s="60"/>
      <c r="H161" s="66"/>
      <c r="I161" s="66"/>
      <c r="J161" s="60"/>
      <c r="K161" s="60"/>
      <c r="L161" s="61"/>
      <c r="M161" s="61"/>
      <c r="N161" s="61"/>
      <c r="O161" s="66"/>
      <c r="P161" s="76" t="str">
        <f t="shared" ca="1" si="9"/>
        <v/>
      </c>
      <c r="Q161" s="65" t="str">
        <f t="shared" ca="1" si="10"/>
        <v/>
      </c>
      <c r="R161" s="2"/>
      <c r="S161" s="2"/>
      <c r="T161" s="1"/>
      <c r="U161" s="1" t="str">
        <f t="shared" si="11"/>
        <v/>
      </c>
    </row>
    <row r="162" spans="1:21" ht="18" customHeight="1" x14ac:dyDescent="0.3">
      <c r="A162" s="2"/>
      <c r="B162" s="65" t="str">
        <f t="shared" si="8"/>
        <v/>
      </c>
      <c r="C162" s="60"/>
      <c r="D162" s="65" t="str">
        <f>IF($E162="","",IFERROR(INDEX(MUSTERILER!$B$7:$B$156,MATCH($U162,MUSTERILER!$T$7:$T$156,0)),IFERROR(INDEX(MUSTERILER!$B$7:$B$156,MATCH($E162,MUSTERILER!$B$7:$B$156,0)),IFERROR(INDEX(MUSTERILER!$B$7:$B$156,MATCH($U162&amp;"*",MUSTERILER!$T$7:$T$156,0)),"TANIMSIZ MÜŞTERİ"))))</f>
        <v/>
      </c>
      <c r="E162" s="61"/>
      <c r="F162" s="61"/>
      <c r="G162" s="60"/>
      <c r="H162" s="66"/>
      <c r="I162" s="66"/>
      <c r="J162" s="60"/>
      <c r="K162" s="60"/>
      <c r="L162" s="61"/>
      <c r="M162" s="61"/>
      <c r="N162" s="61"/>
      <c r="O162" s="66"/>
      <c r="P162" s="76" t="str">
        <f t="shared" ca="1" si="9"/>
        <v/>
      </c>
      <c r="Q162" s="65" t="str">
        <f t="shared" ca="1" si="10"/>
        <v/>
      </c>
      <c r="R162" s="2"/>
      <c r="S162" s="2"/>
      <c r="T162" s="1"/>
      <c r="U162" s="1" t="str">
        <f t="shared" si="11"/>
        <v/>
      </c>
    </row>
    <row r="163" spans="1:21" ht="18" customHeight="1" x14ac:dyDescent="0.3">
      <c r="A163" s="2"/>
      <c r="B163" s="65" t="str">
        <f t="shared" si="8"/>
        <v/>
      </c>
      <c r="C163" s="60"/>
      <c r="D163" s="65" t="str">
        <f>IF($E163="","",IFERROR(INDEX(MUSTERILER!$B$7:$B$156,MATCH($U163,MUSTERILER!$T$7:$T$156,0)),IFERROR(INDEX(MUSTERILER!$B$7:$B$156,MATCH($E163,MUSTERILER!$B$7:$B$156,0)),IFERROR(INDEX(MUSTERILER!$B$7:$B$156,MATCH($U163&amp;"*",MUSTERILER!$T$7:$T$156,0)),"TANIMSIZ MÜŞTERİ"))))</f>
        <v/>
      </c>
      <c r="E163" s="61"/>
      <c r="F163" s="61"/>
      <c r="G163" s="60"/>
      <c r="H163" s="66"/>
      <c r="I163" s="66"/>
      <c r="J163" s="60"/>
      <c r="K163" s="60"/>
      <c r="L163" s="61"/>
      <c r="M163" s="61"/>
      <c r="N163" s="61"/>
      <c r="O163" s="66"/>
      <c r="P163" s="76" t="str">
        <f t="shared" ca="1" si="9"/>
        <v/>
      </c>
      <c r="Q163" s="65" t="str">
        <f t="shared" ca="1" si="10"/>
        <v/>
      </c>
      <c r="R163" s="2"/>
      <c r="S163" s="2"/>
      <c r="T163" s="1"/>
      <c r="U163" s="1" t="str">
        <f t="shared" si="11"/>
        <v/>
      </c>
    </row>
    <row r="164" spans="1:21" ht="18" customHeight="1" x14ac:dyDescent="0.3">
      <c r="A164" s="2"/>
      <c r="B164" s="65" t="str">
        <f t="shared" si="8"/>
        <v/>
      </c>
      <c r="C164" s="60"/>
      <c r="D164" s="65" t="str">
        <f>IF($E164="","",IFERROR(INDEX(MUSTERILER!$B$7:$B$156,MATCH($U164,MUSTERILER!$T$7:$T$156,0)),IFERROR(INDEX(MUSTERILER!$B$7:$B$156,MATCH($E164,MUSTERILER!$B$7:$B$156,0)),IFERROR(INDEX(MUSTERILER!$B$7:$B$156,MATCH($U164&amp;"*",MUSTERILER!$T$7:$T$156,0)),"TANIMSIZ MÜŞTERİ"))))</f>
        <v/>
      </c>
      <c r="E164" s="61"/>
      <c r="F164" s="61"/>
      <c r="G164" s="60"/>
      <c r="H164" s="66"/>
      <c r="I164" s="66"/>
      <c r="J164" s="60"/>
      <c r="K164" s="60"/>
      <c r="L164" s="61"/>
      <c r="M164" s="61"/>
      <c r="N164" s="61"/>
      <c r="O164" s="66"/>
      <c r="P164" s="76" t="str">
        <f t="shared" ca="1" si="9"/>
        <v/>
      </c>
      <c r="Q164" s="65" t="str">
        <f t="shared" ca="1" si="10"/>
        <v/>
      </c>
      <c r="R164" s="2"/>
      <c r="S164" s="2"/>
      <c r="T164" s="1"/>
      <c r="U164" s="1" t="str">
        <f t="shared" si="11"/>
        <v/>
      </c>
    </row>
    <row r="165" spans="1:21" ht="18" customHeight="1" x14ac:dyDescent="0.3">
      <c r="A165" s="2"/>
      <c r="B165" s="65" t="str">
        <f t="shared" si="8"/>
        <v/>
      </c>
      <c r="C165" s="60"/>
      <c r="D165" s="65" t="str">
        <f>IF($E165="","",IFERROR(INDEX(MUSTERILER!$B$7:$B$156,MATCH($U165,MUSTERILER!$T$7:$T$156,0)),IFERROR(INDEX(MUSTERILER!$B$7:$B$156,MATCH($E165,MUSTERILER!$B$7:$B$156,0)),IFERROR(INDEX(MUSTERILER!$B$7:$B$156,MATCH($U165&amp;"*",MUSTERILER!$T$7:$T$156,0)),"TANIMSIZ MÜŞTERİ"))))</f>
        <v/>
      </c>
      <c r="E165" s="61"/>
      <c r="F165" s="61"/>
      <c r="G165" s="60"/>
      <c r="H165" s="66"/>
      <c r="I165" s="66"/>
      <c r="J165" s="60"/>
      <c r="K165" s="60"/>
      <c r="L165" s="61"/>
      <c r="M165" s="61"/>
      <c r="N165" s="61"/>
      <c r="O165" s="66"/>
      <c r="P165" s="76" t="str">
        <f t="shared" ca="1" si="9"/>
        <v/>
      </c>
      <c r="Q165" s="65" t="str">
        <f t="shared" ca="1" si="10"/>
        <v/>
      </c>
      <c r="R165" s="2"/>
      <c r="S165" s="2"/>
      <c r="T165" s="1"/>
      <c r="U165" s="1" t="str">
        <f t="shared" si="11"/>
        <v/>
      </c>
    </row>
    <row r="166" spans="1:21" ht="18" customHeight="1" x14ac:dyDescent="0.3">
      <c r="A166" s="2"/>
      <c r="B166" s="65" t="str">
        <f t="shared" si="8"/>
        <v/>
      </c>
      <c r="C166" s="60"/>
      <c r="D166" s="65" t="str">
        <f>IF($E166="","",IFERROR(INDEX(MUSTERILER!$B$7:$B$156,MATCH($U166,MUSTERILER!$T$7:$T$156,0)),IFERROR(INDEX(MUSTERILER!$B$7:$B$156,MATCH($E166,MUSTERILER!$B$7:$B$156,0)),IFERROR(INDEX(MUSTERILER!$B$7:$B$156,MATCH($U166&amp;"*",MUSTERILER!$T$7:$T$156,0)),"TANIMSIZ MÜŞTERİ"))))</f>
        <v/>
      </c>
      <c r="E166" s="61"/>
      <c r="F166" s="61"/>
      <c r="G166" s="60"/>
      <c r="H166" s="66"/>
      <c r="I166" s="66"/>
      <c r="J166" s="60"/>
      <c r="K166" s="60"/>
      <c r="L166" s="61"/>
      <c r="M166" s="61"/>
      <c r="N166" s="61"/>
      <c r="O166" s="66"/>
      <c r="P166" s="76" t="str">
        <f t="shared" ca="1" si="9"/>
        <v/>
      </c>
      <c r="Q166" s="65" t="str">
        <f t="shared" ca="1" si="10"/>
        <v/>
      </c>
      <c r="R166" s="2"/>
      <c r="S166" s="2"/>
      <c r="T166" s="1"/>
      <c r="U166" s="1" t="str">
        <f t="shared" si="11"/>
        <v/>
      </c>
    </row>
    <row r="167" spans="1:21" ht="18" customHeight="1" x14ac:dyDescent="0.3">
      <c r="A167" s="2"/>
      <c r="B167" s="65" t="str">
        <f t="shared" si="8"/>
        <v/>
      </c>
      <c r="C167" s="60"/>
      <c r="D167" s="65" t="str">
        <f>IF($E167="","",IFERROR(INDEX(MUSTERILER!$B$7:$B$156,MATCH($U167,MUSTERILER!$T$7:$T$156,0)),IFERROR(INDEX(MUSTERILER!$B$7:$B$156,MATCH($E167,MUSTERILER!$B$7:$B$156,0)),IFERROR(INDEX(MUSTERILER!$B$7:$B$156,MATCH($U167&amp;"*",MUSTERILER!$T$7:$T$156,0)),"TANIMSIZ MÜŞTERİ"))))</f>
        <v/>
      </c>
      <c r="E167" s="61"/>
      <c r="F167" s="61"/>
      <c r="G167" s="60"/>
      <c r="H167" s="66"/>
      <c r="I167" s="66"/>
      <c r="J167" s="60"/>
      <c r="K167" s="60"/>
      <c r="L167" s="61"/>
      <c r="M167" s="61"/>
      <c r="N167" s="61"/>
      <c r="O167" s="66"/>
      <c r="P167" s="76" t="str">
        <f t="shared" ca="1" si="9"/>
        <v/>
      </c>
      <c r="Q167" s="65" t="str">
        <f t="shared" ca="1" si="10"/>
        <v/>
      </c>
      <c r="R167" s="2"/>
      <c r="S167" s="2"/>
      <c r="T167" s="1"/>
      <c r="U167" s="1" t="str">
        <f t="shared" si="11"/>
        <v/>
      </c>
    </row>
    <row r="168" spans="1:21" ht="18" customHeight="1" x14ac:dyDescent="0.3">
      <c r="A168" s="2"/>
      <c r="B168" s="65" t="str">
        <f t="shared" si="8"/>
        <v/>
      </c>
      <c r="C168" s="60"/>
      <c r="D168" s="65" t="str">
        <f>IF($E168="","",IFERROR(INDEX(MUSTERILER!$B$7:$B$156,MATCH($U168,MUSTERILER!$T$7:$T$156,0)),IFERROR(INDEX(MUSTERILER!$B$7:$B$156,MATCH($E168,MUSTERILER!$B$7:$B$156,0)),IFERROR(INDEX(MUSTERILER!$B$7:$B$156,MATCH($U168&amp;"*",MUSTERILER!$T$7:$T$156,0)),"TANIMSIZ MÜŞTERİ"))))</f>
        <v/>
      </c>
      <c r="E168" s="61"/>
      <c r="F168" s="61"/>
      <c r="G168" s="60"/>
      <c r="H168" s="66"/>
      <c r="I168" s="66"/>
      <c r="J168" s="60"/>
      <c r="K168" s="60"/>
      <c r="L168" s="61"/>
      <c r="M168" s="61"/>
      <c r="N168" s="61"/>
      <c r="O168" s="66"/>
      <c r="P168" s="76" t="str">
        <f t="shared" ca="1" si="9"/>
        <v/>
      </c>
      <c r="Q168" s="65" t="str">
        <f t="shared" ca="1" si="10"/>
        <v/>
      </c>
      <c r="R168" s="2"/>
      <c r="S168" s="2"/>
      <c r="T168" s="1"/>
      <c r="U168" s="1" t="str">
        <f t="shared" si="11"/>
        <v/>
      </c>
    </row>
    <row r="169" spans="1:21" ht="18" customHeight="1" x14ac:dyDescent="0.3">
      <c r="A169" s="2"/>
      <c r="B169" s="65" t="str">
        <f t="shared" si="8"/>
        <v/>
      </c>
      <c r="C169" s="60"/>
      <c r="D169" s="65" t="str">
        <f>IF($E169="","",IFERROR(INDEX(MUSTERILER!$B$7:$B$156,MATCH($U169,MUSTERILER!$T$7:$T$156,0)),IFERROR(INDEX(MUSTERILER!$B$7:$B$156,MATCH($E169,MUSTERILER!$B$7:$B$156,0)),IFERROR(INDEX(MUSTERILER!$B$7:$B$156,MATCH($U169&amp;"*",MUSTERILER!$T$7:$T$156,0)),"TANIMSIZ MÜŞTERİ"))))</f>
        <v/>
      </c>
      <c r="E169" s="61"/>
      <c r="F169" s="61"/>
      <c r="G169" s="60"/>
      <c r="H169" s="66"/>
      <c r="I169" s="66"/>
      <c r="J169" s="60"/>
      <c r="K169" s="60"/>
      <c r="L169" s="61"/>
      <c r="M169" s="61"/>
      <c r="N169" s="61"/>
      <c r="O169" s="66"/>
      <c r="P169" s="76" t="str">
        <f t="shared" ca="1" si="9"/>
        <v/>
      </c>
      <c r="Q169" s="65" t="str">
        <f t="shared" ca="1" si="10"/>
        <v/>
      </c>
      <c r="R169" s="2"/>
      <c r="S169" s="2"/>
      <c r="T169" s="1"/>
      <c r="U169" s="1" t="str">
        <f t="shared" si="11"/>
        <v/>
      </c>
    </row>
    <row r="170" spans="1:21" ht="18" customHeight="1" x14ac:dyDescent="0.3">
      <c r="A170" s="2"/>
      <c r="B170" s="65" t="str">
        <f t="shared" si="8"/>
        <v/>
      </c>
      <c r="C170" s="60"/>
      <c r="D170" s="65" t="str">
        <f>IF($E170="","",IFERROR(INDEX(MUSTERILER!$B$7:$B$156,MATCH($U170,MUSTERILER!$T$7:$T$156,0)),IFERROR(INDEX(MUSTERILER!$B$7:$B$156,MATCH($E170,MUSTERILER!$B$7:$B$156,0)),IFERROR(INDEX(MUSTERILER!$B$7:$B$156,MATCH($U170&amp;"*",MUSTERILER!$T$7:$T$156,0)),"TANIMSIZ MÜŞTERİ"))))</f>
        <v/>
      </c>
      <c r="E170" s="61"/>
      <c r="F170" s="61"/>
      <c r="G170" s="60"/>
      <c r="H170" s="66"/>
      <c r="I170" s="66"/>
      <c r="J170" s="60"/>
      <c r="K170" s="60"/>
      <c r="L170" s="61"/>
      <c r="M170" s="61"/>
      <c r="N170" s="61"/>
      <c r="O170" s="66"/>
      <c r="P170" s="76" t="str">
        <f t="shared" ca="1" si="9"/>
        <v/>
      </c>
      <c r="Q170" s="65" t="str">
        <f t="shared" ca="1" si="10"/>
        <v/>
      </c>
      <c r="R170" s="2"/>
      <c r="S170" s="2"/>
      <c r="T170" s="1"/>
      <c r="U170" s="1" t="str">
        <f t="shared" si="11"/>
        <v/>
      </c>
    </row>
    <row r="171" spans="1:21" ht="18" customHeight="1" x14ac:dyDescent="0.3">
      <c r="A171" s="2"/>
      <c r="B171" s="65" t="str">
        <f t="shared" si="8"/>
        <v/>
      </c>
      <c r="C171" s="60"/>
      <c r="D171" s="65" t="str">
        <f>IF($E171="","",IFERROR(INDEX(MUSTERILER!$B$7:$B$156,MATCH($U171,MUSTERILER!$T$7:$T$156,0)),IFERROR(INDEX(MUSTERILER!$B$7:$B$156,MATCH($E171,MUSTERILER!$B$7:$B$156,0)),IFERROR(INDEX(MUSTERILER!$B$7:$B$156,MATCH($U171&amp;"*",MUSTERILER!$T$7:$T$156,0)),"TANIMSIZ MÜŞTERİ"))))</f>
        <v/>
      </c>
      <c r="E171" s="61"/>
      <c r="F171" s="61"/>
      <c r="G171" s="60"/>
      <c r="H171" s="66"/>
      <c r="I171" s="66"/>
      <c r="J171" s="60"/>
      <c r="K171" s="60"/>
      <c r="L171" s="61"/>
      <c r="M171" s="61"/>
      <c r="N171" s="61"/>
      <c r="O171" s="66"/>
      <c r="P171" s="76" t="str">
        <f t="shared" ca="1" si="9"/>
        <v/>
      </c>
      <c r="Q171" s="65" t="str">
        <f t="shared" ca="1" si="10"/>
        <v/>
      </c>
      <c r="R171" s="2"/>
      <c r="S171" s="2"/>
      <c r="T171" s="1"/>
      <c r="U171" s="1" t="str">
        <f t="shared" si="11"/>
        <v/>
      </c>
    </row>
    <row r="172" spans="1:21" ht="18" customHeight="1" x14ac:dyDescent="0.3">
      <c r="A172" s="2"/>
      <c r="B172" s="65" t="str">
        <f t="shared" si="8"/>
        <v/>
      </c>
      <c r="C172" s="60"/>
      <c r="D172" s="65" t="str">
        <f>IF($E172="","",IFERROR(INDEX(MUSTERILER!$B$7:$B$156,MATCH($U172,MUSTERILER!$T$7:$T$156,0)),IFERROR(INDEX(MUSTERILER!$B$7:$B$156,MATCH($E172,MUSTERILER!$B$7:$B$156,0)),IFERROR(INDEX(MUSTERILER!$B$7:$B$156,MATCH($U172&amp;"*",MUSTERILER!$T$7:$T$156,0)),"TANIMSIZ MÜŞTERİ"))))</f>
        <v/>
      </c>
      <c r="E172" s="61"/>
      <c r="F172" s="61"/>
      <c r="G172" s="60"/>
      <c r="H172" s="66"/>
      <c r="I172" s="66"/>
      <c r="J172" s="60"/>
      <c r="K172" s="60"/>
      <c r="L172" s="61"/>
      <c r="M172" s="61"/>
      <c r="N172" s="61"/>
      <c r="O172" s="66"/>
      <c r="P172" s="76" t="str">
        <f t="shared" ca="1" si="9"/>
        <v/>
      </c>
      <c r="Q172" s="65" t="str">
        <f t="shared" ca="1" si="10"/>
        <v/>
      </c>
      <c r="R172" s="2"/>
      <c r="S172" s="2"/>
      <c r="T172" s="1"/>
      <c r="U172" s="1" t="str">
        <f t="shared" si="11"/>
        <v/>
      </c>
    </row>
    <row r="173" spans="1:21" ht="18" customHeight="1" x14ac:dyDescent="0.3">
      <c r="A173" s="2"/>
      <c r="B173" s="65" t="str">
        <f t="shared" si="8"/>
        <v/>
      </c>
      <c r="C173" s="60"/>
      <c r="D173" s="65" t="str">
        <f>IF($E173="","",IFERROR(INDEX(MUSTERILER!$B$7:$B$156,MATCH($U173,MUSTERILER!$T$7:$T$156,0)),IFERROR(INDEX(MUSTERILER!$B$7:$B$156,MATCH($E173,MUSTERILER!$B$7:$B$156,0)),IFERROR(INDEX(MUSTERILER!$B$7:$B$156,MATCH($U173&amp;"*",MUSTERILER!$T$7:$T$156,0)),"TANIMSIZ MÜŞTERİ"))))</f>
        <v/>
      </c>
      <c r="E173" s="61"/>
      <c r="F173" s="61"/>
      <c r="G173" s="60"/>
      <c r="H173" s="66"/>
      <c r="I173" s="66"/>
      <c r="J173" s="60"/>
      <c r="K173" s="60"/>
      <c r="L173" s="61"/>
      <c r="M173" s="61"/>
      <c r="N173" s="61"/>
      <c r="O173" s="66"/>
      <c r="P173" s="76" t="str">
        <f t="shared" ca="1" si="9"/>
        <v/>
      </c>
      <c r="Q173" s="65" t="str">
        <f t="shared" ca="1" si="10"/>
        <v/>
      </c>
      <c r="R173" s="2"/>
      <c r="S173" s="2"/>
      <c r="T173" s="1"/>
      <c r="U173" s="1" t="str">
        <f t="shared" si="11"/>
        <v/>
      </c>
    </row>
    <row r="174" spans="1:21" ht="18" customHeight="1" x14ac:dyDescent="0.3">
      <c r="A174" s="2"/>
      <c r="B174" s="65" t="str">
        <f t="shared" si="8"/>
        <v/>
      </c>
      <c r="C174" s="60"/>
      <c r="D174" s="65" t="str">
        <f>IF($E174="","",IFERROR(INDEX(MUSTERILER!$B$7:$B$156,MATCH($U174,MUSTERILER!$T$7:$T$156,0)),IFERROR(INDEX(MUSTERILER!$B$7:$B$156,MATCH($E174,MUSTERILER!$B$7:$B$156,0)),IFERROR(INDEX(MUSTERILER!$B$7:$B$156,MATCH($U174&amp;"*",MUSTERILER!$T$7:$T$156,0)),"TANIMSIZ MÜŞTERİ"))))</f>
        <v/>
      </c>
      <c r="E174" s="61"/>
      <c r="F174" s="61"/>
      <c r="G174" s="60"/>
      <c r="H174" s="66"/>
      <c r="I174" s="66"/>
      <c r="J174" s="60"/>
      <c r="K174" s="60"/>
      <c r="L174" s="61"/>
      <c r="M174" s="61"/>
      <c r="N174" s="61"/>
      <c r="O174" s="66"/>
      <c r="P174" s="76" t="str">
        <f t="shared" ca="1" si="9"/>
        <v/>
      </c>
      <c r="Q174" s="65" t="str">
        <f t="shared" ca="1" si="10"/>
        <v/>
      </c>
      <c r="R174" s="2"/>
      <c r="S174" s="2"/>
      <c r="T174" s="1"/>
      <c r="U174" s="1" t="str">
        <f t="shared" si="11"/>
        <v/>
      </c>
    </row>
    <row r="175" spans="1:21" ht="18" customHeight="1" x14ac:dyDescent="0.3">
      <c r="A175" s="2"/>
      <c r="B175" s="65" t="str">
        <f t="shared" si="8"/>
        <v/>
      </c>
      <c r="C175" s="60"/>
      <c r="D175" s="65" t="str">
        <f>IF($E175="","",IFERROR(INDEX(MUSTERILER!$B$7:$B$156,MATCH($U175,MUSTERILER!$T$7:$T$156,0)),IFERROR(INDEX(MUSTERILER!$B$7:$B$156,MATCH($E175,MUSTERILER!$B$7:$B$156,0)),IFERROR(INDEX(MUSTERILER!$B$7:$B$156,MATCH($U175&amp;"*",MUSTERILER!$T$7:$T$156,0)),"TANIMSIZ MÜŞTERİ"))))</f>
        <v/>
      </c>
      <c r="E175" s="61"/>
      <c r="F175" s="61"/>
      <c r="G175" s="60"/>
      <c r="H175" s="66"/>
      <c r="I175" s="66"/>
      <c r="J175" s="60"/>
      <c r="K175" s="60"/>
      <c r="L175" s="61"/>
      <c r="M175" s="61"/>
      <c r="N175" s="61"/>
      <c r="O175" s="66"/>
      <c r="P175" s="76" t="str">
        <f t="shared" ca="1" si="9"/>
        <v/>
      </c>
      <c r="Q175" s="65" t="str">
        <f t="shared" ca="1" si="10"/>
        <v/>
      </c>
      <c r="R175" s="2"/>
      <c r="S175" s="2"/>
      <c r="T175" s="1"/>
      <c r="U175" s="1" t="str">
        <f t="shared" si="11"/>
        <v/>
      </c>
    </row>
    <row r="176" spans="1:21" ht="18" customHeight="1" x14ac:dyDescent="0.3">
      <c r="A176" s="2"/>
      <c r="B176" s="65" t="str">
        <f t="shared" si="8"/>
        <v/>
      </c>
      <c r="C176" s="60"/>
      <c r="D176" s="65" t="str">
        <f>IF($E176="","",IFERROR(INDEX(MUSTERILER!$B$7:$B$156,MATCH($U176,MUSTERILER!$T$7:$T$156,0)),IFERROR(INDEX(MUSTERILER!$B$7:$B$156,MATCH($E176,MUSTERILER!$B$7:$B$156,0)),IFERROR(INDEX(MUSTERILER!$B$7:$B$156,MATCH($U176&amp;"*",MUSTERILER!$T$7:$T$156,0)),"TANIMSIZ MÜŞTERİ"))))</f>
        <v/>
      </c>
      <c r="E176" s="61"/>
      <c r="F176" s="61"/>
      <c r="G176" s="60"/>
      <c r="H176" s="66"/>
      <c r="I176" s="66"/>
      <c r="J176" s="60"/>
      <c r="K176" s="60"/>
      <c r="L176" s="61"/>
      <c r="M176" s="61"/>
      <c r="N176" s="61"/>
      <c r="O176" s="66"/>
      <c r="P176" s="76" t="str">
        <f t="shared" ca="1" si="9"/>
        <v/>
      </c>
      <c r="Q176" s="65" t="str">
        <f t="shared" ca="1" si="10"/>
        <v/>
      </c>
      <c r="R176" s="2"/>
      <c r="S176" s="2"/>
      <c r="T176" s="1"/>
      <c r="U176" s="1" t="str">
        <f t="shared" si="11"/>
        <v/>
      </c>
    </row>
    <row r="177" spans="1:21" ht="18" customHeight="1" x14ac:dyDescent="0.3">
      <c r="A177" s="2"/>
      <c r="B177" s="65" t="str">
        <f t="shared" si="8"/>
        <v/>
      </c>
      <c r="C177" s="60"/>
      <c r="D177" s="65" t="str">
        <f>IF($E177="","",IFERROR(INDEX(MUSTERILER!$B$7:$B$156,MATCH($U177,MUSTERILER!$T$7:$T$156,0)),IFERROR(INDEX(MUSTERILER!$B$7:$B$156,MATCH($E177,MUSTERILER!$B$7:$B$156,0)),IFERROR(INDEX(MUSTERILER!$B$7:$B$156,MATCH($U177&amp;"*",MUSTERILER!$T$7:$T$156,0)),"TANIMSIZ MÜŞTERİ"))))</f>
        <v/>
      </c>
      <c r="E177" s="61"/>
      <c r="F177" s="61"/>
      <c r="G177" s="60"/>
      <c r="H177" s="66"/>
      <c r="I177" s="66"/>
      <c r="J177" s="60"/>
      <c r="K177" s="60"/>
      <c r="L177" s="61"/>
      <c r="M177" s="61"/>
      <c r="N177" s="61"/>
      <c r="O177" s="66"/>
      <c r="P177" s="76" t="str">
        <f t="shared" ca="1" si="9"/>
        <v/>
      </c>
      <c r="Q177" s="65" t="str">
        <f t="shared" ca="1" si="10"/>
        <v/>
      </c>
      <c r="R177" s="2"/>
      <c r="S177" s="2"/>
      <c r="T177" s="1"/>
      <c r="U177" s="1" t="str">
        <f t="shared" si="11"/>
        <v/>
      </c>
    </row>
    <row r="178" spans="1:21" ht="18" customHeight="1" x14ac:dyDescent="0.3">
      <c r="A178" s="2"/>
      <c r="B178" s="65" t="str">
        <f t="shared" si="8"/>
        <v/>
      </c>
      <c r="C178" s="60"/>
      <c r="D178" s="65" t="str">
        <f>IF($E178="","",IFERROR(INDEX(MUSTERILER!$B$7:$B$156,MATCH($U178,MUSTERILER!$T$7:$T$156,0)),IFERROR(INDEX(MUSTERILER!$B$7:$B$156,MATCH($E178,MUSTERILER!$B$7:$B$156,0)),IFERROR(INDEX(MUSTERILER!$B$7:$B$156,MATCH($U178&amp;"*",MUSTERILER!$T$7:$T$156,0)),"TANIMSIZ MÜŞTERİ"))))</f>
        <v/>
      </c>
      <c r="E178" s="61"/>
      <c r="F178" s="61"/>
      <c r="G178" s="60"/>
      <c r="H178" s="66"/>
      <c r="I178" s="66"/>
      <c r="J178" s="60"/>
      <c r="K178" s="60"/>
      <c r="L178" s="61"/>
      <c r="M178" s="61"/>
      <c r="N178" s="61"/>
      <c r="O178" s="66"/>
      <c r="P178" s="76" t="str">
        <f t="shared" ca="1" si="9"/>
        <v/>
      </c>
      <c r="Q178" s="65" t="str">
        <f t="shared" ca="1" si="10"/>
        <v/>
      </c>
      <c r="R178" s="2"/>
      <c r="S178" s="2"/>
      <c r="T178" s="1"/>
      <c r="U178" s="1" t="str">
        <f t="shared" si="11"/>
        <v/>
      </c>
    </row>
    <row r="179" spans="1:21" ht="18" customHeight="1" x14ac:dyDescent="0.3">
      <c r="A179" s="2"/>
      <c r="B179" s="65" t="str">
        <f t="shared" si="8"/>
        <v/>
      </c>
      <c r="C179" s="60"/>
      <c r="D179" s="65" t="str">
        <f>IF($E179="","",IFERROR(INDEX(MUSTERILER!$B$7:$B$156,MATCH($U179,MUSTERILER!$T$7:$T$156,0)),IFERROR(INDEX(MUSTERILER!$B$7:$B$156,MATCH($E179,MUSTERILER!$B$7:$B$156,0)),IFERROR(INDEX(MUSTERILER!$B$7:$B$156,MATCH($U179&amp;"*",MUSTERILER!$T$7:$T$156,0)),"TANIMSIZ MÜŞTERİ"))))</f>
        <v/>
      </c>
      <c r="E179" s="61"/>
      <c r="F179" s="61"/>
      <c r="G179" s="60"/>
      <c r="H179" s="66"/>
      <c r="I179" s="66"/>
      <c r="J179" s="60"/>
      <c r="K179" s="60"/>
      <c r="L179" s="61"/>
      <c r="M179" s="61"/>
      <c r="N179" s="61"/>
      <c r="O179" s="66"/>
      <c r="P179" s="76" t="str">
        <f t="shared" ca="1" si="9"/>
        <v/>
      </c>
      <c r="Q179" s="65" t="str">
        <f t="shared" ca="1" si="10"/>
        <v/>
      </c>
      <c r="R179" s="2"/>
      <c r="S179" s="2"/>
      <c r="T179" s="1"/>
      <c r="U179" s="1" t="str">
        <f t="shared" si="11"/>
        <v/>
      </c>
    </row>
    <row r="180" spans="1:21" ht="18" customHeight="1" x14ac:dyDescent="0.3">
      <c r="A180" s="2"/>
      <c r="B180" s="65" t="str">
        <f t="shared" si="8"/>
        <v/>
      </c>
      <c r="C180" s="60"/>
      <c r="D180" s="65" t="str">
        <f>IF($E180="","",IFERROR(INDEX(MUSTERILER!$B$7:$B$156,MATCH($U180,MUSTERILER!$T$7:$T$156,0)),IFERROR(INDEX(MUSTERILER!$B$7:$B$156,MATCH($E180,MUSTERILER!$B$7:$B$156,0)),IFERROR(INDEX(MUSTERILER!$B$7:$B$156,MATCH($U180&amp;"*",MUSTERILER!$T$7:$T$156,0)),"TANIMSIZ MÜŞTERİ"))))</f>
        <v/>
      </c>
      <c r="E180" s="61"/>
      <c r="F180" s="61"/>
      <c r="G180" s="60"/>
      <c r="H180" s="66"/>
      <c r="I180" s="66"/>
      <c r="J180" s="60"/>
      <c r="K180" s="60"/>
      <c r="L180" s="61"/>
      <c r="M180" s="61"/>
      <c r="N180" s="61"/>
      <c r="O180" s="66"/>
      <c r="P180" s="76" t="str">
        <f t="shared" ca="1" si="9"/>
        <v/>
      </c>
      <c r="Q180" s="65" t="str">
        <f t="shared" ca="1" si="10"/>
        <v/>
      </c>
      <c r="R180" s="2"/>
      <c r="S180" s="2"/>
      <c r="T180" s="1"/>
      <c r="U180" s="1" t="str">
        <f t="shared" si="11"/>
        <v/>
      </c>
    </row>
    <row r="181" spans="1:21" ht="18" customHeight="1" x14ac:dyDescent="0.3">
      <c r="A181" s="2"/>
      <c r="B181" s="65" t="str">
        <f t="shared" si="8"/>
        <v/>
      </c>
      <c r="C181" s="60"/>
      <c r="D181" s="65" t="str">
        <f>IF($E181="","",IFERROR(INDEX(MUSTERILER!$B$7:$B$156,MATCH($U181,MUSTERILER!$T$7:$T$156,0)),IFERROR(INDEX(MUSTERILER!$B$7:$B$156,MATCH($E181,MUSTERILER!$B$7:$B$156,0)),IFERROR(INDEX(MUSTERILER!$B$7:$B$156,MATCH($U181&amp;"*",MUSTERILER!$T$7:$T$156,0)),"TANIMSIZ MÜŞTERİ"))))</f>
        <v/>
      </c>
      <c r="E181" s="61"/>
      <c r="F181" s="61"/>
      <c r="G181" s="60"/>
      <c r="H181" s="66"/>
      <c r="I181" s="66"/>
      <c r="J181" s="60"/>
      <c r="K181" s="60"/>
      <c r="L181" s="61"/>
      <c r="M181" s="61"/>
      <c r="N181" s="61"/>
      <c r="O181" s="66"/>
      <c r="P181" s="76" t="str">
        <f t="shared" ca="1" si="9"/>
        <v/>
      </c>
      <c r="Q181" s="65" t="str">
        <f t="shared" ca="1" si="10"/>
        <v/>
      </c>
      <c r="R181" s="2"/>
      <c r="S181" s="2"/>
      <c r="T181" s="1"/>
      <c r="U181" s="1" t="str">
        <f t="shared" si="11"/>
        <v/>
      </c>
    </row>
    <row r="182" spans="1:21" ht="18" customHeight="1" x14ac:dyDescent="0.3">
      <c r="A182" s="2"/>
      <c r="B182" s="65" t="str">
        <f t="shared" si="8"/>
        <v/>
      </c>
      <c r="C182" s="60"/>
      <c r="D182" s="65" t="str">
        <f>IF($E182="","",IFERROR(INDEX(MUSTERILER!$B$7:$B$156,MATCH($U182,MUSTERILER!$T$7:$T$156,0)),IFERROR(INDEX(MUSTERILER!$B$7:$B$156,MATCH($E182,MUSTERILER!$B$7:$B$156,0)),IFERROR(INDEX(MUSTERILER!$B$7:$B$156,MATCH($U182&amp;"*",MUSTERILER!$T$7:$T$156,0)),"TANIMSIZ MÜŞTERİ"))))</f>
        <v/>
      </c>
      <c r="E182" s="61"/>
      <c r="F182" s="61"/>
      <c r="G182" s="60"/>
      <c r="H182" s="66"/>
      <c r="I182" s="66"/>
      <c r="J182" s="60"/>
      <c r="K182" s="60"/>
      <c r="L182" s="61"/>
      <c r="M182" s="61"/>
      <c r="N182" s="61"/>
      <c r="O182" s="66"/>
      <c r="P182" s="76" t="str">
        <f t="shared" ca="1" si="9"/>
        <v/>
      </c>
      <c r="Q182" s="65" t="str">
        <f t="shared" ca="1" si="10"/>
        <v/>
      </c>
      <c r="R182" s="2"/>
      <c r="S182" s="2"/>
      <c r="T182" s="1"/>
      <c r="U182" s="1" t="str">
        <f t="shared" si="11"/>
        <v/>
      </c>
    </row>
    <row r="183" spans="1:21" ht="18" customHeight="1" x14ac:dyDescent="0.3">
      <c r="A183" s="2"/>
      <c r="B183" s="65" t="str">
        <f t="shared" si="8"/>
        <v/>
      </c>
      <c r="C183" s="60"/>
      <c r="D183" s="65" t="str">
        <f>IF($E183="","",IFERROR(INDEX(MUSTERILER!$B$7:$B$156,MATCH($U183,MUSTERILER!$T$7:$T$156,0)),IFERROR(INDEX(MUSTERILER!$B$7:$B$156,MATCH($E183,MUSTERILER!$B$7:$B$156,0)),IFERROR(INDEX(MUSTERILER!$B$7:$B$156,MATCH($U183&amp;"*",MUSTERILER!$T$7:$T$156,0)),"TANIMSIZ MÜŞTERİ"))))</f>
        <v/>
      </c>
      <c r="E183" s="61"/>
      <c r="F183" s="61"/>
      <c r="G183" s="60"/>
      <c r="H183" s="66"/>
      <c r="I183" s="66"/>
      <c r="J183" s="60"/>
      <c r="K183" s="60"/>
      <c r="L183" s="61"/>
      <c r="M183" s="61"/>
      <c r="N183" s="61"/>
      <c r="O183" s="66"/>
      <c r="P183" s="76" t="str">
        <f t="shared" ca="1" si="9"/>
        <v/>
      </c>
      <c r="Q183" s="65" t="str">
        <f t="shared" ca="1" si="10"/>
        <v/>
      </c>
      <c r="R183" s="2"/>
      <c r="S183" s="2"/>
      <c r="T183" s="1"/>
      <c r="U183" s="1" t="str">
        <f t="shared" si="11"/>
        <v/>
      </c>
    </row>
    <row r="184" spans="1:21" ht="18" customHeight="1" x14ac:dyDescent="0.3">
      <c r="A184" s="2"/>
      <c r="B184" s="65" t="str">
        <f t="shared" si="8"/>
        <v/>
      </c>
      <c r="C184" s="60"/>
      <c r="D184" s="65" t="str">
        <f>IF($E184="","",IFERROR(INDEX(MUSTERILER!$B$7:$B$156,MATCH($U184,MUSTERILER!$T$7:$T$156,0)),IFERROR(INDEX(MUSTERILER!$B$7:$B$156,MATCH($E184,MUSTERILER!$B$7:$B$156,0)),IFERROR(INDEX(MUSTERILER!$B$7:$B$156,MATCH($U184&amp;"*",MUSTERILER!$T$7:$T$156,0)),"TANIMSIZ MÜŞTERİ"))))</f>
        <v/>
      </c>
      <c r="E184" s="61"/>
      <c r="F184" s="61"/>
      <c r="G184" s="60"/>
      <c r="H184" s="66"/>
      <c r="I184" s="66"/>
      <c r="J184" s="60"/>
      <c r="K184" s="60"/>
      <c r="L184" s="61"/>
      <c r="M184" s="61"/>
      <c r="N184" s="61"/>
      <c r="O184" s="66"/>
      <c r="P184" s="76" t="str">
        <f t="shared" ca="1" si="9"/>
        <v/>
      </c>
      <c r="Q184" s="65" t="str">
        <f t="shared" ca="1" si="10"/>
        <v/>
      </c>
      <c r="R184" s="2"/>
      <c r="S184" s="2"/>
      <c r="T184" s="1"/>
      <c r="U184" s="1" t="str">
        <f t="shared" si="11"/>
        <v/>
      </c>
    </row>
    <row r="185" spans="1:21" ht="18" customHeight="1" x14ac:dyDescent="0.3">
      <c r="A185" s="2"/>
      <c r="B185" s="65" t="str">
        <f t="shared" si="8"/>
        <v/>
      </c>
      <c r="C185" s="60"/>
      <c r="D185" s="65" t="str">
        <f>IF($E185="","",IFERROR(INDEX(MUSTERILER!$B$7:$B$156,MATCH($U185,MUSTERILER!$T$7:$T$156,0)),IFERROR(INDEX(MUSTERILER!$B$7:$B$156,MATCH($E185,MUSTERILER!$B$7:$B$156,0)),IFERROR(INDEX(MUSTERILER!$B$7:$B$156,MATCH($U185&amp;"*",MUSTERILER!$T$7:$T$156,0)),"TANIMSIZ MÜŞTERİ"))))</f>
        <v/>
      </c>
      <c r="E185" s="61"/>
      <c r="F185" s="61"/>
      <c r="G185" s="60"/>
      <c r="H185" s="66"/>
      <c r="I185" s="66"/>
      <c r="J185" s="60"/>
      <c r="K185" s="60"/>
      <c r="L185" s="61"/>
      <c r="M185" s="61"/>
      <c r="N185" s="61"/>
      <c r="O185" s="66"/>
      <c r="P185" s="76" t="str">
        <f t="shared" ca="1" si="9"/>
        <v/>
      </c>
      <c r="Q185" s="65" t="str">
        <f t="shared" ca="1" si="10"/>
        <v/>
      </c>
      <c r="R185" s="2"/>
      <c r="S185" s="2"/>
      <c r="T185" s="1"/>
      <c r="U185" s="1" t="str">
        <f t="shared" si="11"/>
        <v/>
      </c>
    </row>
    <row r="186" spans="1:21" ht="18" customHeight="1" x14ac:dyDescent="0.3">
      <c r="A186" s="2"/>
      <c r="B186" s="65" t="str">
        <f t="shared" si="8"/>
        <v/>
      </c>
      <c r="C186" s="60"/>
      <c r="D186" s="65" t="str">
        <f>IF($E186="","",IFERROR(INDEX(MUSTERILER!$B$7:$B$156,MATCH($U186,MUSTERILER!$T$7:$T$156,0)),IFERROR(INDEX(MUSTERILER!$B$7:$B$156,MATCH($E186,MUSTERILER!$B$7:$B$156,0)),IFERROR(INDEX(MUSTERILER!$B$7:$B$156,MATCH($U186&amp;"*",MUSTERILER!$T$7:$T$156,0)),"TANIMSIZ MÜŞTERİ"))))</f>
        <v/>
      </c>
      <c r="E186" s="61"/>
      <c r="F186" s="61"/>
      <c r="G186" s="60"/>
      <c r="H186" s="66"/>
      <c r="I186" s="66"/>
      <c r="J186" s="60"/>
      <c r="K186" s="60"/>
      <c r="L186" s="61"/>
      <c r="M186" s="61"/>
      <c r="N186" s="61"/>
      <c r="O186" s="66"/>
      <c r="P186" s="76" t="str">
        <f t="shared" ca="1" si="9"/>
        <v/>
      </c>
      <c r="Q186" s="65" t="str">
        <f t="shared" ca="1" si="10"/>
        <v/>
      </c>
      <c r="R186" s="2"/>
      <c r="S186" s="2"/>
      <c r="T186" s="1"/>
      <c r="U186" s="1" t="str">
        <f t="shared" si="11"/>
        <v/>
      </c>
    </row>
    <row r="187" spans="1:21" ht="18" customHeight="1" x14ac:dyDescent="0.3">
      <c r="A187" s="2"/>
      <c r="B187" s="65" t="str">
        <f t="shared" si="8"/>
        <v/>
      </c>
      <c r="C187" s="60"/>
      <c r="D187" s="65" t="str">
        <f>IF($E187="","",IFERROR(INDEX(MUSTERILER!$B$7:$B$156,MATCH($U187,MUSTERILER!$T$7:$T$156,0)),IFERROR(INDEX(MUSTERILER!$B$7:$B$156,MATCH($E187,MUSTERILER!$B$7:$B$156,0)),IFERROR(INDEX(MUSTERILER!$B$7:$B$156,MATCH($U187&amp;"*",MUSTERILER!$T$7:$T$156,0)),"TANIMSIZ MÜŞTERİ"))))</f>
        <v/>
      </c>
      <c r="E187" s="61"/>
      <c r="F187" s="61"/>
      <c r="G187" s="60"/>
      <c r="H187" s="66"/>
      <c r="I187" s="66"/>
      <c r="J187" s="60"/>
      <c r="K187" s="60"/>
      <c r="L187" s="61"/>
      <c r="M187" s="61"/>
      <c r="N187" s="61"/>
      <c r="O187" s="66"/>
      <c r="P187" s="76" t="str">
        <f t="shared" ca="1" si="9"/>
        <v/>
      </c>
      <c r="Q187" s="65" t="str">
        <f t="shared" ca="1" si="10"/>
        <v/>
      </c>
      <c r="R187" s="2"/>
      <c r="S187" s="2"/>
      <c r="T187" s="1"/>
      <c r="U187" s="1" t="str">
        <f t="shared" si="11"/>
        <v/>
      </c>
    </row>
    <row r="188" spans="1:21" ht="18" customHeight="1" x14ac:dyDescent="0.3">
      <c r="A188" s="2"/>
      <c r="B188" s="65" t="str">
        <f t="shared" si="8"/>
        <v/>
      </c>
      <c r="C188" s="60"/>
      <c r="D188" s="65" t="str">
        <f>IF($E188="","",IFERROR(INDEX(MUSTERILER!$B$7:$B$156,MATCH($U188,MUSTERILER!$T$7:$T$156,0)),IFERROR(INDEX(MUSTERILER!$B$7:$B$156,MATCH($E188,MUSTERILER!$B$7:$B$156,0)),IFERROR(INDEX(MUSTERILER!$B$7:$B$156,MATCH($U188&amp;"*",MUSTERILER!$T$7:$T$156,0)),"TANIMSIZ MÜŞTERİ"))))</f>
        <v/>
      </c>
      <c r="E188" s="61"/>
      <c r="F188" s="61"/>
      <c r="G188" s="60"/>
      <c r="H188" s="66"/>
      <c r="I188" s="66"/>
      <c r="J188" s="60"/>
      <c r="K188" s="60"/>
      <c r="L188" s="61"/>
      <c r="M188" s="61"/>
      <c r="N188" s="61"/>
      <c r="O188" s="66"/>
      <c r="P188" s="76" t="str">
        <f t="shared" ca="1" si="9"/>
        <v/>
      </c>
      <c r="Q188" s="65" t="str">
        <f t="shared" ca="1" si="10"/>
        <v/>
      </c>
      <c r="R188" s="2"/>
      <c r="S188" s="2"/>
      <c r="T188" s="1"/>
      <c r="U188" s="1" t="str">
        <f t="shared" si="11"/>
        <v/>
      </c>
    </row>
    <row r="189" spans="1:21" ht="18" customHeight="1" x14ac:dyDescent="0.3">
      <c r="A189" s="2"/>
      <c r="B189" s="65" t="str">
        <f t="shared" si="8"/>
        <v/>
      </c>
      <c r="C189" s="60"/>
      <c r="D189" s="65" t="str">
        <f>IF($E189="","",IFERROR(INDEX(MUSTERILER!$B$7:$B$156,MATCH($U189,MUSTERILER!$T$7:$T$156,0)),IFERROR(INDEX(MUSTERILER!$B$7:$B$156,MATCH($E189,MUSTERILER!$B$7:$B$156,0)),IFERROR(INDEX(MUSTERILER!$B$7:$B$156,MATCH($U189&amp;"*",MUSTERILER!$T$7:$T$156,0)),"TANIMSIZ MÜŞTERİ"))))</f>
        <v/>
      </c>
      <c r="E189" s="61"/>
      <c r="F189" s="61"/>
      <c r="G189" s="60"/>
      <c r="H189" s="66"/>
      <c r="I189" s="66"/>
      <c r="J189" s="60"/>
      <c r="K189" s="60"/>
      <c r="L189" s="61"/>
      <c r="M189" s="61"/>
      <c r="N189" s="61"/>
      <c r="O189" s="66"/>
      <c r="P189" s="76" t="str">
        <f t="shared" ca="1" si="9"/>
        <v/>
      </c>
      <c r="Q189" s="65" t="str">
        <f t="shared" ca="1" si="10"/>
        <v/>
      </c>
      <c r="R189" s="2"/>
      <c r="S189" s="2"/>
      <c r="T189" s="1"/>
      <c r="U189" s="1" t="str">
        <f t="shared" si="11"/>
        <v/>
      </c>
    </row>
    <row r="190" spans="1:21" ht="18" customHeight="1" x14ac:dyDescent="0.3">
      <c r="A190" s="2"/>
      <c r="B190" s="65" t="str">
        <f t="shared" si="8"/>
        <v/>
      </c>
      <c r="C190" s="60"/>
      <c r="D190" s="65" t="str">
        <f>IF($E190="","",IFERROR(INDEX(MUSTERILER!$B$7:$B$156,MATCH($U190,MUSTERILER!$T$7:$T$156,0)),IFERROR(INDEX(MUSTERILER!$B$7:$B$156,MATCH($E190,MUSTERILER!$B$7:$B$156,0)),IFERROR(INDEX(MUSTERILER!$B$7:$B$156,MATCH($U190&amp;"*",MUSTERILER!$T$7:$T$156,0)),"TANIMSIZ MÜŞTERİ"))))</f>
        <v/>
      </c>
      <c r="E190" s="61"/>
      <c r="F190" s="61"/>
      <c r="G190" s="60"/>
      <c r="H190" s="66"/>
      <c r="I190" s="66"/>
      <c r="J190" s="60"/>
      <c r="K190" s="60"/>
      <c r="L190" s="61"/>
      <c r="M190" s="61"/>
      <c r="N190" s="61"/>
      <c r="O190" s="66"/>
      <c r="P190" s="76" t="str">
        <f t="shared" ca="1" si="9"/>
        <v/>
      </c>
      <c r="Q190" s="65" t="str">
        <f t="shared" ca="1" si="10"/>
        <v/>
      </c>
      <c r="R190" s="2"/>
      <c r="S190" s="2"/>
      <c r="T190" s="1"/>
      <c r="U190" s="1" t="str">
        <f t="shared" si="11"/>
        <v/>
      </c>
    </row>
    <row r="191" spans="1:21" ht="18" customHeight="1" x14ac:dyDescent="0.3">
      <c r="A191" s="2"/>
      <c r="B191" s="65" t="str">
        <f t="shared" si="8"/>
        <v/>
      </c>
      <c r="C191" s="60"/>
      <c r="D191" s="65" t="str">
        <f>IF($E191="","",IFERROR(INDEX(MUSTERILER!$B$7:$B$156,MATCH($U191,MUSTERILER!$T$7:$T$156,0)),IFERROR(INDEX(MUSTERILER!$B$7:$B$156,MATCH($E191,MUSTERILER!$B$7:$B$156,0)),IFERROR(INDEX(MUSTERILER!$B$7:$B$156,MATCH($U191&amp;"*",MUSTERILER!$T$7:$T$156,0)),"TANIMSIZ MÜŞTERİ"))))</f>
        <v/>
      </c>
      <c r="E191" s="61"/>
      <c r="F191" s="61"/>
      <c r="G191" s="60"/>
      <c r="H191" s="66"/>
      <c r="I191" s="66"/>
      <c r="J191" s="60"/>
      <c r="K191" s="60"/>
      <c r="L191" s="61"/>
      <c r="M191" s="61"/>
      <c r="N191" s="61"/>
      <c r="O191" s="66"/>
      <c r="P191" s="76" t="str">
        <f t="shared" ca="1" si="9"/>
        <v/>
      </c>
      <c r="Q191" s="65" t="str">
        <f t="shared" ca="1" si="10"/>
        <v/>
      </c>
      <c r="R191" s="2"/>
      <c r="S191" s="2"/>
      <c r="T191" s="1"/>
      <c r="U191" s="1" t="str">
        <f t="shared" si="11"/>
        <v/>
      </c>
    </row>
    <row r="192" spans="1:21" ht="18" customHeight="1" x14ac:dyDescent="0.3">
      <c r="A192" s="2"/>
      <c r="B192" s="65" t="str">
        <f t="shared" si="8"/>
        <v/>
      </c>
      <c r="C192" s="60"/>
      <c r="D192" s="65" t="str">
        <f>IF($E192="","",IFERROR(INDEX(MUSTERILER!$B$7:$B$156,MATCH($U192,MUSTERILER!$T$7:$T$156,0)),IFERROR(INDEX(MUSTERILER!$B$7:$B$156,MATCH($E192,MUSTERILER!$B$7:$B$156,0)),IFERROR(INDEX(MUSTERILER!$B$7:$B$156,MATCH($U192&amp;"*",MUSTERILER!$T$7:$T$156,0)),"TANIMSIZ MÜŞTERİ"))))</f>
        <v/>
      </c>
      <c r="E192" s="61"/>
      <c r="F192" s="61"/>
      <c r="G192" s="60"/>
      <c r="H192" s="66"/>
      <c r="I192" s="66"/>
      <c r="J192" s="60"/>
      <c r="K192" s="60"/>
      <c r="L192" s="61"/>
      <c r="M192" s="61"/>
      <c r="N192" s="61"/>
      <c r="O192" s="66"/>
      <c r="P192" s="76" t="str">
        <f t="shared" ca="1" si="9"/>
        <v/>
      </c>
      <c r="Q192" s="65" t="str">
        <f t="shared" ca="1" si="10"/>
        <v/>
      </c>
      <c r="R192" s="2"/>
      <c r="S192" s="2"/>
      <c r="T192" s="1"/>
      <c r="U192" s="1" t="str">
        <f t="shared" si="11"/>
        <v/>
      </c>
    </row>
    <row r="193" spans="1:21" ht="18" customHeight="1" x14ac:dyDescent="0.3">
      <c r="A193" s="2"/>
      <c r="B193" s="65" t="str">
        <f t="shared" si="8"/>
        <v/>
      </c>
      <c r="C193" s="60"/>
      <c r="D193" s="65" t="str">
        <f>IF($E193="","",IFERROR(INDEX(MUSTERILER!$B$7:$B$156,MATCH($U193,MUSTERILER!$T$7:$T$156,0)),IFERROR(INDEX(MUSTERILER!$B$7:$B$156,MATCH($E193,MUSTERILER!$B$7:$B$156,0)),IFERROR(INDEX(MUSTERILER!$B$7:$B$156,MATCH($U193&amp;"*",MUSTERILER!$T$7:$T$156,0)),"TANIMSIZ MÜŞTERİ"))))</f>
        <v/>
      </c>
      <c r="E193" s="61"/>
      <c r="F193" s="61"/>
      <c r="G193" s="60"/>
      <c r="H193" s="66"/>
      <c r="I193" s="66"/>
      <c r="J193" s="60"/>
      <c r="K193" s="60"/>
      <c r="L193" s="61"/>
      <c r="M193" s="61"/>
      <c r="N193" s="61"/>
      <c r="O193" s="66"/>
      <c r="P193" s="76" t="str">
        <f t="shared" ca="1" si="9"/>
        <v/>
      </c>
      <c r="Q193" s="65" t="str">
        <f t="shared" ca="1" si="10"/>
        <v/>
      </c>
      <c r="R193" s="2"/>
      <c r="S193" s="2"/>
      <c r="T193" s="1"/>
      <c r="U193" s="1" t="str">
        <f t="shared" si="11"/>
        <v/>
      </c>
    </row>
    <row r="194" spans="1:21" ht="18" customHeight="1" x14ac:dyDescent="0.3">
      <c r="A194" s="2"/>
      <c r="B194" s="65" t="str">
        <f t="shared" si="8"/>
        <v/>
      </c>
      <c r="C194" s="60"/>
      <c r="D194" s="65" t="str">
        <f>IF($E194="","",IFERROR(INDEX(MUSTERILER!$B$7:$B$156,MATCH($U194,MUSTERILER!$T$7:$T$156,0)),IFERROR(INDEX(MUSTERILER!$B$7:$B$156,MATCH($E194,MUSTERILER!$B$7:$B$156,0)),IFERROR(INDEX(MUSTERILER!$B$7:$B$156,MATCH($U194&amp;"*",MUSTERILER!$T$7:$T$156,0)),"TANIMSIZ MÜŞTERİ"))))</f>
        <v/>
      </c>
      <c r="E194" s="61"/>
      <c r="F194" s="61"/>
      <c r="G194" s="60"/>
      <c r="H194" s="66"/>
      <c r="I194" s="66"/>
      <c r="J194" s="60"/>
      <c r="K194" s="60"/>
      <c r="L194" s="61"/>
      <c r="M194" s="61"/>
      <c r="N194" s="61"/>
      <c r="O194" s="66"/>
      <c r="P194" s="76" t="str">
        <f t="shared" ca="1" si="9"/>
        <v/>
      </c>
      <c r="Q194" s="65" t="str">
        <f t="shared" ca="1" si="10"/>
        <v/>
      </c>
      <c r="R194" s="2"/>
      <c r="S194" s="2"/>
      <c r="T194" s="1"/>
      <c r="U194" s="1" t="str">
        <f t="shared" si="11"/>
        <v/>
      </c>
    </row>
    <row r="195" spans="1:21" ht="18" customHeight="1" x14ac:dyDescent="0.3">
      <c r="A195" s="2"/>
      <c r="B195" s="65" t="str">
        <f t="shared" si="8"/>
        <v/>
      </c>
      <c r="C195" s="60"/>
      <c r="D195" s="65" t="str">
        <f>IF($E195="","",IFERROR(INDEX(MUSTERILER!$B$7:$B$156,MATCH($U195,MUSTERILER!$T$7:$T$156,0)),IFERROR(INDEX(MUSTERILER!$B$7:$B$156,MATCH($E195,MUSTERILER!$B$7:$B$156,0)),IFERROR(INDEX(MUSTERILER!$B$7:$B$156,MATCH($U195&amp;"*",MUSTERILER!$T$7:$T$156,0)),"TANIMSIZ MÜŞTERİ"))))</f>
        <v/>
      </c>
      <c r="E195" s="61"/>
      <c r="F195" s="61"/>
      <c r="G195" s="60"/>
      <c r="H195" s="66"/>
      <c r="I195" s="66"/>
      <c r="J195" s="60"/>
      <c r="K195" s="60"/>
      <c r="L195" s="61"/>
      <c r="M195" s="61"/>
      <c r="N195" s="61"/>
      <c r="O195" s="66"/>
      <c r="P195" s="76" t="str">
        <f t="shared" ca="1" si="9"/>
        <v/>
      </c>
      <c r="Q195" s="65" t="str">
        <f t="shared" ca="1" si="10"/>
        <v/>
      </c>
      <c r="R195" s="2"/>
      <c r="S195" s="2"/>
      <c r="T195" s="1"/>
      <c r="U195" s="1" t="str">
        <f t="shared" si="11"/>
        <v/>
      </c>
    </row>
    <row r="196" spans="1:21" ht="18" customHeight="1" x14ac:dyDescent="0.3">
      <c r="A196" s="2"/>
      <c r="B196" s="65" t="str">
        <f t="shared" si="8"/>
        <v/>
      </c>
      <c r="C196" s="60"/>
      <c r="D196" s="65" t="str">
        <f>IF($E196="","",IFERROR(INDEX(MUSTERILER!$B$7:$B$156,MATCH($U196,MUSTERILER!$T$7:$T$156,0)),IFERROR(INDEX(MUSTERILER!$B$7:$B$156,MATCH($E196,MUSTERILER!$B$7:$B$156,0)),IFERROR(INDEX(MUSTERILER!$B$7:$B$156,MATCH($U196&amp;"*",MUSTERILER!$T$7:$T$156,0)),"TANIMSIZ MÜŞTERİ"))))</f>
        <v/>
      </c>
      <c r="E196" s="61"/>
      <c r="F196" s="61"/>
      <c r="G196" s="60"/>
      <c r="H196" s="66"/>
      <c r="I196" s="66"/>
      <c r="J196" s="60"/>
      <c r="K196" s="60"/>
      <c r="L196" s="61"/>
      <c r="M196" s="61"/>
      <c r="N196" s="61"/>
      <c r="O196" s="66"/>
      <c r="P196" s="76" t="str">
        <f t="shared" ca="1" si="9"/>
        <v/>
      </c>
      <c r="Q196" s="65" t="str">
        <f t="shared" ca="1" si="10"/>
        <v/>
      </c>
      <c r="R196" s="2"/>
      <c r="S196" s="2"/>
      <c r="T196" s="1"/>
      <c r="U196" s="1" t="str">
        <f t="shared" si="11"/>
        <v/>
      </c>
    </row>
    <row r="197" spans="1:21" ht="18" customHeight="1" x14ac:dyDescent="0.3">
      <c r="A197" s="2"/>
      <c r="B197" s="65" t="str">
        <f t="shared" si="8"/>
        <v/>
      </c>
      <c r="C197" s="60"/>
      <c r="D197" s="65" t="str">
        <f>IF($E197="","",IFERROR(INDEX(MUSTERILER!$B$7:$B$156,MATCH($U197,MUSTERILER!$T$7:$T$156,0)),IFERROR(INDEX(MUSTERILER!$B$7:$B$156,MATCH($E197,MUSTERILER!$B$7:$B$156,0)),IFERROR(INDEX(MUSTERILER!$B$7:$B$156,MATCH($U197&amp;"*",MUSTERILER!$T$7:$T$156,0)),"TANIMSIZ MÜŞTERİ"))))</f>
        <v/>
      </c>
      <c r="E197" s="61"/>
      <c r="F197" s="61"/>
      <c r="G197" s="60"/>
      <c r="H197" s="66"/>
      <c r="I197" s="66"/>
      <c r="J197" s="60"/>
      <c r="K197" s="60"/>
      <c r="L197" s="61"/>
      <c r="M197" s="61"/>
      <c r="N197" s="61"/>
      <c r="O197" s="66"/>
      <c r="P197" s="76" t="str">
        <f t="shared" ca="1" si="9"/>
        <v/>
      </c>
      <c r="Q197" s="65" t="str">
        <f t="shared" ca="1" si="10"/>
        <v/>
      </c>
      <c r="R197" s="2"/>
      <c r="S197" s="2"/>
      <c r="T197" s="1"/>
      <c r="U197" s="1" t="str">
        <f t="shared" si="11"/>
        <v/>
      </c>
    </row>
    <row r="198" spans="1:21" ht="18" customHeight="1" x14ac:dyDescent="0.3">
      <c r="A198" s="2"/>
      <c r="B198" s="65" t="str">
        <f t="shared" si="8"/>
        <v/>
      </c>
      <c r="C198" s="60"/>
      <c r="D198" s="65" t="str">
        <f>IF($E198="","",IFERROR(INDEX(MUSTERILER!$B$7:$B$156,MATCH($U198,MUSTERILER!$T$7:$T$156,0)),IFERROR(INDEX(MUSTERILER!$B$7:$B$156,MATCH($E198,MUSTERILER!$B$7:$B$156,0)),IFERROR(INDEX(MUSTERILER!$B$7:$B$156,MATCH($U198&amp;"*",MUSTERILER!$T$7:$T$156,0)),"TANIMSIZ MÜŞTERİ"))))</f>
        <v/>
      </c>
      <c r="E198" s="61"/>
      <c r="F198" s="61"/>
      <c r="G198" s="60"/>
      <c r="H198" s="66"/>
      <c r="I198" s="66"/>
      <c r="J198" s="60"/>
      <c r="K198" s="60"/>
      <c r="L198" s="61"/>
      <c r="M198" s="61"/>
      <c r="N198" s="61"/>
      <c r="O198" s="66"/>
      <c r="P198" s="76" t="str">
        <f t="shared" ca="1" si="9"/>
        <v/>
      </c>
      <c r="Q198" s="65" t="str">
        <f t="shared" ca="1" si="10"/>
        <v/>
      </c>
      <c r="R198" s="2"/>
      <c r="S198" s="2"/>
      <c r="T198" s="1"/>
      <c r="U198" s="1" t="str">
        <f t="shared" si="11"/>
        <v/>
      </c>
    </row>
    <row r="199" spans="1:21" ht="18" customHeight="1" x14ac:dyDescent="0.3">
      <c r="A199" s="2"/>
      <c r="B199" s="65" t="str">
        <f t="shared" ref="B199:B262" si="12">IF($E199="","","A"&amp;TEXT(ROW()-6,"00000"))</f>
        <v/>
      </c>
      <c r="C199" s="60"/>
      <c r="D199" s="65" t="str">
        <f>IF($E199="","",IFERROR(INDEX(MUSTERILER!$B$7:$B$156,MATCH($U199,MUSTERILER!$T$7:$T$156,0)),IFERROR(INDEX(MUSTERILER!$B$7:$B$156,MATCH($E199,MUSTERILER!$B$7:$B$156,0)),IFERROR(INDEX(MUSTERILER!$B$7:$B$156,MATCH($U199&amp;"*",MUSTERILER!$T$7:$T$156,0)),"TANIMSIZ MÜŞTERİ"))))</f>
        <v/>
      </c>
      <c r="E199" s="61"/>
      <c r="F199" s="61"/>
      <c r="G199" s="60"/>
      <c r="H199" s="66"/>
      <c r="I199" s="66"/>
      <c r="J199" s="60"/>
      <c r="K199" s="60"/>
      <c r="L199" s="61"/>
      <c r="M199" s="61"/>
      <c r="N199" s="61"/>
      <c r="O199" s="66"/>
      <c r="P199" s="76" t="str">
        <f t="shared" ref="P199:P262" ca="1" si="13">IF(OR($E199="",$I199=""),"",IF(OR($J199="Tamamlandı",$J199="İptal"),"",$I199-TODAY()))</f>
        <v/>
      </c>
      <c r="Q199" s="65" t="str">
        <f t="shared" ref="Q199:Q262" ca="1" si="14"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2"/>
      <c r="S199" s="2"/>
      <c r="T199" s="1"/>
      <c r="U199" s="1" t="str">
        <f t="shared" ref="U199:U262" si="15">IF($E199="","",UPPER(SUBSTITUTE(SUBSTITUTE(SUBSTITUTE(SUBSTITUTE(SUBSTITUTE(SUBSTITUTE(SUBSTITUTE(SUBSTITUTE(SUBSTITUTE(SUBSTITUTE(SUBSTITUTE(SUBSTITUTE(SUBSTITUTE(SUBSTITUTE(SUBSTITUTE(SUBSTITUTE(SUBSTITUTE(SUBSTITUTE(TRIM($E199),"'",""),"İ","I"),"ı","I"),"i","I"),"Ş","S"),"ş","S"),"Ğ","G"),"ğ","G"),"Ü","U"),"ü","U"),"Ö","O"),"ö","O"),"Ç","C"),"ç","C"),".",""),",","")," ",""),"-","")))</f>
        <v/>
      </c>
    </row>
    <row r="200" spans="1:21" ht="18" customHeight="1" x14ac:dyDescent="0.3">
      <c r="A200" s="2"/>
      <c r="B200" s="65" t="str">
        <f t="shared" si="12"/>
        <v/>
      </c>
      <c r="C200" s="60"/>
      <c r="D200" s="65" t="str">
        <f>IF($E200="","",IFERROR(INDEX(MUSTERILER!$B$7:$B$156,MATCH($U200,MUSTERILER!$T$7:$T$156,0)),IFERROR(INDEX(MUSTERILER!$B$7:$B$156,MATCH($E200,MUSTERILER!$B$7:$B$156,0)),IFERROR(INDEX(MUSTERILER!$B$7:$B$156,MATCH($U200&amp;"*",MUSTERILER!$T$7:$T$156,0)),"TANIMSIZ MÜŞTERİ"))))</f>
        <v/>
      </c>
      <c r="E200" s="61"/>
      <c r="F200" s="61"/>
      <c r="G200" s="60"/>
      <c r="H200" s="66"/>
      <c r="I200" s="66"/>
      <c r="J200" s="60"/>
      <c r="K200" s="60"/>
      <c r="L200" s="61"/>
      <c r="M200" s="61"/>
      <c r="N200" s="61"/>
      <c r="O200" s="66"/>
      <c r="P200" s="76" t="str">
        <f t="shared" ca="1" si="13"/>
        <v/>
      </c>
      <c r="Q200" s="65" t="str">
        <f t="shared" ca="1" si="14"/>
        <v/>
      </c>
      <c r="R200" s="2"/>
      <c r="S200" s="2"/>
      <c r="T200" s="1"/>
      <c r="U200" s="1" t="str">
        <f t="shared" si="15"/>
        <v/>
      </c>
    </row>
    <row r="201" spans="1:21" ht="18" customHeight="1" x14ac:dyDescent="0.3">
      <c r="A201" s="2"/>
      <c r="B201" s="65" t="str">
        <f t="shared" si="12"/>
        <v/>
      </c>
      <c r="C201" s="60"/>
      <c r="D201" s="65" t="str">
        <f>IF($E201="","",IFERROR(INDEX(MUSTERILER!$B$7:$B$156,MATCH($U201,MUSTERILER!$T$7:$T$156,0)),IFERROR(INDEX(MUSTERILER!$B$7:$B$156,MATCH($E201,MUSTERILER!$B$7:$B$156,0)),IFERROR(INDEX(MUSTERILER!$B$7:$B$156,MATCH($U201&amp;"*",MUSTERILER!$T$7:$T$156,0)),"TANIMSIZ MÜŞTERİ"))))</f>
        <v/>
      </c>
      <c r="E201" s="61"/>
      <c r="F201" s="61"/>
      <c r="G201" s="60"/>
      <c r="H201" s="66"/>
      <c r="I201" s="66"/>
      <c r="J201" s="60"/>
      <c r="K201" s="60"/>
      <c r="L201" s="61"/>
      <c r="M201" s="61"/>
      <c r="N201" s="61"/>
      <c r="O201" s="66"/>
      <c r="P201" s="76" t="str">
        <f t="shared" ca="1" si="13"/>
        <v/>
      </c>
      <c r="Q201" s="65" t="str">
        <f t="shared" ca="1" si="14"/>
        <v/>
      </c>
      <c r="R201" s="2"/>
      <c r="S201" s="2"/>
      <c r="T201" s="1"/>
      <c r="U201" s="1" t="str">
        <f t="shared" si="15"/>
        <v/>
      </c>
    </row>
    <row r="202" spans="1:21" ht="18" customHeight="1" x14ac:dyDescent="0.3">
      <c r="A202" s="2"/>
      <c r="B202" s="65" t="str">
        <f t="shared" si="12"/>
        <v/>
      </c>
      <c r="C202" s="60"/>
      <c r="D202" s="65" t="str">
        <f>IF($E202="","",IFERROR(INDEX(MUSTERILER!$B$7:$B$156,MATCH($U202,MUSTERILER!$T$7:$T$156,0)),IFERROR(INDEX(MUSTERILER!$B$7:$B$156,MATCH($E202,MUSTERILER!$B$7:$B$156,0)),IFERROR(INDEX(MUSTERILER!$B$7:$B$156,MATCH($U202&amp;"*",MUSTERILER!$T$7:$T$156,0)),"TANIMSIZ MÜŞTERİ"))))</f>
        <v/>
      </c>
      <c r="E202" s="61"/>
      <c r="F202" s="61"/>
      <c r="G202" s="60"/>
      <c r="H202" s="66"/>
      <c r="I202" s="66"/>
      <c r="J202" s="60"/>
      <c r="K202" s="60"/>
      <c r="L202" s="61"/>
      <c r="M202" s="61"/>
      <c r="N202" s="61"/>
      <c r="O202" s="66"/>
      <c r="P202" s="76" t="str">
        <f t="shared" ca="1" si="13"/>
        <v/>
      </c>
      <c r="Q202" s="65" t="str">
        <f t="shared" ca="1" si="14"/>
        <v/>
      </c>
      <c r="R202" s="2"/>
      <c r="S202" s="2"/>
      <c r="T202" s="1"/>
      <c r="U202" s="1" t="str">
        <f t="shared" si="15"/>
        <v/>
      </c>
    </row>
    <row r="203" spans="1:21" ht="18" customHeight="1" x14ac:dyDescent="0.3">
      <c r="A203" s="2"/>
      <c r="B203" s="65" t="str">
        <f t="shared" si="12"/>
        <v/>
      </c>
      <c r="C203" s="60"/>
      <c r="D203" s="65" t="str">
        <f>IF($E203="","",IFERROR(INDEX(MUSTERILER!$B$7:$B$156,MATCH($U203,MUSTERILER!$T$7:$T$156,0)),IFERROR(INDEX(MUSTERILER!$B$7:$B$156,MATCH($E203,MUSTERILER!$B$7:$B$156,0)),IFERROR(INDEX(MUSTERILER!$B$7:$B$156,MATCH($U203&amp;"*",MUSTERILER!$T$7:$T$156,0)),"TANIMSIZ MÜŞTERİ"))))</f>
        <v/>
      </c>
      <c r="E203" s="61"/>
      <c r="F203" s="61"/>
      <c r="G203" s="60"/>
      <c r="H203" s="66"/>
      <c r="I203" s="66"/>
      <c r="J203" s="60"/>
      <c r="K203" s="60"/>
      <c r="L203" s="61"/>
      <c r="M203" s="61"/>
      <c r="N203" s="61"/>
      <c r="O203" s="66"/>
      <c r="P203" s="76" t="str">
        <f t="shared" ca="1" si="13"/>
        <v/>
      </c>
      <c r="Q203" s="65" t="str">
        <f t="shared" ca="1" si="14"/>
        <v/>
      </c>
      <c r="R203" s="2"/>
      <c r="S203" s="2"/>
      <c r="T203" s="1"/>
      <c r="U203" s="1" t="str">
        <f t="shared" si="15"/>
        <v/>
      </c>
    </row>
    <row r="204" spans="1:21" ht="18" customHeight="1" x14ac:dyDescent="0.3">
      <c r="A204" s="2"/>
      <c r="B204" s="65" t="str">
        <f t="shared" si="12"/>
        <v/>
      </c>
      <c r="C204" s="60"/>
      <c r="D204" s="65" t="str">
        <f>IF($E204="","",IFERROR(INDEX(MUSTERILER!$B$7:$B$156,MATCH($U204,MUSTERILER!$T$7:$T$156,0)),IFERROR(INDEX(MUSTERILER!$B$7:$B$156,MATCH($E204,MUSTERILER!$B$7:$B$156,0)),IFERROR(INDEX(MUSTERILER!$B$7:$B$156,MATCH($U204&amp;"*",MUSTERILER!$T$7:$T$156,0)),"TANIMSIZ MÜŞTERİ"))))</f>
        <v/>
      </c>
      <c r="E204" s="61"/>
      <c r="F204" s="61"/>
      <c r="G204" s="60"/>
      <c r="H204" s="66"/>
      <c r="I204" s="66"/>
      <c r="J204" s="60"/>
      <c r="K204" s="60"/>
      <c r="L204" s="61"/>
      <c r="M204" s="61"/>
      <c r="N204" s="61"/>
      <c r="O204" s="66"/>
      <c r="P204" s="76" t="str">
        <f t="shared" ca="1" si="13"/>
        <v/>
      </c>
      <c r="Q204" s="65" t="str">
        <f t="shared" ca="1" si="14"/>
        <v/>
      </c>
      <c r="R204" s="2"/>
      <c r="S204" s="2"/>
      <c r="T204" s="1"/>
      <c r="U204" s="1" t="str">
        <f t="shared" si="15"/>
        <v/>
      </c>
    </row>
    <row r="205" spans="1:21" ht="18" customHeight="1" x14ac:dyDescent="0.3">
      <c r="A205" s="2"/>
      <c r="B205" s="65" t="str">
        <f t="shared" si="12"/>
        <v/>
      </c>
      <c r="C205" s="60"/>
      <c r="D205" s="65" t="str">
        <f>IF($E205="","",IFERROR(INDEX(MUSTERILER!$B$7:$B$156,MATCH($U205,MUSTERILER!$T$7:$T$156,0)),IFERROR(INDEX(MUSTERILER!$B$7:$B$156,MATCH($E205,MUSTERILER!$B$7:$B$156,0)),IFERROR(INDEX(MUSTERILER!$B$7:$B$156,MATCH($U205&amp;"*",MUSTERILER!$T$7:$T$156,0)),"TANIMSIZ MÜŞTERİ"))))</f>
        <v/>
      </c>
      <c r="E205" s="61"/>
      <c r="F205" s="61"/>
      <c r="G205" s="60"/>
      <c r="H205" s="66"/>
      <c r="I205" s="66"/>
      <c r="J205" s="60"/>
      <c r="K205" s="60"/>
      <c r="L205" s="61"/>
      <c r="M205" s="61"/>
      <c r="N205" s="61"/>
      <c r="O205" s="66"/>
      <c r="P205" s="76" t="str">
        <f t="shared" ca="1" si="13"/>
        <v/>
      </c>
      <c r="Q205" s="65" t="str">
        <f t="shared" ca="1" si="14"/>
        <v/>
      </c>
      <c r="R205" s="2"/>
      <c r="S205" s="2"/>
      <c r="T205" s="1"/>
      <c r="U205" s="1" t="str">
        <f t="shared" si="15"/>
        <v/>
      </c>
    </row>
    <row r="206" spans="1:21" ht="18" customHeight="1" x14ac:dyDescent="0.3">
      <c r="A206" s="2"/>
      <c r="B206" s="65" t="str">
        <f t="shared" si="12"/>
        <v/>
      </c>
      <c r="C206" s="60"/>
      <c r="D206" s="65" t="str">
        <f>IF($E206="","",IFERROR(INDEX(MUSTERILER!$B$7:$B$156,MATCH($U206,MUSTERILER!$T$7:$T$156,0)),IFERROR(INDEX(MUSTERILER!$B$7:$B$156,MATCH($E206,MUSTERILER!$B$7:$B$156,0)),IFERROR(INDEX(MUSTERILER!$B$7:$B$156,MATCH($U206&amp;"*",MUSTERILER!$T$7:$T$156,0)),"TANIMSIZ MÜŞTERİ"))))</f>
        <v/>
      </c>
      <c r="E206" s="61"/>
      <c r="F206" s="61"/>
      <c r="G206" s="60"/>
      <c r="H206" s="66"/>
      <c r="I206" s="66"/>
      <c r="J206" s="60"/>
      <c r="K206" s="60"/>
      <c r="L206" s="61"/>
      <c r="M206" s="61"/>
      <c r="N206" s="61"/>
      <c r="O206" s="66"/>
      <c r="P206" s="76" t="str">
        <f t="shared" ca="1" si="13"/>
        <v/>
      </c>
      <c r="Q206" s="65" t="str">
        <f t="shared" ca="1" si="14"/>
        <v/>
      </c>
      <c r="R206" s="2"/>
      <c r="S206" s="2"/>
      <c r="T206" s="1"/>
      <c r="U206" s="1" t="str">
        <f t="shared" si="15"/>
        <v/>
      </c>
    </row>
    <row r="207" spans="1:21" ht="18" customHeight="1" x14ac:dyDescent="0.3">
      <c r="A207" s="2"/>
      <c r="B207" s="65" t="str">
        <f t="shared" si="12"/>
        <v/>
      </c>
      <c r="C207" s="60"/>
      <c r="D207" s="65" t="str">
        <f>IF($E207="","",IFERROR(INDEX(MUSTERILER!$B$7:$B$156,MATCH($U207,MUSTERILER!$T$7:$T$156,0)),IFERROR(INDEX(MUSTERILER!$B$7:$B$156,MATCH($E207,MUSTERILER!$B$7:$B$156,0)),IFERROR(INDEX(MUSTERILER!$B$7:$B$156,MATCH($U207&amp;"*",MUSTERILER!$T$7:$T$156,0)),"TANIMSIZ MÜŞTERİ"))))</f>
        <v/>
      </c>
      <c r="E207" s="61"/>
      <c r="F207" s="61"/>
      <c r="G207" s="60"/>
      <c r="H207" s="66"/>
      <c r="I207" s="66"/>
      <c r="J207" s="60"/>
      <c r="K207" s="60"/>
      <c r="L207" s="61"/>
      <c r="M207" s="61"/>
      <c r="N207" s="61"/>
      <c r="O207" s="66"/>
      <c r="P207" s="76" t="str">
        <f t="shared" ca="1" si="13"/>
        <v/>
      </c>
      <c r="Q207" s="65" t="str">
        <f t="shared" ca="1" si="14"/>
        <v/>
      </c>
      <c r="R207" s="2"/>
      <c r="S207" s="2"/>
      <c r="T207" s="1"/>
      <c r="U207" s="1" t="str">
        <f t="shared" si="15"/>
        <v/>
      </c>
    </row>
    <row r="208" spans="1:21" ht="18" customHeight="1" x14ac:dyDescent="0.3">
      <c r="A208" s="2"/>
      <c r="B208" s="65" t="str">
        <f t="shared" si="12"/>
        <v/>
      </c>
      <c r="C208" s="60"/>
      <c r="D208" s="65" t="str">
        <f>IF($E208="","",IFERROR(INDEX(MUSTERILER!$B$7:$B$156,MATCH($U208,MUSTERILER!$T$7:$T$156,0)),IFERROR(INDEX(MUSTERILER!$B$7:$B$156,MATCH($E208,MUSTERILER!$B$7:$B$156,0)),IFERROR(INDEX(MUSTERILER!$B$7:$B$156,MATCH($U208&amp;"*",MUSTERILER!$T$7:$T$156,0)),"TANIMSIZ MÜŞTERİ"))))</f>
        <v/>
      </c>
      <c r="E208" s="61"/>
      <c r="F208" s="61"/>
      <c r="G208" s="60"/>
      <c r="H208" s="66"/>
      <c r="I208" s="66"/>
      <c r="J208" s="60"/>
      <c r="K208" s="60"/>
      <c r="L208" s="61"/>
      <c r="M208" s="61"/>
      <c r="N208" s="61"/>
      <c r="O208" s="66"/>
      <c r="P208" s="76" t="str">
        <f t="shared" ca="1" si="13"/>
        <v/>
      </c>
      <c r="Q208" s="65" t="str">
        <f t="shared" ca="1" si="14"/>
        <v/>
      </c>
      <c r="R208" s="2"/>
      <c r="S208" s="2"/>
      <c r="T208" s="1"/>
      <c r="U208" s="1" t="str">
        <f t="shared" si="15"/>
        <v/>
      </c>
    </row>
    <row r="209" spans="1:21" ht="18" customHeight="1" x14ac:dyDescent="0.3">
      <c r="A209" s="2"/>
      <c r="B209" s="65" t="str">
        <f t="shared" si="12"/>
        <v/>
      </c>
      <c r="C209" s="60"/>
      <c r="D209" s="65" t="str">
        <f>IF($E209="","",IFERROR(INDEX(MUSTERILER!$B$7:$B$156,MATCH($U209,MUSTERILER!$T$7:$T$156,0)),IFERROR(INDEX(MUSTERILER!$B$7:$B$156,MATCH($E209,MUSTERILER!$B$7:$B$156,0)),IFERROR(INDEX(MUSTERILER!$B$7:$B$156,MATCH($U209&amp;"*",MUSTERILER!$T$7:$T$156,0)),"TANIMSIZ MÜŞTERİ"))))</f>
        <v/>
      </c>
      <c r="E209" s="61"/>
      <c r="F209" s="61"/>
      <c r="G209" s="60"/>
      <c r="H209" s="66"/>
      <c r="I209" s="66"/>
      <c r="J209" s="60"/>
      <c r="K209" s="60"/>
      <c r="L209" s="61"/>
      <c r="M209" s="61"/>
      <c r="N209" s="61"/>
      <c r="O209" s="66"/>
      <c r="P209" s="76" t="str">
        <f t="shared" ca="1" si="13"/>
        <v/>
      </c>
      <c r="Q209" s="65" t="str">
        <f t="shared" ca="1" si="14"/>
        <v/>
      </c>
      <c r="R209" s="2"/>
      <c r="S209" s="2"/>
      <c r="T209" s="1"/>
      <c r="U209" s="1" t="str">
        <f t="shared" si="15"/>
        <v/>
      </c>
    </row>
    <row r="210" spans="1:21" ht="18" customHeight="1" x14ac:dyDescent="0.3">
      <c r="A210" s="2"/>
      <c r="B210" s="65" t="str">
        <f t="shared" si="12"/>
        <v/>
      </c>
      <c r="C210" s="60"/>
      <c r="D210" s="65" t="str">
        <f>IF($E210="","",IFERROR(INDEX(MUSTERILER!$B$7:$B$156,MATCH($U210,MUSTERILER!$T$7:$T$156,0)),IFERROR(INDEX(MUSTERILER!$B$7:$B$156,MATCH($E210,MUSTERILER!$B$7:$B$156,0)),IFERROR(INDEX(MUSTERILER!$B$7:$B$156,MATCH($U210&amp;"*",MUSTERILER!$T$7:$T$156,0)),"TANIMSIZ MÜŞTERİ"))))</f>
        <v/>
      </c>
      <c r="E210" s="61"/>
      <c r="F210" s="61"/>
      <c r="G210" s="60"/>
      <c r="H210" s="66"/>
      <c r="I210" s="66"/>
      <c r="J210" s="60"/>
      <c r="K210" s="60"/>
      <c r="L210" s="61"/>
      <c r="M210" s="61"/>
      <c r="N210" s="61"/>
      <c r="O210" s="66"/>
      <c r="P210" s="76" t="str">
        <f t="shared" ca="1" si="13"/>
        <v/>
      </c>
      <c r="Q210" s="65" t="str">
        <f t="shared" ca="1" si="14"/>
        <v/>
      </c>
      <c r="R210" s="2"/>
      <c r="S210" s="2"/>
      <c r="T210" s="1"/>
      <c r="U210" s="1" t="str">
        <f t="shared" si="15"/>
        <v/>
      </c>
    </row>
    <row r="211" spans="1:21" ht="18" customHeight="1" x14ac:dyDescent="0.3">
      <c r="A211" s="2"/>
      <c r="B211" s="65" t="str">
        <f t="shared" si="12"/>
        <v/>
      </c>
      <c r="C211" s="60"/>
      <c r="D211" s="65" t="str">
        <f>IF($E211="","",IFERROR(INDEX(MUSTERILER!$B$7:$B$156,MATCH($U211,MUSTERILER!$T$7:$T$156,0)),IFERROR(INDEX(MUSTERILER!$B$7:$B$156,MATCH($E211,MUSTERILER!$B$7:$B$156,0)),IFERROR(INDEX(MUSTERILER!$B$7:$B$156,MATCH($U211&amp;"*",MUSTERILER!$T$7:$T$156,0)),"TANIMSIZ MÜŞTERİ"))))</f>
        <v/>
      </c>
      <c r="E211" s="61"/>
      <c r="F211" s="61"/>
      <c r="G211" s="60"/>
      <c r="H211" s="66"/>
      <c r="I211" s="66"/>
      <c r="J211" s="60"/>
      <c r="K211" s="60"/>
      <c r="L211" s="61"/>
      <c r="M211" s="61"/>
      <c r="N211" s="61"/>
      <c r="O211" s="66"/>
      <c r="P211" s="76" t="str">
        <f t="shared" ca="1" si="13"/>
        <v/>
      </c>
      <c r="Q211" s="65" t="str">
        <f t="shared" ca="1" si="14"/>
        <v/>
      </c>
      <c r="R211" s="2"/>
      <c r="S211" s="2"/>
      <c r="T211" s="1"/>
      <c r="U211" s="1" t="str">
        <f t="shared" si="15"/>
        <v/>
      </c>
    </row>
    <row r="212" spans="1:21" ht="18" customHeight="1" x14ac:dyDescent="0.3">
      <c r="A212" s="2"/>
      <c r="B212" s="65" t="str">
        <f t="shared" si="12"/>
        <v/>
      </c>
      <c r="C212" s="60"/>
      <c r="D212" s="65" t="str">
        <f>IF($E212="","",IFERROR(INDEX(MUSTERILER!$B$7:$B$156,MATCH($U212,MUSTERILER!$T$7:$T$156,0)),IFERROR(INDEX(MUSTERILER!$B$7:$B$156,MATCH($E212,MUSTERILER!$B$7:$B$156,0)),IFERROR(INDEX(MUSTERILER!$B$7:$B$156,MATCH($U212&amp;"*",MUSTERILER!$T$7:$T$156,0)),"TANIMSIZ MÜŞTERİ"))))</f>
        <v/>
      </c>
      <c r="E212" s="61"/>
      <c r="F212" s="61"/>
      <c r="G212" s="60"/>
      <c r="H212" s="66"/>
      <c r="I212" s="66"/>
      <c r="J212" s="60"/>
      <c r="K212" s="60"/>
      <c r="L212" s="61"/>
      <c r="M212" s="61"/>
      <c r="N212" s="61"/>
      <c r="O212" s="66"/>
      <c r="P212" s="76" t="str">
        <f t="shared" ca="1" si="13"/>
        <v/>
      </c>
      <c r="Q212" s="65" t="str">
        <f t="shared" ca="1" si="14"/>
        <v/>
      </c>
      <c r="R212" s="2"/>
      <c r="S212" s="2"/>
      <c r="T212" s="1"/>
      <c r="U212" s="1" t="str">
        <f t="shared" si="15"/>
        <v/>
      </c>
    </row>
    <row r="213" spans="1:21" ht="18" customHeight="1" x14ac:dyDescent="0.3">
      <c r="A213" s="2"/>
      <c r="B213" s="65" t="str">
        <f t="shared" si="12"/>
        <v/>
      </c>
      <c r="C213" s="60"/>
      <c r="D213" s="65" t="str">
        <f>IF($E213="","",IFERROR(INDEX(MUSTERILER!$B$7:$B$156,MATCH($U213,MUSTERILER!$T$7:$T$156,0)),IFERROR(INDEX(MUSTERILER!$B$7:$B$156,MATCH($E213,MUSTERILER!$B$7:$B$156,0)),IFERROR(INDEX(MUSTERILER!$B$7:$B$156,MATCH($U213&amp;"*",MUSTERILER!$T$7:$T$156,0)),"TANIMSIZ MÜŞTERİ"))))</f>
        <v/>
      </c>
      <c r="E213" s="61"/>
      <c r="F213" s="61"/>
      <c r="G213" s="60"/>
      <c r="H213" s="66"/>
      <c r="I213" s="66"/>
      <c r="J213" s="60"/>
      <c r="K213" s="60"/>
      <c r="L213" s="61"/>
      <c r="M213" s="61"/>
      <c r="N213" s="61"/>
      <c r="O213" s="66"/>
      <c r="P213" s="76" t="str">
        <f t="shared" ca="1" si="13"/>
        <v/>
      </c>
      <c r="Q213" s="65" t="str">
        <f t="shared" ca="1" si="14"/>
        <v/>
      </c>
      <c r="R213" s="2"/>
      <c r="S213" s="2"/>
      <c r="T213" s="1"/>
      <c r="U213" s="1" t="str">
        <f t="shared" si="15"/>
        <v/>
      </c>
    </row>
    <row r="214" spans="1:21" ht="18" customHeight="1" x14ac:dyDescent="0.3">
      <c r="A214" s="2"/>
      <c r="B214" s="65" t="str">
        <f t="shared" si="12"/>
        <v/>
      </c>
      <c r="C214" s="60"/>
      <c r="D214" s="65" t="str">
        <f>IF($E214="","",IFERROR(INDEX(MUSTERILER!$B$7:$B$156,MATCH($U214,MUSTERILER!$T$7:$T$156,0)),IFERROR(INDEX(MUSTERILER!$B$7:$B$156,MATCH($E214,MUSTERILER!$B$7:$B$156,0)),IFERROR(INDEX(MUSTERILER!$B$7:$B$156,MATCH($U214&amp;"*",MUSTERILER!$T$7:$T$156,0)),"TANIMSIZ MÜŞTERİ"))))</f>
        <v/>
      </c>
      <c r="E214" s="61"/>
      <c r="F214" s="61"/>
      <c r="G214" s="60"/>
      <c r="H214" s="66"/>
      <c r="I214" s="66"/>
      <c r="J214" s="60"/>
      <c r="K214" s="60"/>
      <c r="L214" s="61"/>
      <c r="M214" s="61"/>
      <c r="N214" s="61"/>
      <c r="O214" s="66"/>
      <c r="P214" s="76" t="str">
        <f t="shared" ca="1" si="13"/>
        <v/>
      </c>
      <c r="Q214" s="65" t="str">
        <f t="shared" ca="1" si="14"/>
        <v/>
      </c>
      <c r="R214" s="2"/>
      <c r="S214" s="2"/>
      <c r="T214" s="1"/>
      <c r="U214" s="1" t="str">
        <f t="shared" si="15"/>
        <v/>
      </c>
    </row>
    <row r="215" spans="1:21" ht="18" customHeight="1" x14ac:dyDescent="0.3">
      <c r="A215" s="2"/>
      <c r="B215" s="65" t="str">
        <f t="shared" si="12"/>
        <v/>
      </c>
      <c r="C215" s="60"/>
      <c r="D215" s="65" t="str">
        <f>IF($E215="","",IFERROR(INDEX(MUSTERILER!$B$7:$B$156,MATCH($U215,MUSTERILER!$T$7:$T$156,0)),IFERROR(INDEX(MUSTERILER!$B$7:$B$156,MATCH($E215,MUSTERILER!$B$7:$B$156,0)),IFERROR(INDEX(MUSTERILER!$B$7:$B$156,MATCH($U215&amp;"*",MUSTERILER!$T$7:$T$156,0)),"TANIMSIZ MÜŞTERİ"))))</f>
        <v/>
      </c>
      <c r="E215" s="61"/>
      <c r="F215" s="61"/>
      <c r="G215" s="60"/>
      <c r="H215" s="66"/>
      <c r="I215" s="66"/>
      <c r="J215" s="60"/>
      <c r="K215" s="60"/>
      <c r="L215" s="61"/>
      <c r="M215" s="61"/>
      <c r="N215" s="61"/>
      <c r="O215" s="66"/>
      <c r="P215" s="76" t="str">
        <f t="shared" ca="1" si="13"/>
        <v/>
      </c>
      <c r="Q215" s="65" t="str">
        <f t="shared" ca="1" si="14"/>
        <v/>
      </c>
      <c r="R215" s="2"/>
      <c r="S215" s="2"/>
      <c r="T215" s="1"/>
      <c r="U215" s="1" t="str">
        <f t="shared" si="15"/>
        <v/>
      </c>
    </row>
    <row r="216" spans="1:21" ht="18" customHeight="1" x14ac:dyDescent="0.3">
      <c r="A216" s="2"/>
      <c r="B216" s="65" t="str">
        <f t="shared" si="12"/>
        <v/>
      </c>
      <c r="C216" s="60"/>
      <c r="D216" s="65" t="str">
        <f>IF($E216="","",IFERROR(INDEX(MUSTERILER!$B$7:$B$156,MATCH($U216,MUSTERILER!$T$7:$T$156,0)),IFERROR(INDEX(MUSTERILER!$B$7:$B$156,MATCH($E216,MUSTERILER!$B$7:$B$156,0)),IFERROR(INDEX(MUSTERILER!$B$7:$B$156,MATCH($U216&amp;"*",MUSTERILER!$T$7:$T$156,0)),"TANIMSIZ MÜŞTERİ"))))</f>
        <v/>
      </c>
      <c r="E216" s="61"/>
      <c r="F216" s="61"/>
      <c r="G216" s="60"/>
      <c r="H216" s="66"/>
      <c r="I216" s="66"/>
      <c r="J216" s="60"/>
      <c r="K216" s="60"/>
      <c r="L216" s="61"/>
      <c r="M216" s="61"/>
      <c r="N216" s="61"/>
      <c r="O216" s="66"/>
      <c r="P216" s="76" t="str">
        <f t="shared" ca="1" si="13"/>
        <v/>
      </c>
      <c r="Q216" s="65" t="str">
        <f t="shared" ca="1" si="14"/>
        <v/>
      </c>
      <c r="R216" s="2"/>
      <c r="S216" s="2"/>
      <c r="T216" s="1"/>
      <c r="U216" s="1" t="str">
        <f t="shared" si="15"/>
        <v/>
      </c>
    </row>
    <row r="217" spans="1:21" ht="18" customHeight="1" x14ac:dyDescent="0.3">
      <c r="A217" s="2"/>
      <c r="B217" s="65" t="str">
        <f t="shared" si="12"/>
        <v/>
      </c>
      <c r="C217" s="60"/>
      <c r="D217" s="65" t="str">
        <f>IF($E217="","",IFERROR(INDEX(MUSTERILER!$B$7:$B$156,MATCH($U217,MUSTERILER!$T$7:$T$156,0)),IFERROR(INDEX(MUSTERILER!$B$7:$B$156,MATCH($E217,MUSTERILER!$B$7:$B$156,0)),IFERROR(INDEX(MUSTERILER!$B$7:$B$156,MATCH($U217&amp;"*",MUSTERILER!$T$7:$T$156,0)),"TANIMSIZ MÜŞTERİ"))))</f>
        <v/>
      </c>
      <c r="E217" s="61"/>
      <c r="F217" s="61"/>
      <c r="G217" s="60"/>
      <c r="H217" s="66"/>
      <c r="I217" s="66"/>
      <c r="J217" s="60"/>
      <c r="K217" s="60"/>
      <c r="L217" s="61"/>
      <c r="M217" s="61"/>
      <c r="N217" s="61"/>
      <c r="O217" s="66"/>
      <c r="P217" s="76" t="str">
        <f t="shared" ca="1" si="13"/>
        <v/>
      </c>
      <c r="Q217" s="65" t="str">
        <f t="shared" ca="1" si="14"/>
        <v/>
      </c>
      <c r="R217" s="2"/>
      <c r="S217" s="2"/>
      <c r="T217" s="1"/>
      <c r="U217" s="1" t="str">
        <f t="shared" si="15"/>
        <v/>
      </c>
    </row>
    <row r="218" spans="1:21" ht="18" customHeight="1" x14ac:dyDescent="0.3">
      <c r="A218" s="2"/>
      <c r="B218" s="65" t="str">
        <f t="shared" si="12"/>
        <v/>
      </c>
      <c r="C218" s="60"/>
      <c r="D218" s="65" t="str">
        <f>IF($E218="","",IFERROR(INDEX(MUSTERILER!$B$7:$B$156,MATCH($U218,MUSTERILER!$T$7:$T$156,0)),IFERROR(INDEX(MUSTERILER!$B$7:$B$156,MATCH($E218,MUSTERILER!$B$7:$B$156,0)),IFERROR(INDEX(MUSTERILER!$B$7:$B$156,MATCH($U218&amp;"*",MUSTERILER!$T$7:$T$156,0)),"TANIMSIZ MÜŞTERİ"))))</f>
        <v/>
      </c>
      <c r="E218" s="61"/>
      <c r="F218" s="61"/>
      <c r="G218" s="60"/>
      <c r="H218" s="66"/>
      <c r="I218" s="66"/>
      <c r="J218" s="60"/>
      <c r="K218" s="60"/>
      <c r="L218" s="61"/>
      <c r="M218" s="61"/>
      <c r="N218" s="61"/>
      <c r="O218" s="66"/>
      <c r="P218" s="76" t="str">
        <f t="shared" ca="1" si="13"/>
        <v/>
      </c>
      <c r="Q218" s="65" t="str">
        <f t="shared" ca="1" si="14"/>
        <v/>
      </c>
      <c r="R218" s="2"/>
      <c r="S218" s="2"/>
      <c r="T218" s="1"/>
      <c r="U218" s="1" t="str">
        <f t="shared" si="15"/>
        <v/>
      </c>
    </row>
    <row r="219" spans="1:21" ht="18" customHeight="1" x14ac:dyDescent="0.3">
      <c r="A219" s="2"/>
      <c r="B219" s="65" t="str">
        <f t="shared" si="12"/>
        <v/>
      </c>
      <c r="C219" s="60"/>
      <c r="D219" s="65" t="str">
        <f>IF($E219="","",IFERROR(INDEX(MUSTERILER!$B$7:$B$156,MATCH($U219,MUSTERILER!$T$7:$T$156,0)),IFERROR(INDEX(MUSTERILER!$B$7:$B$156,MATCH($E219,MUSTERILER!$B$7:$B$156,0)),IFERROR(INDEX(MUSTERILER!$B$7:$B$156,MATCH($U219&amp;"*",MUSTERILER!$T$7:$T$156,0)),"TANIMSIZ MÜŞTERİ"))))</f>
        <v/>
      </c>
      <c r="E219" s="61"/>
      <c r="F219" s="61"/>
      <c r="G219" s="60"/>
      <c r="H219" s="66"/>
      <c r="I219" s="66"/>
      <c r="J219" s="60"/>
      <c r="K219" s="60"/>
      <c r="L219" s="61"/>
      <c r="M219" s="61"/>
      <c r="N219" s="61"/>
      <c r="O219" s="66"/>
      <c r="P219" s="76" t="str">
        <f t="shared" ca="1" si="13"/>
        <v/>
      </c>
      <c r="Q219" s="65" t="str">
        <f t="shared" ca="1" si="14"/>
        <v/>
      </c>
      <c r="R219" s="2"/>
      <c r="S219" s="2"/>
      <c r="T219" s="1"/>
      <c r="U219" s="1" t="str">
        <f t="shared" si="15"/>
        <v/>
      </c>
    </row>
    <row r="220" spans="1:21" ht="18" customHeight="1" x14ac:dyDescent="0.3">
      <c r="A220" s="2"/>
      <c r="B220" s="65" t="str">
        <f t="shared" si="12"/>
        <v/>
      </c>
      <c r="C220" s="60"/>
      <c r="D220" s="65" t="str">
        <f>IF($E220="","",IFERROR(INDEX(MUSTERILER!$B$7:$B$156,MATCH($U220,MUSTERILER!$T$7:$T$156,0)),IFERROR(INDEX(MUSTERILER!$B$7:$B$156,MATCH($E220,MUSTERILER!$B$7:$B$156,0)),IFERROR(INDEX(MUSTERILER!$B$7:$B$156,MATCH($U220&amp;"*",MUSTERILER!$T$7:$T$156,0)),"TANIMSIZ MÜŞTERİ"))))</f>
        <v/>
      </c>
      <c r="E220" s="61"/>
      <c r="F220" s="61"/>
      <c r="G220" s="60"/>
      <c r="H220" s="66"/>
      <c r="I220" s="66"/>
      <c r="J220" s="60"/>
      <c r="K220" s="60"/>
      <c r="L220" s="61"/>
      <c r="M220" s="61"/>
      <c r="N220" s="61"/>
      <c r="O220" s="66"/>
      <c r="P220" s="76" t="str">
        <f t="shared" ca="1" si="13"/>
        <v/>
      </c>
      <c r="Q220" s="65" t="str">
        <f t="shared" ca="1" si="14"/>
        <v/>
      </c>
      <c r="R220" s="2"/>
      <c r="S220" s="2"/>
      <c r="T220" s="1"/>
      <c r="U220" s="1" t="str">
        <f t="shared" si="15"/>
        <v/>
      </c>
    </row>
    <row r="221" spans="1:21" ht="18" customHeight="1" x14ac:dyDescent="0.3">
      <c r="A221" s="2"/>
      <c r="B221" s="65" t="str">
        <f t="shared" si="12"/>
        <v/>
      </c>
      <c r="C221" s="60"/>
      <c r="D221" s="65" t="str">
        <f>IF($E221="","",IFERROR(INDEX(MUSTERILER!$B$7:$B$156,MATCH($U221,MUSTERILER!$T$7:$T$156,0)),IFERROR(INDEX(MUSTERILER!$B$7:$B$156,MATCH($E221,MUSTERILER!$B$7:$B$156,0)),IFERROR(INDEX(MUSTERILER!$B$7:$B$156,MATCH($U221&amp;"*",MUSTERILER!$T$7:$T$156,0)),"TANIMSIZ MÜŞTERİ"))))</f>
        <v/>
      </c>
      <c r="E221" s="61"/>
      <c r="F221" s="61"/>
      <c r="G221" s="60"/>
      <c r="H221" s="66"/>
      <c r="I221" s="66"/>
      <c r="J221" s="60"/>
      <c r="K221" s="60"/>
      <c r="L221" s="61"/>
      <c r="M221" s="61"/>
      <c r="N221" s="61"/>
      <c r="O221" s="66"/>
      <c r="P221" s="76" t="str">
        <f t="shared" ca="1" si="13"/>
        <v/>
      </c>
      <c r="Q221" s="65" t="str">
        <f t="shared" ca="1" si="14"/>
        <v/>
      </c>
      <c r="R221" s="2"/>
      <c r="S221" s="2"/>
      <c r="T221" s="1"/>
      <c r="U221" s="1" t="str">
        <f t="shared" si="15"/>
        <v/>
      </c>
    </row>
    <row r="222" spans="1:21" ht="18" customHeight="1" x14ac:dyDescent="0.3">
      <c r="A222" s="2"/>
      <c r="B222" s="65" t="str">
        <f t="shared" si="12"/>
        <v/>
      </c>
      <c r="C222" s="60"/>
      <c r="D222" s="65" t="str">
        <f>IF($E222="","",IFERROR(INDEX(MUSTERILER!$B$7:$B$156,MATCH($U222,MUSTERILER!$T$7:$T$156,0)),IFERROR(INDEX(MUSTERILER!$B$7:$B$156,MATCH($E222,MUSTERILER!$B$7:$B$156,0)),IFERROR(INDEX(MUSTERILER!$B$7:$B$156,MATCH($U222&amp;"*",MUSTERILER!$T$7:$T$156,0)),"TANIMSIZ MÜŞTERİ"))))</f>
        <v/>
      </c>
      <c r="E222" s="61"/>
      <c r="F222" s="61"/>
      <c r="G222" s="60"/>
      <c r="H222" s="66"/>
      <c r="I222" s="66"/>
      <c r="J222" s="60"/>
      <c r="K222" s="60"/>
      <c r="L222" s="61"/>
      <c r="M222" s="61"/>
      <c r="N222" s="61"/>
      <c r="O222" s="66"/>
      <c r="P222" s="76" t="str">
        <f t="shared" ca="1" si="13"/>
        <v/>
      </c>
      <c r="Q222" s="65" t="str">
        <f t="shared" ca="1" si="14"/>
        <v/>
      </c>
      <c r="R222" s="2"/>
      <c r="S222" s="2"/>
      <c r="T222" s="1"/>
      <c r="U222" s="1" t="str">
        <f t="shared" si="15"/>
        <v/>
      </c>
    </row>
    <row r="223" spans="1:21" ht="18" customHeight="1" x14ac:dyDescent="0.3">
      <c r="A223" s="2"/>
      <c r="B223" s="65" t="str">
        <f t="shared" si="12"/>
        <v/>
      </c>
      <c r="C223" s="60"/>
      <c r="D223" s="65" t="str">
        <f>IF($E223="","",IFERROR(INDEX(MUSTERILER!$B$7:$B$156,MATCH($U223,MUSTERILER!$T$7:$T$156,0)),IFERROR(INDEX(MUSTERILER!$B$7:$B$156,MATCH($E223,MUSTERILER!$B$7:$B$156,0)),IFERROR(INDEX(MUSTERILER!$B$7:$B$156,MATCH($U223&amp;"*",MUSTERILER!$T$7:$T$156,0)),"TANIMSIZ MÜŞTERİ"))))</f>
        <v/>
      </c>
      <c r="E223" s="61"/>
      <c r="F223" s="61"/>
      <c r="G223" s="60"/>
      <c r="H223" s="66"/>
      <c r="I223" s="66"/>
      <c r="J223" s="60"/>
      <c r="K223" s="60"/>
      <c r="L223" s="61"/>
      <c r="M223" s="61"/>
      <c r="N223" s="61"/>
      <c r="O223" s="66"/>
      <c r="P223" s="76" t="str">
        <f t="shared" ca="1" si="13"/>
        <v/>
      </c>
      <c r="Q223" s="65" t="str">
        <f t="shared" ca="1" si="14"/>
        <v/>
      </c>
      <c r="R223" s="2"/>
      <c r="S223" s="2"/>
      <c r="T223" s="1"/>
      <c r="U223" s="1" t="str">
        <f t="shared" si="15"/>
        <v/>
      </c>
    </row>
    <row r="224" spans="1:21" ht="18" customHeight="1" x14ac:dyDescent="0.3">
      <c r="A224" s="2"/>
      <c r="B224" s="65" t="str">
        <f t="shared" si="12"/>
        <v/>
      </c>
      <c r="C224" s="60"/>
      <c r="D224" s="65" t="str">
        <f>IF($E224="","",IFERROR(INDEX(MUSTERILER!$B$7:$B$156,MATCH($U224,MUSTERILER!$T$7:$T$156,0)),IFERROR(INDEX(MUSTERILER!$B$7:$B$156,MATCH($E224,MUSTERILER!$B$7:$B$156,0)),IFERROR(INDEX(MUSTERILER!$B$7:$B$156,MATCH($U224&amp;"*",MUSTERILER!$T$7:$T$156,0)),"TANIMSIZ MÜŞTERİ"))))</f>
        <v/>
      </c>
      <c r="E224" s="61"/>
      <c r="F224" s="61"/>
      <c r="G224" s="60"/>
      <c r="H224" s="66"/>
      <c r="I224" s="66"/>
      <c r="J224" s="60"/>
      <c r="K224" s="60"/>
      <c r="L224" s="61"/>
      <c r="M224" s="61"/>
      <c r="N224" s="61"/>
      <c r="O224" s="66"/>
      <c r="P224" s="76" t="str">
        <f t="shared" ca="1" si="13"/>
        <v/>
      </c>
      <c r="Q224" s="65" t="str">
        <f t="shared" ca="1" si="14"/>
        <v/>
      </c>
      <c r="R224" s="2"/>
      <c r="S224" s="2"/>
      <c r="T224" s="1"/>
      <c r="U224" s="1" t="str">
        <f t="shared" si="15"/>
        <v/>
      </c>
    </row>
    <row r="225" spans="1:21" ht="18" customHeight="1" x14ac:dyDescent="0.3">
      <c r="A225" s="2"/>
      <c r="B225" s="65" t="str">
        <f t="shared" si="12"/>
        <v/>
      </c>
      <c r="C225" s="60"/>
      <c r="D225" s="65" t="str">
        <f>IF($E225="","",IFERROR(INDEX(MUSTERILER!$B$7:$B$156,MATCH($U225,MUSTERILER!$T$7:$T$156,0)),IFERROR(INDEX(MUSTERILER!$B$7:$B$156,MATCH($E225,MUSTERILER!$B$7:$B$156,0)),IFERROR(INDEX(MUSTERILER!$B$7:$B$156,MATCH($U225&amp;"*",MUSTERILER!$T$7:$T$156,0)),"TANIMSIZ MÜŞTERİ"))))</f>
        <v/>
      </c>
      <c r="E225" s="61"/>
      <c r="F225" s="61"/>
      <c r="G225" s="60"/>
      <c r="H225" s="66"/>
      <c r="I225" s="66"/>
      <c r="J225" s="60"/>
      <c r="K225" s="60"/>
      <c r="L225" s="61"/>
      <c r="M225" s="61"/>
      <c r="N225" s="61"/>
      <c r="O225" s="66"/>
      <c r="P225" s="76" t="str">
        <f t="shared" ca="1" si="13"/>
        <v/>
      </c>
      <c r="Q225" s="65" t="str">
        <f t="shared" ca="1" si="14"/>
        <v/>
      </c>
      <c r="R225" s="2"/>
      <c r="S225" s="2"/>
      <c r="T225" s="1"/>
      <c r="U225" s="1" t="str">
        <f t="shared" si="15"/>
        <v/>
      </c>
    </row>
    <row r="226" spans="1:21" ht="18" customHeight="1" x14ac:dyDescent="0.3">
      <c r="A226" s="2"/>
      <c r="B226" s="65" t="str">
        <f t="shared" si="12"/>
        <v/>
      </c>
      <c r="C226" s="60"/>
      <c r="D226" s="65" t="str">
        <f>IF($E226="","",IFERROR(INDEX(MUSTERILER!$B$7:$B$156,MATCH($U226,MUSTERILER!$T$7:$T$156,0)),IFERROR(INDEX(MUSTERILER!$B$7:$B$156,MATCH($E226,MUSTERILER!$B$7:$B$156,0)),IFERROR(INDEX(MUSTERILER!$B$7:$B$156,MATCH($U226&amp;"*",MUSTERILER!$T$7:$T$156,0)),"TANIMSIZ MÜŞTERİ"))))</f>
        <v/>
      </c>
      <c r="E226" s="61"/>
      <c r="F226" s="61"/>
      <c r="G226" s="60"/>
      <c r="H226" s="66"/>
      <c r="I226" s="66"/>
      <c r="J226" s="60"/>
      <c r="K226" s="60"/>
      <c r="L226" s="61"/>
      <c r="M226" s="61"/>
      <c r="N226" s="61"/>
      <c r="O226" s="66"/>
      <c r="P226" s="76" t="str">
        <f t="shared" ca="1" si="13"/>
        <v/>
      </c>
      <c r="Q226" s="65" t="str">
        <f t="shared" ca="1" si="14"/>
        <v/>
      </c>
      <c r="R226" s="2"/>
      <c r="S226" s="2"/>
      <c r="T226" s="1"/>
      <c r="U226" s="1" t="str">
        <f t="shared" si="15"/>
        <v/>
      </c>
    </row>
    <row r="227" spans="1:21" ht="18" customHeight="1" x14ac:dyDescent="0.3">
      <c r="A227" s="2"/>
      <c r="B227" s="65" t="str">
        <f t="shared" si="12"/>
        <v/>
      </c>
      <c r="C227" s="60"/>
      <c r="D227" s="65" t="str">
        <f>IF($E227="","",IFERROR(INDEX(MUSTERILER!$B$7:$B$156,MATCH($U227,MUSTERILER!$T$7:$T$156,0)),IFERROR(INDEX(MUSTERILER!$B$7:$B$156,MATCH($E227,MUSTERILER!$B$7:$B$156,0)),IFERROR(INDEX(MUSTERILER!$B$7:$B$156,MATCH($U227&amp;"*",MUSTERILER!$T$7:$T$156,0)),"TANIMSIZ MÜŞTERİ"))))</f>
        <v/>
      </c>
      <c r="E227" s="61"/>
      <c r="F227" s="61"/>
      <c r="G227" s="60"/>
      <c r="H227" s="66"/>
      <c r="I227" s="66"/>
      <c r="J227" s="60"/>
      <c r="K227" s="60"/>
      <c r="L227" s="61"/>
      <c r="M227" s="61"/>
      <c r="N227" s="61"/>
      <c r="O227" s="66"/>
      <c r="P227" s="76" t="str">
        <f t="shared" ca="1" si="13"/>
        <v/>
      </c>
      <c r="Q227" s="65" t="str">
        <f t="shared" ca="1" si="14"/>
        <v/>
      </c>
      <c r="R227" s="2"/>
      <c r="S227" s="2"/>
      <c r="T227" s="1"/>
      <c r="U227" s="1" t="str">
        <f t="shared" si="15"/>
        <v/>
      </c>
    </row>
    <row r="228" spans="1:21" ht="18" customHeight="1" x14ac:dyDescent="0.3">
      <c r="A228" s="2"/>
      <c r="B228" s="65" t="str">
        <f t="shared" si="12"/>
        <v/>
      </c>
      <c r="C228" s="60"/>
      <c r="D228" s="65" t="str">
        <f>IF($E228="","",IFERROR(INDEX(MUSTERILER!$B$7:$B$156,MATCH($U228,MUSTERILER!$T$7:$T$156,0)),IFERROR(INDEX(MUSTERILER!$B$7:$B$156,MATCH($E228,MUSTERILER!$B$7:$B$156,0)),IFERROR(INDEX(MUSTERILER!$B$7:$B$156,MATCH($U228&amp;"*",MUSTERILER!$T$7:$T$156,0)),"TANIMSIZ MÜŞTERİ"))))</f>
        <v/>
      </c>
      <c r="E228" s="61"/>
      <c r="F228" s="61"/>
      <c r="G228" s="60"/>
      <c r="H228" s="66"/>
      <c r="I228" s="66"/>
      <c r="J228" s="60"/>
      <c r="K228" s="60"/>
      <c r="L228" s="61"/>
      <c r="M228" s="61"/>
      <c r="N228" s="61"/>
      <c r="O228" s="66"/>
      <c r="P228" s="76" t="str">
        <f t="shared" ca="1" si="13"/>
        <v/>
      </c>
      <c r="Q228" s="65" t="str">
        <f t="shared" ca="1" si="14"/>
        <v/>
      </c>
      <c r="R228" s="2"/>
      <c r="S228" s="2"/>
      <c r="T228" s="1"/>
      <c r="U228" s="1" t="str">
        <f t="shared" si="15"/>
        <v/>
      </c>
    </row>
    <row r="229" spans="1:21" ht="18" customHeight="1" x14ac:dyDescent="0.3">
      <c r="A229" s="2"/>
      <c r="B229" s="65" t="str">
        <f t="shared" si="12"/>
        <v/>
      </c>
      <c r="C229" s="60"/>
      <c r="D229" s="65" t="str">
        <f>IF($E229="","",IFERROR(INDEX(MUSTERILER!$B$7:$B$156,MATCH($U229,MUSTERILER!$T$7:$T$156,0)),IFERROR(INDEX(MUSTERILER!$B$7:$B$156,MATCH($E229,MUSTERILER!$B$7:$B$156,0)),IFERROR(INDEX(MUSTERILER!$B$7:$B$156,MATCH($U229&amp;"*",MUSTERILER!$T$7:$T$156,0)),"TANIMSIZ MÜŞTERİ"))))</f>
        <v/>
      </c>
      <c r="E229" s="61"/>
      <c r="F229" s="61"/>
      <c r="G229" s="60"/>
      <c r="H229" s="66"/>
      <c r="I229" s="66"/>
      <c r="J229" s="60"/>
      <c r="K229" s="60"/>
      <c r="L229" s="61"/>
      <c r="M229" s="61"/>
      <c r="N229" s="61"/>
      <c r="O229" s="66"/>
      <c r="P229" s="76" t="str">
        <f t="shared" ca="1" si="13"/>
        <v/>
      </c>
      <c r="Q229" s="65" t="str">
        <f t="shared" ca="1" si="14"/>
        <v/>
      </c>
      <c r="R229" s="2"/>
      <c r="S229" s="2"/>
      <c r="T229" s="1"/>
      <c r="U229" s="1" t="str">
        <f t="shared" si="15"/>
        <v/>
      </c>
    </row>
    <row r="230" spans="1:21" ht="18" customHeight="1" x14ac:dyDescent="0.3">
      <c r="A230" s="2"/>
      <c r="B230" s="65" t="str">
        <f t="shared" si="12"/>
        <v/>
      </c>
      <c r="C230" s="60"/>
      <c r="D230" s="65" t="str">
        <f>IF($E230="","",IFERROR(INDEX(MUSTERILER!$B$7:$B$156,MATCH($U230,MUSTERILER!$T$7:$T$156,0)),IFERROR(INDEX(MUSTERILER!$B$7:$B$156,MATCH($E230,MUSTERILER!$B$7:$B$156,0)),IFERROR(INDEX(MUSTERILER!$B$7:$B$156,MATCH($U230&amp;"*",MUSTERILER!$T$7:$T$156,0)),"TANIMSIZ MÜŞTERİ"))))</f>
        <v/>
      </c>
      <c r="E230" s="61"/>
      <c r="F230" s="61"/>
      <c r="G230" s="60"/>
      <c r="H230" s="66"/>
      <c r="I230" s="66"/>
      <c r="J230" s="60"/>
      <c r="K230" s="60"/>
      <c r="L230" s="61"/>
      <c r="M230" s="61"/>
      <c r="N230" s="61"/>
      <c r="O230" s="66"/>
      <c r="P230" s="76" t="str">
        <f t="shared" ca="1" si="13"/>
        <v/>
      </c>
      <c r="Q230" s="65" t="str">
        <f t="shared" ca="1" si="14"/>
        <v/>
      </c>
      <c r="R230" s="2"/>
      <c r="S230" s="2"/>
      <c r="T230" s="1"/>
      <c r="U230" s="1" t="str">
        <f t="shared" si="15"/>
        <v/>
      </c>
    </row>
    <row r="231" spans="1:21" ht="18" customHeight="1" x14ac:dyDescent="0.3">
      <c r="A231" s="2"/>
      <c r="B231" s="65" t="str">
        <f t="shared" si="12"/>
        <v/>
      </c>
      <c r="C231" s="60"/>
      <c r="D231" s="65" t="str">
        <f>IF($E231="","",IFERROR(INDEX(MUSTERILER!$B$7:$B$156,MATCH($U231,MUSTERILER!$T$7:$T$156,0)),IFERROR(INDEX(MUSTERILER!$B$7:$B$156,MATCH($E231,MUSTERILER!$B$7:$B$156,0)),IFERROR(INDEX(MUSTERILER!$B$7:$B$156,MATCH($U231&amp;"*",MUSTERILER!$T$7:$T$156,0)),"TANIMSIZ MÜŞTERİ"))))</f>
        <v/>
      </c>
      <c r="E231" s="61"/>
      <c r="F231" s="61"/>
      <c r="G231" s="60"/>
      <c r="H231" s="66"/>
      <c r="I231" s="66"/>
      <c r="J231" s="60"/>
      <c r="K231" s="60"/>
      <c r="L231" s="61"/>
      <c r="M231" s="61"/>
      <c r="N231" s="61"/>
      <c r="O231" s="66"/>
      <c r="P231" s="76" t="str">
        <f t="shared" ca="1" si="13"/>
        <v/>
      </c>
      <c r="Q231" s="65" t="str">
        <f t="shared" ca="1" si="14"/>
        <v/>
      </c>
      <c r="R231" s="2"/>
      <c r="S231" s="2"/>
      <c r="T231" s="1"/>
      <c r="U231" s="1" t="str">
        <f t="shared" si="15"/>
        <v/>
      </c>
    </row>
    <row r="232" spans="1:21" ht="18" customHeight="1" x14ac:dyDescent="0.3">
      <c r="A232" s="2"/>
      <c r="B232" s="65" t="str">
        <f t="shared" si="12"/>
        <v/>
      </c>
      <c r="C232" s="60"/>
      <c r="D232" s="65" t="str">
        <f>IF($E232="","",IFERROR(INDEX(MUSTERILER!$B$7:$B$156,MATCH($U232,MUSTERILER!$T$7:$T$156,0)),IFERROR(INDEX(MUSTERILER!$B$7:$B$156,MATCH($E232,MUSTERILER!$B$7:$B$156,0)),IFERROR(INDEX(MUSTERILER!$B$7:$B$156,MATCH($U232&amp;"*",MUSTERILER!$T$7:$T$156,0)),"TANIMSIZ MÜŞTERİ"))))</f>
        <v/>
      </c>
      <c r="E232" s="61"/>
      <c r="F232" s="61"/>
      <c r="G232" s="60"/>
      <c r="H232" s="66"/>
      <c r="I232" s="66"/>
      <c r="J232" s="60"/>
      <c r="K232" s="60"/>
      <c r="L232" s="61"/>
      <c r="M232" s="61"/>
      <c r="N232" s="61"/>
      <c r="O232" s="66"/>
      <c r="P232" s="76" t="str">
        <f t="shared" ca="1" si="13"/>
        <v/>
      </c>
      <c r="Q232" s="65" t="str">
        <f t="shared" ca="1" si="14"/>
        <v/>
      </c>
      <c r="R232" s="2"/>
      <c r="S232" s="2"/>
      <c r="T232" s="1"/>
      <c r="U232" s="1" t="str">
        <f t="shared" si="15"/>
        <v/>
      </c>
    </row>
    <row r="233" spans="1:21" ht="18" customHeight="1" x14ac:dyDescent="0.3">
      <c r="A233" s="2"/>
      <c r="B233" s="65" t="str">
        <f t="shared" si="12"/>
        <v/>
      </c>
      <c r="C233" s="60"/>
      <c r="D233" s="65" t="str">
        <f>IF($E233="","",IFERROR(INDEX(MUSTERILER!$B$7:$B$156,MATCH($U233,MUSTERILER!$T$7:$T$156,0)),IFERROR(INDEX(MUSTERILER!$B$7:$B$156,MATCH($E233,MUSTERILER!$B$7:$B$156,0)),IFERROR(INDEX(MUSTERILER!$B$7:$B$156,MATCH($U233&amp;"*",MUSTERILER!$T$7:$T$156,0)),"TANIMSIZ MÜŞTERİ"))))</f>
        <v/>
      </c>
      <c r="E233" s="61"/>
      <c r="F233" s="61"/>
      <c r="G233" s="60"/>
      <c r="H233" s="66"/>
      <c r="I233" s="66"/>
      <c r="J233" s="60"/>
      <c r="K233" s="60"/>
      <c r="L233" s="61"/>
      <c r="M233" s="61"/>
      <c r="N233" s="61"/>
      <c r="O233" s="66"/>
      <c r="P233" s="76" t="str">
        <f t="shared" ca="1" si="13"/>
        <v/>
      </c>
      <c r="Q233" s="65" t="str">
        <f t="shared" ca="1" si="14"/>
        <v/>
      </c>
      <c r="R233" s="2"/>
      <c r="S233" s="2"/>
      <c r="T233" s="1"/>
      <c r="U233" s="1" t="str">
        <f t="shared" si="15"/>
        <v/>
      </c>
    </row>
    <row r="234" spans="1:21" ht="18" customHeight="1" x14ac:dyDescent="0.3">
      <c r="A234" s="2"/>
      <c r="B234" s="65" t="str">
        <f t="shared" si="12"/>
        <v/>
      </c>
      <c r="C234" s="60"/>
      <c r="D234" s="65" t="str">
        <f>IF($E234="","",IFERROR(INDEX(MUSTERILER!$B$7:$B$156,MATCH($U234,MUSTERILER!$T$7:$T$156,0)),IFERROR(INDEX(MUSTERILER!$B$7:$B$156,MATCH($E234,MUSTERILER!$B$7:$B$156,0)),IFERROR(INDEX(MUSTERILER!$B$7:$B$156,MATCH($U234&amp;"*",MUSTERILER!$T$7:$T$156,0)),"TANIMSIZ MÜŞTERİ"))))</f>
        <v/>
      </c>
      <c r="E234" s="61"/>
      <c r="F234" s="61"/>
      <c r="G234" s="60"/>
      <c r="H234" s="66"/>
      <c r="I234" s="66"/>
      <c r="J234" s="60"/>
      <c r="K234" s="60"/>
      <c r="L234" s="61"/>
      <c r="M234" s="61"/>
      <c r="N234" s="61"/>
      <c r="O234" s="66"/>
      <c r="P234" s="76" t="str">
        <f t="shared" ca="1" si="13"/>
        <v/>
      </c>
      <c r="Q234" s="65" t="str">
        <f t="shared" ca="1" si="14"/>
        <v/>
      </c>
      <c r="R234" s="2"/>
      <c r="S234" s="2"/>
      <c r="T234" s="1"/>
      <c r="U234" s="1" t="str">
        <f t="shared" si="15"/>
        <v/>
      </c>
    </row>
    <row r="235" spans="1:21" ht="18" customHeight="1" x14ac:dyDescent="0.3">
      <c r="A235" s="2"/>
      <c r="B235" s="65" t="str">
        <f t="shared" si="12"/>
        <v/>
      </c>
      <c r="C235" s="60"/>
      <c r="D235" s="65" t="str">
        <f>IF($E235="","",IFERROR(INDEX(MUSTERILER!$B$7:$B$156,MATCH($U235,MUSTERILER!$T$7:$T$156,0)),IFERROR(INDEX(MUSTERILER!$B$7:$B$156,MATCH($E235,MUSTERILER!$B$7:$B$156,0)),IFERROR(INDEX(MUSTERILER!$B$7:$B$156,MATCH($U235&amp;"*",MUSTERILER!$T$7:$T$156,0)),"TANIMSIZ MÜŞTERİ"))))</f>
        <v/>
      </c>
      <c r="E235" s="61"/>
      <c r="F235" s="61"/>
      <c r="G235" s="60"/>
      <c r="H235" s="66"/>
      <c r="I235" s="66"/>
      <c r="J235" s="60"/>
      <c r="K235" s="60"/>
      <c r="L235" s="61"/>
      <c r="M235" s="61"/>
      <c r="N235" s="61"/>
      <c r="O235" s="66"/>
      <c r="P235" s="76" t="str">
        <f t="shared" ca="1" si="13"/>
        <v/>
      </c>
      <c r="Q235" s="65" t="str">
        <f t="shared" ca="1" si="14"/>
        <v/>
      </c>
      <c r="R235" s="2"/>
      <c r="S235" s="2"/>
      <c r="T235" s="1"/>
      <c r="U235" s="1" t="str">
        <f t="shared" si="15"/>
        <v/>
      </c>
    </row>
    <row r="236" spans="1:21" ht="18" customHeight="1" x14ac:dyDescent="0.3">
      <c r="A236" s="2"/>
      <c r="B236" s="65" t="str">
        <f t="shared" si="12"/>
        <v/>
      </c>
      <c r="C236" s="60"/>
      <c r="D236" s="65" t="str">
        <f>IF($E236="","",IFERROR(INDEX(MUSTERILER!$B$7:$B$156,MATCH($U236,MUSTERILER!$T$7:$T$156,0)),IFERROR(INDEX(MUSTERILER!$B$7:$B$156,MATCH($E236,MUSTERILER!$B$7:$B$156,0)),IFERROR(INDEX(MUSTERILER!$B$7:$B$156,MATCH($U236&amp;"*",MUSTERILER!$T$7:$T$156,0)),"TANIMSIZ MÜŞTERİ"))))</f>
        <v/>
      </c>
      <c r="E236" s="61"/>
      <c r="F236" s="61"/>
      <c r="G236" s="60"/>
      <c r="H236" s="66"/>
      <c r="I236" s="66"/>
      <c r="J236" s="60"/>
      <c r="K236" s="60"/>
      <c r="L236" s="61"/>
      <c r="M236" s="61"/>
      <c r="N236" s="61"/>
      <c r="O236" s="66"/>
      <c r="P236" s="76" t="str">
        <f t="shared" ca="1" si="13"/>
        <v/>
      </c>
      <c r="Q236" s="65" t="str">
        <f t="shared" ca="1" si="14"/>
        <v/>
      </c>
      <c r="R236" s="2"/>
      <c r="S236" s="2"/>
      <c r="T236" s="1"/>
      <c r="U236" s="1" t="str">
        <f t="shared" si="15"/>
        <v/>
      </c>
    </row>
    <row r="237" spans="1:21" ht="18" customHeight="1" x14ac:dyDescent="0.3">
      <c r="A237" s="2"/>
      <c r="B237" s="65" t="str">
        <f t="shared" si="12"/>
        <v/>
      </c>
      <c r="C237" s="60"/>
      <c r="D237" s="65" t="str">
        <f>IF($E237="","",IFERROR(INDEX(MUSTERILER!$B$7:$B$156,MATCH($U237,MUSTERILER!$T$7:$T$156,0)),IFERROR(INDEX(MUSTERILER!$B$7:$B$156,MATCH($E237,MUSTERILER!$B$7:$B$156,0)),IFERROR(INDEX(MUSTERILER!$B$7:$B$156,MATCH($U237&amp;"*",MUSTERILER!$T$7:$T$156,0)),"TANIMSIZ MÜŞTERİ"))))</f>
        <v/>
      </c>
      <c r="E237" s="61"/>
      <c r="F237" s="61"/>
      <c r="G237" s="60"/>
      <c r="H237" s="66"/>
      <c r="I237" s="66"/>
      <c r="J237" s="60"/>
      <c r="K237" s="60"/>
      <c r="L237" s="61"/>
      <c r="M237" s="61"/>
      <c r="N237" s="61"/>
      <c r="O237" s="66"/>
      <c r="P237" s="76" t="str">
        <f t="shared" ca="1" si="13"/>
        <v/>
      </c>
      <c r="Q237" s="65" t="str">
        <f t="shared" ca="1" si="14"/>
        <v/>
      </c>
      <c r="R237" s="2"/>
      <c r="S237" s="2"/>
      <c r="T237" s="1"/>
      <c r="U237" s="1" t="str">
        <f t="shared" si="15"/>
        <v/>
      </c>
    </row>
    <row r="238" spans="1:21" ht="18" customHeight="1" x14ac:dyDescent="0.3">
      <c r="A238" s="2"/>
      <c r="B238" s="65" t="str">
        <f t="shared" si="12"/>
        <v/>
      </c>
      <c r="C238" s="60"/>
      <c r="D238" s="65" t="str">
        <f>IF($E238="","",IFERROR(INDEX(MUSTERILER!$B$7:$B$156,MATCH($U238,MUSTERILER!$T$7:$T$156,0)),IFERROR(INDEX(MUSTERILER!$B$7:$B$156,MATCH($E238,MUSTERILER!$B$7:$B$156,0)),IFERROR(INDEX(MUSTERILER!$B$7:$B$156,MATCH($U238&amp;"*",MUSTERILER!$T$7:$T$156,0)),"TANIMSIZ MÜŞTERİ"))))</f>
        <v/>
      </c>
      <c r="E238" s="61"/>
      <c r="F238" s="61"/>
      <c r="G238" s="60"/>
      <c r="H238" s="66"/>
      <c r="I238" s="66"/>
      <c r="J238" s="60"/>
      <c r="K238" s="60"/>
      <c r="L238" s="61"/>
      <c r="M238" s="61"/>
      <c r="N238" s="61"/>
      <c r="O238" s="66"/>
      <c r="P238" s="76" t="str">
        <f t="shared" ca="1" si="13"/>
        <v/>
      </c>
      <c r="Q238" s="65" t="str">
        <f t="shared" ca="1" si="14"/>
        <v/>
      </c>
      <c r="R238" s="2"/>
      <c r="S238" s="2"/>
      <c r="T238" s="1"/>
      <c r="U238" s="1" t="str">
        <f t="shared" si="15"/>
        <v/>
      </c>
    </row>
    <row r="239" spans="1:21" ht="18" customHeight="1" x14ac:dyDescent="0.3">
      <c r="A239" s="2"/>
      <c r="B239" s="65" t="str">
        <f t="shared" si="12"/>
        <v/>
      </c>
      <c r="C239" s="60"/>
      <c r="D239" s="65" t="str">
        <f>IF($E239="","",IFERROR(INDEX(MUSTERILER!$B$7:$B$156,MATCH($U239,MUSTERILER!$T$7:$T$156,0)),IFERROR(INDEX(MUSTERILER!$B$7:$B$156,MATCH($E239,MUSTERILER!$B$7:$B$156,0)),IFERROR(INDEX(MUSTERILER!$B$7:$B$156,MATCH($U239&amp;"*",MUSTERILER!$T$7:$T$156,0)),"TANIMSIZ MÜŞTERİ"))))</f>
        <v/>
      </c>
      <c r="E239" s="61"/>
      <c r="F239" s="61"/>
      <c r="G239" s="60"/>
      <c r="H239" s="66"/>
      <c r="I239" s="66"/>
      <c r="J239" s="60"/>
      <c r="K239" s="60"/>
      <c r="L239" s="61"/>
      <c r="M239" s="61"/>
      <c r="N239" s="61"/>
      <c r="O239" s="66"/>
      <c r="P239" s="76" t="str">
        <f t="shared" ca="1" si="13"/>
        <v/>
      </c>
      <c r="Q239" s="65" t="str">
        <f t="shared" ca="1" si="14"/>
        <v/>
      </c>
      <c r="R239" s="2"/>
      <c r="S239" s="2"/>
      <c r="T239" s="1"/>
      <c r="U239" s="1" t="str">
        <f t="shared" si="15"/>
        <v/>
      </c>
    </row>
    <row r="240" spans="1:21" ht="18" customHeight="1" x14ac:dyDescent="0.3">
      <c r="A240" s="2"/>
      <c r="B240" s="65" t="str">
        <f t="shared" si="12"/>
        <v/>
      </c>
      <c r="C240" s="60"/>
      <c r="D240" s="65" t="str">
        <f>IF($E240="","",IFERROR(INDEX(MUSTERILER!$B$7:$B$156,MATCH($U240,MUSTERILER!$T$7:$T$156,0)),IFERROR(INDEX(MUSTERILER!$B$7:$B$156,MATCH($E240,MUSTERILER!$B$7:$B$156,0)),IFERROR(INDEX(MUSTERILER!$B$7:$B$156,MATCH($U240&amp;"*",MUSTERILER!$T$7:$T$156,0)),"TANIMSIZ MÜŞTERİ"))))</f>
        <v/>
      </c>
      <c r="E240" s="61"/>
      <c r="F240" s="61"/>
      <c r="G240" s="60"/>
      <c r="H240" s="66"/>
      <c r="I240" s="66"/>
      <c r="J240" s="60"/>
      <c r="K240" s="60"/>
      <c r="L240" s="61"/>
      <c r="M240" s="61"/>
      <c r="N240" s="61"/>
      <c r="O240" s="66"/>
      <c r="P240" s="76" t="str">
        <f t="shared" ca="1" si="13"/>
        <v/>
      </c>
      <c r="Q240" s="65" t="str">
        <f t="shared" ca="1" si="14"/>
        <v/>
      </c>
      <c r="R240" s="2"/>
      <c r="S240" s="2"/>
      <c r="T240" s="1"/>
      <c r="U240" s="1" t="str">
        <f t="shared" si="15"/>
        <v/>
      </c>
    </row>
    <row r="241" spans="1:21" ht="18" customHeight="1" x14ac:dyDescent="0.3">
      <c r="A241" s="2"/>
      <c r="B241" s="65" t="str">
        <f t="shared" si="12"/>
        <v/>
      </c>
      <c r="C241" s="60"/>
      <c r="D241" s="65" t="str">
        <f>IF($E241="","",IFERROR(INDEX(MUSTERILER!$B$7:$B$156,MATCH($U241,MUSTERILER!$T$7:$T$156,0)),IFERROR(INDEX(MUSTERILER!$B$7:$B$156,MATCH($E241,MUSTERILER!$B$7:$B$156,0)),IFERROR(INDEX(MUSTERILER!$B$7:$B$156,MATCH($U241&amp;"*",MUSTERILER!$T$7:$T$156,0)),"TANIMSIZ MÜŞTERİ"))))</f>
        <v/>
      </c>
      <c r="E241" s="61"/>
      <c r="F241" s="61"/>
      <c r="G241" s="60"/>
      <c r="H241" s="66"/>
      <c r="I241" s="66"/>
      <c r="J241" s="60"/>
      <c r="K241" s="60"/>
      <c r="L241" s="61"/>
      <c r="M241" s="61"/>
      <c r="N241" s="61"/>
      <c r="O241" s="66"/>
      <c r="P241" s="76" t="str">
        <f t="shared" ca="1" si="13"/>
        <v/>
      </c>
      <c r="Q241" s="65" t="str">
        <f t="shared" ca="1" si="14"/>
        <v/>
      </c>
      <c r="R241" s="2"/>
      <c r="S241" s="2"/>
      <c r="T241" s="1"/>
      <c r="U241" s="1" t="str">
        <f t="shared" si="15"/>
        <v/>
      </c>
    </row>
    <row r="242" spans="1:21" ht="18" customHeight="1" x14ac:dyDescent="0.3">
      <c r="A242" s="2"/>
      <c r="B242" s="65" t="str">
        <f t="shared" si="12"/>
        <v/>
      </c>
      <c r="C242" s="60"/>
      <c r="D242" s="65" t="str">
        <f>IF($E242="","",IFERROR(INDEX(MUSTERILER!$B$7:$B$156,MATCH($U242,MUSTERILER!$T$7:$T$156,0)),IFERROR(INDEX(MUSTERILER!$B$7:$B$156,MATCH($E242,MUSTERILER!$B$7:$B$156,0)),IFERROR(INDEX(MUSTERILER!$B$7:$B$156,MATCH($U242&amp;"*",MUSTERILER!$T$7:$T$156,0)),"TANIMSIZ MÜŞTERİ"))))</f>
        <v/>
      </c>
      <c r="E242" s="61"/>
      <c r="F242" s="61"/>
      <c r="G242" s="60"/>
      <c r="H242" s="66"/>
      <c r="I242" s="66"/>
      <c r="J242" s="60"/>
      <c r="K242" s="60"/>
      <c r="L242" s="61"/>
      <c r="M242" s="61"/>
      <c r="N242" s="61"/>
      <c r="O242" s="66"/>
      <c r="P242" s="76" t="str">
        <f t="shared" ca="1" si="13"/>
        <v/>
      </c>
      <c r="Q242" s="65" t="str">
        <f t="shared" ca="1" si="14"/>
        <v/>
      </c>
      <c r="R242" s="2"/>
      <c r="S242" s="2"/>
      <c r="T242" s="1"/>
      <c r="U242" s="1" t="str">
        <f t="shared" si="15"/>
        <v/>
      </c>
    </row>
    <row r="243" spans="1:21" ht="18" customHeight="1" x14ac:dyDescent="0.3">
      <c r="A243" s="2"/>
      <c r="B243" s="65" t="str">
        <f t="shared" si="12"/>
        <v/>
      </c>
      <c r="C243" s="60"/>
      <c r="D243" s="65" t="str">
        <f>IF($E243="","",IFERROR(INDEX(MUSTERILER!$B$7:$B$156,MATCH($U243,MUSTERILER!$T$7:$T$156,0)),IFERROR(INDEX(MUSTERILER!$B$7:$B$156,MATCH($E243,MUSTERILER!$B$7:$B$156,0)),IFERROR(INDEX(MUSTERILER!$B$7:$B$156,MATCH($U243&amp;"*",MUSTERILER!$T$7:$T$156,0)),"TANIMSIZ MÜŞTERİ"))))</f>
        <v/>
      </c>
      <c r="E243" s="61"/>
      <c r="F243" s="61"/>
      <c r="G243" s="60"/>
      <c r="H243" s="66"/>
      <c r="I243" s="66"/>
      <c r="J243" s="60"/>
      <c r="K243" s="60"/>
      <c r="L243" s="61"/>
      <c r="M243" s="61"/>
      <c r="N243" s="61"/>
      <c r="O243" s="66"/>
      <c r="P243" s="76" t="str">
        <f t="shared" ca="1" si="13"/>
        <v/>
      </c>
      <c r="Q243" s="65" t="str">
        <f t="shared" ca="1" si="14"/>
        <v/>
      </c>
      <c r="R243" s="2"/>
      <c r="S243" s="2"/>
      <c r="T243" s="1"/>
      <c r="U243" s="1" t="str">
        <f t="shared" si="15"/>
        <v/>
      </c>
    </row>
    <row r="244" spans="1:21" ht="18" customHeight="1" x14ac:dyDescent="0.3">
      <c r="A244" s="2"/>
      <c r="B244" s="65" t="str">
        <f t="shared" si="12"/>
        <v/>
      </c>
      <c r="C244" s="60"/>
      <c r="D244" s="65" t="str">
        <f>IF($E244="","",IFERROR(INDEX(MUSTERILER!$B$7:$B$156,MATCH($U244,MUSTERILER!$T$7:$T$156,0)),IFERROR(INDEX(MUSTERILER!$B$7:$B$156,MATCH($E244,MUSTERILER!$B$7:$B$156,0)),IFERROR(INDEX(MUSTERILER!$B$7:$B$156,MATCH($U244&amp;"*",MUSTERILER!$T$7:$T$156,0)),"TANIMSIZ MÜŞTERİ"))))</f>
        <v/>
      </c>
      <c r="E244" s="61"/>
      <c r="F244" s="61"/>
      <c r="G244" s="60"/>
      <c r="H244" s="66"/>
      <c r="I244" s="66"/>
      <c r="J244" s="60"/>
      <c r="K244" s="60"/>
      <c r="L244" s="61"/>
      <c r="M244" s="61"/>
      <c r="N244" s="61"/>
      <c r="O244" s="66"/>
      <c r="P244" s="76" t="str">
        <f t="shared" ca="1" si="13"/>
        <v/>
      </c>
      <c r="Q244" s="65" t="str">
        <f t="shared" ca="1" si="14"/>
        <v/>
      </c>
      <c r="R244" s="2"/>
      <c r="S244" s="2"/>
      <c r="T244" s="1"/>
      <c r="U244" s="1" t="str">
        <f t="shared" si="15"/>
        <v/>
      </c>
    </row>
    <row r="245" spans="1:21" ht="18" customHeight="1" x14ac:dyDescent="0.3">
      <c r="A245" s="2"/>
      <c r="B245" s="65" t="str">
        <f t="shared" si="12"/>
        <v/>
      </c>
      <c r="C245" s="60"/>
      <c r="D245" s="65" t="str">
        <f>IF($E245="","",IFERROR(INDEX(MUSTERILER!$B$7:$B$156,MATCH($U245,MUSTERILER!$T$7:$T$156,0)),IFERROR(INDEX(MUSTERILER!$B$7:$B$156,MATCH($E245,MUSTERILER!$B$7:$B$156,0)),IFERROR(INDEX(MUSTERILER!$B$7:$B$156,MATCH($U245&amp;"*",MUSTERILER!$T$7:$T$156,0)),"TANIMSIZ MÜŞTERİ"))))</f>
        <v/>
      </c>
      <c r="E245" s="61"/>
      <c r="F245" s="61"/>
      <c r="G245" s="60"/>
      <c r="H245" s="66"/>
      <c r="I245" s="66"/>
      <c r="J245" s="60"/>
      <c r="K245" s="60"/>
      <c r="L245" s="61"/>
      <c r="M245" s="61"/>
      <c r="N245" s="61"/>
      <c r="O245" s="66"/>
      <c r="P245" s="76" t="str">
        <f t="shared" ca="1" si="13"/>
        <v/>
      </c>
      <c r="Q245" s="65" t="str">
        <f t="shared" ca="1" si="14"/>
        <v/>
      </c>
      <c r="R245" s="2"/>
      <c r="S245" s="2"/>
      <c r="T245" s="1"/>
      <c r="U245" s="1" t="str">
        <f t="shared" si="15"/>
        <v/>
      </c>
    </row>
    <row r="246" spans="1:21" ht="18" customHeight="1" x14ac:dyDescent="0.3">
      <c r="A246" s="2"/>
      <c r="B246" s="65" t="str">
        <f t="shared" si="12"/>
        <v/>
      </c>
      <c r="C246" s="60"/>
      <c r="D246" s="65" t="str">
        <f>IF($E246="","",IFERROR(INDEX(MUSTERILER!$B$7:$B$156,MATCH($U246,MUSTERILER!$T$7:$T$156,0)),IFERROR(INDEX(MUSTERILER!$B$7:$B$156,MATCH($E246,MUSTERILER!$B$7:$B$156,0)),IFERROR(INDEX(MUSTERILER!$B$7:$B$156,MATCH($U246&amp;"*",MUSTERILER!$T$7:$T$156,0)),"TANIMSIZ MÜŞTERİ"))))</f>
        <v/>
      </c>
      <c r="E246" s="61"/>
      <c r="F246" s="61"/>
      <c r="G246" s="60"/>
      <c r="H246" s="66"/>
      <c r="I246" s="66"/>
      <c r="J246" s="60"/>
      <c r="K246" s="60"/>
      <c r="L246" s="61"/>
      <c r="M246" s="61"/>
      <c r="N246" s="61"/>
      <c r="O246" s="66"/>
      <c r="P246" s="76" t="str">
        <f t="shared" ca="1" si="13"/>
        <v/>
      </c>
      <c r="Q246" s="65" t="str">
        <f t="shared" ca="1" si="14"/>
        <v/>
      </c>
      <c r="R246" s="2"/>
      <c r="S246" s="2"/>
      <c r="T246" s="1"/>
      <c r="U246" s="1" t="str">
        <f t="shared" si="15"/>
        <v/>
      </c>
    </row>
    <row r="247" spans="1:21" ht="18" customHeight="1" x14ac:dyDescent="0.3">
      <c r="A247" s="2"/>
      <c r="B247" s="65" t="str">
        <f t="shared" si="12"/>
        <v/>
      </c>
      <c r="C247" s="60"/>
      <c r="D247" s="65" t="str">
        <f>IF($E247="","",IFERROR(INDEX(MUSTERILER!$B$7:$B$156,MATCH($U247,MUSTERILER!$T$7:$T$156,0)),IFERROR(INDEX(MUSTERILER!$B$7:$B$156,MATCH($E247,MUSTERILER!$B$7:$B$156,0)),IFERROR(INDEX(MUSTERILER!$B$7:$B$156,MATCH($U247&amp;"*",MUSTERILER!$T$7:$T$156,0)),"TANIMSIZ MÜŞTERİ"))))</f>
        <v/>
      </c>
      <c r="E247" s="61"/>
      <c r="F247" s="61"/>
      <c r="G247" s="60"/>
      <c r="H247" s="66"/>
      <c r="I247" s="66"/>
      <c r="J247" s="60"/>
      <c r="K247" s="60"/>
      <c r="L247" s="61"/>
      <c r="M247" s="61"/>
      <c r="N247" s="61"/>
      <c r="O247" s="66"/>
      <c r="P247" s="76" t="str">
        <f t="shared" ca="1" si="13"/>
        <v/>
      </c>
      <c r="Q247" s="65" t="str">
        <f t="shared" ca="1" si="14"/>
        <v/>
      </c>
      <c r="R247" s="2"/>
      <c r="S247" s="2"/>
      <c r="T247" s="1"/>
      <c r="U247" s="1" t="str">
        <f t="shared" si="15"/>
        <v/>
      </c>
    </row>
    <row r="248" spans="1:21" ht="18" customHeight="1" x14ac:dyDescent="0.3">
      <c r="A248" s="2"/>
      <c r="B248" s="65" t="str">
        <f t="shared" si="12"/>
        <v/>
      </c>
      <c r="C248" s="60"/>
      <c r="D248" s="65" t="str">
        <f>IF($E248="","",IFERROR(INDEX(MUSTERILER!$B$7:$B$156,MATCH($U248,MUSTERILER!$T$7:$T$156,0)),IFERROR(INDEX(MUSTERILER!$B$7:$B$156,MATCH($E248,MUSTERILER!$B$7:$B$156,0)),IFERROR(INDEX(MUSTERILER!$B$7:$B$156,MATCH($U248&amp;"*",MUSTERILER!$T$7:$T$156,0)),"TANIMSIZ MÜŞTERİ"))))</f>
        <v/>
      </c>
      <c r="E248" s="61"/>
      <c r="F248" s="61"/>
      <c r="G248" s="60"/>
      <c r="H248" s="66"/>
      <c r="I248" s="66"/>
      <c r="J248" s="60"/>
      <c r="K248" s="60"/>
      <c r="L248" s="61"/>
      <c r="M248" s="61"/>
      <c r="N248" s="61"/>
      <c r="O248" s="66"/>
      <c r="P248" s="76" t="str">
        <f t="shared" ca="1" si="13"/>
        <v/>
      </c>
      <c r="Q248" s="65" t="str">
        <f t="shared" ca="1" si="14"/>
        <v/>
      </c>
      <c r="R248" s="2"/>
      <c r="S248" s="2"/>
      <c r="T248" s="1"/>
      <c r="U248" s="1" t="str">
        <f t="shared" si="15"/>
        <v/>
      </c>
    </row>
    <row r="249" spans="1:21" ht="18" customHeight="1" x14ac:dyDescent="0.3">
      <c r="A249" s="2"/>
      <c r="B249" s="65" t="str">
        <f t="shared" si="12"/>
        <v/>
      </c>
      <c r="C249" s="60"/>
      <c r="D249" s="65" t="str">
        <f>IF($E249="","",IFERROR(INDEX(MUSTERILER!$B$7:$B$156,MATCH($U249,MUSTERILER!$T$7:$T$156,0)),IFERROR(INDEX(MUSTERILER!$B$7:$B$156,MATCH($E249,MUSTERILER!$B$7:$B$156,0)),IFERROR(INDEX(MUSTERILER!$B$7:$B$156,MATCH($U249&amp;"*",MUSTERILER!$T$7:$T$156,0)),"TANIMSIZ MÜŞTERİ"))))</f>
        <v/>
      </c>
      <c r="E249" s="61"/>
      <c r="F249" s="61"/>
      <c r="G249" s="60"/>
      <c r="H249" s="66"/>
      <c r="I249" s="66"/>
      <c r="J249" s="60"/>
      <c r="K249" s="60"/>
      <c r="L249" s="61"/>
      <c r="M249" s="61"/>
      <c r="N249" s="61"/>
      <c r="O249" s="66"/>
      <c r="P249" s="76" t="str">
        <f t="shared" ca="1" si="13"/>
        <v/>
      </c>
      <c r="Q249" s="65" t="str">
        <f t="shared" ca="1" si="14"/>
        <v/>
      </c>
      <c r="R249" s="2"/>
      <c r="S249" s="2"/>
      <c r="T249" s="1"/>
      <c r="U249" s="1" t="str">
        <f t="shared" si="15"/>
        <v/>
      </c>
    </row>
    <row r="250" spans="1:21" ht="18" customHeight="1" x14ac:dyDescent="0.3">
      <c r="A250" s="2"/>
      <c r="B250" s="65" t="str">
        <f t="shared" si="12"/>
        <v/>
      </c>
      <c r="C250" s="60"/>
      <c r="D250" s="65" t="str">
        <f>IF($E250="","",IFERROR(INDEX(MUSTERILER!$B$7:$B$156,MATCH($U250,MUSTERILER!$T$7:$T$156,0)),IFERROR(INDEX(MUSTERILER!$B$7:$B$156,MATCH($E250,MUSTERILER!$B$7:$B$156,0)),IFERROR(INDEX(MUSTERILER!$B$7:$B$156,MATCH($U250&amp;"*",MUSTERILER!$T$7:$T$156,0)),"TANIMSIZ MÜŞTERİ"))))</f>
        <v/>
      </c>
      <c r="E250" s="61"/>
      <c r="F250" s="61"/>
      <c r="G250" s="60"/>
      <c r="H250" s="66"/>
      <c r="I250" s="66"/>
      <c r="J250" s="60"/>
      <c r="K250" s="60"/>
      <c r="L250" s="61"/>
      <c r="M250" s="61"/>
      <c r="N250" s="61"/>
      <c r="O250" s="66"/>
      <c r="P250" s="76" t="str">
        <f t="shared" ca="1" si="13"/>
        <v/>
      </c>
      <c r="Q250" s="65" t="str">
        <f t="shared" ca="1" si="14"/>
        <v/>
      </c>
      <c r="R250" s="2"/>
      <c r="S250" s="2"/>
      <c r="T250" s="1"/>
      <c r="U250" s="1" t="str">
        <f t="shared" si="15"/>
        <v/>
      </c>
    </row>
    <row r="251" spans="1:21" ht="18" customHeight="1" x14ac:dyDescent="0.3">
      <c r="A251" s="2"/>
      <c r="B251" s="65" t="str">
        <f t="shared" si="12"/>
        <v/>
      </c>
      <c r="C251" s="60"/>
      <c r="D251" s="65" t="str">
        <f>IF($E251="","",IFERROR(INDEX(MUSTERILER!$B$7:$B$156,MATCH($U251,MUSTERILER!$T$7:$T$156,0)),IFERROR(INDEX(MUSTERILER!$B$7:$B$156,MATCH($E251,MUSTERILER!$B$7:$B$156,0)),IFERROR(INDEX(MUSTERILER!$B$7:$B$156,MATCH($U251&amp;"*",MUSTERILER!$T$7:$T$156,0)),"TANIMSIZ MÜŞTERİ"))))</f>
        <v/>
      </c>
      <c r="E251" s="61"/>
      <c r="F251" s="61"/>
      <c r="G251" s="60"/>
      <c r="H251" s="66"/>
      <c r="I251" s="66"/>
      <c r="J251" s="60"/>
      <c r="K251" s="60"/>
      <c r="L251" s="61"/>
      <c r="M251" s="61"/>
      <c r="N251" s="61"/>
      <c r="O251" s="66"/>
      <c r="P251" s="76" t="str">
        <f t="shared" ca="1" si="13"/>
        <v/>
      </c>
      <c r="Q251" s="65" t="str">
        <f t="shared" ca="1" si="14"/>
        <v/>
      </c>
      <c r="R251" s="2"/>
      <c r="S251" s="2"/>
      <c r="T251" s="1"/>
      <c r="U251" s="1" t="str">
        <f t="shared" si="15"/>
        <v/>
      </c>
    </row>
    <row r="252" spans="1:21" ht="18" customHeight="1" x14ac:dyDescent="0.3">
      <c r="A252" s="2"/>
      <c r="B252" s="65" t="str">
        <f t="shared" si="12"/>
        <v/>
      </c>
      <c r="C252" s="60"/>
      <c r="D252" s="65" t="str">
        <f>IF($E252="","",IFERROR(INDEX(MUSTERILER!$B$7:$B$156,MATCH($U252,MUSTERILER!$T$7:$T$156,0)),IFERROR(INDEX(MUSTERILER!$B$7:$B$156,MATCH($E252,MUSTERILER!$B$7:$B$156,0)),IFERROR(INDEX(MUSTERILER!$B$7:$B$156,MATCH($U252&amp;"*",MUSTERILER!$T$7:$T$156,0)),"TANIMSIZ MÜŞTERİ"))))</f>
        <v/>
      </c>
      <c r="E252" s="61"/>
      <c r="F252" s="61"/>
      <c r="G252" s="60"/>
      <c r="H252" s="66"/>
      <c r="I252" s="66"/>
      <c r="J252" s="60"/>
      <c r="K252" s="60"/>
      <c r="L252" s="61"/>
      <c r="M252" s="61"/>
      <c r="N252" s="61"/>
      <c r="O252" s="66"/>
      <c r="P252" s="76" t="str">
        <f t="shared" ca="1" si="13"/>
        <v/>
      </c>
      <c r="Q252" s="65" t="str">
        <f t="shared" ca="1" si="14"/>
        <v/>
      </c>
      <c r="R252" s="2"/>
      <c r="S252" s="2"/>
      <c r="T252" s="1"/>
      <c r="U252" s="1" t="str">
        <f t="shared" si="15"/>
        <v/>
      </c>
    </row>
    <row r="253" spans="1:21" ht="18" customHeight="1" x14ac:dyDescent="0.3">
      <c r="A253" s="2"/>
      <c r="B253" s="65" t="str">
        <f t="shared" si="12"/>
        <v/>
      </c>
      <c r="C253" s="60"/>
      <c r="D253" s="65" t="str">
        <f>IF($E253="","",IFERROR(INDEX(MUSTERILER!$B$7:$B$156,MATCH($U253,MUSTERILER!$T$7:$T$156,0)),IFERROR(INDEX(MUSTERILER!$B$7:$B$156,MATCH($E253,MUSTERILER!$B$7:$B$156,0)),IFERROR(INDEX(MUSTERILER!$B$7:$B$156,MATCH($U253&amp;"*",MUSTERILER!$T$7:$T$156,0)),"TANIMSIZ MÜŞTERİ"))))</f>
        <v/>
      </c>
      <c r="E253" s="61"/>
      <c r="F253" s="61"/>
      <c r="G253" s="60"/>
      <c r="H253" s="66"/>
      <c r="I253" s="66"/>
      <c r="J253" s="60"/>
      <c r="K253" s="60"/>
      <c r="L253" s="61"/>
      <c r="M253" s="61"/>
      <c r="N253" s="61"/>
      <c r="O253" s="66"/>
      <c r="P253" s="76" t="str">
        <f t="shared" ca="1" si="13"/>
        <v/>
      </c>
      <c r="Q253" s="65" t="str">
        <f t="shared" ca="1" si="14"/>
        <v/>
      </c>
      <c r="R253" s="2"/>
      <c r="S253" s="2"/>
      <c r="T253" s="1"/>
      <c r="U253" s="1" t="str">
        <f t="shared" si="15"/>
        <v/>
      </c>
    </row>
    <row r="254" spans="1:21" ht="18" customHeight="1" x14ac:dyDescent="0.3">
      <c r="A254" s="2"/>
      <c r="B254" s="65" t="str">
        <f t="shared" si="12"/>
        <v/>
      </c>
      <c r="C254" s="60"/>
      <c r="D254" s="65" t="str">
        <f>IF($E254="","",IFERROR(INDEX(MUSTERILER!$B$7:$B$156,MATCH($U254,MUSTERILER!$T$7:$T$156,0)),IFERROR(INDEX(MUSTERILER!$B$7:$B$156,MATCH($E254,MUSTERILER!$B$7:$B$156,0)),IFERROR(INDEX(MUSTERILER!$B$7:$B$156,MATCH($U254&amp;"*",MUSTERILER!$T$7:$T$156,0)),"TANIMSIZ MÜŞTERİ"))))</f>
        <v/>
      </c>
      <c r="E254" s="61"/>
      <c r="F254" s="61"/>
      <c r="G254" s="60"/>
      <c r="H254" s="66"/>
      <c r="I254" s="66"/>
      <c r="J254" s="60"/>
      <c r="K254" s="60"/>
      <c r="L254" s="61"/>
      <c r="M254" s="61"/>
      <c r="N254" s="61"/>
      <c r="O254" s="66"/>
      <c r="P254" s="76" t="str">
        <f t="shared" ca="1" si="13"/>
        <v/>
      </c>
      <c r="Q254" s="65" t="str">
        <f t="shared" ca="1" si="14"/>
        <v/>
      </c>
      <c r="R254" s="2"/>
      <c r="S254" s="2"/>
      <c r="T254" s="1"/>
      <c r="U254" s="1" t="str">
        <f t="shared" si="15"/>
        <v/>
      </c>
    </row>
    <row r="255" spans="1:21" ht="18" customHeight="1" x14ac:dyDescent="0.3">
      <c r="A255" s="2"/>
      <c r="B255" s="65" t="str">
        <f t="shared" si="12"/>
        <v/>
      </c>
      <c r="C255" s="60"/>
      <c r="D255" s="65" t="str">
        <f>IF($E255="","",IFERROR(INDEX(MUSTERILER!$B$7:$B$156,MATCH($U255,MUSTERILER!$T$7:$T$156,0)),IFERROR(INDEX(MUSTERILER!$B$7:$B$156,MATCH($E255,MUSTERILER!$B$7:$B$156,0)),IFERROR(INDEX(MUSTERILER!$B$7:$B$156,MATCH($U255&amp;"*",MUSTERILER!$T$7:$T$156,0)),"TANIMSIZ MÜŞTERİ"))))</f>
        <v/>
      </c>
      <c r="E255" s="61"/>
      <c r="F255" s="61"/>
      <c r="G255" s="60"/>
      <c r="H255" s="66"/>
      <c r="I255" s="66"/>
      <c r="J255" s="60"/>
      <c r="K255" s="60"/>
      <c r="L255" s="61"/>
      <c r="M255" s="61"/>
      <c r="N255" s="61"/>
      <c r="O255" s="66"/>
      <c r="P255" s="76" t="str">
        <f t="shared" ca="1" si="13"/>
        <v/>
      </c>
      <c r="Q255" s="65" t="str">
        <f t="shared" ca="1" si="14"/>
        <v/>
      </c>
      <c r="R255" s="2"/>
      <c r="S255" s="2"/>
      <c r="T255" s="1"/>
      <c r="U255" s="1" t="str">
        <f t="shared" si="15"/>
        <v/>
      </c>
    </row>
    <row r="256" spans="1:21" ht="18" customHeight="1" x14ac:dyDescent="0.3">
      <c r="A256" s="2"/>
      <c r="B256" s="65" t="str">
        <f t="shared" si="12"/>
        <v/>
      </c>
      <c r="C256" s="60"/>
      <c r="D256" s="65" t="str">
        <f>IF($E256="","",IFERROR(INDEX(MUSTERILER!$B$7:$B$156,MATCH($U256,MUSTERILER!$T$7:$T$156,0)),IFERROR(INDEX(MUSTERILER!$B$7:$B$156,MATCH($E256,MUSTERILER!$B$7:$B$156,0)),IFERROR(INDEX(MUSTERILER!$B$7:$B$156,MATCH($U256&amp;"*",MUSTERILER!$T$7:$T$156,0)),"TANIMSIZ MÜŞTERİ"))))</f>
        <v/>
      </c>
      <c r="E256" s="61"/>
      <c r="F256" s="61"/>
      <c r="G256" s="60"/>
      <c r="H256" s="66"/>
      <c r="I256" s="66"/>
      <c r="J256" s="60"/>
      <c r="K256" s="60"/>
      <c r="L256" s="61"/>
      <c r="M256" s="61"/>
      <c r="N256" s="61"/>
      <c r="O256" s="66"/>
      <c r="P256" s="76" t="str">
        <f t="shared" ca="1" si="13"/>
        <v/>
      </c>
      <c r="Q256" s="65" t="str">
        <f t="shared" ca="1" si="14"/>
        <v/>
      </c>
      <c r="R256" s="2"/>
      <c r="S256" s="2"/>
      <c r="T256" s="1"/>
      <c r="U256" s="1" t="str">
        <f t="shared" si="15"/>
        <v/>
      </c>
    </row>
    <row r="257" spans="1:21" ht="18" customHeight="1" x14ac:dyDescent="0.3">
      <c r="A257" s="2"/>
      <c r="B257" s="65" t="str">
        <f t="shared" si="12"/>
        <v/>
      </c>
      <c r="C257" s="60"/>
      <c r="D257" s="65" t="str">
        <f>IF($E257="","",IFERROR(INDEX(MUSTERILER!$B$7:$B$156,MATCH($U257,MUSTERILER!$T$7:$T$156,0)),IFERROR(INDEX(MUSTERILER!$B$7:$B$156,MATCH($E257,MUSTERILER!$B$7:$B$156,0)),IFERROR(INDEX(MUSTERILER!$B$7:$B$156,MATCH($U257&amp;"*",MUSTERILER!$T$7:$T$156,0)),"TANIMSIZ MÜŞTERİ"))))</f>
        <v/>
      </c>
      <c r="E257" s="61"/>
      <c r="F257" s="61"/>
      <c r="G257" s="60"/>
      <c r="H257" s="66"/>
      <c r="I257" s="66"/>
      <c r="J257" s="60"/>
      <c r="K257" s="60"/>
      <c r="L257" s="61"/>
      <c r="M257" s="61"/>
      <c r="N257" s="61"/>
      <c r="O257" s="66"/>
      <c r="P257" s="76" t="str">
        <f t="shared" ca="1" si="13"/>
        <v/>
      </c>
      <c r="Q257" s="65" t="str">
        <f t="shared" ca="1" si="14"/>
        <v/>
      </c>
      <c r="R257" s="2"/>
      <c r="S257" s="2"/>
      <c r="T257" s="1"/>
      <c r="U257" s="1" t="str">
        <f t="shared" si="15"/>
        <v/>
      </c>
    </row>
    <row r="258" spans="1:21" ht="18" customHeight="1" x14ac:dyDescent="0.3">
      <c r="A258" s="2"/>
      <c r="B258" s="65" t="str">
        <f t="shared" si="12"/>
        <v/>
      </c>
      <c r="C258" s="60"/>
      <c r="D258" s="65" t="str">
        <f>IF($E258="","",IFERROR(INDEX(MUSTERILER!$B$7:$B$156,MATCH($U258,MUSTERILER!$T$7:$T$156,0)),IFERROR(INDEX(MUSTERILER!$B$7:$B$156,MATCH($E258,MUSTERILER!$B$7:$B$156,0)),IFERROR(INDEX(MUSTERILER!$B$7:$B$156,MATCH($U258&amp;"*",MUSTERILER!$T$7:$T$156,0)),"TANIMSIZ MÜŞTERİ"))))</f>
        <v/>
      </c>
      <c r="E258" s="61"/>
      <c r="F258" s="61"/>
      <c r="G258" s="60"/>
      <c r="H258" s="66"/>
      <c r="I258" s="66"/>
      <c r="J258" s="60"/>
      <c r="K258" s="60"/>
      <c r="L258" s="61"/>
      <c r="M258" s="61"/>
      <c r="N258" s="61"/>
      <c r="O258" s="66"/>
      <c r="P258" s="76" t="str">
        <f t="shared" ca="1" si="13"/>
        <v/>
      </c>
      <c r="Q258" s="65" t="str">
        <f t="shared" ca="1" si="14"/>
        <v/>
      </c>
      <c r="R258" s="2"/>
      <c r="S258" s="2"/>
      <c r="T258" s="1"/>
      <c r="U258" s="1" t="str">
        <f t="shared" si="15"/>
        <v/>
      </c>
    </row>
    <row r="259" spans="1:21" ht="18" customHeight="1" x14ac:dyDescent="0.3">
      <c r="A259" s="2"/>
      <c r="B259" s="65" t="str">
        <f t="shared" si="12"/>
        <v/>
      </c>
      <c r="C259" s="60"/>
      <c r="D259" s="65" t="str">
        <f>IF($E259="","",IFERROR(INDEX(MUSTERILER!$B$7:$B$156,MATCH($U259,MUSTERILER!$T$7:$T$156,0)),IFERROR(INDEX(MUSTERILER!$B$7:$B$156,MATCH($E259,MUSTERILER!$B$7:$B$156,0)),IFERROR(INDEX(MUSTERILER!$B$7:$B$156,MATCH($U259&amp;"*",MUSTERILER!$T$7:$T$156,0)),"TANIMSIZ MÜŞTERİ"))))</f>
        <v/>
      </c>
      <c r="E259" s="61"/>
      <c r="F259" s="61"/>
      <c r="G259" s="60"/>
      <c r="H259" s="66"/>
      <c r="I259" s="66"/>
      <c r="J259" s="60"/>
      <c r="K259" s="60"/>
      <c r="L259" s="61"/>
      <c r="M259" s="61"/>
      <c r="N259" s="61"/>
      <c r="O259" s="66"/>
      <c r="P259" s="76" t="str">
        <f t="shared" ca="1" si="13"/>
        <v/>
      </c>
      <c r="Q259" s="65" t="str">
        <f t="shared" ca="1" si="14"/>
        <v/>
      </c>
      <c r="R259" s="2"/>
      <c r="S259" s="2"/>
      <c r="T259" s="1"/>
      <c r="U259" s="1" t="str">
        <f t="shared" si="15"/>
        <v/>
      </c>
    </row>
    <row r="260" spans="1:21" ht="18" customHeight="1" x14ac:dyDescent="0.3">
      <c r="A260" s="2"/>
      <c r="B260" s="65" t="str">
        <f t="shared" si="12"/>
        <v/>
      </c>
      <c r="C260" s="60"/>
      <c r="D260" s="65" t="str">
        <f>IF($E260="","",IFERROR(INDEX(MUSTERILER!$B$7:$B$156,MATCH($U260,MUSTERILER!$T$7:$T$156,0)),IFERROR(INDEX(MUSTERILER!$B$7:$B$156,MATCH($E260,MUSTERILER!$B$7:$B$156,0)),IFERROR(INDEX(MUSTERILER!$B$7:$B$156,MATCH($U260&amp;"*",MUSTERILER!$T$7:$T$156,0)),"TANIMSIZ MÜŞTERİ"))))</f>
        <v/>
      </c>
      <c r="E260" s="61"/>
      <c r="F260" s="61"/>
      <c r="G260" s="60"/>
      <c r="H260" s="66"/>
      <c r="I260" s="66"/>
      <c r="J260" s="60"/>
      <c r="K260" s="60"/>
      <c r="L260" s="61"/>
      <c r="M260" s="61"/>
      <c r="N260" s="61"/>
      <c r="O260" s="66"/>
      <c r="P260" s="76" t="str">
        <f t="shared" ca="1" si="13"/>
        <v/>
      </c>
      <c r="Q260" s="65" t="str">
        <f t="shared" ca="1" si="14"/>
        <v/>
      </c>
      <c r="R260" s="2"/>
      <c r="S260" s="2"/>
      <c r="T260" s="1"/>
      <c r="U260" s="1" t="str">
        <f t="shared" si="15"/>
        <v/>
      </c>
    </row>
    <row r="261" spans="1:21" ht="18" customHeight="1" x14ac:dyDescent="0.3">
      <c r="A261" s="2"/>
      <c r="B261" s="65" t="str">
        <f t="shared" si="12"/>
        <v/>
      </c>
      <c r="C261" s="60"/>
      <c r="D261" s="65" t="str">
        <f>IF($E261="","",IFERROR(INDEX(MUSTERILER!$B$7:$B$156,MATCH($U261,MUSTERILER!$T$7:$T$156,0)),IFERROR(INDEX(MUSTERILER!$B$7:$B$156,MATCH($E261,MUSTERILER!$B$7:$B$156,0)),IFERROR(INDEX(MUSTERILER!$B$7:$B$156,MATCH($U261&amp;"*",MUSTERILER!$T$7:$T$156,0)),"TANIMSIZ MÜŞTERİ"))))</f>
        <v/>
      </c>
      <c r="E261" s="61"/>
      <c r="F261" s="61"/>
      <c r="G261" s="60"/>
      <c r="H261" s="66"/>
      <c r="I261" s="66"/>
      <c r="J261" s="60"/>
      <c r="K261" s="60"/>
      <c r="L261" s="61"/>
      <c r="M261" s="61"/>
      <c r="N261" s="61"/>
      <c r="O261" s="66"/>
      <c r="P261" s="76" t="str">
        <f t="shared" ca="1" si="13"/>
        <v/>
      </c>
      <c r="Q261" s="65" t="str">
        <f t="shared" ca="1" si="14"/>
        <v/>
      </c>
      <c r="R261" s="2"/>
      <c r="S261" s="2"/>
      <c r="T261" s="1"/>
      <c r="U261" s="1" t="str">
        <f t="shared" si="15"/>
        <v/>
      </c>
    </row>
    <row r="262" spans="1:21" ht="18" customHeight="1" x14ac:dyDescent="0.3">
      <c r="A262" s="2"/>
      <c r="B262" s="65" t="str">
        <f t="shared" si="12"/>
        <v/>
      </c>
      <c r="C262" s="60"/>
      <c r="D262" s="65" t="str">
        <f>IF($E262="","",IFERROR(INDEX(MUSTERILER!$B$7:$B$156,MATCH($U262,MUSTERILER!$T$7:$T$156,0)),IFERROR(INDEX(MUSTERILER!$B$7:$B$156,MATCH($E262,MUSTERILER!$B$7:$B$156,0)),IFERROR(INDEX(MUSTERILER!$B$7:$B$156,MATCH($U262&amp;"*",MUSTERILER!$T$7:$T$156,0)),"TANIMSIZ MÜŞTERİ"))))</f>
        <v/>
      </c>
      <c r="E262" s="61"/>
      <c r="F262" s="61"/>
      <c r="G262" s="60"/>
      <c r="H262" s="66"/>
      <c r="I262" s="66"/>
      <c r="J262" s="60"/>
      <c r="K262" s="60"/>
      <c r="L262" s="61"/>
      <c r="M262" s="61"/>
      <c r="N262" s="61"/>
      <c r="O262" s="66"/>
      <c r="P262" s="76" t="str">
        <f t="shared" ca="1" si="13"/>
        <v/>
      </c>
      <c r="Q262" s="65" t="str">
        <f t="shared" ca="1" si="14"/>
        <v/>
      </c>
      <c r="R262" s="2"/>
      <c r="S262" s="2"/>
      <c r="T262" s="1"/>
      <c r="U262" s="1" t="str">
        <f t="shared" si="15"/>
        <v/>
      </c>
    </row>
    <row r="263" spans="1:21" ht="18" customHeight="1" x14ac:dyDescent="0.3">
      <c r="A263" s="2"/>
      <c r="B263" s="65" t="str">
        <f t="shared" ref="B263:B326" si="16">IF($E263="","","A"&amp;TEXT(ROW()-6,"00000"))</f>
        <v/>
      </c>
      <c r="C263" s="60"/>
      <c r="D263" s="65" t="str">
        <f>IF($E263="","",IFERROR(INDEX(MUSTERILER!$B$7:$B$156,MATCH($U263,MUSTERILER!$T$7:$T$156,0)),IFERROR(INDEX(MUSTERILER!$B$7:$B$156,MATCH($E263,MUSTERILER!$B$7:$B$156,0)),IFERROR(INDEX(MUSTERILER!$B$7:$B$156,MATCH($U263&amp;"*",MUSTERILER!$T$7:$T$156,0)),"TANIMSIZ MÜŞTERİ"))))</f>
        <v/>
      </c>
      <c r="E263" s="61"/>
      <c r="F263" s="61"/>
      <c r="G263" s="60"/>
      <c r="H263" s="66"/>
      <c r="I263" s="66"/>
      <c r="J263" s="60"/>
      <c r="K263" s="60"/>
      <c r="L263" s="61"/>
      <c r="M263" s="61"/>
      <c r="N263" s="61"/>
      <c r="O263" s="66"/>
      <c r="P263" s="76" t="str">
        <f t="shared" ref="P263:P326" ca="1" si="17">IF(OR($E263="",$I263=""),"",IF(OR($J263="Tamamlandı",$J263="İptal"),"",$I263-TODAY()))</f>
        <v/>
      </c>
      <c r="Q263" s="65" t="str">
        <f t="shared" ref="Q263:Q326" ca="1" si="18"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2"/>
      <c r="S263" s="2"/>
      <c r="T263" s="1"/>
      <c r="U263" s="1" t="str">
        <f t="shared" ref="U263:U326" si="19">IF($E263="","",UPPER(SUBSTITUTE(SUBSTITUTE(SUBSTITUTE(SUBSTITUTE(SUBSTITUTE(SUBSTITUTE(SUBSTITUTE(SUBSTITUTE(SUBSTITUTE(SUBSTITUTE(SUBSTITUTE(SUBSTITUTE(SUBSTITUTE(SUBSTITUTE(SUBSTITUTE(SUBSTITUTE(SUBSTITUTE(SUBSTITUTE(TRIM($E263),"'",""),"İ","I"),"ı","I"),"i","I"),"Ş","S"),"ş","S"),"Ğ","G"),"ğ","G"),"Ü","U"),"ü","U"),"Ö","O"),"ö","O"),"Ç","C"),"ç","C"),".",""),",","")," ",""),"-","")))</f>
        <v/>
      </c>
    </row>
    <row r="264" spans="1:21" ht="18" customHeight="1" x14ac:dyDescent="0.3">
      <c r="A264" s="2"/>
      <c r="B264" s="65" t="str">
        <f t="shared" si="16"/>
        <v/>
      </c>
      <c r="C264" s="60"/>
      <c r="D264" s="65" t="str">
        <f>IF($E264="","",IFERROR(INDEX(MUSTERILER!$B$7:$B$156,MATCH($U264,MUSTERILER!$T$7:$T$156,0)),IFERROR(INDEX(MUSTERILER!$B$7:$B$156,MATCH($E264,MUSTERILER!$B$7:$B$156,0)),IFERROR(INDEX(MUSTERILER!$B$7:$B$156,MATCH($U264&amp;"*",MUSTERILER!$T$7:$T$156,0)),"TANIMSIZ MÜŞTERİ"))))</f>
        <v/>
      </c>
      <c r="E264" s="61"/>
      <c r="F264" s="61"/>
      <c r="G264" s="60"/>
      <c r="H264" s="66"/>
      <c r="I264" s="66"/>
      <c r="J264" s="60"/>
      <c r="K264" s="60"/>
      <c r="L264" s="61"/>
      <c r="M264" s="61"/>
      <c r="N264" s="61"/>
      <c r="O264" s="66"/>
      <c r="P264" s="76" t="str">
        <f t="shared" ca="1" si="17"/>
        <v/>
      </c>
      <c r="Q264" s="65" t="str">
        <f t="shared" ca="1" si="18"/>
        <v/>
      </c>
      <c r="R264" s="2"/>
      <c r="S264" s="2"/>
      <c r="T264" s="1"/>
      <c r="U264" s="1" t="str">
        <f t="shared" si="19"/>
        <v/>
      </c>
    </row>
    <row r="265" spans="1:21" ht="18" customHeight="1" x14ac:dyDescent="0.3">
      <c r="A265" s="2"/>
      <c r="B265" s="65" t="str">
        <f t="shared" si="16"/>
        <v/>
      </c>
      <c r="C265" s="60"/>
      <c r="D265" s="65" t="str">
        <f>IF($E265="","",IFERROR(INDEX(MUSTERILER!$B$7:$B$156,MATCH($U265,MUSTERILER!$T$7:$T$156,0)),IFERROR(INDEX(MUSTERILER!$B$7:$B$156,MATCH($E265,MUSTERILER!$B$7:$B$156,0)),IFERROR(INDEX(MUSTERILER!$B$7:$B$156,MATCH($U265&amp;"*",MUSTERILER!$T$7:$T$156,0)),"TANIMSIZ MÜŞTERİ"))))</f>
        <v/>
      </c>
      <c r="E265" s="61"/>
      <c r="F265" s="61"/>
      <c r="G265" s="60"/>
      <c r="H265" s="66"/>
      <c r="I265" s="66"/>
      <c r="J265" s="60"/>
      <c r="K265" s="60"/>
      <c r="L265" s="61"/>
      <c r="M265" s="61"/>
      <c r="N265" s="61"/>
      <c r="O265" s="66"/>
      <c r="P265" s="76" t="str">
        <f t="shared" ca="1" si="17"/>
        <v/>
      </c>
      <c r="Q265" s="65" t="str">
        <f t="shared" ca="1" si="18"/>
        <v/>
      </c>
      <c r="R265" s="2"/>
      <c r="S265" s="2"/>
      <c r="T265" s="1"/>
      <c r="U265" s="1" t="str">
        <f t="shared" si="19"/>
        <v/>
      </c>
    </row>
    <row r="266" spans="1:21" ht="18" customHeight="1" x14ac:dyDescent="0.3">
      <c r="A266" s="2"/>
      <c r="B266" s="65" t="str">
        <f t="shared" si="16"/>
        <v/>
      </c>
      <c r="C266" s="60"/>
      <c r="D266" s="65" t="str">
        <f>IF($E266="","",IFERROR(INDEX(MUSTERILER!$B$7:$B$156,MATCH($U266,MUSTERILER!$T$7:$T$156,0)),IFERROR(INDEX(MUSTERILER!$B$7:$B$156,MATCH($E266,MUSTERILER!$B$7:$B$156,0)),IFERROR(INDEX(MUSTERILER!$B$7:$B$156,MATCH($U266&amp;"*",MUSTERILER!$T$7:$T$156,0)),"TANIMSIZ MÜŞTERİ"))))</f>
        <v/>
      </c>
      <c r="E266" s="61"/>
      <c r="F266" s="61"/>
      <c r="G266" s="60"/>
      <c r="H266" s="66"/>
      <c r="I266" s="66"/>
      <c r="J266" s="60"/>
      <c r="K266" s="60"/>
      <c r="L266" s="61"/>
      <c r="M266" s="61"/>
      <c r="N266" s="61"/>
      <c r="O266" s="66"/>
      <c r="P266" s="76" t="str">
        <f t="shared" ca="1" si="17"/>
        <v/>
      </c>
      <c r="Q266" s="65" t="str">
        <f t="shared" ca="1" si="18"/>
        <v/>
      </c>
      <c r="R266" s="2"/>
      <c r="S266" s="2"/>
      <c r="T266" s="1"/>
      <c r="U266" s="1" t="str">
        <f t="shared" si="19"/>
        <v/>
      </c>
    </row>
    <row r="267" spans="1:21" ht="18" customHeight="1" x14ac:dyDescent="0.3">
      <c r="A267" s="2"/>
      <c r="B267" s="65" t="str">
        <f t="shared" si="16"/>
        <v/>
      </c>
      <c r="C267" s="60"/>
      <c r="D267" s="65" t="str">
        <f>IF($E267="","",IFERROR(INDEX(MUSTERILER!$B$7:$B$156,MATCH($U267,MUSTERILER!$T$7:$T$156,0)),IFERROR(INDEX(MUSTERILER!$B$7:$B$156,MATCH($E267,MUSTERILER!$B$7:$B$156,0)),IFERROR(INDEX(MUSTERILER!$B$7:$B$156,MATCH($U267&amp;"*",MUSTERILER!$T$7:$T$156,0)),"TANIMSIZ MÜŞTERİ"))))</f>
        <v/>
      </c>
      <c r="E267" s="61"/>
      <c r="F267" s="61"/>
      <c r="G267" s="60"/>
      <c r="H267" s="66"/>
      <c r="I267" s="66"/>
      <c r="J267" s="60"/>
      <c r="K267" s="60"/>
      <c r="L267" s="61"/>
      <c r="M267" s="61"/>
      <c r="N267" s="61"/>
      <c r="O267" s="66"/>
      <c r="P267" s="76" t="str">
        <f t="shared" ca="1" si="17"/>
        <v/>
      </c>
      <c r="Q267" s="65" t="str">
        <f t="shared" ca="1" si="18"/>
        <v/>
      </c>
      <c r="R267" s="2"/>
      <c r="S267" s="2"/>
      <c r="T267" s="1"/>
      <c r="U267" s="1" t="str">
        <f t="shared" si="19"/>
        <v/>
      </c>
    </row>
    <row r="268" spans="1:21" ht="18" customHeight="1" x14ac:dyDescent="0.3">
      <c r="A268" s="2"/>
      <c r="B268" s="65" t="str">
        <f t="shared" si="16"/>
        <v/>
      </c>
      <c r="C268" s="60"/>
      <c r="D268" s="65" t="str">
        <f>IF($E268="","",IFERROR(INDEX(MUSTERILER!$B$7:$B$156,MATCH($U268,MUSTERILER!$T$7:$T$156,0)),IFERROR(INDEX(MUSTERILER!$B$7:$B$156,MATCH($E268,MUSTERILER!$B$7:$B$156,0)),IFERROR(INDEX(MUSTERILER!$B$7:$B$156,MATCH($U268&amp;"*",MUSTERILER!$T$7:$T$156,0)),"TANIMSIZ MÜŞTERİ"))))</f>
        <v/>
      </c>
      <c r="E268" s="61"/>
      <c r="F268" s="61"/>
      <c r="G268" s="60"/>
      <c r="H268" s="66"/>
      <c r="I268" s="66"/>
      <c r="J268" s="60"/>
      <c r="K268" s="60"/>
      <c r="L268" s="61"/>
      <c r="M268" s="61"/>
      <c r="N268" s="61"/>
      <c r="O268" s="66"/>
      <c r="P268" s="76" t="str">
        <f t="shared" ca="1" si="17"/>
        <v/>
      </c>
      <c r="Q268" s="65" t="str">
        <f t="shared" ca="1" si="18"/>
        <v/>
      </c>
      <c r="R268" s="2"/>
      <c r="S268" s="2"/>
      <c r="T268" s="1"/>
      <c r="U268" s="1" t="str">
        <f t="shared" si="19"/>
        <v/>
      </c>
    </row>
    <row r="269" spans="1:21" ht="18" customHeight="1" x14ac:dyDescent="0.3">
      <c r="A269" s="2"/>
      <c r="B269" s="65" t="str">
        <f t="shared" si="16"/>
        <v/>
      </c>
      <c r="C269" s="60"/>
      <c r="D269" s="65" t="str">
        <f>IF($E269="","",IFERROR(INDEX(MUSTERILER!$B$7:$B$156,MATCH($U269,MUSTERILER!$T$7:$T$156,0)),IFERROR(INDEX(MUSTERILER!$B$7:$B$156,MATCH($E269,MUSTERILER!$B$7:$B$156,0)),IFERROR(INDEX(MUSTERILER!$B$7:$B$156,MATCH($U269&amp;"*",MUSTERILER!$T$7:$T$156,0)),"TANIMSIZ MÜŞTERİ"))))</f>
        <v/>
      </c>
      <c r="E269" s="61"/>
      <c r="F269" s="61"/>
      <c r="G269" s="60"/>
      <c r="H269" s="66"/>
      <c r="I269" s="66"/>
      <c r="J269" s="60"/>
      <c r="K269" s="60"/>
      <c r="L269" s="61"/>
      <c r="M269" s="61"/>
      <c r="N269" s="61"/>
      <c r="O269" s="66"/>
      <c r="P269" s="76" t="str">
        <f t="shared" ca="1" si="17"/>
        <v/>
      </c>
      <c r="Q269" s="65" t="str">
        <f t="shared" ca="1" si="18"/>
        <v/>
      </c>
      <c r="R269" s="2"/>
      <c r="S269" s="2"/>
      <c r="T269" s="1"/>
      <c r="U269" s="1" t="str">
        <f t="shared" si="19"/>
        <v/>
      </c>
    </row>
    <row r="270" spans="1:21" ht="18" customHeight="1" x14ac:dyDescent="0.3">
      <c r="A270" s="2"/>
      <c r="B270" s="65" t="str">
        <f t="shared" si="16"/>
        <v/>
      </c>
      <c r="C270" s="60"/>
      <c r="D270" s="65" t="str">
        <f>IF($E270="","",IFERROR(INDEX(MUSTERILER!$B$7:$B$156,MATCH($U270,MUSTERILER!$T$7:$T$156,0)),IFERROR(INDEX(MUSTERILER!$B$7:$B$156,MATCH($E270,MUSTERILER!$B$7:$B$156,0)),IFERROR(INDEX(MUSTERILER!$B$7:$B$156,MATCH($U270&amp;"*",MUSTERILER!$T$7:$T$156,0)),"TANIMSIZ MÜŞTERİ"))))</f>
        <v/>
      </c>
      <c r="E270" s="61"/>
      <c r="F270" s="61"/>
      <c r="G270" s="60"/>
      <c r="H270" s="66"/>
      <c r="I270" s="66"/>
      <c r="J270" s="60"/>
      <c r="K270" s="60"/>
      <c r="L270" s="61"/>
      <c r="M270" s="61"/>
      <c r="N270" s="61"/>
      <c r="O270" s="66"/>
      <c r="P270" s="76" t="str">
        <f t="shared" ca="1" si="17"/>
        <v/>
      </c>
      <c r="Q270" s="65" t="str">
        <f t="shared" ca="1" si="18"/>
        <v/>
      </c>
      <c r="R270" s="2"/>
      <c r="S270" s="2"/>
      <c r="T270" s="1"/>
      <c r="U270" s="1" t="str">
        <f t="shared" si="19"/>
        <v/>
      </c>
    </row>
    <row r="271" spans="1:21" ht="18" customHeight="1" x14ac:dyDescent="0.3">
      <c r="A271" s="2"/>
      <c r="B271" s="65" t="str">
        <f t="shared" si="16"/>
        <v/>
      </c>
      <c r="C271" s="60"/>
      <c r="D271" s="65" t="str">
        <f>IF($E271="","",IFERROR(INDEX(MUSTERILER!$B$7:$B$156,MATCH($U271,MUSTERILER!$T$7:$T$156,0)),IFERROR(INDEX(MUSTERILER!$B$7:$B$156,MATCH($E271,MUSTERILER!$B$7:$B$156,0)),IFERROR(INDEX(MUSTERILER!$B$7:$B$156,MATCH($U271&amp;"*",MUSTERILER!$T$7:$T$156,0)),"TANIMSIZ MÜŞTERİ"))))</f>
        <v/>
      </c>
      <c r="E271" s="61"/>
      <c r="F271" s="61"/>
      <c r="G271" s="60"/>
      <c r="H271" s="66"/>
      <c r="I271" s="66"/>
      <c r="J271" s="60"/>
      <c r="K271" s="60"/>
      <c r="L271" s="61"/>
      <c r="M271" s="61"/>
      <c r="N271" s="61"/>
      <c r="O271" s="66"/>
      <c r="P271" s="76" t="str">
        <f t="shared" ca="1" si="17"/>
        <v/>
      </c>
      <c r="Q271" s="65" t="str">
        <f t="shared" ca="1" si="18"/>
        <v/>
      </c>
      <c r="R271" s="2"/>
      <c r="S271" s="2"/>
      <c r="T271" s="1"/>
      <c r="U271" s="1" t="str">
        <f t="shared" si="19"/>
        <v/>
      </c>
    </row>
    <row r="272" spans="1:21" ht="18" customHeight="1" x14ac:dyDescent="0.3">
      <c r="A272" s="2"/>
      <c r="B272" s="65" t="str">
        <f t="shared" si="16"/>
        <v/>
      </c>
      <c r="C272" s="60"/>
      <c r="D272" s="65" t="str">
        <f>IF($E272="","",IFERROR(INDEX(MUSTERILER!$B$7:$B$156,MATCH($U272,MUSTERILER!$T$7:$T$156,0)),IFERROR(INDEX(MUSTERILER!$B$7:$B$156,MATCH($E272,MUSTERILER!$B$7:$B$156,0)),IFERROR(INDEX(MUSTERILER!$B$7:$B$156,MATCH($U272&amp;"*",MUSTERILER!$T$7:$T$156,0)),"TANIMSIZ MÜŞTERİ"))))</f>
        <v/>
      </c>
      <c r="E272" s="61"/>
      <c r="F272" s="61"/>
      <c r="G272" s="60"/>
      <c r="H272" s="66"/>
      <c r="I272" s="66"/>
      <c r="J272" s="60"/>
      <c r="K272" s="60"/>
      <c r="L272" s="61"/>
      <c r="M272" s="61"/>
      <c r="N272" s="61"/>
      <c r="O272" s="66"/>
      <c r="P272" s="76" t="str">
        <f t="shared" ca="1" si="17"/>
        <v/>
      </c>
      <c r="Q272" s="65" t="str">
        <f t="shared" ca="1" si="18"/>
        <v/>
      </c>
      <c r="R272" s="2"/>
      <c r="S272" s="2"/>
      <c r="T272" s="1"/>
      <c r="U272" s="1" t="str">
        <f t="shared" si="19"/>
        <v/>
      </c>
    </row>
    <row r="273" spans="1:21" ht="18" customHeight="1" x14ac:dyDescent="0.3">
      <c r="A273" s="2"/>
      <c r="B273" s="65" t="str">
        <f t="shared" si="16"/>
        <v/>
      </c>
      <c r="C273" s="60"/>
      <c r="D273" s="65" t="str">
        <f>IF($E273="","",IFERROR(INDEX(MUSTERILER!$B$7:$B$156,MATCH($U273,MUSTERILER!$T$7:$T$156,0)),IFERROR(INDEX(MUSTERILER!$B$7:$B$156,MATCH($E273,MUSTERILER!$B$7:$B$156,0)),IFERROR(INDEX(MUSTERILER!$B$7:$B$156,MATCH($U273&amp;"*",MUSTERILER!$T$7:$T$156,0)),"TANIMSIZ MÜŞTERİ"))))</f>
        <v/>
      </c>
      <c r="E273" s="61"/>
      <c r="F273" s="61"/>
      <c r="G273" s="60"/>
      <c r="H273" s="66"/>
      <c r="I273" s="66"/>
      <c r="J273" s="60"/>
      <c r="K273" s="60"/>
      <c r="L273" s="61"/>
      <c r="M273" s="61"/>
      <c r="N273" s="61"/>
      <c r="O273" s="66"/>
      <c r="P273" s="76" t="str">
        <f t="shared" ca="1" si="17"/>
        <v/>
      </c>
      <c r="Q273" s="65" t="str">
        <f t="shared" ca="1" si="18"/>
        <v/>
      </c>
      <c r="R273" s="2"/>
      <c r="S273" s="2"/>
      <c r="T273" s="1"/>
      <c r="U273" s="1" t="str">
        <f t="shared" si="19"/>
        <v/>
      </c>
    </row>
    <row r="274" spans="1:21" ht="18" customHeight="1" x14ac:dyDescent="0.3">
      <c r="A274" s="2"/>
      <c r="B274" s="65" t="str">
        <f t="shared" si="16"/>
        <v/>
      </c>
      <c r="C274" s="60"/>
      <c r="D274" s="65" t="str">
        <f>IF($E274="","",IFERROR(INDEX(MUSTERILER!$B$7:$B$156,MATCH($U274,MUSTERILER!$T$7:$T$156,0)),IFERROR(INDEX(MUSTERILER!$B$7:$B$156,MATCH($E274,MUSTERILER!$B$7:$B$156,0)),IFERROR(INDEX(MUSTERILER!$B$7:$B$156,MATCH($U274&amp;"*",MUSTERILER!$T$7:$T$156,0)),"TANIMSIZ MÜŞTERİ"))))</f>
        <v/>
      </c>
      <c r="E274" s="61"/>
      <c r="F274" s="61"/>
      <c r="G274" s="60"/>
      <c r="H274" s="66"/>
      <c r="I274" s="66"/>
      <c r="J274" s="60"/>
      <c r="K274" s="60"/>
      <c r="L274" s="61"/>
      <c r="M274" s="61"/>
      <c r="N274" s="61"/>
      <c r="O274" s="66"/>
      <c r="P274" s="76" t="str">
        <f t="shared" ca="1" si="17"/>
        <v/>
      </c>
      <c r="Q274" s="65" t="str">
        <f t="shared" ca="1" si="18"/>
        <v/>
      </c>
      <c r="R274" s="2"/>
      <c r="S274" s="2"/>
      <c r="T274" s="1"/>
      <c r="U274" s="1" t="str">
        <f t="shared" si="19"/>
        <v/>
      </c>
    </row>
    <row r="275" spans="1:21" ht="18" customHeight="1" x14ac:dyDescent="0.3">
      <c r="A275" s="2"/>
      <c r="B275" s="65" t="str">
        <f t="shared" si="16"/>
        <v/>
      </c>
      <c r="C275" s="60"/>
      <c r="D275" s="65" t="str">
        <f>IF($E275="","",IFERROR(INDEX(MUSTERILER!$B$7:$B$156,MATCH($U275,MUSTERILER!$T$7:$T$156,0)),IFERROR(INDEX(MUSTERILER!$B$7:$B$156,MATCH($E275,MUSTERILER!$B$7:$B$156,0)),IFERROR(INDEX(MUSTERILER!$B$7:$B$156,MATCH($U275&amp;"*",MUSTERILER!$T$7:$T$156,0)),"TANIMSIZ MÜŞTERİ"))))</f>
        <v/>
      </c>
      <c r="E275" s="61"/>
      <c r="F275" s="61"/>
      <c r="G275" s="60"/>
      <c r="H275" s="66"/>
      <c r="I275" s="66"/>
      <c r="J275" s="60"/>
      <c r="K275" s="60"/>
      <c r="L275" s="61"/>
      <c r="M275" s="61"/>
      <c r="N275" s="61"/>
      <c r="O275" s="66"/>
      <c r="P275" s="76" t="str">
        <f t="shared" ca="1" si="17"/>
        <v/>
      </c>
      <c r="Q275" s="65" t="str">
        <f t="shared" ca="1" si="18"/>
        <v/>
      </c>
      <c r="R275" s="2"/>
      <c r="S275" s="2"/>
      <c r="T275" s="1"/>
      <c r="U275" s="1" t="str">
        <f t="shared" si="19"/>
        <v/>
      </c>
    </row>
    <row r="276" spans="1:21" ht="18" customHeight="1" x14ac:dyDescent="0.3">
      <c r="A276" s="2"/>
      <c r="B276" s="65" t="str">
        <f t="shared" si="16"/>
        <v/>
      </c>
      <c r="C276" s="60"/>
      <c r="D276" s="65" t="str">
        <f>IF($E276="","",IFERROR(INDEX(MUSTERILER!$B$7:$B$156,MATCH($U276,MUSTERILER!$T$7:$T$156,0)),IFERROR(INDEX(MUSTERILER!$B$7:$B$156,MATCH($E276,MUSTERILER!$B$7:$B$156,0)),IFERROR(INDEX(MUSTERILER!$B$7:$B$156,MATCH($U276&amp;"*",MUSTERILER!$T$7:$T$156,0)),"TANIMSIZ MÜŞTERİ"))))</f>
        <v/>
      </c>
      <c r="E276" s="61"/>
      <c r="F276" s="61"/>
      <c r="G276" s="60"/>
      <c r="H276" s="66"/>
      <c r="I276" s="66"/>
      <c r="J276" s="60"/>
      <c r="K276" s="60"/>
      <c r="L276" s="61"/>
      <c r="M276" s="61"/>
      <c r="N276" s="61"/>
      <c r="O276" s="66"/>
      <c r="P276" s="76" t="str">
        <f t="shared" ca="1" si="17"/>
        <v/>
      </c>
      <c r="Q276" s="65" t="str">
        <f t="shared" ca="1" si="18"/>
        <v/>
      </c>
      <c r="R276" s="2"/>
      <c r="S276" s="2"/>
      <c r="T276" s="1"/>
      <c r="U276" s="1" t="str">
        <f t="shared" si="19"/>
        <v/>
      </c>
    </row>
    <row r="277" spans="1:21" ht="18" customHeight="1" x14ac:dyDescent="0.3">
      <c r="A277" s="2"/>
      <c r="B277" s="65" t="str">
        <f t="shared" si="16"/>
        <v/>
      </c>
      <c r="C277" s="60"/>
      <c r="D277" s="65" t="str">
        <f>IF($E277="","",IFERROR(INDEX(MUSTERILER!$B$7:$B$156,MATCH($U277,MUSTERILER!$T$7:$T$156,0)),IFERROR(INDEX(MUSTERILER!$B$7:$B$156,MATCH($E277,MUSTERILER!$B$7:$B$156,0)),IFERROR(INDEX(MUSTERILER!$B$7:$B$156,MATCH($U277&amp;"*",MUSTERILER!$T$7:$T$156,0)),"TANIMSIZ MÜŞTERİ"))))</f>
        <v/>
      </c>
      <c r="E277" s="61"/>
      <c r="F277" s="61"/>
      <c r="G277" s="60"/>
      <c r="H277" s="66"/>
      <c r="I277" s="66"/>
      <c r="J277" s="60"/>
      <c r="K277" s="60"/>
      <c r="L277" s="61"/>
      <c r="M277" s="61"/>
      <c r="N277" s="61"/>
      <c r="O277" s="66"/>
      <c r="P277" s="76" t="str">
        <f t="shared" ca="1" si="17"/>
        <v/>
      </c>
      <c r="Q277" s="65" t="str">
        <f t="shared" ca="1" si="18"/>
        <v/>
      </c>
      <c r="R277" s="2"/>
      <c r="S277" s="2"/>
      <c r="T277" s="1"/>
      <c r="U277" s="1" t="str">
        <f t="shared" si="19"/>
        <v/>
      </c>
    </row>
    <row r="278" spans="1:21" ht="18" customHeight="1" x14ac:dyDescent="0.3">
      <c r="A278" s="2"/>
      <c r="B278" s="65" t="str">
        <f t="shared" si="16"/>
        <v/>
      </c>
      <c r="C278" s="60"/>
      <c r="D278" s="65" t="str">
        <f>IF($E278="","",IFERROR(INDEX(MUSTERILER!$B$7:$B$156,MATCH($U278,MUSTERILER!$T$7:$T$156,0)),IFERROR(INDEX(MUSTERILER!$B$7:$B$156,MATCH($E278,MUSTERILER!$B$7:$B$156,0)),IFERROR(INDEX(MUSTERILER!$B$7:$B$156,MATCH($U278&amp;"*",MUSTERILER!$T$7:$T$156,0)),"TANIMSIZ MÜŞTERİ"))))</f>
        <v/>
      </c>
      <c r="E278" s="61"/>
      <c r="F278" s="61"/>
      <c r="G278" s="60"/>
      <c r="H278" s="66"/>
      <c r="I278" s="66"/>
      <c r="J278" s="60"/>
      <c r="K278" s="60"/>
      <c r="L278" s="61"/>
      <c r="M278" s="61"/>
      <c r="N278" s="61"/>
      <c r="O278" s="66"/>
      <c r="P278" s="76" t="str">
        <f t="shared" ca="1" si="17"/>
        <v/>
      </c>
      <c r="Q278" s="65" t="str">
        <f t="shared" ca="1" si="18"/>
        <v/>
      </c>
      <c r="R278" s="2"/>
      <c r="S278" s="2"/>
      <c r="T278" s="1"/>
      <c r="U278" s="1" t="str">
        <f t="shared" si="19"/>
        <v/>
      </c>
    </row>
    <row r="279" spans="1:21" ht="18" customHeight="1" x14ac:dyDescent="0.3">
      <c r="A279" s="2"/>
      <c r="B279" s="65" t="str">
        <f t="shared" si="16"/>
        <v/>
      </c>
      <c r="C279" s="60"/>
      <c r="D279" s="65" t="str">
        <f>IF($E279="","",IFERROR(INDEX(MUSTERILER!$B$7:$B$156,MATCH($U279,MUSTERILER!$T$7:$T$156,0)),IFERROR(INDEX(MUSTERILER!$B$7:$B$156,MATCH($E279,MUSTERILER!$B$7:$B$156,0)),IFERROR(INDEX(MUSTERILER!$B$7:$B$156,MATCH($U279&amp;"*",MUSTERILER!$T$7:$T$156,0)),"TANIMSIZ MÜŞTERİ"))))</f>
        <v/>
      </c>
      <c r="E279" s="61"/>
      <c r="F279" s="61"/>
      <c r="G279" s="60"/>
      <c r="H279" s="66"/>
      <c r="I279" s="66"/>
      <c r="J279" s="60"/>
      <c r="K279" s="60"/>
      <c r="L279" s="61"/>
      <c r="M279" s="61"/>
      <c r="N279" s="61"/>
      <c r="O279" s="66"/>
      <c r="P279" s="76" t="str">
        <f t="shared" ca="1" si="17"/>
        <v/>
      </c>
      <c r="Q279" s="65" t="str">
        <f t="shared" ca="1" si="18"/>
        <v/>
      </c>
      <c r="R279" s="2"/>
      <c r="S279" s="2"/>
      <c r="T279" s="1"/>
      <c r="U279" s="1" t="str">
        <f t="shared" si="19"/>
        <v/>
      </c>
    </row>
    <row r="280" spans="1:21" ht="18" customHeight="1" x14ac:dyDescent="0.3">
      <c r="A280" s="2"/>
      <c r="B280" s="65" t="str">
        <f t="shared" si="16"/>
        <v/>
      </c>
      <c r="C280" s="60"/>
      <c r="D280" s="65" t="str">
        <f>IF($E280="","",IFERROR(INDEX(MUSTERILER!$B$7:$B$156,MATCH($U280,MUSTERILER!$T$7:$T$156,0)),IFERROR(INDEX(MUSTERILER!$B$7:$B$156,MATCH($E280,MUSTERILER!$B$7:$B$156,0)),IFERROR(INDEX(MUSTERILER!$B$7:$B$156,MATCH($U280&amp;"*",MUSTERILER!$T$7:$T$156,0)),"TANIMSIZ MÜŞTERİ"))))</f>
        <v/>
      </c>
      <c r="E280" s="61"/>
      <c r="F280" s="61"/>
      <c r="G280" s="60"/>
      <c r="H280" s="66"/>
      <c r="I280" s="66"/>
      <c r="J280" s="60"/>
      <c r="K280" s="60"/>
      <c r="L280" s="61"/>
      <c r="M280" s="61"/>
      <c r="N280" s="61"/>
      <c r="O280" s="66"/>
      <c r="P280" s="76" t="str">
        <f t="shared" ca="1" si="17"/>
        <v/>
      </c>
      <c r="Q280" s="65" t="str">
        <f t="shared" ca="1" si="18"/>
        <v/>
      </c>
      <c r="R280" s="2"/>
      <c r="S280" s="2"/>
      <c r="T280" s="1"/>
      <c r="U280" s="1" t="str">
        <f t="shared" si="19"/>
        <v/>
      </c>
    </row>
    <row r="281" spans="1:21" ht="18" customHeight="1" x14ac:dyDescent="0.3">
      <c r="A281" s="2"/>
      <c r="B281" s="65" t="str">
        <f t="shared" si="16"/>
        <v/>
      </c>
      <c r="C281" s="60"/>
      <c r="D281" s="65" t="str">
        <f>IF($E281="","",IFERROR(INDEX(MUSTERILER!$B$7:$B$156,MATCH($U281,MUSTERILER!$T$7:$T$156,0)),IFERROR(INDEX(MUSTERILER!$B$7:$B$156,MATCH($E281,MUSTERILER!$B$7:$B$156,0)),IFERROR(INDEX(MUSTERILER!$B$7:$B$156,MATCH($U281&amp;"*",MUSTERILER!$T$7:$T$156,0)),"TANIMSIZ MÜŞTERİ"))))</f>
        <v/>
      </c>
      <c r="E281" s="61"/>
      <c r="F281" s="61"/>
      <c r="G281" s="60"/>
      <c r="H281" s="66"/>
      <c r="I281" s="66"/>
      <c r="J281" s="60"/>
      <c r="K281" s="60"/>
      <c r="L281" s="61"/>
      <c r="M281" s="61"/>
      <c r="N281" s="61"/>
      <c r="O281" s="66"/>
      <c r="P281" s="76" t="str">
        <f t="shared" ca="1" si="17"/>
        <v/>
      </c>
      <c r="Q281" s="65" t="str">
        <f t="shared" ca="1" si="18"/>
        <v/>
      </c>
      <c r="R281" s="2"/>
      <c r="S281" s="2"/>
      <c r="T281" s="1"/>
      <c r="U281" s="1" t="str">
        <f t="shared" si="19"/>
        <v/>
      </c>
    </row>
    <row r="282" spans="1:21" ht="18" customHeight="1" x14ac:dyDescent="0.3">
      <c r="A282" s="2"/>
      <c r="B282" s="65" t="str">
        <f t="shared" si="16"/>
        <v/>
      </c>
      <c r="C282" s="60"/>
      <c r="D282" s="65" t="str">
        <f>IF($E282="","",IFERROR(INDEX(MUSTERILER!$B$7:$B$156,MATCH($U282,MUSTERILER!$T$7:$T$156,0)),IFERROR(INDEX(MUSTERILER!$B$7:$B$156,MATCH($E282,MUSTERILER!$B$7:$B$156,0)),IFERROR(INDEX(MUSTERILER!$B$7:$B$156,MATCH($U282&amp;"*",MUSTERILER!$T$7:$T$156,0)),"TANIMSIZ MÜŞTERİ"))))</f>
        <v/>
      </c>
      <c r="E282" s="61"/>
      <c r="F282" s="61"/>
      <c r="G282" s="60"/>
      <c r="H282" s="66"/>
      <c r="I282" s="66"/>
      <c r="J282" s="60"/>
      <c r="K282" s="60"/>
      <c r="L282" s="61"/>
      <c r="M282" s="61"/>
      <c r="N282" s="61"/>
      <c r="O282" s="66"/>
      <c r="P282" s="76" t="str">
        <f t="shared" ca="1" si="17"/>
        <v/>
      </c>
      <c r="Q282" s="65" t="str">
        <f t="shared" ca="1" si="18"/>
        <v/>
      </c>
      <c r="R282" s="2"/>
      <c r="S282" s="2"/>
      <c r="T282" s="1"/>
      <c r="U282" s="1" t="str">
        <f t="shared" si="19"/>
        <v/>
      </c>
    </row>
    <row r="283" spans="1:21" ht="18" customHeight="1" x14ac:dyDescent="0.3">
      <c r="A283" s="2"/>
      <c r="B283" s="65" t="str">
        <f t="shared" si="16"/>
        <v/>
      </c>
      <c r="C283" s="60"/>
      <c r="D283" s="65" t="str">
        <f>IF($E283="","",IFERROR(INDEX(MUSTERILER!$B$7:$B$156,MATCH($U283,MUSTERILER!$T$7:$T$156,0)),IFERROR(INDEX(MUSTERILER!$B$7:$B$156,MATCH($E283,MUSTERILER!$B$7:$B$156,0)),IFERROR(INDEX(MUSTERILER!$B$7:$B$156,MATCH($U283&amp;"*",MUSTERILER!$T$7:$T$156,0)),"TANIMSIZ MÜŞTERİ"))))</f>
        <v/>
      </c>
      <c r="E283" s="61"/>
      <c r="F283" s="61"/>
      <c r="G283" s="60"/>
      <c r="H283" s="66"/>
      <c r="I283" s="66"/>
      <c r="J283" s="60"/>
      <c r="K283" s="60"/>
      <c r="L283" s="61"/>
      <c r="M283" s="61"/>
      <c r="N283" s="61"/>
      <c r="O283" s="66"/>
      <c r="P283" s="76" t="str">
        <f t="shared" ca="1" si="17"/>
        <v/>
      </c>
      <c r="Q283" s="65" t="str">
        <f t="shared" ca="1" si="18"/>
        <v/>
      </c>
      <c r="R283" s="2"/>
      <c r="S283" s="2"/>
      <c r="T283" s="1"/>
      <c r="U283" s="1" t="str">
        <f t="shared" si="19"/>
        <v/>
      </c>
    </row>
    <row r="284" spans="1:21" ht="18" customHeight="1" x14ac:dyDescent="0.3">
      <c r="A284" s="2"/>
      <c r="B284" s="65" t="str">
        <f t="shared" si="16"/>
        <v/>
      </c>
      <c r="C284" s="60"/>
      <c r="D284" s="65" t="str">
        <f>IF($E284="","",IFERROR(INDEX(MUSTERILER!$B$7:$B$156,MATCH($U284,MUSTERILER!$T$7:$T$156,0)),IFERROR(INDEX(MUSTERILER!$B$7:$B$156,MATCH($E284,MUSTERILER!$B$7:$B$156,0)),IFERROR(INDEX(MUSTERILER!$B$7:$B$156,MATCH($U284&amp;"*",MUSTERILER!$T$7:$T$156,0)),"TANIMSIZ MÜŞTERİ"))))</f>
        <v/>
      </c>
      <c r="E284" s="61"/>
      <c r="F284" s="61"/>
      <c r="G284" s="60"/>
      <c r="H284" s="66"/>
      <c r="I284" s="66"/>
      <c r="J284" s="60"/>
      <c r="K284" s="60"/>
      <c r="L284" s="61"/>
      <c r="M284" s="61"/>
      <c r="N284" s="61"/>
      <c r="O284" s="66"/>
      <c r="P284" s="76" t="str">
        <f t="shared" ca="1" si="17"/>
        <v/>
      </c>
      <c r="Q284" s="65" t="str">
        <f t="shared" ca="1" si="18"/>
        <v/>
      </c>
      <c r="R284" s="2"/>
      <c r="S284" s="2"/>
      <c r="T284" s="1"/>
      <c r="U284" s="1" t="str">
        <f t="shared" si="19"/>
        <v/>
      </c>
    </row>
    <row r="285" spans="1:21" ht="18" customHeight="1" x14ac:dyDescent="0.3">
      <c r="A285" s="2"/>
      <c r="B285" s="65" t="str">
        <f t="shared" si="16"/>
        <v/>
      </c>
      <c r="C285" s="60"/>
      <c r="D285" s="65" t="str">
        <f>IF($E285="","",IFERROR(INDEX(MUSTERILER!$B$7:$B$156,MATCH($U285,MUSTERILER!$T$7:$T$156,0)),IFERROR(INDEX(MUSTERILER!$B$7:$B$156,MATCH($E285,MUSTERILER!$B$7:$B$156,0)),IFERROR(INDEX(MUSTERILER!$B$7:$B$156,MATCH($U285&amp;"*",MUSTERILER!$T$7:$T$156,0)),"TANIMSIZ MÜŞTERİ"))))</f>
        <v/>
      </c>
      <c r="E285" s="61"/>
      <c r="F285" s="61"/>
      <c r="G285" s="60"/>
      <c r="H285" s="66"/>
      <c r="I285" s="66"/>
      <c r="J285" s="60"/>
      <c r="K285" s="60"/>
      <c r="L285" s="61"/>
      <c r="M285" s="61"/>
      <c r="N285" s="61"/>
      <c r="O285" s="66"/>
      <c r="P285" s="76" t="str">
        <f t="shared" ca="1" si="17"/>
        <v/>
      </c>
      <c r="Q285" s="65" t="str">
        <f t="shared" ca="1" si="18"/>
        <v/>
      </c>
      <c r="R285" s="2"/>
      <c r="S285" s="2"/>
      <c r="T285" s="1"/>
      <c r="U285" s="1" t="str">
        <f t="shared" si="19"/>
        <v/>
      </c>
    </row>
    <row r="286" spans="1:21" ht="18" customHeight="1" x14ac:dyDescent="0.3">
      <c r="A286" s="2"/>
      <c r="B286" s="65" t="str">
        <f t="shared" si="16"/>
        <v/>
      </c>
      <c r="C286" s="60"/>
      <c r="D286" s="65" t="str">
        <f>IF($E286="","",IFERROR(INDEX(MUSTERILER!$B$7:$B$156,MATCH($U286,MUSTERILER!$T$7:$T$156,0)),IFERROR(INDEX(MUSTERILER!$B$7:$B$156,MATCH($E286,MUSTERILER!$B$7:$B$156,0)),IFERROR(INDEX(MUSTERILER!$B$7:$B$156,MATCH($U286&amp;"*",MUSTERILER!$T$7:$T$156,0)),"TANIMSIZ MÜŞTERİ"))))</f>
        <v/>
      </c>
      <c r="E286" s="61"/>
      <c r="F286" s="61"/>
      <c r="G286" s="60"/>
      <c r="H286" s="66"/>
      <c r="I286" s="66"/>
      <c r="J286" s="60"/>
      <c r="K286" s="60"/>
      <c r="L286" s="61"/>
      <c r="M286" s="61"/>
      <c r="N286" s="61"/>
      <c r="O286" s="66"/>
      <c r="P286" s="76" t="str">
        <f t="shared" ca="1" si="17"/>
        <v/>
      </c>
      <c r="Q286" s="65" t="str">
        <f t="shared" ca="1" si="18"/>
        <v/>
      </c>
      <c r="R286" s="2"/>
      <c r="S286" s="2"/>
      <c r="T286" s="1"/>
      <c r="U286" s="1" t="str">
        <f t="shared" si="19"/>
        <v/>
      </c>
    </row>
    <row r="287" spans="1:21" ht="18" customHeight="1" x14ac:dyDescent="0.3">
      <c r="A287" s="2"/>
      <c r="B287" s="65" t="str">
        <f t="shared" si="16"/>
        <v/>
      </c>
      <c r="C287" s="60"/>
      <c r="D287" s="65" t="str">
        <f>IF($E287="","",IFERROR(INDEX(MUSTERILER!$B$7:$B$156,MATCH($U287,MUSTERILER!$T$7:$T$156,0)),IFERROR(INDEX(MUSTERILER!$B$7:$B$156,MATCH($E287,MUSTERILER!$B$7:$B$156,0)),IFERROR(INDEX(MUSTERILER!$B$7:$B$156,MATCH($U287&amp;"*",MUSTERILER!$T$7:$T$156,0)),"TANIMSIZ MÜŞTERİ"))))</f>
        <v/>
      </c>
      <c r="E287" s="61"/>
      <c r="F287" s="61"/>
      <c r="G287" s="60"/>
      <c r="H287" s="66"/>
      <c r="I287" s="66"/>
      <c r="J287" s="60"/>
      <c r="K287" s="60"/>
      <c r="L287" s="61"/>
      <c r="M287" s="61"/>
      <c r="N287" s="61"/>
      <c r="O287" s="66"/>
      <c r="P287" s="76" t="str">
        <f t="shared" ca="1" si="17"/>
        <v/>
      </c>
      <c r="Q287" s="65" t="str">
        <f t="shared" ca="1" si="18"/>
        <v/>
      </c>
      <c r="R287" s="2"/>
      <c r="S287" s="2"/>
      <c r="T287" s="1"/>
      <c r="U287" s="1" t="str">
        <f t="shared" si="19"/>
        <v/>
      </c>
    </row>
    <row r="288" spans="1:21" ht="18" customHeight="1" x14ac:dyDescent="0.3">
      <c r="A288" s="2"/>
      <c r="B288" s="65" t="str">
        <f t="shared" si="16"/>
        <v/>
      </c>
      <c r="C288" s="60"/>
      <c r="D288" s="65" t="str">
        <f>IF($E288="","",IFERROR(INDEX(MUSTERILER!$B$7:$B$156,MATCH($U288,MUSTERILER!$T$7:$T$156,0)),IFERROR(INDEX(MUSTERILER!$B$7:$B$156,MATCH($E288,MUSTERILER!$B$7:$B$156,0)),IFERROR(INDEX(MUSTERILER!$B$7:$B$156,MATCH($U288&amp;"*",MUSTERILER!$T$7:$T$156,0)),"TANIMSIZ MÜŞTERİ"))))</f>
        <v/>
      </c>
      <c r="E288" s="61"/>
      <c r="F288" s="61"/>
      <c r="G288" s="60"/>
      <c r="H288" s="66"/>
      <c r="I288" s="66"/>
      <c r="J288" s="60"/>
      <c r="K288" s="60"/>
      <c r="L288" s="61"/>
      <c r="M288" s="61"/>
      <c r="N288" s="61"/>
      <c r="O288" s="66"/>
      <c r="P288" s="76" t="str">
        <f t="shared" ca="1" si="17"/>
        <v/>
      </c>
      <c r="Q288" s="65" t="str">
        <f t="shared" ca="1" si="18"/>
        <v/>
      </c>
      <c r="R288" s="2"/>
      <c r="S288" s="2"/>
      <c r="T288" s="1"/>
      <c r="U288" s="1" t="str">
        <f t="shared" si="19"/>
        <v/>
      </c>
    </row>
    <row r="289" spans="1:21" ht="18" customHeight="1" x14ac:dyDescent="0.3">
      <c r="A289" s="2"/>
      <c r="B289" s="65" t="str">
        <f t="shared" si="16"/>
        <v/>
      </c>
      <c r="C289" s="60"/>
      <c r="D289" s="65" t="str">
        <f>IF($E289="","",IFERROR(INDEX(MUSTERILER!$B$7:$B$156,MATCH($U289,MUSTERILER!$T$7:$T$156,0)),IFERROR(INDEX(MUSTERILER!$B$7:$B$156,MATCH($E289,MUSTERILER!$B$7:$B$156,0)),IFERROR(INDEX(MUSTERILER!$B$7:$B$156,MATCH($U289&amp;"*",MUSTERILER!$T$7:$T$156,0)),"TANIMSIZ MÜŞTERİ"))))</f>
        <v/>
      </c>
      <c r="E289" s="61"/>
      <c r="F289" s="61"/>
      <c r="G289" s="60"/>
      <c r="H289" s="66"/>
      <c r="I289" s="66"/>
      <c r="J289" s="60"/>
      <c r="K289" s="60"/>
      <c r="L289" s="61"/>
      <c r="M289" s="61"/>
      <c r="N289" s="61"/>
      <c r="O289" s="66"/>
      <c r="P289" s="76" t="str">
        <f t="shared" ca="1" si="17"/>
        <v/>
      </c>
      <c r="Q289" s="65" t="str">
        <f t="shared" ca="1" si="18"/>
        <v/>
      </c>
      <c r="R289" s="2"/>
      <c r="S289" s="2"/>
      <c r="T289" s="1"/>
      <c r="U289" s="1" t="str">
        <f t="shared" si="19"/>
        <v/>
      </c>
    </row>
    <row r="290" spans="1:21" ht="18" customHeight="1" x14ac:dyDescent="0.3">
      <c r="A290" s="2"/>
      <c r="B290" s="65" t="str">
        <f t="shared" si="16"/>
        <v/>
      </c>
      <c r="C290" s="60"/>
      <c r="D290" s="65" t="str">
        <f>IF($E290="","",IFERROR(INDEX(MUSTERILER!$B$7:$B$156,MATCH($U290,MUSTERILER!$T$7:$T$156,0)),IFERROR(INDEX(MUSTERILER!$B$7:$B$156,MATCH($E290,MUSTERILER!$B$7:$B$156,0)),IFERROR(INDEX(MUSTERILER!$B$7:$B$156,MATCH($U290&amp;"*",MUSTERILER!$T$7:$T$156,0)),"TANIMSIZ MÜŞTERİ"))))</f>
        <v/>
      </c>
      <c r="E290" s="61"/>
      <c r="F290" s="61"/>
      <c r="G290" s="60"/>
      <c r="H290" s="66"/>
      <c r="I290" s="66"/>
      <c r="J290" s="60"/>
      <c r="K290" s="60"/>
      <c r="L290" s="61"/>
      <c r="M290" s="61"/>
      <c r="N290" s="61"/>
      <c r="O290" s="66"/>
      <c r="P290" s="76" t="str">
        <f t="shared" ca="1" si="17"/>
        <v/>
      </c>
      <c r="Q290" s="65" t="str">
        <f t="shared" ca="1" si="18"/>
        <v/>
      </c>
      <c r="R290" s="2"/>
      <c r="S290" s="2"/>
      <c r="T290" s="1"/>
      <c r="U290" s="1" t="str">
        <f t="shared" si="19"/>
        <v/>
      </c>
    </row>
    <row r="291" spans="1:21" ht="18" customHeight="1" x14ac:dyDescent="0.3">
      <c r="A291" s="2"/>
      <c r="B291" s="65" t="str">
        <f t="shared" si="16"/>
        <v/>
      </c>
      <c r="C291" s="60"/>
      <c r="D291" s="65" t="str">
        <f>IF($E291="","",IFERROR(INDEX(MUSTERILER!$B$7:$B$156,MATCH($U291,MUSTERILER!$T$7:$T$156,0)),IFERROR(INDEX(MUSTERILER!$B$7:$B$156,MATCH($E291,MUSTERILER!$B$7:$B$156,0)),IFERROR(INDEX(MUSTERILER!$B$7:$B$156,MATCH($U291&amp;"*",MUSTERILER!$T$7:$T$156,0)),"TANIMSIZ MÜŞTERİ"))))</f>
        <v/>
      </c>
      <c r="E291" s="61"/>
      <c r="F291" s="61"/>
      <c r="G291" s="60"/>
      <c r="H291" s="66"/>
      <c r="I291" s="66"/>
      <c r="J291" s="60"/>
      <c r="K291" s="60"/>
      <c r="L291" s="61"/>
      <c r="M291" s="61"/>
      <c r="N291" s="61"/>
      <c r="O291" s="66"/>
      <c r="P291" s="76" t="str">
        <f t="shared" ca="1" si="17"/>
        <v/>
      </c>
      <c r="Q291" s="65" t="str">
        <f t="shared" ca="1" si="18"/>
        <v/>
      </c>
      <c r="R291" s="2"/>
      <c r="S291" s="2"/>
      <c r="T291" s="1"/>
      <c r="U291" s="1" t="str">
        <f t="shared" si="19"/>
        <v/>
      </c>
    </row>
    <row r="292" spans="1:21" ht="18" customHeight="1" x14ac:dyDescent="0.3">
      <c r="A292" s="2"/>
      <c r="B292" s="65" t="str">
        <f t="shared" si="16"/>
        <v/>
      </c>
      <c r="C292" s="60"/>
      <c r="D292" s="65" t="str">
        <f>IF($E292="","",IFERROR(INDEX(MUSTERILER!$B$7:$B$156,MATCH($U292,MUSTERILER!$T$7:$T$156,0)),IFERROR(INDEX(MUSTERILER!$B$7:$B$156,MATCH($E292,MUSTERILER!$B$7:$B$156,0)),IFERROR(INDEX(MUSTERILER!$B$7:$B$156,MATCH($U292&amp;"*",MUSTERILER!$T$7:$T$156,0)),"TANIMSIZ MÜŞTERİ"))))</f>
        <v/>
      </c>
      <c r="E292" s="61"/>
      <c r="F292" s="61"/>
      <c r="G292" s="60"/>
      <c r="H292" s="66"/>
      <c r="I292" s="66"/>
      <c r="J292" s="60"/>
      <c r="K292" s="60"/>
      <c r="L292" s="61"/>
      <c r="M292" s="61"/>
      <c r="N292" s="61"/>
      <c r="O292" s="66"/>
      <c r="P292" s="76" t="str">
        <f t="shared" ca="1" si="17"/>
        <v/>
      </c>
      <c r="Q292" s="65" t="str">
        <f t="shared" ca="1" si="18"/>
        <v/>
      </c>
      <c r="R292" s="2"/>
      <c r="S292" s="2"/>
      <c r="T292" s="1"/>
      <c r="U292" s="1" t="str">
        <f t="shared" si="19"/>
        <v/>
      </c>
    </row>
    <row r="293" spans="1:21" ht="18" customHeight="1" x14ac:dyDescent="0.3">
      <c r="A293" s="2"/>
      <c r="B293" s="65" t="str">
        <f t="shared" si="16"/>
        <v/>
      </c>
      <c r="C293" s="60"/>
      <c r="D293" s="65" t="str">
        <f>IF($E293="","",IFERROR(INDEX(MUSTERILER!$B$7:$B$156,MATCH($U293,MUSTERILER!$T$7:$T$156,0)),IFERROR(INDEX(MUSTERILER!$B$7:$B$156,MATCH($E293,MUSTERILER!$B$7:$B$156,0)),IFERROR(INDEX(MUSTERILER!$B$7:$B$156,MATCH($U293&amp;"*",MUSTERILER!$T$7:$T$156,0)),"TANIMSIZ MÜŞTERİ"))))</f>
        <v/>
      </c>
      <c r="E293" s="61"/>
      <c r="F293" s="61"/>
      <c r="G293" s="60"/>
      <c r="H293" s="66"/>
      <c r="I293" s="66"/>
      <c r="J293" s="60"/>
      <c r="K293" s="60"/>
      <c r="L293" s="61"/>
      <c r="M293" s="61"/>
      <c r="N293" s="61"/>
      <c r="O293" s="66"/>
      <c r="P293" s="76" t="str">
        <f t="shared" ca="1" si="17"/>
        <v/>
      </c>
      <c r="Q293" s="65" t="str">
        <f t="shared" ca="1" si="18"/>
        <v/>
      </c>
      <c r="R293" s="2"/>
      <c r="S293" s="2"/>
      <c r="T293" s="1"/>
      <c r="U293" s="1" t="str">
        <f t="shared" si="19"/>
        <v/>
      </c>
    </row>
    <row r="294" spans="1:21" ht="18" customHeight="1" x14ac:dyDescent="0.3">
      <c r="A294" s="2"/>
      <c r="B294" s="65" t="str">
        <f t="shared" si="16"/>
        <v/>
      </c>
      <c r="C294" s="60"/>
      <c r="D294" s="65" t="str">
        <f>IF($E294="","",IFERROR(INDEX(MUSTERILER!$B$7:$B$156,MATCH($U294,MUSTERILER!$T$7:$T$156,0)),IFERROR(INDEX(MUSTERILER!$B$7:$B$156,MATCH($E294,MUSTERILER!$B$7:$B$156,0)),IFERROR(INDEX(MUSTERILER!$B$7:$B$156,MATCH($U294&amp;"*",MUSTERILER!$T$7:$T$156,0)),"TANIMSIZ MÜŞTERİ"))))</f>
        <v/>
      </c>
      <c r="E294" s="61"/>
      <c r="F294" s="61"/>
      <c r="G294" s="60"/>
      <c r="H294" s="66"/>
      <c r="I294" s="66"/>
      <c r="J294" s="60"/>
      <c r="K294" s="60"/>
      <c r="L294" s="61"/>
      <c r="M294" s="61"/>
      <c r="N294" s="61"/>
      <c r="O294" s="66"/>
      <c r="P294" s="76" t="str">
        <f t="shared" ca="1" si="17"/>
        <v/>
      </c>
      <c r="Q294" s="65" t="str">
        <f t="shared" ca="1" si="18"/>
        <v/>
      </c>
      <c r="R294" s="2"/>
      <c r="S294" s="2"/>
      <c r="T294" s="1"/>
      <c r="U294" s="1" t="str">
        <f t="shared" si="19"/>
        <v/>
      </c>
    </row>
    <row r="295" spans="1:21" ht="18" customHeight="1" x14ac:dyDescent="0.3">
      <c r="A295" s="2"/>
      <c r="B295" s="65" t="str">
        <f t="shared" si="16"/>
        <v/>
      </c>
      <c r="C295" s="60"/>
      <c r="D295" s="65" t="str">
        <f>IF($E295="","",IFERROR(INDEX(MUSTERILER!$B$7:$B$156,MATCH($U295,MUSTERILER!$T$7:$T$156,0)),IFERROR(INDEX(MUSTERILER!$B$7:$B$156,MATCH($E295,MUSTERILER!$B$7:$B$156,0)),IFERROR(INDEX(MUSTERILER!$B$7:$B$156,MATCH($U295&amp;"*",MUSTERILER!$T$7:$T$156,0)),"TANIMSIZ MÜŞTERİ"))))</f>
        <v/>
      </c>
      <c r="E295" s="61"/>
      <c r="F295" s="61"/>
      <c r="G295" s="60"/>
      <c r="H295" s="66"/>
      <c r="I295" s="66"/>
      <c r="J295" s="60"/>
      <c r="K295" s="60"/>
      <c r="L295" s="61"/>
      <c r="M295" s="61"/>
      <c r="N295" s="61"/>
      <c r="O295" s="66"/>
      <c r="P295" s="76" t="str">
        <f t="shared" ca="1" si="17"/>
        <v/>
      </c>
      <c r="Q295" s="65" t="str">
        <f t="shared" ca="1" si="18"/>
        <v/>
      </c>
      <c r="R295" s="2"/>
      <c r="S295" s="2"/>
      <c r="T295" s="1"/>
      <c r="U295" s="1" t="str">
        <f t="shared" si="19"/>
        <v/>
      </c>
    </row>
    <row r="296" spans="1:21" ht="18" customHeight="1" x14ac:dyDescent="0.3">
      <c r="A296" s="2"/>
      <c r="B296" s="65" t="str">
        <f t="shared" si="16"/>
        <v/>
      </c>
      <c r="C296" s="60"/>
      <c r="D296" s="65" t="str">
        <f>IF($E296="","",IFERROR(INDEX(MUSTERILER!$B$7:$B$156,MATCH($U296,MUSTERILER!$T$7:$T$156,0)),IFERROR(INDEX(MUSTERILER!$B$7:$B$156,MATCH($E296,MUSTERILER!$B$7:$B$156,0)),IFERROR(INDEX(MUSTERILER!$B$7:$B$156,MATCH($U296&amp;"*",MUSTERILER!$T$7:$T$156,0)),"TANIMSIZ MÜŞTERİ"))))</f>
        <v/>
      </c>
      <c r="E296" s="61"/>
      <c r="F296" s="61"/>
      <c r="G296" s="60"/>
      <c r="H296" s="66"/>
      <c r="I296" s="66"/>
      <c r="J296" s="60"/>
      <c r="K296" s="60"/>
      <c r="L296" s="61"/>
      <c r="M296" s="61"/>
      <c r="N296" s="61"/>
      <c r="O296" s="66"/>
      <c r="P296" s="76" t="str">
        <f t="shared" ca="1" si="17"/>
        <v/>
      </c>
      <c r="Q296" s="65" t="str">
        <f t="shared" ca="1" si="18"/>
        <v/>
      </c>
      <c r="R296" s="2"/>
      <c r="S296" s="2"/>
      <c r="T296" s="1"/>
      <c r="U296" s="1" t="str">
        <f t="shared" si="19"/>
        <v/>
      </c>
    </row>
    <row r="297" spans="1:21" ht="18" customHeight="1" x14ac:dyDescent="0.3">
      <c r="A297" s="2"/>
      <c r="B297" s="65" t="str">
        <f t="shared" si="16"/>
        <v/>
      </c>
      <c r="C297" s="60"/>
      <c r="D297" s="65" t="str">
        <f>IF($E297="","",IFERROR(INDEX(MUSTERILER!$B$7:$B$156,MATCH($U297,MUSTERILER!$T$7:$T$156,0)),IFERROR(INDEX(MUSTERILER!$B$7:$B$156,MATCH($E297,MUSTERILER!$B$7:$B$156,0)),IFERROR(INDEX(MUSTERILER!$B$7:$B$156,MATCH($U297&amp;"*",MUSTERILER!$T$7:$T$156,0)),"TANIMSIZ MÜŞTERİ"))))</f>
        <v/>
      </c>
      <c r="E297" s="61"/>
      <c r="F297" s="61"/>
      <c r="G297" s="60"/>
      <c r="H297" s="66"/>
      <c r="I297" s="66"/>
      <c r="J297" s="60"/>
      <c r="K297" s="60"/>
      <c r="L297" s="61"/>
      <c r="M297" s="61"/>
      <c r="N297" s="61"/>
      <c r="O297" s="66"/>
      <c r="P297" s="76" t="str">
        <f t="shared" ca="1" si="17"/>
        <v/>
      </c>
      <c r="Q297" s="65" t="str">
        <f t="shared" ca="1" si="18"/>
        <v/>
      </c>
      <c r="R297" s="2"/>
      <c r="S297" s="2"/>
      <c r="T297" s="1"/>
      <c r="U297" s="1" t="str">
        <f t="shared" si="19"/>
        <v/>
      </c>
    </row>
    <row r="298" spans="1:21" ht="18" customHeight="1" x14ac:dyDescent="0.3">
      <c r="A298" s="2"/>
      <c r="B298" s="65" t="str">
        <f t="shared" si="16"/>
        <v/>
      </c>
      <c r="C298" s="60"/>
      <c r="D298" s="65" t="str">
        <f>IF($E298="","",IFERROR(INDEX(MUSTERILER!$B$7:$B$156,MATCH($U298,MUSTERILER!$T$7:$T$156,0)),IFERROR(INDEX(MUSTERILER!$B$7:$B$156,MATCH($E298,MUSTERILER!$B$7:$B$156,0)),IFERROR(INDEX(MUSTERILER!$B$7:$B$156,MATCH($U298&amp;"*",MUSTERILER!$T$7:$T$156,0)),"TANIMSIZ MÜŞTERİ"))))</f>
        <v/>
      </c>
      <c r="E298" s="61"/>
      <c r="F298" s="61"/>
      <c r="G298" s="60"/>
      <c r="H298" s="66"/>
      <c r="I298" s="66"/>
      <c r="J298" s="60"/>
      <c r="K298" s="60"/>
      <c r="L298" s="61"/>
      <c r="M298" s="61"/>
      <c r="N298" s="61"/>
      <c r="O298" s="66"/>
      <c r="P298" s="76" t="str">
        <f t="shared" ca="1" si="17"/>
        <v/>
      </c>
      <c r="Q298" s="65" t="str">
        <f t="shared" ca="1" si="18"/>
        <v/>
      </c>
      <c r="R298" s="2"/>
      <c r="S298" s="2"/>
      <c r="T298" s="1"/>
      <c r="U298" s="1" t="str">
        <f t="shared" si="19"/>
        <v/>
      </c>
    </row>
    <row r="299" spans="1:21" ht="18" customHeight="1" x14ac:dyDescent="0.3">
      <c r="A299" s="2"/>
      <c r="B299" s="65" t="str">
        <f t="shared" si="16"/>
        <v/>
      </c>
      <c r="C299" s="60"/>
      <c r="D299" s="65" t="str">
        <f>IF($E299="","",IFERROR(INDEX(MUSTERILER!$B$7:$B$156,MATCH($U299,MUSTERILER!$T$7:$T$156,0)),IFERROR(INDEX(MUSTERILER!$B$7:$B$156,MATCH($E299,MUSTERILER!$B$7:$B$156,0)),IFERROR(INDEX(MUSTERILER!$B$7:$B$156,MATCH($U299&amp;"*",MUSTERILER!$T$7:$T$156,0)),"TANIMSIZ MÜŞTERİ"))))</f>
        <v/>
      </c>
      <c r="E299" s="61"/>
      <c r="F299" s="61"/>
      <c r="G299" s="60"/>
      <c r="H299" s="66"/>
      <c r="I299" s="66"/>
      <c r="J299" s="60"/>
      <c r="K299" s="60"/>
      <c r="L299" s="61"/>
      <c r="M299" s="61"/>
      <c r="N299" s="61"/>
      <c r="O299" s="66"/>
      <c r="P299" s="76" t="str">
        <f t="shared" ca="1" si="17"/>
        <v/>
      </c>
      <c r="Q299" s="65" t="str">
        <f t="shared" ca="1" si="18"/>
        <v/>
      </c>
      <c r="R299" s="2"/>
      <c r="S299" s="2"/>
      <c r="T299" s="1"/>
      <c r="U299" s="1" t="str">
        <f t="shared" si="19"/>
        <v/>
      </c>
    </row>
    <row r="300" spans="1:21" ht="18" customHeight="1" x14ac:dyDescent="0.3">
      <c r="A300" s="2"/>
      <c r="B300" s="65" t="str">
        <f t="shared" si="16"/>
        <v/>
      </c>
      <c r="C300" s="60"/>
      <c r="D300" s="65" t="str">
        <f>IF($E300="","",IFERROR(INDEX(MUSTERILER!$B$7:$B$156,MATCH($U300,MUSTERILER!$T$7:$T$156,0)),IFERROR(INDEX(MUSTERILER!$B$7:$B$156,MATCH($E300,MUSTERILER!$B$7:$B$156,0)),IFERROR(INDEX(MUSTERILER!$B$7:$B$156,MATCH($U300&amp;"*",MUSTERILER!$T$7:$T$156,0)),"TANIMSIZ MÜŞTERİ"))))</f>
        <v/>
      </c>
      <c r="E300" s="61"/>
      <c r="F300" s="61"/>
      <c r="G300" s="60"/>
      <c r="H300" s="66"/>
      <c r="I300" s="66"/>
      <c r="J300" s="60"/>
      <c r="K300" s="60"/>
      <c r="L300" s="61"/>
      <c r="M300" s="61"/>
      <c r="N300" s="61"/>
      <c r="O300" s="66"/>
      <c r="P300" s="76" t="str">
        <f t="shared" ca="1" si="17"/>
        <v/>
      </c>
      <c r="Q300" s="65" t="str">
        <f t="shared" ca="1" si="18"/>
        <v/>
      </c>
      <c r="R300" s="2"/>
      <c r="S300" s="2"/>
      <c r="T300" s="1"/>
      <c r="U300" s="1" t="str">
        <f t="shared" si="19"/>
        <v/>
      </c>
    </row>
    <row r="301" spans="1:21" ht="18" customHeight="1" x14ac:dyDescent="0.3">
      <c r="A301" s="2"/>
      <c r="B301" s="65" t="str">
        <f t="shared" si="16"/>
        <v/>
      </c>
      <c r="C301" s="60"/>
      <c r="D301" s="65" t="str">
        <f>IF($E301="","",IFERROR(INDEX(MUSTERILER!$B$7:$B$156,MATCH($U301,MUSTERILER!$T$7:$T$156,0)),IFERROR(INDEX(MUSTERILER!$B$7:$B$156,MATCH($E301,MUSTERILER!$B$7:$B$156,0)),IFERROR(INDEX(MUSTERILER!$B$7:$B$156,MATCH($U301&amp;"*",MUSTERILER!$T$7:$T$156,0)),"TANIMSIZ MÜŞTERİ"))))</f>
        <v/>
      </c>
      <c r="E301" s="61"/>
      <c r="F301" s="61"/>
      <c r="G301" s="60"/>
      <c r="H301" s="66"/>
      <c r="I301" s="66"/>
      <c r="J301" s="60"/>
      <c r="K301" s="60"/>
      <c r="L301" s="61"/>
      <c r="M301" s="61"/>
      <c r="N301" s="61"/>
      <c r="O301" s="66"/>
      <c r="P301" s="76" t="str">
        <f t="shared" ca="1" si="17"/>
        <v/>
      </c>
      <c r="Q301" s="65" t="str">
        <f t="shared" ca="1" si="18"/>
        <v/>
      </c>
      <c r="R301" s="2"/>
      <c r="S301" s="2"/>
      <c r="T301" s="1"/>
      <c r="U301" s="1" t="str">
        <f t="shared" si="19"/>
        <v/>
      </c>
    </row>
    <row r="302" spans="1:21" ht="18" customHeight="1" x14ac:dyDescent="0.3">
      <c r="A302" s="2"/>
      <c r="B302" s="65" t="str">
        <f t="shared" si="16"/>
        <v/>
      </c>
      <c r="C302" s="60"/>
      <c r="D302" s="65" t="str">
        <f>IF($E302="","",IFERROR(INDEX(MUSTERILER!$B$7:$B$156,MATCH($U302,MUSTERILER!$T$7:$T$156,0)),IFERROR(INDEX(MUSTERILER!$B$7:$B$156,MATCH($E302,MUSTERILER!$B$7:$B$156,0)),IFERROR(INDEX(MUSTERILER!$B$7:$B$156,MATCH($U302&amp;"*",MUSTERILER!$T$7:$T$156,0)),"TANIMSIZ MÜŞTERİ"))))</f>
        <v/>
      </c>
      <c r="E302" s="61"/>
      <c r="F302" s="61"/>
      <c r="G302" s="60"/>
      <c r="H302" s="66"/>
      <c r="I302" s="66"/>
      <c r="J302" s="60"/>
      <c r="K302" s="60"/>
      <c r="L302" s="61"/>
      <c r="M302" s="61"/>
      <c r="N302" s="61"/>
      <c r="O302" s="66"/>
      <c r="P302" s="76" t="str">
        <f t="shared" ca="1" si="17"/>
        <v/>
      </c>
      <c r="Q302" s="65" t="str">
        <f t="shared" ca="1" si="18"/>
        <v/>
      </c>
      <c r="R302" s="2"/>
      <c r="S302" s="2"/>
      <c r="T302" s="1"/>
      <c r="U302" s="1" t="str">
        <f t="shared" si="19"/>
        <v/>
      </c>
    </row>
    <row r="303" spans="1:21" ht="18" customHeight="1" x14ac:dyDescent="0.3">
      <c r="A303" s="2"/>
      <c r="B303" s="65" t="str">
        <f t="shared" si="16"/>
        <v/>
      </c>
      <c r="C303" s="60"/>
      <c r="D303" s="65" t="str">
        <f>IF($E303="","",IFERROR(INDEX(MUSTERILER!$B$7:$B$156,MATCH($U303,MUSTERILER!$T$7:$T$156,0)),IFERROR(INDEX(MUSTERILER!$B$7:$B$156,MATCH($E303,MUSTERILER!$B$7:$B$156,0)),IFERROR(INDEX(MUSTERILER!$B$7:$B$156,MATCH($U303&amp;"*",MUSTERILER!$T$7:$T$156,0)),"TANIMSIZ MÜŞTERİ"))))</f>
        <v/>
      </c>
      <c r="E303" s="61"/>
      <c r="F303" s="61"/>
      <c r="G303" s="60"/>
      <c r="H303" s="66"/>
      <c r="I303" s="66"/>
      <c r="J303" s="60"/>
      <c r="K303" s="60"/>
      <c r="L303" s="61"/>
      <c r="M303" s="61"/>
      <c r="N303" s="61"/>
      <c r="O303" s="66"/>
      <c r="P303" s="76" t="str">
        <f t="shared" ca="1" si="17"/>
        <v/>
      </c>
      <c r="Q303" s="65" t="str">
        <f t="shared" ca="1" si="18"/>
        <v/>
      </c>
      <c r="R303" s="2"/>
      <c r="S303" s="2"/>
      <c r="T303" s="1"/>
      <c r="U303" s="1" t="str">
        <f t="shared" si="19"/>
        <v/>
      </c>
    </row>
    <row r="304" spans="1:21" ht="18" customHeight="1" x14ac:dyDescent="0.3">
      <c r="A304" s="2"/>
      <c r="B304" s="65" t="str">
        <f t="shared" si="16"/>
        <v/>
      </c>
      <c r="C304" s="60"/>
      <c r="D304" s="65" t="str">
        <f>IF($E304="","",IFERROR(INDEX(MUSTERILER!$B$7:$B$156,MATCH($U304,MUSTERILER!$T$7:$T$156,0)),IFERROR(INDEX(MUSTERILER!$B$7:$B$156,MATCH($E304,MUSTERILER!$B$7:$B$156,0)),IFERROR(INDEX(MUSTERILER!$B$7:$B$156,MATCH($U304&amp;"*",MUSTERILER!$T$7:$T$156,0)),"TANIMSIZ MÜŞTERİ"))))</f>
        <v/>
      </c>
      <c r="E304" s="61"/>
      <c r="F304" s="61"/>
      <c r="G304" s="60"/>
      <c r="H304" s="66"/>
      <c r="I304" s="66"/>
      <c r="J304" s="60"/>
      <c r="K304" s="60"/>
      <c r="L304" s="61"/>
      <c r="M304" s="61"/>
      <c r="N304" s="61"/>
      <c r="O304" s="66"/>
      <c r="P304" s="76" t="str">
        <f t="shared" ca="1" si="17"/>
        <v/>
      </c>
      <c r="Q304" s="65" t="str">
        <f t="shared" ca="1" si="18"/>
        <v/>
      </c>
      <c r="R304" s="2"/>
      <c r="S304" s="2"/>
      <c r="T304" s="1"/>
      <c r="U304" s="1" t="str">
        <f t="shared" si="19"/>
        <v/>
      </c>
    </row>
    <row r="305" spans="1:21" ht="18" customHeight="1" x14ac:dyDescent="0.3">
      <c r="A305" s="2"/>
      <c r="B305" s="65" t="str">
        <f t="shared" si="16"/>
        <v/>
      </c>
      <c r="C305" s="60"/>
      <c r="D305" s="65" t="str">
        <f>IF($E305="","",IFERROR(INDEX(MUSTERILER!$B$7:$B$156,MATCH($U305,MUSTERILER!$T$7:$T$156,0)),IFERROR(INDEX(MUSTERILER!$B$7:$B$156,MATCH($E305,MUSTERILER!$B$7:$B$156,0)),IFERROR(INDEX(MUSTERILER!$B$7:$B$156,MATCH($U305&amp;"*",MUSTERILER!$T$7:$T$156,0)),"TANIMSIZ MÜŞTERİ"))))</f>
        <v/>
      </c>
      <c r="E305" s="61"/>
      <c r="F305" s="61"/>
      <c r="G305" s="60"/>
      <c r="H305" s="66"/>
      <c r="I305" s="66"/>
      <c r="J305" s="60"/>
      <c r="K305" s="60"/>
      <c r="L305" s="61"/>
      <c r="M305" s="61"/>
      <c r="N305" s="61"/>
      <c r="O305" s="66"/>
      <c r="P305" s="76" t="str">
        <f t="shared" ca="1" si="17"/>
        <v/>
      </c>
      <c r="Q305" s="65" t="str">
        <f t="shared" ca="1" si="18"/>
        <v/>
      </c>
      <c r="R305" s="2"/>
      <c r="S305" s="2"/>
      <c r="T305" s="1"/>
      <c r="U305" s="1" t="str">
        <f t="shared" si="19"/>
        <v/>
      </c>
    </row>
    <row r="306" spans="1:21" ht="18" customHeight="1" x14ac:dyDescent="0.3">
      <c r="A306" s="2"/>
      <c r="B306" s="65" t="str">
        <f t="shared" si="16"/>
        <v/>
      </c>
      <c r="C306" s="60"/>
      <c r="D306" s="65" t="str">
        <f>IF($E306="","",IFERROR(INDEX(MUSTERILER!$B$7:$B$156,MATCH($U306,MUSTERILER!$T$7:$T$156,0)),IFERROR(INDEX(MUSTERILER!$B$7:$B$156,MATCH($E306,MUSTERILER!$B$7:$B$156,0)),IFERROR(INDEX(MUSTERILER!$B$7:$B$156,MATCH($U306&amp;"*",MUSTERILER!$T$7:$T$156,0)),"TANIMSIZ MÜŞTERİ"))))</f>
        <v/>
      </c>
      <c r="E306" s="61"/>
      <c r="F306" s="61"/>
      <c r="G306" s="60"/>
      <c r="H306" s="66"/>
      <c r="I306" s="66"/>
      <c r="J306" s="60"/>
      <c r="K306" s="60"/>
      <c r="L306" s="61"/>
      <c r="M306" s="61"/>
      <c r="N306" s="61"/>
      <c r="O306" s="66"/>
      <c r="P306" s="76" t="str">
        <f t="shared" ca="1" si="17"/>
        <v/>
      </c>
      <c r="Q306" s="65" t="str">
        <f t="shared" ca="1" si="18"/>
        <v/>
      </c>
      <c r="R306" s="2"/>
      <c r="S306" s="2"/>
      <c r="T306" s="1"/>
      <c r="U306" s="1" t="str">
        <f t="shared" si="19"/>
        <v/>
      </c>
    </row>
    <row r="307" spans="1:21" ht="18" customHeight="1" x14ac:dyDescent="0.3">
      <c r="A307" s="2"/>
      <c r="B307" s="65" t="str">
        <f t="shared" si="16"/>
        <v/>
      </c>
      <c r="C307" s="60"/>
      <c r="D307" s="65" t="str">
        <f>IF($E307="","",IFERROR(INDEX(MUSTERILER!$B$7:$B$156,MATCH($U307,MUSTERILER!$T$7:$T$156,0)),IFERROR(INDEX(MUSTERILER!$B$7:$B$156,MATCH($E307,MUSTERILER!$B$7:$B$156,0)),IFERROR(INDEX(MUSTERILER!$B$7:$B$156,MATCH($U307&amp;"*",MUSTERILER!$T$7:$T$156,0)),"TANIMSIZ MÜŞTERİ"))))</f>
        <v/>
      </c>
      <c r="E307" s="61"/>
      <c r="F307" s="61"/>
      <c r="G307" s="60"/>
      <c r="H307" s="66"/>
      <c r="I307" s="66"/>
      <c r="J307" s="60"/>
      <c r="K307" s="60"/>
      <c r="L307" s="61"/>
      <c r="M307" s="61"/>
      <c r="N307" s="61"/>
      <c r="O307" s="66"/>
      <c r="P307" s="76" t="str">
        <f t="shared" ca="1" si="17"/>
        <v/>
      </c>
      <c r="Q307" s="65" t="str">
        <f t="shared" ca="1" si="18"/>
        <v/>
      </c>
      <c r="R307" s="2"/>
      <c r="S307" s="2"/>
      <c r="T307" s="1"/>
      <c r="U307" s="1" t="str">
        <f t="shared" si="19"/>
        <v/>
      </c>
    </row>
    <row r="308" spans="1:21" ht="18" customHeight="1" x14ac:dyDescent="0.3">
      <c r="A308" s="2"/>
      <c r="B308" s="65" t="str">
        <f t="shared" si="16"/>
        <v/>
      </c>
      <c r="C308" s="60"/>
      <c r="D308" s="65" t="str">
        <f>IF($E308="","",IFERROR(INDEX(MUSTERILER!$B$7:$B$156,MATCH($U308,MUSTERILER!$T$7:$T$156,0)),IFERROR(INDEX(MUSTERILER!$B$7:$B$156,MATCH($E308,MUSTERILER!$B$7:$B$156,0)),IFERROR(INDEX(MUSTERILER!$B$7:$B$156,MATCH($U308&amp;"*",MUSTERILER!$T$7:$T$156,0)),"TANIMSIZ MÜŞTERİ"))))</f>
        <v/>
      </c>
      <c r="E308" s="61"/>
      <c r="F308" s="61"/>
      <c r="G308" s="60"/>
      <c r="H308" s="66"/>
      <c r="I308" s="66"/>
      <c r="J308" s="60"/>
      <c r="K308" s="60"/>
      <c r="L308" s="61"/>
      <c r="M308" s="61"/>
      <c r="N308" s="61"/>
      <c r="O308" s="66"/>
      <c r="P308" s="76" t="str">
        <f t="shared" ca="1" si="17"/>
        <v/>
      </c>
      <c r="Q308" s="65" t="str">
        <f t="shared" ca="1" si="18"/>
        <v/>
      </c>
      <c r="R308" s="2"/>
      <c r="S308" s="2"/>
      <c r="T308" s="1"/>
      <c r="U308" s="1" t="str">
        <f t="shared" si="19"/>
        <v/>
      </c>
    </row>
    <row r="309" spans="1:21" ht="18" customHeight="1" x14ac:dyDescent="0.3">
      <c r="A309" s="2"/>
      <c r="B309" s="65" t="str">
        <f t="shared" si="16"/>
        <v/>
      </c>
      <c r="C309" s="60"/>
      <c r="D309" s="65" t="str">
        <f>IF($E309="","",IFERROR(INDEX(MUSTERILER!$B$7:$B$156,MATCH($U309,MUSTERILER!$T$7:$T$156,0)),IFERROR(INDEX(MUSTERILER!$B$7:$B$156,MATCH($E309,MUSTERILER!$B$7:$B$156,0)),IFERROR(INDEX(MUSTERILER!$B$7:$B$156,MATCH($U309&amp;"*",MUSTERILER!$T$7:$T$156,0)),"TANIMSIZ MÜŞTERİ"))))</f>
        <v/>
      </c>
      <c r="E309" s="61"/>
      <c r="F309" s="61"/>
      <c r="G309" s="60"/>
      <c r="H309" s="66"/>
      <c r="I309" s="66"/>
      <c r="J309" s="60"/>
      <c r="K309" s="60"/>
      <c r="L309" s="61"/>
      <c r="M309" s="61"/>
      <c r="N309" s="61"/>
      <c r="O309" s="66"/>
      <c r="P309" s="76" t="str">
        <f t="shared" ca="1" si="17"/>
        <v/>
      </c>
      <c r="Q309" s="65" t="str">
        <f t="shared" ca="1" si="18"/>
        <v/>
      </c>
      <c r="R309" s="2"/>
      <c r="S309" s="2"/>
      <c r="T309" s="1"/>
      <c r="U309" s="1" t="str">
        <f t="shared" si="19"/>
        <v/>
      </c>
    </row>
    <row r="310" spans="1:21" ht="18" customHeight="1" x14ac:dyDescent="0.3">
      <c r="A310" s="2"/>
      <c r="B310" s="65" t="str">
        <f t="shared" si="16"/>
        <v/>
      </c>
      <c r="C310" s="60"/>
      <c r="D310" s="65" t="str">
        <f>IF($E310="","",IFERROR(INDEX(MUSTERILER!$B$7:$B$156,MATCH($U310,MUSTERILER!$T$7:$T$156,0)),IFERROR(INDEX(MUSTERILER!$B$7:$B$156,MATCH($E310,MUSTERILER!$B$7:$B$156,0)),IFERROR(INDEX(MUSTERILER!$B$7:$B$156,MATCH($U310&amp;"*",MUSTERILER!$T$7:$T$156,0)),"TANIMSIZ MÜŞTERİ"))))</f>
        <v/>
      </c>
      <c r="E310" s="61"/>
      <c r="F310" s="61"/>
      <c r="G310" s="60"/>
      <c r="H310" s="66"/>
      <c r="I310" s="66"/>
      <c r="J310" s="60"/>
      <c r="K310" s="60"/>
      <c r="L310" s="61"/>
      <c r="M310" s="61"/>
      <c r="N310" s="61"/>
      <c r="O310" s="66"/>
      <c r="P310" s="76" t="str">
        <f t="shared" ca="1" si="17"/>
        <v/>
      </c>
      <c r="Q310" s="65" t="str">
        <f t="shared" ca="1" si="18"/>
        <v/>
      </c>
      <c r="R310" s="2"/>
      <c r="S310" s="2"/>
      <c r="T310" s="1"/>
      <c r="U310" s="1" t="str">
        <f t="shared" si="19"/>
        <v/>
      </c>
    </row>
    <row r="311" spans="1:21" ht="18" customHeight="1" x14ac:dyDescent="0.3">
      <c r="A311" s="2"/>
      <c r="B311" s="65" t="str">
        <f t="shared" si="16"/>
        <v/>
      </c>
      <c r="C311" s="60"/>
      <c r="D311" s="65" t="str">
        <f>IF($E311="","",IFERROR(INDEX(MUSTERILER!$B$7:$B$156,MATCH($U311,MUSTERILER!$T$7:$T$156,0)),IFERROR(INDEX(MUSTERILER!$B$7:$B$156,MATCH($E311,MUSTERILER!$B$7:$B$156,0)),IFERROR(INDEX(MUSTERILER!$B$7:$B$156,MATCH($U311&amp;"*",MUSTERILER!$T$7:$T$156,0)),"TANIMSIZ MÜŞTERİ"))))</f>
        <v/>
      </c>
      <c r="E311" s="61"/>
      <c r="F311" s="61"/>
      <c r="G311" s="60"/>
      <c r="H311" s="66"/>
      <c r="I311" s="66"/>
      <c r="J311" s="60"/>
      <c r="K311" s="60"/>
      <c r="L311" s="61"/>
      <c r="M311" s="61"/>
      <c r="N311" s="61"/>
      <c r="O311" s="66"/>
      <c r="P311" s="76" t="str">
        <f t="shared" ca="1" si="17"/>
        <v/>
      </c>
      <c r="Q311" s="65" t="str">
        <f t="shared" ca="1" si="18"/>
        <v/>
      </c>
      <c r="R311" s="2"/>
      <c r="S311" s="2"/>
      <c r="T311" s="1"/>
      <c r="U311" s="1" t="str">
        <f t="shared" si="19"/>
        <v/>
      </c>
    </row>
    <row r="312" spans="1:21" ht="18" customHeight="1" x14ac:dyDescent="0.3">
      <c r="A312" s="2"/>
      <c r="B312" s="65" t="str">
        <f t="shared" si="16"/>
        <v/>
      </c>
      <c r="C312" s="60"/>
      <c r="D312" s="65" t="str">
        <f>IF($E312="","",IFERROR(INDEX(MUSTERILER!$B$7:$B$156,MATCH($U312,MUSTERILER!$T$7:$T$156,0)),IFERROR(INDEX(MUSTERILER!$B$7:$B$156,MATCH($E312,MUSTERILER!$B$7:$B$156,0)),IFERROR(INDEX(MUSTERILER!$B$7:$B$156,MATCH($U312&amp;"*",MUSTERILER!$T$7:$T$156,0)),"TANIMSIZ MÜŞTERİ"))))</f>
        <v/>
      </c>
      <c r="E312" s="61"/>
      <c r="F312" s="61"/>
      <c r="G312" s="60"/>
      <c r="H312" s="66"/>
      <c r="I312" s="66"/>
      <c r="J312" s="60"/>
      <c r="K312" s="60"/>
      <c r="L312" s="61"/>
      <c r="M312" s="61"/>
      <c r="N312" s="61"/>
      <c r="O312" s="66"/>
      <c r="P312" s="76" t="str">
        <f t="shared" ca="1" si="17"/>
        <v/>
      </c>
      <c r="Q312" s="65" t="str">
        <f t="shared" ca="1" si="18"/>
        <v/>
      </c>
      <c r="R312" s="2"/>
      <c r="S312" s="2"/>
      <c r="T312" s="1"/>
      <c r="U312" s="1" t="str">
        <f t="shared" si="19"/>
        <v/>
      </c>
    </row>
    <row r="313" spans="1:21" ht="18" customHeight="1" x14ac:dyDescent="0.3">
      <c r="A313" s="2"/>
      <c r="B313" s="65" t="str">
        <f t="shared" si="16"/>
        <v/>
      </c>
      <c r="C313" s="60"/>
      <c r="D313" s="65" t="str">
        <f>IF($E313="","",IFERROR(INDEX(MUSTERILER!$B$7:$B$156,MATCH($U313,MUSTERILER!$T$7:$T$156,0)),IFERROR(INDEX(MUSTERILER!$B$7:$B$156,MATCH($E313,MUSTERILER!$B$7:$B$156,0)),IFERROR(INDEX(MUSTERILER!$B$7:$B$156,MATCH($U313&amp;"*",MUSTERILER!$T$7:$T$156,0)),"TANIMSIZ MÜŞTERİ"))))</f>
        <v/>
      </c>
      <c r="E313" s="61"/>
      <c r="F313" s="61"/>
      <c r="G313" s="60"/>
      <c r="H313" s="66"/>
      <c r="I313" s="66"/>
      <c r="J313" s="60"/>
      <c r="K313" s="60"/>
      <c r="L313" s="61"/>
      <c r="M313" s="61"/>
      <c r="N313" s="61"/>
      <c r="O313" s="66"/>
      <c r="P313" s="76" t="str">
        <f t="shared" ca="1" si="17"/>
        <v/>
      </c>
      <c r="Q313" s="65" t="str">
        <f t="shared" ca="1" si="18"/>
        <v/>
      </c>
      <c r="R313" s="2"/>
      <c r="S313" s="2"/>
      <c r="T313" s="1"/>
      <c r="U313" s="1" t="str">
        <f t="shared" si="19"/>
        <v/>
      </c>
    </row>
    <row r="314" spans="1:21" ht="18" customHeight="1" x14ac:dyDescent="0.3">
      <c r="A314" s="2"/>
      <c r="B314" s="65" t="str">
        <f t="shared" si="16"/>
        <v/>
      </c>
      <c r="C314" s="60"/>
      <c r="D314" s="65" t="str">
        <f>IF($E314="","",IFERROR(INDEX(MUSTERILER!$B$7:$B$156,MATCH($U314,MUSTERILER!$T$7:$T$156,0)),IFERROR(INDEX(MUSTERILER!$B$7:$B$156,MATCH($E314,MUSTERILER!$B$7:$B$156,0)),IFERROR(INDEX(MUSTERILER!$B$7:$B$156,MATCH($U314&amp;"*",MUSTERILER!$T$7:$T$156,0)),"TANIMSIZ MÜŞTERİ"))))</f>
        <v/>
      </c>
      <c r="E314" s="61"/>
      <c r="F314" s="61"/>
      <c r="G314" s="60"/>
      <c r="H314" s="66"/>
      <c r="I314" s="66"/>
      <c r="J314" s="60"/>
      <c r="K314" s="60"/>
      <c r="L314" s="61"/>
      <c r="M314" s="61"/>
      <c r="N314" s="61"/>
      <c r="O314" s="66"/>
      <c r="P314" s="76" t="str">
        <f t="shared" ca="1" si="17"/>
        <v/>
      </c>
      <c r="Q314" s="65" t="str">
        <f t="shared" ca="1" si="18"/>
        <v/>
      </c>
      <c r="R314" s="2"/>
      <c r="S314" s="2"/>
      <c r="T314" s="1"/>
      <c r="U314" s="1" t="str">
        <f t="shared" si="19"/>
        <v/>
      </c>
    </row>
    <row r="315" spans="1:21" ht="18" customHeight="1" x14ac:dyDescent="0.3">
      <c r="A315" s="2"/>
      <c r="B315" s="65" t="str">
        <f t="shared" si="16"/>
        <v/>
      </c>
      <c r="C315" s="60"/>
      <c r="D315" s="65" t="str">
        <f>IF($E315="","",IFERROR(INDEX(MUSTERILER!$B$7:$B$156,MATCH($U315,MUSTERILER!$T$7:$T$156,0)),IFERROR(INDEX(MUSTERILER!$B$7:$B$156,MATCH($E315,MUSTERILER!$B$7:$B$156,0)),IFERROR(INDEX(MUSTERILER!$B$7:$B$156,MATCH($U315&amp;"*",MUSTERILER!$T$7:$T$156,0)),"TANIMSIZ MÜŞTERİ"))))</f>
        <v/>
      </c>
      <c r="E315" s="61"/>
      <c r="F315" s="61"/>
      <c r="G315" s="60"/>
      <c r="H315" s="66"/>
      <c r="I315" s="66"/>
      <c r="J315" s="60"/>
      <c r="K315" s="60"/>
      <c r="L315" s="61"/>
      <c r="M315" s="61"/>
      <c r="N315" s="61"/>
      <c r="O315" s="66"/>
      <c r="P315" s="76" t="str">
        <f t="shared" ca="1" si="17"/>
        <v/>
      </c>
      <c r="Q315" s="65" t="str">
        <f t="shared" ca="1" si="18"/>
        <v/>
      </c>
      <c r="R315" s="2"/>
      <c r="S315" s="2"/>
      <c r="T315" s="1"/>
      <c r="U315" s="1" t="str">
        <f t="shared" si="19"/>
        <v/>
      </c>
    </row>
    <row r="316" spans="1:21" ht="18" customHeight="1" x14ac:dyDescent="0.3">
      <c r="A316" s="2"/>
      <c r="B316" s="65" t="str">
        <f t="shared" si="16"/>
        <v/>
      </c>
      <c r="C316" s="60"/>
      <c r="D316" s="65" t="str">
        <f>IF($E316="","",IFERROR(INDEX(MUSTERILER!$B$7:$B$156,MATCH($U316,MUSTERILER!$T$7:$T$156,0)),IFERROR(INDEX(MUSTERILER!$B$7:$B$156,MATCH($E316,MUSTERILER!$B$7:$B$156,0)),IFERROR(INDEX(MUSTERILER!$B$7:$B$156,MATCH($U316&amp;"*",MUSTERILER!$T$7:$T$156,0)),"TANIMSIZ MÜŞTERİ"))))</f>
        <v/>
      </c>
      <c r="E316" s="61"/>
      <c r="F316" s="61"/>
      <c r="G316" s="60"/>
      <c r="H316" s="66"/>
      <c r="I316" s="66"/>
      <c r="J316" s="60"/>
      <c r="K316" s="60"/>
      <c r="L316" s="61"/>
      <c r="M316" s="61"/>
      <c r="N316" s="61"/>
      <c r="O316" s="66"/>
      <c r="P316" s="76" t="str">
        <f t="shared" ca="1" si="17"/>
        <v/>
      </c>
      <c r="Q316" s="65" t="str">
        <f t="shared" ca="1" si="18"/>
        <v/>
      </c>
      <c r="R316" s="2"/>
      <c r="S316" s="2"/>
      <c r="T316" s="1"/>
      <c r="U316" s="1" t="str">
        <f t="shared" si="19"/>
        <v/>
      </c>
    </row>
    <row r="317" spans="1:21" ht="18" customHeight="1" x14ac:dyDescent="0.3">
      <c r="A317" s="2"/>
      <c r="B317" s="65" t="str">
        <f t="shared" si="16"/>
        <v/>
      </c>
      <c r="C317" s="60"/>
      <c r="D317" s="65" t="str">
        <f>IF($E317="","",IFERROR(INDEX(MUSTERILER!$B$7:$B$156,MATCH($U317,MUSTERILER!$T$7:$T$156,0)),IFERROR(INDEX(MUSTERILER!$B$7:$B$156,MATCH($E317,MUSTERILER!$B$7:$B$156,0)),IFERROR(INDEX(MUSTERILER!$B$7:$B$156,MATCH($U317&amp;"*",MUSTERILER!$T$7:$T$156,0)),"TANIMSIZ MÜŞTERİ"))))</f>
        <v/>
      </c>
      <c r="E317" s="61"/>
      <c r="F317" s="61"/>
      <c r="G317" s="60"/>
      <c r="H317" s="66"/>
      <c r="I317" s="66"/>
      <c r="J317" s="60"/>
      <c r="K317" s="60"/>
      <c r="L317" s="61"/>
      <c r="M317" s="61"/>
      <c r="N317" s="61"/>
      <c r="O317" s="66"/>
      <c r="P317" s="76" t="str">
        <f t="shared" ca="1" si="17"/>
        <v/>
      </c>
      <c r="Q317" s="65" t="str">
        <f t="shared" ca="1" si="18"/>
        <v/>
      </c>
      <c r="R317" s="2"/>
      <c r="S317" s="2"/>
      <c r="T317" s="1"/>
      <c r="U317" s="1" t="str">
        <f t="shared" si="19"/>
        <v/>
      </c>
    </row>
    <row r="318" spans="1:21" ht="18" customHeight="1" x14ac:dyDescent="0.3">
      <c r="A318" s="2"/>
      <c r="B318" s="65" t="str">
        <f t="shared" si="16"/>
        <v/>
      </c>
      <c r="C318" s="60"/>
      <c r="D318" s="65" t="str">
        <f>IF($E318="","",IFERROR(INDEX(MUSTERILER!$B$7:$B$156,MATCH($U318,MUSTERILER!$T$7:$T$156,0)),IFERROR(INDEX(MUSTERILER!$B$7:$B$156,MATCH($E318,MUSTERILER!$B$7:$B$156,0)),IFERROR(INDEX(MUSTERILER!$B$7:$B$156,MATCH($U318&amp;"*",MUSTERILER!$T$7:$T$156,0)),"TANIMSIZ MÜŞTERİ"))))</f>
        <v/>
      </c>
      <c r="E318" s="61"/>
      <c r="F318" s="61"/>
      <c r="G318" s="60"/>
      <c r="H318" s="66"/>
      <c r="I318" s="66"/>
      <c r="J318" s="60"/>
      <c r="K318" s="60"/>
      <c r="L318" s="61"/>
      <c r="M318" s="61"/>
      <c r="N318" s="61"/>
      <c r="O318" s="66"/>
      <c r="P318" s="76" t="str">
        <f t="shared" ca="1" si="17"/>
        <v/>
      </c>
      <c r="Q318" s="65" t="str">
        <f t="shared" ca="1" si="18"/>
        <v/>
      </c>
      <c r="R318" s="2"/>
      <c r="S318" s="2"/>
      <c r="T318" s="1"/>
      <c r="U318" s="1" t="str">
        <f t="shared" si="19"/>
        <v/>
      </c>
    </row>
    <row r="319" spans="1:21" ht="18" customHeight="1" x14ac:dyDescent="0.3">
      <c r="A319" s="2"/>
      <c r="B319" s="65" t="str">
        <f t="shared" si="16"/>
        <v/>
      </c>
      <c r="C319" s="60"/>
      <c r="D319" s="65" t="str">
        <f>IF($E319="","",IFERROR(INDEX(MUSTERILER!$B$7:$B$156,MATCH($U319,MUSTERILER!$T$7:$T$156,0)),IFERROR(INDEX(MUSTERILER!$B$7:$B$156,MATCH($E319,MUSTERILER!$B$7:$B$156,0)),IFERROR(INDEX(MUSTERILER!$B$7:$B$156,MATCH($U319&amp;"*",MUSTERILER!$T$7:$T$156,0)),"TANIMSIZ MÜŞTERİ"))))</f>
        <v/>
      </c>
      <c r="E319" s="61"/>
      <c r="F319" s="61"/>
      <c r="G319" s="60"/>
      <c r="H319" s="66"/>
      <c r="I319" s="66"/>
      <c r="J319" s="60"/>
      <c r="K319" s="60"/>
      <c r="L319" s="61"/>
      <c r="M319" s="61"/>
      <c r="N319" s="61"/>
      <c r="O319" s="66"/>
      <c r="P319" s="76" t="str">
        <f t="shared" ca="1" si="17"/>
        <v/>
      </c>
      <c r="Q319" s="65" t="str">
        <f t="shared" ca="1" si="18"/>
        <v/>
      </c>
      <c r="R319" s="2"/>
      <c r="S319" s="2"/>
      <c r="T319" s="1"/>
      <c r="U319" s="1" t="str">
        <f t="shared" si="19"/>
        <v/>
      </c>
    </row>
    <row r="320" spans="1:21" ht="18" customHeight="1" x14ac:dyDescent="0.3">
      <c r="A320" s="2"/>
      <c r="B320" s="65" t="str">
        <f t="shared" si="16"/>
        <v/>
      </c>
      <c r="C320" s="60"/>
      <c r="D320" s="65" t="str">
        <f>IF($E320="","",IFERROR(INDEX(MUSTERILER!$B$7:$B$156,MATCH($U320,MUSTERILER!$T$7:$T$156,0)),IFERROR(INDEX(MUSTERILER!$B$7:$B$156,MATCH($E320,MUSTERILER!$B$7:$B$156,0)),IFERROR(INDEX(MUSTERILER!$B$7:$B$156,MATCH($U320&amp;"*",MUSTERILER!$T$7:$T$156,0)),"TANIMSIZ MÜŞTERİ"))))</f>
        <v/>
      </c>
      <c r="E320" s="61"/>
      <c r="F320" s="61"/>
      <c r="G320" s="60"/>
      <c r="H320" s="66"/>
      <c r="I320" s="66"/>
      <c r="J320" s="60"/>
      <c r="K320" s="60"/>
      <c r="L320" s="61"/>
      <c r="M320" s="61"/>
      <c r="N320" s="61"/>
      <c r="O320" s="66"/>
      <c r="P320" s="76" t="str">
        <f t="shared" ca="1" si="17"/>
        <v/>
      </c>
      <c r="Q320" s="65" t="str">
        <f t="shared" ca="1" si="18"/>
        <v/>
      </c>
      <c r="R320" s="2"/>
      <c r="S320" s="2"/>
      <c r="T320" s="1"/>
      <c r="U320" s="1" t="str">
        <f t="shared" si="19"/>
        <v/>
      </c>
    </row>
    <row r="321" spans="1:21" ht="18" customHeight="1" x14ac:dyDescent="0.3">
      <c r="A321" s="2"/>
      <c r="B321" s="65" t="str">
        <f t="shared" si="16"/>
        <v/>
      </c>
      <c r="C321" s="60"/>
      <c r="D321" s="65" t="str">
        <f>IF($E321="","",IFERROR(INDEX(MUSTERILER!$B$7:$B$156,MATCH($U321,MUSTERILER!$T$7:$T$156,0)),IFERROR(INDEX(MUSTERILER!$B$7:$B$156,MATCH($E321,MUSTERILER!$B$7:$B$156,0)),IFERROR(INDEX(MUSTERILER!$B$7:$B$156,MATCH($U321&amp;"*",MUSTERILER!$T$7:$T$156,0)),"TANIMSIZ MÜŞTERİ"))))</f>
        <v/>
      </c>
      <c r="E321" s="61"/>
      <c r="F321" s="61"/>
      <c r="G321" s="60"/>
      <c r="H321" s="66"/>
      <c r="I321" s="66"/>
      <c r="J321" s="60"/>
      <c r="K321" s="60"/>
      <c r="L321" s="61"/>
      <c r="M321" s="61"/>
      <c r="N321" s="61"/>
      <c r="O321" s="66"/>
      <c r="P321" s="76" t="str">
        <f t="shared" ca="1" si="17"/>
        <v/>
      </c>
      <c r="Q321" s="65" t="str">
        <f t="shared" ca="1" si="18"/>
        <v/>
      </c>
      <c r="R321" s="2"/>
      <c r="S321" s="2"/>
      <c r="T321" s="1"/>
      <c r="U321" s="1" t="str">
        <f t="shared" si="19"/>
        <v/>
      </c>
    </row>
    <row r="322" spans="1:21" ht="18" customHeight="1" x14ac:dyDescent="0.3">
      <c r="A322" s="2"/>
      <c r="B322" s="65" t="str">
        <f t="shared" si="16"/>
        <v/>
      </c>
      <c r="C322" s="60"/>
      <c r="D322" s="65" t="str">
        <f>IF($E322="","",IFERROR(INDEX(MUSTERILER!$B$7:$B$156,MATCH($U322,MUSTERILER!$T$7:$T$156,0)),IFERROR(INDEX(MUSTERILER!$B$7:$B$156,MATCH($E322,MUSTERILER!$B$7:$B$156,0)),IFERROR(INDEX(MUSTERILER!$B$7:$B$156,MATCH($U322&amp;"*",MUSTERILER!$T$7:$T$156,0)),"TANIMSIZ MÜŞTERİ"))))</f>
        <v/>
      </c>
      <c r="E322" s="61"/>
      <c r="F322" s="61"/>
      <c r="G322" s="60"/>
      <c r="H322" s="66"/>
      <c r="I322" s="66"/>
      <c r="J322" s="60"/>
      <c r="K322" s="60"/>
      <c r="L322" s="61"/>
      <c r="M322" s="61"/>
      <c r="N322" s="61"/>
      <c r="O322" s="66"/>
      <c r="P322" s="76" t="str">
        <f t="shared" ca="1" si="17"/>
        <v/>
      </c>
      <c r="Q322" s="65" t="str">
        <f t="shared" ca="1" si="18"/>
        <v/>
      </c>
      <c r="R322" s="2"/>
      <c r="S322" s="2"/>
      <c r="T322" s="1"/>
      <c r="U322" s="1" t="str">
        <f t="shared" si="19"/>
        <v/>
      </c>
    </row>
    <row r="323" spans="1:21" ht="18" customHeight="1" x14ac:dyDescent="0.3">
      <c r="A323" s="2"/>
      <c r="B323" s="65" t="str">
        <f t="shared" si="16"/>
        <v/>
      </c>
      <c r="C323" s="60"/>
      <c r="D323" s="65" t="str">
        <f>IF($E323="","",IFERROR(INDEX(MUSTERILER!$B$7:$B$156,MATCH($U323,MUSTERILER!$T$7:$T$156,0)),IFERROR(INDEX(MUSTERILER!$B$7:$B$156,MATCH($E323,MUSTERILER!$B$7:$B$156,0)),IFERROR(INDEX(MUSTERILER!$B$7:$B$156,MATCH($U323&amp;"*",MUSTERILER!$T$7:$T$156,0)),"TANIMSIZ MÜŞTERİ"))))</f>
        <v/>
      </c>
      <c r="E323" s="61"/>
      <c r="F323" s="61"/>
      <c r="G323" s="60"/>
      <c r="H323" s="66"/>
      <c r="I323" s="66"/>
      <c r="J323" s="60"/>
      <c r="K323" s="60"/>
      <c r="L323" s="61"/>
      <c r="M323" s="61"/>
      <c r="N323" s="61"/>
      <c r="O323" s="66"/>
      <c r="P323" s="76" t="str">
        <f t="shared" ca="1" si="17"/>
        <v/>
      </c>
      <c r="Q323" s="65" t="str">
        <f t="shared" ca="1" si="18"/>
        <v/>
      </c>
      <c r="R323" s="2"/>
      <c r="S323" s="2"/>
      <c r="T323" s="1"/>
      <c r="U323" s="1" t="str">
        <f t="shared" si="19"/>
        <v/>
      </c>
    </row>
    <row r="324" spans="1:21" ht="18" customHeight="1" x14ac:dyDescent="0.3">
      <c r="A324" s="2"/>
      <c r="B324" s="65" t="str">
        <f t="shared" si="16"/>
        <v/>
      </c>
      <c r="C324" s="60"/>
      <c r="D324" s="65" t="str">
        <f>IF($E324="","",IFERROR(INDEX(MUSTERILER!$B$7:$B$156,MATCH($U324,MUSTERILER!$T$7:$T$156,0)),IFERROR(INDEX(MUSTERILER!$B$7:$B$156,MATCH($E324,MUSTERILER!$B$7:$B$156,0)),IFERROR(INDEX(MUSTERILER!$B$7:$B$156,MATCH($U324&amp;"*",MUSTERILER!$T$7:$T$156,0)),"TANIMSIZ MÜŞTERİ"))))</f>
        <v/>
      </c>
      <c r="E324" s="61"/>
      <c r="F324" s="61"/>
      <c r="G324" s="60"/>
      <c r="H324" s="66"/>
      <c r="I324" s="66"/>
      <c r="J324" s="60"/>
      <c r="K324" s="60"/>
      <c r="L324" s="61"/>
      <c r="M324" s="61"/>
      <c r="N324" s="61"/>
      <c r="O324" s="66"/>
      <c r="P324" s="76" t="str">
        <f t="shared" ca="1" si="17"/>
        <v/>
      </c>
      <c r="Q324" s="65" t="str">
        <f t="shared" ca="1" si="18"/>
        <v/>
      </c>
      <c r="R324" s="2"/>
      <c r="S324" s="2"/>
      <c r="T324" s="1"/>
      <c r="U324" s="1" t="str">
        <f t="shared" si="19"/>
        <v/>
      </c>
    </row>
    <row r="325" spans="1:21" ht="18" customHeight="1" x14ac:dyDescent="0.3">
      <c r="A325" s="2"/>
      <c r="B325" s="65" t="str">
        <f t="shared" si="16"/>
        <v/>
      </c>
      <c r="C325" s="60"/>
      <c r="D325" s="65" t="str">
        <f>IF($E325="","",IFERROR(INDEX(MUSTERILER!$B$7:$B$156,MATCH($U325,MUSTERILER!$T$7:$T$156,0)),IFERROR(INDEX(MUSTERILER!$B$7:$B$156,MATCH($E325,MUSTERILER!$B$7:$B$156,0)),IFERROR(INDEX(MUSTERILER!$B$7:$B$156,MATCH($U325&amp;"*",MUSTERILER!$T$7:$T$156,0)),"TANIMSIZ MÜŞTERİ"))))</f>
        <v/>
      </c>
      <c r="E325" s="61"/>
      <c r="F325" s="61"/>
      <c r="G325" s="60"/>
      <c r="H325" s="66"/>
      <c r="I325" s="66"/>
      <c r="J325" s="60"/>
      <c r="K325" s="60"/>
      <c r="L325" s="61"/>
      <c r="M325" s="61"/>
      <c r="N325" s="61"/>
      <c r="O325" s="66"/>
      <c r="P325" s="76" t="str">
        <f t="shared" ca="1" si="17"/>
        <v/>
      </c>
      <c r="Q325" s="65" t="str">
        <f t="shared" ca="1" si="18"/>
        <v/>
      </c>
      <c r="R325" s="2"/>
      <c r="S325" s="2"/>
      <c r="T325" s="1"/>
      <c r="U325" s="1" t="str">
        <f t="shared" si="19"/>
        <v/>
      </c>
    </row>
    <row r="326" spans="1:21" ht="18" customHeight="1" x14ac:dyDescent="0.3">
      <c r="A326" s="2"/>
      <c r="B326" s="65" t="str">
        <f t="shared" si="16"/>
        <v/>
      </c>
      <c r="C326" s="60"/>
      <c r="D326" s="65" t="str">
        <f>IF($E326="","",IFERROR(INDEX(MUSTERILER!$B$7:$B$156,MATCH($U326,MUSTERILER!$T$7:$T$156,0)),IFERROR(INDEX(MUSTERILER!$B$7:$B$156,MATCH($E326,MUSTERILER!$B$7:$B$156,0)),IFERROR(INDEX(MUSTERILER!$B$7:$B$156,MATCH($U326&amp;"*",MUSTERILER!$T$7:$T$156,0)),"TANIMSIZ MÜŞTERİ"))))</f>
        <v/>
      </c>
      <c r="E326" s="61"/>
      <c r="F326" s="61"/>
      <c r="G326" s="60"/>
      <c r="H326" s="66"/>
      <c r="I326" s="66"/>
      <c r="J326" s="60"/>
      <c r="K326" s="60"/>
      <c r="L326" s="61"/>
      <c r="M326" s="61"/>
      <c r="N326" s="61"/>
      <c r="O326" s="66"/>
      <c r="P326" s="76" t="str">
        <f t="shared" ca="1" si="17"/>
        <v/>
      </c>
      <c r="Q326" s="65" t="str">
        <f t="shared" ca="1" si="18"/>
        <v/>
      </c>
      <c r="R326" s="2"/>
      <c r="S326" s="2"/>
      <c r="T326" s="1"/>
      <c r="U326" s="1" t="str">
        <f t="shared" si="19"/>
        <v/>
      </c>
    </row>
    <row r="327" spans="1:21" ht="18" customHeight="1" x14ac:dyDescent="0.3">
      <c r="A327" s="2"/>
      <c r="B327" s="65" t="str">
        <f t="shared" ref="B327:B390" si="20">IF($E327="","","A"&amp;TEXT(ROW()-6,"00000"))</f>
        <v/>
      </c>
      <c r="C327" s="60"/>
      <c r="D327" s="65" t="str">
        <f>IF($E327="","",IFERROR(INDEX(MUSTERILER!$B$7:$B$156,MATCH($U327,MUSTERILER!$T$7:$T$156,0)),IFERROR(INDEX(MUSTERILER!$B$7:$B$156,MATCH($E327,MUSTERILER!$B$7:$B$156,0)),IFERROR(INDEX(MUSTERILER!$B$7:$B$156,MATCH($U327&amp;"*",MUSTERILER!$T$7:$T$156,0)),"TANIMSIZ MÜŞTERİ"))))</f>
        <v/>
      </c>
      <c r="E327" s="61"/>
      <c r="F327" s="61"/>
      <c r="G327" s="60"/>
      <c r="H327" s="66"/>
      <c r="I327" s="66"/>
      <c r="J327" s="60"/>
      <c r="K327" s="60"/>
      <c r="L327" s="61"/>
      <c r="M327" s="61"/>
      <c r="N327" s="61"/>
      <c r="O327" s="66"/>
      <c r="P327" s="76" t="str">
        <f t="shared" ref="P327:P390" ca="1" si="21">IF(OR($E327="",$I327=""),"",IF(OR($J327="Tamamlandı",$J327="İptal"),"",$I327-TODAY()))</f>
        <v/>
      </c>
      <c r="Q327" s="65" t="str">
        <f t="shared" ref="Q327:Q390" ca="1" si="22"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2"/>
      <c r="S327" s="2"/>
      <c r="T327" s="1"/>
      <c r="U327" s="1" t="str">
        <f t="shared" ref="U327:U390" si="23">IF($E327="","",UPPER(SUBSTITUTE(SUBSTITUTE(SUBSTITUTE(SUBSTITUTE(SUBSTITUTE(SUBSTITUTE(SUBSTITUTE(SUBSTITUTE(SUBSTITUTE(SUBSTITUTE(SUBSTITUTE(SUBSTITUTE(SUBSTITUTE(SUBSTITUTE(SUBSTITUTE(SUBSTITUTE(SUBSTITUTE(SUBSTITUTE(TRIM($E327),"'",""),"İ","I"),"ı","I"),"i","I"),"Ş","S"),"ş","S"),"Ğ","G"),"ğ","G"),"Ü","U"),"ü","U"),"Ö","O"),"ö","O"),"Ç","C"),"ç","C"),".",""),",","")," ",""),"-","")))</f>
        <v/>
      </c>
    </row>
    <row r="328" spans="1:21" ht="18" customHeight="1" x14ac:dyDescent="0.3">
      <c r="A328" s="2"/>
      <c r="B328" s="65" t="str">
        <f t="shared" si="20"/>
        <v/>
      </c>
      <c r="C328" s="60"/>
      <c r="D328" s="65" t="str">
        <f>IF($E328="","",IFERROR(INDEX(MUSTERILER!$B$7:$B$156,MATCH($U328,MUSTERILER!$T$7:$T$156,0)),IFERROR(INDEX(MUSTERILER!$B$7:$B$156,MATCH($E328,MUSTERILER!$B$7:$B$156,0)),IFERROR(INDEX(MUSTERILER!$B$7:$B$156,MATCH($U328&amp;"*",MUSTERILER!$T$7:$T$156,0)),"TANIMSIZ MÜŞTERİ"))))</f>
        <v/>
      </c>
      <c r="E328" s="61"/>
      <c r="F328" s="61"/>
      <c r="G328" s="60"/>
      <c r="H328" s="66"/>
      <c r="I328" s="66"/>
      <c r="J328" s="60"/>
      <c r="K328" s="60"/>
      <c r="L328" s="61"/>
      <c r="M328" s="61"/>
      <c r="N328" s="61"/>
      <c r="O328" s="66"/>
      <c r="P328" s="76" t="str">
        <f t="shared" ca="1" si="21"/>
        <v/>
      </c>
      <c r="Q328" s="65" t="str">
        <f t="shared" ca="1" si="22"/>
        <v/>
      </c>
      <c r="R328" s="2"/>
      <c r="S328" s="2"/>
      <c r="T328" s="1"/>
      <c r="U328" s="1" t="str">
        <f t="shared" si="23"/>
        <v/>
      </c>
    </row>
    <row r="329" spans="1:21" ht="18" customHeight="1" x14ac:dyDescent="0.3">
      <c r="A329" s="2"/>
      <c r="B329" s="65" t="str">
        <f t="shared" si="20"/>
        <v/>
      </c>
      <c r="C329" s="60"/>
      <c r="D329" s="65" t="str">
        <f>IF($E329="","",IFERROR(INDEX(MUSTERILER!$B$7:$B$156,MATCH($U329,MUSTERILER!$T$7:$T$156,0)),IFERROR(INDEX(MUSTERILER!$B$7:$B$156,MATCH($E329,MUSTERILER!$B$7:$B$156,0)),IFERROR(INDEX(MUSTERILER!$B$7:$B$156,MATCH($U329&amp;"*",MUSTERILER!$T$7:$T$156,0)),"TANIMSIZ MÜŞTERİ"))))</f>
        <v/>
      </c>
      <c r="E329" s="61"/>
      <c r="F329" s="61"/>
      <c r="G329" s="60"/>
      <c r="H329" s="66"/>
      <c r="I329" s="66"/>
      <c r="J329" s="60"/>
      <c r="K329" s="60"/>
      <c r="L329" s="61"/>
      <c r="M329" s="61"/>
      <c r="N329" s="61"/>
      <c r="O329" s="66"/>
      <c r="P329" s="76" t="str">
        <f t="shared" ca="1" si="21"/>
        <v/>
      </c>
      <c r="Q329" s="65" t="str">
        <f t="shared" ca="1" si="22"/>
        <v/>
      </c>
      <c r="R329" s="2"/>
      <c r="S329" s="2"/>
      <c r="T329" s="1"/>
      <c r="U329" s="1" t="str">
        <f t="shared" si="23"/>
        <v/>
      </c>
    </row>
    <row r="330" spans="1:21" ht="18" customHeight="1" x14ac:dyDescent="0.3">
      <c r="A330" s="2"/>
      <c r="B330" s="65" t="str">
        <f t="shared" si="20"/>
        <v/>
      </c>
      <c r="C330" s="60"/>
      <c r="D330" s="65" t="str">
        <f>IF($E330="","",IFERROR(INDEX(MUSTERILER!$B$7:$B$156,MATCH($U330,MUSTERILER!$T$7:$T$156,0)),IFERROR(INDEX(MUSTERILER!$B$7:$B$156,MATCH($E330,MUSTERILER!$B$7:$B$156,0)),IFERROR(INDEX(MUSTERILER!$B$7:$B$156,MATCH($U330&amp;"*",MUSTERILER!$T$7:$T$156,0)),"TANIMSIZ MÜŞTERİ"))))</f>
        <v/>
      </c>
      <c r="E330" s="61"/>
      <c r="F330" s="61"/>
      <c r="G330" s="60"/>
      <c r="H330" s="66"/>
      <c r="I330" s="66"/>
      <c r="J330" s="60"/>
      <c r="K330" s="60"/>
      <c r="L330" s="61"/>
      <c r="M330" s="61"/>
      <c r="N330" s="61"/>
      <c r="O330" s="66"/>
      <c r="P330" s="76" t="str">
        <f t="shared" ca="1" si="21"/>
        <v/>
      </c>
      <c r="Q330" s="65" t="str">
        <f t="shared" ca="1" si="22"/>
        <v/>
      </c>
      <c r="R330" s="2"/>
      <c r="S330" s="2"/>
      <c r="T330" s="1"/>
      <c r="U330" s="1" t="str">
        <f t="shared" si="23"/>
        <v/>
      </c>
    </row>
    <row r="331" spans="1:21" ht="18" customHeight="1" x14ac:dyDescent="0.3">
      <c r="A331" s="2"/>
      <c r="B331" s="65" t="str">
        <f t="shared" si="20"/>
        <v/>
      </c>
      <c r="C331" s="60"/>
      <c r="D331" s="65" t="str">
        <f>IF($E331="","",IFERROR(INDEX(MUSTERILER!$B$7:$B$156,MATCH($U331,MUSTERILER!$T$7:$T$156,0)),IFERROR(INDEX(MUSTERILER!$B$7:$B$156,MATCH($E331,MUSTERILER!$B$7:$B$156,0)),IFERROR(INDEX(MUSTERILER!$B$7:$B$156,MATCH($U331&amp;"*",MUSTERILER!$T$7:$T$156,0)),"TANIMSIZ MÜŞTERİ"))))</f>
        <v/>
      </c>
      <c r="E331" s="61"/>
      <c r="F331" s="61"/>
      <c r="G331" s="60"/>
      <c r="H331" s="66"/>
      <c r="I331" s="66"/>
      <c r="J331" s="60"/>
      <c r="K331" s="60"/>
      <c r="L331" s="61"/>
      <c r="M331" s="61"/>
      <c r="N331" s="61"/>
      <c r="O331" s="66"/>
      <c r="P331" s="76" t="str">
        <f t="shared" ca="1" si="21"/>
        <v/>
      </c>
      <c r="Q331" s="65" t="str">
        <f t="shared" ca="1" si="22"/>
        <v/>
      </c>
      <c r="R331" s="2"/>
      <c r="S331" s="2"/>
      <c r="T331" s="1"/>
      <c r="U331" s="1" t="str">
        <f t="shared" si="23"/>
        <v/>
      </c>
    </row>
    <row r="332" spans="1:21" ht="18" customHeight="1" x14ac:dyDescent="0.3">
      <c r="A332" s="2"/>
      <c r="B332" s="65" t="str">
        <f t="shared" si="20"/>
        <v/>
      </c>
      <c r="C332" s="60"/>
      <c r="D332" s="65" t="str">
        <f>IF($E332="","",IFERROR(INDEX(MUSTERILER!$B$7:$B$156,MATCH($U332,MUSTERILER!$T$7:$T$156,0)),IFERROR(INDEX(MUSTERILER!$B$7:$B$156,MATCH($E332,MUSTERILER!$B$7:$B$156,0)),IFERROR(INDEX(MUSTERILER!$B$7:$B$156,MATCH($U332&amp;"*",MUSTERILER!$T$7:$T$156,0)),"TANIMSIZ MÜŞTERİ"))))</f>
        <v/>
      </c>
      <c r="E332" s="61"/>
      <c r="F332" s="61"/>
      <c r="G332" s="60"/>
      <c r="H332" s="66"/>
      <c r="I332" s="66"/>
      <c r="J332" s="60"/>
      <c r="K332" s="60"/>
      <c r="L332" s="61"/>
      <c r="M332" s="61"/>
      <c r="N332" s="61"/>
      <c r="O332" s="66"/>
      <c r="P332" s="76" t="str">
        <f t="shared" ca="1" si="21"/>
        <v/>
      </c>
      <c r="Q332" s="65" t="str">
        <f t="shared" ca="1" si="22"/>
        <v/>
      </c>
      <c r="R332" s="2"/>
      <c r="S332" s="2"/>
      <c r="T332" s="1"/>
      <c r="U332" s="1" t="str">
        <f t="shared" si="23"/>
        <v/>
      </c>
    </row>
    <row r="333" spans="1:21" ht="18" customHeight="1" x14ac:dyDescent="0.3">
      <c r="A333" s="2"/>
      <c r="B333" s="65" t="str">
        <f t="shared" si="20"/>
        <v/>
      </c>
      <c r="C333" s="60"/>
      <c r="D333" s="65" t="str">
        <f>IF($E333="","",IFERROR(INDEX(MUSTERILER!$B$7:$B$156,MATCH($U333,MUSTERILER!$T$7:$T$156,0)),IFERROR(INDEX(MUSTERILER!$B$7:$B$156,MATCH($E333,MUSTERILER!$B$7:$B$156,0)),IFERROR(INDEX(MUSTERILER!$B$7:$B$156,MATCH($U333&amp;"*",MUSTERILER!$T$7:$T$156,0)),"TANIMSIZ MÜŞTERİ"))))</f>
        <v/>
      </c>
      <c r="E333" s="61"/>
      <c r="F333" s="61"/>
      <c r="G333" s="60"/>
      <c r="H333" s="66"/>
      <c r="I333" s="66"/>
      <c r="J333" s="60"/>
      <c r="K333" s="60"/>
      <c r="L333" s="61"/>
      <c r="M333" s="61"/>
      <c r="N333" s="61"/>
      <c r="O333" s="66"/>
      <c r="P333" s="76" t="str">
        <f t="shared" ca="1" si="21"/>
        <v/>
      </c>
      <c r="Q333" s="65" t="str">
        <f t="shared" ca="1" si="22"/>
        <v/>
      </c>
      <c r="R333" s="2"/>
      <c r="S333" s="2"/>
      <c r="T333" s="1"/>
      <c r="U333" s="1" t="str">
        <f t="shared" si="23"/>
        <v/>
      </c>
    </row>
    <row r="334" spans="1:21" ht="18" customHeight="1" x14ac:dyDescent="0.3">
      <c r="A334" s="2"/>
      <c r="B334" s="65" t="str">
        <f t="shared" si="20"/>
        <v/>
      </c>
      <c r="C334" s="60"/>
      <c r="D334" s="65" t="str">
        <f>IF($E334="","",IFERROR(INDEX(MUSTERILER!$B$7:$B$156,MATCH($U334,MUSTERILER!$T$7:$T$156,0)),IFERROR(INDEX(MUSTERILER!$B$7:$B$156,MATCH($E334,MUSTERILER!$B$7:$B$156,0)),IFERROR(INDEX(MUSTERILER!$B$7:$B$156,MATCH($U334&amp;"*",MUSTERILER!$T$7:$T$156,0)),"TANIMSIZ MÜŞTERİ"))))</f>
        <v/>
      </c>
      <c r="E334" s="61"/>
      <c r="F334" s="61"/>
      <c r="G334" s="60"/>
      <c r="H334" s="66"/>
      <c r="I334" s="66"/>
      <c r="J334" s="60"/>
      <c r="K334" s="60"/>
      <c r="L334" s="61"/>
      <c r="M334" s="61"/>
      <c r="N334" s="61"/>
      <c r="O334" s="66"/>
      <c r="P334" s="76" t="str">
        <f t="shared" ca="1" si="21"/>
        <v/>
      </c>
      <c r="Q334" s="65" t="str">
        <f t="shared" ca="1" si="22"/>
        <v/>
      </c>
      <c r="R334" s="2"/>
      <c r="S334" s="2"/>
      <c r="T334" s="1"/>
      <c r="U334" s="1" t="str">
        <f t="shared" si="23"/>
        <v/>
      </c>
    </row>
    <row r="335" spans="1:21" ht="18" customHeight="1" x14ac:dyDescent="0.3">
      <c r="A335" s="2"/>
      <c r="B335" s="65" t="str">
        <f t="shared" si="20"/>
        <v/>
      </c>
      <c r="C335" s="60"/>
      <c r="D335" s="65" t="str">
        <f>IF($E335="","",IFERROR(INDEX(MUSTERILER!$B$7:$B$156,MATCH($U335,MUSTERILER!$T$7:$T$156,0)),IFERROR(INDEX(MUSTERILER!$B$7:$B$156,MATCH($E335,MUSTERILER!$B$7:$B$156,0)),IFERROR(INDEX(MUSTERILER!$B$7:$B$156,MATCH($U335&amp;"*",MUSTERILER!$T$7:$T$156,0)),"TANIMSIZ MÜŞTERİ"))))</f>
        <v/>
      </c>
      <c r="E335" s="61"/>
      <c r="F335" s="61"/>
      <c r="G335" s="60"/>
      <c r="H335" s="66"/>
      <c r="I335" s="66"/>
      <c r="J335" s="60"/>
      <c r="K335" s="60"/>
      <c r="L335" s="61"/>
      <c r="M335" s="61"/>
      <c r="N335" s="61"/>
      <c r="O335" s="66"/>
      <c r="P335" s="76" t="str">
        <f t="shared" ca="1" si="21"/>
        <v/>
      </c>
      <c r="Q335" s="65" t="str">
        <f t="shared" ca="1" si="22"/>
        <v/>
      </c>
      <c r="R335" s="2"/>
      <c r="S335" s="2"/>
      <c r="T335" s="1"/>
      <c r="U335" s="1" t="str">
        <f t="shared" si="23"/>
        <v/>
      </c>
    </row>
    <row r="336" spans="1:21" ht="18" customHeight="1" x14ac:dyDescent="0.3">
      <c r="A336" s="2"/>
      <c r="B336" s="65" t="str">
        <f t="shared" si="20"/>
        <v/>
      </c>
      <c r="C336" s="60"/>
      <c r="D336" s="65" t="str">
        <f>IF($E336="","",IFERROR(INDEX(MUSTERILER!$B$7:$B$156,MATCH($U336,MUSTERILER!$T$7:$T$156,0)),IFERROR(INDEX(MUSTERILER!$B$7:$B$156,MATCH($E336,MUSTERILER!$B$7:$B$156,0)),IFERROR(INDEX(MUSTERILER!$B$7:$B$156,MATCH($U336&amp;"*",MUSTERILER!$T$7:$T$156,0)),"TANIMSIZ MÜŞTERİ"))))</f>
        <v/>
      </c>
      <c r="E336" s="61"/>
      <c r="F336" s="61"/>
      <c r="G336" s="60"/>
      <c r="H336" s="66"/>
      <c r="I336" s="66"/>
      <c r="J336" s="60"/>
      <c r="K336" s="60"/>
      <c r="L336" s="61"/>
      <c r="M336" s="61"/>
      <c r="N336" s="61"/>
      <c r="O336" s="66"/>
      <c r="P336" s="76" t="str">
        <f t="shared" ca="1" si="21"/>
        <v/>
      </c>
      <c r="Q336" s="65" t="str">
        <f t="shared" ca="1" si="22"/>
        <v/>
      </c>
      <c r="R336" s="2"/>
      <c r="S336" s="2"/>
      <c r="T336" s="1"/>
      <c r="U336" s="1" t="str">
        <f t="shared" si="23"/>
        <v/>
      </c>
    </row>
    <row r="337" spans="1:21" ht="18" customHeight="1" x14ac:dyDescent="0.3">
      <c r="A337" s="2"/>
      <c r="B337" s="65" t="str">
        <f t="shared" si="20"/>
        <v/>
      </c>
      <c r="C337" s="60"/>
      <c r="D337" s="65" t="str">
        <f>IF($E337="","",IFERROR(INDEX(MUSTERILER!$B$7:$B$156,MATCH($U337,MUSTERILER!$T$7:$T$156,0)),IFERROR(INDEX(MUSTERILER!$B$7:$B$156,MATCH($E337,MUSTERILER!$B$7:$B$156,0)),IFERROR(INDEX(MUSTERILER!$B$7:$B$156,MATCH($U337&amp;"*",MUSTERILER!$T$7:$T$156,0)),"TANIMSIZ MÜŞTERİ"))))</f>
        <v/>
      </c>
      <c r="E337" s="61"/>
      <c r="F337" s="61"/>
      <c r="G337" s="60"/>
      <c r="H337" s="66"/>
      <c r="I337" s="66"/>
      <c r="J337" s="60"/>
      <c r="K337" s="60"/>
      <c r="L337" s="61"/>
      <c r="M337" s="61"/>
      <c r="N337" s="61"/>
      <c r="O337" s="66"/>
      <c r="P337" s="76" t="str">
        <f t="shared" ca="1" si="21"/>
        <v/>
      </c>
      <c r="Q337" s="65" t="str">
        <f t="shared" ca="1" si="22"/>
        <v/>
      </c>
      <c r="R337" s="2"/>
      <c r="S337" s="2"/>
      <c r="T337" s="1"/>
      <c r="U337" s="1" t="str">
        <f t="shared" si="23"/>
        <v/>
      </c>
    </row>
    <row r="338" spans="1:21" ht="18" customHeight="1" x14ac:dyDescent="0.3">
      <c r="A338" s="2"/>
      <c r="B338" s="65" t="str">
        <f t="shared" si="20"/>
        <v/>
      </c>
      <c r="C338" s="60"/>
      <c r="D338" s="65" t="str">
        <f>IF($E338="","",IFERROR(INDEX(MUSTERILER!$B$7:$B$156,MATCH($U338,MUSTERILER!$T$7:$T$156,0)),IFERROR(INDEX(MUSTERILER!$B$7:$B$156,MATCH($E338,MUSTERILER!$B$7:$B$156,0)),IFERROR(INDEX(MUSTERILER!$B$7:$B$156,MATCH($U338&amp;"*",MUSTERILER!$T$7:$T$156,0)),"TANIMSIZ MÜŞTERİ"))))</f>
        <v/>
      </c>
      <c r="E338" s="61"/>
      <c r="F338" s="61"/>
      <c r="G338" s="60"/>
      <c r="H338" s="66"/>
      <c r="I338" s="66"/>
      <c r="J338" s="60"/>
      <c r="K338" s="60"/>
      <c r="L338" s="61"/>
      <c r="M338" s="61"/>
      <c r="N338" s="61"/>
      <c r="O338" s="66"/>
      <c r="P338" s="76" t="str">
        <f t="shared" ca="1" si="21"/>
        <v/>
      </c>
      <c r="Q338" s="65" t="str">
        <f t="shared" ca="1" si="22"/>
        <v/>
      </c>
      <c r="R338" s="2"/>
      <c r="S338" s="2"/>
      <c r="T338" s="1"/>
      <c r="U338" s="1" t="str">
        <f t="shared" si="23"/>
        <v/>
      </c>
    </row>
    <row r="339" spans="1:21" ht="18" customHeight="1" x14ac:dyDescent="0.3">
      <c r="A339" s="2"/>
      <c r="B339" s="65" t="str">
        <f t="shared" si="20"/>
        <v/>
      </c>
      <c r="C339" s="60"/>
      <c r="D339" s="65" t="str">
        <f>IF($E339="","",IFERROR(INDEX(MUSTERILER!$B$7:$B$156,MATCH($U339,MUSTERILER!$T$7:$T$156,0)),IFERROR(INDEX(MUSTERILER!$B$7:$B$156,MATCH($E339,MUSTERILER!$B$7:$B$156,0)),IFERROR(INDEX(MUSTERILER!$B$7:$B$156,MATCH($U339&amp;"*",MUSTERILER!$T$7:$T$156,0)),"TANIMSIZ MÜŞTERİ"))))</f>
        <v/>
      </c>
      <c r="E339" s="61"/>
      <c r="F339" s="61"/>
      <c r="G339" s="60"/>
      <c r="H339" s="66"/>
      <c r="I339" s="66"/>
      <c r="J339" s="60"/>
      <c r="K339" s="60"/>
      <c r="L339" s="61"/>
      <c r="M339" s="61"/>
      <c r="N339" s="61"/>
      <c r="O339" s="66"/>
      <c r="P339" s="76" t="str">
        <f t="shared" ca="1" si="21"/>
        <v/>
      </c>
      <c r="Q339" s="65" t="str">
        <f t="shared" ca="1" si="22"/>
        <v/>
      </c>
      <c r="R339" s="2"/>
      <c r="S339" s="2"/>
      <c r="T339" s="1"/>
      <c r="U339" s="1" t="str">
        <f t="shared" si="23"/>
        <v/>
      </c>
    </row>
    <row r="340" spans="1:21" ht="18" customHeight="1" x14ac:dyDescent="0.3">
      <c r="A340" s="2"/>
      <c r="B340" s="65" t="str">
        <f t="shared" si="20"/>
        <v/>
      </c>
      <c r="C340" s="60"/>
      <c r="D340" s="65" t="str">
        <f>IF($E340="","",IFERROR(INDEX(MUSTERILER!$B$7:$B$156,MATCH($U340,MUSTERILER!$T$7:$T$156,0)),IFERROR(INDEX(MUSTERILER!$B$7:$B$156,MATCH($E340,MUSTERILER!$B$7:$B$156,0)),IFERROR(INDEX(MUSTERILER!$B$7:$B$156,MATCH($U340&amp;"*",MUSTERILER!$T$7:$T$156,0)),"TANIMSIZ MÜŞTERİ"))))</f>
        <v/>
      </c>
      <c r="E340" s="61"/>
      <c r="F340" s="61"/>
      <c r="G340" s="60"/>
      <c r="H340" s="66"/>
      <c r="I340" s="66"/>
      <c r="J340" s="60"/>
      <c r="K340" s="60"/>
      <c r="L340" s="61"/>
      <c r="M340" s="61"/>
      <c r="N340" s="61"/>
      <c r="O340" s="66"/>
      <c r="P340" s="76" t="str">
        <f t="shared" ca="1" si="21"/>
        <v/>
      </c>
      <c r="Q340" s="65" t="str">
        <f t="shared" ca="1" si="22"/>
        <v/>
      </c>
      <c r="R340" s="2"/>
      <c r="S340" s="2"/>
      <c r="T340" s="1"/>
      <c r="U340" s="1" t="str">
        <f t="shared" si="23"/>
        <v/>
      </c>
    </row>
    <row r="341" spans="1:21" ht="18" customHeight="1" x14ac:dyDescent="0.3">
      <c r="A341" s="2"/>
      <c r="B341" s="65" t="str">
        <f t="shared" si="20"/>
        <v/>
      </c>
      <c r="C341" s="60"/>
      <c r="D341" s="65" t="str">
        <f>IF($E341="","",IFERROR(INDEX(MUSTERILER!$B$7:$B$156,MATCH($U341,MUSTERILER!$T$7:$T$156,0)),IFERROR(INDEX(MUSTERILER!$B$7:$B$156,MATCH($E341,MUSTERILER!$B$7:$B$156,0)),IFERROR(INDEX(MUSTERILER!$B$7:$B$156,MATCH($U341&amp;"*",MUSTERILER!$T$7:$T$156,0)),"TANIMSIZ MÜŞTERİ"))))</f>
        <v/>
      </c>
      <c r="E341" s="61"/>
      <c r="F341" s="61"/>
      <c r="G341" s="60"/>
      <c r="H341" s="66"/>
      <c r="I341" s="66"/>
      <c r="J341" s="60"/>
      <c r="K341" s="60"/>
      <c r="L341" s="61"/>
      <c r="M341" s="61"/>
      <c r="N341" s="61"/>
      <c r="O341" s="66"/>
      <c r="P341" s="76" t="str">
        <f t="shared" ca="1" si="21"/>
        <v/>
      </c>
      <c r="Q341" s="65" t="str">
        <f t="shared" ca="1" si="22"/>
        <v/>
      </c>
      <c r="R341" s="2"/>
      <c r="S341" s="2"/>
      <c r="T341" s="1"/>
      <c r="U341" s="1" t="str">
        <f t="shared" si="23"/>
        <v/>
      </c>
    </row>
    <row r="342" spans="1:21" ht="18" customHeight="1" x14ac:dyDescent="0.3">
      <c r="A342" s="2"/>
      <c r="B342" s="65" t="str">
        <f t="shared" si="20"/>
        <v/>
      </c>
      <c r="C342" s="60"/>
      <c r="D342" s="65" t="str">
        <f>IF($E342="","",IFERROR(INDEX(MUSTERILER!$B$7:$B$156,MATCH($U342,MUSTERILER!$T$7:$T$156,0)),IFERROR(INDEX(MUSTERILER!$B$7:$B$156,MATCH($E342,MUSTERILER!$B$7:$B$156,0)),IFERROR(INDEX(MUSTERILER!$B$7:$B$156,MATCH($U342&amp;"*",MUSTERILER!$T$7:$T$156,0)),"TANIMSIZ MÜŞTERİ"))))</f>
        <v/>
      </c>
      <c r="E342" s="61"/>
      <c r="F342" s="61"/>
      <c r="G342" s="60"/>
      <c r="H342" s="66"/>
      <c r="I342" s="66"/>
      <c r="J342" s="60"/>
      <c r="K342" s="60"/>
      <c r="L342" s="61"/>
      <c r="M342" s="61"/>
      <c r="N342" s="61"/>
      <c r="O342" s="66"/>
      <c r="P342" s="76" t="str">
        <f t="shared" ca="1" si="21"/>
        <v/>
      </c>
      <c r="Q342" s="65" t="str">
        <f t="shared" ca="1" si="22"/>
        <v/>
      </c>
      <c r="R342" s="2"/>
      <c r="S342" s="2"/>
      <c r="T342" s="1"/>
      <c r="U342" s="1" t="str">
        <f t="shared" si="23"/>
        <v/>
      </c>
    </row>
    <row r="343" spans="1:21" ht="18" customHeight="1" x14ac:dyDescent="0.3">
      <c r="A343" s="2"/>
      <c r="B343" s="65" t="str">
        <f t="shared" si="20"/>
        <v/>
      </c>
      <c r="C343" s="60"/>
      <c r="D343" s="65" t="str">
        <f>IF($E343="","",IFERROR(INDEX(MUSTERILER!$B$7:$B$156,MATCH($U343,MUSTERILER!$T$7:$T$156,0)),IFERROR(INDEX(MUSTERILER!$B$7:$B$156,MATCH($E343,MUSTERILER!$B$7:$B$156,0)),IFERROR(INDEX(MUSTERILER!$B$7:$B$156,MATCH($U343&amp;"*",MUSTERILER!$T$7:$T$156,0)),"TANIMSIZ MÜŞTERİ"))))</f>
        <v/>
      </c>
      <c r="E343" s="61"/>
      <c r="F343" s="61"/>
      <c r="G343" s="60"/>
      <c r="H343" s="66"/>
      <c r="I343" s="66"/>
      <c r="J343" s="60"/>
      <c r="K343" s="60"/>
      <c r="L343" s="61"/>
      <c r="M343" s="61"/>
      <c r="N343" s="61"/>
      <c r="O343" s="66"/>
      <c r="P343" s="76" t="str">
        <f t="shared" ca="1" si="21"/>
        <v/>
      </c>
      <c r="Q343" s="65" t="str">
        <f t="shared" ca="1" si="22"/>
        <v/>
      </c>
      <c r="R343" s="2"/>
      <c r="S343" s="2"/>
      <c r="T343" s="1"/>
      <c r="U343" s="1" t="str">
        <f t="shared" si="23"/>
        <v/>
      </c>
    </row>
    <row r="344" spans="1:21" ht="18" customHeight="1" x14ac:dyDescent="0.3">
      <c r="A344" s="2"/>
      <c r="B344" s="65" t="str">
        <f t="shared" si="20"/>
        <v/>
      </c>
      <c r="C344" s="60"/>
      <c r="D344" s="65" t="str">
        <f>IF($E344="","",IFERROR(INDEX(MUSTERILER!$B$7:$B$156,MATCH($U344,MUSTERILER!$T$7:$T$156,0)),IFERROR(INDEX(MUSTERILER!$B$7:$B$156,MATCH($E344,MUSTERILER!$B$7:$B$156,0)),IFERROR(INDEX(MUSTERILER!$B$7:$B$156,MATCH($U344&amp;"*",MUSTERILER!$T$7:$T$156,0)),"TANIMSIZ MÜŞTERİ"))))</f>
        <v/>
      </c>
      <c r="E344" s="61"/>
      <c r="F344" s="61"/>
      <c r="G344" s="60"/>
      <c r="H344" s="66"/>
      <c r="I344" s="66"/>
      <c r="J344" s="60"/>
      <c r="K344" s="60"/>
      <c r="L344" s="61"/>
      <c r="M344" s="61"/>
      <c r="N344" s="61"/>
      <c r="O344" s="66"/>
      <c r="P344" s="76" t="str">
        <f t="shared" ca="1" si="21"/>
        <v/>
      </c>
      <c r="Q344" s="65" t="str">
        <f t="shared" ca="1" si="22"/>
        <v/>
      </c>
      <c r="R344" s="2"/>
      <c r="S344" s="2"/>
      <c r="T344" s="1"/>
      <c r="U344" s="1" t="str">
        <f t="shared" si="23"/>
        <v/>
      </c>
    </row>
    <row r="345" spans="1:21" ht="18" customHeight="1" x14ac:dyDescent="0.3">
      <c r="A345" s="2"/>
      <c r="B345" s="65" t="str">
        <f t="shared" si="20"/>
        <v/>
      </c>
      <c r="C345" s="60"/>
      <c r="D345" s="65" t="str">
        <f>IF($E345="","",IFERROR(INDEX(MUSTERILER!$B$7:$B$156,MATCH($U345,MUSTERILER!$T$7:$T$156,0)),IFERROR(INDEX(MUSTERILER!$B$7:$B$156,MATCH($E345,MUSTERILER!$B$7:$B$156,0)),IFERROR(INDEX(MUSTERILER!$B$7:$B$156,MATCH($U345&amp;"*",MUSTERILER!$T$7:$T$156,0)),"TANIMSIZ MÜŞTERİ"))))</f>
        <v/>
      </c>
      <c r="E345" s="61"/>
      <c r="F345" s="61"/>
      <c r="G345" s="60"/>
      <c r="H345" s="66"/>
      <c r="I345" s="66"/>
      <c r="J345" s="60"/>
      <c r="K345" s="60"/>
      <c r="L345" s="61"/>
      <c r="M345" s="61"/>
      <c r="N345" s="61"/>
      <c r="O345" s="66"/>
      <c r="P345" s="76" t="str">
        <f t="shared" ca="1" si="21"/>
        <v/>
      </c>
      <c r="Q345" s="65" t="str">
        <f t="shared" ca="1" si="22"/>
        <v/>
      </c>
      <c r="R345" s="2"/>
      <c r="S345" s="2"/>
      <c r="T345" s="1"/>
      <c r="U345" s="1" t="str">
        <f t="shared" si="23"/>
        <v/>
      </c>
    </row>
    <row r="346" spans="1:21" ht="18" customHeight="1" x14ac:dyDescent="0.3">
      <c r="A346" s="2"/>
      <c r="B346" s="65" t="str">
        <f t="shared" si="20"/>
        <v/>
      </c>
      <c r="C346" s="60"/>
      <c r="D346" s="65" t="str">
        <f>IF($E346="","",IFERROR(INDEX(MUSTERILER!$B$7:$B$156,MATCH($U346,MUSTERILER!$T$7:$T$156,0)),IFERROR(INDEX(MUSTERILER!$B$7:$B$156,MATCH($E346,MUSTERILER!$B$7:$B$156,0)),IFERROR(INDEX(MUSTERILER!$B$7:$B$156,MATCH($U346&amp;"*",MUSTERILER!$T$7:$T$156,0)),"TANIMSIZ MÜŞTERİ"))))</f>
        <v/>
      </c>
      <c r="E346" s="61"/>
      <c r="F346" s="61"/>
      <c r="G346" s="60"/>
      <c r="H346" s="66"/>
      <c r="I346" s="66"/>
      <c r="J346" s="60"/>
      <c r="K346" s="60"/>
      <c r="L346" s="61"/>
      <c r="M346" s="61"/>
      <c r="N346" s="61"/>
      <c r="O346" s="66"/>
      <c r="P346" s="76" t="str">
        <f t="shared" ca="1" si="21"/>
        <v/>
      </c>
      <c r="Q346" s="65" t="str">
        <f t="shared" ca="1" si="22"/>
        <v/>
      </c>
      <c r="R346" s="2"/>
      <c r="S346" s="2"/>
      <c r="T346" s="1"/>
      <c r="U346" s="1" t="str">
        <f t="shared" si="23"/>
        <v/>
      </c>
    </row>
    <row r="347" spans="1:21" ht="18" customHeight="1" x14ac:dyDescent="0.3">
      <c r="A347" s="2"/>
      <c r="B347" s="65" t="str">
        <f t="shared" si="20"/>
        <v/>
      </c>
      <c r="C347" s="60"/>
      <c r="D347" s="65" t="str">
        <f>IF($E347="","",IFERROR(INDEX(MUSTERILER!$B$7:$B$156,MATCH($U347,MUSTERILER!$T$7:$T$156,0)),IFERROR(INDEX(MUSTERILER!$B$7:$B$156,MATCH($E347,MUSTERILER!$B$7:$B$156,0)),IFERROR(INDEX(MUSTERILER!$B$7:$B$156,MATCH($U347&amp;"*",MUSTERILER!$T$7:$T$156,0)),"TANIMSIZ MÜŞTERİ"))))</f>
        <v/>
      </c>
      <c r="E347" s="61"/>
      <c r="F347" s="61"/>
      <c r="G347" s="60"/>
      <c r="H347" s="66"/>
      <c r="I347" s="66"/>
      <c r="J347" s="60"/>
      <c r="K347" s="60"/>
      <c r="L347" s="61"/>
      <c r="M347" s="61"/>
      <c r="N347" s="61"/>
      <c r="O347" s="66"/>
      <c r="P347" s="76" t="str">
        <f t="shared" ca="1" si="21"/>
        <v/>
      </c>
      <c r="Q347" s="65" t="str">
        <f t="shared" ca="1" si="22"/>
        <v/>
      </c>
      <c r="R347" s="2"/>
      <c r="S347" s="2"/>
      <c r="T347" s="1"/>
      <c r="U347" s="1" t="str">
        <f t="shared" si="23"/>
        <v/>
      </c>
    </row>
    <row r="348" spans="1:21" ht="18" customHeight="1" x14ac:dyDescent="0.3">
      <c r="A348" s="2"/>
      <c r="B348" s="65" t="str">
        <f t="shared" si="20"/>
        <v/>
      </c>
      <c r="C348" s="60"/>
      <c r="D348" s="65" t="str">
        <f>IF($E348="","",IFERROR(INDEX(MUSTERILER!$B$7:$B$156,MATCH($U348,MUSTERILER!$T$7:$T$156,0)),IFERROR(INDEX(MUSTERILER!$B$7:$B$156,MATCH($E348,MUSTERILER!$B$7:$B$156,0)),IFERROR(INDEX(MUSTERILER!$B$7:$B$156,MATCH($U348&amp;"*",MUSTERILER!$T$7:$T$156,0)),"TANIMSIZ MÜŞTERİ"))))</f>
        <v/>
      </c>
      <c r="E348" s="61"/>
      <c r="F348" s="61"/>
      <c r="G348" s="60"/>
      <c r="H348" s="66"/>
      <c r="I348" s="66"/>
      <c r="J348" s="60"/>
      <c r="K348" s="60"/>
      <c r="L348" s="61"/>
      <c r="M348" s="61"/>
      <c r="N348" s="61"/>
      <c r="O348" s="66"/>
      <c r="P348" s="76" t="str">
        <f t="shared" ca="1" si="21"/>
        <v/>
      </c>
      <c r="Q348" s="65" t="str">
        <f t="shared" ca="1" si="22"/>
        <v/>
      </c>
      <c r="R348" s="2"/>
      <c r="S348" s="2"/>
      <c r="T348" s="1"/>
      <c r="U348" s="1" t="str">
        <f t="shared" si="23"/>
        <v/>
      </c>
    </row>
    <row r="349" spans="1:21" ht="18" customHeight="1" x14ac:dyDescent="0.3">
      <c r="A349" s="2"/>
      <c r="B349" s="65" t="str">
        <f t="shared" si="20"/>
        <v/>
      </c>
      <c r="C349" s="60"/>
      <c r="D349" s="65" t="str">
        <f>IF($E349="","",IFERROR(INDEX(MUSTERILER!$B$7:$B$156,MATCH($U349,MUSTERILER!$T$7:$T$156,0)),IFERROR(INDEX(MUSTERILER!$B$7:$B$156,MATCH($E349,MUSTERILER!$B$7:$B$156,0)),IFERROR(INDEX(MUSTERILER!$B$7:$B$156,MATCH($U349&amp;"*",MUSTERILER!$T$7:$T$156,0)),"TANIMSIZ MÜŞTERİ"))))</f>
        <v/>
      </c>
      <c r="E349" s="61"/>
      <c r="F349" s="61"/>
      <c r="G349" s="60"/>
      <c r="H349" s="66"/>
      <c r="I349" s="66"/>
      <c r="J349" s="60"/>
      <c r="K349" s="60"/>
      <c r="L349" s="61"/>
      <c r="M349" s="61"/>
      <c r="N349" s="61"/>
      <c r="O349" s="66"/>
      <c r="P349" s="76" t="str">
        <f t="shared" ca="1" si="21"/>
        <v/>
      </c>
      <c r="Q349" s="65" t="str">
        <f t="shared" ca="1" si="22"/>
        <v/>
      </c>
      <c r="R349" s="2"/>
      <c r="S349" s="2"/>
      <c r="T349" s="1"/>
      <c r="U349" s="1" t="str">
        <f t="shared" si="23"/>
        <v/>
      </c>
    </row>
    <row r="350" spans="1:21" ht="18" customHeight="1" x14ac:dyDescent="0.3">
      <c r="A350" s="2"/>
      <c r="B350" s="65" t="str">
        <f t="shared" si="20"/>
        <v/>
      </c>
      <c r="C350" s="60"/>
      <c r="D350" s="65" t="str">
        <f>IF($E350="","",IFERROR(INDEX(MUSTERILER!$B$7:$B$156,MATCH($U350,MUSTERILER!$T$7:$T$156,0)),IFERROR(INDEX(MUSTERILER!$B$7:$B$156,MATCH($E350,MUSTERILER!$B$7:$B$156,0)),IFERROR(INDEX(MUSTERILER!$B$7:$B$156,MATCH($U350&amp;"*",MUSTERILER!$T$7:$T$156,0)),"TANIMSIZ MÜŞTERİ"))))</f>
        <v/>
      </c>
      <c r="E350" s="61"/>
      <c r="F350" s="61"/>
      <c r="G350" s="60"/>
      <c r="H350" s="66"/>
      <c r="I350" s="66"/>
      <c r="J350" s="60"/>
      <c r="K350" s="60"/>
      <c r="L350" s="61"/>
      <c r="M350" s="61"/>
      <c r="N350" s="61"/>
      <c r="O350" s="66"/>
      <c r="P350" s="76" t="str">
        <f t="shared" ca="1" si="21"/>
        <v/>
      </c>
      <c r="Q350" s="65" t="str">
        <f t="shared" ca="1" si="22"/>
        <v/>
      </c>
      <c r="R350" s="2"/>
      <c r="S350" s="2"/>
      <c r="T350" s="1"/>
      <c r="U350" s="1" t="str">
        <f t="shared" si="23"/>
        <v/>
      </c>
    </row>
    <row r="351" spans="1:21" ht="18" customHeight="1" x14ac:dyDescent="0.3">
      <c r="A351" s="2"/>
      <c r="B351" s="65" t="str">
        <f t="shared" si="20"/>
        <v/>
      </c>
      <c r="C351" s="60"/>
      <c r="D351" s="65" t="str">
        <f>IF($E351="","",IFERROR(INDEX(MUSTERILER!$B$7:$B$156,MATCH($U351,MUSTERILER!$T$7:$T$156,0)),IFERROR(INDEX(MUSTERILER!$B$7:$B$156,MATCH($E351,MUSTERILER!$B$7:$B$156,0)),IFERROR(INDEX(MUSTERILER!$B$7:$B$156,MATCH($U351&amp;"*",MUSTERILER!$T$7:$T$156,0)),"TANIMSIZ MÜŞTERİ"))))</f>
        <v/>
      </c>
      <c r="E351" s="61"/>
      <c r="F351" s="61"/>
      <c r="G351" s="60"/>
      <c r="H351" s="66"/>
      <c r="I351" s="66"/>
      <c r="J351" s="60"/>
      <c r="K351" s="60"/>
      <c r="L351" s="61"/>
      <c r="M351" s="61"/>
      <c r="N351" s="61"/>
      <c r="O351" s="66"/>
      <c r="P351" s="76" t="str">
        <f t="shared" ca="1" si="21"/>
        <v/>
      </c>
      <c r="Q351" s="65" t="str">
        <f t="shared" ca="1" si="22"/>
        <v/>
      </c>
      <c r="R351" s="2"/>
      <c r="S351" s="2"/>
      <c r="T351" s="1"/>
      <c r="U351" s="1" t="str">
        <f t="shared" si="23"/>
        <v/>
      </c>
    </row>
    <row r="352" spans="1:21" ht="18" customHeight="1" x14ac:dyDescent="0.3">
      <c r="A352" s="2"/>
      <c r="B352" s="65" t="str">
        <f t="shared" si="20"/>
        <v/>
      </c>
      <c r="C352" s="60"/>
      <c r="D352" s="65" t="str">
        <f>IF($E352="","",IFERROR(INDEX(MUSTERILER!$B$7:$B$156,MATCH($U352,MUSTERILER!$T$7:$T$156,0)),IFERROR(INDEX(MUSTERILER!$B$7:$B$156,MATCH($E352,MUSTERILER!$B$7:$B$156,0)),IFERROR(INDEX(MUSTERILER!$B$7:$B$156,MATCH($U352&amp;"*",MUSTERILER!$T$7:$T$156,0)),"TANIMSIZ MÜŞTERİ"))))</f>
        <v/>
      </c>
      <c r="E352" s="61"/>
      <c r="F352" s="61"/>
      <c r="G352" s="60"/>
      <c r="H352" s="66"/>
      <c r="I352" s="66"/>
      <c r="J352" s="60"/>
      <c r="K352" s="60"/>
      <c r="L352" s="61"/>
      <c r="M352" s="61"/>
      <c r="N352" s="61"/>
      <c r="O352" s="66"/>
      <c r="P352" s="76" t="str">
        <f t="shared" ca="1" si="21"/>
        <v/>
      </c>
      <c r="Q352" s="65" t="str">
        <f t="shared" ca="1" si="22"/>
        <v/>
      </c>
      <c r="R352" s="2"/>
      <c r="S352" s="2"/>
      <c r="T352" s="1"/>
      <c r="U352" s="1" t="str">
        <f t="shared" si="23"/>
        <v/>
      </c>
    </row>
    <row r="353" spans="1:21" ht="18" customHeight="1" x14ac:dyDescent="0.3">
      <c r="A353" s="2"/>
      <c r="B353" s="65" t="str">
        <f t="shared" si="20"/>
        <v/>
      </c>
      <c r="C353" s="60"/>
      <c r="D353" s="65" t="str">
        <f>IF($E353="","",IFERROR(INDEX(MUSTERILER!$B$7:$B$156,MATCH($U353,MUSTERILER!$T$7:$T$156,0)),IFERROR(INDEX(MUSTERILER!$B$7:$B$156,MATCH($E353,MUSTERILER!$B$7:$B$156,0)),IFERROR(INDEX(MUSTERILER!$B$7:$B$156,MATCH($U353&amp;"*",MUSTERILER!$T$7:$T$156,0)),"TANIMSIZ MÜŞTERİ"))))</f>
        <v/>
      </c>
      <c r="E353" s="61"/>
      <c r="F353" s="61"/>
      <c r="G353" s="60"/>
      <c r="H353" s="66"/>
      <c r="I353" s="66"/>
      <c r="J353" s="60"/>
      <c r="K353" s="60"/>
      <c r="L353" s="61"/>
      <c r="M353" s="61"/>
      <c r="N353" s="61"/>
      <c r="O353" s="66"/>
      <c r="P353" s="76" t="str">
        <f t="shared" ca="1" si="21"/>
        <v/>
      </c>
      <c r="Q353" s="65" t="str">
        <f t="shared" ca="1" si="22"/>
        <v/>
      </c>
      <c r="R353" s="2"/>
      <c r="S353" s="2"/>
      <c r="T353" s="1"/>
      <c r="U353" s="1" t="str">
        <f t="shared" si="23"/>
        <v/>
      </c>
    </row>
    <row r="354" spans="1:21" ht="18" customHeight="1" x14ac:dyDescent="0.3">
      <c r="A354" s="2"/>
      <c r="B354" s="65" t="str">
        <f t="shared" si="20"/>
        <v/>
      </c>
      <c r="C354" s="60"/>
      <c r="D354" s="65" t="str">
        <f>IF($E354="","",IFERROR(INDEX(MUSTERILER!$B$7:$B$156,MATCH($U354,MUSTERILER!$T$7:$T$156,0)),IFERROR(INDEX(MUSTERILER!$B$7:$B$156,MATCH($E354,MUSTERILER!$B$7:$B$156,0)),IFERROR(INDEX(MUSTERILER!$B$7:$B$156,MATCH($U354&amp;"*",MUSTERILER!$T$7:$T$156,0)),"TANIMSIZ MÜŞTERİ"))))</f>
        <v/>
      </c>
      <c r="E354" s="61"/>
      <c r="F354" s="61"/>
      <c r="G354" s="60"/>
      <c r="H354" s="66"/>
      <c r="I354" s="66"/>
      <c r="J354" s="60"/>
      <c r="K354" s="60"/>
      <c r="L354" s="61"/>
      <c r="M354" s="61"/>
      <c r="N354" s="61"/>
      <c r="O354" s="66"/>
      <c r="P354" s="76" t="str">
        <f t="shared" ca="1" si="21"/>
        <v/>
      </c>
      <c r="Q354" s="65" t="str">
        <f t="shared" ca="1" si="22"/>
        <v/>
      </c>
      <c r="R354" s="2"/>
      <c r="S354" s="2"/>
      <c r="T354" s="1"/>
      <c r="U354" s="1" t="str">
        <f t="shared" si="23"/>
        <v/>
      </c>
    </row>
    <row r="355" spans="1:21" ht="18" customHeight="1" x14ac:dyDescent="0.3">
      <c r="A355" s="2"/>
      <c r="B355" s="65" t="str">
        <f t="shared" si="20"/>
        <v/>
      </c>
      <c r="C355" s="60"/>
      <c r="D355" s="65" t="str">
        <f>IF($E355="","",IFERROR(INDEX(MUSTERILER!$B$7:$B$156,MATCH($U355,MUSTERILER!$T$7:$T$156,0)),IFERROR(INDEX(MUSTERILER!$B$7:$B$156,MATCH($E355,MUSTERILER!$B$7:$B$156,0)),IFERROR(INDEX(MUSTERILER!$B$7:$B$156,MATCH($U355&amp;"*",MUSTERILER!$T$7:$T$156,0)),"TANIMSIZ MÜŞTERİ"))))</f>
        <v/>
      </c>
      <c r="E355" s="61"/>
      <c r="F355" s="61"/>
      <c r="G355" s="60"/>
      <c r="H355" s="66"/>
      <c r="I355" s="66"/>
      <c r="J355" s="60"/>
      <c r="K355" s="60"/>
      <c r="L355" s="61"/>
      <c r="M355" s="61"/>
      <c r="N355" s="61"/>
      <c r="O355" s="66"/>
      <c r="P355" s="76" t="str">
        <f t="shared" ca="1" si="21"/>
        <v/>
      </c>
      <c r="Q355" s="65" t="str">
        <f t="shared" ca="1" si="22"/>
        <v/>
      </c>
      <c r="R355" s="2"/>
      <c r="S355" s="2"/>
      <c r="T355" s="1"/>
      <c r="U355" s="1" t="str">
        <f t="shared" si="23"/>
        <v/>
      </c>
    </row>
    <row r="356" spans="1:21" ht="18" customHeight="1" x14ac:dyDescent="0.3">
      <c r="A356" s="2"/>
      <c r="B356" s="65" t="str">
        <f t="shared" si="20"/>
        <v/>
      </c>
      <c r="C356" s="60"/>
      <c r="D356" s="65" t="str">
        <f>IF($E356="","",IFERROR(INDEX(MUSTERILER!$B$7:$B$156,MATCH($U356,MUSTERILER!$T$7:$T$156,0)),IFERROR(INDEX(MUSTERILER!$B$7:$B$156,MATCH($E356,MUSTERILER!$B$7:$B$156,0)),IFERROR(INDEX(MUSTERILER!$B$7:$B$156,MATCH($U356&amp;"*",MUSTERILER!$T$7:$T$156,0)),"TANIMSIZ MÜŞTERİ"))))</f>
        <v/>
      </c>
      <c r="E356" s="61"/>
      <c r="F356" s="61"/>
      <c r="G356" s="60"/>
      <c r="H356" s="66"/>
      <c r="I356" s="66"/>
      <c r="J356" s="60"/>
      <c r="K356" s="60"/>
      <c r="L356" s="61"/>
      <c r="M356" s="61"/>
      <c r="N356" s="61"/>
      <c r="O356" s="66"/>
      <c r="P356" s="76" t="str">
        <f t="shared" ca="1" si="21"/>
        <v/>
      </c>
      <c r="Q356" s="65" t="str">
        <f t="shared" ca="1" si="22"/>
        <v/>
      </c>
      <c r="R356" s="2"/>
      <c r="S356" s="2"/>
      <c r="T356" s="1"/>
      <c r="U356" s="1" t="str">
        <f t="shared" si="23"/>
        <v/>
      </c>
    </row>
    <row r="357" spans="1:21" ht="18" customHeight="1" x14ac:dyDescent="0.3">
      <c r="A357" s="2"/>
      <c r="B357" s="65" t="str">
        <f t="shared" si="20"/>
        <v/>
      </c>
      <c r="C357" s="60"/>
      <c r="D357" s="65" t="str">
        <f>IF($E357="","",IFERROR(INDEX(MUSTERILER!$B$7:$B$156,MATCH($U357,MUSTERILER!$T$7:$T$156,0)),IFERROR(INDEX(MUSTERILER!$B$7:$B$156,MATCH($E357,MUSTERILER!$B$7:$B$156,0)),IFERROR(INDEX(MUSTERILER!$B$7:$B$156,MATCH($U357&amp;"*",MUSTERILER!$T$7:$T$156,0)),"TANIMSIZ MÜŞTERİ"))))</f>
        <v/>
      </c>
      <c r="E357" s="61"/>
      <c r="F357" s="61"/>
      <c r="G357" s="60"/>
      <c r="H357" s="66"/>
      <c r="I357" s="66"/>
      <c r="J357" s="60"/>
      <c r="K357" s="60"/>
      <c r="L357" s="61"/>
      <c r="M357" s="61"/>
      <c r="N357" s="61"/>
      <c r="O357" s="66"/>
      <c r="P357" s="76" t="str">
        <f t="shared" ca="1" si="21"/>
        <v/>
      </c>
      <c r="Q357" s="65" t="str">
        <f t="shared" ca="1" si="22"/>
        <v/>
      </c>
      <c r="R357" s="2"/>
      <c r="S357" s="2"/>
      <c r="T357" s="1"/>
      <c r="U357" s="1" t="str">
        <f t="shared" si="23"/>
        <v/>
      </c>
    </row>
    <row r="358" spans="1:21" ht="18" customHeight="1" x14ac:dyDescent="0.3">
      <c r="A358" s="2"/>
      <c r="B358" s="65" t="str">
        <f t="shared" si="20"/>
        <v/>
      </c>
      <c r="C358" s="60"/>
      <c r="D358" s="65" t="str">
        <f>IF($E358="","",IFERROR(INDEX(MUSTERILER!$B$7:$B$156,MATCH($U358,MUSTERILER!$T$7:$T$156,0)),IFERROR(INDEX(MUSTERILER!$B$7:$B$156,MATCH($E358,MUSTERILER!$B$7:$B$156,0)),IFERROR(INDEX(MUSTERILER!$B$7:$B$156,MATCH($U358&amp;"*",MUSTERILER!$T$7:$T$156,0)),"TANIMSIZ MÜŞTERİ"))))</f>
        <v/>
      </c>
      <c r="E358" s="61"/>
      <c r="F358" s="61"/>
      <c r="G358" s="60"/>
      <c r="H358" s="66"/>
      <c r="I358" s="66"/>
      <c r="J358" s="60"/>
      <c r="K358" s="60"/>
      <c r="L358" s="61"/>
      <c r="M358" s="61"/>
      <c r="N358" s="61"/>
      <c r="O358" s="66"/>
      <c r="P358" s="76" t="str">
        <f t="shared" ca="1" si="21"/>
        <v/>
      </c>
      <c r="Q358" s="65" t="str">
        <f t="shared" ca="1" si="22"/>
        <v/>
      </c>
      <c r="R358" s="2"/>
      <c r="S358" s="2"/>
      <c r="T358" s="1"/>
      <c r="U358" s="1" t="str">
        <f t="shared" si="23"/>
        <v/>
      </c>
    </row>
    <row r="359" spans="1:21" ht="18" customHeight="1" x14ac:dyDescent="0.3">
      <c r="A359" s="2"/>
      <c r="B359" s="65" t="str">
        <f t="shared" si="20"/>
        <v/>
      </c>
      <c r="C359" s="60"/>
      <c r="D359" s="65" t="str">
        <f>IF($E359="","",IFERROR(INDEX(MUSTERILER!$B$7:$B$156,MATCH($U359,MUSTERILER!$T$7:$T$156,0)),IFERROR(INDEX(MUSTERILER!$B$7:$B$156,MATCH($E359,MUSTERILER!$B$7:$B$156,0)),IFERROR(INDEX(MUSTERILER!$B$7:$B$156,MATCH($U359&amp;"*",MUSTERILER!$T$7:$T$156,0)),"TANIMSIZ MÜŞTERİ"))))</f>
        <v/>
      </c>
      <c r="E359" s="61"/>
      <c r="F359" s="61"/>
      <c r="G359" s="60"/>
      <c r="H359" s="66"/>
      <c r="I359" s="66"/>
      <c r="J359" s="60"/>
      <c r="K359" s="60"/>
      <c r="L359" s="61"/>
      <c r="M359" s="61"/>
      <c r="N359" s="61"/>
      <c r="O359" s="66"/>
      <c r="P359" s="76" t="str">
        <f t="shared" ca="1" si="21"/>
        <v/>
      </c>
      <c r="Q359" s="65" t="str">
        <f t="shared" ca="1" si="22"/>
        <v/>
      </c>
      <c r="R359" s="2"/>
      <c r="S359" s="2"/>
      <c r="T359" s="1"/>
      <c r="U359" s="1" t="str">
        <f t="shared" si="23"/>
        <v/>
      </c>
    </row>
    <row r="360" spans="1:21" ht="18" customHeight="1" x14ac:dyDescent="0.3">
      <c r="A360" s="2"/>
      <c r="B360" s="65" t="str">
        <f t="shared" si="20"/>
        <v/>
      </c>
      <c r="C360" s="60"/>
      <c r="D360" s="65" t="str">
        <f>IF($E360="","",IFERROR(INDEX(MUSTERILER!$B$7:$B$156,MATCH($U360,MUSTERILER!$T$7:$T$156,0)),IFERROR(INDEX(MUSTERILER!$B$7:$B$156,MATCH($E360,MUSTERILER!$B$7:$B$156,0)),IFERROR(INDEX(MUSTERILER!$B$7:$B$156,MATCH($U360&amp;"*",MUSTERILER!$T$7:$T$156,0)),"TANIMSIZ MÜŞTERİ"))))</f>
        <v/>
      </c>
      <c r="E360" s="61"/>
      <c r="F360" s="61"/>
      <c r="G360" s="60"/>
      <c r="H360" s="66"/>
      <c r="I360" s="66"/>
      <c r="J360" s="60"/>
      <c r="K360" s="60"/>
      <c r="L360" s="61"/>
      <c r="M360" s="61"/>
      <c r="N360" s="61"/>
      <c r="O360" s="66"/>
      <c r="P360" s="76" t="str">
        <f t="shared" ca="1" si="21"/>
        <v/>
      </c>
      <c r="Q360" s="65" t="str">
        <f t="shared" ca="1" si="22"/>
        <v/>
      </c>
      <c r="R360" s="2"/>
      <c r="S360" s="2"/>
      <c r="T360" s="1"/>
      <c r="U360" s="1" t="str">
        <f t="shared" si="23"/>
        <v/>
      </c>
    </row>
    <row r="361" spans="1:21" ht="18" customHeight="1" x14ac:dyDescent="0.3">
      <c r="A361" s="2"/>
      <c r="B361" s="65" t="str">
        <f t="shared" si="20"/>
        <v/>
      </c>
      <c r="C361" s="60"/>
      <c r="D361" s="65" t="str">
        <f>IF($E361="","",IFERROR(INDEX(MUSTERILER!$B$7:$B$156,MATCH($U361,MUSTERILER!$T$7:$T$156,0)),IFERROR(INDEX(MUSTERILER!$B$7:$B$156,MATCH($E361,MUSTERILER!$B$7:$B$156,0)),IFERROR(INDEX(MUSTERILER!$B$7:$B$156,MATCH($U361&amp;"*",MUSTERILER!$T$7:$T$156,0)),"TANIMSIZ MÜŞTERİ"))))</f>
        <v/>
      </c>
      <c r="E361" s="61"/>
      <c r="F361" s="61"/>
      <c r="G361" s="60"/>
      <c r="H361" s="66"/>
      <c r="I361" s="66"/>
      <c r="J361" s="60"/>
      <c r="K361" s="60"/>
      <c r="L361" s="61"/>
      <c r="M361" s="61"/>
      <c r="N361" s="61"/>
      <c r="O361" s="66"/>
      <c r="P361" s="76" t="str">
        <f t="shared" ca="1" si="21"/>
        <v/>
      </c>
      <c r="Q361" s="65" t="str">
        <f t="shared" ca="1" si="22"/>
        <v/>
      </c>
      <c r="R361" s="2"/>
      <c r="S361" s="2"/>
      <c r="T361" s="1"/>
      <c r="U361" s="1" t="str">
        <f t="shared" si="23"/>
        <v/>
      </c>
    </row>
    <row r="362" spans="1:21" ht="18" customHeight="1" x14ac:dyDescent="0.3">
      <c r="A362" s="2"/>
      <c r="B362" s="65" t="str">
        <f t="shared" si="20"/>
        <v/>
      </c>
      <c r="C362" s="60"/>
      <c r="D362" s="65" t="str">
        <f>IF($E362="","",IFERROR(INDEX(MUSTERILER!$B$7:$B$156,MATCH($U362,MUSTERILER!$T$7:$T$156,0)),IFERROR(INDEX(MUSTERILER!$B$7:$B$156,MATCH($E362,MUSTERILER!$B$7:$B$156,0)),IFERROR(INDEX(MUSTERILER!$B$7:$B$156,MATCH($U362&amp;"*",MUSTERILER!$T$7:$T$156,0)),"TANIMSIZ MÜŞTERİ"))))</f>
        <v/>
      </c>
      <c r="E362" s="61"/>
      <c r="F362" s="61"/>
      <c r="G362" s="60"/>
      <c r="H362" s="66"/>
      <c r="I362" s="66"/>
      <c r="J362" s="60"/>
      <c r="K362" s="60"/>
      <c r="L362" s="61"/>
      <c r="M362" s="61"/>
      <c r="N362" s="61"/>
      <c r="O362" s="66"/>
      <c r="P362" s="76" t="str">
        <f t="shared" ca="1" si="21"/>
        <v/>
      </c>
      <c r="Q362" s="65" t="str">
        <f t="shared" ca="1" si="22"/>
        <v/>
      </c>
      <c r="R362" s="2"/>
      <c r="S362" s="2"/>
      <c r="T362" s="1"/>
      <c r="U362" s="1" t="str">
        <f t="shared" si="23"/>
        <v/>
      </c>
    </row>
    <row r="363" spans="1:21" ht="18" customHeight="1" x14ac:dyDescent="0.3">
      <c r="A363" s="2"/>
      <c r="B363" s="65" t="str">
        <f t="shared" si="20"/>
        <v/>
      </c>
      <c r="C363" s="60"/>
      <c r="D363" s="65" t="str">
        <f>IF($E363="","",IFERROR(INDEX(MUSTERILER!$B$7:$B$156,MATCH($U363,MUSTERILER!$T$7:$T$156,0)),IFERROR(INDEX(MUSTERILER!$B$7:$B$156,MATCH($E363,MUSTERILER!$B$7:$B$156,0)),IFERROR(INDEX(MUSTERILER!$B$7:$B$156,MATCH($U363&amp;"*",MUSTERILER!$T$7:$T$156,0)),"TANIMSIZ MÜŞTERİ"))))</f>
        <v/>
      </c>
      <c r="E363" s="61"/>
      <c r="F363" s="61"/>
      <c r="G363" s="60"/>
      <c r="H363" s="66"/>
      <c r="I363" s="66"/>
      <c r="J363" s="60"/>
      <c r="K363" s="60"/>
      <c r="L363" s="61"/>
      <c r="M363" s="61"/>
      <c r="N363" s="61"/>
      <c r="O363" s="66"/>
      <c r="P363" s="76" t="str">
        <f t="shared" ca="1" si="21"/>
        <v/>
      </c>
      <c r="Q363" s="65" t="str">
        <f t="shared" ca="1" si="22"/>
        <v/>
      </c>
      <c r="R363" s="2"/>
      <c r="S363" s="2"/>
      <c r="T363" s="1"/>
      <c r="U363" s="1" t="str">
        <f t="shared" si="23"/>
        <v/>
      </c>
    </row>
    <row r="364" spans="1:21" ht="18" customHeight="1" x14ac:dyDescent="0.3">
      <c r="A364" s="2"/>
      <c r="B364" s="65" t="str">
        <f t="shared" si="20"/>
        <v/>
      </c>
      <c r="C364" s="60"/>
      <c r="D364" s="65" t="str">
        <f>IF($E364="","",IFERROR(INDEX(MUSTERILER!$B$7:$B$156,MATCH($U364,MUSTERILER!$T$7:$T$156,0)),IFERROR(INDEX(MUSTERILER!$B$7:$B$156,MATCH($E364,MUSTERILER!$B$7:$B$156,0)),IFERROR(INDEX(MUSTERILER!$B$7:$B$156,MATCH($U364&amp;"*",MUSTERILER!$T$7:$T$156,0)),"TANIMSIZ MÜŞTERİ"))))</f>
        <v/>
      </c>
      <c r="E364" s="61"/>
      <c r="F364" s="61"/>
      <c r="G364" s="60"/>
      <c r="H364" s="66"/>
      <c r="I364" s="66"/>
      <c r="J364" s="60"/>
      <c r="K364" s="60"/>
      <c r="L364" s="61"/>
      <c r="M364" s="61"/>
      <c r="N364" s="61"/>
      <c r="O364" s="66"/>
      <c r="P364" s="76" t="str">
        <f t="shared" ca="1" si="21"/>
        <v/>
      </c>
      <c r="Q364" s="65" t="str">
        <f t="shared" ca="1" si="22"/>
        <v/>
      </c>
      <c r="R364" s="2"/>
      <c r="S364" s="2"/>
      <c r="T364" s="1"/>
      <c r="U364" s="1" t="str">
        <f t="shared" si="23"/>
        <v/>
      </c>
    </row>
    <row r="365" spans="1:21" ht="18" customHeight="1" x14ac:dyDescent="0.3">
      <c r="A365" s="2"/>
      <c r="B365" s="65" t="str">
        <f t="shared" si="20"/>
        <v/>
      </c>
      <c r="C365" s="60"/>
      <c r="D365" s="65" t="str">
        <f>IF($E365="","",IFERROR(INDEX(MUSTERILER!$B$7:$B$156,MATCH($U365,MUSTERILER!$T$7:$T$156,0)),IFERROR(INDEX(MUSTERILER!$B$7:$B$156,MATCH($E365,MUSTERILER!$B$7:$B$156,0)),IFERROR(INDEX(MUSTERILER!$B$7:$B$156,MATCH($U365&amp;"*",MUSTERILER!$T$7:$T$156,0)),"TANIMSIZ MÜŞTERİ"))))</f>
        <v/>
      </c>
      <c r="E365" s="61"/>
      <c r="F365" s="61"/>
      <c r="G365" s="60"/>
      <c r="H365" s="66"/>
      <c r="I365" s="66"/>
      <c r="J365" s="60"/>
      <c r="K365" s="60"/>
      <c r="L365" s="61"/>
      <c r="M365" s="61"/>
      <c r="N365" s="61"/>
      <c r="O365" s="66"/>
      <c r="P365" s="76" t="str">
        <f t="shared" ca="1" si="21"/>
        <v/>
      </c>
      <c r="Q365" s="65" t="str">
        <f t="shared" ca="1" si="22"/>
        <v/>
      </c>
      <c r="R365" s="2"/>
      <c r="S365" s="2"/>
      <c r="T365" s="1"/>
      <c r="U365" s="1" t="str">
        <f t="shared" si="23"/>
        <v/>
      </c>
    </row>
    <row r="366" spans="1:21" ht="18" customHeight="1" x14ac:dyDescent="0.3">
      <c r="A366" s="2"/>
      <c r="B366" s="65" t="str">
        <f t="shared" si="20"/>
        <v/>
      </c>
      <c r="C366" s="60"/>
      <c r="D366" s="65" t="str">
        <f>IF($E366="","",IFERROR(INDEX(MUSTERILER!$B$7:$B$156,MATCH($U366,MUSTERILER!$T$7:$T$156,0)),IFERROR(INDEX(MUSTERILER!$B$7:$B$156,MATCH($E366,MUSTERILER!$B$7:$B$156,0)),IFERROR(INDEX(MUSTERILER!$B$7:$B$156,MATCH($U366&amp;"*",MUSTERILER!$T$7:$T$156,0)),"TANIMSIZ MÜŞTERİ"))))</f>
        <v/>
      </c>
      <c r="E366" s="61"/>
      <c r="F366" s="61"/>
      <c r="G366" s="60"/>
      <c r="H366" s="66"/>
      <c r="I366" s="66"/>
      <c r="J366" s="60"/>
      <c r="K366" s="60"/>
      <c r="L366" s="61"/>
      <c r="M366" s="61"/>
      <c r="N366" s="61"/>
      <c r="O366" s="66"/>
      <c r="P366" s="76" t="str">
        <f t="shared" ca="1" si="21"/>
        <v/>
      </c>
      <c r="Q366" s="65" t="str">
        <f t="shared" ca="1" si="22"/>
        <v/>
      </c>
      <c r="R366" s="2"/>
      <c r="S366" s="2"/>
      <c r="T366" s="1"/>
      <c r="U366" s="1" t="str">
        <f t="shared" si="23"/>
        <v/>
      </c>
    </row>
    <row r="367" spans="1:21" ht="18" customHeight="1" x14ac:dyDescent="0.3">
      <c r="A367" s="2"/>
      <c r="B367" s="65" t="str">
        <f t="shared" si="20"/>
        <v/>
      </c>
      <c r="C367" s="60"/>
      <c r="D367" s="65" t="str">
        <f>IF($E367="","",IFERROR(INDEX(MUSTERILER!$B$7:$B$156,MATCH($U367,MUSTERILER!$T$7:$T$156,0)),IFERROR(INDEX(MUSTERILER!$B$7:$B$156,MATCH($E367,MUSTERILER!$B$7:$B$156,0)),IFERROR(INDEX(MUSTERILER!$B$7:$B$156,MATCH($U367&amp;"*",MUSTERILER!$T$7:$T$156,0)),"TANIMSIZ MÜŞTERİ"))))</f>
        <v/>
      </c>
      <c r="E367" s="61"/>
      <c r="F367" s="61"/>
      <c r="G367" s="60"/>
      <c r="H367" s="66"/>
      <c r="I367" s="66"/>
      <c r="J367" s="60"/>
      <c r="K367" s="60"/>
      <c r="L367" s="61"/>
      <c r="M367" s="61"/>
      <c r="N367" s="61"/>
      <c r="O367" s="66"/>
      <c r="P367" s="76" t="str">
        <f t="shared" ca="1" si="21"/>
        <v/>
      </c>
      <c r="Q367" s="65" t="str">
        <f t="shared" ca="1" si="22"/>
        <v/>
      </c>
      <c r="R367" s="2"/>
      <c r="S367" s="2"/>
      <c r="T367" s="1"/>
      <c r="U367" s="1" t="str">
        <f t="shared" si="23"/>
        <v/>
      </c>
    </row>
    <row r="368" spans="1:21" ht="18" customHeight="1" x14ac:dyDescent="0.3">
      <c r="A368" s="2"/>
      <c r="B368" s="65" t="str">
        <f t="shared" si="20"/>
        <v/>
      </c>
      <c r="C368" s="60"/>
      <c r="D368" s="65" t="str">
        <f>IF($E368="","",IFERROR(INDEX(MUSTERILER!$B$7:$B$156,MATCH($U368,MUSTERILER!$T$7:$T$156,0)),IFERROR(INDEX(MUSTERILER!$B$7:$B$156,MATCH($E368,MUSTERILER!$B$7:$B$156,0)),IFERROR(INDEX(MUSTERILER!$B$7:$B$156,MATCH($U368&amp;"*",MUSTERILER!$T$7:$T$156,0)),"TANIMSIZ MÜŞTERİ"))))</f>
        <v/>
      </c>
      <c r="E368" s="61"/>
      <c r="F368" s="61"/>
      <c r="G368" s="60"/>
      <c r="H368" s="66"/>
      <c r="I368" s="66"/>
      <c r="J368" s="60"/>
      <c r="K368" s="60"/>
      <c r="L368" s="61"/>
      <c r="M368" s="61"/>
      <c r="N368" s="61"/>
      <c r="O368" s="66"/>
      <c r="P368" s="76" t="str">
        <f t="shared" ca="1" si="21"/>
        <v/>
      </c>
      <c r="Q368" s="65" t="str">
        <f t="shared" ca="1" si="22"/>
        <v/>
      </c>
      <c r="R368" s="2"/>
      <c r="S368" s="2"/>
      <c r="T368" s="1"/>
      <c r="U368" s="1" t="str">
        <f t="shared" si="23"/>
        <v/>
      </c>
    </row>
    <row r="369" spans="1:21" ht="18" customHeight="1" x14ac:dyDescent="0.3">
      <c r="A369" s="2"/>
      <c r="B369" s="65" t="str">
        <f t="shared" si="20"/>
        <v/>
      </c>
      <c r="C369" s="60"/>
      <c r="D369" s="65" t="str">
        <f>IF($E369="","",IFERROR(INDEX(MUSTERILER!$B$7:$B$156,MATCH($U369,MUSTERILER!$T$7:$T$156,0)),IFERROR(INDEX(MUSTERILER!$B$7:$B$156,MATCH($E369,MUSTERILER!$B$7:$B$156,0)),IFERROR(INDEX(MUSTERILER!$B$7:$B$156,MATCH($U369&amp;"*",MUSTERILER!$T$7:$T$156,0)),"TANIMSIZ MÜŞTERİ"))))</f>
        <v/>
      </c>
      <c r="E369" s="61"/>
      <c r="F369" s="61"/>
      <c r="G369" s="60"/>
      <c r="H369" s="66"/>
      <c r="I369" s="66"/>
      <c r="J369" s="60"/>
      <c r="K369" s="60"/>
      <c r="L369" s="61"/>
      <c r="M369" s="61"/>
      <c r="N369" s="61"/>
      <c r="O369" s="66"/>
      <c r="P369" s="76" t="str">
        <f t="shared" ca="1" si="21"/>
        <v/>
      </c>
      <c r="Q369" s="65" t="str">
        <f t="shared" ca="1" si="22"/>
        <v/>
      </c>
      <c r="R369" s="2"/>
      <c r="S369" s="2"/>
      <c r="T369" s="1"/>
      <c r="U369" s="1" t="str">
        <f t="shared" si="23"/>
        <v/>
      </c>
    </row>
    <row r="370" spans="1:21" ht="18" customHeight="1" x14ac:dyDescent="0.3">
      <c r="A370" s="2"/>
      <c r="B370" s="65" t="str">
        <f t="shared" si="20"/>
        <v/>
      </c>
      <c r="C370" s="60"/>
      <c r="D370" s="65" t="str">
        <f>IF($E370="","",IFERROR(INDEX(MUSTERILER!$B$7:$B$156,MATCH($U370,MUSTERILER!$T$7:$T$156,0)),IFERROR(INDEX(MUSTERILER!$B$7:$B$156,MATCH($E370,MUSTERILER!$B$7:$B$156,0)),IFERROR(INDEX(MUSTERILER!$B$7:$B$156,MATCH($U370&amp;"*",MUSTERILER!$T$7:$T$156,0)),"TANIMSIZ MÜŞTERİ"))))</f>
        <v/>
      </c>
      <c r="E370" s="61"/>
      <c r="F370" s="61"/>
      <c r="G370" s="60"/>
      <c r="H370" s="66"/>
      <c r="I370" s="66"/>
      <c r="J370" s="60"/>
      <c r="K370" s="60"/>
      <c r="L370" s="61"/>
      <c r="M370" s="61"/>
      <c r="N370" s="61"/>
      <c r="O370" s="66"/>
      <c r="P370" s="76" t="str">
        <f t="shared" ca="1" si="21"/>
        <v/>
      </c>
      <c r="Q370" s="65" t="str">
        <f t="shared" ca="1" si="22"/>
        <v/>
      </c>
      <c r="R370" s="2"/>
      <c r="S370" s="2"/>
      <c r="T370" s="1"/>
      <c r="U370" s="1" t="str">
        <f t="shared" si="23"/>
        <v/>
      </c>
    </row>
    <row r="371" spans="1:21" ht="18" customHeight="1" x14ac:dyDescent="0.3">
      <c r="A371" s="2"/>
      <c r="B371" s="65" t="str">
        <f t="shared" si="20"/>
        <v/>
      </c>
      <c r="C371" s="60"/>
      <c r="D371" s="65" t="str">
        <f>IF($E371="","",IFERROR(INDEX(MUSTERILER!$B$7:$B$156,MATCH($U371,MUSTERILER!$T$7:$T$156,0)),IFERROR(INDEX(MUSTERILER!$B$7:$B$156,MATCH($E371,MUSTERILER!$B$7:$B$156,0)),IFERROR(INDEX(MUSTERILER!$B$7:$B$156,MATCH($U371&amp;"*",MUSTERILER!$T$7:$T$156,0)),"TANIMSIZ MÜŞTERİ"))))</f>
        <v/>
      </c>
      <c r="E371" s="61"/>
      <c r="F371" s="61"/>
      <c r="G371" s="60"/>
      <c r="H371" s="66"/>
      <c r="I371" s="66"/>
      <c r="J371" s="60"/>
      <c r="K371" s="60"/>
      <c r="L371" s="61"/>
      <c r="M371" s="61"/>
      <c r="N371" s="61"/>
      <c r="O371" s="66"/>
      <c r="P371" s="76" t="str">
        <f t="shared" ca="1" si="21"/>
        <v/>
      </c>
      <c r="Q371" s="65" t="str">
        <f t="shared" ca="1" si="22"/>
        <v/>
      </c>
      <c r="R371" s="2"/>
      <c r="S371" s="2"/>
      <c r="T371" s="1"/>
      <c r="U371" s="1" t="str">
        <f t="shared" si="23"/>
        <v/>
      </c>
    </row>
    <row r="372" spans="1:21" ht="18" customHeight="1" x14ac:dyDescent="0.3">
      <c r="A372" s="2"/>
      <c r="B372" s="65" t="str">
        <f t="shared" si="20"/>
        <v/>
      </c>
      <c r="C372" s="60"/>
      <c r="D372" s="65" t="str">
        <f>IF($E372="","",IFERROR(INDEX(MUSTERILER!$B$7:$B$156,MATCH($U372,MUSTERILER!$T$7:$T$156,0)),IFERROR(INDEX(MUSTERILER!$B$7:$B$156,MATCH($E372,MUSTERILER!$B$7:$B$156,0)),IFERROR(INDEX(MUSTERILER!$B$7:$B$156,MATCH($U372&amp;"*",MUSTERILER!$T$7:$T$156,0)),"TANIMSIZ MÜŞTERİ"))))</f>
        <v/>
      </c>
      <c r="E372" s="61"/>
      <c r="F372" s="61"/>
      <c r="G372" s="60"/>
      <c r="H372" s="66"/>
      <c r="I372" s="66"/>
      <c r="J372" s="60"/>
      <c r="K372" s="60"/>
      <c r="L372" s="61"/>
      <c r="M372" s="61"/>
      <c r="N372" s="61"/>
      <c r="O372" s="66"/>
      <c r="P372" s="76" t="str">
        <f t="shared" ca="1" si="21"/>
        <v/>
      </c>
      <c r="Q372" s="65" t="str">
        <f t="shared" ca="1" si="22"/>
        <v/>
      </c>
      <c r="R372" s="2"/>
      <c r="S372" s="2"/>
      <c r="T372" s="1"/>
      <c r="U372" s="1" t="str">
        <f t="shared" si="23"/>
        <v/>
      </c>
    </row>
    <row r="373" spans="1:21" ht="18" customHeight="1" x14ac:dyDescent="0.3">
      <c r="A373" s="2"/>
      <c r="B373" s="65" t="str">
        <f t="shared" si="20"/>
        <v/>
      </c>
      <c r="C373" s="60"/>
      <c r="D373" s="65" t="str">
        <f>IF($E373="","",IFERROR(INDEX(MUSTERILER!$B$7:$B$156,MATCH($U373,MUSTERILER!$T$7:$T$156,0)),IFERROR(INDEX(MUSTERILER!$B$7:$B$156,MATCH($E373,MUSTERILER!$B$7:$B$156,0)),IFERROR(INDEX(MUSTERILER!$B$7:$B$156,MATCH($U373&amp;"*",MUSTERILER!$T$7:$T$156,0)),"TANIMSIZ MÜŞTERİ"))))</f>
        <v/>
      </c>
      <c r="E373" s="61"/>
      <c r="F373" s="61"/>
      <c r="G373" s="60"/>
      <c r="H373" s="66"/>
      <c r="I373" s="66"/>
      <c r="J373" s="60"/>
      <c r="K373" s="60"/>
      <c r="L373" s="61"/>
      <c r="M373" s="61"/>
      <c r="N373" s="61"/>
      <c r="O373" s="66"/>
      <c r="P373" s="76" t="str">
        <f t="shared" ca="1" si="21"/>
        <v/>
      </c>
      <c r="Q373" s="65" t="str">
        <f t="shared" ca="1" si="22"/>
        <v/>
      </c>
      <c r="R373" s="2"/>
      <c r="S373" s="2"/>
      <c r="T373" s="1"/>
      <c r="U373" s="1" t="str">
        <f t="shared" si="23"/>
        <v/>
      </c>
    </row>
    <row r="374" spans="1:21" ht="18" customHeight="1" x14ac:dyDescent="0.3">
      <c r="A374" s="2"/>
      <c r="B374" s="65" t="str">
        <f t="shared" si="20"/>
        <v/>
      </c>
      <c r="C374" s="60"/>
      <c r="D374" s="65" t="str">
        <f>IF($E374="","",IFERROR(INDEX(MUSTERILER!$B$7:$B$156,MATCH($U374,MUSTERILER!$T$7:$T$156,0)),IFERROR(INDEX(MUSTERILER!$B$7:$B$156,MATCH($E374,MUSTERILER!$B$7:$B$156,0)),IFERROR(INDEX(MUSTERILER!$B$7:$B$156,MATCH($U374&amp;"*",MUSTERILER!$T$7:$T$156,0)),"TANIMSIZ MÜŞTERİ"))))</f>
        <v/>
      </c>
      <c r="E374" s="61"/>
      <c r="F374" s="61"/>
      <c r="G374" s="60"/>
      <c r="H374" s="66"/>
      <c r="I374" s="66"/>
      <c r="J374" s="60"/>
      <c r="K374" s="60"/>
      <c r="L374" s="61"/>
      <c r="M374" s="61"/>
      <c r="N374" s="61"/>
      <c r="O374" s="66"/>
      <c r="P374" s="76" t="str">
        <f t="shared" ca="1" si="21"/>
        <v/>
      </c>
      <c r="Q374" s="65" t="str">
        <f t="shared" ca="1" si="22"/>
        <v/>
      </c>
      <c r="R374" s="2"/>
      <c r="S374" s="2"/>
      <c r="T374" s="1"/>
      <c r="U374" s="1" t="str">
        <f t="shared" si="23"/>
        <v/>
      </c>
    </row>
    <row r="375" spans="1:21" ht="18" customHeight="1" x14ac:dyDescent="0.3">
      <c r="A375" s="2"/>
      <c r="B375" s="65" t="str">
        <f t="shared" si="20"/>
        <v/>
      </c>
      <c r="C375" s="60"/>
      <c r="D375" s="65" t="str">
        <f>IF($E375="","",IFERROR(INDEX(MUSTERILER!$B$7:$B$156,MATCH($U375,MUSTERILER!$T$7:$T$156,0)),IFERROR(INDEX(MUSTERILER!$B$7:$B$156,MATCH($E375,MUSTERILER!$B$7:$B$156,0)),IFERROR(INDEX(MUSTERILER!$B$7:$B$156,MATCH($U375&amp;"*",MUSTERILER!$T$7:$T$156,0)),"TANIMSIZ MÜŞTERİ"))))</f>
        <v/>
      </c>
      <c r="E375" s="61"/>
      <c r="F375" s="61"/>
      <c r="G375" s="60"/>
      <c r="H375" s="66"/>
      <c r="I375" s="66"/>
      <c r="J375" s="60"/>
      <c r="K375" s="60"/>
      <c r="L375" s="61"/>
      <c r="M375" s="61"/>
      <c r="N375" s="61"/>
      <c r="O375" s="66"/>
      <c r="P375" s="76" t="str">
        <f t="shared" ca="1" si="21"/>
        <v/>
      </c>
      <c r="Q375" s="65" t="str">
        <f t="shared" ca="1" si="22"/>
        <v/>
      </c>
      <c r="R375" s="2"/>
      <c r="S375" s="2"/>
      <c r="T375" s="1"/>
      <c r="U375" s="1" t="str">
        <f t="shared" si="23"/>
        <v/>
      </c>
    </row>
    <row r="376" spans="1:21" ht="18" customHeight="1" x14ac:dyDescent="0.3">
      <c r="A376" s="2"/>
      <c r="B376" s="65" t="str">
        <f t="shared" si="20"/>
        <v/>
      </c>
      <c r="C376" s="60"/>
      <c r="D376" s="65" t="str">
        <f>IF($E376="","",IFERROR(INDEX(MUSTERILER!$B$7:$B$156,MATCH($U376,MUSTERILER!$T$7:$T$156,0)),IFERROR(INDEX(MUSTERILER!$B$7:$B$156,MATCH($E376,MUSTERILER!$B$7:$B$156,0)),IFERROR(INDEX(MUSTERILER!$B$7:$B$156,MATCH($U376&amp;"*",MUSTERILER!$T$7:$T$156,0)),"TANIMSIZ MÜŞTERİ"))))</f>
        <v/>
      </c>
      <c r="E376" s="61"/>
      <c r="F376" s="61"/>
      <c r="G376" s="60"/>
      <c r="H376" s="66"/>
      <c r="I376" s="66"/>
      <c r="J376" s="60"/>
      <c r="K376" s="60"/>
      <c r="L376" s="61"/>
      <c r="M376" s="61"/>
      <c r="N376" s="61"/>
      <c r="O376" s="66"/>
      <c r="P376" s="76" t="str">
        <f t="shared" ca="1" si="21"/>
        <v/>
      </c>
      <c r="Q376" s="65" t="str">
        <f t="shared" ca="1" si="22"/>
        <v/>
      </c>
      <c r="R376" s="2"/>
      <c r="S376" s="2"/>
      <c r="T376" s="1"/>
      <c r="U376" s="1" t="str">
        <f t="shared" si="23"/>
        <v/>
      </c>
    </row>
    <row r="377" spans="1:21" ht="18" customHeight="1" x14ac:dyDescent="0.3">
      <c r="A377" s="2"/>
      <c r="B377" s="65" t="str">
        <f t="shared" si="20"/>
        <v/>
      </c>
      <c r="C377" s="60"/>
      <c r="D377" s="65" t="str">
        <f>IF($E377="","",IFERROR(INDEX(MUSTERILER!$B$7:$B$156,MATCH($U377,MUSTERILER!$T$7:$T$156,0)),IFERROR(INDEX(MUSTERILER!$B$7:$B$156,MATCH($E377,MUSTERILER!$B$7:$B$156,0)),IFERROR(INDEX(MUSTERILER!$B$7:$B$156,MATCH($U377&amp;"*",MUSTERILER!$T$7:$T$156,0)),"TANIMSIZ MÜŞTERİ"))))</f>
        <v/>
      </c>
      <c r="E377" s="61"/>
      <c r="F377" s="61"/>
      <c r="G377" s="60"/>
      <c r="H377" s="66"/>
      <c r="I377" s="66"/>
      <c r="J377" s="60"/>
      <c r="K377" s="60"/>
      <c r="L377" s="61"/>
      <c r="M377" s="61"/>
      <c r="N377" s="61"/>
      <c r="O377" s="66"/>
      <c r="P377" s="76" t="str">
        <f t="shared" ca="1" si="21"/>
        <v/>
      </c>
      <c r="Q377" s="65" t="str">
        <f t="shared" ca="1" si="22"/>
        <v/>
      </c>
      <c r="R377" s="2"/>
      <c r="S377" s="2"/>
      <c r="T377" s="1"/>
      <c r="U377" s="1" t="str">
        <f t="shared" si="23"/>
        <v/>
      </c>
    </row>
    <row r="378" spans="1:21" ht="18" customHeight="1" x14ac:dyDescent="0.3">
      <c r="A378" s="2"/>
      <c r="B378" s="65" t="str">
        <f t="shared" si="20"/>
        <v/>
      </c>
      <c r="C378" s="60"/>
      <c r="D378" s="65" t="str">
        <f>IF($E378="","",IFERROR(INDEX(MUSTERILER!$B$7:$B$156,MATCH($U378,MUSTERILER!$T$7:$T$156,0)),IFERROR(INDEX(MUSTERILER!$B$7:$B$156,MATCH($E378,MUSTERILER!$B$7:$B$156,0)),IFERROR(INDEX(MUSTERILER!$B$7:$B$156,MATCH($U378&amp;"*",MUSTERILER!$T$7:$T$156,0)),"TANIMSIZ MÜŞTERİ"))))</f>
        <v/>
      </c>
      <c r="E378" s="61"/>
      <c r="F378" s="61"/>
      <c r="G378" s="60"/>
      <c r="H378" s="66"/>
      <c r="I378" s="66"/>
      <c r="J378" s="60"/>
      <c r="K378" s="60"/>
      <c r="L378" s="61"/>
      <c r="M378" s="61"/>
      <c r="N378" s="61"/>
      <c r="O378" s="66"/>
      <c r="P378" s="76" t="str">
        <f t="shared" ca="1" si="21"/>
        <v/>
      </c>
      <c r="Q378" s="65" t="str">
        <f t="shared" ca="1" si="22"/>
        <v/>
      </c>
      <c r="R378" s="2"/>
      <c r="S378" s="2"/>
      <c r="T378" s="1"/>
      <c r="U378" s="1" t="str">
        <f t="shared" si="23"/>
        <v/>
      </c>
    </row>
    <row r="379" spans="1:21" ht="18" customHeight="1" x14ac:dyDescent="0.3">
      <c r="A379" s="2"/>
      <c r="B379" s="65" t="str">
        <f t="shared" si="20"/>
        <v/>
      </c>
      <c r="C379" s="60"/>
      <c r="D379" s="65" t="str">
        <f>IF($E379="","",IFERROR(INDEX(MUSTERILER!$B$7:$B$156,MATCH($U379,MUSTERILER!$T$7:$T$156,0)),IFERROR(INDEX(MUSTERILER!$B$7:$B$156,MATCH($E379,MUSTERILER!$B$7:$B$156,0)),IFERROR(INDEX(MUSTERILER!$B$7:$B$156,MATCH($U379&amp;"*",MUSTERILER!$T$7:$T$156,0)),"TANIMSIZ MÜŞTERİ"))))</f>
        <v/>
      </c>
      <c r="E379" s="61"/>
      <c r="F379" s="61"/>
      <c r="G379" s="60"/>
      <c r="H379" s="66"/>
      <c r="I379" s="66"/>
      <c r="J379" s="60"/>
      <c r="K379" s="60"/>
      <c r="L379" s="61"/>
      <c r="M379" s="61"/>
      <c r="N379" s="61"/>
      <c r="O379" s="66"/>
      <c r="P379" s="76" t="str">
        <f t="shared" ca="1" si="21"/>
        <v/>
      </c>
      <c r="Q379" s="65" t="str">
        <f t="shared" ca="1" si="22"/>
        <v/>
      </c>
      <c r="R379" s="2"/>
      <c r="S379" s="2"/>
      <c r="T379" s="1"/>
      <c r="U379" s="1" t="str">
        <f t="shared" si="23"/>
        <v/>
      </c>
    </row>
    <row r="380" spans="1:21" ht="18" customHeight="1" x14ac:dyDescent="0.3">
      <c r="A380" s="2"/>
      <c r="B380" s="65" t="str">
        <f t="shared" si="20"/>
        <v/>
      </c>
      <c r="C380" s="60"/>
      <c r="D380" s="65" t="str">
        <f>IF($E380="","",IFERROR(INDEX(MUSTERILER!$B$7:$B$156,MATCH($U380,MUSTERILER!$T$7:$T$156,0)),IFERROR(INDEX(MUSTERILER!$B$7:$B$156,MATCH($E380,MUSTERILER!$B$7:$B$156,0)),IFERROR(INDEX(MUSTERILER!$B$7:$B$156,MATCH($U380&amp;"*",MUSTERILER!$T$7:$T$156,0)),"TANIMSIZ MÜŞTERİ"))))</f>
        <v/>
      </c>
      <c r="E380" s="61"/>
      <c r="F380" s="61"/>
      <c r="G380" s="60"/>
      <c r="H380" s="66"/>
      <c r="I380" s="66"/>
      <c r="J380" s="60"/>
      <c r="K380" s="60"/>
      <c r="L380" s="61"/>
      <c r="M380" s="61"/>
      <c r="N380" s="61"/>
      <c r="O380" s="66"/>
      <c r="P380" s="76" t="str">
        <f t="shared" ca="1" si="21"/>
        <v/>
      </c>
      <c r="Q380" s="65" t="str">
        <f t="shared" ca="1" si="22"/>
        <v/>
      </c>
      <c r="R380" s="2"/>
      <c r="S380" s="2"/>
      <c r="T380" s="1"/>
      <c r="U380" s="1" t="str">
        <f t="shared" si="23"/>
        <v/>
      </c>
    </row>
    <row r="381" spans="1:21" ht="18" customHeight="1" x14ac:dyDescent="0.3">
      <c r="A381" s="2"/>
      <c r="B381" s="65" t="str">
        <f t="shared" si="20"/>
        <v/>
      </c>
      <c r="C381" s="60"/>
      <c r="D381" s="65" t="str">
        <f>IF($E381="","",IFERROR(INDEX(MUSTERILER!$B$7:$B$156,MATCH($U381,MUSTERILER!$T$7:$T$156,0)),IFERROR(INDEX(MUSTERILER!$B$7:$B$156,MATCH($E381,MUSTERILER!$B$7:$B$156,0)),IFERROR(INDEX(MUSTERILER!$B$7:$B$156,MATCH($U381&amp;"*",MUSTERILER!$T$7:$T$156,0)),"TANIMSIZ MÜŞTERİ"))))</f>
        <v/>
      </c>
      <c r="E381" s="61"/>
      <c r="F381" s="61"/>
      <c r="G381" s="60"/>
      <c r="H381" s="66"/>
      <c r="I381" s="66"/>
      <c r="J381" s="60"/>
      <c r="K381" s="60"/>
      <c r="L381" s="61"/>
      <c r="M381" s="61"/>
      <c r="N381" s="61"/>
      <c r="O381" s="66"/>
      <c r="P381" s="76" t="str">
        <f t="shared" ca="1" si="21"/>
        <v/>
      </c>
      <c r="Q381" s="65" t="str">
        <f t="shared" ca="1" si="22"/>
        <v/>
      </c>
      <c r="R381" s="2"/>
      <c r="S381" s="2"/>
      <c r="T381" s="1"/>
      <c r="U381" s="1" t="str">
        <f t="shared" si="23"/>
        <v/>
      </c>
    </row>
    <row r="382" spans="1:21" ht="18" customHeight="1" x14ac:dyDescent="0.3">
      <c r="A382" s="2"/>
      <c r="B382" s="65" t="str">
        <f t="shared" si="20"/>
        <v/>
      </c>
      <c r="C382" s="60"/>
      <c r="D382" s="65" t="str">
        <f>IF($E382="","",IFERROR(INDEX(MUSTERILER!$B$7:$B$156,MATCH($U382,MUSTERILER!$T$7:$T$156,0)),IFERROR(INDEX(MUSTERILER!$B$7:$B$156,MATCH($E382,MUSTERILER!$B$7:$B$156,0)),IFERROR(INDEX(MUSTERILER!$B$7:$B$156,MATCH($U382&amp;"*",MUSTERILER!$T$7:$T$156,0)),"TANIMSIZ MÜŞTERİ"))))</f>
        <v/>
      </c>
      <c r="E382" s="61"/>
      <c r="F382" s="61"/>
      <c r="G382" s="60"/>
      <c r="H382" s="66"/>
      <c r="I382" s="66"/>
      <c r="J382" s="60"/>
      <c r="K382" s="60"/>
      <c r="L382" s="61"/>
      <c r="M382" s="61"/>
      <c r="N382" s="61"/>
      <c r="O382" s="66"/>
      <c r="P382" s="76" t="str">
        <f t="shared" ca="1" si="21"/>
        <v/>
      </c>
      <c r="Q382" s="65" t="str">
        <f t="shared" ca="1" si="22"/>
        <v/>
      </c>
      <c r="R382" s="2"/>
      <c r="S382" s="2"/>
      <c r="T382" s="1"/>
      <c r="U382" s="1" t="str">
        <f t="shared" si="23"/>
        <v/>
      </c>
    </row>
    <row r="383" spans="1:21" ht="18" customHeight="1" x14ac:dyDescent="0.3">
      <c r="A383" s="2"/>
      <c r="B383" s="65" t="str">
        <f t="shared" si="20"/>
        <v/>
      </c>
      <c r="C383" s="60"/>
      <c r="D383" s="65" t="str">
        <f>IF($E383="","",IFERROR(INDEX(MUSTERILER!$B$7:$B$156,MATCH($U383,MUSTERILER!$T$7:$T$156,0)),IFERROR(INDEX(MUSTERILER!$B$7:$B$156,MATCH($E383,MUSTERILER!$B$7:$B$156,0)),IFERROR(INDEX(MUSTERILER!$B$7:$B$156,MATCH($U383&amp;"*",MUSTERILER!$T$7:$T$156,0)),"TANIMSIZ MÜŞTERİ"))))</f>
        <v/>
      </c>
      <c r="E383" s="61"/>
      <c r="F383" s="61"/>
      <c r="G383" s="60"/>
      <c r="H383" s="66"/>
      <c r="I383" s="66"/>
      <c r="J383" s="60"/>
      <c r="K383" s="60"/>
      <c r="L383" s="61"/>
      <c r="M383" s="61"/>
      <c r="N383" s="61"/>
      <c r="O383" s="66"/>
      <c r="P383" s="76" t="str">
        <f t="shared" ca="1" si="21"/>
        <v/>
      </c>
      <c r="Q383" s="65" t="str">
        <f t="shared" ca="1" si="22"/>
        <v/>
      </c>
      <c r="R383" s="2"/>
      <c r="S383" s="2"/>
      <c r="T383" s="1"/>
      <c r="U383" s="1" t="str">
        <f t="shared" si="23"/>
        <v/>
      </c>
    </row>
    <row r="384" spans="1:21" ht="18" customHeight="1" x14ac:dyDescent="0.3">
      <c r="A384" s="2"/>
      <c r="B384" s="65" t="str">
        <f t="shared" si="20"/>
        <v/>
      </c>
      <c r="C384" s="60"/>
      <c r="D384" s="65" t="str">
        <f>IF($E384="","",IFERROR(INDEX(MUSTERILER!$B$7:$B$156,MATCH($U384,MUSTERILER!$T$7:$T$156,0)),IFERROR(INDEX(MUSTERILER!$B$7:$B$156,MATCH($E384,MUSTERILER!$B$7:$B$156,0)),IFERROR(INDEX(MUSTERILER!$B$7:$B$156,MATCH($U384&amp;"*",MUSTERILER!$T$7:$T$156,0)),"TANIMSIZ MÜŞTERİ"))))</f>
        <v/>
      </c>
      <c r="E384" s="61"/>
      <c r="F384" s="61"/>
      <c r="G384" s="60"/>
      <c r="H384" s="66"/>
      <c r="I384" s="66"/>
      <c r="J384" s="60"/>
      <c r="K384" s="60"/>
      <c r="L384" s="61"/>
      <c r="M384" s="61"/>
      <c r="N384" s="61"/>
      <c r="O384" s="66"/>
      <c r="P384" s="76" t="str">
        <f t="shared" ca="1" si="21"/>
        <v/>
      </c>
      <c r="Q384" s="65" t="str">
        <f t="shared" ca="1" si="22"/>
        <v/>
      </c>
      <c r="R384" s="2"/>
      <c r="S384" s="2"/>
      <c r="T384" s="1"/>
      <c r="U384" s="1" t="str">
        <f t="shared" si="23"/>
        <v/>
      </c>
    </row>
    <row r="385" spans="1:21" ht="18" customHeight="1" x14ac:dyDescent="0.3">
      <c r="A385" s="2"/>
      <c r="B385" s="65" t="str">
        <f t="shared" si="20"/>
        <v/>
      </c>
      <c r="C385" s="60"/>
      <c r="D385" s="65" t="str">
        <f>IF($E385="","",IFERROR(INDEX(MUSTERILER!$B$7:$B$156,MATCH($U385,MUSTERILER!$T$7:$T$156,0)),IFERROR(INDEX(MUSTERILER!$B$7:$B$156,MATCH($E385,MUSTERILER!$B$7:$B$156,0)),IFERROR(INDEX(MUSTERILER!$B$7:$B$156,MATCH($U385&amp;"*",MUSTERILER!$T$7:$T$156,0)),"TANIMSIZ MÜŞTERİ"))))</f>
        <v/>
      </c>
      <c r="E385" s="61"/>
      <c r="F385" s="61"/>
      <c r="G385" s="60"/>
      <c r="H385" s="66"/>
      <c r="I385" s="66"/>
      <c r="J385" s="60"/>
      <c r="K385" s="60"/>
      <c r="L385" s="61"/>
      <c r="M385" s="61"/>
      <c r="N385" s="61"/>
      <c r="O385" s="66"/>
      <c r="P385" s="76" t="str">
        <f t="shared" ca="1" si="21"/>
        <v/>
      </c>
      <c r="Q385" s="65" t="str">
        <f t="shared" ca="1" si="22"/>
        <v/>
      </c>
      <c r="R385" s="2"/>
      <c r="S385" s="2"/>
      <c r="T385" s="1"/>
      <c r="U385" s="1" t="str">
        <f t="shared" si="23"/>
        <v/>
      </c>
    </row>
    <row r="386" spans="1:21" ht="18" customHeight="1" x14ac:dyDescent="0.3">
      <c r="A386" s="2"/>
      <c r="B386" s="65" t="str">
        <f t="shared" si="20"/>
        <v/>
      </c>
      <c r="C386" s="60"/>
      <c r="D386" s="65" t="str">
        <f>IF($E386="","",IFERROR(INDEX(MUSTERILER!$B$7:$B$156,MATCH($U386,MUSTERILER!$T$7:$T$156,0)),IFERROR(INDEX(MUSTERILER!$B$7:$B$156,MATCH($E386,MUSTERILER!$B$7:$B$156,0)),IFERROR(INDEX(MUSTERILER!$B$7:$B$156,MATCH($U386&amp;"*",MUSTERILER!$T$7:$T$156,0)),"TANIMSIZ MÜŞTERİ"))))</f>
        <v/>
      </c>
      <c r="E386" s="61"/>
      <c r="F386" s="61"/>
      <c r="G386" s="60"/>
      <c r="H386" s="66"/>
      <c r="I386" s="66"/>
      <c r="J386" s="60"/>
      <c r="K386" s="60"/>
      <c r="L386" s="61"/>
      <c r="M386" s="61"/>
      <c r="N386" s="61"/>
      <c r="O386" s="66"/>
      <c r="P386" s="76" t="str">
        <f t="shared" ca="1" si="21"/>
        <v/>
      </c>
      <c r="Q386" s="65" t="str">
        <f t="shared" ca="1" si="22"/>
        <v/>
      </c>
      <c r="R386" s="2"/>
      <c r="S386" s="2"/>
      <c r="T386" s="1"/>
      <c r="U386" s="1" t="str">
        <f t="shared" si="23"/>
        <v/>
      </c>
    </row>
    <row r="387" spans="1:21" ht="18" customHeight="1" x14ac:dyDescent="0.3">
      <c r="A387" s="2"/>
      <c r="B387" s="65" t="str">
        <f t="shared" si="20"/>
        <v/>
      </c>
      <c r="C387" s="60"/>
      <c r="D387" s="65" t="str">
        <f>IF($E387="","",IFERROR(INDEX(MUSTERILER!$B$7:$B$156,MATCH($U387,MUSTERILER!$T$7:$T$156,0)),IFERROR(INDEX(MUSTERILER!$B$7:$B$156,MATCH($E387,MUSTERILER!$B$7:$B$156,0)),IFERROR(INDEX(MUSTERILER!$B$7:$B$156,MATCH($U387&amp;"*",MUSTERILER!$T$7:$T$156,0)),"TANIMSIZ MÜŞTERİ"))))</f>
        <v/>
      </c>
      <c r="E387" s="61"/>
      <c r="F387" s="61"/>
      <c r="G387" s="60"/>
      <c r="H387" s="66"/>
      <c r="I387" s="66"/>
      <c r="J387" s="60"/>
      <c r="K387" s="60"/>
      <c r="L387" s="61"/>
      <c r="M387" s="61"/>
      <c r="N387" s="61"/>
      <c r="O387" s="66"/>
      <c r="P387" s="76" t="str">
        <f t="shared" ca="1" si="21"/>
        <v/>
      </c>
      <c r="Q387" s="65" t="str">
        <f t="shared" ca="1" si="22"/>
        <v/>
      </c>
      <c r="R387" s="2"/>
      <c r="S387" s="2"/>
      <c r="T387" s="1"/>
      <c r="U387" s="1" t="str">
        <f t="shared" si="23"/>
        <v/>
      </c>
    </row>
    <row r="388" spans="1:21" ht="18" customHeight="1" x14ac:dyDescent="0.3">
      <c r="A388" s="2"/>
      <c r="B388" s="65" t="str">
        <f t="shared" si="20"/>
        <v/>
      </c>
      <c r="C388" s="60"/>
      <c r="D388" s="65" t="str">
        <f>IF($E388="","",IFERROR(INDEX(MUSTERILER!$B$7:$B$156,MATCH($U388,MUSTERILER!$T$7:$T$156,0)),IFERROR(INDEX(MUSTERILER!$B$7:$B$156,MATCH($E388,MUSTERILER!$B$7:$B$156,0)),IFERROR(INDEX(MUSTERILER!$B$7:$B$156,MATCH($U388&amp;"*",MUSTERILER!$T$7:$T$156,0)),"TANIMSIZ MÜŞTERİ"))))</f>
        <v/>
      </c>
      <c r="E388" s="61"/>
      <c r="F388" s="61"/>
      <c r="G388" s="60"/>
      <c r="H388" s="66"/>
      <c r="I388" s="66"/>
      <c r="J388" s="60"/>
      <c r="K388" s="60"/>
      <c r="L388" s="61"/>
      <c r="M388" s="61"/>
      <c r="N388" s="61"/>
      <c r="O388" s="66"/>
      <c r="P388" s="76" t="str">
        <f t="shared" ca="1" si="21"/>
        <v/>
      </c>
      <c r="Q388" s="65" t="str">
        <f t="shared" ca="1" si="22"/>
        <v/>
      </c>
      <c r="R388" s="2"/>
      <c r="S388" s="2"/>
      <c r="T388" s="1"/>
      <c r="U388" s="1" t="str">
        <f t="shared" si="23"/>
        <v/>
      </c>
    </row>
    <row r="389" spans="1:21" ht="18" customHeight="1" x14ac:dyDescent="0.3">
      <c r="A389" s="2"/>
      <c r="B389" s="65" t="str">
        <f t="shared" si="20"/>
        <v/>
      </c>
      <c r="C389" s="60"/>
      <c r="D389" s="65" t="str">
        <f>IF($E389="","",IFERROR(INDEX(MUSTERILER!$B$7:$B$156,MATCH($U389,MUSTERILER!$T$7:$T$156,0)),IFERROR(INDEX(MUSTERILER!$B$7:$B$156,MATCH($E389,MUSTERILER!$B$7:$B$156,0)),IFERROR(INDEX(MUSTERILER!$B$7:$B$156,MATCH($U389&amp;"*",MUSTERILER!$T$7:$T$156,0)),"TANIMSIZ MÜŞTERİ"))))</f>
        <v/>
      </c>
      <c r="E389" s="61"/>
      <c r="F389" s="61"/>
      <c r="G389" s="60"/>
      <c r="H389" s="66"/>
      <c r="I389" s="66"/>
      <c r="J389" s="60"/>
      <c r="K389" s="60"/>
      <c r="L389" s="61"/>
      <c r="M389" s="61"/>
      <c r="N389" s="61"/>
      <c r="O389" s="66"/>
      <c r="P389" s="76" t="str">
        <f t="shared" ca="1" si="21"/>
        <v/>
      </c>
      <c r="Q389" s="65" t="str">
        <f t="shared" ca="1" si="22"/>
        <v/>
      </c>
      <c r="R389" s="2"/>
      <c r="S389" s="2"/>
      <c r="T389" s="1"/>
      <c r="U389" s="1" t="str">
        <f t="shared" si="23"/>
        <v/>
      </c>
    </row>
    <row r="390" spans="1:21" ht="18" customHeight="1" x14ac:dyDescent="0.3">
      <c r="A390" s="2"/>
      <c r="B390" s="65" t="str">
        <f t="shared" si="20"/>
        <v/>
      </c>
      <c r="C390" s="60"/>
      <c r="D390" s="65" t="str">
        <f>IF($E390="","",IFERROR(INDEX(MUSTERILER!$B$7:$B$156,MATCH($U390,MUSTERILER!$T$7:$T$156,0)),IFERROR(INDEX(MUSTERILER!$B$7:$B$156,MATCH($E390,MUSTERILER!$B$7:$B$156,0)),IFERROR(INDEX(MUSTERILER!$B$7:$B$156,MATCH($U390&amp;"*",MUSTERILER!$T$7:$T$156,0)),"TANIMSIZ MÜŞTERİ"))))</f>
        <v/>
      </c>
      <c r="E390" s="61"/>
      <c r="F390" s="61"/>
      <c r="G390" s="60"/>
      <c r="H390" s="66"/>
      <c r="I390" s="66"/>
      <c r="J390" s="60"/>
      <c r="K390" s="60"/>
      <c r="L390" s="61"/>
      <c r="M390" s="61"/>
      <c r="N390" s="61"/>
      <c r="O390" s="66"/>
      <c r="P390" s="76" t="str">
        <f t="shared" ca="1" si="21"/>
        <v/>
      </c>
      <c r="Q390" s="65" t="str">
        <f t="shared" ca="1" si="22"/>
        <v/>
      </c>
      <c r="R390" s="2"/>
      <c r="S390" s="2"/>
      <c r="T390" s="1"/>
      <c r="U390" s="1" t="str">
        <f t="shared" si="23"/>
        <v/>
      </c>
    </row>
    <row r="391" spans="1:21" ht="18" customHeight="1" x14ac:dyDescent="0.3">
      <c r="A391" s="2"/>
      <c r="B391" s="65" t="str">
        <f t="shared" ref="B391:B454" si="24">IF($E391="","","A"&amp;TEXT(ROW()-6,"00000"))</f>
        <v/>
      </c>
      <c r="C391" s="60"/>
      <c r="D391" s="65" t="str">
        <f>IF($E391="","",IFERROR(INDEX(MUSTERILER!$B$7:$B$156,MATCH($U391,MUSTERILER!$T$7:$T$156,0)),IFERROR(INDEX(MUSTERILER!$B$7:$B$156,MATCH($E391,MUSTERILER!$B$7:$B$156,0)),IFERROR(INDEX(MUSTERILER!$B$7:$B$156,MATCH($U391&amp;"*",MUSTERILER!$T$7:$T$156,0)),"TANIMSIZ MÜŞTERİ"))))</f>
        <v/>
      </c>
      <c r="E391" s="61"/>
      <c r="F391" s="61"/>
      <c r="G391" s="60"/>
      <c r="H391" s="66"/>
      <c r="I391" s="66"/>
      <c r="J391" s="60"/>
      <c r="K391" s="60"/>
      <c r="L391" s="61"/>
      <c r="M391" s="61"/>
      <c r="N391" s="61"/>
      <c r="O391" s="66"/>
      <c r="P391" s="76" t="str">
        <f t="shared" ref="P391:P454" ca="1" si="25">IF(OR($E391="",$I391=""),"",IF(OR($J391="Tamamlandı",$J391="İptal"),"",$I391-TODAY()))</f>
        <v/>
      </c>
      <c r="Q391" s="65" t="str">
        <f t="shared" ref="Q391:Q454" ca="1" si="26"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2"/>
      <c r="S391" s="2"/>
      <c r="T391" s="1"/>
      <c r="U391" s="1" t="str">
        <f t="shared" ref="U391:U454" si="27">IF($E391="","",UPPER(SUBSTITUTE(SUBSTITUTE(SUBSTITUTE(SUBSTITUTE(SUBSTITUTE(SUBSTITUTE(SUBSTITUTE(SUBSTITUTE(SUBSTITUTE(SUBSTITUTE(SUBSTITUTE(SUBSTITUTE(SUBSTITUTE(SUBSTITUTE(SUBSTITUTE(SUBSTITUTE(SUBSTITUTE(SUBSTITUTE(TRIM($E391),"'",""),"İ","I"),"ı","I"),"i","I"),"Ş","S"),"ş","S"),"Ğ","G"),"ğ","G"),"Ü","U"),"ü","U"),"Ö","O"),"ö","O"),"Ç","C"),"ç","C"),".",""),",","")," ",""),"-","")))</f>
        <v/>
      </c>
    </row>
    <row r="392" spans="1:21" ht="18" customHeight="1" x14ac:dyDescent="0.3">
      <c r="A392" s="2"/>
      <c r="B392" s="65" t="str">
        <f t="shared" si="24"/>
        <v/>
      </c>
      <c r="C392" s="60"/>
      <c r="D392" s="65" t="str">
        <f>IF($E392="","",IFERROR(INDEX(MUSTERILER!$B$7:$B$156,MATCH($U392,MUSTERILER!$T$7:$T$156,0)),IFERROR(INDEX(MUSTERILER!$B$7:$B$156,MATCH($E392,MUSTERILER!$B$7:$B$156,0)),IFERROR(INDEX(MUSTERILER!$B$7:$B$156,MATCH($U392&amp;"*",MUSTERILER!$T$7:$T$156,0)),"TANIMSIZ MÜŞTERİ"))))</f>
        <v/>
      </c>
      <c r="E392" s="61"/>
      <c r="F392" s="61"/>
      <c r="G392" s="60"/>
      <c r="H392" s="66"/>
      <c r="I392" s="66"/>
      <c r="J392" s="60"/>
      <c r="K392" s="60"/>
      <c r="L392" s="61"/>
      <c r="M392" s="61"/>
      <c r="N392" s="61"/>
      <c r="O392" s="66"/>
      <c r="P392" s="76" t="str">
        <f t="shared" ca="1" si="25"/>
        <v/>
      </c>
      <c r="Q392" s="65" t="str">
        <f t="shared" ca="1" si="26"/>
        <v/>
      </c>
      <c r="R392" s="2"/>
      <c r="S392" s="2"/>
      <c r="T392" s="1"/>
      <c r="U392" s="1" t="str">
        <f t="shared" si="27"/>
        <v/>
      </c>
    </row>
    <row r="393" spans="1:21" ht="18" customHeight="1" x14ac:dyDescent="0.3">
      <c r="A393" s="2"/>
      <c r="B393" s="65" t="str">
        <f t="shared" si="24"/>
        <v/>
      </c>
      <c r="C393" s="60"/>
      <c r="D393" s="65" t="str">
        <f>IF($E393="","",IFERROR(INDEX(MUSTERILER!$B$7:$B$156,MATCH($U393,MUSTERILER!$T$7:$T$156,0)),IFERROR(INDEX(MUSTERILER!$B$7:$B$156,MATCH($E393,MUSTERILER!$B$7:$B$156,0)),IFERROR(INDEX(MUSTERILER!$B$7:$B$156,MATCH($U393&amp;"*",MUSTERILER!$T$7:$T$156,0)),"TANIMSIZ MÜŞTERİ"))))</f>
        <v/>
      </c>
      <c r="E393" s="61"/>
      <c r="F393" s="61"/>
      <c r="G393" s="60"/>
      <c r="H393" s="66"/>
      <c r="I393" s="66"/>
      <c r="J393" s="60"/>
      <c r="K393" s="60"/>
      <c r="L393" s="61"/>
      <c r="M393" s="61"/>
      <c r="N393" s="61"/>
      <c r="O393" s="66"/>
      <c r="P393" s="76" t="str">
        <f t="shared" ca="1" si="25"/>
        <v/>
      </c>
      <c r="Q393" s="65" t="str">
        <f t="shared" ca="1" si="26"/>
        <v/>
      </c>
      <c r="R393" s="2"/>
      <c r="S393" s="2"/>
      <c r="T393" s="1"/>
      <c r="U393" s="1" t="str">
        <f t="shared" si="27"/>
        <v/>
      </c>
    </row>
    <row r="394" spans="1:21" ht="18" customHeight="1" x14ac:dyDescent="0.3">
      <c r="A394" s="2"/>
      <c r="B394" s="65" t="str">
        <f t="shared" si="24"/>
        <v/>
      </c>
      <c r="C394" s="60"/>
      <c r="D394" s="65" t="str">
        <f>IF($E394="","",IFERROR(INDEX(MUSTERILER!$B$7:$B$156,MATCH($U394,MUSTERILER!$T$7:$T$156,0)),IFERROR(INDEX(MUSTERILER!$B$7:$B$156,MATCH($E394,MUSTERILER!$B$7:$B$156,0)),IFERROR(INDEX(MUSTERILER!$B$7:$B$156,MATCH($U394&amp;"*",MUSTERILER!$T$7:$T$156,0)),"TANIMSIZ MÜŞTERİ"))))</f>
        <v/>
      </c>
      <c r="E394" s="61"/>
      <c r="F394" s="61"/>
      <c r="G394" s="60"/>
      <c r="H394" s="66"/>
      <c r="I394" s="66"/>
      <c r="J394" s="60"/>
      <c r="K394" s="60"/>
      <c r="L394" s="61"/>
      <c r="M394" s="61"/>
      <c r="N394" s="61"/>
      <c r="O394" s="66"/>
      <c r="P394" s="76" t="str">
        <f t="shared" ca="1" si="25"/>
        <v/>
      </c>
      <c r="Q394" s="65" t="str">
        <f t="shared" ca="1" si="26"/>
        <v/>
      </c>
      <c r="R394" s="2"/>
      <c r="S394" s="2"/>
      <c r="T394" s="1"/>
      <c r="U394" s="1" t="str">
        <f t="shared" si="27"/>
        <v/>
      </c>
    </row>
    <row r="395" spans="1:21" ht="18" customHeight="1" x14ac:dyDescent="0.3">
      <c r="A395" s="2"/>
      <c r="B395" s="65" t="str">
        <f t="shared" si="24"/>
        <v/>
      </c>
      <c r="C395" s="60"/>
      <c r="D395" s="65" t="str">
        <f>IF($E395="","",IFERROR(INDEX(MUSTERILER!$B$7:$B$156,MATCH($U395,MUSTERILER!$T$7:$T$156,0)),IFERROR(INDEX(MUSTERILER!$B$7:$B$156,MATCH($E395,MUSTERILER!$B$7:$B$156,0)),IFERROR(INDEX(MUSTERILER!$B$7:$B$156,MATCH($U395&amp;"*",MUSTERILER!$T$7:$T$156,0)),"TANIMSIZ MÜŞTERİ"))))</f>
        <v/>
      </c>
      <c r="E395" s="61"/>
      <c r="F395" s="61"/>
      <c r="G395" s="60"/>
      <c r="H395" s="66"/>
      <c r="I395" s="66"/>
      <c r="J395" s="60"/>
      <c r="K395" s="60"/>
      <c r="L395" s="61"/>
      <c r="M395" s="61"/>
      <c r="N395" s="61"/>
      <c r="O395" s="66"/>
      <c r="P395" s="76" t="str">
        <f t="shared" ca="1" si="25"/>
        <v/>
      </c>
      <c r="Q395" s="65" t="str">
        <f t="shared" ca="1" si="26"/>
        <v/>
      </c>
      <c r="R395" s="2"/>
      <c r="S395" s="2"/>
      <c r="T395" s="1"/>
      <c r="U395" s="1" t="str">
        <f t="shared" si="27"/>
        <v/>
      </c>
    </row>
    <row r="396" spans="1:21" ht="18" customHeight="1" x14ac:dyDescent="0.3">
      <c r="A396" s="2"/>
      <c r="B396" s="65" t="str">
        <f t="shared" si="24"/>
        <v/>
      </c>
      <c r="C396" s="60"/>
      <c r="D396" s="65" t="str">
        <f>IF($E396="","",IFERROR(INDEX(MUSTERILER!$B$7:$B$156,MATCH($U396,MUSTERILER!$T$7:$T$156,0)),IFERROR(INDEX(MUSTERILER!$B$7:$B$156,MATCH($E396,MUSTERILER!$B$7:$B$156,0)),IFERROR(INDEX(MUSTERILER!$B$7:$B$156,MATCH($U396&amp;"*",MUSTERILER!$T$7:$T$156,0)),"TANIMSIZ MÜŞTERİ"))))</f>
        <v/>
      </c>
      <c r="E396" s="61"/>
      <c r="F396" s="61"/>
      <c r="G396" s="60"/>
      <c r="H396" s="66"/>
      <c r="I396" s="66"/>
      <c r="J396" s="60"/>
      <c r="K396" s="60"/>
      <c r="L396" s="61"/>
      <c r="M396" s="61"/>
      <c r="N396" s="61"/>
      <c r="O396" s="66"/>
      <c r="P396" s="76" t="str">
        <f t="shared" ca="1" si="25"/>
        <v/>
      </c>
      <c r="Q396" s="65" t="str">
        <f t="shared" ca="1" si="26"/>
        <v/>
      </c>
      <c r="R396" s="2"/>
      <c r="S396" s="2"/>
      <c r="T396" s="1"/>
      <c r="U396" s="1" t="str">
        <f t="shared" si="27"/>
        <v/>
      </c>
    </row>
    <row r="397" spans="1:21" ht="18" customHeight="1" x14ac:dyDescent="0.3">
      <c r="A397" s="2"/>
      <c r="B397" s="65" t="str">
        <f t="shared" si="24"/>
        <v/>
      </c>
      <c r="C397" s="60"/>
      <c r="D397" s="65" t="str">
        <f>IF($E397="","",IFERROR(INDEX(MUSTERILER!$B$7:$B$156,MATCH($U397,MUSTERILER!$T$7:$T$156,0)),IFERROR(INDEX(MUSTERILER!$B$7:$B$156,MATCH($E397,MUSTERILER!$B$7:$B$156,0)),IFERROR(INDEX(MUSTERILER!$B$7:$B$156,MATCH($U397&amp;"*",MUSTERILER!$T$7:$T$156,0)),"TANIMSIZ MÜŞTERİ"))))</f>
        <v/>
      </c>
      <c r="E397" s="61"/>
      <c r="F397" s="61"/>
      <c r="G397" s="60"/>
      <c r="H397" s="66"/>
      <c r="I397" s="66"/>
      <c r="J397" s="60"/>
      <c r="K397" s="60"/>
      <c r="L397" s="61"/>
      <c r="M397" s="61"/>
      <c r="N397" s="61"/>
      <c r="O397" s="66"/>
      <c r="P397" s="76" t="str">
        <f t="shared" ca="1" si="25"/>
        <v/>
      </c>
      <c r="Q397" s="65" t="str">
        <f t="shared" ca="1" si="26"/>
        <v/>
      </c>
      <c r="R397" s="2"/>
      <c r="S397" s="2"/>
      <c r="T397" s="1"/>
      <c r="U397" s="1" t="str">
        <f t="shared" si="27"/>
        <v/>
      </c>
    </row>
    <row r="398" spans="1:21" ht="18" customHeight="1" x14ac:dyDescent="0.3">
      <c r="A398" s="2"/>
      <c r="B398" s="65" t="str">
        <f t="shared" si="24"/>
        <v/>
      </c>
      <c r="C398" s="60"/>
      <c r="D398" s="65" t="str">
        <f>IF($E398="","",IFERROR(INDEX(MUSTERILER!$B$7:$B$156,MATCH($U398,MUSTERILER!$T$7:$T$156,0)),IFERROR(INDEX(MUSTERILER!$B$7:$B$156,MATCH($E398,MUSTERILER!$B$7:$B$156,0)),IFERROR(INDEX(MUSTERILER!$B$7:$B$156,MATCH($U398&amp;"*",MUSTERILER!$T$7:$T$156,0)),"TANIMSIZ MÜŞTERİ"))))</f>
        <v/>
      </c>
      <c r="E398" s="61"/>
      <c r="F398" s="61"/>
      <c r="G398" s="60"/>
      <c r="H398" s="66"/>
      <c r="I398" s="66"/>
      <c r="J398" s="60"/>
      <c r="K398" s="60"/>
      <c r="L398" s="61"/>
      <c r="M398" s="61"/>
      <c r="N398" s="61"/>
      <c r="O398" s="66"/>
      <c r="P398" s="76" t="str">
        <f t="shared" ca="1" si="25"/>
        <v/>
      </c>
      <c r="Q398" s="65" t="str">
        <f t="shared" ca="1" si="26"/>
        <v/>
      </c>
      <c r="R398" s="2"/>
      <c r="S398" s="2"/>
      <c r="T398" s="1"/>
      <c r="U398" s="1" t="str">
        <f t="shared" si="27"/>
        <v/>
      </c>
    </row>
    <row r="399" spans="1:21" ht="18" customHeight="1" x14ac:dyDescent="0.3">
      <c r="A399" s="2"/>
      <c r="B399" s="65" t="str">
        <f t="shared" si="24"/>
        <v/>
      </c>
      <c r="C399" s="60"/>
      <c r="D399" s="65" t="str">
        <f>IF($E399="","",IFERROR(INDEX(MUSTERILER!$B$7:$B$156,MATCH($U399,MUSTERILER!$T$7:$T$156,0)),IFERROR(INDEX(MUSTERILER!$B$7:$B$156,MATCH($E399,MUSTERILER!$B$7:$B$156,0)),IFERROR(INDEX(MUSTERILER!$B$7:$B$156,MATCH($U399&amp;"*",MUSTERILER!$T$7:$T$156,0)),"TANIMSIZ MÜŞTERİ"))))</f>
        <v/>
      </c>
      <c r="E399" s="61"/>
      <c r="F399" s="61"/>
      <c r="G399" s="60"/>
      <c r="H399" s="66"/>
      <c r="I399" s="66"/>
      <c r="J399" s="60"/>
      <c r="K399" s="60"/>
      <c r="L399" s="61"/>
      <c r="M399" s="61"/>
      <c r="N399" s="61"/>
      <c r="O399" s="66"/>
      <c r="P399" s="76" t="str">
        <f t="shared" ca="1" si="25"/>
        <v/>
      </c>
      <c r="Q399" s="65" t="str">
        <f t="shared" ca="1" si="26"/>
        <v/>
      </c>
      <c r="R399" s="2"/>
      <c r="S399" s="2"/>
      <c r="T399" s="1"/>
      <c r="U399" s="1" t="str">
        <f t="shared" si="27"/>
        <v/>
      </c>
    </row>
    <row r="400" spans="1:21" ht="18" customHeight="1" x14ac:dyDescent="0.3">
      <c r="A400" s="2"/>
      <c r="B400" s="65" t="str">
        <f t="shared" si="24"/>
        <v/>
      </c>
      <c r="C400" s="60"/>
      <c r="D400" s="65" t="str">
        <f>IF($E400="","",IFERROR(INDEX(MUSTERILER!$B$7:$B$156,MATCH($U400,MUSTERILER!$T$7:$T$156,0)),IFERROR(INDEX(MUSTERILER!$B$7:$B$156,MATCH($E400,MUSTERILER!$B$7:$B$156,0)),IFERROR(INDEX(MUSTERILER!$B$7:$B$156,MATCH($U400&amp;"*",MUSTERILER!$T$7:$T$156,0)),"TANIMSIZ MÜŞTERİ"))))</f>
        <v/>
      </c>
      <c r="E400" s="61"/>
      <c r="F400" s="61"/>
      <c r="G400" s="60"/>
      <c r="H400" s="66"/>
      <c r="I400" s="66"/>
      <c r="J400" s="60"/>
      <c r="K400" s="60"/>
      <c r="L400" s="61"/>
      <c r="M400" s="61"/>
      <c r="N400" s="61"/>
      <c r="O400" s="66"/>
      <c r="P400" s="76" t="str">
        <f t="shared" ca="1" si="25"/>
        <v/>
      </c>
      <c r="Q400" s="65" t="str">
        <f t="shared" ca="1" si="26"/>
        <v/>
      </c>
      <c r="R400" s="2"/>
      <c r="S400" s="2"/>
      <c r="T400" s="1"/>
      <c r="U400" s="1" t="str">
        <f t="shared" si="27"/>
        <v/>
      </c>
    </row>
    <row r="401" spans="1:21" ht="18" customHeight="1" x14ac:dyDescent="0.3">
      <c r="A401" s="2"/>
      <c r="B401" s="65" t="str">
        <f t="shared" si="24"/>
        <v/>
      </c>
      <c r="C401" s="60"/>
      <c r="D401" s="65" t="str">
        <f>IF($E401="","",IFERROR(INDEX(MUSTERILER!$B$7:$B$156,MATCH($U401,MUSTERILER!$T$7:$T$156,0)),IFERROR(INDEX(MUSTERILER!$B$7:$B$156,MATCH($E401,MUSTERILER!$B$7:$B$156,0)),IFERROR(INDEX(MUSTERILER!$B$7:$B$156,MATCH($U401&amp;"*",MUSTERILER!$T$7:$T$156,0)),"TANIMSIZ MÜŞTERİ"))))</f>
        <v/>
      </c>
      <c r="E401" s="61"/>
      <c r="F401" s="61"/>
      <c r="G401" s="60"/>
      <c r="H401" s="66"/>
      <c r="I401" s="66"/>
      <c r="J401" s="60"/>
      <c r="K401" s="60"/>
      <c r="L401" s="61"/>
      <c r="M401" s="61"/>
      <c r="N401" s="61"/>
      <c r="O401" s="66"/>
      <c r="P401" s="76" t="str">
        <f t="shared" ca="1" si="25"/>
        <v/>
      </c>
      <c r="Q401" s="65" t="str">
        <f t="shared" ca="1" si="26"/>
        <v/>
      </c>
      <c r="R401" s="2"/>
      <c r="S401" s="2"/>
      <c r="T401" s="1"/>
      <c r="U401" s="1" t="str">
        <f t="shared" si="27"/>
        <v/>
      </c>
    </row>
    <row r="402" spans="1:21" ht="18" customHeight="1" x14ac:dyDescent="0.3">
      <c r="A402" s="2"/>
      <c r="B402" s="65" t="str">
        <f t="shared" si="24"/>
        <v/>
      </c>
      <c r="C402" s="60"/>
      <c r="D402" s="65" t="str">
        <f>IF($E402="","",IFERROR(INDEX(MUSTERILER!$B$7:$B$156,MATCH($U402,MUSTERILER!$T$7:$T$156,0)),IFERROR(INDEX(MUSTERILER!$B$7:$B$156,MATCH($E402,MUSTERILER!$B$7:$B$156,0)),IFERROR(INDEX(MUSTERILER!$B$7:$B$156,MATCH($U402&amp;"*",MUSTERILER!$T$7:$T$156,0)),"TANIMSIZ MÜŞTERİ"))))</f>
        <v/>
      </c>
      <c r="E402" s="61"/>
      <c r="F402" s="61"/>
      <c r="G402" s="60"/>
      <c r="H402" s="66"/>
      <c r="I402" s="66"/>
      <c r="J402" s="60"/>
      <c r="K402" s="60"/>
      <c r="L402" s="61"/>
      <c r="M402" s="61"/>
      <c r="N402" s="61"/>
      <c r="O402" s="66"/>
      <c r="P402" s="76" t="str">
        <f t="shared" ca="1" si="25"/>
        <v/>
      </c>
      <c r="Q402" s="65" t="str">
        <f t="shared" ca="1" si="26"/>
        <v/>
      </c>
      <c r="R402" s="2"/>
      <c r="S402" s="2"/>
      <c r="T402" s="1"/>
      <c r="U402" s="1" t="str">
        <f t="shared" si="27"/>
        <v/>
      </c>
    </row>
    <row r="403" spans="1:21" ht="18" customHeight="1" x14ac:dyDescent="0.3">
      <c r="A403" s="2"/>
      <c r="B403" s="65" t="str">
        <f t="shared" si="24"/>
        <v/>
      </c>
      <c r="C403" s="60"/>
      <c r="D403" s="65" t="str">
        <f>IF($E403="","",IFERROR(INDEX(MUSTERILER!$B$7:$B$156,MATCH($U403,MUSTERILER!$T$7:$T$156,0)),IFERROR(INDEX(MUSTERILER!$B$7:$B$156,MATCH($E403,MUSTERILER!$B$7:$B$156,0)),IFERROR(INDEX(MUSTERILER!$B$7:$B$156,MATCH($U403&amp;"*",MUSTERILER!$T$7:$T$156,0)),"TANIMSIZ MÜŞTERİ"))))</f>
        <v/>
      </c>
      <c r="E403" s="61"/>
      <c r="F403" s="61"/>
      <c r="G403" s="60"/>
      <c r="H403" s="66"/>
      <c r="I403" s="66"/>
      <c r="J403" s="60"/>
      <c r="K403" s="60"/>
      <c r="L403" s="61"/>
      <c r="M403" s="61"/>
      <c r="N403" s="61"/>
      <c r="O403" s="66"/>
      <c r="P403" s="76" t="str">
        <f t="shared" ca="1" si="25"/>
        <v/>
      </c>
      <c r="Q403" s="65" t="str">
        <f t="shared" ca="1" si="26"/>
        <v/>
      </c>
      <c r="R403" s="2"/>
      <c r="S403" s="2"/>
      <c r="T403" s="1"/>
      <c r="U403" s="1" t="str">
        <f t="shared" si="27"/>
        <v/>
      </c>
    </row>
    <row r="404" spans="1:21" ht="18" customHeight="1" x14ac:dyDescent="0.3">
      <c r="A404" s="2"/>
      <c r="B404" s="65" t="str">
        <f t="shared" si="24"/>
        <v/>
      </c>
      <c r="C404" s="60"/>
      <c r="D404" s="65" t="str">
        <f>IF($E404="","",IFERROR(INDEX(MUSTERILER!$B$7:$B$156,MATCH($U404,MUSTERILER!$T$7:$T$156,0)),IFERROR(INDEX(MUSTERILER!$B$7:$B$156,MATCH($E404,MUSTERILER!$B$7:$B$156,0)),IFERROR(INDEX(MUSTERILER!$B$7:$B$156,MATCH($U404&amp;"*",MUSTERILER!$T$7:$T$156,0)),"TANIMSIZ MÜŞTERİ"))))</f>
        <v/>
      </c>
      <c r="E404" s="61"/>
      <c r="F404" s="61"/>
      <c r="G404" s="60"/>
      <c r="H404" s="66"/>
      <c r="I404" s="66"/>
      <c r="J404" s="60"/>
      <c r="K404" s="60"/>
      <c r="L404" s="61"/>
      <c r="M404" s="61"/>
      <c r="N404" s="61"/>
      <c r="O404" s="66"/>
      <c r="P404" s="76" t="str">
        <f t="shared" ca="1" si="25"/>
        <v/>
      </c>
      <c r="Q404" s="65" t="str">
        <f t="shared" ca="1" si="26"/>
        <v/>
      </c>
      <c r="R404" s="2"/>
      <c r="S404" s="2"/>
      <c r="T404" s="1"/>
      <c r="U404" s="1" t="str">
        <f t="shared" si="27"/>
        <v/>
      </c>
    </row>
    <row r="405" spans="1:21" ht="18" customHeight="1" x14ac:dyDescent="0.3">
      <c r="A405" s="2"/>
      <c r="B405" s="65" t="str">
        <f t="shared" si="24"/>
        <v/>
      </c>
      <c r="C405" s="60"/>
      <c r="D405" s="65" t="str">
        <f>IF($E405="","",IFERROR(INDEX(MUSTERILER!$B$7:$B$156,MATCH($U405,MUSTERILER!$T$7:$T$156,0)),IFERROR(INDEX(MUSTERILER!$B$7:$B$156,MATCH($E405,MUSTERILER!$B$7:$B$156,0)),IFERROR(INDEX(MUSTERILER!$B$7:$B$156,MATCH($U405&amp;"*",MUSTERILER!$T$7:$T$156,0)),"TANIMSIZ MÜŞTERİ"))))</f>
        <v/>
      </c>
      <c r="E405" s="61"/>
      <c r="F405" s="61"/>
      <c r="G405" s="60"/>
      <c r="H405" s="66"/>
      <c r="I405" s="66"/>
      <c r="J405" s="60"/>
      <c r="K405" s="60"/>
      <c r="L405" s="61"/>
      <c r="M405" s="61"/>
      <c r="N405" s="61"/>
      <c r="O405" s="66"/>
      <c r="P405" s="76" t="str">
        <f t="shared" ca="1" si="25"/>
        <v/>
      </c>
      <c r="Q405" s="65" t="str">
        <f t="shared" ca="1" si="26"/>
        <v/>
      </c>
      <c r="R405" s="2"/>
      <c r="S405" s="2"/>
      <c r="T405" s="1"/>
      <c r="U405" s="1" t="str">
        <f t="shared" si="27"/>
        <v/>
      </c>
    </row>
    <row r="406" spans="1:21" ht="18" customHeight="1" x14ac:dyDescent="0.3">
      <c r="A406" s="2"/>
      <c r="B406" s="65" t="str">
        <f t="shared" si="24"/>
        <v/>
      </c>
      <c r="C406" s="60"/>
      <c r="D406" s="65" t="str">
        <f>IF($E406="","",IFERROR(INDEX(MUSTERILER!$B$7:$B$156,MATCH($U406,MUSTERILER!$T$7:$T$156,0)),IFERROR(INDEX(MUSTERILER!$B$7:$B$156,MATCH($E406,MUSTERILER!$B$7:$B$156,0)),IFERROR(INDEX(MUSTERILER!$B$7:$B$156,MATCH($U406&amp;"*",MUSTERILER!$T$7:$T$156,0)),"TANIMSIZ MÜŞTERİ"))))</f>
        <v/>
      </c>
      <c r="E406" s="61"/>
      <c r="F406" s="61"/>
      <c r="G406" s="60"/>
      <c r="H406" s="66"/>
      <c r="I406" s="66"/>
      <c r="J406" s="60"/>
      <c r="K406" s="60"/>
      <c r="L406" s="61"/>
      <c r="M406" s="61"/>
      <c r="N406" s="61"/>
      <c r="O406" s="66"/>
      <c r="P406" s="76" t="str">
        <f t="shared" ca="1" si="25"/>
        <v/>
      </c>
      <c r="Q406" s="65" t="str">
        <f t="shared" ca="1" si="26"/>
        <v/>
      </c>
      <c r="R406" s="2"/>
      <c r="S406" s="2"/>
      <c r="T406" s="1"/>
      <c r="U406" s="1" t="str">
        <f t="shared" si="27"/>
        <v/>
      </c>
    </row>
    <row r="407" spans="1:21" ht="18" customHeight="1" x14ac:dyDescent="0.3">
      <c r="A407" s="2"/>
      <c r="B407" s="65" t="str">
        <f t="shared" si="24"/>
        <v/>
      </c>
      <c r="C407" s="60"/>
      <c r="D407" s="65" t="str">
        <f>IF($E407="","",IFERROR(INDEX(MUSTERILER!$B$7:$B$156,MATCH($U407,MUSTERILER!$T$7:$T$156,0)),IFERROR(INDEX(MUSTERILER!$B$7:$B$156,MATCH($E407,MUSTERILER!$B$7:$B$156,0)),IFERROR(INDEX(MUSTERILER!$B$7:$B$156,MATCH($U407&amp;"*",MUSTERILER!$T$7:$T$156,0)),"TANIMSIZ MÜŞTERİ"))))</f>
        <v/>
      </c>
      <c r="E407" s="61"/>
      <c r="F407" s="61"/>
      <c r="G407" s="60"/>
      <c r="H407" s="66"/>
      <c r="I407" s="66"/>
      <c r="J407" s="60"/>
      <c r="K407" s="60"/>
      <c r="L407" s="61"/>
      <c r="M407" s="61"/>
      <c r="N407" s="61"/>
      <c r="O407" s="66"/>
      <c r="P407" s="76" t="str">
        <f t="shared" ca="1" si="25"/>
        <v/>
      </c>
      <c r="Q407" s="65" t="str">
        <f t="shared" ca="1" si="26"/>
        <v/>
      </c>
      <c r="R407" s="2"/>
      <c r="S407" s="2"/>
      <c r="T407" s="1"/>
      <c r="U407" s="1" t="str">
        <f t="shared" si="27"/>
        <v/>
      </c>
    </row>
    <row r="408" spans="1:21" ht="18" customHeight="1" x14ac:dyDescent="0.3">
      <c r="A408" s="2"/>
      <c r="B408" s="65" t="str">
        <f t="shared" si="24"/>
        <v/>
      </c>
      <c r="C408" s="60"/>
      <c r="D408" s="65" t="str">
        <f>IF($E408="","",IFERROR(INDEX(MUSTERILER!$B$7:$B$156,MATCH($U408,MUSTERILER!$T$7:$T$156,0)),IFERROR(INDEX(MUSTERILER!$B$7:$B$156,MATCH($E408,MUSTERILER!$B$7:$B$156,0)),IFERROR(INDEX(MUSTERILER!$B$7:$B$156,MATCH($U408&amp;"*",MUSTERILER!$T$7:$T$156,0)),"TANIMSIZ MÜŞTERİ"))))</f>
        <v/>
      </c>
      <c r="E408" s="61"/>
      <c r="F408" s="61"/>
      <c r="G408" s="60"/>
      <c r="H408" s="66"/>
      <c r="I408" s="66"/>
      <c r="J408" s="60"/>
      <c r="K408" s="60"/>
      <c r="L408" s="61"/>
      <c r="M408" s="61"/>
      <c r="N408" s="61"/>
      <c r="O408" s="66"/>
      <c r="P408" s="76" t="str">
        <f t="shared" ca="1" si="25"/>
        <v/>
      </c>
      <c r="Q408" s="65" t="str">
        <f t="shared" ca="1" si="26"/>
        <v/>
      </c>
      <c r="R408" s="2"/>
      <c r="S408" s="2"/>
      <c r="T408" s="1"/>
      <c r="U408" s="1" t="str">
        <f t="shared" si="27"/>
        <v/>
      </c>
    </row>
    <row r="409" spans="1:21" ht="18" customHeight="1" x14ac:dyDescent="0.3">
      <c r="A409" s="2"/>
      <c r="B409" s="65" t="str">
        <f t="shared" si="24"/>
        <v/>
      </c>
      <c r="C409" s="60"/>
      <c r="D409" s="65" t="str">
        <f>IF($E409="","",IFERROR(INDEX(MUSTERILER!$B$7:$B$156,MATCH($U409,MUSTERILER!$T$7:$T$156,0)),IFERROR(INDEX(MUSTERILER!$B$7:$B$156,MATCH($E409,MUSTERILER!$B$7:$B$156,0)),IFERROR(INDEX(MUSTERILER!$B$7:$B$156,MATCH($U409&amp;"*",MUSTERILER!$T$7:$T$156,0)),"TANIMSIZ MÜŞTERİ"))))</f>
        <v/>
      </c>
      <c r="E409" s="61"/>
      <c r="F409" s="61"/>
      <c r="G409" s="60"/>
      <c r="H409" s="66"/>
      <c r="I409" s="66"/>
      <c r="J409" s="60"/>
      <c r="K409" s="60"/>
      <c r="L409" s="61"/>
      <c r="M409" s="61"/>
      <c r="N409" s="61"/>
      <c r="O409" s="66"/>
      <c r="P409" s="76" t="str">
        <f t="shared" ca="1" si="25"/>
        <v/>
      </c>
      <c r="Q409" s="65" t="str">
        <f t="shared" ca="1" si="26"/>
        <v/>
      </c>
      <c r="R409" s="2"/>
      <c r="S409" s="2"/>
      <c r="T409" s="1"/>
      <c r="U409" s="1" t="str">
        <f t="shared" si="27"/>
        <v/>
      </c>
    </row>
    <row r="410" spans="1:21" ht="18" customHeight="1" x14ac:dyDescent="0.3">
      <c r="A410" s="2"/>
      <c r="B410" s="65" t="str">
        <f t="shared" si="24"/>
        <v/>
      </c>
      <c r="C410" s="60"/>
      <c r="D410" s="65" t="str">
        <f>IF($E410="","",IFERROR(INDEX(MUSTERILER!$B$7:$B$156,MATCH($U410,MUSTERILER!$T$7:$T$156,0)),IFERROR(INDEX(MUSTERILER!$B$7:$B$156,MATCH($E410,MUSTERILER!$B$7:$B$156,0)),IFERROR(INDEX(MUSTERILER!$B$7:$B$156,MATCH($U410&amp;"*",MUSTERILER!$T$7:$T$156,0)),"TANIMSIZ MÜŞTERİ"))))</f>
        <v/>
      </c>
      <c r="E410" s="61"/>
      <c r="F410" s="61"/>
      <c r="G410" s="60"/>
      <c r="H410" s="66"/>
      <c r="I410" s="66"/>
      <c r="J410" s="60"/>
      <c r="K410" s="60"/>
      <c r="L410" s="61"/>
      <c r="M410" s="61"/>
      <c r="N410" s="61"/>
      <c r="O410" s="66"/>
      <c r="P410" s="76" t="str">
        <f t="shared" ca="1" si="25"/>
        <v/>
      </c>
      <c r="Q410" s="65" t="str">
        <f t="shared" ca="1" si="26"/>
        <v/>
      </c>
      <c r="R410" s="2"/>
      <c r="S410" s="2"/>
      <c r="T410" s="1"/>
      <c r="U410" s="1" t="str">
        <f t="shared" si="27"/>
        <v/>
      </c>
    </row>
    <row r="411" spans="1:21" ht="18" customHeight="1" x14ac:dyDescent="0.3">
      <c r="A411" s="2"/>
      <c r="B411" s="65" t="str">
        <f t="shared" si="24"/>
        <v/>
      </c>
      <c r="C411" s="60"/>
      <c r="D411" s="65" t="str">
        <f>IF($E411="","",IFERROR(INDEX(MUSTERILER!$B$7:$B$156,MATCH($U411,MUSTERILER!$T$7:$T$156,0)),IFERROR(INDEX(MUSTERILER!$B$7:$B$156,MATCH($E411,MUSTERILER!$B$7:$B$156,0)),IFERROR(INDEX(MUSTERILER!$B$7:$B$156,MATCH($U411&amp;"*",MUSTERILER!$T$7:$T$156,0)),"TANIMSIZ MÜŞTERİ"))))</f>
        <v/>
      </c>
      <c r="E411" s="61"/>
      <c r="F411" s="61"/>
      <c r="G411" s="60"/>
      <c r="H411" s="66"/>
      <c r="I411" s="66"/>
      <c r="J411" s="60"/>
      <c r="K411" s="60"/>
      <c r="L411" s="61"/>
      <c r="M411" s="61"/>
      <c r="N411" s="61"/>
      <c r="O411" s="66"/>
      <c r="P411" s="76" t="str">
        <f t="shared" ca="1" si="25"/>
        <v/>
      </c>
      <c r="Q411" s="65" t="str">
        <f t="shared" ca="1" si="26"/>
        <v/>
      </c>
      <c r="R411" s="2"/>
      <c r="S411" s="2"/>
      <c r="T411" s="1"/>
      <c r="U411" s="1" t="str">
        <f t="shared" si="27"/>
        <v/>
      </c>
    </row>
    <row r="412" spans="1:21" ht="18" customHeight="1" x14ac:dyDescent="0.3">
      <c r="A412" s="2"/>
      <c r="B412" s="65" t="str">
        <f t="shared" si="24"/>
        <v/>
      </c>
      <c r="C412" s="60"/>
      <c r="D412" s="65" t="str">
        <f>IF($E412="","",IFERROR(INDEX(MUSTERILER!$B$7:$B$156,MATCH($U412,MUSTERILER!$T$7:$T$156,0)),IFERROR(INDEX(MUSTERILER!$B$7:$B$156,MATCH($E412,MUSTERILER!$B$7:$B$156,0)),IFERROR(INDEX(MUSTERILER!$B$7:$B$156,MATCH($U412&amp;"*",MUSTERILER!$T$7:$T$156,0)),"TANIMSIZ MÜŞTERİ"))))</f>
        <v/>
      </c>
      <c r="E412" s="61"/>
      <c r="F412" s="61"/>
      <c r="G412" s="60"/>
      <c r="H412" s="66"/>
      <c r="I412" s="66"/>
      <c r="J412" s="60"/>
      <c r="K412" s="60"/>
      <c r="L412" s="61"/>
      <c r="M412" s="61"/>
      <c r="N412" s="61"/>
      <c r="O412" s="66"/>
      <c r="P412" s="76" t="str">
        <f t="shared" ca="1" si="25"/>
        <v/>
      </c>
      <c r="Q412" s="65" t="str">
        <f t="shared" ca="1" si="26"/>
        <v/>
      </c>
      <c r="R412" s="2"/>
      <c r="S412" s="2"/>
      <c r="T412" s="1"/>
      <c r="U412" s="1" t="str">
        <f t="shared" si="27"/>
        <v/>
      </c>
    </row>
    <row r="413" spans="1:21" ht="18" customHeight="1" x14ac:dyDescent="0.3">
      <c r="A413" s="2"/>
      <c r="B413" s="65" t="str">
        <f t="shared" si="24"/>
        <v/>
      </c>
      <c r="C413" s="60"/>
      <c r="D413" s="65" t="str">
        <f>IF($E413="","",IFERROR(INDEX(MUSTERILER!$B$7:$B$156,MATCH($U413,MUSTERILER!$T$7:$T$156,0)),IFERROR(INDEX(MUSTERILER!$B$7:$B$156,MATCH($E413,MUSTERILER!$B$7:$B$156,0)),IFERROR(INDEX(MUSTERILER!$B$7:$B$156,MATCH($U413&amp;"*",MUSTERILER!$T$7:$T$156,0)),"TANIMSIZ MÜŞTERİ"))))</f>
        <v/>
      </c>
      <c r="E413" s="61"/>
      <c r="F413" s="61"/>
      <c r="G413" s="60"/>
      <c r="H413" s="66"/>
      <c r="I413" s="66"/>
      <c r="J413" s="60"/>
      <c r="K413" s="60"/>
      <c r="L413" s="61"/>
      <c r="M413" s="61"/>
      <c r="N413" s="61"/>
      <c r="O413" s="66"/>
      <c r="P413" s="76" t="str">
        <f t="shared" ca="1" si="25"/>
        <v/>
      </c>
      <c r="Q413" s="65" t="str">
        <f t="shared" ca="1" si="26"/>
        <v/>
      </c>
      <c r="R413" s="2"/>
      <c r="S413" s="2"/>
      <c r="T413" s="1"/>
      <c r="U413" s="1" t="str">
        <f t="shared" si="27"/>
        <v/>
      </c>
    </row>
    <row r="414" spans="1:21" ht="18" customHeight="1" x14ac:dyDescent="0.3">
      <c r="A414" s="2"/>
      <c r="B414" s="65" t="str">
        <f t="shared" si="24"/>
        <v/>
      </c>
      <c r="C414" s="60"/>
      <c r="D414" s="65" t="str">
        <f>IF($E414="","",IFERROR(INDEX(MUSTERILER!$B$7:$B$156,MATCH($U414,MUSTERILER!$T$7:$T$156,0)),IFERROR(INDEX(MUSTERILER!$B$7:$B$156,MATCH($E414,MUSTERILER!$B$7:$B$156,0)),IFERROR(INDEX(MUSTERILER!$B$7:$B$156,MATCH($U414&amp;"*",MUSTERILER!$T$7:$T$156,0)),"TANIMSIZ MÜŞTERİ"))))</f>
        <v/>
      </c>
      <c r="E414" s="61"/>
      <c r="F414" s="61"/>
      <c r="G414" s="60"/>
      <c r="H414" s="66"/>
      <c r="I414" s="66"/>
      <c r="J414" s="60"/>
      <c r="K414" s="60"/>
      <c r="L414" s="61"/>
      <c r="M414" s="61"/>
      <c r="N414" s="61"/>
      <c r="O414" s="66"/>
      <c r="P414" s="76" t="str">
        <f t="shared" ca="1" si="25"/>
        <v/>
      </c>
      <c r="Q414" s="65" t="str">
        <f t="shared" ca="1" si="26"/>
        <v/>
      </c>
      <c r="R414" s="2"/>
      <c r="S414" s="2"/>
      <c r="T414" s="1"/>
      <c r="U414" s="1" t="str">
        <f t="shared" si="27"/>
        <v/>
      </c>
    </row>
    <row r="415" spans="1:21" ht="18" customHeight="1" x14ac:dyDescent="0.3">
      <c r="A415" s="2"/>
      <c r="B415" s="65" t="str">
        <f t="shared" si="24"/>
        <v/>
      </c>
      <c r="C415" s="60"/>
      <c r="D415" s="65" t="str">
        <f>IF($E415="","",IFERROR(INDEX(MUSTERILER!$B$7:$B$156,MATCH($U415,MUSTERILER!$T$7:$T$156,0)),IFERROR(INDEX(MUSTERILER!$B$7:$B$156,MATCH($E415,MUSTERILER!$B$7:$B$156,0)),IFERROR(INDEX(MUSTERILER!$B$7:$B$156,MATCH($U415&amp;"*",MUSTERILER!$T$7:$T$156,0)),"TANIMSIZ MÜŞTERİ"))))</f>
        <v/>
      </c>
      <c r="E415" s="61"/>
      <c r="F415" s="61"/>
      <c r="G415" s="60"/>
      <c r="H415" s="66"/>
      <c r="I415" s="66"/>
      <c r="J415" s="60"/>
      <c r="K415" s="60"/>
      <c r="L415" s="61"/>
      <c r="M415" s="61"/>
      <c r="N415" s="61"/>
      <c r="O415" s="66"/>
      <c r="P415" s="76" t="str">
        <f t="shared" ca="1" si="25"/>
        <v/>
      </c>
      <c r="Q415" s="65" t="str">
        <f t="shared" ca="1" si="26"/>
        <v/>
      </c>
      <c r="R415" s="2"/>
      <c r="S415" s="2"/>
      <c r="T415" s="1"/>
      <c r="U415" s="1" t="str">
        <f t="shared" si="27"/>
        <v/>
      </c>
    </row>
    <row r="416" spans="1:21" ht="18" customHeight="1" x14ac:dyDescent="0.3">
      <c r="A416" s="2"/>
      <c r="B416" s="65" t="str">
        <f t="shared" si="24"/>
        <v/>
      </c>
      <c r="C416" s="60"/>
      <c r="D416" s="65" t="str">
        <f>IF($E416="","",IFERROR(INDEX(MUSTERILER!$B$7:$B$156,MATCH($U416,MUSTERILER!$T$7:$T$156,0)),IFERROR(INDEX(MUSTERILER!$B$7:$B$156,MATCH($E416,MUSTERILER!$B$7:$B$156,0)),IFERROR(INDEX(MUSTERILER!$B$7:$B$156,MATCH($U416&amp;"*",MUSTERILER!$T$7:$T$156,0)),"TANIMSIZ MÜŞTERİ"))))</f>
        <v/>
      </c>
      <c r="E416" s="61"/>
      <c r="F416" s="61"/>
      <c r="G416" s="60"/>
      <c r="H416" s="66"/>
      <c r="I416" s="66"/>
      <c r="J416" s="60"/>
      <c r="K416" s="60"/>
      <c r="L416" s="61"/>
      <c r="M416" s="61"/>
      <c r="N416" s="61"/>
      <c r="O416" s="66"/>
      <c r="P416" s="76" t="str">
        <f t="shared" ca="1" si="25"/>
        <v/>
      </c>
      <c r="Q416" s="65" t="str">
        <f t="shared" ca="1" si="26"/>
        <v/>
      </c>
      <c r="R416" s="2"/>
      <c r="S416" s="2"/>
      <c r="T416" s="1"/>
      <c r="U416" s="1" t="str">
        <f t="shared" si="27"/>
        <v/>
      </c>
    </row>
    <row r="417" spans="1:21" ht="18" customHeight="1" x14ac:dyDescent="0.3">
      <c r="A417" s="2"/>
      <c r="B417" s="65" t="str">
        <f t="shared" si="24"/>
        <v/>
      </c>
      <c r="C417" s="60"/>
      <c r="D417" s="65" t="str">
        <f>IF($E417="","",IFERROR(INDEX(MUSTERILER!$B$7:$B$156,MATCH($U417,MUSTERILER!$T$7:$T$156,0)),IFERROR(INDEX(MUSTERILER!$B$7:$B$156,MATCH($E417,MUSTERILER!$B$7:$B$156,0)),IFERROR(INDEX(MUSTERILER!$B$7:$B$156,MATCH($U417&amp;"*",MUSTERILER!$T$7:$T$156,0)),"TANIMSIZ MÜŞTERİ"))))</f>
        <v/>
      </c>
      <c r="E417" s="61"/>
      <c r="F417" s="61"/>
      <c r="G417" s="60"/>
      <c r="H417" s="66"/>
      <c r="I417" s="66"/>
      <c r="J417" s="60"/>
      <c r="K417" s="60"/>
      <c r="L417" s="61"/>
      <c r="M417" s="61"/>
      <c r="N417" s="61"/>
      <c r="O417" s="66"/>
      <c r="P417" s="76" t="str">
        <f t="shared" ca="1" si="25"/>
        <v/>
      </c>
      <c r="Q417" s="65" t="str">
        <f t="shared" ca="1" si="26"/>
        <v/>
      </c>
      <c r="R417" s="2"/>
      <c r="S417" s="2"/>
      <c r="T417" s="1"/>
      <c r="U417" s="1" t="str">
        <f t="shared" si="27"/>
        <v/>
      </c>
    </row>
    <row r="418" spans="1:21" ht="18" customHeight="1" x14ac:dyDescent="0.3">
      <c r="A418" s="2"/>
      <c r="B418" s="65" t="str">
        <f t="shared" si="24"/>
        <v/>
      </c>
      <c r="C418" s="60"/>
      <c r="D418" s="65" t="str">
        <f>IF($E418="","",IFERROR(INDEX(MUSTERILER!$B$7:$B$156,MATCH($U418,MUSTERILER!$T$7:$T$156,0)),IFERROR(INDEX(MUSTERILER!$B$7:$B$156,MATCH($E418,MUSTERILER!$B$7:$B$156,0)),IFERROR(INDEX(MUSTERILER!$B$7:$B$156,MATCH($U418&amp;"*",MUSTERILER!$T$7:$T$156,0)),"TANIMSIZ MÜŞTERİ"))))</f>
        <v/>
      </c>
      <c r="E418" s="61"/>
      <c r="F418" s="61"/>
      <c r="G418" s="60"/>
      <c r="H418" s="66"/>
      <c r="I418" s="66"/>
      <c r="J418" s="60"/>
      <c r="K418" s="60"/>
      <c r="L418" s="61"/>
      <c r="M418" s="61"/>
      <c r="N418" s="61"/>
      <c r="O418" s="66"/>
      <c r="P418" s="76" t="str">
        <f t="shared" ca="1" si="25"/>
        <v/>
      </c>
      <c r="Q418" s="65" t="str">
        <f t="shared" ca="1" si="26"/>
        <v/>
      </c>
      <c r="R418" s="2"/>
      <c r="S418" s="2"/>
      <c r="T418" s="1"/>
      <c r="U418" s="1" t="str">
        <f t="shared" si="27"/>
        <v/>
      </c>
    </row>
    <row r="419" spans="1:21" ht="18" customHeight="1" x14ac:dyDescent="0.3">
      <c r="A419" s="2"/>
      <c r="B419" s="65" t="str">
        <f t="shared" si="24"/>
        <v/>
      </c>
      <c r="C419" s="60"/>
      <c r="D419" s="65" t="str">
        <f>IF($E419="","",IFERROR(INDEX(MUSTERILER!$B$7:$B$156,MATCH($U419,MUSTERILER!$T$7:$T$156,0)),IFERROR(INDEX(MUSTERILER!$B$7:$B$156,MATCH($E419,MUSTERILER!$B$7:$B$156,0)),IFERROR(INDEX(MUSTERILER!$B$7:$B$156,MATCH($U419&amp;"*",MUSTERILER!$T$7:$T$156,0)),"TANIMSIZ MÜŞTERİ"))))</f>
        <v/>
      </c>
      <c r="E419" s="61"/>
      <c r="F419" s="61"/>
      <c r="G419" s="60"/>
      <c r="H419" s="66"/>
      <c r="I419" s="66"/>
      <c r="J419" s="60"/>
      <c r="K419" s="60"/>
      <c r="L419" s="61"/>
      <c r="M419" s="61"/>
      <c r="N419" s="61"/>
      <c r="O419" s="66"/>
      <c r="P419" s="76" t="str">
        <f t="shared" ca="1" si="25"/>
        <v/>
      </c>
      <c r="Q419" s="65" t="str">
        <f t="shared" ca="1" si="26"/>
        <v/>
      </c>
      <c r="R419" s="2"/>
      <c r="S419" s="2"/>
      <c r="T419" s="1"/>
      <c r="U419" s="1" t="str">
        <f t="shared" si="27"/>
        <v/>
      </c>
    </row>
    <row r="420" spans="1:21" ht="18" customHeight="1" x14ac:dyDescent="0.3">
      <c r="A420" s="2"/>
      <c r="B420" s="65" t="str">
        <f t="shared" si="24"/>
        <v/>
      </c>
      <c r="C420" s="60"/>
      <c r="D420" s="65" t="str">
        <f>IF($E420="","",IFERROR(INDEX(MUSTERILER!$B$7:$B$156,MATCH($U420,MUSTERILER!$T$7:$T$156,0)),IFERROR(INDEX(MUSTERILER!$B$7:$B$156,MATCH($E420,MUSTERILER!$B$7:$B$156,0)),IFERROR(INDEX(MUSTERILER!$B$7:$B$156,MATCH($U420&amp;"*",MUSTERILER!$T$7:$T$156,0)),"TANIMSIZ MÜŞTERİ"))))</f>
        <v/>
      </c>
      <c r="E420" s="61"/>
      <c r="F420" s="61"/>
      <c r="G420" s="60"/>
      <c r="H420" s="66"/>
      <c r="I420" s="66"/>
      <c r="J420" s="60"/>
      <c r="K420" s="60"/>
      <c r="L420" s="61"/>
      <c r="M420" s="61"/>
      <c r="N420" s="61"/>
      <c r="O420" s="66"/>
      <c r="P420" s="76" t="str">
        <f t="shared" ca="1" si="25"/>
        <v/>
      </c>
      <c r="Q420" s="65" t="str">
        <f t="shared" ca="1" si="26"/>
        <v/>
      </c>
      <c r="R420" s="2"/>
      <c r="S420" s="2"/>
      <c r="T420" s="1"/>
      <c r="U420" s="1" t="str">
        <f t="shared" si="27"/>
        <v/>
      </c>
    </row>
    <row r="421" spans="1:21" ht="18" customHeight="1" x14ac:dyDescent="0.3">
      <c r="A421" s="2"/>
      <c r="B421" s="65" t="str">
        <f t="shared" si="24"/>
        <v/>
      </c>
      <c r="C421" s="60"/>
      <c r="D421" s="65" t="str">
        <f>IF($E421="","",IFERROR(INDEX(MUSTERILER!$B$7:$B$156,MATCH($U421,MUSTERILER!$T$7:$T$156,0)),IFERROR(INDEX(MUSTERILER!$B$7:$B$156,MATCH($E421,MUSTERILER!$B$7:$B$156,0)),IFERROR(INDEX(MUSTERILER!$B$7:$B$156,MATCH($U421&amp;"*",MUSTERILER!$T$7:$T$156,0)),"TANIMSIZ MÜŞTERİ"))))</f>
        <v/>
      </c>
      <c r="E421" s="61"/>
      <c r="F421" s="61"/>
      <c r="G421" s="60"/>
      <c r="H421" s="66"/>
      <c r="I421" s="66"/>
      <c r="J421" s="60"/>
      <c r="K421" s="60"/>
      <c r="L421" s="61"/>
      <c r="M421" s="61"/>
      <c r="N421" s="61"/>
      <c r="O421" s="66"/>
      <c r="P421" s="76" t="str">
        <f t="shared" ca="1" si="25"/>
        <v/>
      </c>
      <c r="Q421" s="65" t="str">
        <f t="shared" ca="1" si="26"/>
        <v/>
      </c>
      <c r="R421" s="2"/>
      <c r="S421" s="2"/>
      <c r="T421" s="1"/>
      <c r="U421" s="1" t="str">
        <f t="shared" si="27"/>
        <v/>
      </c>
    </row>
    <row r="422" spans="1:21" ht="18" customHeight="1" x14ac:dyDescent="0.3">
      <c r="A422" s="2"/>
      <c r="B422" s="65" t="str">
        <f t="shared" si="24"/>
        <v/>
      </c>
      <c r="C422" s="60"/>
      <c r="D422" s="65" t="str">
        <f>IF($E422="","",IFERROR(INDEX(MUSTERILER!$B$7:$B$156,MATCH($U422,MUSTERILER!$T$7:$T$156,0)),IFERROR(INDEX(MUSTERILER!$B$7:$B$156,MATCH($E422,MUSTERILER!$B$7:$B$156,0)),IFERROR(INDEX(MUSTERILER!$B$7:$B$156,MATCH($U422&amp;"*",MUSTERILER!$T$7:$T$156,0)),"TANIMSIZ MÜŞTERİ"))))</f>
        <v/>
      </c>
      <c r="E422" s="61"/>
      <c r="F422" s="61"/>
      <c r="G422" s="60"/>
      <c r="H422" s="66"/>
      <c r="I422" s="66"/>
      <c r="J422" s="60"/>
      <c r="K422" s="60"/>
      <c r="L422" s="61"/>
      <c r="M422" s="61"/>
      <c r="N422" s="61"/>
      <c r="O422" s="66"/>
      <c r="P422" s="76" t="str">
        <f t="shared" ca="1" si="25"/>
        <v/>
      </c>
      <c r="Q422" s="65" t="str">
        <f t="shared" ca="1" si="26"/>
        <v/>
      </c>
      <c r="R422" s="2"/>
      <c r="S422" s="2"/>
      <c r="T422" s="1"/>
      <c r="U422" s="1" t="str">
        <f t="shared" si="27"/>
        <v/>
      </c>
    </row>
    <row r="423" spans="1:21" ht="18" customHeight="1" x14ac:dyDescent="0.3">
      <c r="A423" s="2"/>
      <c r="B423" s="65" t="str">
        <f t="shared" si="24"/>
        <v/>
      </c>
      <c r="C423" s="60"/>
      <c r="D423" s="65" t="str">
        <f>IF($E423="","",IFERROR(INDEX(MUSTERILER!$B$7:$B$156,MATCH($U423,MUSTERILER!$T$7:$T$156,0)),IFERROR(INDEX(MUSTERILER!$B$7:$B$156,MATCH($E423,MUSTERILER!$B$7:$B$156,0)),IFERROR(INDEX(MUSTERILER!$B$7:$B$156,MATCH($U423&amp;"*",MUSTERILER!$T$7:$T$156,0)),"TANIMSIZ MÜŞTERİ"))))</f>
        <v/>
      </c>
      <c r="E423" s="61"/>
      <c r="F423" s="61"/>
      <c r="G423" s="60"/>
      <c r="H423" s="66"/>
      <c r="I423" s="66"/>
      <c r="J423" s="60"/>
      <c r="K423" s="60"/>
      <c r="L423" s="61"/>
      <c r="M423" s="61"/>
      <c r="N423" s="61"/>
      <c r="O423" s="66"/>
      <c r="P423" s="76" t="str">
        <f t="shared" ca="1" si="25"/>
        <v/>
      </c>
      <c r="Q423" s="65" t="str">
        <f t="shared" ca="1" si="26"/>
        <v/>
      </c>
      <c r="R423" s="2"/>
      <c r="S423" s="2"/>
      <c r="T423" s="1"/>
      <c r="U423" s="1" t="str">
        <f t="shared" si="27"/>
        <v/>
      </c>
    </row>
    <row r="424" spans="1:21" ht="18" customHeight="1" x14ac:dyDescent="0.3">
      <c r="A424" s="2"/>
      <c r="B424" s="65" t="str">
        <f t="shared" si="24"/>
        <v/>
      </c>
      <c r="C424" s="60"/>
      <c r="D424" s="65" t="str">
        <f>IF($E424="","",IFERROR(INDEX(MUSTERILER!$B$7:$B$156,MATCH($U424,MUSTERILER!$T$7:$T$156,0)),IFERROR(INDEX(MUSTERILER!$B$7:$B$156,MATCH($E424,MUSTERILER!$B$7:$B$156,0)),IFERROR(INDEX(MUSTERILER!$B$7:$B$156,MATCH($U424&amp;"*",MUSTERILER!$T$7:$T$156,0)),"TANIMSIZ MÜŞTERİ"))))</f>
        <v/>
      </c>
      <c r="E424" s="61"/>
      <c r="F424" s="61"/>
      <c r="G424" s="60"/>
      <c r="H424" s="66"/>
      <c r="I424" s="66"/>
      <c r="J424" s="60"/>
      <c r="K424" s="60"/>
      <c r="L424" s="61"/>
      <c r="M424" s="61"/>
      <c r="N424" s="61"/>
      <c r="O424" s="66"/>
      <c r="P424" s="76" t="str">
        <f t="shared" ca="1" si="25"/>
        <v/>
      </c>
      <c r="Q424" s="65" t="str">
        <f t="shared" ca="1" si="26"/>
        <v/>
      </c>
      <c r="R424" s="2"/>
      <c r="S424" s="2"/>
      <c r="T424" s="1"/>
      <c r="U424" s="1" t="str">
        <f t="shared" si="27"/>
        <v/>
      </c>
    </row>
    <row r="425" spans="1:21" ht="18" customHeight="1" x14ac:dyDescent="0.3">
      <c r="A425" s="2"/>
      <c r="B425" s="65" t="str">
        <f t="shared" si="24"/>
        <v/>
      </c>
      <c r="C425" s="60"/>
      <c r="D425" s="65" t="str">
        <f>IF($E425="","",IFERROR(INDEX(MUSTERILER!$B$7:$B$156,MATCH($U425,MUSTERILER!$T$7:$T$156,0)),IFERROR(INDEX(MUSTERILER!$B$7:$B$156,MATCH($E425,MUSTERILER!$B$7:$B$156,0)),IFERROR(INDEX(MUSTERILER!$B$7:$B$156,MATCH($U425&amp;"*",MUSTERILER!$T$7:$T$156,0)),"TANIMSIZ MÜŞTERİ"))))</f>
        <v/>
      </c>
      <c r="E425" s="61"/>
      <c r="F425" s="61"/>
      <c r="G425" s="60"/>
      <c r="H425" s="66"/>
      <c r="I425" s="66"/>
      <c r="J425" s="60"/>
      <c r="K425" s="60"/>
      <c r="L425" s="61"/>
      <c r="M425" s="61"/>
      <c r="N425" s="61"/>
      <c r="O425" s="66"/>
      <c r="P425" s="76" t="str">
        <f t="shared" ca="1" si="25"/>
        <v/>
      </c>
      <c r="Q425" s="65" t="str">
        <f t="shared" ca="1" si="26"/>
        <v/>
      </c>
      <c r="R425" s="2"/>
      <c r="S425" s="2"/>
      <c r="T425" s="1"/>
      <c r="U425" s="1" t="str">
        <f t="shared" si="27"/>
        <v/>
      </c>
    </row>
    <row r="426" spans="1:21" ht="18" customHeight="1" x14ac:dyDescent="0.3">
      <c r="A426" s="2"/>
      <c r="B426" s="65" t="str">
        <f t="shared" si="24"/>
        <v/>
      </c>
      <c r="C426" s="60"/>
      <c r="D426" s="65" t="str">
        <f>IF($E426="","",IFERROR(INDEX(MUSTERILER!$B$7:$B$156,MATCH($U426,MUSTERILER!$T$7:$T$156,0)),IFERROR(INDEX(MUSTERILER!$B$7:$B$156,MATCH($E426,MUSTERILER!$B$7:$B$156,0)),IFERROR(INDEX(MUSTERILER!$B$7:$B$156,MATCH($U426&amp;"*",MUSTERILER!$T$7:$T$156,0)),"TANIMSIZ MÜŞTERİ"))))</f>
        <v/>
      </c>
      <c r="E426" s="61"/>
      <c r="F426" s="61"/>
      <c r="G426" s="60"/>
      <c r="H426" s="66"/>
      <c r="I426" s="66"/>
      <c r="J426" s="60"/>
      <c r="K426" s="60"/>
      <c r="L426" s="61"/>
      <c r="M426" s="61"/>
      <c r="N426" s="61"/>
      <c r="O426" s="66"/>
      <c r="P426" s="76" t="str">
        <f t="shared" ca="1" si="25"/>
        <v/>
      </c>
      <c r="Q426" s="65" t="str">
        <f t="shared" ca="1" si="26"/>
        <v/>
      </c>
      <c r="R426" s="2"/>
      <c r="S426" s="2"/>
      <c r="T426" s="1"/>
      <c r="U426" s="1" t="str">
        <f t="shared" si="27"/>
        <v/>
      </c>
    </row>
    <row r="427" spans="1:21" ht="18" customHeight="1" x14ac:dyDescent="0.3">
      <c r="A427" s="2"/>
      <c r="B427" s="65" t="str">
        <f t="shared" si="24"/>
        <v/>
      </c>
      <c r="C427" s="60"/>
      <c r="D427" s="65" t="str">
        <f>IF($E427="","",IFERROR(INDEX(MUSTERILER!$B$7:$B$156,MATCH($U427,MUSTERILER!$T$7:$T$156,0)),IFERROR(INDEX(MUSTERILER!$B$7:$B$156,MATCH($E427,MUSTERILER!$B$7:$B$156,0)),IFERROR(INDEX(MUSTERILER!$B$7:$B$156,MATCH($U427&amp;"*",MUSTERILER!$T$7:$T$156,0)),"TANIMSIZ MÜŞTERİ"))))</f>
        <v/>
      </c>
      <c r="E427" s="61"/>
      <c r="F427" s="61"/>
      <c r="G427" s="60"/>
      <c r="H427" s="66"/>
      <c r="I427" s="66"/>
      <c r="J427" s="60"/>
      <c r="K427" s="60"/>
      <c r="L427" s="61"/>
      <c r="M427" s="61"/>
      <c r="N427" s="61"/>
      <c r="O427" s="66"/>
      <c r="P427" s="76" t="str">
        <f t="shared" ca="1" si="25"/>
        <v/>
      </c>
      <c r="Q427" s="65" t="str">
        <f t="shared" ca="1" si="26"/>
        <v/>
      </c>
      <c r="R427" s="2"/>
      <c r="S427" s="2"/>
      <c r="T427" s="1"/>
      <c r="U427" s="1" t="str">
        <f t="shared" si="27"/>
        <v/>
      </c>
    </row>
    <row r="428" spans="1:21" ht="18" customHeight="1" x14ac:dyDescent="0.3">
      <c r="A428" s="2"/>
      <c r="B428" s="65" t="str">
        <f t="shared" si="24"/>
        <v/>
      </c>
      <c r="C428" s="60"/>
      <c r="D428" s="65" t="str">
        <f>IF($E428="","",IFERROR(INDEX(MUSTERILER!$B$7:$B$156,MATCH($U428,MUSTERILER!$T$7:$T$156,0)),IFERROR(INDEX(MUSTERILER!$B$7:$B$156,MATCH($E428,MUSTERILER!$B$7:$B$156,0)),IFERROR(INDEX(MUSTERILER!$B$7:$B$156,MATCH($U428&amp;"*",MUSTERILER!$T$7:$T$156,0)),"TANIMSIZ MÜŞTERİ"))))</f>
        <v/>
      </c>
      <c r="E428" s="61"/>
      <c r="F428" s="61"/>
      <c r="G428" s="60"/>
      <c r="H428" s="66"/>
      <c r="I428" s="66"/>
      <c r="J428" s="60"/>
      <c r="K428" s="60"/>
      <c r="L428" s="61"/>
      <c r="M428" s="61"/>
      <c r="N428" s="61"/>
      <c r="O428" s="66"/>
      <c r="P428" s="76" t="str">
        <f t="shared" ca="1" si="25"/>
        <v/>
      </c>
      <c r="Q428" s="65" t="str">
        <f t="shared" ca="1" si="26"/>
        <v/>
      </c>
      <c r="R428" s="2"/>
      <c r="S428" s="2"/>
      <c r="T428" s="1"/>
      <c r="U428" s="1" t="str">
        <f t="shared" si="27"/>
        <v/>
      </c>
    </row>
    <row r="429" spans="1:21" ht="18" customHeight="1" x14ac:dyDescent="0.3">
      <c r="A429" s="2"/>
      <c r="B429" s="65" t="str">
        <f t="shared" si="24"/>
        <v/>
      </c>
      <c r="C429" s="60"/>
      <c r="D429" s="65" t="str">
        <f>IF($E429="","",IFERROR(INDEX(MUSTERILER!$B$7:$B$156,MATCH($U429,MUSTERILER!$T$7:$T$156,0)),IFERROR(INDEX(MUSTERILER!$B$7:$B$156,MATCH($E429,MUSTERILER!$B$7:$B$156,0)),IFERROR(INDEX(MUSTERILER!$B$7:$B$156,MATCH($U429&amp;"*",MUSTERILER!$T$7:$T$156,0)),"TANIMSIZ MÜŞTERİ"))))</f>
        <v/>
      </c>
      <c r="E429" s="61"/>
      <c r="F429" s="61"/>
      <c r="G429" s="60"/>
      <c r="H429" s="66"/>
      <c r="I429" s="66"/>
      <c r="J429" s="60"/>
      <c r="K429" s="60"/>
      <c r="L429" s="61"/>
      <c r="M429" s="61"/>
      <c r="N429" s="61"/>
      <c r="O429" s="66"/>
      <c r="P429" s="76" t="str">
        <f t="shared" ca="1" si="25"/>
        <v/>
      </c>
      <c r="Q429" s="65" t="str">
        <f t="shared" ca="1" si="26"/>
        <v/>
      </c>
      <c r="R429" s="2"/>
      <c r="S429" s="2"/>
      <c r="T429" s="1"/>
      <c r="U429" s="1" t="str">
        <f t="shared" si="27"/>
        <v/>
      </c>
    </row>
    <row r="430" spans="1:21" ht="18" customHeight="1" x14ac:dyDescent="0.3">
      <c r="A430" s="2"/>
      <c r="B430" s="65" t="str">
        <f t="shared" si="24"/>
        <v/>
      </c>
      <c r="C430" s="60"/>
      <c r="D430" s="65" t="str">
        <f>IF($E430="","",IFERROR(INDEX(MUSTERILER!$B$7:$B$156,MATCH($U430,MUSTERILER!$T$7:$T$156,0)),IFERROR(INDEX(MUSTERILER!$B$7:$B$156,MATCH($E430,MUSTERILER!$B$7:$B$156,0)),IFERROR(INDEX(MUSTERILER!$B$7:$B$156,MATCH($U430&amp;"*",MUSTERILER!$T$7:$T$156,0)),"TANIMSIZ MÜŞTERİ"))))</f>
        <v/>
      </c>
      <c r="E430" s="61"/>
      <c r="F430" s="61"/>
      <c r="G430" s="60"/>
      <c r="H430" s="66"/>
      <c r="I430" s="66"/>
      <c r="J430" s="60"/>
      <c r="K430" s="60"/>
      <c r="L430" s="61"/>
      <c r="M430" s="61"/>
      <c r="N430" s="61"/>
      <c r="O430" s="66"/>
      <c r="P430" s="76" t="str">
        <f t="shared" ca="1" si="25"/>
        <v/>
      </c>
      <c r="Q430" s="65" t="str">
        <f t="shared" ca="1" si="26"/>
        <v/>
      </c>
      <c r="R430" s="2"/>
      <c r="S430" s="2"/>
      <c r="T430" s="1"/>
      <c r="U430" s="1" t="str">
        <f t="shared" si="27"/>
        <v/>
      </c>
    </row>
    <row r="431" spans="1:21" ht="18" customHeight="1" x14ac:dyDescent="0.3">
      <c r="A431" s="2"/>
      <c r="B431" s="65" t="str">
        <f t="shared" si="24"/>
        <v/>
      </c>
      <c r="C431" s="60"/>
      <c r="D431" s="65" t="str">
        <f>IF($E431="","",IFERROR(INDEX(MUSTERILER!$B$7:$B$156,MATCH($U431,MUSTERILER!$T$7:$T$156,0)),IFERROR(INDEX(MUSTERILER!$B$7:$B$156,MATCH($E431,MUSTERILER!$B$7:$B$156,0)),IFERROR(INDEX(MUSTERILER!$B$7:$B$156,MATCH($U431&amp;"*",MUSTERILER!$T$7:$T$156,0)),"TANIMSIZ MÜŞTERİ"))))</f>
        <v/>
      </c>
      <c r="E431" s="61"/>
      <c r="F431" s="61"/>
      <c r="G431" s="60"/>
      <c r="H431" s="66"/>
      <c r="I431" s="66"/>
      <c r="J431" s="60"/>
      <c r="K431" s="60"/>
      <c r="L431" s="61"/>
      <c r="M431" s="61"/>
      <c r="N431" s="61"/>
      <c r="O431" s="66"/>
      <c r="P431" s="76" t="str">
        <f t="shared" ca="1" si="25"/>
        <v/>
      </c>
      <c r="Q431" s="65" t="str">
        <f t="shared" ca="1" si="26"/>
        <v/>
      </c>
      <c r="R431" s="2"/>
      <c r="S431" s="2"/>
      <c r="T431" s="1"/>
      <c r="U431" s="1" t="str">
        <f t="shared" si="27"/>
        <v/>
      </c>
    </row>
    <row r="432" spans="1:21" ht="18" customHeight="1" x14ac:dyDescent="0.3">
      <c r="A432" s="2"/>
      <c r="B432" s="65" t="str">
        <f t="shared" si="24"/>
        <v/>
      </c>
      <c r="C432" s="60"/>
      <c r="D432" s="65" t="str">
        <f>IF($E432="","",IFERROR(INDEX(MUSTERILER!$B$7:$B$156,MATCH($U432,MUSTERILER!$T$7:$T$156,0)),IFERROR(INDEX(MUSTERILER!$B$7:$B$156,MATCH($E432,MUSTERILER!$B$7:$B$156,0)),IFERROR(INDEX(MUSTERILER!$B$7:$B$156,MATCH($U432&amp;"*",MUSTERILER!$T$7:$T$156,0)),"TANIMSIZ MÜŞTERİ"))))</f>
        <v/>
      </c>
      <c r="E432" s="61"/>
      <c r="F432" s="61"/>
      <c r="G432" s="60"/>
      <c r="H432" s="66"/>
      <c r="I432" s="66"/>
      <c r="J432" s="60"/>
      <c r="K432" s="60"/>
      <c r="L432" s="61"/>
      <c r="M432" s="61"/>
      <c r="N432" s="61"/>
      <c r="O432" s="66"/>
      <c r="P432" s="76" t="str">
        <f t="shared" ca="1" si="25"/>
        <v/>
      </c>
      <c r="Q432" s="65" t="str">
        <f t="shared" ca="1" si="26"/>
        <v/>
      </c>
      <c r="R432" s="2"/>
      <c r="S432" s="2"/>
      <c r="T432" s="1"/>
      <c r="U432" s="1" t="str">
        <f t="shared" si="27"/>
        <v/>
      </c>
    </row>
    <row r="433" spans="1:21" ht="18" customHeight="1" x14ac:dyDescent="0.3">
      <c r="A433" s="2"/>
      <c r="B433" s="65" t="str">
        <f t="shared" si="24"/>
        <v/>
      </c>
      <c r="C433" s="60"/>
      <c r="D433" s="65" t="str">
        <f>IF($E433="","",IFERROR(INDEX(MUSTERILER!$B$7:$B$156,MATCH($U433,MUSTERILER!$T$7:$T$156,0)),IFERROR(INDEX(MUSTERILER!$B$7:$B$156,MATCH($E433,MUSTERILER!$B$7:$B$156,0)),IFERROR(INDEX(MUSTERILER!$B$7:$B$156,MATCH($U433&amp;"*",MUSTERILER!$T$7:$T$156,0)),"TANIMSIZ MÜŞTERİ"))))</f>
        <v/>
      </c>
      <c r="E433" s="61"/>
      <c r="F433" s="61"/>
      <c r="G433" s="60"/>
      <c r="H433" s="66"/>
      <c r="I433" s="66"/>
      <c r="J433" s="60"/>
      <c r="K433" s="60"/>
      <c r="L433" s="61"/>
      <c r="M433" s="61"/>
      <c r="N433" s="61"/>
      <c r="O433" s="66"/>
      <c r="P433" s="76" t="str">
        <f t="shared" ca="1" si="25"/>
        <v/>
      </c>
      <c r="Q433" s="65" t="str">
        <f t="shared" ca="1" si="26"/>
        <v/>
      </c>
      <c r="R433" s="2"/>
      <c r="S433" s="2"/>
      <c r="T433" s="1"/>
      <c r="U433" s="1" t="str">
        <f t="shared" si="27"/>
        <v/>
      </c>
    </row>
    <row r="434" spans="1:21" ht="18" customHeight="1" x14ac:dyDescent="0.3">
      <c r="A434" s="2"/>
      <c r="B434" s="65" t="str">
        <f t="shared" si="24"/>
        <v/>
      </c>
      <c r="C434" s="60"/>
      <c r="D434" s="65" t="str">
        <f>IF($E434="","",IFERROR(INDEX(MUSTERILER!$B$7:$B$156,MATCH($U434,MUSTERILER!$T$7:$T$156,0)),IFERROR(INDEX(MUSTERILER!$B$7:$B$156,MATCH($E434,MUSTERILER!$B$7:$B$156,0)),IFERROR(INDEX(MUSTERILER!$B$7:$B$156,MATCH($U434&amp;"*",MUSTERILER!$T$7:$T$156,0)),"TANIMSIZ MÜŞTERİ"))))</f>
        <v/>
      </c>
      <c r="E434" s="61"/>
      <c r="F434" s="61"/>
      <c r="G434" s="60"/>
      <c r="H434" s="66"/>
      <c r="I434" s="66"/>
      <c r="J434" s="60"/>
      <c r="K434" s="60"/>
      <c r="L434" s="61"/>
      <c r="M434" s="61"/>
      <c r="N434" s="61"/>
      <c r="O434" s="66"/>
      <c r="P434" s="76" t="str">
        <f t="shared" ca="1" si="25"/>
        <v/>
      </c>
      <c r="Q434" s="65" t="str">
        <f t="shared" ca="1" si="26"/>
        <v/>
      </c>
      <c r="R434" s="2"/>
      <c r="S434" s="2"/>
      <c r="T434" s="1"/>
      <c r="U434" s="1" t="str">
        <f t="shared" si="27"/>
        <v/>
      </c>
    </row>
    <row r="435" spans="1:21" ht="18" customHeight="1" x14ac:dyDescent="0.3">
      <c r="A435" s="2"/>
      <c r="B435" s="65" t="str">
        <f t="shared" si="24"/>
        <v/>
      </c>
      <c r="C435" s="60"/>
      <c r="D435" s="65" t="str">
        <f>IF($E435="","",IFERROR(INDEX(MUSTERILER!$B$7:$B$156,MATCH($U435,MUSTERILER!$T$7:$T$156,0)),IFERROR(INDEX(MUSTERILER!$B$7:$B$156,MATCH($E435,MUSTERILER!$B$7:$B$156,0)),IFERROR(INDEX(MUSTERILER!$B$7:$B$156,MATCH($U435&amp;"*",MUSTERILER!$T$7:$T$156,0)),"TANIMSIZ MÜŞTERİ"))))</f>
        <v/>
      </c>
      <c r="E435" s="61"/>
      <c r="F435" s="61"/>
      <c r="G435" s="60"/>
      <c r="H435" s="66"/>
      <c r="I435" s="66"/>
      <c r="J435" s="60"/>
      <c r="K435" s="60"/>
      <c r="L435" s="61"/>
      <c r="M435" s="61"/>
      <c r="N435" s="61"/>
      <c r="O435" s="66"/>
      <c r="P435" s="76" t="str">
        <f t="shared" ca="1" si="25"/>
        <v/>
      </c>
      <c r="Q435" s="65" t="str">
        <f t="shared" ca="1" si="26"/>
        <v/>
      </c>
      <c r="R435" s="2"/>
      <c r="S435" s="2"/>
      <c r="T435" s="1"/>
      <c r="U435" s="1" t="str">
        <f t="shared" si="27"/>
        <v/>
      </c>
    </row>
    <row r="436" spans="1:21" ht="18" customHeight="1" x14ac:dyDescent="0.3">
      <c r="A436" s="2"/>
      <c r="B436" s="65" t="str">
        <f t="shared" si="24"/>
        <v/>
      </c>
      <c r="C436" s="60"/>
      <c r="D436" s="65" t="str">
        <f>IF($E436="","",IFERROR(INDEX(MUSTERILER!$B$7:$B$156,MATCH($U436,MUSTERILER!$T$7:$T$156,0)),IFERROR(INDEX(MUSTERILER!$B$7:$B$156,MATCH($E436,MUSTERILER!$B$7:$B$156,0)),IFERROR(INDEX(MUSTERILER!$B$7:$B$156,MATCH($U436&amp;"*",MUSTERILER!$T$7:$T$156,0)),"TANIMSIZ MÜŞTERİ"))))</f>
        <v/>
      </c>
      <c r="E436" s="61"/>
      <c r="F436" s="61"/>
      <c r="G436" s="60"/>
      <c r="H436" s="66"/>
      <c r="I436" s="66"/>
      <c r="J436" s="60"/>
      <c r="K436" s="60"/>
      <c r="L436" s="61"/>
      <c r="M436" s="61"/>
      <c r="N436" s="61"/>
      <c r="O436" s="66"/>
      <c r="P436" s="76" t="str">
        <f t="shared" ca="1" si="25"/>
        <v/>
      </c>
      <c r="Q436" s="65" t="str">
        <f t="shared" ca="1" si="26"/>
        <v/>
      </c>
      <c r="R436" s="2"/>
      <c r="S436" s="2"/>
      <c r="T436" s="1"/>
      <c r="U436" s="1" t="str">
        <f t="shared" si="27"/>
        <v/>
      </c>
    </row>
    <row r="437" spans="1:21" ht="18" customHeight="1" x14ac:dyDescent="0.3">
      <c r="A437" s="2"/>
      <c r="B437" s="65" t="str">
        <f t="shared" si="24"/>
        <v/>
      </c>
      <c r="C437" s="60"/>
      <c r="D437" s="65" t="str">
        <f>IF($E437="","",IFERROR(INDEX(MUSTERILER!$B$7:$B$156,MATCH($U437,MUSTERILER!$T$7:$T$156,0)),IFERROR(INDEX(MUSTERILER!$B$7:$B$156,MATCH($E437,MUSTERILER!$B$7:$B$156,0)),IFERROR(INDEX(MUSTERILER!$B$7:$B$156,MATCH($U437&amp;"*",MUSTERILER!$T$7:$T$156,0)),"TANIMSIZ MÜŞTERİ"))))</f>
        <v/>
      </c>
      <c r="E437" s="61"/>
      <c r="F437" s="61"/>
      <c r="G437" s="60"/>
      <c r="H437" s="66"/>
      <c r="I437" s="66"/>
      <c r="J437" s="60"/>
      <c r="K437" s="60"/>
      <c r="L437" s="61"/>
      <c r="M437" s="61"/>
      <c r="N437" s="61"/>
      <c r="O437" s="66"/>
      <c r="P437" s="76" t="str">
        <f t="shared" ca="1" si="25"/>
        <v/>
      </c>
      <c r="Q437" s="65" t="str">
        <f t="shared" ca="1" si="26"/>
        <v/>
      </c>
      <c r="R437" s="2"/>
      <c r="S437" s="2"/>
      <c r="T437" s="1"/>
      <c r="U437" s="1" t="str">
        <f t="shared" si="27"/>
        <v/>
      </c>
    </row>
    <row r="438" spans="1:21" ht="18" customHeight="1" x14ac:dyDescent="0.3">
      <c r="A438" s="2"/>
      <c r="B438" s="65" t="str">
        <f t="shared" si="24"/>
        <v/>
      </c>
      <c r="C438" s="60"/>
      <c r="D438" s="65" t="str">
        <f>IF($E438="","",IFERROR(INDEX(MUSTERILER!$B$7:$B$156,MATCH($U438,MUSTERILER!$T$7:$T$156,0)),IFERROR(INDEX(MUSTERILER!$B$7:$B$156,MATCH($E438,MUSTERILER!$B$7:$B$156,0)),IFERROR(INDEX(MUSTERILER!$B$7:$B$156,MATCH($U438&amp;"*",MUSTERILER!$T$7:$T$156,0)),"TANIMSIZ MÜŞTERİ"))))</f>
        <v/>
      </c>
      <c r="E438" s="61"/>
      <c r="F438" s="61"/>
      <c r="G438" s="60"/>
      <c r="H438" s="66"/>
      <c r="I438" s="66"/>
      <c r="J438" s="60"/>
      <c r="K438" s="60"/>
      <c r="L438" s="61"/>
      <c r="M438" s="61"/>
      <c r="N438" s="61"/>
      <c r="O438" s="66"/>
      <c r="P438" s="76" t="str">
        <f t="shared" ca="1" si="25"/>
        <v/>
      </c>
      <c r="Q438" s="65" t="str">
        <f t="shared" ca="1" si="26"/>
        <v/>
      </c>
      <c r="R438" s="2"/>
      <c r="S438" s="2"/>
      <c r="T438" s="1"/>
      <c r="U438" s="1" t="str">
        <f t="shared" si="27"/>
        <v/>
      </c>
    </row>
    <row r="439" spans="1:21" ht="18" customHeight="1" x14ac:dyDescent="0.3">
      <c r="A439" s="2"/>
      <c r="B439" s="65" t="str">
        <f t="shared" si="24"/>
        <v/>
      </c>
      <c r="C439" s="60"/>
      <c r="D439" s="65" t="str">
        <f>IF($E439="","",IFERROR(INDEX(MUSTERILER!$B$7:$B$156,MATCH($U439,MUSTERILER!$T$7:$T$156,0)),IFERROR(INDEX(MUSTERILER!$B$7:$B$156,MATCH($E439,MUSTERILER!$B$7:$B$156,0)),IFERROR(INDEX(MUSTERILER!$B$7:$B$156,MATCH($U439&amp;"*",MUSTERILER!$T$7:$T$156,0)),"TANIMSIZ MÜŞTERİ"))))</f>
        <v/>
      </c>
      <c r="E439" s="61"/>
      <c r="F439" s="61"/>
      <c r="G439" s="60"/>
      <c r="H439" s="66"/>
      <c r="I439" s="66"/>
      <c r="J439" s="60"/>
      <c r="K439" s="60"/>
      <c r="L439" s="61"/>
      <c r="M439" s="61"/>
      <c r="N439" s="61"/>
      <c r="O439" s="66"/>
      <c r="P439" s="76" t="str">
        <f t="shared" ca="1" si="25"/>
        <v/>
      </c>
      <c r="Q439" s="65" t="str">
        <f t="shared" ca="1" si="26"/>
        <v/>
      </c>
      <c r="R439" s="2"/>
      <c r="S439" s="2"/>
      <c r="T439" s="1"/>
      <c r="U439" s="1" t="str">
        <f t="shared" si="27"/>
        <v/>
      </c>
    </row>
    <row r="440" spans="1:21" ht="18" customHeight="1" x14ac:dyDescent="0.3">
      <c r="A440" s="2"/>
      <c r="B440" s="65" t="str">
        <f t="shared" si="24"/>
        <v/>
      </c>
      <c r="C440" s="60"/>
      <c r="D440" s="65" t="str">
        <f>IF($E440="","",IFERROR(INDEX(MUSTERILER!$B$7:$B$156,MATCH($U440,MUSTERILER!$T$7:$T$156,0)),IFERROR(INDEX(MUSTERILER!$B$7:$B$156,MATCH($E440,MUSTERILER!$B$7:$B$156,0)),IFERROR(INDEX(MUSTERILER!$B$7:$B$156,MATCH($U440&amp;"*",MUSTERILER!$T$7:$T$156,0)),"TANIMSIZ MÜŞTERİ"))))</f>
        <v/>
      </c>
      <c r="E440" s="61"/>
      <c r="F440" s="61"/>
      <c r="G440" s="60"/>
      <c r="H440" s="66"/>
      <c r="I440" s="66"/>
      <c r="J440" s="60"/>
      <c r="K440" s="60"/>
      <c r="L440" s="61"/>
      <c r="M440" s="61"/>
      <c r="N440" s="61"/>
      <c r="O440" s="66"/>
      <c r="P440" s="76" t="str">
        <f t="shared" ca="1" si="25"/>
        <v/>
      </c>
      <c r="Q440" s="65" t="str">
        <f t="shared" ca="1" si="26"/>
        <v/>
      </c>
      <c r="R440" s="2"/>
      <c r="S440" s="2"/>
      <c r="T440" s="1"/>
      <c r="U440" s="1" t="str">
        <f t="shared" si="27"/>
        <v/>
      </c>
    </row>
    <row r="441" spans="1:21" ht="18" customHeight="1" x14ac:dyDescent="0.3">
      <c r="A441" s="2"/>
      <c r="B441" s="65" t="str">
        <f t="shared" si="24"/>
        <v/>
      </c>
      <c r="C441" s="60"/>
      <c r="D441" s="65" t="str">
        <f>IF($E441="","",IFERROR(INDEX(MUSTERILER!$B$7:$B$156,MATCH($U441,MUSTERILER!$T$7:$T$156,0)),IFERROR(INDEX(MUSTERILER!$B$7:$B$156,MATCH($E441,MUSTERILER!$B$7:$B$156,0)),IFERROR(INDEX(MUSTERILER!$B$7:$B$156,MATCH($U441&amp;"*",MUSTERILER!$T$7:$T$156,0)),"TANIMSIZ MÜŞTERİ"))))</f>
        <v/>
      </c>
      <c r="E441" s="61"/>
      <c r="F441" s="61"/>
      <c r="G441" s="60"/>
      <c r="H441" s="66"/>
      <c r="I441" s="66"/>
      <c r="J441" s="60"/>
      <c r="K441" s="60"/>
      <c r="L441" s="61"/>
      <c r="M441" s="61"/>
      <c r="N441" s="61"/>
      <c r="O441" s="66"/>
      <c r="P441" s="76" t="str">
        <f t="shared" ca="1" si="25"/>
        <v/>
      </c>
      <c r="Q441" s="65" t="str">
        <f t="shared" ca="1" si="26"/>
        <v/>
      </c>
      <c r="R441" s="2"/>
      <c r="S441" s="2"/>
      <c r="T441" s="1"/>
      <c r="U441" s="1" t="str">
        <f t="shared" si="27"/>
        <v/>
      </c>
    </row>
    <row r="442" spans="1:21" ht="18" customHeight="1" x14ac:dyDescent="0.3">
      <c r="A442" s="2"/>
      <c r="B442" s="65" t="str">
        <f t="shared" si="24"/>
        <v/>
      </c>
      <c r="C442" s="60"/>
      <c r="D442" s="65" t="str">
        <f>IF($E442="","",IFERROR(INDEX(MUSTERILER!$B$7:$B$156,MATCH($U442,MUSTERILER!$T$7:$T$156,0)),IFERROR(INDEX(MUSTERILER!$B$7:$B$156,MATCH($E442,MUSTERILER!$B$7:$B$156,0)),IFERROR(INDEX(MUSTERILER!$B$7:$B$156,MATCH($U442&amp;"*",MUSTERILER!$T$7:$T$156,0)),"TANIMSIZ MÜŞTERİ"))))</f>
        <v/>
      </c>
      <c r="E442" s="61"/>
      <c r="F442" s="61"/>
      <c r="G442" s="60"/>
      <c r="H442" s="66"/>
      <c r="I442" s="66"/>
      <c r="J442" s="60"/>
      <c r="K442" s="60"/>
      <c r="L442" s="61"/>
      <c r="M442" s="61"/>
      <c r="N442" s="61"/>
      <c r="O442" s="66"/>
      <c r="P442" s="76" t="str">
        <f t="shared" ca="1" si="25"/>
        <v/>
      </c>
      <c r="Q442" s="65" t="str">
        <f t="shared" ca="1" si="26"/>
        <v/>
      </c>
      <c r="R442" s="2"/>
      <c r="S442" s="2"/>
      <c r="T442" s="1"/>
      <c r="U442" s="1" t="str">
        <f t="shared" si="27"/>
        <v/>
      </c>
    </row>
    <row r="443" spans="1:21" ht="18" customHeight="1" x14ac:dyDescent="0.3">
      <c r="A443" s="2"/>
      <c r="B443" s="65" t="str">
        <f t="shared" si="24"/>
        <v/>
      </c>
      <c r="C443" s="60"/>
      <c r="D443" s="65" t="str">
        <f>IF($E443="","",IFERROR(INDEX(MUSTERILER!$B$7:$B$156,MATCH($U443,MUSTERILER!$T$7:$T$156,0)),IFERROR(INDEX(MUSTERILER!$B$7:$B$156,MATCH($E443,MUSTERILER!$B$7:$B$156,0)),IFERROR(INDEX(MUSTERILER!$B$7:$B$156,MATCH($U443&amp;"*",MUSTERILER!$T$7:$T$156,0)),"TANIMSIZ MÜŞTERİ"))))</f>
        <v/>
      </c>
      <c r="E443" s="61"/>
      <c r="F443" s="61"/>
      <c r="G443" s="60"/>
      <c r="H443" s="66"/>
      <c r="I443" s="66"/>
      <c r="J443" s="60"/>
      <c r="K443" s="60"/>
      <c r="L443" s="61"/>
      <c r="M443" s="61"/>
      <c r="N443" s="61"/>
      <c r="O443" s="66"/>
      <c r="P443" s="76" t="str">
        <f t="shared" ca="1" si="25"/>
        <v/>
      </c>
      <c r="Q443" s="65" t="str">
        <f t="shared" ca="1" si="26"/>
        <v/>
      </c>
      <c r="R443" s="2"/>
      <c r="S443" s="2"/>
      <c r="T443" s="1"/>
      <c r="U443" s="1" t="str">
        <f t="shared" si="27"/>
        <v/>
      </c>
    </row>
    <row r="444" spans="1:21" ht="18" customHeight="1" x14ac:dyDescent="0.3">
      <c r="A444" s="2"/>
      <c r="B444" s="65" t="str">
        <f t="shared" si="24"/>
        <v/>
      </c>
      <c r="C444" s="60"/>
      <c r="D444" s="65" t="str">
        <f>IF($E444="","",IFERROR(INDEX(MUSTERILER!$B$7:$B$156,MATCH($U444,MUSTERILER!$T$7:$T$156,0)),IFERROR(INDEX(MUSTERILER!$B$7:$B$156,MATCH($E444,MUSTERILER!$B$7:$B$156,0)),IFERROR(INDEX(MUSTERILER!$B$7:$B$156,MATCH($U444&amp;"*",MUSTERILER!$T$7:$T$156,0)),"TANIMSIZ MÜŞTERİ"))))</f>
        <v/>
      </c>
      <c r="E444" s="61"/>
      <c r="F444" s="61"/>
      <c r="G444" s="60"/>
      <c r="H444" s="66"/>
      <c r="I444" s="66"/>
      <c r="J444" s="60"/>
      <c r="K444" s="60"/>
      <c r="L444" s="61"/>
      <c r="M444" s="61"/>
      <c r="N444" s="61"/>
      <c r="O444" s="66"/>
      <c r="P444" s="76" t="str">
        <f t="shared" ca="1" si="25"/>
        <v/>
      </c>
      <c r="Q444" s="65" t="str">
        <f t="shared" ca="1" si="26"/>
        <v/>
      </c>
      <c r="R444" s="2"/>
      <c r="S444" s="2"/>
      <c r="T444" s="1"/>
      <c r="U444" s="1" t="str">
        <f t="shared" si="27"/>
        <v/>
      </c>
    </row>
    <row r="445" spans="1:21" ht="18" customHeight="1" x14ac:dyDescent="0.3">
      <c r="A445" s="2"/>
      <c r="B445" s="65" t="str">
        <f t="shared" si="24"/>
        <v/>
      </c>
      <c r="C445" s="60"/>
      <c r="D445" s="65" t="str">
        <f>IF($E445="","",IFERROR(INDEX(MUSTERILER!$B$7:$B$156,MATCH($U445,MUSTERILER!$T$7:$T$156,0)),IFERROR(INDEX(MUSTERILER!$B$7:$B$156,MATCH($E445,MUSTERILER!$B$7:$B$156,0)),IFERROR(INDEX(MUSTERILER!$B$7:$B$156,MATCH($U445&amp;"*",MUSTERILER!$T$7:$T$156,0)),"TANIMSIZ MÜŞTERİ"))))</f>
        <v/>
      </c>
      <c r="E445" s="61"/>
      <c r="F445" s="61"/>
      <c r="G445" s="60"/>
      <c r="H445" s="66"/>
      <c r="I445" s="66"/>
      <c r="J445" s="60"/>
      <c r="K445" s="60"/>
      <c r="L445" s="61"/>
      <c r="M445" s="61"/>
      <c r="N445" s="61"/>
      <c r="O445" s="66"/>
      <c r="P445" s="76" t="str">
        <f t="shared" ca="1" si="25"/>
        <v/>
      </c>
      <c r="Q445" s="65" t="str">
        <f t="shared" ca="1" si="26"/>
        <v/>
      </c>
      <c r="R445" s="2"/>
      <c r="S445" s="2"/>
      <c r="T445" s="1"/>
      <c r="U445" s="1" t="str">
        <f t="shared" si="27"/>
        <v/>
      </c>
    </row>
    <row r="446" spans="1:21" ht="18" customHeight="1" x14ac:dyDescent="0.3">
      <c r="A446" s="2"/>
      <c r="B446" s="65" t="str">
        <f t="shared" si="24"/>
        <v/>
      </c>
      <c r="C446" s="60"/>
      <c r="D446" s="65" t="str">
        <f>IF($E446="","",IFERROR(INDEX(MUSTERILER!$B$7:$B$156,MATCH($U446,MUSTERILER!$T$7:$T$156,0)),IFERROR(INDEX(MUSTERILER!$B$7:$B$156,MATCH($E446,MUSTERILER!$B$7:$B$156,0)),IFERROR(INDEX(MUSTERILER!$B$7:$B$156,MATCH($U446&amp;"*",MUSTERILER!$T$7:$T$156,0)),"TANIMSIZ MÜŞTERİ"))))</f>
        <v/>
      </c>
      <c r="E446" s="61"/>
      <c r="F446" s="61"/>
      <c r="G446" s="60"/>
      <c r="H446" s="66"/>
      <c r="I446" s="66"/>
      <c r="J446" s="60"/>
      <c r="K446" s="60"/>
      <c r="L446" s="61"/>
      <c r="M446" s="61"/>
      <c r="N446" s="61"/>
      <c r="O446" s="66"/>
      <c r="P446" s="76" t="str">
        <f t="shared" ca="1" si="25"/>
        <v/>
      </c>
      <c r="Q446" s="65" t="str">
        <f t="shared" ca="1" si="26"/>
        <v/>
      </c>
      <c r="R446" s="2"/>
      <c r="S446" s="2"/>
      <c r="T446" s="1"/>
      <c r="U446" s="1" t="str">
        <f t="shared" si="27"/>
        <v/>
      </c>
    </row>
    <row r="447" spans="1:21" ht="18" customHeight="1" x14ac:dyDescent="0.3">
      <c r="A447" s="2"/>
      <c r="B447" s="65" t="str">
        <f t="shared" si="24"/>
        <v/>
      </c>
      <c r="C447" s="60"/>
      <c r="D447" s="65" t="str">
        <f>IF($E447="","",IFERROR(INDEX(MUSTERILER!$B$7:$B$156,MATCH($U447,MUSTERILER!$T$7:$T$156,0)),IFERROR(INDEX(MUSTERILER!$B$7:$B$156,MATCH($E447,MUSTERILER!$B$7:$B$156,0)),IFERROR(INDEX(MUSTERILER!$B$7:$B$156,MATCH($U447&amp;"*",MUSTERILER!$T$7:$T$156,0)),"TANIMSIZ MÜŞTERİ"))))</f>
        <v/>
      </c>
      <c r="E447" s="61"/>
      <c r="F447" s="61"/>
      <c r="G447" s="60"/>
      <c r="H447" s="66"/>
      <c r="I447" s="66"/>
      <c r="J447" s="60"/>
      <c r="K447" s="60"/>
      <c r="L447" s="61"/>
      <c r="M447" s="61"/>
      <c r="N447" s="61"/>
      <c r="O447" s="66"/>
      <c r="P447" s="76" t="str">
        <f t="shared" ca="1" si="25"/>
        <v/>
      </c>
      <c r="Q447" s="65" t="str">
        <f t="shared" ca="1" si="26"/>
        <v/>
      </c>
      <c r="R447" s="2"/>
      <c r="S447" s="2"/>
      <c r="T447" s="1"/>
      <c r="U447" s="1" t="str">
        <f t="shared" si="27"/>
        <v/>
      </c>
    </row>
    <row r="448" spans="1:21" ht="18" customHeight="1" x14ac:dyDescent="0.3">
      <c r="A448" s="2"/>
      <c r="B448" s="65" t="str">
        <f t="shared" si="24"/>
        <v/>
      </c>
      <c r="C448" s="60"/>
      <c r="D448" s="65" t="str">
        <f>IF($E448="","",IFERROR(INDEX(MUSTERILER!$B$7:$B$156,MATCH($U448,MUSTERILER!$T$7:$T$156,0)),IFERROR(INDEX(MUSTERILER!$B$7:$B$156,MATCH($E448,MUSTERILER!$B$7:$B$156,0)),IFERROR(INDEX(MUSTERILER!$B$7:$B$156,MATCH($U448&amp;"*",MUSTERILER!$T$7:$T$156,0)),"TANIMSIZ MÜŞTERİ"))))</f>
        <v/>
      </c>
      <c r="E448" s="61"/>
      <c r="F448" s="61"/>
      <c r="G448" s="60"/>
      <c r="H448" s="66"/>
      <c r="I448" s="66"/>
      <c r="J448" s="60"/>
      <c r="K448" s="60"/>
      <c r="L448" s="61"/>
      <c r="M448" s="61"/>
      <c r="N448" s="61"/>
      <c r="O448" s="66"/>
      <c r="P448" s="76" t="str">
        <f t="shared" ca="1" si="25"/>
        <v/>
      </c>
      <c r="Q448" s="65" t="str">
        <f t="shared" ca="1" si="26"/>
        <v/>
      </c>
      <c r="R448" s="2"/>
      <c r="S448" s="2"/>
      <c r="T448" s="1"/>
      <c r="U448" s="1" t="str">
        <f t="shared" si="27"/>
        <v/>
      </c>
    </row>
    <row r="449" spans="1:21" ht="18" customHeight="1" x14ac:dyDescent="0.3">
      <c r="A449" s="2"/>
      <c r="B449" s="65" t="str">
        <f t="shared" si="24"/>
        <v/>
      </c>
      <c r="C449" s="60"/>
      <c r="D449" s="65" t="str">
        <f>IF($E449="","",IFERROR(INDEX(MUSTERILER!$B$7:$B$156,MATCH($U449,MUSTERILER!$T$7:$T$156,0)),IFERROR(INDEX(MUSTERILER!$B$7:$B$156,MATCH($E449,MUSTERILER!$B$7:$B$156,0)),IFERROR(INDEX(MUSTERILER!$B$7:$B$156,MATCH($U449&amp;"*",MUSTERILER!$T$7:$T$156,0)),"TANIMSIZ MÜŞTERİ"))))</f>
        <v/>
      </c>
      <c r="E449" s="61"/>
      <c r="F449" s="61"/>
      <c r="G449" s="60"/>
      <c r="H449" s="66"/>
      <c r="I449" s="66"/>
      <c r="J449" s="60"/>
      <c r="K449" s="60"/>
      <c r="L449" s="61"/>
      <c r="M449" s="61"/>
      <c r="N449" s="61"/>
      <c r="O449" s="66"/>
      <c r="P449" s="76" t="str">
        <f t="shared" ca="1" si="25"/>
        <v/>
      </c>
      <c r="Q449" s="65" t="str">
        <f t="shared" ca="1" si="26"/>
        <v/>
      </c>
      <c r="R449" s="2"/>
      <c r="S449" s="2"/>
      <c r="T449" s="1"/>
      <c r="U449" s="1" t="str">
        <f t="shared" si="27"/>
        <v/>
      </c>
    </row>
    <row r="450" spans="1:21" ht="18" customHeight="1" x14ac:dyDescent="0.3">
      <c r="A450" s="2"/>
      <c r="B450" s="65" t="str">
        <f t="shared" si="24"/>
        <v/>
      </c>
      <c r="C450" s="60"/>
      <c r="D450" s="65" t="str">
        <f>IF($E450="","",IFERROR(INDEX(MUSTERILER!$B$7:$B$156,MATCH($U450,MUSTERILER!$T$7:$T$156,0)),IFERROR(INDEX(MUSTERILER!$B$7:$B$156,MATCH($E450,MUSTERILER!$B$7:$B$156,0)),IFERROR(INDEX(MUSTERILER!$B$7:$B$156,MATCH($U450&amp;"*",MUSTERILER!$T$7:$T$156,0)),"TANIMSIZ MÜŞTERİ"))))</f>
        <v/>
      </c>
      <c r="E450" s="61"/>
      <c r="F450" s="61"/>
      <c r="G450" s="60"/>
      <c r="H450" s="66"/>
      <c r="I450" s="66"/>
      <c r="J450" s="60"/>
      <c r="K450" s="60"/>
      <c r="L450" s="61"/>
      <c r="M450" s="61"/>
      <c r="N450" s="61"/>
      <c r="O450" s="66"/>
      <c r="P450" s="76" t="str">
        <f t="shared" ca="1" si="25"/>
        <v/>
      </c>
      <c r="Q450" s="65" t="str">
        <f t="shared" ca="1" si="26"/>
        <v/>
      </c>
      <c r="R450" s="2"/>
      <c r="S450" s="2"/>
      <c r="T450" s="1"/>
      <c r="U450" s="1" t="str">
        <f t="shared" si="27"/>
        <v/>
      </c>
    </row>
    <row r="451" spans="1:21" ht="18" customHeight="1" x14ac:dyDescent="0.3">
      <c r="A451" s="2"/>
      <c r="B451" s="65" t="str">
        <f t="shared" si="24"/>
        <v/>
      </c>
      <c r="C451" s="60"/>
      <c r="D451" s="65" t="str">
        <f>IF($E451="","",IFERROR(INDEX(MUSTERILER!$B$7:$B$156,MATCH($U451,MUSTERILER!$T$7:$T$156,0)),IFERROR(INDEX(MUSTERILER!$B$7:$B$156,MATCH($E451,MUSTERILER!$B$7:$B$156,0)),IFERROR(INDEX(MUSTERILER!$B$7:$B$156,MATCH($U451&amp;"*",MUSTERILER!$T$7:$T$156,0)),"TANIMSIZ MÜŞTERİ"))))</f>
        <v/>
      </c>
      <c r="E451" s="61"/>
      <c r="F451" s="61"/>
      <c r="G451" s="60"/>
      <c r="H451" s="66"/>
      <c r="I451" s="66"/>
      <c r="J451" s="60"/>
      <c r="K451" s="60"/>
      <c r="L451" s="61"/>
      <c r="M451" s="61"/>
      <c r="N451" s="61"/>
      <c r="O451" s="66"/>
      <c r="P451" s="76" t="str">
        <f t="shared" ca="1" si="25"/>
        <v/>
      </c>
      <c r="Q451" s="65" t="str">
        <f t="shared" ca="1" si="26"/>
        <v/>
      </c>
      <c r="R451" s="2"/>
      <c r="S451" s="2"/>
      <c r="T451" s="1"/>
      <c r="U451" s="1" t="str">
        <f t="shared" si="27"/>
        <v/>
      </c>
    </row>
    <row r="452" spans="1:21" ht="18" customHeight="1" x14ac:dyDescent="0.3">
      <c r="A452" s="2"/>
      <c r="B452" s="65" t="str">
        <f t="shared" si="24"/>
        <v/>
      </c>
      <c r="C452" s="60"/>
      <c r="D452" s="65" t="str">
        <f>IF($E452="","",IFERROR(INDEX(MUSTERILER!$B$7:$B$156,MATCH($U452,MUSTERILER!$T$7:$T$156,0)),IFERROR(INDEX(MUSTERILER!$B$7:$B$156,MATCH($E452,MUSTERILER!$B$7:$B$156,0)),IFERROR(INDEX(MUSTERILER!$B$7:$B$156,MATCH($U452&amp;"*",MUSTERILER!$T$7:$T$156,0)),"TANIMSIZ MÜŞTERİ"))))</f>
        <v/>
      </c>
      <c r="E452" s="61"/>
      <c r="F452" s="61"/>
      <c r="G452" s="60"/>
      <c r="H452" s="66"/>
      <c r="I452" s="66"/>
      <c r="J452" s="60"/>
      <c r="K452" s="60"/>
      <c r="L452" s="61"/>
      <c r="M452" s="61"/>
      <c r="N452" s="61"/>
      <c r="O452" s="66"/>
      <c r="P452" s="76" t="str">
        <f t="shared" ca="1" si="25"/>
        <v/>
      </c>
      <c r="Q452" s="65" t="str">
        <f t="shared" ca="1" si="26"/>
        <v/>
      </c>
      <c r="R452" s="2"/>
      <c r="S452" s="2"/>
      <c r="T452" s="1"/>
      <c r="U452" s="1" t="str">
        <f t="shared" si="27"/>
        <v/>
      </c>
    </row>
    <row r="453" spans="1:21" ht="18" customHeight="1" x14ac:dyDescent="0.3">
      <c r="A453" s="2"/>
      <c r="B453" s="65" t="str">
        <f t="shared" si="24"/>
        <v/>
      </c>
      <c r="C453" s="60"/>
      <c r="D453" s="65" t="str">
        <f>IF($E453="","",IFERROR(INDEX(MUSTERILER!$B$7:$B$156,MATCH($U453,MUSTERILER!$T$7:$T$156,0)),IFERROR(INDEX(MUSTERILER!$B$7:$B$156,MATCH($E453,MUSTERILER!$B$7:$B$156,0)),IFERROR(INDEX(MUSTERILER!$B$7:$B$156,MATCH($U453&amp;"*",MUSTERILER!$T$7:$T$156,0)),"TANIMSIZ MÜŞTERİ"))))</f>
        <v/>
      </c>
      <c r="E453" s="61"/>
      <c r="F453" s="61"/>
      <c r="G453" s="60"/>
      <c r="H453" s="66"/>
      <c r="I453" s="66"/>
      <c r="J453" s="60"/>
      <c r="K453" s="60"/>
      <c r="L453" s="61"/>
      <c r="M453" s="61"/>
      <c r="N453" s="61"/>
      <c r="O453" s="66"/>
      <c r="P453" s="76" t="str">
        <f t="shared" ca="1" si="25"/>
        <v/>
      </c>
      <c r="Q453" s="65" t="str">
        <f t="shared" ca="1" si="26"/>
        <v/>
      </c>
      <c r="R453" s="2"/>
      <c r="S453" s="2"/>
      <c r="T453" s="1"/>
      <c r="U453" s="1" t="str">
        <f t="shared" si="27"/>
        <v/>
      </c>
    </row>
    <row r="454" spans="1:21" ht="18" customHeight="1" x14ac:dyDescent="0.3">
      <c r="A454" s="2"/>
      <c r="B454" s="65" t="str">
        <f t="shared" si="24"/>
        <v/>
      </c>
      <c r="C454" s="60"/>
      <c r="D454" s="65" t="str">
        <f>IF($E454="","",IFERROR(INDEX(MUSTERILER!$B$7:$B$156,MATCH($U454,MUSTERILER!$T$7:$T$156,0)),IFERROR(INDEX(MUSTERILER!$B$7:$B$156,MATCH($E454,MUSTERILER!$B$7:$B$156,0)),IFERROR(INDEX(MUSTERILER!$B$7:$B$156,MATCH($U454&amp;"*",MUSTERILER!$T$7:$T$156,0)),"TANIMSIZ MÜŞTERİ"))))</f>
        <v/>
      </c>
      <c r="E454" s="61"/>
      <c r="F454" s="61"/>
      <c r="G454" s="60"/>
      <c r="H454" s="66"/>
      <c r="I454" s="66"/>
      <c r="J454" s="60"/>
      <c r="K454" s="60"/>
      <c r="L454" s="61"/>
      <c r="M454" s="61"/>
      <c r="N454" s="61"/>
      <c r="O454" s="66"/>
      <c r="P454" s="76" t="str">
        <f t="shared" ca="1" si="25"/>
        <v/>
      </c>
      <c r="Q454" s="65" t="str">
        <f t="shared" ca="1" si="26"/>
        <v/>
      </c>
      <c r="R454" s="2"/>
      <c r="S454" s="2"/>
      <c r="T454" s="1"/>
      <c r="U454" s="1" t="str">
        <f t="shared" si="27"/>
        <v/>
      </c>
    </row>
    <row r="455" spans="1:21" ht="18" customHeight="1" x14ac:dyDescent="0.3">
      <c r="A455" s="2"/>
      <c r="B455" s="65" t="str">
        <f t="shared" ref="B455:B518" si="28">IF($E455="","","A"&amp;TEXT(ROW()-6,"00000"))</f>
        <v/>
      </c>
      <c r="C455" s="60"/>
      <c r="D455" s="65" t="str">
        <f>IF($E455="","",IFERROR(INDEX(MUSTERILER!$B$7:$B$156,MATCH($U455,MUSTERILER!$T$7:$T$156,0)),IFERROR(INDEX(MUSTERILER!$B$7:$B$156,MATCH($E455,MUSTERILER!$B$7:$B$156,0)),IFERROR(INDEX(MUSTERILER!$B$7:$B$156,MATCH($U455&amp;"*",MUSTERILER!$T$7:$T$156,0)),"TANIMSIZ MÜŞTERİ"))))</f>
        <v/>
      </c>
      <c r="E455" s="61"/>
      <c r="F455" s="61"/>
      <c r="G455" s="60"/>
      <c r="H455" s="66"/>
      <c r="I455" s="66"/>
      <c r="J455" s="60"/>
      <c r="K455" s="60"/>
      <c r="L455" s="61"/>
      <c r="M455" s="61"/>
      <c r="N455" s="61"/>
      <c r="O455" s="66"/>
      <c r="P455" s="76" t="str">
        <f t="shared" ref="P455:P518" ca="1" si="29">IF(OR($E455="",$I455=""),"",IF(OR($J455="Tamamlandı",$J455="İptal"),"",$I455-TODAY()))</f>
        <v/>
      </c>
      <c r="Q455" s="65" t="str">
        <f t="shared" ref="Q455:Q518" ca="1" si="30"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2"/>
      <c r="S455" s="2"/>
      <c r="T455" s="1"/>
      <c r="U455" s="1" t="str">
        <f t="shared" ref="U455:U518" si="31">IF($E455="","",UPPER(SUBSTITUTE(SUBSTITUTE(SUBSTITUTE(SUBSTITUTE(SUBSTITUTE(SUBSTITUTE(SUBSTITUTE(SUBSTITUTE(SUBSTITUTE(SUBSTITUTE(SUBSTITUTE(SUBSTITUTE(SUBSTITUTE(SUBSTITUTE(SUBSTITUTE(SUBSTITUTE(SUBSTITUTE(SUBSTITUTE(TRIM($E455),"'",""),"İ","I"),"ı","I"),"i","I"),"Ş","S"),"ş","S"),"Ğ","G"),"ğ","G"),"Ü","U"),"ü","U"),"Ö","O"),"ö","O"),"Ç","C"),"ç","C"),".",""),",","")," ",""),"-","")))</f>
        <v/>
      </c>
    </row>
    <row r="456" spans="1:21" ht="18" customHeight="1" x14ac:dyDescent="0.3">
      <c r="A456" s="2"/>
      <c r="B456" s="65" t="str">
        <f t="shared" si="28"/>
        <v/>
      </c>
      <c r="C456" s="60"/>
      <c r="D456" s="65" t="str">
        <f>IF($E456="","",IFERROR(INDEX(MUSTERILER!$B$7:$B$156,MATCH($U456,MUSTERILER!$T$7:$T$156,0)),IFERROR(INDEX(MUSTERILER!$B$7:$B$156,MATCH($E456,MUSTERILER!$B$7:$B$156,0)),IFERROR(INDEX(MUSTERILER!$B$7:$B$156,MATCH($U456&amp;"*",MUSTERILER!$T$7:$T$156,0)),"TANIMSIZ MÜŞTERİ"))))</f>
        <v/>
      </c>
      <c r="E456" s="61"/>
      <c r="F456" s="61"/>
      <c r="G456" s="60"/>
      <c r="H456" s="66"/>
      <c r="I456" s="66"/>
      <c r="J456" s="60"/>
      <c r="K456" s="60"/>
      <c r="L456" s="61"/>
      <c r="M456" s="61"/>
      <c r="N456" s="61"/>
      <c r="O456" s="66"/>
      <c r="P456" s="76" t="str">
        <f t="shared" ca="1" si="29"/>
        <v/>
      </c>
      <c r="Q456" s="65" t="str">
        <f t="shared" ca="1" si="30"/>
        <v/>
      </c>
      <c r="R456" s="2"/>
      <c r="S456" s="2"/>
      <c r="T456" s="1"/>
      <c r="U456" s="1" t="str">
        <f t="shared" si="31"/>
        <v/>
      </c>
    </row>
    <row r="457" spans="1:21" ht="18" customHeight="1" x14ac:dyDescent="0.3">
      <c r="A457" s="2"/>
      <c r="B457" s="65" t="str">
        <f t="shared" si="28"/>
        <v/>
      </c>
      <c r="C457" s="60"/>
      <c r="D457" s="65" t="str">
        <f>IF($E457="","",IFERROR(INDEX(MUSTERILER!$B$7:$B$156,MATCH($U457,MUSTERILER!$T$7:$T$156,0)),IFERROR(INDEX(MUSTERILER!$B$7:$B$156,MATCH($E457,MUSTERILER!$B$7:$B$156,0)),IFERROR(INDEX(MUSTERILER!$B$7:$B$156,MATCH($U457&amp;"*",MUSTERILER!$T$7:$T$156,0)),"TANIMSIZ MÜŞTERİ"))))</f>
        <v/>
      </c>
      <c r="E457" s="61"/>
      <c r="F457" s="61"/>
      <c r="G457" s="60"/>
      <c r="H457" s="66"/>
      <c r="I457" s="66"/>
      <c r="J457" s="60"/>
      <c r="K457" s="60"/>
      <c r="L457" s="61"/>
      <c r="M457" s="61"/>
      <c r="N457" s="61"/>
      <c r="O457" s="66"/>
      <c r="P457" s="76" t="str">
        <f t="shared" ca="1" si="29"/>
        <v/>
      </c>
      <c r="Q457" s="65" t="str">
        <f t="shared" ca="1" si="30"/>
        <v/>
      </c>
      <c r="R457" s="2"/>
      <c r="S457" s="2"/>
      <c r="T457" s="1"/>
      <c r="U457" s="1" t="str">
        <f t="shared" si="31"/>
        <v/>
      </c>
    </row>
    <row r="458" spans="1:21" ht="18" customHeight="1" x14ac:dyDescent="0.3">
      <c r="A458" s="2"/>
      <c r="B458" s="65" t="str">
        <f t="shared" si="28"/>
        <v/>
      </c>
      <c r="C458" s="60"/>
      <c r="D458" s="65" t="str">
        <f>IF($E458="","",IFERROR(INDEX(MUSTERILER!$B$7:$B$156,MATCH($U458,MUSTERILER!$T$7:$T$156,0)),IFERROR(INDEX(MUSTERILER!$B$7:$B$156,MATCH($E458,MUSTERILER!$B$7:$B$156,0)),IFERROR(INDEX(MUSTERILER!$B$7:$B$156,MATCH($U458&amp;"*",MUSTERILER!$T$7:$T$156,0)),"TANIMSIZ MÜŞTERİ"))))</f>
        <v/>
      </c>
      <c r="E458" s="61"/>
      <c r="F458" s="61"/>
      <c r="G458" s="60"/>
      <c r="H458" s="66"/>
      <c r="I458" s="66"/>
      <c r="J458" s="60"/>
      <c r="K458" s="60"/>
      <c r="L458" s="61"/>
      <c r="M458" s="61"/>
      <c r="N458" s="61"/>
      <c r="O458" s="66"/>
      <c r="P458" s="76" t="str">
        <f t="shared" ca="1" si="29"/>
        <v/>
      </c>
      <c r="Q458" s="65" t="str">
        <f t="shared" ca="1" si="30"/>
        <v/>
      </c>
      <c r="R458" s="2"/>
      <c r="S458" s="2"/>
      <c r="T458" s="1"/>
      <c r="U458" s="1" t="str">
        <f t="shared" si="31"/>
        <v/>
      </c>
    </row>
    <row r="459" spans="1:21" ht="18" customHeight="1" x14ac:dyDescent="0.3">
      <c r="A459" s="2"/>
      <c r="B459" s="65" t="str">
        <f t="shared" si="28"/>
        <v/>
      </c>
      <c r="C459" s="60"/>
      <c r="D459" s="65" t="str">
        <f>IF($E459="","",IFERROR(INDEX(MUSTERILER!$B$7:$B$156,MATCH($U459,MUSTERILER!$T$7:$T$156,0)),IFERROR(INDEX(MUSTERILER!$B$7:$B$156,MATCH($E459,MUSTERILER!$B$7:$B$156,0)),IFERROR(INDEX(MUSTERILER!$B$7:$B$156,MATCH($U459&amp;"*",MUSTERILER!$T$7:$T$156,0)),"TANIMSIZ MÜŞTERİ"))))</f>
        <v/>
      </c>
      <c r="E459" s="61"/>
      <c r="F459" s="61"/>
      <c r="G459" s="60"/>
      <c r="H459" s="66"/>
      <c r="I459" s="66"/>
      <c r="J459" s="60"/>
      <c r="K459" s="60"/>
      <c r="L459" s="61"/>
      <c r="M459" s="61"/>
      <c r="N459" s="61"/>
      <c r="O459" s="66"/>
      <c r="P459" s="76" t="str">
        <f t="shared" ca="1" si="29"/>
        <v/>
      </c>
      <c r="Q459" s="65" t="str">
        <f t="shared" ca="1" si="30"/>
        <v/>
      </c>
      <c r="R459" s="2"/>
      <c r="S459" s="2"/>
      <c r="T459" s="1"/>
      <c r="U459" s="1" t="str">
        <f t="shared" si="31"/>
        <v/>
      </c>
    </row>
    <row r="460" spans="1:21" ht="18" customHeight="1" x14ac:dyDescent="0.3">
      <c r="A460" s="2"/>
      <c r="B460" s="65" t="str">
        <f t="shared" si="28"/>
        <v/>
      </c>
      <c r="C460" s="60"/>
      <c r="D460" s="65" t="str">
        <f>IF($E460="","",IFERROR(INDEX(MUSTERILER!$B$7:$B$156,MATCH($U460,MUSTERILER!$T$7:$T$156,0)),IFERROR(INDEX(MUSTERILER!$B$7:$B$156,MATCH($E460,MUSTERILER!$B$7:$B$156,0)),IFERROR(INDEX(MUSTERILER!$B$7:$B$156,MATCH($U460&amp;"*",MUSTERILER!$T$7:$T$156,0)),"TANIMSIZ MÜŞTERİ"))))</f>
        <v/>
      </c>
      <c r="E460" s="61"/>
      <c r="F460" s="61"/>
      <c r="G460" s="60"/>
      <c r="H460" s="66"/>
      <c r="I460" s="66"/>
      <c r="J460" s="60"/>
      <c r="K460" s="60"/>
      <c r="L460" s="61"/>
      <c r="M460" s="61"/>
      <c r="N460" s="61"/>
      <c r="O460" s="66"/>
      <c r="P460" s="76" t="str">
        <f t="shared" ca="1" si="29"/>
        <v/>
      </c>
      <c r="Q460" s="65" t="str">
        <f t="shared" ca="1" si="30"/>
        <v/>
      </c>
      <c r="R460" s="2"/>
      <c r="S460" s="2"/>
      <c r="T460" s="1"/>
      <c r="U460" s="1" t="str">
        <f t="shared" si="31"/>
        <v/>
      </c>
    </row>
    <row r="461" spans="1:21" ht="18" customHeight="1" x14ac:dyDescent="0.3">
      <c r="A461" s="2"/>
      <c r="B461" s="65" t="str">
        <f t="shared" si="28"/>
        <v/>
      </c>
      <c r="C461" s="60"/>
      <c r="D461" s="65" t="str">
        <f>IF($E461="","",IFERROR(INDEX(MUSTERILER!$B$7:$B$156,MATCH($U461,MUSTERILER!$T$7:$T$156,0)),IFERROR(INDEX(MUSTERILER!$B$7:$B$156,MATCH($E461,MUSTERILER!$B$7:$B$156,0)),IFERROR(INDEX(MUSTERILER!$B$7:$B$156,MATCH($U461&amp;"*",MUSTERILER!$T$7:$T$156,0)),"TANIMSIZ MÜŞTERİ"))))</f>
        <v/>
      </c>
      <c r="E461" s="61"/>
      <c r="F461" s="61"/>
      <c r="G461" s="60"/>
      <c r="H461" s="66"/>
      <c r="I461" s="66"/>
      <c r="J461" s="60"/>
      <c r="K461" s="60"/>
      <c r="L461" s="61"/>
      <c r="M461" s="61"/>
      <c r="N461" s="61"/>
      <c r="O461" s="66"/>
      <c r="P461" s="76" t="str">
        <f t="shared" ca="1" si="29"/>
        <v/>
      </c>
      <c r="Q461" s="65" t="str">
        <f t="shared" ca="1" si="30"/>
        <v/>
      </c>
      <c r="R461" s="2"/>
      <c r="S461" s="2"/>
      <c r="T461" s="1"/>
      <c r="U461" s="1" t="str">
        <f t="shared" si="31"/>
        <v/>
      </c>
    </row>
    <row r="462" spans="1:21" ht="18" customHeight="1" x14ac:dyDescent="0.3">
      <c r="A462" s="2"/>
      <c r="B462" s="65" t="str">
        <f t="shared" si="28"/>
        <v/>
      </c>
      <c r="C462" s="60"/>
      <c r="D462" s="65" t="str">
        <f>IF($E462="","",IFERROR(INDEX(MUSTERILER!$B$7:$B$156,MATCH($U462,MUSTERILER!$T$7:$T$156,0)),IFERROR(INDEX(MUSTERILER!$B$7:$B$156,MATCH($E462,MUSTERILER!$B$7:$B$156,0)),IFERROR(INDEX(MUSTERILER!$B$7:$B$156,MATCH($U462&amp;"*",MUSTERILER!$T$7:$T$156,0)),"TANIMSIZ MÜŞTERİ"))))</f>
        <v/>
      </c>
      <c r="E462" s="61"/>
      <c r="F462" s="61"/>
      <c r="G462" s="60"/>
      <c r="H462" s="66"/>
      <c r="I462" s="66"/>
      <c r="J462" s="60"/>
      <c r="K462" s="60"/>
      <c r="L462" s="61"/>
      <c r="M462" s="61"/>
      <c r="N462" s="61"/>
      <c r="O462" s="66"/>
      <c r="P462" s="76" t="str">
        <f t="shared" ca="1" si="29"/>
        <v/>
      </c>
      <c r="Q462" s="65" t="str">
        <f t="shared" ca="1" si="30"/>
        <v/>
      </c>
      <c r="R462" s="2"/>
      <c r="S462" s="2"/>
      <c r="T462" s="1"/>
      <c r="U462" s="1" t="str">
        <f t="shared" si="31"/>
        <v/>
      </c>
    </row>
    <row r="463" spans="1:21" ht="18" customHeight="1" x14ac:dyDescent="0.3">
      <c r="A463" s="2"/>
      <c r="B463" s="65" t="str">
        <f t="shared" si="28"/>
        <v/>
      </c>
      <c r="C463" s="60"/>
      <c r="D463" s="65" t="str">
        <f>IF($E463="","",IFERROR(INDEX(MUSTERILER!$B$7:$B$156,MATCH($U463,MUSTERILER!$T$7:$T$156,0)),IFERROR(INDEX(MUSTERILER!$B$7:$B$156,MATCH($E463,MUSTERILER!$B$7:$B$156,0)),IFERROR(INDEX(MUSTERILER!$B$7:$B$156,MATCH($U463&amp;"*",MUSTERILER!$T$7:$T$156,0)),"TANIMSIZ MÜŞTERİ"))))</f>
        <v/>
      </c>
      <c r="E463" s="61"/>
      <c r="F463" s="61"/>
      <c r="G463" s="60"/>
      <c r="H463" s="66"/>
      <c r="I463" s="66"/>
      <c r="J463" s="60"/>
      <c r="K463" s="60"/>
      <c r="L463" s="61"/>
      <c r="M463" s="61"/>
      <c r="N463" s="61"/>
      <c r="O463" s="66"/>
      <c r="P463" s="76" t="str">
        <f t="shared" ca="1" si="29"/>
        <v/>
      </c>
      <c r="Q463" s="65" t="str">
        <f t="shared" ca="1" si="30"/>
        <v/>
      </c>
      <c r="R463" s="2"/>
      <c r="S463" s="2"/>
      <c r="T463" s="1"/>
      <c r="U463" s="1" t="str">
        <f t="shared" si="31"/>
        <v/>
      </c>
    </row>
    <row r="464" spans="1:21" ht="18" customHeight="1" x14ac:dyDescent="0.3">
      <c r="A464" s="2"/>
      <c r="B464" s="65" t="str">
        <f t="shared" si="28"/>
        <v/>
      </c>
      <c r="C464" s="60"/>
      <c r="D464" s="65" t="str">
        <f>IF($E464="","",IFERROR(INDEX(MUSTERILER!$B$7:$B$156,MATCH($U464,MUSTERILER!$T$7:$T$156,0)),IFERROR(INDEX(MUSTERILER!$B$7:$B$156,MATCH($E464,MUSTERILER!$B$7:$B$156,0)),IFERROR(INDEX(MUSTERILER!$B$7:$B$156,MATCH($U464&amp;"*",MUSTERILER!$T$7:$T$156,0)),"TANIMSIZ MÜŞTERİ"))))</f>
        <v/>
      </c>
      <c r="E464" s="61"/>
      <c r="F464" s="61"/>
      <c r="G464" s="60"/>
      <c r="H464" s="66"/>
      <c r="I464" s="66"/>
      <c r="J464" s="60"/>
      <c r="K464" s="60"/>
      <c r="L464" s="61"/>
      <c r="M464" s="61"/>
      <c r="N464" s="61"/>
      <c r="O464" s="66"/>
      <c r="P464" s="76" t="str">
        <f t="shared" ca="1" si="29"/>
        <v/>
      </c>
      <c r="Q464" s="65" t="str">
        <f t="shared" ca="1" si="30"/>
        <v/>
      </c>
      <c r="R464" s="2"/>
      <c r="S464" s="2"/>
      <c r="T464" s="1"/>
      <c r="U464" s="1" t="str">
        <f t="shared" si="31"/>
        <v/>
      </c>
    </row>
    <row r="465" spans="1:21" ht="18" customHeight="1" x14ac:dyDescent="0.3">
      <c r="A465" s="2"/>
      <c r="B465" s="65" t="str">
        <f t="shared" si="28"/>
        <v/>
      </c>
      <c r="C465" s="60"/>
      <c r="D465" s="65" t="str">
        <f>IF($E465="","",IFERROR(INDEX(MUSTERILER!$B$7:$B$156,MATCH($U465,MUSTERILER!$T$7:$T$156,0)),IFERROR(INDEX(MUSTERILER!$B$7:$B$156,MATCH($E465,MUSTERILER!$B$7:$B$156,0)),IFERROR(INDEX(MUSTERILER!$B$7:$B$156,MATCH($U465&amp;"*",MUSTERILER!$T$7:$T$156,0)),"TANIMSIZ MÜŞTERİ"))))</f>
        <v/>
      </c>
      <c r="E465" s="61"/>
      <c r="F465" s="61"/>
      <c r="G465" s="60"/>
      <c r="H465" s="66"/>
      <c r="I465" s="66"/>
      <c r="J465" s="60"/>
      <c r="K465" s="60"/>
      <c r="L465" s="61"/>
      <c r="M465" s="61"/>
      <c r="N465" s="61"/>
      <c r="O465" s="66"/>
      <c r="P465" s="76" t="str">
        <f t="shared" ca="1" si="29"/>
        <v/>
      </c>
      <c r="Q465" s="65" t="str">
        <f t="shared" ca="1" si="30"/>
        <v/>
      </c>
      <c r="R465" s="2"/>
      <c r="S465" s="2"/>
      <c r="T465" s="1"/>
      <c r="U465" s="1" t="str">
        <f t="shared" si="31"/>
        <v/>
      </c>
    </row>
    <row r="466" spans="1:21" ht="18" customHeight="1" x14ac:dyDescent="0.3">
      <c r="A466" s="2"/>
      <c r="B466" s="65" t="str">
        <f t="shared" si="28"/>
        <v/>
      </c>
      <c r="C466" s="60"/>
      <c r="D466" s="65" t="str">
        <f>IF($E466="","",IFERROR(INDEX(MUSTERILER!$B$7:$B$156,MATCH($U466,MUSTERILER!$T$7:$T$156,0)),IFERROR(INDEX(MUSTERILER!$B$7:$B$156,MATCH($E466,MUSTERILER!$B$7:$B$156,0)),IFERROR(INDEX(MUSTERILER!$B$7:$B$156,MATCH($U466&amp;"*",MUSTERILER!$T$7:$T$156,0)),"TANIMSIZ MÜŞTERİ"))))</f>
        <v/>
      </c>
      <c r="E466" s="61"/>
      <c r="F466" s="61"/>
      <c r="G466" s="60"/>
      <c r="H466" s="66"/>
      <c r="I466" s="66"/>
      <c r="J466" s="60"/>
      <c r="K466" s="60"/>
      <c r="L466" s="61"/>
      <c r="M466" s="61"/>
      <c r="N466" s="61"/>
      <c r="O466" s="66"/>
      <c r="P466" s="76" t="str">
        <f t="shared" ca="1" si="29"/>
        <v/>
      </c>
      <c r="Q466" s="65" t="str">
        <f t="shared" ca="1" si="30"/>
        <v/>
      </c>
      <c r="R466" s="2"/>
      <c r="S466" s="2"/>
      <c r="T466" s="1"/>
      <c r="U466" s="1" t="str">
        <f t="shared" si="31"/>
        <v/>
      </c>
    </row>
    <row r="467" spans="1:21" ht="18" customHeight="1" x14ac:dyDescent="0.3">
      <c r="A467" s="2"/>
      <c r="B467" s="65" t="str">
        <f t="shared" si="28"/>
        <v/>
      </c>
      <c r="C467" s="60"/>
      <c r="D467" s="65" t="str">
        <f>IF($E467="","",IFERROR(INDEX(MUSTERILER!$B$7:$B$156,MATCH($U467,MUSTERILER!$T$7:$T$156,0)),IFERROR(INDEX(MUSTERILER!$B$7:$B$156,MATCH($E467,MUSTERILER!$B$7:$B$156,0)),IFERROR(INDEX(MUSTERILER!$B$7:$B$156,MATCH($U467&amp;"*",MUSTERILER!$T$7:$T$156,0)),"TANIMSIZ MÜŞTERİ"))))</f>
        <v/>
      </c>
      <c r="E467" s="61"/>
      <c r="F467" s="61"/>
      <c r="G467" s="60"/>
      <c r="H467" s="66"/>
      <c r="I467" s="66"/>
      <c r="J467" s="60"/>
      <c r="K467" s="60"/>
      <c r="L467" s="61"/>
      <c r="M467" s="61"/>
      <c r="N467" s="61"/>
      <c r="O467" s="66"/>
      <c r="P467" s="76" t="str">
        <f t="shared" ca="1" si="29"/>
        <v/>
      </c>
      <c r="Q467" s="65" t="str">
        <f t="shared" ca="1" si="30"/>
        <v/>
      </c>
      <c r="R467" s="2"/>
      <c r="S467" s="2"/>
      <c r="T467" s="1"/>
      <c r="U467" s="1" t="str">
        <f t="shared" si="31"/>
        <v/>
      </c>
    </row>
    <row r="468" spans="1:21" ht="18" customHeight="1" x14ac:dyDescent="0.3">
      <c r="A468" s="2"/>
      <c r="B468" s="65" t="str">
        <f t="shared" si="28"/>
        <v/>
      </c>
      <c r="C468" s="60"/>
      <c r="D468" s="65" t="str">
        <f>IF($E468="","",IFERROR(INDEX(MUSTERILER!$B$7:$B$156,MATCH($U468,MUSTERILER!$T$7:$T$156,0)),IFERROR(INDEX(MUSTERILER!$B$7:$B$156,MATCH($E468,MUSTERILER!$B$7:$B$156,0)),IFERROR(INDEX(MUSTERILER!$B$7:$B$156,MATCH($U468&amp;"*",MUSTERILER!$T$7:$T$156,0)),"TANIMSIZ MÜŞTERİ"))))</f>
        <v/>
      </c>
      <c r="E468" s="61"/>
      <c r="F468" s="61"/>
      <c r="G468" s="60"/>
      <c r="H468" s="66"/>
      <c r="I468" s="66"/>
      <c r="J468" s="60"/>
      <c r="K468" s="60"/>
      <c r="L468" s="61"/>
      <c r="M468" s="61"/>
      <c r="N468" s="61"/>
      <c r="O468" s="66"/>
      <c r="P468" s="76" t="str">
        <f t="shared" ca="1" si="29"/>
        <v/>
      </c>
      <c r="Q468" s="65" t="str">
        <f t="shared" ca="1" si="30"/>
        <v/>
      </c>
      <c r="R468" s="2"/>
      <c r="S468" s="2"/>
      <c r="T468" s="1"/>
      <c r="U468" s="1" t="str">
        <f t="shared" si="31"/>
        <v/>
      </c>
    </row>
    <row r="469" spans="1:21" ht="18" customHeight="1" x14ac:dyDescent="0.3">
      <c r="A469" s="2"/>
      <c r="B469" s="65" t="str">
        <f t="shared" si="28"/>
        <v/>
      </c>
      <c r="C469" s="60"/>
      <c r="D469" s="65" t="str">
        <f>IF($E469="","",IFERROR(INDEX(MUSTERILER!$B$7:$B$156,MATCH($U469,MUSTERILER!$T$7:$T$156,0)),IFERROR(INDEX(MUSTERILER!$B$7:$B$156,MATCH($E469,MUSTERILER!$B$7:$B$156,0)),IFERROR(INDEX(MUSTERILER!$B$7:$B$156,MATCH($U469&amp;"*",MUSTERILER!$T$7:$T$156,0)),"TANIMSIZ MÜŞTERİ"))))</f>
        <v/>
      </c>
      <c r="E469" s="61"/>
      <c r="F469" s="61"/>
      <c r="G469" s="60"/>
      <c r="H469" s="66"/>
      <c r="I469" s="66"/>
      <c r="J469" s="60"/>
      <c r="K469" s="60"/>
      <c r="L469" s="61"/>
      <c r="M469" s="61"/>
      <c r="N469" s="61"/>
      <c r="O469" s="66"/>
      <c r="P469" s="76" t="str">
        <f t="shared" ca="1" si="29"/>
        <v/>
      </c>
      <c r="Q469" s="65" t="str">
        <f t="shared" ca="1" si="30"/>
        <v/>
      </c>
      <c r="R469" s="2"/>
      <c r="S469" s="2"/>
      <c r="T469" s="1"/>
      <c r="U469" s="1" t="str">
        <f t="shared" si="31"/>
        <v/>
      </c>
    </row>
    <row r="470" spans="1:21" ht="18" customHeight="1" x14ac:dyDescent="0.3">
      <c r="A470" s="2"/>
      <c r="B470" s="65" t="str">
        <f t="shared" si="28"/>
        <v/>
      </c>
      <c r="C470" s="60"/>
      <c r="D470" s="65" t="str">
        <f>IF($E470="","",IFERROR(INDEX(MUSTERILER!$B$7:$B$156,MATCH($U470,MUSTERILER!$T$7:$T$156,0)),IFERROR(INDEX(MUSTERILER!$B$7:$B$156,MATCH($E470,MUSTERILER!$B$7:$B$156,0)),IFERROR(INDEX(MUSTERILER!$B$7:$B$156,MATCH($U470&amp;"*",MUSTERILER!$T$7:$T$156,0)),"TANIMSIZ MÜŞTERİ"))))</f>
        <v/>
      </c>
      <c r="E470" s="61"/>
      <c r="F470" s="61"/>
      <c r="G470" s="60"/>
      <c r="H470" s="66"/>
      <c r="I470" s="66"/>
      <c r="J470" s="60"/>
      <c r="K470" s="60"/>
      <c r="L470" s="61"/>
      <c r="M470" s="61"/>
      <c r="N470" s="61"/>
      <c r="O470" s="66"/>
      <c r="P470" s="76" t="str">
        <f t="shared" ca="1" si="29"/>
        <v/>
      </c>
      <c r="Q470" s="65" t="str">
        <f t="shared" ca="1" si="30"/>
        <v/>
      </c>
      <c r="R470" s="2"/>
      <c r="S470" s="2"/>
      <c r="T470" s="1"/>
      <c r="U470" s="1" t="str">
        <f t="shared" si="31"/>
        <v/>
      </c>
    </row>
    <row r="471" spans="1:21" ht="18" customHeight="1" x14ac:dyDescent="0.3">
      <c r="A471" s="2"/>
      <c r="B471" s="65" t="str">
        <f t="shared" si="28"/>
        <v/>
      </c>
      <c r="C471" s="60"/>
      <c r="D471" s="65" t="str">
        <f>IF($E471="","",IFERROR(INDEX(MUSTERILER!$B$7:$B$156,MATCH($U471,MUSTERILER!$T$7:$T$156,0)),IFERROR(INDEX(MUSTERILER!$B$7:$B$156,MATCH($E471,MUSTERILER!$B$7:$B$156,0)),IFERROR(INDEX(MUSTERILER!$B$7:$B$156,MATCH($U471&amp;"*",MUSTERILER!$T$7:$T$156,0)),"TANIMSIZ MÜŞTERİ"))))</f>
        <v/>
      </c>
      <c r="E471" s="61"/>
      <c r="F471" s="61"/>
      <c r="G471" s="60"/>
      <c r="H471" s="66"/>
      <c r="I471" s="66"/>
      <c r="J471" s="60"/>
      <c r="K471" s="60"/>
      <c r="L471" s="61"/>
      <c r="M471" s="61"/>
      <c r="N471" s="61"/>
      <c r="O471" s="66"/>
      <c r="P471" s="76" t="str">
        <f t="shared" ca="1" si="29"/>
        <v/>
      </c>
      <c r="Q471" s="65" t="str">
        <f t="shared" ca="1" si="30"/>
        <v/>
      </c>
      <c r="R471" s="2"/>
      <c r="S471" s="2"/>
      <c r="T471" s="1"/>
      <c r="U471" s="1" t="str">
        <f t="shared" si="31"/>
        <v/>
      </c>
    </row>
    <row r="472" spans="1:21" ht="18" customHeight="1" x14ac:dyDescent="0.3">
      <c r="A472" s="2"/>
      <c r="B472" s="65" t="str">
        <f t="shared" si="28"/>
        <v/>
      </c>
      <c r="C472" s="60"/>
      <c r="D472" s="65" t="str">
        <f>IF($E472="","",IFERROR(INDEX(MUSTERILER!$B$7:$B$156,MATCH($U472,MUSTERILER!$T$7:$T$156,0)),IFERROR(INDEX(MUSTERILER!$B$7:$B$156,MATCH($E472,MUSTERILER!$B$7:$B$156,0)),IFERROR(INDEX(MUSTERILER!$B$7:$B$156,MATCH($U472&amp;"*",MUSTERILER!$T$7:$T$156,0)),"TANIMSIZ MÜŞTERİ"))))</f>
        <v/>
      </c>
      <c r="E472" s="61"/>
      <c r="F472" s="61"/>
      <c r="G472" s="60"/>
      <c r="H472" s="66"/>
      <c r="I472" s="66"/>
      <c r="J472" s="60"/>
      <c r="K472" s="60"/>
      <c r="L472" s="61"/>
      <c r="M472" s="61"/>
      <c r="N472" s="61"/>
      <c r="O472" s="66"/>
      <c r="P472" s="76" t="str">
        <f t="shared" ca="1" si="29"/>
        <v/>
      </c>
      <c r="Q472" s="65" t="str">
        <f t="shared" ca="1" si="30"/>
        <v/>
      </c>
      <c r="R472" s="2"/>
      <c r="S472" s="2"/>
      <c r="T472" s="1"/>
      <c r="U472" s="1" t="str">
        <f t="shared" si="31"/>
        <v/>
      </c>
    </row>
    <row r="473" spans="1:21" ht="18" customHeight="1" x14ac:dyDescent="0.3">
      <c r="A473" s="2"/>
      <c r="B473" s="65" t="str">
        <f t="shared" si="28"/>
        <v/>
      </c>
      <c r="C473" s="60"/>
      <c r="D473" s="65" t="str">
        <f>IF($E473="","",IFERROR(INDEX(MUSTERILER!$B$7:$B$156,MATCH($U473,MUSTERILER!$T$7:$T$156,0)),IFERROR(INDEX(MUSTERILER!$B$7:$B$156,MATCH($E473,MUSTERILER!$B$7:$B$156,0)),IFERROR(INDEX(MUSTERILER!$B$7:$B$156,MATCH($U473&amp;"*",MUSTERILER!$T$7:$T$156,0)),"TANIMSIZ MÜŞTERİ"))))</f>
        <v/>
      </c>
      <c r="E473" s="61"/>
      <c r="F473" s="61"/>
      <c r="G473" s="60"/>
      <c r="H473" s="66"/>
      <c r="I473" s="66"/>
      <c r="J473" s="60"/>
      <c r="K473" s="60"/>
      <c r="L473" s="61"/>
      <c r="M473" s="61"/>
      <c r="N473" s="61"/>
      <c r="O473" s="66"/>
      <c r="P473" s="76" t="str">
        <f t="shared" ca="1" si="29"/>
        <v/>
      </c>
      <c r="Q473" s="65" t="str">
        <f t="shared" ca="1" si="30"/>
        <v/>
      </c>
      <c r="R473" s="2"/>
      <c r="S473" s="2"/>
      <c r="T473" s="1"/>
      <c r="U473" s="1" t="str">
        <f t="shared" si="31"/>
        <v/>
      </c>
    </row>
    <row r="474" spans="1:21" ht="18" customHeight="1" x14ac:dyDescent="0.3">
      <c r="A474" s="2"/>
      <c r="B474" s="65" t="str">
        <f t="shared" si="28"/>
        <v/>
      </c>
      <c r="C474" s="60"/>
      <c r="D474" s="65" t="str">
        <f>IF($E474="","",IFERROR(INDEX(MUSTERILER!$B$7:$B$156,MATCH($U474,MUSTERILER!$T$7:$T$156,0)),IFERROR(INDEX(MUSTERILER!$B$7:$B$156,MATCH($E474,MUSTERILER!$B$7:$B$156,0)),IFERROR(INDEX(MUSTERILER!$B$7:$B$156,MATCH($U474&amp;"*",MUSTERILER!$T$7:$T$156,0)),"TANIMSIZ MÜŞTERİ"))))</f>
        <v/>
      </c>
      <c r="E474" s="61"/>
      <c r="F474" s="61"/>
      <c r="G474" s="60"/>
      <c r="H474" s="66"/>
      <c r="I474" s="66"/>
      <c r="J474" s="60"/>
      <c r="K474" s="60"/>
      <c r="L474" s="61"/>
      <c r="M474" s="61"/>
      <c r="N474" s="61"/>
      <c r="O474" s="66"/>
      <c r="P474" s="76" t="str">
        <f t="shared" ca="1" si="29"/>
        <v/>
      </c>
      <c r="Q474" s="65" t="str">
        <f t="shared" ca="1" si="30"/>
        <v/>
      </c>
      <c r="R474" s="2"/>
      <c r="S474" s="2"/>
      <c r="T474" s="1"/>
      <c r="U474" s="1" t="str">
        <f t="shared" si="31"/>
        <v/>
      </c>
    </row>
    <row r="475" spans="1:21" ht="18" customHeight="1" x14ac:dyDescent="0.3">
      <c r="A475" s="2"/>
      <c r="B475" s="65" t="str">
        <f t="shared" si="28"/>
        <v/>
      </c>
      <c r="C475" s="60"/>
      <c r="D475" s="65" t="str">
        <f>IF($E475="","",IFERROR(INDEX(MUSTERILER!$B$7:$B$156,MATCH($U475,MUSTERILER!$T$7:$T$156,0)),IFERROR(INDEX(MUSTERILER!$B$7:$B$156,MATCH($E475,MUSTERILER!$B$7:$B$156,0)),IFERROR(INDEX(MUSTERILER!$B$7:$B$156,MATCH($U475&amp;"*",MUSTERILER!$T$7:$T$156,0)),"TANIMSIZ MÜŞTERİ"))))</f>
        <v/>
      </c>
      <c r="E475" s="61"/>
      <c r="F475" s="61"/>
      <c r="G475" s="60"/>
      <c r="H475" s="66"/>
      <c r="I475" s="66"/>
      <c r="J475" s="60"/>
      <c r="K475" s="60"/>
      <c r="L475" s="61"/>
      <c r="M475" s="61"/>
      <c r="N475" s="61"/>
      <c r="O475" s="66"/>
      <c r="P475" s="76" t="str">
        <f t="shared" ca="1" si="29"/>
        <v/>
      </c>
      <c r="Q475" s="65" t="str">
        <f t="shared" ca="1" si="30"/>
        <v/>
      </c>
      <c r="R475" s="2"/>
      <c r="S475" s="2"/>
      <c r="T475" s="1"/>
      <c r="U475" s="1" t="str">
        <f t="shared" si="31"/>
        <v/>
      </c>
    </row>
    <row r="476" spans="1:21" ht="18" customHeight="1" x14ac:dyDescent="0.3">
      <c r="A476" s="2"/>
      <c r="B476" s="65" t="str">
        <f t="shared" si="28"/>
        <v/>
      </c>
      <c r="C476" s="60"/>
      <c r="D476" s="65" t="str">
        <f>IF($E476="","",IFERROR(INDEX(MUSTERILER!$B$7:$B$156,MATCH($U476,MUSTERILER!$T$7:$T$156,0)),IFERROR(INDEX(MUSTERILER!$B$7:$B$156,MATCH($E476,MUSTERILER!$B$7:$B$156,0)),IFERROR(INDEX(MUSTERILER!$B$7:$B$156,MATCH($U476&amp;"*",MUSTERILER!$T$7:$T$156,0)),"TANIMSIZ MÜŞTERİ"))))</f>
        <v/>
      </c>
      <c r="E476" s="61"/>
      <c r="F476" s="61"/>
      <c r="G476" s="60"/>
      <c r="H476" s="66"/>
      <c r="I476" s="66"/>
      <c r="J476" s="60"/>
      <c r="K476" s="60"/>
      <c r="L476" s="61"/>
      <c r="M476" s="61"/>
      <c r="N476" s="61"/>
      <c r="O476" s="66"/>
      <c r="P476" s="76" t="str">
        <f t="shared" ca="1" si="29"/>
        <v/>
      </c>
      <c r="Q476" s="65" t="str">
        <f t="shared" ca="1" si="30"/>
        <v/>
      </c>
      <c r="R476" s="2"/>
      <c r="S476" s="2"/>
      <c r="T476" s="1"/>
      <c r="U476" s="1" t="str">
        <f t="shared" si="31"/>
        <v/>
      </c>
    </row>
    <row r="477" spans="1:21" ht="18" customHeight="1" x14ac:dyDescent="0.3">
      <c r="A477" s="2"/>
      <c r="B477" s="65" t="str">
        <f t="shared" si="28"/>
        <v/>
      </c>
      <c r="C477" s="60"/>
      <c r="D477" s="65" t="str">
        <f>IF($E477="","",IFERROR(INDEX(MUSTERILER!$B$7:$B$156,MATCH($U477,MUSTERILER!$T$7:$T$156,0)),IFERROR(INDEX(MUSTERILER!$B$7:$B$156,MATCH($E477,MUSTERILER!$B$7:$B$156,0)),IFERROR(INDEX(MUSTERILER!$B$7:$B$156,MATCH($U477&amp;"*",MUSTERILER!$T$7:$T$156,0)),"TANIMSIZ MÜŞTERİ"))))</f>
        <v/>
      </c>
      <c r="E477" s="61"/>
      <c r="F477" s="61"/>
      <c r="G477" s="60"/>
      <c r="H477" s="66"/>
      <c r="I477" s="66"/>
      <c r="J477" s="60"/>
      <c r="K477" s="60"/>
      <c r="L477" s="61"/>
      <c r="M477" s="61"/>
      <c r="N477" s="61"/>
      <c r="O477" s="66"/>
      <c r="P477" s="76" t="str">
        <f t="shared" ca="1" si="29"/>
        <v/>
      </c>
      <c r="Q477" s="65" t="str">
        <f t="shared" ca="1" si="30"/>
        <v/>
      </c>
      <c r="R477" s="2"/>
      <c r="S477" s="2"/>
      <c r="T477" s="1"/>
      <c r="U477" s="1" t="str">
        <f t="shared" si="31"/>
        <v/>
      </c>
    </row>
    <row r="478" spans="1:21" ht="18" customHeight="1" x14ac:dyDescent="0.3">
      <c r="A478" s="2"/>
      <c r="B478" s="65" t="str">
        <f t="shared" si="28"/>
        <v/>
      </c>
      <c r="C478" s="60"/>
      <c r="D478" s="65" t="str">
        <f>IF($E478="","",IFERROR(INDEX(MUSTERILER!$B$7:$B$156,MATCH($U478,MUSTERILER!$T$7:$T$156,0)),IFERROR(INDEX(MUSTERILER!$B$7:$B$156,MATCH($E478,MUSTERILER!$B$7:$B$156,0)),IFERROR(INDEX(MUSTERILER!$B$7:$B$156,MATCH($U478&amp;"*",MUSTERILER!$T$7:$T$156,0)),"TANIMSIZ MÜŞTERİ"))))</f>
        <v/>
      </c>
      <c r="E478" s="61"/>
      <c r="F478" s="61"/>
      <c r="G478" s="60"/>
      <c r="H478" s="66"/>
      <c r="I478" s="66"/>
      <c r="J478" s="60"/>
      <c r="K478" s="60"/>
      <c r="L478" s="61"/>
      <c r="M478" s="61"/>
      <c r="N478" s="61"/>
      <c r="O478" s="66"/>
      <c r="P478" s="76" t="str">
        <f t="shared" ca="1" si="29"/>
        <v/>
      </c>
      <c r="Q478" s="65" t="str">
        <f t="shared" ca="1" si="30"/>
        <v/>
      </c>
      <c r="R478" s="2"/>
      <c r="S478" s="2"/>
      <c r="T478" s="1"/>
      <c r="U478" s="1" t="str">
        <f t="shared" si="31"/>
        <v/>
      </c>
    </row>
    <row r="479" spans="1:21" ht="18" customHeight="1" x14ac:dyDescent="0.3">
      <c r="A479" s="2"/>
      <c r="B479" s="65" t="str">
        <f t="shared" si="28"/>
        <v/>
      </c>
      <c r="C479" s="60"/>
      <c r="D479" s="65" t="str">
        <f>IF($E479="","",IFERROR(INDEX(MUSTERILER!$B$7:$B$156,MATCH($U479,MUSTERILER!$T$7:$T$156,0)),IFERROR(INDEX(MUSTERILER!$B$7:$B$156,MATCH($E479,MUSTERILER!$B$7:$B$156,0)),IFERROR(INDEX(MUSTERILER!$B$7:$B$156,MATCH($U479&amp;"*",MUSTERILER!$T$7:$T$156,0)),"TANIMSIZ MÜŞTERİ"))))</f>
        <v/>
      </c>
      <c r="E479" s="61"/>
      <c r="F479" s="61"/>
      <c r="G479" s="60"/>
      <c r="H479" s="66"/>
      <c r="I479" s="66"/>
      <c r="J479" s="60"/>
      <c r="K479" s="60"/>
      <c r="L479" s="61"/>
      <c r="M479" s="61"/>
      <c r="N479" s="61"/>
      <c r="O479" s="66"/>
      <c r="P479" s="76" t="str">
        <f t="shared" ca="1" si="29"/>
        <v/>
      </c>
      <c r="Q479" s="65" t="str">
        <f t="shared" ca="1" si="30"/>
        <v/>
      </c>
      <c r="R479" s="2"/>
      <c r="S479" s="2"/>
      <c r="T479" s="1"/>
      <c r="U479" s="1" t="str">
        <f t="shared" si="31"/>
        <v/>
      </c>
    </row>
    <row r="480" spans="1:21" ht="18" customHeight="1" x14ac:dyDescent="0.3">
      <c r="A480" s="2"/>
      <c r="B480" s="65" t="str">
        <f t="shared" si="28"/>
        <v/>
      </c>
      <c r="C480" s="60"/>
      <c r="D480" s="65" t="str">
        <f>IF($E480="","",IFERROR(INDEX(MUSTERILER!$B$7:$B$156,MATCH($U480,MUSTERILER!$T$7:$T$156,0)),IFERROR(INDEX(MUSTERILER!$B$7:$B$156,MATCH($E480,MUSTERILER!$B$7:$B$156,0)),IFERROR(INDEX(MUSTERILER!$B$7:$B$156,MATCH($U480&amp;"*",MUSTERILER!$T$7:$T$156,0)),"TANIMSIZ MÜŞTERİ"))))</f>
        <v/>
      </c>
      <c r="E480" s="61"/>
      <c r="F480" s="61"/>
      <c r="G480" s="60"/>
      <c r="H480" s="66"/>
      <c r="I480" s="66"/>
      <c r="J480" s="60"/>
      <c r="K480" s="60"/>
      <c r="L480" s="61"/>
      <c r="M480" s="61"/>
      <c r="N480" s="61"/>
      <c r="O480" s="66"/>
      <c r="P480" s="76" t="str">
        <f t="shared" ca="1" si="29"/>
        <v/>
      </c>
      <c r="Q480" s="65" t="str">
        <f t="shared" ca="1" si="30"/>
        <v/>
      </c>
      <c r="R480" s="2"/>
      <c r="S480" s="2"/>
      <c r="T480" s="1"/>
      <c r="U480" s="1" t="str">
        <f t="shared" si="31"/>
        <v/>
      </c>
    </row>
    <row r="481" spans="1:21" ht="18" customHeight="1" x14ac:dyDescent="0.3">
      <c r="A481" s="2"/>
      <c r="B481" s="65" t="str">
        <f t="shared" si="28"/>
        <v/>
      </c>
      <c r="C481" s="60"/>
      <c r="D481" s="65" t="str">
        <f>IF($E481="","",IFERROR(INDEX(MUSTERILER!$B$7:$B$156,MATCH($U481,MUSTERILER!$T$7:$T$156,0)),IFERROR(INDEX(MUSTERILER!$B$7:$B$156,MATCH($E481,MUSTERILER!$B$7:$B$156,0)),IFERROR(INDEX(MUSTERILER!$B$7:$B$156,MATCH($U481&amp;"*",MUSTERILER!$T$7:$T$156,0)),"TANIMSIZ MÜŞTERİ"))))</f>
        <v/>
      </c>
      <c r="E481" s="61"/>
      <c r="F481" s="61"/>
      <c r="G481" s="60"/>
      <c r="H481" s="66"/>
      <c r="I481" s="66"/>
      <c r="J481" s="60"/>
      <c r="K481" s="60"/>
      <c r="L481" s="61"/>
      <c r="M481" s="61"/>
      <c r="N481" s="61"/>
      <c r="O481" s="66"/>
      <c r="P481" s="76" t="str">
        <f t="shared" ca="1" si="29"/>
        <v/>
      </c>
      <c r="Q481" s="65" t="str">
        <f t="shared" ca="1" si="30"/>
        <v/>
      </c>
      <c r="R481" s="2"/>
      <c r="S481" s="2"/>
      <c r="T481" s="1"/>
      <c r="U481" s="1" t="str">
        <f t="shared" si="31"/>
        <v/>
      </c>
    </row>
    <row r="482" spans="1:21" ht="18" customHeight="1" x14ac:dyDescent="0.3">
      <c r="A482" s="2"/>
      <c r="B482" s="65" t="str">
        <f t="shared" si="28"/>
        <v/>
      </c>
      <c r="C482" s="60"/>
      <c r="D482" s="65" t="str">
        <f>IF($E482="","",IFERROR(INDEX(MUSTERILER!$B$7:$B$156,MATCH($U482,MUSTERILER!$T$7:$T$156,0)),IFERROR(INDEX(MUSTERILER!$B$7:$B$156,MATCH($E482,MUSTERILER!$B$7:$B$156,0)),IFERROR(INDEX(MUSTERILER!$B$7:$B$156,MATCH($U482&amp;"*",MUSTERILER!$T$7:$T$156,0)),"TANIMSIZ MÜŞTERİ"))))</f>
        <v/>
      </c>
      <c r="E482" s="61"/>
      <c r="F482" s="61"/>
      <c r="G482" s="60"/>
      <c r="H482" s="66"/>
      <c r="I482" s="66"/>
      <c r="J482" s="60"/>
      <c r="K482" s="60"/>
      <c r="L482" s="61"/>
      <c r="M482" s="61"/>
      <c r="N482" s="61"/>
      <c r="O482" s="66"/>
      <c r="P482" s="76" t="str">
        <f t="shared" ca="1" si="29"/>
        <v/>
      </c>
      <c r="Q482" s="65" t="str">
        <f t="shared" ca="1" si="30"/>
        <v/>
      </c>
      <c r="R482" s="2"/>
      <c r="S482" s="2"/>
      <c r="T482" s="1"/>
      <c r="U482" s="1" t="str">
        <f t="shared" si="31"/>
        <v/>
      </c>
    </row>
    <row r="483" spans="1:21" ht="18" customHeight="1" x14ac:dyDescent="0.3">
      <c r="A483" s="2"/>
      <c r="B483" s="65" t="str">
        <f t="shared" si="28"/>
        <v/>
      </c>
      <c r="C483" s="60"/>
      <c r="D483" s="65" t="str">
        <f>IF($E483="","",IFERROR(INDEX(MUSTERILER!$B$7:$B$156,MATCH($U483,MUSTERILER!$T$7:$T$156,0)),IFERROR(INDEX(MUSTERILER!$B$7:$B$156,MATCH($E483,MUSTERILER!$B$7:$B$156,0)),IFERROR(INDEX(MUSTERILER!$B$7:$B$156,MATCH($U483&amp;"*",MUSTERILER!$T$7:$T$156,0)),"TANIMSIZ MÜŞTERİ"))))</f>
        <v/>
      </c>
      <c r="E483" s="61"/>
      <c r="F483" s="61"/>
      <c r="G483" s="60"/>
      <c r="H483" s="66"/>
      <c r="I483" s="66"/>
      <c r="J483" s="60"/>
      <c r="K483" s="60"/>
      <c r="L483" s="61"/>
      <c r="M483" s="61"/>
      <c r="N483" s="61"/>
      <c r="O483" s="66"/>
      <c r="P483" s="76" t="str">
        <f t="shared" ca="1" si="29"/>
        <v/>
      </c>
      <c r="Q483" s="65" t="str">
        <f t="shared" ca="1" si="30"/>
        <v/>
      </c>
      <c r="R483" s="2"/>
      <c r="S483" s="2"/>
      <c r="T483" s="1"/>
      <c r="U483" s="1" t="str">
        <f t="shared" si="31"/>
        <v/>
      </c>
    </row>
    <row r="484" spans="1:21" ht="18" customHeight="1" x14ac:dyDescent="0.3">
      <c r="A484" s="2"/>
      <c r="B484" s="65" t="str">
        <f t="shared" si="28"/>
        <v/>
      </c>
      <c r="C484" s="60"/>
      <c r="D484" s="65" t="str">
        <f>IF($E484="","",IFERROR(INDEX(MUSTERILER!$B$7:$B$156,MATCH($U484,MUSTERILER!$T$7:$T$156,0)),IFERROR(INDEX(MUSTERILER!$B$7:$B$156,MATCH($E484,MUSTERILER!$B$7:$B$156,0)),IFERROR(INDEX(MUSTERILER!$B$7:$B$156,MATCH($U484&amp;"*",MUSTERILER!$T$7:$T$156,0)),"TANIMSIZ MÜŞTERİ"))))</f>
        <v/>
      </c>
      <c r="E484" s="61"/>
      <c r="F484" s="61"/>
      <c r="G484" s="60"/>
      <c r="H484" s="66"/>
      <c r="I484" s="66"/>
      <c r="J484" s="60"/>
      <c r="K484" s="60"/>
      <c r="L484" s="61"/>
      <c r="M484" s="61"/>
      <c r="N484" s="61"/>
      <c r="O484" s="66"/>
      <c r="P484" s="76" t="str">
        <f t="shared" ca="1" si="29"/>
        <v/>
      </c>
      <c r="Q484" s="65" t="str">
        <f t="shared" ca="1" si="30"/>
        <v/>
      </c>
      <c r="R484" s="2"/>
      <c r="S484" s="2"/>
      <c r="T484" s="1"/>
      <c r="U484" s="1" t="str">
        <f t="shared" si="31"/>
        <v/>
      </c>
    </row>
    <row r="485" spans="1:21" ht="18" customHeight="1" x14ac:dyDescent="0.3">
      <c r="A485" s="2"/>
      <c r="B485" s="65" t="str">
        <f t="shared" si="28"/>
        <v/>
      </c>
      <c r="C485" s="60"/>
      <c r="D485" s="65" t="str">
        <f>IF($E485="","",IFERROR(INDEX(MUSTERILER!$B$7:$B$156,MATCH($U485,MUSTERILER!$T$7:$T$156,0)),IFERROR(INDEX(MUSTERILER!$B$7:$B$156,MATCH($E485,MUSTERILER!$B$7:$B$156,0)),IFERROR(INDEX(MUSTERILER!$B$7:$B$156,MATCH($U485&amp;"*",MUSTERILER!$T$7:$T$156,0)),"TANIMSIZ MÜŞTERİ"))))</f>
        <v/>
      </c>
      <c r="E485" s="61"/>
      <c r="F485" s="61"/>
      <c r="G485" s="60"/>
      <c r="H485" s="66"/>
      <c r="I485" s="66"/>
      <c r="J485" s="60"/>
      <c r="K485" s="60"/>
      <c r="L485" s="61"/>
      <c r="M485" s="61"/>
      <c r="N485" s="61"/>
      <c r="O485" s="66"/>
      <c r="P485" s="76" t="str">
        <f t="shared" ca="1" si="29"/>
        <v/>
      </c>
      <c r="Q485" s="65" t="str">
        <f t="shared" ca="1" si="30"/>
        <v/>
      </c>
      <c r="R485" s="2"/>
      <c r="S485" s="2"/>
      <c r="T485" s="1"/>
      <c r="U485" s="1" t="str">
        <f t="shared" si="31"/>
        <v/>
      </c>
    </row>
    <row r="486" spans="1:21" ht="18" customHeight="1" x14ac:dyDescent="0.3">
      <c r="A486" s="2"/>
      <c r="B486" s="65" t="str">
        <f t="shared" si="28"/>
        <v/>
      </c>
      <c r="C486" s="60"/>
      <c r="D486" s="65" t="str">
        <f>IF($E486="","",IFERROR(INDEX(MUSTERILER!$B$7:$B$156,MATCH($U486,MUSTERILER!$T$7:$T$156,0)),IFERROR(INDEX(MUSTERILER!$B$7:$B$156,MATCH($E486,MUSTERILER!$B$7:$B$156,0)),IFERROR(INDEX(MUSTERILER!$B$7:$B$156,MATCH($U486&amp;"*",MUSTERILER!$T$7:$T$156,0)),"TANIMSIZ MÜŞTERİ"))))</f>
        <v/>
      </c>
      <c r="E486" s="61"/>
      <c r="F486" s="61"/>
      <c r="G486" s="60"/>
      <c r="H486" s="66"/>
      <c r="I486" s="66"/>
      <c r="J486" s="60"/>
      <c r="K486" s="60"/>
      <c r="L486" s="61"/>
      <c r="M486" s="61"/>
      <c r="N486" s="61"/>
      <c r="O486" s="66"/>
      <c r="P486" s="76" t="str">
        <f t="shared" ca="1" si="29"/>
        <v/>
      </c>
      <c r="Q486" s="65" t="str">
        <f t="shared" ca="1" si="30"/>
        <v/>
      </c>
      <c r="R486" s="2"/>
      <c r="S486" s="2"/>
      <c r="T486" s="1"/>
      <c r="U486" s="1" t="str">
        <f t="shared" si="31"/>
        <v/>
      </c>
    </row>
    <row r="487" spans="1:21" ht="18" customHeight="1" x14ac:dyDescent="0.3">
      <c r="A487" s="2"/>
      <c r="B487" s="65" t="str">
        <f t="shared" si="28"/>
        <v/>
      </c>
      <c r="C487" s="60"/>
      <c r="D487" s="65" t="str">
        <f>IF($E487="","",IFERROR(INDEX(MUSTERILER!$B$7:$B$156,MATCH($U487,MUSTERILER!$T$7:$T$156,0)),IFERROR(INDEX(MUSTERILER!$B$7:$B$156,MATCH($E487,MUSTERILER!$B$7:$B$156,0)),IFERROR(INDEX(MUSTERILER!$B$7:$B$156,MATCH($U487&amp;"*",MUSTERILER!$T$7:$T$156,0)),"TANIMSIZ MÜŞTERİ"))))</f>
        <v/>
      </c>
      <c r="E487" s="61"/>
      <c r="F487" s="61"/>
      <c r="G487" s="60"/>
      <c r="H487" s="66"/>
      <c r="I487" s="66"/>
      <c r="J487" s="60"/>
      <c r="K487" s="60"/>
      <c r="L487" s="61"/>
      <c r="M487" s="61"/>
      <c r="N487" s="61"/>
      <c r="O487" s="66"/>
      <c r="P487" s="76" t="str">
        <f t="shared" ca="1" si="29"/>
        <v/>
      </c>
      <c r="Q487" s="65" t="str">
        <f t="shared" ca="1" si="30"/>
        <v/>
      </c>
      <c r="R487" s="2"/>
      <c r="S487" s="2"/>
      <c r="T487" s="1"/>
      <c r="U487" s="1" t="str">
        <f t="shared" si="31"/>
        <v/>
      </c>
    </row>
    <row r="488" spans="1:21" ht="18" customHeight="1" x14ac:dyDescent="0.3">
      <c r="A488" s="2"/>
      <c r="B488" s="65" t="str">
        <f t="shared" si="28"/>
        <v/>
      </c>
      <c r="C488" s="60"/>
      <c r="D488" s="65" t="str">
        <f>IF($E488="","",IFERROR(INDEX(MUSTERILER!$B$7:$B$156,MATCH($U488,MUSTERILER!$T$7:$T$156,0)),IFERROR(INDEX(MUSTERILER!$B$7:$B$156,MATCH($E488,MUSTERILER!$B$7:$B$156,0)),IFERROR(INDEX(MUSTERILER!$B$7:$B$156,MATCH($U488&amp;"*",MUSTERILER!$T$7:$T$156,0)),"TANIMSIZ MÜŞTERİ"))))</f>
        <v/>
      </c>
      <c r="E488" s="61"/>
      <c r="F488" s="61"/>
      <c r="G488" s="60"/>
      <c r="H488" s="66"/>
      <c r="I488" s="66"/>
      <c r="J488" s="60"/>
      <c r="K488" s="60"/>
      <c r="L488" s="61"/>
      <c r="M488" s="61"/>
      <c r="N488" s="61"/>
      <c r="O488" s="66"/>
      <c r="P488" s="76" t="str">
        <f t="shared" ca="1" si="29"/>
        <v/>
      </c>
      <c r="Q488" s="65" t="str">
        <f t="shared" ca="1" si="30"/>
        <v/>
      </c>
      <c r="R488" s="2"/>
      <c r="S488" s="2"/>
      <c r="T488" s="1"/>
      <c r="U488" s="1" t="str">
        <f t="shared" si="31"/>
        <v/>
      </c>
    </row>
    <row r="489" spans="1:21" ht="18" customHeight="1" x14ac:dyDescent="0.3">
      <c r="A489" s="2"/>
      <c r="B489" s="65" t="str">
        <f t="shared" si="28"/>
        <v/>
      </c>
      <c r="C489" s="60"/>
      <c r="D489" s="65" t="str">
        <f>IF($E489="","",IFERROR(INDEX(MUSTERILER!$B$7:$B$156,MATCH($U489,MUSTERILER!$T$7:$T$156,0)),IFERROR(INDEX(MUSTERILER!$B$7:$B$156,MATCH($E489,MUSTERILER!$B$7:$B$156,0)),IFERROR(INDEX(MUSTERILER!$B$7:$B$156,MATCH($U489&amp;"*",MUSTERILER!$T$7:$T$156,0)),"TANIMSIZ MÜŞTERİ"))))</f>
        <v/>
      </c>
      <c r="E489" s="61"/>
      <c r="F489" s="61"/>
      <c r="G489" s="60"/>
      <c r="H489" s="66"/>
      <c r="I489" s="66"/>
      <c r="J489" s="60"/>
      <c r="K489" s="60"/>
      <c r="L489" s="61"/>
      <c r="M489" s="61"/>
      <c r="N489" s="61"/>
      <c r="O489" s="66"/>
      <c r="P489" s="76" t="str">
        <f t="shared" ca="1" si="29"/>
        <v/>
      </c>
      <c r="Q489" s="65" t="str">
        <f t="shared" ca="1" si="30"/>
        <v/>
      </c>
      <c r="R489" s="2"/>
      <c r="S489" s="2"/>
      <c r="T489" s="1"/>
      <c r="U489" s="1" t="str">
        <f t="shared" si="31"/>
        <v/>
      </c>
    </row>
    <row r="490" spans="1:21" ht="18" customHeight="1" x14ac:dyDescent="0.3">
      <c r="A490" s="2"/>
      <c r="B490" s="65" t="str">
        <f t="shared" si="28"/>
        <v/>
      </c>
      <c r="C490" s="60"/>
      <c r="D490" s="65" t="str">
        <f>IF($E490="","",IFERROR(INDEX(MUSTERILER!$B$7:$B$156,MATCH($U490,MUSTERILER!$T$7:$T$156,0)),IFERROR(INDEX(MUSTERILER!$B$7:$B$156,MATCH($E490,MUSTERILER!$B$7:$B$156,0)),IFERROR(INDEX(MUSTERILER!$B$7:$B$156,MATCH($U490&amp;"*",MUSTERILER!$T$7:$T$156,0)),"TANIMSIZ MÜŞTERİ"))))</f>
        <v/>
      </c>
      <c r="E490" s="61"/>
      <c r="F490" s="61"/>
      <c r="G490" s="60"/>
      <c r="H490" s="66"/>
      <c r="I490" s="66"/>
      <c r="J490" s="60"/>
      <c r="K490" s="60"/>
      <c r="L490" s="61"/>
      <c r="M490" s="61"/>
      <c r="N490" s="61"/>
      <c r="O490" s="66"/>
      <c r="P490" s="76" t="str">
        <f t="shared" ca="1" si="29"/>
        <v/>
      </c>
      <c r="Q490" s="65" t="str">
        <f t="shared" ca="1" si="30"/>
        <v/>
      </c>
      <c r="R490" s="2"/>
      <c r="S490" s="2"/>
      <c r="T490" s="1"/>
      <c r="U490" s="1" t="str">
        <f t="shared" si="31"/>
        <v/>
      </c>
    </row>
    <row r="491" spans="1:21" ht="18" customHeight="1" x14ac:dyDescent="0.3">
      <c r="A491" s="2"/>
      <c r="B491" s="65" t="str">
        <f t="shared" si="28"/>
        <v/>
      </c>
      <c r="C491" s="60"/>
      <c r="D491" s="65" t="str">
        <f>IF($E491="","",IFERROR(INDEX(MUSTERILER!$B$7:$B$156,MATCH($U491,MUSTERILER!$T$7:$T$156,0)),IFERROR(INDEX(MUSTERILER!$B$7:$B$156,MATCH($E491,MUSTERILER!$B$7:$B$156,0)),IFERROR(INDEX(MUSTERILER!$B$7:$B$156,MATCH($U491&amp;"*",MUSTERILER!$T$7:$T$156,0)),"TANIMSIZ MÜŞTERİ"))))</f>
        <v/>
      </c>
      <c r="E491" s="61"/>
      <c r="F491" s="61"/>
      <c r="G491" s="60"/>
      <c r="H491" s="66"/>
      <c r="I491" s="66"/>
      <c r="J491" s="60"/>
      <c r="K491" s="60"/>
      <c r="L491" s="61"/>
      <c r="M491" s="61"/>
      <c r="N491" s="61"/>
      <c r="O491" s="66"/>
      <c r="P491" s="76" t="str">
        <f t="shared" ca="1" si="29"/>
        <v/>
      </c>
      <c r="Q491" s="65" t="str">
        <f t="shared" ca="1" si="30"/>
        <v/>
      </c>
      <c r="R491" s="2"/>
      <c r="S491" s="2"/>
      <c r="T491" s="1"/>
      <c r="U491" s="1" t="str">
        <f t="shared" si="31"/>
        <v/>
      </c>
    </row>
    <row r="492" spans="1:21" ht="18" customHeight="1" x14ac:dyDescent="0.3">
      <c r="A492" s="2"/>
      <c r="B492" s="65" t="str">
        <f t="shared" si="28"/>
        <v/>
      </c>
      <c r="C492" s="60"/>
      <c r="D492" s="65" t="str">
        <f>IF($E492="","",IFERROR(INDEX(MUSTERILER!$B$7:$B$156,MATCH($U492,MUSTERILER!$T$7:$T$156,0)),IFERROR(INDEX(MUSTERILER!$B$7:$B$156,MATCH($E492,MUSTERILER!$B$7:$B$156,0)),IFERROR(INDEX(MUSTERILER!$B$7:$B$156,MATCH($U492&amp;"*",MUSTERILER!$T$7:$T$156,0)),"TANIMSIZ MÜŞTERİ"))))</f>
        <v/>
      </c>
      <c r="E492" s="61"/>
      <c r="F492" s="61"/>
      <c r="G492" s="60"/>
      <c r="H492" s="66"/>
      <c r="I492" s="66"/>
      <c r="J492" s="60"/>
      <c r="K492" s="60"/>
      <c r="L492" s="61"/>
      <c r="M492" s="61"/>
      <c r="N492" s="61"/>
      <c r="O492" s="66"/>
      <c r="P492" s="76" t="str">
        <f t="shared" ca="1" si="29"/>
        <v/>
      </c>
      <c r="Q492" s="65" t="str">
        <f t="shared" ca="1" si="30"/>
        <v/>
      </c>
      <c r="R492" s="2"/>
      <c r="S492" s="2"/>
      <c r="T492" s="1"/>
      <c r="U492" s="1" t="str">
        <f t="shared" si="31"/>
        <v/>
      </c>
    </row>
    <row r="493" spans="1:21" ht="18" customHeight="1" x14ac:dyDescent="0.3">
      <c r="A493" s="2"/>
      <c r="B493" s="65" t="str">
        <f t="shared" si="28"/>
        <v/>
      </c>
      <c r="C493" s="60"/>
      <c r="D493" s="65" t="str">
        <f>IF($E493="","",IFERROR(INDEX(MUSTERILER!$B$7:$B$156,MATCH($U493,MUSTERILER!$T$7:$T$156,0)),IFERROR(INDEX(MUSTERILER!$B$7:$B$156,MATCH($E493,MUSTERILER!$B$7:$B$156,0)),IFERROR(INDEX(MUSTERILER!$B$7:$B$156,MATCH($U493&amp;"*",MUSTERILER!$T$7:$T$156,0)),"TANIMSIZ MÜŞTERİ"))))</f>
        <v/>
      </c>
      <c r="E493" s="61"/>
      <c r="F493" s="61"/>
      <c r="G493" s="60"/>
      <c r="H493" s="66"/>
      <c r="I493" s="66"/>
      <c r="J493" s="60"/>
      <c r="K493" s="60"/>
      <c r="L493" s="61"/>
      <c r="M493" s="61"/>
      <c r="N493" s="61"/>
      <c r="O493" s="66"/>
      <c r="P493" s="76" t="str">
        <f t="shared" ca="1" si="29"/>
        <v/>
      </c>
      <c r="Q493" s="65" t="str">
        <f t="shared" ca="1" si="30"/>
        <v/>
      </c>
      <c r="R493" s="2"/>
      <c r="S493" s="2"/>
      <c r="T493" s="1"/>
      <c r="U493" s="1" t="str">
        <f t="shared" si="31"/>
        <v/>
      </c>
    </row>
    <row r="494" spans="1:21" ht="18" customHeight="1" x14ac:dyDescent="0.3">
      <c r="A494" s="2"/>
      <c r="B494" s="65" t="str">
        <f t="shared" si="28"/>
        <v/>
      </c>
      <c r="C494" s="60"/>
      <c r="D494" s="65" t="str">
        <f>IF($E494="","",IFERROR(INDEX(MUSTERILER!$B$7:$B$156,MATCH($U494,MUSTERILER!$T$7:$T$156,0)),IFERROR(INDEX(MUSTERILER!$B$7:$B$156,MATCH($E494,MUSTERILER!$B$7:$B$156,0)),IFERROR(INDEX(MUSTERILER!$B$7:$B$156,MATCH($U494&amp;"*",MUSTERILER!$T$7:$T$156,0)),"TANIMSIZ MÜŞTERİ"))))</f>
        <v/>
      </c>
      <c r="E494" s="61"/>
      <c r="F494" s="61"/>
      <c r="G494" s="60"/>
      <c r="H494" s="66"/>
      <c r="I494" s="66"/>
      <c r="J494" s="60"/>
      <c r="K494" s="60"/>
      <c r="L494" s="61"/>
      <c r="M494" s="61"/>
      <c r="N494" s="61"/>
      <c r="O494" s="66"/>
      <c r="P494" s="76" t="str">
        <f t="shared" ca="1" si="29"/>
        <v/>
      </c>
      <c r="Q494" s="65" t="str">
        <f t="shared" ca="1" si="30"/>
        <v/>
      </c>
      <c r="R494" s="2"/>
      <c r="S494" s="2"/>
      <c r="T494" s="1"/>
      <c r="U494" s="1" t="str">
        <f t="shared" si="31"/>
        <v/>
      </c>
    </row>
    <row r="495" spans="1:21" ht="18" customHeight="1" x14ac:dyDescent="0.3">
      <c r="A495" s="2"/>
      <c r="B495" s="65" t="str">
        <f t="shared" si="28"/>
        <v/>
      </c>
      <c r="C495" s="60"/>
      <c r="D495" s="65" t="str">
        <f>IF($E495="","",IFERROR(INDEX(MUSTERILER!$B$7:$B$156,MATCH($U495,MUSTERILER!$T$7:$T$156,0)),IFERROR(INDEX(MUSTERILER!$B$7:$B$156,MATCH($E495,MUSTERILER!$B$7:$B$156,0)),IFERROR(INDEX(MUSTERILER!$B$7:$B$156,MATCH($U495&amp;"*",MUSTERILER!$T$7:$T$156,0)),"TANIMSIZ MÜŞTERİ"))))</f>
        <v/>
      </c>
      <c r="E495" s="61"/>
      <c r="F495" s="61"/>
      <c r="G495" s="60"/>
      <c r="H495" s="66"/>
      <c r="I495" s="66"/>
      <c r="J495" s="60"/>
      <c r="K495" s="60"/>
      <c r="L495" s="61"/>
      <c r="M495" s="61"/>
      <c r="N495" s="61"/>
      <c r="O495" s="66"/>
      <c r="P495" s="76" t="str">
        <f t="shared" ca="1" si="29"/>
        <v/>
      </c>
      <c r="Q495" s="65" t="str">
        <f t="shared" ca="1" si="30"/>
        <v/>
      </c>
      <c r="R495" s="2"/>
      <c r="S495" s="2"/>
      <c r="T495" s="1"/>
      <c r="U495" s="1" t="str">
        <f t="shared" si="31"/>
        <v/>
      </c>
    </row>
    <row r="496" spans="1:21" ht="18" customHeight="1" x14ac:dyDescent="0.3">
      <c r="A496" s="2"/>
      <c r="B496" s="65" t="str">
        <f t="shared" si="28"/>
        <v/>
      </c>
      <c r="C496" s="60"/>
      <c r="D496" s="65" t="str">
        <f>IF($E496="","",IFERROR(INDEX(MUSTERILER!$B$7:$B$156,MATCH($U496,MUSTERILER!$T$7:$T$156,0)),IFERROR(INDEX(MUSTERILER!$B$7:$B$156,MATCH($E496,MUSTERILER!$B$7:$B$156,0)),IFERROR(INDEX(MUSTERILER!$B$7:$B$156,MATCH($U496&amp;"*",MUSTERILER!$T$7:$T$156,0)),"TANIMSIZ MÜŞTERİ"))))</f>
        <v/>
      </c>
      <c r="E496" s="61"/>
      <c r="F496" s="61"/>
      <c r="G496" s="60"/>
      <c r="H496" s="66"/>
      <c r="I496" s="66"/>
      <c r="J496" s="60"/>
      <c r="K496" s="60"/>
      <c r="L496" s="61"/>
      <c r="M496" s="61"/>
      <c r="N496" s="61"/>
      <c r="O496" s="66"/>
      <c r="P496" s="76" t="str">
        <f t="shared" ca="1" si="29"/>
        <v/>
      </c>
      <c r="Q496" s="65" t="str">
        <f t="shared" ca="1" si="30"/>
        <v/>
      </c>
      <c r="R496" s="2"/>
      <c r="S496" s="2"/>
      <c r="T496" s="1"/>
      <c r="U496" s="1" t="str">
        <f t="shared" si="31"/>
        <v/>
      </c>
    </row>
    <row r="497" spans="1:21" ht="18" customHeight="1" x14ac:dyDescent="0.3">
      <c r="A497" s="2"/>
      <c r="B497" s="65" t="str">
        <f t="shared" si="28"/>
        <v/>
      </c>
      <c r="C497" s="60"/>
      <c r="D497" s="65" t="str">
        <f>IF($E497="","",IFERROR(INDEX(MUSTERILER!$B$7:$B$156,MATCH($U497,MUSTERILER!$T$7:$T$156,0)),IFERROR(INDEX(MUSTERILER!$B$7:$B$156,MATCH($E497,MUSTERILER!$B$7:$B$156,0)),IFERROR(INDEX(MUSTERILER!$B$7:$B$156,MATCH($U497&amp;"*",MUSTERILER!$T$7:$T$156,0)),"TANIMSIZ MÜŞTERİ"))))</f>
        <v/>
      </c>
      <c r="E497" s="61"/>
      <c r="F497" s="61"/>
      <c r="G497" s="60"/>
      <c r="H497" s="66"/>
      <c r="I497" s="66"/>
      <c r="J497" s="60"/>
      <c r="K497" s="60"/>
      <c r="L497" s="61"/>
      <c r="M497" s="61"/>
      <c r="N497" s="61"/>
      <c r="O497" s="66"/>
      <c r="P497" s="76" t="str">
        <f t="shared" ca="1" si="29"/>
        <v/>
      </c>
      <c r="Q497" s="65" t="str">
        <f t="shared" ca="1" si="30"/>
        <v/>
      </c>
      <c r="R497" s="2"/>
      <c r="S497" s="2"/>
      <c r="T497" s="1"/>
      <c r="U497" s="1" t="str">
        <f t="shared" si="31"/>
        <v/>
      </c>
    </row>
    <row r="498" spans="1:21" ht="18" customHeight="1" x14ac:dyDescent="0.3">
      <c r="A498" s="2"/>
      <c r="B498" s="65" t="str">
        <f t="shared" si="28"/>
        <v/>
      </c>
      <c r="C498" s="60"/>
      <c r="D498" s="65" t="str">
        <f>IF($E498="","",IFERROR(INDEX(MUSTERILER!$B$7:$B$156,MATCH($U498,MUSTERILER!$T$7:$T$156,0)),IFERROR(INDEX(MUSTERILER!$B$7:$B$156,MATCH($E498,MUSTERILER!$B$7:$B$156,0)),IFERROR(INDEX(MUSTERILER!$B$7:$B$156,MATCH($U498&amp;"*",MUSTERILER!$T$7:$T$156,0)),"TANIMSIZ MÜŞTERİ"))))</f>
        <v/>
      </c>
      <c r="E498" s="61"/>
      <c r="F498" s="61"/>
      <c r="G498" s="60"/>
      <c r="H498" s="66"/>
      <c r="I498" s="66"/>
      <c r="J498" s="60"/>
      <c r="K498" s="60"/>
      <c r="L498" s="61"/>
      <c r="M498" s="61"/>
      <c r="N498" s="61"/>
      <c r="O498" s="66"/>
      <c r="P498" s="76" t="str">
        <f t="shared" ca="1" si="29"/>
        <v/>
      </c>
      <c r="Q498" s="65" t="str">
        <f t="shared" ca="1" si="30"/>
        <v/>
      </c>
      <c r="R498" s="2"/>
      <c r="S498" s="2"/>
      <c r="T498" s="1"/>
      <c r="U498" s="1" t="str">
        <f t="shared" si="31"/>
        <v/>
      </c>
    </row>
    <row r="499" spans="1:21" ht="18" customHeight="1" x14ac:dyDescent="0.3">
      <c r="A499" s="2"/>
      <c r="B499" s="65" t="str">
        <f t="shared" si="28"/>
        <v/>
      </c>
      <c r="C499" s="60"/>
      <c r="D499" s="65" t="str">
        <f>IF($E499="","",IFERROR(INDEX(MUSTERILER!$B$7:$B$156,MATCH($U499,MUSTERILER!$T$7:$T$156,0)),IFERROR(INDEX(MUSTERILER!$B$7:$B$156,MATCH($E499,MUSTERILER!$B$7:$B$156,0)),IFERROR(INDEX(MUSTERILER!$B$7:$B$156,MATCH($U499&amp;"*",MUSTERILER!$T$7:$T$156,0)),"TANIMSIZ MÜŞTERİ"))))</f>
        <v/>
      </c>
      <c r="E499" s="61"/>
      <c r="F499" s="61"/>
      <c r="G499" s="60"/>
      <c r="H499" s="66"/>
      <c r="I499" s="66"/>
      <c r="J499" s="60"/>
      <c r="K499" s="60"/>
      <c r="L499" s="61"/>
      <c r="M499" s="61"/>
      <c r="N499" s="61"/>
      <c r="O499" s="66"/>
      <c r="P499" s="76" t="str">
        <f t="shared" ca="1" si="29"/>
        <v/>
      </c>
      <c r="Q499" s="65" t="str">
        <f t="shared" ca="1" si="30"/>
        <v/>
      </c>
      <c r="R499" s="2"/>
      <c r="S499" s="2"/>
      <c r="T499" s="1"/>
      <c r="U499" s="1" t="str">
        <f t="shared" si="31"/>
        <v/>
      </c>
    </row>
    <row r="500" spans="1:21" ht="18" customHeight="1" x14ac:dyDescent="0.3">
      <c r="A500" s="2"/>
      <c r="B500" s="65" t="str">
        <f t="shared" si="28"/>
        <v/>
      </c>
      <c r="C500" s="60"/>
      <c r="D500" s="65" t="str">
        <f>IF($E500="","",IFERROR(INDEX(MUSTERILER!$B$7:$B$156,MATCH($U500,MUSTERILER!$T$7:$T$156,0)),IFERROR(INDEX(MUSTERILER!$B$7:$B$156,MATCH($E500,MUSTERILER!$B$7:$B$156,0)),IFERROR(INDEX(MUSTERILER!$B$7:$B$156,MATCH($U500&amp;"*",MUSTERILER!$T$7:$T$156,0)),"TANIMSIZ MÜŞTERİ"))))</f>
        <v/>
      </c>
      <c r="E500" s="61"/>
      <c r="F500" s="61"/>
      <c r="G500" s="60"/>
      <c r="H500" s="66"/>
      <c r="I500" s="66"/>
      <c r="J500" s="60"/>
      <c r="K500" s="60"/>
      <c r="L500" s="61"/>
      <c r="M500" s="61"/>
      <c r="N500" s="61"/>
      <c r="O500" s="66"/>
      <c r="P500" s="76" t="str">
        <f t="shared" ca="1" si="29"/>
        <v/>
      </c>
      <c r="Q500" s="65" t="str">
        <f t="shared" ca="1" si="30"/>
        <v/>
      </c>
      <c r="R500" s="2"/>
      <c r="S500" s="2"/>
      <c r="T500" s="1"/>
      <c r="U500" s="1" t="str">
        <f t="shared" si="31"/>
        <v/>
      </c>
    </row>
    <row r="501" spans="1:21" ht="18" customHeight="1" x14ac:dyDescent="0.3">
      <c r="A501" s="2"/>
      <c r="B501" s="65" t="str">
        <f t="shared" si="28"/>
        <v/>
      </c>
      <c r="C501" s="60"/>
      <c r="D501" s="65" t="str">
        <f>IF($E501="","",IFERROR(INDEX(MUSTERILER!$B$7:$B$156,MATCH($U501,MUSTERILER!$T$7:$T$156,0)),IFERROR(INDEX(MUSTERILER!$B$7:$B$156,MATCH($E501,MUSTERILER!$B$7:$B$156,0)),IFERROR(INDEX(MUSTERILER!$B$7:$B$156,MATCH($U501&amp;"*",MUSTERILER!$T$7:$T$156,0)),"TANIMSIZ MÜŞTERİ"))))</f>
        <v/>
      </c>
      <c r="E501" s="61"/>
      <c r="F501" s="61"/>
      <c r="G501" s="60"/>
      <c r="H501" s="66"/>
      <c r="I501" s="66"/>
      <c r="J501" s="60"/>
      <c r="K501" s="60"/>
      <c r="L501" s="61"/>
      <c r="M501" s="61"/>
      <c r="N501" s="61"/>
      <c r="O501" s="66"/>
      <c r="P501" s="76" t="str">
        <f t="shared" ca="1" si="29"/>
        <v/>
      </c>
      <c r="Q501" s="65" t="str">
        <f t="shared" ca="1" si="30"/>
        <v/>
      </c>
      <c r="R501" s="2"/>
      <c r="S501" s="2"/>
      <c r="T501" s="1"/>
      <c r="U501" s="1" t="str">
        <f t="shared" si="31"/>
        <v/>
      </c>
    </row>
    <row r="502" spans="1:21" ht="18" customHeight="1" x14ac:dyDescent="0.3">
      <c r="A502" s="2"/>
      <c r="B502" s="65" t="str">
        <f t="shared" si="28"/>
        <v/>
      </c>
      <c r="C502" s="60"/>
      <c r="D502" s="65" t="str">
        <f>IF($E502="","",IFERROR(INDEX(MUSTERILER!$B$7:$B$156,MATCH($U502,MUSTERILER!$T$7:$T$156,0)),IFERROR(INDEX(MUSTERILER!$B$7:$B$156,MATCH($E502,MUSTERILER!$B$7:$B$156,0)),IFERROR(INDEX(MUSTERILER!$B$7:$B$156,MATCH($U502&amp;"*",MUSTERILER!$T$7:$T$156,0)),"TANIMSIZ MÜŞTERİ"))))</f>
        <v/>
      </c>
      <c r="E502" s="61"/>
      <c r="F502" s="61"/>
      <c r="G502" s="60"/>
      <c r="H502" s="66"/>
      <c r="I502" s="66"/>
      <c r="J502" s="60"/>
      <c r="K502" s="60"/>
      <c r="L502" s="61"/>
      <c r="M502" s="61"/>
      <c r="N502" s="61"/>
      <c r="O502" s="66"/>
      <c r="P502" s="76" t="str">
        <f t="shared" ca="1" si="29"/>
        <v/>
      </c>
      <c r="Q502" s="65" t="str">
        <f t="shared" ca="1" si="30"/>
        <v/>
      </c>
      <c r="R502" s="2"/>
      <c r="S502" s="2"/>
      <c r="T502" s="1"/>
      <c r="U502" s="1" t="str">
        <f t="shared" si="31"/>
        <v/>
      </c>
    </row>
    <row r="503" spans="1:21" ht="18" customHeight="1" x14ac:dyDescent="0.3">
      <c r="A503" s="2"/>
      <c r="B503" s="65" t="str">
        <f t="shared" si="28"/>
        <v/>
      </c>
      <c r="C503" s="60"/>
      <c r="D503" s="65" t="str">
        <f>IF($E503="","",IFERROR(INDEX(MUSTERILER!$B$7:$B$156,MATCH($U503,MUSTERILER!$T$7:$T$156,0)),IFERROR(INDEX(MUSTERILER!$B$7:$B$156,MATCH($E503,MUSTERILER!$B$7:$B$156,0)),IFERROR(INDEX(MUSTERILER!$B$7:$B$156,MATCH($U503&amp;"*",MUSTERILER!$T$7:$T$156,0)),"TANIMSIZ MÜŞTERİ"))))</f>
        <v/>
      </c>
      <c r="E503" s="61"/>
      <c r="F503" s="61"/>
      <c r="G503" s="60"/>
      <c r="H503" s="66"/>
      <c r="I503" s="66"/>
      <c r="J503" s="60"/>
      <c r="K503" s="60"/>
      <c r="L503" s="61"/>
      <c r="M503" s="61"/>
      <c r="N503" s="61"/>
      <c r="O503" s="66"/>
      <c r="P503" s="76" t="str">
        <f t="shared" ca="1" si="29"/>
        <v/>
      </c>
      <c r="Q503" s="65" t="str">
        <f t="shared" ca="1" si="30"/>
        <v/>
      </c>
      <c r="R503" s="2"/>
      <c r="S503" s="2"/>
      <c r="T503" s="1"/>
      <c r="U503" s="1" t="str">
        <f t="shared" si="31"/>
        <v/>
      </c>
    </row>
    <row r="504" spans="1:21" ht="18" customHeight="1" x14ac:dyDescent="0.3">
      <c r="A504" s="2"/>
      <c r="B504" s="65" t="str">
        <f t="shared" si="28"/>
        <v/>
      </c>
      <c r="C504" s="60"/>
      <c r="D504" s="65" t="str">
        <f>IF($E504="","",IFERROR(INDEX(MUSTERILER!$B$7:$B$156,MATCH($U504,MUSTERILER!$T$7:$T$156,0)),IFERROR(INDEX(MUSTERILER!$B$7:$B$156,MATCH($E504,MUSTERILER!$B$7:$B$156,0)),IFERROR(INDEX(MUSTERILER!$B$7:$B$156,MATCH($U504&amp;"*",MUSTERILER!$T$7:$T$156,0)),"TANIMSIZ MÜŞTERİ"))))</f>
        <v/>
      </c>
      <c r="E504" s="61"/>
      <c r="F504" s="61"/>
      <c r="G504" s="60"/>
      <c r="H504" s="66"/>
      <c r="I504" s="66"/>
      <c r="J504" s="60"/>
      <c r="K504" s="60"/>
      <c r="L504" s="61"/>
      <c r="M504" s="61"/>
      <c r="N504" s="61"/>
      <c r="O504" s="66"/>
      <c r="P504" s="76" t="str">
        <f t="shared" ca="1" si="29"/>
        <v/>
      </c>
      <c r="Q504" s="65" t="str">
        <f t="shared" ca="1" si="30"/>
        <v/>
      </c>
      <c r="R504" s="2"/>
      <c r="S504" s="2"/>
      <c r="T504" s="1"/>
      <c r="U504" s="1" t="str">
        <f t="shared" si="31"/>
        <v/>
      </c>
    </row>
    <row r="505" spans="1:21" ht="18" customHeight="1" x14ac:dyDescent="0.3">
      <c r="A505" s="2"/>
      <c r="B505" s="65" t="str">
        <f t="shared" si="28"/>
        <v/>
      </c>
      <c r="C505" s="60"/>
      <c r="D505" s="65" t="str">
        <f>IF($E505="","",IFERROR(INDEX(MUSTERILER!$B$7:$B$156,MATCH($U505,MUSTERILER!$T$7:$T$156,0)),IFERROR(INDEX(MUSTERILER!$B$7:$B$156,MATCH($E505,MUSTERILER!$B$7:$B$156,0)),IFERROR(INDEX(MUSTERILER!$B$7:$B$156,MATCH($U505&amp;"*",MUSTERILER!$T$7:$T$156,0)),"TANIMSIZ MÜŞTERİ"))))</f>
        <v/>
      </c>
      <c r="E505" s="61"/>
      <c r="F505" s="61"/>
      <c r="G505" s="60"/>
      <c r="H505" s="66"/>
      <c r="I505" s="66"/>
      <c r="J505" s="60"/>
      <c r="K505" s="60"/>
      <c r="L505" s="61"/>
      <c r="M505" s="61"/>
      <c r="N505" s="61"/>
      <c r="O505" s="66"/>
      <c r="P505" s="76" t="str">
        <f t="shared" ca="1" si="29"/>
        <v/>
      </c>
      <c r="Q505" s="65" t="str">
        <f t="shared" ca="1" si="30"/>
        <v/>
      </c>
      <c r="R505" s="2"/>
      <c r="S505" s="2"/>
      <c r="T505" s="1"/>
      <c r="U505" s="1" t="str">
        <f t="shared" si="31"/>
        <v/>
      </c>
    </row>
    <row r="506" spans="1:21" ht="18" customHeight="1" x14ac:dyDescent="0.3">
      <c r="A506" s="2"/>
      <c r="B506" s="65" t="str">
        <f t="shared" si="28"/>
        <v/>
      </c>
      <c r="C506" s="60"/>
      <c r="D506" s="65" t="str">
        <f>IF($E506="","",IFERROR(INDEX(MUSTERILER!$B$7:$B$156,MATCH($U506,MUSTERILER!$T$7:$T$156,0)),IFERROR(INDEX(MUSTERILER!$B$7:$B$156,MATCH($E506,MUSTERILER!$B$7:$B$156,0)),IFERROR(INDEX(MUSTERILER!$B$7:$B$156,MATCH($U506&amp;"*",MUSTERILER!$T$7:$T$156,0)),"TANIMSIZ MÜŞTERİ"))))</f>
        <v/>
      </c>
      <c r="E506" s="61"/>
      <c r="F506" s="61"/>
      <c r="G506" s="60"/>
      <c r="H506" s="66"/>
      <c r="I506" s="66"/>
      <c r="J506" s="60"/>
      <c r="K506" s="60"/>
      <c r="L506" s="61"/>
      <c r="M506" s="61"/>
      <c r="N506" s="61"/>
      <c r="O506" s="66"/>
      <c r="P506" s="76" t="str">
        <f t="shared" ca="1" si="29"/>
        <v/>
      </c>
      <c r="Q506" s="65" t="str">
        <f t="shared" ca="1" si="30"/>
        <v/>
      </c>
      <c r="R506" s="2"/>
      <c r="S506" s="2"/>
      <c r="T506" s="1"/>
      <c r="U506" s="1" t="str">
        <f t="shared" si="31"/>
        <v/>
      </c>
    </row>
    <row r="507" spans="1:21" ht="18" customHeight="1" x14ac:dyDescent="0.3">
      <c r="A507" s="2"/>
      <c r="B507" s="65" t="str">
        <f t="shared" si="28"/>
        <v/>
      </c>
      <c r="C507" s="60"/>
      <c r="D507" s="65" t="str">
        <f>IF($E507="","",IFERROR(INDEX(MUSTERILER!$B$7:$B$156,MATCH($U507,MUSTERILER!$T$7:$T$156,0)),IFERROR(INDEX(MUSTERILER!$B$7:$B$156,MATCH($E507,MUSTERILER!$B$7:$B$156,0)),IFERROR(INDEX(MUSTERILER!$B$7:$B$156,MATCH($U507&amp;"*",MUSTERILER!$T$7:$T$156,0)),"TANIMSIZ MÜŞTERİ"))))</f>
        <v/>
      </c>
      <c r="E507" s="61"/>
      <c r="F507" s="61"/>
      <c r="G507" s="60"/>
      <c r="H507" s="66"/>
      <c r="I507" s="66"/>
      <c r="J507" s="60"/>
      <c r="K507" s="60"/>
      <c r="L507" s="61"/>
      <c r="M507" s="61"/>
      <c r="N507" s="61"/>
      <c r="O507" s="66"/>
      <c r="P507" s="76" t="str">
        <f t="shared" ca="1" si="29"/>
        <v/>
      </c>
      <c r="Q507" s="65" t="str">
        <f t="shared" ca="1" si="30"/>
        <v/>
      </c>
      <c r="R507" s="2"/>
      <c r="S507" s="2"/>
      <c r="T507" s="1"/>
      <c r="U507" s="1" t="str">
        <f t="shared" si="31"/>
        <v/>
      </c>
    </row>
    <row r="508" spans="1:21" ht="18" customHeight="1" x14ac:dyDescent="0.3">
      <c r="A508" s="2"/>
      <c r="B508" s="65" t="str">
        <f t="shared" si="28"/>
        <v/>
      </c>
      <c r="C508" s="60"/>
      <c r="D508" s="65" t="str">
        <f>IF($E508="","",IFERROR(INDEX(MUSTERILER!$B$7:$B$156,MATCH($U508,MUSTERILER!$T$7:$T$156,0)),IFERROR(INDEX(MUSTERILER!$B$7:$B$156,MATCH($E508,MUSTERILER!$B$7:$B$156,0)),IFERROR(INDEX(MUSTERILER!$B$7:$B$156,MATCH($U508&amp;"*",MUSTERILER!$T$7:$T$156,0)),"TANIMSIZ MÜŞTERİ"))))</f>
        <v/>
      </c>
      <c r="E508" s="61"/>
      <c r="F508" s="61"/>
      <c r="G508" s="60"/>
      <c r="H508" s="66"/>
      <c r="I508" s="66"/>
      <c r="J508" s="60"/>
      <c r="K508" s="60"/>
      <c r="L508" s="61"/>
      <c r="M508" s="61"/>
      <c r="N508" s="61"/>
      <c r="O508" s="66"/>
      <c r="P508" s="76" t="str">
        <f t="shared" ca="1" si="29"/>
        <v/>
      </c>
      <c r="Q508" s="65" t="str">
        <f t="shared" ca="1" si="30"/>
        <v/>
      </c>
      <c r="R508" s="2"/>
      <c r="S508" s="2"/>
      <c r="T508" s="1"/>
      <c r="U508" s="1" t="str">
        <f t="shared" si="31"/>
        <v/>
      </c>
    </row>
    <row r="509" spans="1:21" ht="18" customHeight="1" x14ac:dyDescent="0.3">
      <c r="A509" s="2"/>
      <c r="B509" s="65" t="str">
        <f t="shared" si="28"/>
        <v/>
      </c>
      <c r="C509" s="60"/>
      <c r="D509" s="65" t="str">
        <f>IF($E509="","",IFERROR(INDEX(MUSTERILER!$B$7:$B$156,MATCH($U509,MUSTERILER!$T$7:$T$156,0)),IFERROR(INDEX(MUSTERILER!$B$7:$B$156,MATCH($E509,MUSTERILER!$B$7:$B$156,0)),IFERROR(INDEX(MUSTERILER!$B$7:$B$156,MATCH($U509&amp;"*",MUSTERILER!$T$7:$T$156,0)),"TANIMSIZ MÜŞTERİ"))))</f>
        <v/>
      </c>
      <c r="E509" s="61"/>
      <c r="F509" s="61"/>
      <c r="G509" s="60"/>
      <c r="H509" s="66"/>
      <c r="I509" s="66"/>
      <c r="J509" s="60"/>
      <c r="K509" s="60"/>
      <c r="L509" s="61"/>
      <c r="M509" s="61"/>
      <c r="N509" s="61"/>
      <c r="O509" s="66"/>
      <c r="P509" s="76" t="str">
        <f t="shared" ca="1" si="29"/>
        <v/>
      </c>
      <c r="Q509" s="65" t="str">
        <f t="shared" ca="1" si="30"/>
        <v/>
      </c>
      <c r="R509" s="2"/>
      <c r="S509" s="2"/>
      <c r="T509" s="1"/>
      <c r="U509" s="1" t="str">
        <f t="shared" si="31"/>
        <v/>
      </c>
    </row>
    <row r="510" spans="1:21" ht="18" customHeight="1" x14ac:dyDescent="0.3">
      <c r="A510" s="2"/>
      <c r="B510" s="65" t="str">
        <f t="shared" si="28"/>
        <v/>
      </c>
      <c r="C510" s="60"/>
      <c r="D510" s="65" t="str">
        <f>IF($E510="","",IFERROR(INDEX(MUSTERILER!$B$7:$B$156,MATCH($U510,MUSTERILER!$T$7:$T$156,0)),IFERROR(INDEX(MUSTERILER!$B$7:$B$156,MATCH($E510,MUSTERILER!$B$7:$B$156,0)),IFERROR(INDEX(MUSTERILER!$B$7:$B$156,MATCH($U510&amp;"*",MUSTERILER!$T$7:$T$156,0)),"TANIMSIZ MÜŞTERİ"))))</f>
        <v/>
      </c>
      <c r="E510" s="61"/>
      <c r="F510" s="61"/>
      <c r="G510" s="60"/>
      <c r="H510" s="66"/>
      <c r="I510" s="66"/>
      <c r="J510" s="60"/>
      <c r="K510" s="60"/>
      <c r="L510" s="61"/>
      <c r="M510" s="61"/>
      <c r="N510" s="61"/>
      <c r="O510" s="66"/>
      <c r="P510" s="76" t="str">
        <f t="shared" ca="1" si="29"/>
        <v/>
      </c>
      <c r="Q510" s="65" t="str">
        <f t="shared" ca="1" si="30"/>
        <v/>
      </c>
      <c r="R510" s="2"/>
      <c r="S510" s="2"/>
      <c r="T510" s="1"/>
      <c r="U510" s="1" t="str">
        <f t="shared" si="31"/>
        <v/>
      </c>
    </row>
    <row r="511" spans="1:21" ht="18" customHeight="1" x14ac:dyDescent="0.3">
      <c r="A511" s="2"/>
      <c r="B511" s="65" t="str">
        <f t="shared" si="28"/>
        <v/>
      </c>
      <c r="C511" s="60"/>
      <c r="D511" s="65" t="str">
        <f>IF($E511="","",IFERROR(INDEX(MUSTERILER!$B$7:$B$156,MATCH($U511,MUSTERILER!$T$7:$T$156,0)),IFERROR(INDEX(MUSTERILER!$B$7:$B$156,MATCH($E511,MUSTERILER!$B$7:$B$156,0)),IFERROR(INDEX(MUSTERILER!$B$7:$B$156,MATCH($U511&amp;"*",MUSTERILER!$T$7:$T$156,0)),"TANIMSIZ MÜŞTERİ"))))</f>
        <v/>
      </c>
      <c r="E511" s="61"/>
      <c r="F511" s="61"/>
      <c r="G511" s="60"/>
      <c r="H511" s="66"/>
      <c r="I511" s="66"/>
      <c r="J511" s="60"/>
      <c r="K511" s="60"/>
      <c r="L511" s="61"/>
      <c r="M511" s="61"/>
      <c r="N511" s="61"/>
      <c r="O511" s="66"/>
      <c r="P511" s="76" t="str">
        <f t="shared" ca="1" si="29"/>
        <v/>
      </c>
      <c r="Q511" s="65" t="str">
        <f t="shared" ca="1" si="30"/>
        <v/>
      </c>
      <c r="R511" s="2"/>
      <c r="S511" s="2"/>
      <c r="T511" s="1"/>
      <c r="U511" s="1" t="str">
        <f t="shared" si="31"/>
        <v/>
      </c>
    </row>
    <row r="512" spans="1:21" ht="18" customHeight="1" x14ac:dyDescent="0.3">
      <c r="A512" s="2"/>
      <c r="B512" s="65" t="str">
        <f t="shared" si="28"/>
        <v/>
      </c>
      <c r="C512" s="60"/>
      <c r="D512" s="65" t="str">
        <f>IF($E512="","",IFERROR(INDEX(MUSTERILER!$B$7:$B$156,MATCH($U512,MUSTERILER!$T$7:$T$156,0)),IFERROR(INDEX(MUSTERILER!$B$7:$B$156,MATCH($E512,MUSTERILER!$B$7:$B$156,0)),IFERROR(INDEX(MUSTERILER!$B$7:$B$156,MATCH($U512&amp;"*",MUSTERILER!$T$7:$T$156,0)),"TANIMSIZ MÜŞTERİ"))))</f>
        <v/>
      </c>
      <c r="E512" s="61"/>
      <c r="F512" s="61"/>
      <c r="G512" s="60"/>
      <c r="H512" s="66"/>
      <c r="I512" s="66"/>
      <c r="J512" s="60"/>
      <c r="K512" s="60"/>
      <c r="L512" s="61"/>
      <c r="M512" s="61"/>
      <c r="N512" s="61"/>
      <c r="O512" s="66"/>
      <c r="P512" s="76" t="str">
        <f t="shared" ca="1" si="29"/>
        <v/>
      </c>
      <c r="Q512" s="65" t="str">
        <f t="shared" ca="1" si="30"/>
        <v/>
      </c>
      <c r="R512" s="2"/>
      <c r="S512" s="2"/>
      <c r="T512" s="1"/>
      <c r="U512" s="1" t="str">
        <f t="shared" si="31"/>
        <v/>
      </c>
    </row>
    <row r="513" spans="1:21" ht="18" customHeight="1" x14ac:dyDescent="0.3">
      <c r="A513" s="2"/>
      <c r="B513" s="65" t="str">
        <f t="shared" si="28"/>
        <v/>
      </c>
      <c r="C513" s="60"/>
      <c r="D513" s="65" t="str">
        <f>IF($E513="","",IFERROR(INDEX(MUSTERILER!$B$7:$B$156,MATCH($U513,MUSTERILER!$T$7:$T$156,0)),IFERROR(INDEX(MUSTERILER!$B$7:$B$156,MATCH($E513,MUSTERILER!$B$7:$B$156,0)),IFERROR(INDEX(MUSTERILER!$B$7:$B$156,MATCH($U513&amp;"*",MUSTERILER!$T$7:$T$156,0)),"TANIMSIZ MÜŞTERİ"))))</f>
        <v/>
      </c>
      <c r="E513" s="61"/>
      <c r="F513" s="61"/>
      <c r="G513" s="60"/>
      <c r="H513" s="66"/>
      <c r="I513" s="66"/>
      <c r="J513" s="60"/>
      <c r="K513" s="60"/>
      <c r="L513" s="61"/>
      <c r="M513" s="61"/>
      <c r="N513" s="61"/>
      <c r="O513" s="66"/>
      <c r="P513" s="76" t="str">
        <f t="shared" ca="1" si="29"/>
        <v/>
      </c>
      <c r="Q513" s="65" t="str">
        <f t="shared" ca="1" si="30"/>
        <v/>
      </c>
      <c r="R513" s="2"/>
      <c r="S513" s="2"/>
      <c r="T513" s="1"/>
      <c r="U513" s="1" t="str">
        <f t="shared" si="31"/>
        <v/>
      </c>
    </row>
    <row r="514" spans="1:21" ht="18" customHeight="1" x14ac:dyDescent="0.3">
      <c r="A514" s="2"/>
      <c r="B514" s="65" t="str">
        <f t="shared" si="28"/>
        <v/>
      </c>
      <c r="C514" s="60"/>
      <c r="D514" s="65" t="str">
        <f>IF($E514="","",IFERROR(INDEX(MUSTERILER!$B$7:$B$156,MATCH($U514,MUSTERILER!$T$7:$T$156,0)),IFERROR(INDEX(MUSTERILER!$B$7:$B$156,MATCH($E514,MUSTERILER!$B$7:$B$156,0)),IFERROR(INDEX(MUSTERILER!$B$7:$B$156,MATCH($U514&amp;"*",MUSTERILER!$T$7:$T$156,0)),"TANIMSIZ MÜŞTERİ"))))</f>
        <v/>
      </c>
      <c r="E514" s="61"/>
      <c r="F514" s="61"/>
      <c r="G514" s="60"/>
      <c r="H514" s="66"/>
      <c r="I514" s="66"/>
      <c r="J514" s="60"/>
      <c r="K514" s="60"/>
      <c r="L514" s="61"/>
      <c r="M514" s="61"/>
      <c r="N514" s="61"/>
      <c r="O514" s="66"/>
      <c r="P514" s="76" t="str">
        <f t="shared" ca="1" si="29"/>
        <v/>
      </c>
      <c r="Q514" s="65" t="str">
        <f t="shared" ca="1" si="30"/>
        <v/>
      </c>
      <c r="R514" s="2"/>
      <c r="S514" s="2"/>
      <c r="T514" s="1"/>
      <c r="U514" s="1" t="str">
        <f t="shared" si="31"/>
        <v/>
      </c>
    </row>
    <row r="515" spans="1:21" ht="18" customHeight="1" x14ac:dyDescent="0.3">
      <c r="A515" s="2"/>
      <c r="B515" s="65" t="str">
        <f t="shared" si="28"/>
        <v/>
      </c>
      <c r="C515" s="60"/>
      <c r="D515" s="65" t="str">
        <f>IF($E515="","",IFERROR(INDEX(MUSTERILER!$B$7:$B$156,MATCH($U515,MUSTERILER!$T$7:$T$156,0)),IFERROR(INDEX(MUSTERILER!$B$7:$B$156,MATCH($E515,MUSTERILER!$B$7:$B$156,0)),IFERROR(INDEX(MUSTERILER!$B$7:$B$156,MATCH($U515&amp;"*",MUSTERILER!$T$7:$T$156,0)),"TANIMSIZ MÜŞTERİ"))))</f>
        <v/>
      </c>
      <c r="E515" s="61"/>
      <c r="F515" s="61"/>
      <c r="G515" s="60"/>
      <c r="H515" s="66"/>
      <c r="I515" s="66"/>
      <c r="J515" s="60"/>
      <c r="K515" s="60"/>
      <c r="L515" s="61"/>
      <c r="M515" s="61"/>
      <c r="N515" s="61"/>
      <c r="O515" s="66"/>
      <c r="P515" s="76" t="str">
        <f t="shared" ca="1" si="29"/>
        <v/>
      </c>
      <c r="Q515" s="65" t="str">
        <f t="shared" ca="1" si="30"/>
        <v/>
      </c>
      <c r="R515" s="2"/>
      <c r="S515" s="2"/>
      <c r="T515" s="1"/>
      <c r="U515" s="1" t="str">
        <f t="shared" si="31"/>
        <v/>
      </c>
    </row>
    <row r="516" spans="1:21" ht="18" customHeight="1" x14ac:dyDescent="0.3">
      <c r="A516" s="2"/>
      <c r="B516" s="65" t="str">
        <f t="shared" si="28"/>
        <v/>
      </c>
      <c r="C516" s="60"/>
      <c r="D516" s="65" t="str">
        <f>IF($E516="","",IFERROR(INDEX(MUSTERILER!$B$7:$B$156,MATCH($U516,MUSTERILER!$T$7:$T$156,0)),IFERROR(INDEX(MUSTERILER!$B$7:$B$156,MATCH($E516,MUSTERILER!$B$7:$B$156,0)),IFERROR(INDEX(MUSTERILER!$B$7:$B$156,MATCH($U516&amp;"*",MUSTERILER!$T$7:$T$156,0)),"TANIMSIZ MÜŞTERİ"))))</f>
        <v/>
      </c>
      <c r="E516" s="61"/>
      <c r="F516" s="61"/>
      <c r="G516" s="60"/>
      <c r="H516" s="66"/>
      <c r="I516" s="66"/>
      <c r="J516" s="60"/>
      <c r="K516" s="60"/>
      <c r="L516" s="61"/>
      <c r="M516" s="61"/>
      <c r="N516" s="61"/>
      <c r="O516" s="66"/>
      <c r="P516" s="76" t="str">
        <f t="shared" ca="1" si="29"/>
        <v/>
      </c>
      <c r="Q516" s="65" t="str">
        <f t="shared" ca="1" si="30"/>
        <v/>
      </c>
      <c r="R516" s="2"/>
      <c r="S516" s="2"/>
      <c r="T516" s="1"/>
      <c r="U516" s="1" t="str">
        <f t="shared" si="31"/>
        <v/>
      </c>
    </row>
    <row r="517" spans="1:21" ht="18" customHeight="1" x14ac:dyDescent="0.3">
      <c r="A517" s="2"/>
      <c r="B517" s="65" t="str">
        <f t="shared" si="28"/>
        <v/>
      </c>
      <c r="C517" s="60"/>
      <c r="D517" s="65" t="str">
        <f>IF($E517="","",IFERROR(INDEX(MUSTERILER!$B$7:$B$156,MATCH($U517,MUSTERILER!$T$7:$T$156,0)),IFERROR(INDEX(MUSTERILER!$B$7:$B$156,MATCH($E517,MUSTERILER!$B$7:$B$156,0)),IFERROR(INDEX(MUSTERILER!$B$7:$B$156,MATCH($U517&amp;"*",MUSTERILER!$T$7:$T$156,0)),"TANIMSIZ MÜŞTERİ"))))</f>
        <v/>
      </c>
      <c r="E517" s="61"/>
      <c r="F517" s="61"/>
      <c r="G517" s="60"/>
      <c r="H517" s="66"/>
      <c r="I517" s="66"/>
      <c r="J517" s="60"/>
      <c r="K517" s="60"/>
      <c r="L517" s="61"/>
      <c r="M517" s="61"/>
      <c r="N517" s="61"/>
      <c r="O517" s="66"/>
      <c r="P517" s="76" t="str">
        <f t="shared" ca="1" si="29"/>
        <v/>
      </c>
      <c r="Q517" s="65" t="str">
        <f t="shared" ca="1" si="30"/>
        <v/>
      </c>
      <c r="R517" s="2"/>
      <c r="S517" s="2"/>
      <c r="T517" s="1"/>
      <c r="U517" s="1" t="str">
        <f t="shared" si="31"/>
        <v/>
      </c>
    </row>
    <row r="518" spans="1:21" ht="18" customHeight="1" x14ac:dyDescent="0.3">
      <c r="A518" s="2"/>
      <c r="B518" s="65" t="str">
        <f t="shared" si="28"/>
        <v/>
      </c>
      <c r="C518" s="60"/>
      <c r="D518" s="65" t="str">
        <f>IF($E518="","",IFERROR(INDEX(MUSTERILER!$B$7:$B$156,MATCH($U518,MUSTERILER!$T$7:$T$156,0)),IFERROR(INDEX(MUSTERILER!$B$7:$B$156,MATCH($E518,MUSTERILER!$B$7:$B$156,0)),IFERROR(INDEX(MUSTERILER!$B$7:$B$156,MATCH($U518&amp;"*",MUSTERILER!$T$7:$T$156,0)),"TANIMSIZ MÜŞTERİ"))))</f>
        <v/>
      </c>
      <c r="E518" s="61"/>
      <c r="F518" s="61"/>
      <c r="G518" s="60"/>
      <c r="H518" s="66"/>
      <c r="I518" s="66"/>
      <c r="J518" s="60"/>
      <c r="K518" s="60"/>
      <c r="L518" s="61"/>
      <c r="M518" s="61"/>
      <c r="N518" s="61"/>
      <c r="O518" s="66"/>
      <c r="P518" s="76" t="str">
        <f t="shared" ca="1" si="29"/>
        <v/>
      </c>
      <c r="Q518" s="65" t="str">
        <f t="shared" ca="1" si="30"/>
        <v/>
      </c>
      <c r="R518" s="2"/>
      <c r="S518" s="2"/>
      <c r="T518" s="1"/>
      <c r="U518" s="1" t="str">
        <f t="shared" si="31"/>
        <v/>
      </c>
    </row>
    <row r="519" spans="1:21" ht="18" customHeight="1" x14ac:dyDescent="0.3">
      <c r="A519" s="2"/>
      <c r="B519" s="65" t="str">
        <f t="shared" ref="B519:B582" si="32">IF($E519="","","A"&amp;TEXT(ROW()-6,"00000"))</f>
        <v/>
      </c>
      <c r="C519" s="60"/>
      <c r="D519" s="65" t="str">
        <f>IF($E519="","",IFERROR(INDEX(MUSTERILER!$B$7:$B$156,MATCH($U519,MUSTERILER!$T$7:$T$156,0)),IFERROR(INDEX(MUSTERILER!$B$7:$B$156,MATCH($E519,MUSTERILER!$B$7:$B$156,0)),IFERROR(INDEX(MUSTERILER!$B$7:$B$156,MATCH($U519&amp;"*",MUSTERILER!$T$7:$T$156,0)),"TANIMSIZ MÜŞTERİ"))))</f>
        <v/>
      </c>
      <c r="E519" s="61"/>
      <c r="F519" s="61"/>
      <c r="G519" s="60"/>
      <c r="H519" s="66"/>
      <c r="I519" s="66"/>
      <c r="J519" s="60"/>
      <c r="K519" s="60"/>
      <c r="L519" s="61"/>
      <c r="M519" s="61"/>
      <c r="N519" s="61"/>
      <c r="O519" s="66"/>
      <c r="P519" s="76" t="str">
        <f t="shared" ref="P519:P582" ca="1" si="33">IF(OR($E519="",$I519=""),"",IF(OR($J519="Tamamlandı",$J519="İptal"),"",$I519-TODAY()))</f>
        <v/>
      </c>
      <c r="Q519" s="65" t="str">
        <f t="shared" ref="Q519:Q582" ca="1" si="34"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2"/>
      <c r="S519" s="2"/>
      <c r="T519" s="1"/>
      <c r="U519" s="1" t="str">
        <f t="shared" ref="U519:U582" si="35">IF($E519="","",UPPER(SUBSTITUTE(SUBSTITUTE(SUBSTITUTE(SUBSTITUTE(SUBSTITUTE(SUBSTITUTE(SUBSTITUTE(SUBSTITUTE(SUBSTITUTE(SUBSTITUTE(SUBSTITUTE(SUBSTITUTE(SUBSTITUTE(SUBSTITUTE(SUBSTITUTE(SUBSTITUTE(SUBSTITUTE(SUBSTITUTE(TRIM($E519),"'",""),"İ","I"),"ı","I"),"i","I"),"Ş","S"),"ş","S"),"Ğ","G"),"ğ","G"),"Ü","U"),"ü","U"),"Ö","O"),"ö","O"),"Ç","C"),"ç","C"),".",""),",","")," ",""),"-","")))</f>
        <v/>
      </c>
    </row>
    <row r="520" spans="1:21" ht="18" customHeight="1" x14ac:dyDescent="0.3">
      <c r="A520" s="2"/>
      <c r="B520" s="65" t="str">
        <f t="shared" si="32"/>
        <v/>
      </c>
      <c r="C520" s="60"/>
      <c r="D520" s="65" t="str">
        <f>IF($E520="","",IFERROR(INDEX(MUSTERILER!$B$7:$B$156,MATCH($U520,MUSTERILER!$T$7:$T$156,0)),IFERROR(INDEX(MUSTERILER!$B$7:$B$156,MATCH($E520,MUSTERILER!$B$7:$B$156,0)),IFERROR(INDEX(MUSTERILER!$B$7:$B$156,MATCH($U520&amp;"*",MUSTERILER!$T$7:$T$156,0)),"TANIMSIZ MÜŞTERİ"))))</f>
        <v/>
      </c>
      <c r="E520" s="61"/>
      <c r="F520" s="61"/>
      <c r="G520" s="60"/>
      <c r="H520" s="66"/>
      <c r="I520" s="66"/>
      <c r="J520" s="60"/>
      <c r="K520" s="60"/>
      <c r="L520" s="61"/>
      <c r="M520" s="61"/>
      <c r="N520" s="61"/>
      <c r="O520" s="66"/>
      <c r="P520" s="76" t="str">
        <f t="shared" ca="1" si="33"/>
        <v/>
      </c>
      <c r="Q520" s="65" t="str">
        <f t="shared" ca="1" si="34"/>
        <v/>
      </c>
      <c r="R520" s="2"/>
      <c r="S520" s="2"/>
      <c r="T520" s="1"/>
      <c r="U520" s="1" t="str">
        <f t="shared" si="35"/>
        <v/>
      </c>
    </row>
    <row r="521" spans="1:21" ht="18" customHeight="1" x14ac:dyDescent="0.3">
      <c r="A521" s="2"/>
      <c r="B521" s="65" t="str">
        <f t="shared" si="32"/>
        <v/>
      </c>
      <c r="C521" s="60"/>
      <c r="D521" s="65" t="str">
        <f>IF($E521="","",IFERROR(INDEX(MUSTERILER!$B$7:$B$156,MATCH($U521,MUSTERILER!$T$7:$T$156,0)),IFERROR(INDEX(MUSTERILER!$B$7:$B$156,MATCH($E521,MUSTERILER!$B$7:$B$156,0)),IFERROR(INDEX(MUSTERILER!$B$7:$B$156,MATCH($U521&amp;"*",MUSTERILER!$T$7:$T$156,0)),"TANIMSIZ MÜŞTERİ"))))</f>
        <v/>
      </c>
      <c r="E521" s="61"/>
      <c r="F521" s="61"/>
      <c r="G521" s="60"/>
      <c r="H521" s="66"/>
      <c r="I521" s="66"/>
      <c r="J521" s="60"/>
      <c r="K521" s="60"/>
      <c r="L521" s="61"/>
      <c r="M521" s="61"/>
      <c r="N521" s="61"/>
      <c r="O521" s="66"/>
      <c r="P521" s="76" t="str">
        <f t="shared" ca="1" si="33"/>
        <v/>
      </c>
      <c r="Q521" s="65" t="str">
        <f t="shared" ca="1" si="34"/>
        <v/>
      </c>
      <c r="R521" s="2"/>
      <c r="S521" s="2"/>
      <c r="T521" s="1"/>
      <c r="U521" s="1" t="str">
        <f t="shared" si="35"/>
        <v/>
      </c>
    </row>
    <row r="522" spans="1:21" ht="18" customHeight="1" x14ac:dyDescent="0.3">
      <c r="A522" s="2"/>
      <c r="B522" s="65" t="str">
        <f t="shared" si="32"/>
        <v/>
      </c>
      <c r="C522" s="60"/>
      <c r="D522" s="65" t="str">
        <f>IF($E522="","",IFERROR(INDEX(MUSTERILER!$B$7:$B$156,MATCH($U522,MUSTERILER!$T$7:$T$156,0)),IFERROR(INDEX(MUSTERILER!$B$7:$B$156,MATCH($E522,MUSTERILER!$B$7:$B$156,0)),IFERROR(INDEX(MUSTERILER!$B$7:$B$156,MATCH($U522&amp;"*",MUSTERILER!$T$7:$T$156,0)),"TANIMSIZ MÜŞTERİ"))))</f>
        <v/>
      </c>
      <c r="E522" s="61"/>
      <c r="F522" s="61"/>
      <c r="G522" s="60"/>
      <c r="H522" s="66"/>
      <c r="I522" s="66"/>
      <c r="J522" s="60"/>
      <c r="K522" s="60"/>
      <c r="L522" s="61"/>
      <c r="M522" s="61"/>
      <c r="N522" s="61"/>
      <c r="O522" s="66"/>
      <c r="P522" s="76" t="str">
        <f t="shared" ca="1" si="33"/>
        <v/>
      </c>
      <c r="Q522" s="65" t="str">
        <f t="shared" ca="1" si="34"/>
        <v/>
      </c>
      <c r="R522" s="2"/>
      <c r="S522" s="2"/>
      <c r="T522" s="1"/>
      <c r="U522" s="1" t="str">
        <f t="shared" si="35"/>
        <v/>
      </c>
    </row>
    <row r="523" spans="1:21" ht="18" customHeight="1" x14ac:dyDescent="0.3">
      <c r="A523" s="2"/>
      <c r="B523" s="65" t="str">
        <f t="shared" si="32"/>
        <v/>
      </c>
      <c r="C523" s="60"/>
      <c r="D523" s="65" t="str">
        <f>IF($E523="","",IFERROR(INDEX(MUSTERILER!$B$7:$B$156,MATCH($U523,MUSTERILER!$T$7:$T$156,0)),IFERROR(INDEX(MUSTERILER!$B$7:$B$156,MATCH($E523,MUSTERILER!$B$7:$B$156,0)),IFERROR(INDEX(MUSTERILER!$B$7:$B$156,MATCH($U523&amp;"*",MUSTERILER!$T$7:$T$156,0)),"TANIMSIZ MÜŞTERİ"))))</f>
        <v/>
      </c>
      <c r="E523" s="61"/>
      <c r="F523" s="61"/>
      <c r="G523" s="60"/>
      <c r="H523" s="66"/>
      <c r="I523" s="66"/>
      <c r="J523" s="60"/>
      <c r="K523" s="60"/>
      <c r="L523" s="61"/>
      <c r="M523" s="61"/>
      <c r="N523" s="61"/>
      <c r="O523" s="66"/>
      <c r="P523" s="76" t="str">
        <f t="shared" ca="1" si="33"/>
        <v/>
      </c>
      <c r="Q523" s="65" t="str">
        <f t="shared" ca="1" si="34"/>
        <v/>
      </c>
      <c r="R523" s="2"/>
      <c r="S523" s="2"/>
      <c r="T523" s="1"/>
      <c r="U523" s="1" t="str">
        <f t="shared" si="35"/>
        <v/>
      </c>
    </row>
    <row r="524" spans="1:21" ht="18" customHeight="1" x14ac:dyDescent="0.3">
      <c r="A524" s="2"/>
      <c r="B524" s="65" t="str">
        <f t="shared" si="32"/>
        <v/>
      </c>
      <c r="C524" s="60"/>
      <c r="D524" s="65" t="str">
        <f>IF($E524="","",IFERROR(INDEX(MUSTERILER!$B$7:$B$156,MATCH($U524,MUSTERILER!$T$7:$T$156,0)),IFERROR(INDEX(MUSTERILER!$B$7:$B$156,MATCH($E524,MUSTERILER!$B$7:$B$156,0)),IFERROR(INDEX(MUSTERILER!$B$7:$B$156,MATCH($U524&amp;"*",MUSTERILER!$T$7:$T$156,0)),"TANIMSIZ MÜŞTERİ"))))</f>
        <v/>
      </c>
      <c r="E524" s="61"/>
      <c r="F524" s="61"/>
      <c r="G524" s="60"/>
      <c r="H524" s="66"/>
      <c r="I524" s="66"/>
      <c r="J524" s="60"/>
      <c r="K524" s="60"/>
      <c r="L524" s="61"/>
      <c r="M524" s="61"/>
      <c r="N524" s="61"/>
      <c r="O524" s="66"/>
      <c r="P524" s="76" t="str">
        <f t="shared" ca="1" si="33"/>
        <v/>
      </c>
      <c r="Q524" s="65" t="str">
        <f t="shared" ca="1" si="34"/>
        <v/>
      </c>
      <c r="R524" s="2"/>
      <c r="S524" s="2"/>
      <c r="T524" s="1"/>
      <c r="U524" s="1" t="str">
        <f t="shared" si="35"/>
        <v/>
      </c>
    </row>
    <row r="525" spans="1:21" ht="18" customHeight="1" x14ac:dyDescent="0.3">
      <c r="A525" s="2"/>
      <c r="B525" s="65" t="str">
        <f t="shared" si="32"/>
        <v/>
      </c>
      <c r="C525" s="60"/>
      <c r="D525" s="65" t="str">
        <f>IF($E525="","",IFERROR(INDEX(MUSTERILER!$B$7:$B$156,MATCH($U525,MUSTERILER!$T$7:$T$156,0)),IFERROR(INDEX(MUSTERILER!$B$7:$B$156,MATCH($E525,MUSTERILER!$B$7:$B$156,0)),IFERROR(INDEX(MUSTERILER!$B$7:$B$156,MATCH($U525&amp;"*",MUSTERILER!$T$7:$T$156,0)),"TANIMSIZ MÜŞTERİ"))))</f>
        <v/>
      </c>
      <c r="E525" s="61"/>
      <c r="F525" s="61"/>
      <c r="G525" s="60"/>
      <c r="H525" s="66"/>
      <c r="I525" s="66"/>
      <c r="J525" s="60"/>
      <c r="K525" s="60"/>
      <c r="L525" s="61"/>
      <c r="M525" s="61"/>
      <c r="N525" s="61"/>
      <c r="O525" s="66"/>
      <c r="P525" s="76" t="str">
        <f t="shared" ca="1" si="33"/>
        <v/>
      </c>
      <c r="Q525" s="65" t="str">
        <f t="shared" ca="1" si="34"/>
        <v/>
      </c>
      <c r="R525" s="2"/>
      <c r="S525" s="2"/>
      <c r="T525" s="1"/>
      <c r="U525" s="1" t="str">
        <f t="shared" si="35"/>
        <v/>
      </c>
    </row>
    <row r="526" spans="1:21" ht="18" customHeight="1" x14ac:dyDescent="0.3">
      <c r="A526" s="2"/>
      <c r="B526" s="65" t="str">
        <f t="shared" si="32"/>
        <v/>
      </c>
      <c r="C526" s="60"/>
      <c r="D526" s="65" t="str">
        <f>IF($E526="","",IFERROR(INDEX(MUSTERILER!$B$7:$B$156,MATCH($U526,MUSTERILER!$T$7:$T$156,0)),IFERROR(INDEX(MUSTERILER!$B$7:$B$156,MATCH($E526,MUSTERILER!$B$7:$B$156,0)),IFERROR(INDEX(MUSTERILER!$B$7:$B$156,MATCH($U526&amp;"*",MUSTERILER!$T$7:$T$156,0)),"TANIMSIZ MÜŞTERİ"))))</f>
        <v/>
      </c>
      <c r="E526" s="61"/>
      <c r="F526" s="61"/>
      <c r="G526" s="60"/>
      <c r="H526" s="66"/>
      <c r="I526" s="66"/>
      <c r="J526" s="60"/>
      <c r="K526" s="60"/>
      <c r="L526" s="61"/>
      <c r="M526" s="61"/>
      <c r="N526" s="61"/>
      <c r="O526" s="66"/>
      <c r="P526" s="76" t="str">
        <f t="shared" ca="1" si="33"/>
        <v/>
      </c>
      <c r="Q526" s="65" t="str">
        <f t="shared" ca="1" si="34"/>
        <v/>
      </c>
      <c r="R526" s="2"/>
      <c r="S526" s="2"/>
      <c r="T526" s="1"/>
      <c r="U526" s="1" t="str">
        <f t="shared" si="35"/>
        <v/>
      </c>
    </row>
    <row r="527" spans="1:21" ht="18" customHeight="1" x14ac:dyDescent="0.3">
      <c r="A527" s="2"/>
      <c r="B527" s="65" t="str">
        <f t="shared" si="32"/>
        <v/>
      </c>
      <c r="C527" s="60"/>
      <c r="D527" s="65" t="str">
        <f>IF($E527="","",IFERROR(INDEX(MUSTERILER!$B$7:$B$156,MATCH($U527,MUSTERILER!$T$7:$T$156,0)),IFERROR(INDEX(MUSTERILER!$B$7:$B$156,MATCH($E527,MUSTERILER!$B$7:$B$156,0)),IFERROR(INDEX(MUSTERILER!$B$7:$B$156,MATCH($U527&amp;"*",MUSTERILER!$T$7:$T$156,0)),"TANIMSIZ MÜŞTERİ"))))</f>
        <v/>
      </c>
      <c r="E527" s="61"/>
      <c r="F527" s="61"/>
      <c r="G527" s="60"/>
      <c r="H527" s="66"/>
      <c r="I527" s="66"/>
      <c r="J527" s="60"/>
      <c r="K527" s="60"/>
      <c r="L527" s="61"/>
      <c r="M527" s="61"/>
      <c r="N527" s="61"/>
      <c r="O527" s="66"/>
      <c r="P527" s="76" t="str">
        <f t="shared" ca="1" si="33"/>
        <v/>
      </c>
      <c r="Q527" s="65" t="str">
        <f t="shared" ca="1" si="34"/>
        <v/>
      </c>
      <c r="R527" s="2"/>
      <c r="S527" s="2"/>
      <c r="T527" s="1"/>
      <c r="U527" s="1" t="str">
        <f t="shared" si="35"/>
        <v/>
      </c>
    </row>
    <row r="528" spans="1:21" ht="18" customHeight="1" x14ac:dyDescent="0.3">
      <c r="A528" s="2"/>
      <c r="B528" s="65" t="str">
        <f t="shared" si="32"/>
        <v/>
      </c>
      <c r="C528" s="60"/>
      <c r="D528" s="65" t="str">
        <f>IF($E528="","",IFERROR(INDEX(MUSTERILER!$B$7:$B$156,MATCH($U528,MUSTERILER!$T$7:$T$156,0)),IFERROR(INDEX(MUSTERILER!$B$7:$B$156,MATCH($E528,MUSTERILER!$B$7:$B$156,0)),IFERROR(INDEX(MUSTERILER!$B$7:$B$156,MATCH($U528&amp;"*",MUSTERILER!$T$7:$T$156,0)),"TANIMSIZ MÜŞTERİ"))))</f>
        <v/>
      </c>
      <c r="E528" s="61"/>
      <c r="F528" s="61"/>
      <c r="G528" s="60"/>
      <c r="H528" s="66"/>
      <c r="I528" s="66"/>
      <c r="J528" s="60"/>
      <c r="K528" s="60"/>
      <c r="L528" s="61"/>
      <c r="M528" s="61"/>
      <c r="N528" s="61"/>
      <c r="O528" s="66"/>
      <c r="P528" s="76" t="str">
        <f t="shared" ca="1" si="33"/>
        <v/>
      </c>
      <c r="Q528" s="65" t="str">
        <f t="shared" ca="1" si="34"/>
        <v/>
      </c>
      <c r="R528" s="2"/>
      <c r="S528" s="2"/>
      <c r="T528" s="1"/>
      <c r="U528" s="1" t="str">
        <f t="shared" si="35"/>
        <v/>
      </c>
    </row>
    <row r="529" spans="1:21" ht="18" customHeight="1" x14ac:dyDescent="0.3">
      <c r="A529" s="2"/>
      <c r="B529" s="65" t="str">
        <f t="shared" si="32"/>
        <v/>
      </c>
      <c r="C529" s="60"/>
      <c r="D529" s="65" t="str">
        <f>IF($E529="","",IFERROR(INDEX(MUSTERILER!$B$7:$B$156,MATCH($U529,MUSTERILER!$T$7:$T$156,0)),IFERROR(INDEX(MUSTERILER!$B$7:$B$156,MATCH($E529,MUSTERILER!$B$7:$B$156,0)),IFERROR(INDEX(MUSTERILER!$B$7:$B$156,MATCH($U529&amp;"*",MUSTERILER!$T$7:$T$156,0)),"TANIMSIZ MÜŞTERİ"))))</f>
        <v/>
      </c>
      <c r="E529" s="61"/>
      <c r="F529" s="61"/>
      <c r="G529" s="60"/>
      <c r="H529" s="66"/>
      <c r="I529" s="66"/>
      <c r="J529" s="60"/>
      <c r="K529" s="60"/>
      <c r="L529" s="61"/>
      <c r="M529" s="61"/>
      <c r="N529" s="61"/>
      <c r="O529" s="66"/>
      <c r="P529" s="76" t="str">
        <f t="shared" ca="1" si="33"/>
        <v/>
      </c>
      <c r="Q529" s="65" t="str">
        <f t="shared" ca="1" si="34"/>
        <v/>
      </c>
      <c r="R529" s="2"/>
      <c r="S529" s="2"/>
      <c r="T529" s="1"/>
      <c r="U529" s="1" t="str">
        <f t="shared" si="35"/>
        <v/>
      </c>
    </row>
    <row r="530" spans="1:21" ht="18" customHeight="1" x14ac:dyDescent="0.3">
      <c r="A530" s="2"/>
      <c r="B530" s="65" t="str">
        <f t="shared" si="32"/>
        <v/>
      </c>
      <c r="C530" s="60"/>
      <c r="D530" s="65" t="str">
        <f>IF($E530="","",IFERROR(INDEX(MUSTERILER!$B$7:$B$156,MATCH($U530,MUSTERILER!$T$7:$T$156,0)),IFERROR(INDEX(MUSTERILER!$B$7:$B$156,MATCH($E530,MUSTERILER!$B$7:$B$156,0)),IFERROR(INDEX(MUSTERILER!$B$7:$B$156,MATCH($U530&amp;"*",MUSTERILER!$T$7:$T$156,0)),"TANIMSIZ MÜŞTERİ"))))</f>
        <v/>
      </c>
      <c r="E530" s="61"/>
      <c r="F530" s="61"/>
      <c r="G530" s="60"/>
      <c r="H530" s="66"/>
      <c r="I530" s="66"/>
      <c r="J530" s="60"/>
      <c r="K530" s="60"/>
      <c r="L530" s="61"/>
      <c r="M530" s="61"/>
      <c r="N530" s="61"/>
      <c r="O530" s="66"/>
      <c r="P530" s="76" t="str">
        <f t="shared" ca="1" si="33"/>
        <v/>
      </c>
      <c r="Q530" s="65" t="str">
        <f t="shared" ca="1" si="34"/>
        <v/>
      </c>
      <c r="R530" s="2"/>
      <c r="S530" s="2"/>
      <c r="T530" s="1"/>
      <c r="U530" s="1" t="str">
        <f t="shared" si="35"/>
        <v/>
      </c>
    </row>
    <row r="531" spans="1:21" ht="18" customHeight="1" x14ac:dyDescent="0.3">
      <c r="A531" s="2"/>
      <c r="B531" s="65" t="str">
        <f t="shared" si="32"/>
        <v/>
      </c>
      <c r="C531" s="60"/>
      <c r="D531" s="65" t="str">
        <f>IF($E531="","",IFERROR(INDEX(MUSTERILER!$B$7:$B$156,MATCH($U531,MUSTERILER!$T$7:$T$156,0)),IFERROR(INDEX(MUSTERILER!$B$7:$B$156,MATCH($E531,MUSTERILER!$B$7:$B$156,0)),IFERROR(INDEX(MUSTERILER!$B$7:$B$156,MATCH($U531&amp;"*",MUSTERILER!$T$7:$T$156,0)),"TANIMSIZ MÜŞTERİ"))))</f>
        <v/>
      </c>
      <c r="E531" s="61"/>
      <c r="F531" s="61"/>
      <c r="G531" s="60"/>
      <c r="H531" s="66"/>
      <c r="I531" s="66"/>
      <c r="J531" s="60"/>
      <c r="K531" s="60"/>
      <c r="L531" s="61"/>
      <c r="M531" s="61"/>
      <c r="N531" s="61"/>
      <c r="O531" s="66"/>
      <c r="P531" s="76" t="str">
        <f t="shared" ca="1" si="33"/>
        <v/>
      </c>
      <c r="Q531" s="65" t="str">
        <f t="shared" ca="1" si="34"/>
        <v/>
      </c>
      <c r="R531" s="2"/>
      <c r="S531" s="2"/>
      <c r="T531" s="1"/>
      <c r="U531" s="1" t="str">
        <f t="shared" si="35"/>
        <v/>
      </c>
    </row>
    <row r="532" spans="1:21" ht="18" customHeight="1" x14ac:dyDescent="0.3">
      <c r="A532" s="2"/>
      <c r="B532" s="65" t="str">
        <f t="shared" si="32"/>
        <v/>
      </c>
      <c r="C532" s="60"/>
      <c r="D532" s="65" t="str">
        <f>IF($E532="","",IFERROR(INDEX(MUSTERILER!$B$7:$B$156,MATCH($U532,MUSTERILER!$T$7:$T$156,0)),IFERROR(INDEX(MUSTERILER!$B$7:$B$156,MATCH($E532,MUSTERILER!$B$7:$B$156,0)),IFERROR(INDEX(MUSTERILER!$B$7:$B$156,MATCH($U532&amp;"*",MUSTERILER!$T$7:$T$156,0)),"TANIMSIZ MÜŞTERİ"))))</f>
        <v/>
      </c>
      <c r="E532" s="61"/>
      <c r="F532" s="61"/>
      <c r="G532" s="60"/>
      <c r="H532" s="66"/>
      <c r="I532" s="66"/>
      <c r="J532" s="60"/>
      <c r="K532" s="60"/>
      <c r="L532" s="61"/>
      <c r="M532" s="61"/>
      <c r="N532" s="61"/>
      <c r="O532" s="66"/>
      <c r="P532" s="76" t="str">
        <f t="shared" ca="1" si="33"/>
        <v/>
      </c>
      <c r="Q532" s="65" t="str">
        <f t="shared" ca="1" si="34"/>
        <v/>
      </c>
      <c r="R532" s="2"/>
      <c r="S532" s="2"/>
      <c r="T532" s="1"/>
      <c r="U532" s="1" t="str">
        <f t="shared" si="35"/>
        <v/>
      </c>
    </row>
    <row r="533" spans="1:21" ht="18" customHeight="1" x14ac:dyDescent="0.3">
      <c r="A533" s="2"/>
      <c r="B533" s="65" t="str">
        <f t="shared" si="32"/>
        <v/>
      </c>
      <c r="C533" s="60"/>
      <c r="D533" s="65" t="str">
        <f>IF($E533="","",IFERROR(INDEX(MUSTERILER!$B$7:$B$156,MATCH($U533,MUSTERILER!$T$7:$T$156,0)),IFERROR(INDEX(MUSTERILER!$B$7:$B$156,MATCH($E533,MUSTERILER!$B$7:$B$156,0)),IFERROR(INDEX(MUSTERILER!$B$7:$B$156,MATCH($U533&amp;"*",MUSTERILER!$T$7:$T$156,0)),"TANIMSIZ MÜŞTERİ"))))</f>
        <v/>
      </c>
      <c r="E533" s="61"/>
      <c r="F533" s="61"/>
      <c r="G533" s="60"/>
      <c r="H533" s="66"/>
      <c r="I533" s="66"/>
      <c r="J533" s="60"/>
      <c r="K533" s="60"/>
      <c r="L533" s="61"/>
      <c r="M533" s="61"/>
      <c r="N533" s="61"/>
      <c r="O533" s="66"/>
      <c r="P533" s="76" t="str">
        <f t="shared" ca="1" si="33"/>
        <v/>
      </c>
      <c r="Q533" s="65" t="str">
        <f t="shared" ca="1" si="34"/>
        <v/>
      </c>
      <c r="R533" s="2"/>
      <c r="S533" s="2"/>
      <c r="T533" s="1"/>
      <c r="U533" s="1" t="str">
        <f t="shared" si="35"/>
        <v/>
      </c>
    </row>
    <row r="534" spans="1:21" ht="18" customHeight="1" x14ac:dyDescent="0.3">
      <c r="A534" s="2"/>
      <c r="B534" s="65" t="str">
        <f t="shared" si="32"/>
        <v/>
      </c>
      <c r="C534" s="60"/>
      <c r="D534" s="65" t="str">
        <f>IF($E534="","",IFERROR(INDEX(MUSTERILER!$B$7:$B$156,MATCH($U534,MUSTERILER!$T$7:$T$156,0)),IFERROR(INDEX(MUSTERILER!$B$7:$B$156,MATCH($E534,MUSTERILER!$B$7:$B$156,0)),IFERROR(INDEX(MUSTERILER!$B$7:$B$156,MATCH($U534&amp;"*",MUSTERILER!$T$7:$T$156,0)),"TANIMSIZ MÜŞTERİ"))))</f>
        <v/>
      </c>
      <c r="E534" s="61"/>
      <c r="F534" s="61"/>
      <c r="G534" s="60"/>
      <c r="H534" s="66"/>
      <c r="I534" s="66"/>
      <c r="J534" s="60"/>
      <c r="K534" s="60"/>
      <c r="L534" s="61"/>
      <c r="M534" s="61"/>
      <c r="N534" s="61"/>
      <c r="O534" s="66"/>
      <c r="P534" s="76" t="str">
        <f t="shared" ca="1" si="33"/>
        <v/>
      </c>
      <c r="Q534" s="65" t="str">
        <f t="shared" ca="1" si="34"/>
        <v/>
      </c>
      <c r="R534" s="2"/>
      <c r="S534" s="2"/>
      <c r="T534" s="1"/>
      <c r="U534" s="1" t="str">
        <f t="shared" si="35"/>
        <v/>
      </c>
    </row>
    <row r="535" spans="1:21" ht="18" customHeight="1" x14ac:dyDescent="0.3">
      <c r="A535" s="2"/>
      <c r="B535" s="65" t="str">
        <f t="shared" si="32"/>
        <v/>
      </c>
      <c r="C535" s="60"/>
      <c r="D535" s="65" t="str">
        <f>IF($E535="","",IFERROR(INDEX(MUSTERILER!$B$7:$B$156,MATCH($U535,MUSTERILER!$T$7:$T$156,0)),IFERROR(INDEX(MUSTERILER!$B$7:$B$156,MATCH($E535,MUSTERILER!$B$7:$B$156,0)),IFERROR(INDEX(MUSTERILER!$B$7:$B$156,MATCH($U535&amp;"*",MUSTERILER!$T$7:$T$156,0)),"TANIMSIZ MÜŞTERİ"))))</f>
        <v/>
      </c>
      <c r="E535" s="61"/>
      <c r="F535" s="61"/>
      <c r="G535" s="60"/>
      <c r="H535" s="66"/>
      <c r="I535" s="66"/>
      <c r="J535" s="60"/>
      <c r="K535" s="60"/>
      <c r="L535" s="61"/>
      <c r="M535" s="61"/>
      <c r="N535" s="61"/>
      <c r="O535" s="66"/>
      <c r="P535" s="76" t="str">
        <f t="shared" ca="1" si="33"/>
        <v/>
      </c>
      <c r="Q535" s="65" t="str">
        <f t="shared" ca="1" si="34"/>
        <v/>
      </c>
      <c r="R535" s="2"/>
      <c r="S535" s="2"/>
      <c r="T535" s="1"/>
      <c r="U535" s="1" t="str">
        <f t="shared" si="35"/>
        <v/>
      </c>
    </row>
    <row r="536" spans="1:21" ht="18" customHeight="1" x14ac:dyDescent="0.3">
      <c r="A536" s="2"/>
      <c r="B536" s="65" t="str">
        <f t="shared" si="32"/>
        <v/>
      </c>
      <c r="C536" s="60"/>
      <c r="D536" s="65" t="str">
        <f>IF($E536="","",IFERROR(INDEX(MUSTERILER!$B$7:$B$156,MATCH($U536,MUSTERILER!$T$7:$T$156,0)),IFERROR(INDEX(MUSTERILER!$B$7:$B$156,MATCH($E536,MUSTERILER!$B$7:$B$156,0)),IFERROR(INDEX(MUSTERILER!$B$7:$B$156,MATCH($U536&amp;"*",MUSTERILER!$T$7:$T$156,0)),"TANIMSIZ MÜŞTERİ"))))</f>
        <v/>
      </c>
      <c r="E536" s="61"/>
      <c r="F536" s="61"/>
      <c r="G536" s="60"/>
      <c r="H536" s="66"/>
      <c r="I536" s="66"/>
      <c r="J536" s="60"/>
      <c r="K536" s="60"/>
      <c r="L536" s="61"/>
      <c r="M536" s="61"/>
      <c r="N536" s="61"/>
      <c r="O536" s="66"/>
      <c r="P536" s="76" t="str">
        <f t="shared" ca="1" si="33"/>
        <v/>
      </c>
      <c r="Q536" s="65" t="str">
        <f t="shared" ca="1" si="34"/>
        <v/>
      </c>
      <c r="R536" s="2"/>
      <c r="S536" s="2"/>
      <c r="T536" s="1"/>
      <c r="U536" s="1" t="str">
        <f t="shared" si="35"/>
        <v/>
      </c>
    </row>
    <row r="537" spans="1:21" ht="18" customHeight="1" x14ac:dyDescent="0.3">
      <c r="A537" s="2"/>
      <c r="B537" s="65" t="str">
        <f t="shared" si="32"/>
        <v/>
      </c>
      <c r="C537" s="60"/>
      <c r="D537" s="65" t="str">
        <f>IF($E537="","",IFERROR(INDEX(MUSTERILER!$B$7:$B$156,MATCH($U537,MUSTERILER!$T$7:$T$156,0)),IFERROR(INDEX(MUSTERILER!$B$7:$B$156,MATCH($E537,MUSTERILER!$B$7:$B$156,0)),IFERROR(INDEX(MUSTERILER!$B$7:$B$156,MATCH($U537&amp;"*",MUSTERILER!$T$7:$T$156,0)),"TANIMSIZ MÜŞTERİ"))))</f>
        <v/>
      </c>
      <c r="E537" s="61"/>
      <c r="F537" s="61"/>
      <c r="G537" s="60"/>
      <c r="H537" s="66"/>
      <c r="I537" s="66"/>
      <c r="J537" s="60"/>
      <c r="K537" s="60"/>
      <c r="L537" s="61"/>
      <c r="M537" s="61"/>
      <c r="N537" s="61"/>
      <c r="O537" s="66"/>
      <c r="P537" s="76" t="str">
        <f t="shared" ca="1" si="33"/>
        <v/>
      </c>
      <c r="Q537" s="65" t="str">
        <f t="shared" ca="1" si="34"/>
        <v/>
      </c>
      <c r="R537" s="2"/>
      <c r="S537" s="2"/>
      <c r="T537" s="1"/>
      <c r="U537" s="1" t="str">
        <f t="shared" si="35"/>
        <v/>
      </c>
    </row>
    <row r="538" spans="1:21" ht="18" customHeight="1" x14ac:dyDescent="0.3">
      <c r="A538" s="2"/>
      <c r="B538" s="65" t="str">
        <f t="shared" si="32"/>
        <v/>
      </c>
      <c r="C538" s="60"/>
      <c r="D538" s="65" t="str">
        <f>IF($E538="","",IFERROR(INDEX(MUSTERILER!$B$7:$B$156,MATCH($U538,MUSTERILER!$T$7:$T$156,0)),IFERROR(INDEX(MUSTERILER!$B$7:$B$156,MATCH($E538,MUSTERILER!$B$7:$B$156,0)),IFERROR(INDEX(MUSTERILER!$B$7:$B$156,MATCH($U538&amp;"*",MUSTERILER!$T$7:$T$156,0)),"TANIMSIZ MÜŞTERİ"))))</f>
        <v/>
      </c>
      <c r="E538" s="61"/>
      <c r="F538" s="61"/>
      <c r="G538" s="60"/>
      <c r="H538" s="66"/>
      <c r="I538" s="66"/>
      <c r="J538" s="60"/>
      <c r="K538" s="60"/>
      <c r="L538" s="61"/>
      <c r="M538" s="61"/>
      <c r="N538" s="61"/>
      <c r="O538" s="66"/>
      <c r="P538" s="76" t="str">
        <f t="shared" ca="1" si="33"/>
        <v/>
      </c>
      <c r="Q538" s="65" t="str">
        <f t="shared" ca="1" si="34"/>
        <v/>
      </c>
      <c r="R538" s="2"/>
      <c r="S538" s="2"/>
      <c r="T538" s="1"/>
      <c r="U538" s="1" t="str">
        <f t="shared" si="35"/>
        <v/>
      </c>
    </row>
    <row r="539" spans="1:21" ht="18" customHeight="1" x14ac:dyDescent="0.3">
      <c r="A539" s="2"/>
      <c r="B539" s="65" t="str">
        <f t="shared" si="32"/>
        <v/>
      </c>
      <c r="C539" s="60"/>
      <c r="D539" s="65" t="str">
        <f>IF($E539="","",IFERROR(INDEX(MUSTERILER!$B$7:$B$156,MATCH($U539,MUSTERILER!$T$7:$T$156,0)),IFERROR(INDEX(MUSTERILER!$B$7:$B$156,MATCH($E539,MUSTERILER!$B$7:$B$156,0)),IFERROR(INDEX(MUSTERILER!$B$7:$B$156,MATCH($U539&amp;"*",MUSTERILER!$T$7:$T$156,0)),"TANIMSIZ MÜŞTERİ"))))</f>
        <v/>
      </c>
      <c r="E539" s="61"/>
      <c r="F539" s="61"/>
      <c r="G539" s="60"/>
      <c r="H539" s="66"/>
      <c r="I539" s="66"/>
      <c r="J539" s="60"/>
      <c r="K539" s="60"/>
      <c r="L539" s="61"/>
      <c r="M539" s="61"/>
      <c r="N539" s="61"/>
      <c r="O539" s="66"/>
      <c r="P539" s="76" t="str">
        <f t="shared" ca="1" si="33"/>
        <v/>
      </c>
      <c r="Q539" s="65" t="str">
        <f t="shared" ca="1" si="34"/>
        <v/>
      </c>
      <c r="R539" s="2"/>
      <c r="S539" s="2"/>
      <c r="T539" s="1"/>
      <c r="U539" s="1" t="str">
        <f t="shared" si="35"/>
        <v/>
      </c>
    </row>
    <row r="540" spans="1:21" ht="18" customHeight="1" x14ac:dyDescent="0.3">
      <c r="A540" s="2"/>
      <c r="B540" s="65" t="str">
        <f t="shared" si="32"/>
        <v/>
      </c>
      <c r="C540" s="60"/>
      <c r="D540" s="65" t="str">
        <f>IF($E540="","",IFERROR(INDEX(MUSTERILER!$B$7:$B$156,MATCH($U540,MUSTERILER!$T$7:$T$156,0)),IFERROR(INDEX(MUSTERILER!$B$7:$B$156,MATCH($E540,MUSTERILER!$B$7:$B$156,0)),IFERROR(INDEX(MUSTERILER!$B$7:$B$156,MATCH($U540&amp;"*",MUSTERILER!$T$7:$T$156,0)),"TANIMSIZ MÜŞTERİ"))))</f>
        <v/>
      </c>
      <c r="E540" s="61"/>
      <c r="F540" s="61"/>
      <c r="G540" s="60"/>
      <c r="H540" s="66"/>
      <c r="I540" s="66"/>
      <c r="J540" s="60"/>
      <c r="K540" s="60"/>
      <c r="L540" s="61"/>
      <c r="M540" s="61"/>
      <c r="N540" s="61"/>
      <c r="O540" s="66"/>
      <c r="P540" s="76" t="str">
        <f t="shared" ca="1" si="33"/>
        <v/>
      </c>
      <c r="Q540" s="65" t="str">
        <f t="shared" ca="1" si="34"/>
        <v/>
      </c>
      <c r="R540" s="2"/>
      <c r="S540" s="2"/>
      <c r="T540" s="1"/>
      <c r="U540" s="1" t="str">
        <f t="shared" si="35"/>
        <v/>
      </c>
    </row>
    <row r="541" spans="1:21" ht="18" customHeight="1" x14ac:dyDescent="0.3">
      <c r="A541" s="2"/>
      <c r="B541" s="65" t="str">
        <f t="shared" si="32"/>
        <v/>
      </c>
      <c r="C541" s="60"/>
      <c r="D541" s="65" t="str">
        <f>IF($E541="","",IFERROR(INDEX(MUSTERILER!$B$7:$B$156,MATCH($U541,MUSTERILER!$T$7:$T$156,0)),IFERROR(INDEX(MUSTERILER!$B$7:$B$156,MATCH($E541,MUSTERILER!$B$7:$B$156,0)),IFERROR(INDEX(MUSTERILER!$B$7:$B$156,MATCH($U541&amp;"*",MUSTERILER!$T$7:$T$156,0)),"TANIMSIZ MÜŞTERİ"))))</f>
        <v/>
      </c>
      <c r="E541" s="61"/>
      <c r="F541" s="61"/>
      <c r="G541" s="60"/>
      <c r="H541" s="66"/>
      <c r="I541" s="66"/>
      <c r="J541" s="60"/>
      <c r="K541" s="60"/>
      <c r="L541" s="61"/>
      <c r="M541" s="61"/>
      <c r="N541" s="61"/>
      <c r="O541" s="66"/>
      <c r="P541" s="76" t="str">
        <f t="shared" ca="1" si="33"/>
        <v/>
      </c>
      <c r="Q541" s="65" t="str">
        <f t="shared" ca="1" si="34"/>
        <v/>
      </c>
      <c r="R541" s="2"/>
      <c r="S541" s="2"/>
      <c r="T541" s="1"/>
      <c r="U541" s="1" t="str">
        <f t="shared" si="35"/>
        <v/>
      </c>
    </row>
    <row r="542" spans="1:21" ht="18" customHeight="1" x14ac:dyDescent="0.3">
      <c r="A542" s="2"/>
      <c r="B542" s="65" t="str">
        <f t="shared" si="32"/>
        <v/>
      </c>
      <c r="C542" s="60"/>
      <c r="D542" s="65" t="str">
        <f>IF($E542="","",IFERROR(INDEX(MUSTERILER!$B$7:$B$156,MATCH($U542,MUSTERILER!$T$7:$T$156,0)),IFERROR(INDEX(MUSTERILER!$B$7:$B$156,MATCH($E542,MUSTERILER!$B$7:$B$156,0)),IFERROR(INDEX(MUSTERILER!$B$7:$B$156,MATCH($U542&amp;"*",MUSTERILER!$T$7:$T$156,0)),"TANIMSIZ MÜŞTERİ"))))</f>
        <v/>
      </c>
      <c r="E542" s="61"/>
      <c r="F542" s="61"/>
      <c r="G542" s="60"/>
      <c r="H542" s="66"/>
      <c r="I542" s="66"/>
      <c r="J542" s="60"/>
      <c r="K542" s="60"/>
      <c r="L542" s="61"/>
      <c r="M542" s="61"/>
      <c r="N542" s="61"/>
      <c r="O542" s="66"/>
      <c r="P542" s="76" t="str">
        <f t="shared" ca="1" si="33"/>
        <v/>
      </c>
      <c r="Q542" s="65" t="str">
        <f t="shared" ca="1" si="34"/>
        <v/>
      </c>
      <c r="R542" s="2"/>
      <c r="S542" s="2"/>
      <c r="T542" s="1"/>
      <c r="U542" s="1" t="str">
        <f t="shared" si="35"/>
        <v/>
      </c>
    </row>
    <row r="543" spans="1:21" ht="18" customHeight="1" x14ac:dyDescent="0.3">
      <c r="A543" s="2"/>
      <c r="B543" s="65" t="str">
        <f t="shared" si="32"/>
        <v/>
      </c>
      <c r="C543" s="60"/>
      <c r="D543" s="65" t="str">
        <f>IF($E543="","",IFERROR(INDEX(MUSTERILER!$B$7:$B$156,MATCH($U543,MUSTERILER!$T$7:$T$156,0)),IFERROR(INDEX(MUSTERILER!$B$7:$B$156,MATCH($E543,MUSTERILER!$B$7:$B$156,0)),IFERROR(INDEX(MUSTERILER!$B$7:$B$156,MATCH($U543&amp;"*",MUSTERILER!$T$7:$T$156,0)),"TANIMSIZ MÜŞTERİ"))))</f>
        <v/>
      </c>
      <c r="E543" s="61"/>
      <c r="F543" s="61"/>
      <c r="G543" s="60"/>
      <c r="H543" s="66"/>
      <c r="I543" s="66"/>
      <c r="J543" s="60"/>
      <c r="K543" s="60"/>
      <c r="L543" s="61"/>
      <c r="M543" s="61"/>
      <c r="N543" s="61"/>
      <c r="O543" s="66"/>
      <c r="P543" s="76" t="str">
        <f t="shared" ca="1" si="33"/>
        <v/>
      </c>
      <c r="Q543" s="65" t="str">
        <f t="shared" ca="1" si="34"/>
        <v/>
      </c>
      <c r="R543" s="2"/>
      <c r="S543" s="2"/>
      <c r="T543" s="1"/>
      <c r="U543" s="1" t="str">
        <f t="shared" si="35"/>
        <v/>
      </c>
    </row>
    <row r="544" spans="1:21" ht="18" customHeight="1" x14ac:dyDescent="0.3">
      <c r="A544" s="2"/>
      <c r="B544" s="65" t="str">
        <f t="shared" si="32"/>
        <v/>
      </c>
      <c r="C544" s="60"/>
      <c r="D544" s="65" t="str">
        <f>IF($E544="","",IFERROR(INDEX(MUSTERILER!$B$7:$B$156,MATCH($U544,MUSTERILER!$T$7:$T$156,0)),IFERROR(INDEX(MUSTERILER!$B$7:$B$156,MATCH($E544,MUSTERILER!$B$7:$B$156,0)),IFERROR(INDEX(MUSTERILER!$B$7:$B$156,MATCH($U544&amp;"*",MUSTERILER!$T$7:$T$156,0)),"TANIMSIZ MÜŞTERİ"))))</f>
        <v/>
      </c>
      <c r="E544" s="61"/>
      <c r="F544" s="61"/>
      <c r="G544" s="60"/>
      <c r="H544" s="66"/>
      <c r="I544" s="66"/>
      <c r="J544" s="60"/>
      <c r="K544" s="60"/>
      <c r="L544" s="61"/>
      <c r="M544" s="61"/>
      <c r="N544" s="61"/>
      <c r="O544" s="66"/>
      <c r="P544" s="76" t="str">
        <f t="shared" ca="1" si="33"/>
        <v/>
      </c>
      <c r="Q544" s="65" t="str">
        <f t="shared" ca="1" si="34"/>
        <v/>
      </c>
      <c r="R544" s="2"/>
      <c r="S544" s="2"/>
      <c r="T544" s="1"/>
      <c r="U544" s="1" t="str">
        <f t="shared" si="35"/>
        <v/>
      </c>
    </row>
    <row r="545" spans="1:21" ht="18" customHeight="1" x14ac:dyDescent="0.3">
      <c r="A545" s="2"/>
      <c r="B545" s="65" t="str">
        <f t="shared" si="32"/>
        <v/>
      </c>
      <c r="C545" s="60"/>
      <c r="D545" s="65" t="str">
        <f>IF($E545="","",IFERROR(INDEX(MUSTERILER!$B$7:$B$156,MATCH($U545,MUSTERILER!$T$7:$T$156,0)),IFERROR(INDEX(MUSTERILER!$B$7:$B$156,MATCH($E545,MUSTERILER!$B$7:$B$156,0)),IFERROR(INDEX(MUSTERILER!$B$7:$B$156,MATCH($U545&amp;"*",MUSTERILER!$T$7:$T$156,0)),"TANIMSIZ MÜŞTERİ"))))</f>
        <v/>
      </c>
      <c r="E545" s="61"/>
      <c r="F545" s="61"/>
      <c r="G545" s="60"/>
      <c r="H545" s="66"/>
      <c r="I545" s="66"/>
      <c r="J545" s="60"/>
      <c r="K545" s="60"/>
      <c r="L545" s="61"/>
      <c r="M545" s="61"/>
      <c r="N545" s="61"/>
      <c r="O545" s="66"/>
      <c r="P545" s="76" t="str">
        <f t="shared" ca="1" si="33"/>
        <v/>
      </c>
      <c r="Q545" s="65" t="str">
        <f t="shared" ca="1" si="34"/>
        <v/>
      </c>
      <c r="R545" s="2"/>
      <c r="S545" s="2"/>
      <c r="T545" s="1"/>
      <c r="U545" s="1" t="str">
        <f t="shared" si="35"/>
        <v/>
      </c>
    </row>
    <row r="546" spans="1:21" ht="18" customHeight="1" x14ac:dyDescent="0.3">
      <c r="A546" s="2"/>
      <c r="B546" s="65" t="str">
        <f t="shared" si="32"/>
        <v/>
      </c>
      <c r="C546" s="60"/>
      <c r="D546" s="65" t="str">
        <f>IF($E546="","",IFERROR(INDEX(MUSTERILER!$B$7:$B$156,MATCH($U546,MUSTERILER!$T$7:$T$156,0)),IFERROR(INDEX(MUSTERILER!$B$7:$B$156,MATCH($E546,MUSTERILER!$B$7:$B$156,0)),IFERROR(INDEX(MUSTERILER!$B$7:$B$156,MATCH($U546&amp;"*",MUSTERILER!$T$7:$T$156,0)),"TANIMSIZ MÜŞTERİ"))))</f>
        <v/>
      </c>
      <c r="E546" s="61"/>
      <c r="F546" s="61"/>
      <c r="G546" s="60"/>
      <c r="H546" s="66"/>
      <c r="I546" s="66"/>
      <c r="J546" s="60"/>
      <c r="K546" s="60"/>
      <c r="L546" s="61"/>
      <c r="M546" s="61"/>
      <c r="N546" s="61"/>
      <c r="O546" s="66"/>
      <c r="P546" s="76" t="str">
        <f t="shared" ca="1" si="33"/>
        <v/>
      </c>
      <c r="Q546" s="65" t="str">
        <f t="shared" ca="1" si="34"/>
        <v/>
      </c>
      <c r="R546" s="2"/>
      <c r="S546" s="2"/>
      <c r="T546" s="1"/>
      <c r="U546" s="1" t="str">
        <f t="shared" si="35"/>
        <v/>
      </c>
    </row>
    <row r="547" spans="1:21" ht="18" customHeight="1" x14ac:dyDescent="0.3">
      <c r="A547" s="2"/>
      <c r="B547" s="65" t="str">
        <f t="shared" si="32"/>
        <v/>
      </c>
      <c r="C547" s="60"/>
      <c r="D547" s="65" t="str">
        <f>IF($E547="","",IFERROR(INDEX(MUSTERILER!$B$7:$B$156,MATCH($U547,MUSTERILER!$T$7:$T$156,0)),IFERROR(INDEX(MUSTERILER!$B$7:$B$156,MATCH($E547,MUSTERILER!$B$7:$B$156,0)),IFERROR(INDEX(MUSTERILER!$B$7:$B$156,MATCH($U547&amp;"*",MUSTERILER!$T$7:$T$156,0)),"TANIMSIZ MÜŞTERİ"))))</f>
        <v/>
      </c>
      <c r="E547" s="61"/>
      <c r="F547" s="61"/>
      <c r="G547" s="60"/>
      <c r="H547" s="66"/>
      <c r="I547" s="66"/>
      <c r="J547" s="60"/>
      <c r="K547" s="60"/>
      <c r="L547" s="61"/>
      <c r="M547" s="61"/>
      <c r="N547" s="61"/>
      <c r="O547" s="66"/>
      <c r="P547" s="76" t="str">
        <f t="shared" ca="1" si="33"/>
        <v/>
      </c>
      <c r="Q547" s="65" t="str">
        <f t="shared" ca="1" si="34"/>
        <v/>
      </c>
      <c r="R547" s="2"/>
      <c r="S547" s="2"/>
      <c r="T547" s="1"/>
      <c r="U547" s="1" t="str">
        <f t="shared" si="35"/>
        <v/>
      </c>
    </row>
    <row r="548" spans="1:21" ht="18" customHeight="1" x14ac:dyDescent="0.3">
      <c r="A548" s="2"/>
      <c r="B548" s="65" t="str">
        <f t="shared" si="32"/>
        <v/>
      </c>
      <c r="C548" s="60"/>
      <c r="D548" s="65" t="str">
        <f>IF($E548="","",IFERROR(INDEX(MUSTERILER!$B$7:$B$156,MATCH($U548,MUSTERILER!$T$7:$T$156,0)),IFERROR(INDEX(MUSTERILER!$B$7:$B$156,MATCH($E548,MUSTERILER!$B$7:$B$156,0)),IFERROR(INDEX(MUSTERILER!$B$7:$B$156,MATCH($U548&amp;"*",MUSTERILER!$T$7:$T$156,0)),"TANIMSIZ MÜŞTERİ"))))</f>
        <v/>
      </c>
      <c r="E548" s="61"/>
      <c r="F548" s="61"/>
      <c r="G548" s="60"/>
      <c r="H548" s="66"/>
      <c r="I548" s="66"/>
      <c r="J548" s="60"/>
      <c r="K548" s="60"/>
      <c r="L548" s="61"/>
      <c r="M548" s="61"/>
      <c r="N548" s="61"/>
      <c r="O548" s="66"/>
      <c r="P548" s="76" t="str">
        <f t="shared" ca="1" si="33"/>
        <v/>
      </c>
      <c r="Q548" s="65" t="str">
        <f t="shared" ca="1" si="34"/>
        <v/>
      </c>
      <c r="R548" s="2"/>
      <c r="S548" s="2"/>
      <c r="T548" s="1"/>
      <c r="U548" s="1" t="str">
        <f t="shared" si="35"/>
        <v/>
      </c>
    </row>
    <row r="549" spans="1:21" ht="18" customHeight="1" x14ac:dyDescent="0.3">
      <c r="A549" s="2"/>
      <c r="B549" s="65" t="str">
        <f t="shared" si="32"/>
        <v/>
      </c>
      <c r="C549" s="60"/>
      <c r="D549" s="65" t="str">
        <f>IF($E549="","",IFERROR(INDEX(MUSTERILER!$B$7:$B$156,MATCH($U549,MUSTERILER!$T$7:$T$156,0)),IFERROR(INDEX(MUSTERILER!$B$7:$B$156,MATCH($E549,MUSTERILER!$B$7:$B$156,0)),IFERROR(INDEX(MUSTERILER!$B$7:$B$156,MATCH($U549&amp;"*",MUSTERILER!$T$7:$T$156,0)),"TANIMSIZ MÜŞTERİ"))))</f>
        <v/>
      </c>
      <c r="E549" s="61"/>
      <c r="F549" s="61"/>
      <c r="G549" s="60"/>
      <c r="H549" s="66"/>
      <c r="I549" s="66"/>
      <c r="J549" s="60"/>
      <c r="K549" s="60"/>
      <c r="L549" s="61"/>
      <c r="M549" s="61"/>
      <c r="N549" s="61"/>
      <c r="O549" s="66"/>
      <c r="P549" s="76" t="str">
        <f t="shared" ca="1" si="33"/>
        <v/>
      </c>
      <c r="Q549" s="65" t="str">
        <f t="shared" ca="1" si="34"/>
        <v/>
      </c>
      <c r="R549" s="2"/>
      <c r="S549" s="2"/>
      <c r="T549" s="1"/>
      <c r="U549" s="1" t="str">
        <f t="shared" si="35"/>
        <v/>
      </c>
    </row>
    <row r="550" spans="1:21" ht="18" customHeight="1" x14ac:dyDescent="0.3">
      <c r="A550" s="2"/>
      <c r="B550" s="65" t="str">
        <f t="shared" si="32"/>
        <v/>
      </c>
      <c r="C550" s="60"/>
      <c r="D550" s="65" t="str">
        <f>IF($E550="","",IFERROR(INDEX(MUSTERILER!$B$7:$B$156,MATCH($U550,MUSTERILER!$T$7:$T$156,0)),IFERROR(INDEX(MUSTERILER!$B$7:$B$156,MATCH($E550,MUSTERILER!$B$7:$B$156,0)),IFERROR(INDEX(MUSTERILER!$B$7:$B$156,MATCH($U550&amp;"*",MUSTERILER!$T$7:$T$156,0)),"TANIMSIZ MÜŞTERİ"))))</f>
        <v/>
      </c>
      <c r="E550" s="61"/>
      <c r="F550" s="61"/>
      <c r="G550" s="60"/>
      <c r="H550" s="66"/>
      <c r="I550" s="66"/>
      <c r="J550" s="60"/>
      <c r="K550" s="60"/>
      <c r="L550" s="61"/>
      <c r="M550" s="61"/>
      <c r="N550" s="61"/>
      <c r="O550" s="66"/>
      <c r="P550" s="76" t="str">
        <f t="shared" ca="1" si="33"/>
        <v/>
      </c>
      <c r="Q550" s="65" t="str">
        <f t="shared" ca="1" si="34"/>
        <v/>
      </c>
      <c r="R550" s="2"/>
      <c r="S550" s="2"/>
      <c r="T550" s="1"/>
      <c r="U550" s="1" t="str">
        <f t="shared" si="35"/>
        <v/>
      </c>
    </row>
    <row r="551" spans="1:21" ht="18" customHeight="1" x14ac:dyDescent="0.3">
      <c r="A551" s="2"/>
      <c r="B551" s="65" t="str">
        <f t="shared" si="32"/>
        <v/>
      </c>
      <c r="C551" s="60"/>
      <c r="D551" s="65" t="str">
        <f>IF($E551="","",IFERROR(INDEX(MUSTERILER!$B$7:$B$156,MATCH($U551,MUSTERILER!$T$7:$T$156,0)),IFERROR(INDEX(MUSTERILER!$B$7:$B$156,MATCH($E551,MUSTERILER!$B$7:$B$156,0)),IFERROR(INDEX(MUSTERILER!$B$7:$B$156,MATCH($U551&amp;"*",MUSTERILER!$T$7:$T$156,0)),"TANIMSIZ MÜŞTERİ"))))</f>
        <v/>
      </c>
      <c r="E551" s="61"/>
      <c r="F551" s="61"/>
      <c r="G551" s="60"/>
      <c r="H551" s="66"/>
      <c r="I551" s="66"/>
      <c r="J551" s="60"/>
      <c r="K551" s="60"/>
      <c r="L551" s="61"/>
      <c r="M551" s="61"/>
      <c r="N551" s="61"/>
      <c r="O551" s="66"/>
      <c r="P551" s="76" t="str">
        <f t="shared" ca="1" si="33"/>
        <v/>
      </c>
      <c r="Q551" s="65" t="str">
        <f t="shared" ca="1" si="34"/>
        <v/>
      </c>
      <c r="R551" s="2"/>
      <c r="S551" s="2"/>
      <c r="T551" s="1"/>
      <c r="U551" s="1" t="str">
        <f t="shared" si="35"/>
        <v/>
      </c>
    </row>
    <row r="552" spans="1:21" ht="18" customHeight="1" x14ac:dyDescent="0.3">
      <c r="A552" s="2"/>
      <c r="B552" s="65" t="str">
        <f t="shared" si="32"/>
        <v/>
      </c>
      <c r="C552" s="60"/>
      <c r="D552" s="65" t="str">
        <f>IF($E552="","",IFERROR(INDEX(MUSTERILER!$B$7:$B$156,MATCH($U552,MUSTERILER!$T$7:$T$156,0)),IFERROR(INDEX(MUSTERILER!$B$7:$B$156,MATCH($E552,MUSTERILER!$B$7:$B$156,0)),IFERROR(INDEX(MUSTERILER!$B$7:$B$156,MATCH($U552&amp;"*",MUSTERILER!$T$7:$T$156,0)),"TANIMSIZ MÜŞTERİ"))))</f>
        <v/>
      </c>
      <c r="E552" s="61"/>
      <c r="F552" s="61"/>
      <c r="G552" s="60"/>
      <c r="H552" s="66"/>
      <c r="I552" s="66"/>
      <c r="J552" s="60"/>
      <c r="K552" s="60"/>
      <c r="L552" s="61"/>
      <c r="M552" s="61"/>
      <c r="N552" s="61"/>
      <c r="O552" s="66"/>
      <c r="P552" s="76" t="str">
        <f t="shared" ca="1" si="33"/>
        <v/>
      </c>
      <c r="Q552" s="65" t="str">
        <f t="shared" ca="1" si="34"/>
        <v/>
      </c>
      <c r="R552" s="2"/>
      <c r="S552" s="2"/>
      <c r="T552" s="1"/>
      <c r="U552" s="1" t="str">
        <f t="shared" si="35"/>
        <v/>
      </c>
    </row>
    <row r="553" spans="1:21" ht="18" customHeight="1" x14ac:dyDescent="0.3">
      <c r="A553" s="2"/>
      <c r="B553" s="65" t="str">
        <f t="shared" si="32"/>
        <v/>
      </c>
      <c r="C553" s="60"/>
      <c r="D553" s="65" t="str">
        <f>IF($E553="","",IFERROR(INDEX(MUSTERILER!$B$7:$B$156,MATCH($U553,MUSTERILER!$T$7:$T$156,0)),IFERROR(INDEX(MUSTERILER!$B$7:$B$156,MATCH($E553,MUSTERILER!$B$7:$B$156,0)),IFERROR(INDEX(MUSTERILER!$B$7:$B$156,MATCH($U553&amp;"*",MUSTERILER!$T$7:$T$156,0)),"TANIMSIZ MÜŞTERİ"))))</f>
        <v/>
      </c>
      <c r="E553" s="61"/>
      <c r="F553" s="61"/>
      <c r="G553" s="60"/>
      <c r="H553" s="66"/>
      <c r="I553" s="66"/>
      <c r="J553" s="60"/>
      <c r="K553" s="60"/>
      <c r="L553" s="61"/>
      <c r="M553" s="61"/>
      <c r="N553" s="61"/>
      <c r="O553" s="66"/>
      <c r="P553" s="76" t="str">
        <f t="shared" ca="1" si="33"/>
        <v/>
      </c>
      <c r="Q553" s="65" t="str">
        <f t="shared" ca="1" si="34"/>
        <v/>
      </c>
      <c r="R553" s="2"/>
      <c r="S553" s="2"/>
      <c r="T553" s="1"/>
      <c r="U553" s="1" t="str">
        <f t="shared" si="35"/>
        <v/>
      </c>
    </row>
    <row r="554" spans="1:21" ht="18" customHeight="1" x14ac:dyDescent="0.3">
      <c r="A554" s="2"/>
      <c r="B554" s="65" t="str">
        <f t="shared" si="32"/>
        <v/>
      </c>
      <c r="C554" s="60"/>
      <c r="D554" s="65" t="str">
        <f>IF($E554="","",IFERROR(INDEX(MUSTERILER!$B$7:$B$156,MATCH($U554,MUSTERILER!$T$7:$T$156,0)),IFERROR(INDEX(MUSTERILER!$B$7:$B$156,MATCH($E554,MUSTERILER!$B$7:$B$156,0)),IFERROR(INDEX(MUSTERILER!$B$7:$B$156,MATCH($U554&amp;"*",MUSTERILER!$T$7:$T$156,0)),"TANIMSIZ MÜŞTERİ"))))</f>
        <v/>
      </c>
      <c r="E554" s="61"/>
      <c r="F554" s="61"/>
      <c r="G554" s="60"/>
      <c r="H554" s="66"/>
      <c r="I554" s="66"/>
      <c r="J554" s="60"/>
      <c r="K554" s="60"/>
      <c r="L554" s="61"/>
      <c r="M554" s="61"/>
      <c r="N554" s="61"/>
      <c r="O554" s="66"/>
      <c r="P554" s="76" t="str">
        <f t="shared" ca="1" si="33"/>
        <v/>
      </c>
      <c r="Q554" s="65" t="str">
        <f t="shared" ca="1" si="34"/>
        <v/>
      </c>
      <c r="R554" s="2"/>
      <c r="S554" s="2"/>
      <c r="T554" s="1"/>
      <c r="U554" s="1" t="str">
        <f t="shared" si="35"/>
        <v/>
      </c>
    </row>
    <row r="555" spans="1:21" ht="18" customHeight="1" x14ac:dyDescent="0.3">
      <c r="A555" s="2"/>
      <c r="B555" s="65" t="str">
        <f t="shared" si="32"/>
        <v/>
      </c>
      <c r="C555" s="60"/>
      <c r="D555" s="65" t="str">
        <f>IF($E555="","",IFERROR(INDEX(MUSTERILER!$B$7:$B$156,MATCH($U555,MUSTERILER!$T$7:$T$156,0)),IFERROR(INDEX(MUSTERILER!$B$7:$B$156,MATCH($E555,MUSTERILER!$B$7:$B$156,0)),IFERROR(INDEX(MUSTERILER!$B$7:$B$156,MATCH($U555&amp;"*",MUSTERILER!$T$7:$T$156,0)),"TANIMSIZ MÜŞTERİ"))))</f>
        <v/>
      </c>
      <c r="E555" s="61"/>
      <c r="F555" s="61"/>
      <c r="G555" s="60"/>
      <c r="H555" s="66"/>
      <c r="I555" s="66"/>
      <c r="J555" s="60"/>
      <c r="K555" s="60"/>
      <c r="L555" s="61"/>
      <c r="M555" s="61"/>
      <c r="N555" s="61"/>
      <c r="O555" s="66"/>
      <c r="P555" s="76" t="str">
        <f t="shared" ca="1" si="33"/>
        <v/>
      </c>
      <c r="Q555" s="65" t="str">
        <f t="shared" ca="1" si="34"/>
        <v/>
      </c>
      <c r="R555" s="2"/>
      <c r="S555" s="2"/>
      <c r="T555" s="1"/>
      <c r="U555" s="1" t="str">
        <f t="shared" si="35"/>
        <v/>
      </c>
    </row>
    <row r="556" spans="1:21" ht="18" customHeight="1" x14ac:dyDescent="0.3">
      <c r="A556" s="2"/>
      <c r="B556" s="65" t="str">
        <f t="shared" si="32"/>
        <v/>
      </c>
      <c r="C556" s="60"/>
      <c r="D556" s="65" t="str">
        <f>IF($E556="","",IFERROR(INDEX(MUSTERILER!$B$7:$B$156,MATCH($U556,MUSTERILER!$T$7:$T$156,0)),IFERROR(INDEX(MUSTERILER!$B$7:$B$156,MATCH($E556,MUSTERILER!$B$7:$B$156,0)),IFERROR(INDEX(MUSTERILER!$B$7:$B$156,MATCH($U556&amp;"*",MUSTERILER!$T$7:$T$156,0)),"TANIMSIZ MÜŞTERİ"))))</f>
        <v/>
      </c>
      <c r="E556" s="61"/>
      <c r="F556" s="61"/>
      <c r="G556" s="60"/>
      <c r="H556" s="66"/>
      <c r="I556" s="66"/>
      <c r="J556" s="60"/>
      <c r="K556" s="60"/>
      <c r="L556" s="61"/>
      <c r="M556" s="61"/>
      <c r="N556" s="61"/>
      <c r="O556" s="66"/>
      <c r="P556" s="76" t="str">
        <f t="shared" ca="1" si="33"/>
        <v/>
      </c>
      <c r="Q556" s="65" t="str">
        <f t="shared" ca="1" si="34"/>
        <v/>
      </c>
      <c r="R556" s="2"/>
      <c r="S556" s="2"/>
      <c r="T556" s="1"/>
      <c r="U556" s="1" t="str">
        <f t="shared" si="35"/>
        <v/>
      </c>
    </row>
    <row r="557" spans="1:21" ht="18" customHeight="1" x14ac:dyDescent="0.3">
      <c r="A557" s="2"/>
      <c r="B557" s="65" t="str">
        <f t="shared" si="32"/>
        <v/>
      </c>
      <c r="C557" s="60"/>
      <c r="D557" s="65" t="str">
        <f>IF($E557="","",IFERROR(INDEX(MUSTERILER!$B$7:$B$156,MATCH($U557,MUSTERILER!$T$7:$T$156,0)),IFERROR(INDEX(MUSTERILER!$B$7:$B$156,MATCH($E557,MUSTERILER!$B$7:$B$156,0)),IFERROR(INDEX(MUSTERILER!$B$7:$B$156,MATCH($U557&amp;"*",MUSTERILER!$T$7:$T$156,0)),"TANIMSIZ MÜŞTERİ"))))</f>
        <v/>
      </c>
      <c r="E557" s="61"/>
      <c r="F557" s="61"/>
      <c r="G557" s="60"/>
      <c r="H557" s="66"/>
      <c r="I557" s="66"/>
      <c r="J557" s="60"/>
      <c r="K557" s="60"/>
      <c r="L557" s="61"/>
      <c r="M557" s="61"/>
      <c r="N557" s="61"/>
      <c r="O557" s="66"/>
      <c r="P557" s="76" t="str">
        <f t="shared" ca="1" si="33"/>
        <v/>
      </c>
      <c r="Q557" s="65" t="str">
        <f t="shared" ca="1" si="34"/>
        <v/>
      </c>
      <c r="R557" s="2"/>
      <c r="S557" s="2"/>
      <c r="T557" s="1"/>
      <c r="U557" s="1" t="str">
        <f t="shared" si="35"/>
        <v/>
      </c>
    </row>
    <row r="558" spans="1:21" ht="18" customHeight="1" x14ac:dyDescent="0.3">
      <c r="A558" s="2"/>
      <c r="B558" s="65" t="str">
        <f t="shared" si="32"/>
        <v/>
      </c>
      <c r="C558" s="60"/>
      <c r="D558" s="65" t="str">
        <f>IF($E558="","",IFERROR(INDEX(MUSTERILER!$B$7:$B$156,MATCH($U558,MUSTERILER!$T$7:$T$156,0)),IFERROR(INDEX(MUSTERILER!$B$7:$B$156,MATCH($E558,MUSTERILER!$B$7:$B$156,0)),IFERROR(INDEX(MUSTERILER!$B$7:$B$156,MATCH($U558&amp;"*",MUSTERILER!$T$7:$T$156,0)),"TANIMSIZ MÜŞTERİ"))))</f>
        <v/>
      </c>
      <c r="E558" s="61"/>
      <c r="F558" s="61"/>
      <c r="G558" s="60"/>
      <c r="H558" s="66"/>
      <c r="I558" s="66"/>
      <c r="J558" s="60"/>
      <c r="K558" s="60"/>
      <c r="L558" s="61"/>
      <c r="M558" s="61"/>
      <c r="N558" s="61"/>
      <c r="O558" s="66"/>
      <c r="P558" s="76" t="str">
        <f t="shared" ca="1" si="33"/>
        <v/>
      </c>
      <c r="Q558" s="65" t="str">
        <f t="shared" ca="1" si="34"/>
        <v/>
      </c>
      <c r="R558" s="2"/>
      <c r="S558" s="2"/>
      <c r="T558" s="1"/>
      <c r="U558" s="1" t="str">
        <f t="shared" si="35"/>
        <v/>
      </c>
    </row>
    <row r="559" spans="1:21" ht="18" customHeight="1" x14ac:dyDescent="0.3">
      <c r="A559" s="2"/>
      <c r="B559" s="65" t="str">
        <f t="shared" si="32"/>
        <v/>
      </c>
      <c r="C559" s="60"/>
      <c r="D559" s="65" t="str">
        <f>IF($E559="","",IFERROR(INDEX(MUSTERILER!$B$7:$B$156,MATCH($U559,MUSTERILER!$T$7:$T$156,0)),IFERROR(INDEX(MUSTERILER!$B$7:$B$156,MATCH($E559,MUSTERILER!$B$7:$B$156,0)),IFERROR(INDEX(MUSTERILER!$B$7:$B$156,MATCH($U559&amp;"*",MUSTERILER!$T$7:$T$156,0)),"TANIMSIZ MÜŞTERİ"))))</f>
        <v/>
      </c>
      <c r="E559" s="61"/>
      <c r="F559" s="61"/>
      <c r="G559" s="60"/>
      <c r="H559" s="66"/>
      <c r="I559" s="66"/>
      <c r="J559" s="60"/>
      <c r="K559" s="60"/>
      <c r="L559" s="61"/>
      <c r="M559" s="61"/>
      <c r="N559" s="61"/>
      <c r="O559" s="66"/>
      <c r="P559" s="76" t="str">
        <f t="shared" ca="1" si="33"/>
        <v/>
      </c>
      <c r="Q559" s="65" t="str">
        <f t="shared" ca="1" si="34"/>
        <v/>
      </c>
      <c r="R559" s="2"/>
      <c r="S559" s="2"/>
      <c r="T559" s="1"/>
      <c r="U559" s="1" t="str">
        <f t="shared" si="35"/>
        <v/>
      </c>
    </row>
    <row r="560" spans="1:21" ht="18" customHeight="1" x14ac:dyDescent="0.3">
      <c r="A560" s="2"/>
      <c r="B560" s="65" t="str">
        <f t="shared" si="32"/>
        <v/>
      </c>
      <c r="C560" s="60"/>
      <c r="D560" s="65" t="str">
        <f>IF($E560="","",IFERROR(INDEX(MUSTERILER!$B$7:$B$156,MATCH($U560,MUSTERILER!$T$7:$T$156,0)),IFERROR(INDEX(MUSTERILER!$B$7:$B$156,MATCH($E560,MUSTERILER!$B$7:$B$156,0)),IFERROR(INDEX(MUSTERILER!$B$7:$B$156,MATCH($U560&amp;"*",MUSTERILER!$T$7:$T$156,0)),"TANIMSIZ MÜŞTERİ"))))</f>
        <v/>
      </c>
      <c r="E560" s="61"/>
      <c r="F560" s="61"/>
      <c r="G560" s="60"/>
      <c r="H560" s="66"/>
      <c r="I560" s="66"/>
      <c r="J560" s="60"/>
      <c r="K560" s="60"/>
      <c r="L560" s="61"/>
      <c r="M560" s="61"/>
      <c r="N560" s="61"/>
      <c r="O560" s="66"/>
      <c r="P560" s="76" t="str">
        <f t="shared" ca="1" si="33"/>
        <v/>
      </c>
      <c r="Q560" s="65" t="str">
        <f t="shared" ca="1" si="34"/>
        <v/>
      </c>
      <c r="R560" s="2"/>
      <c r="S560" s="2"/>
      <c r="T560" s="1"/>
      <c r="U560" s="1" t="str">
        <f t="shared" si="35"/>
        <v/>
      </c>
    </row>
    <row r="561" spans="1:21" ht="18" customHeight="1" x14ac:dyDescent="0.3">
      <c r="A561" s="2"/>
      <c r="B561" s="65" t="str">
        <f t="shared" si="32"/>
        <v/>
      </c>
      <c r="C561" s="60"/>
      <c r="D561" s="65" t="str">
        <f>IF($E561="","",IFERROR(INDEX(MUSTERILER!$B$7:$B$156,MATCH($U561,MUSTERILER!$T$7:$T$156,0)),IFERROR(INDEX(MUSTERILER!$B$7:$B$156,MATCH($E561,MUSTERILER!$B$7:$B$156,0)),IFERROR(INDEX(MUSTERILER!$B$7:$B$156,MATCH($U561&amp;"*",MUSTERILER!$T$7:$T$156,0)),"TANIMSIZ MÜŞTERİ"))))</f>
        <v/>
      </c>
      <c r="E561" s="61"/>
      <c r="F561" s="61"/>
      <c r="G561" s="60"/>
      <c r="H561" s="66"/>
      <c r="I561" s="66"/>
      <c r="J561" s="60"/>
      <c r="K561" s="60"/>
      <c r="L561" s="61"/>
      <c r="M561" s="61"/>
      <c r="N561" s="61"/>
      <c r="O561" s="66"/>
      <c r="P561" s="76" t="str">
        <f t="shared" ca="1" si="33"/>
        <v/>
      </c>
      <c r="Q561" s="65" t="str">
        <f t="shared" ca="1" si="34"/>
        <v/>
      </c>
      <c r="R561" s="2"/>
      <c r="S561" s="2"/>
      <c r="T561" s="1"/>
      <c r="U561" s="1" t="str">
        <f t="shared" si="35"/>
        <v/>
      </c>
    </row>
    <row r="562" spans="1:21" ht="18" customHeight="1" x14ac:dyDescent="0.3">
      <c r="A562" s="2"/>
      <c r="B562" s="65" t="str">
        <f t="shared" si="32"/>
        <v/>
      </c>
      <c r="C562" s="60"/>
      <c r="D562" s="65" t="str">
        <f>IF($E562="","",IFERROR(INDEX(MUSTERILER!$B$7:$B$156,MATCH($U562,MUSTERILER!$T$7:$T$156,0)),IFERROR(INDEX(MUSTERILER!$B$7:$B$156,MATCH($E562,MUSTERILER!$B$7:$B$156,0)),IFERROR(INDEX(MUSTERILER!$B$7:$B$156,MATCH($U562&amp;"*",MUSTERILER!$T$7:$T$156,0)),"TANIMSIZ MÜŞTERİ"))))</f>
        <v/>
      </c>
      <c r="E562" s="61"/>
      <c r="F562" s="61"/>
      <c r="G562" s="60"/>
      <c r="H562" s="66"/>
      <c r="I562" s="66"/>
      <c r="J562" s="60"/>
      <c r="K562" s="60"/>
      <c r="L562" s="61"/>
      <c r="M562" s="61"/>
      <c r="N562" s="61"/>
      <c r="O562" s="66"/>
      <c r="P562" s="76" t="str">
        <f t="shared" ca="1" si="33"/>
        <v/>
      </c>
      <c r="Q562" s="65" t="str">
        <f t="shared" ca="1" si="34"/>
        <v/>
      </c>
      <c r="R562" s="2"/>
      <c r="S562" s="2"/>
      <c r="T562" s="1"/>
      <c r="U562" s="1" t="str">
        <f t="shared" si="35"/>
        <v/>
      </c>
    </row>
    <row r="563" spans="1:21" ht="18" customHeight="1" x14ac:dyDescent="0.3">
      <c r="A563" s="2"/>
      <c r="B563" s="65" t="str">
        <f t="shared" si="32"/>
        <v/>
      </c>
      <c r="C563" s="60"/>
      <c r="D563" s="65" t="str">
        <f>IF($E563="","",IFERROR(INDEX(MUSTERILER!$B$7:$B$156,MATCH($U563,MUSTERILER!$T$7:$T$156,0)),IFERROR(INDEX(MUSTERILER!$B$7:$B$156,MATCH($E563,MUSTERILER!$B$7:$B$156,0)),IFERROR(INDEX(MUSTERILER!$B$7:$B$156,MATCH($U563&amp;"*",MUSTERILER!$T$7:$T$156,0)),"TANIMSIZ MÜŞTERİ"))))</f>
        <v/>
      </c>
      <c r="E563" s="61"/>
      <c r="F563" s="61"/>
      <c r="G563" s="60"/>
      <c r="H563" s="66"/>
      <c r="I563" s="66"/>
      <c r="J563" s="60"/>
      <c r="K563" s="60"/>
      <c r="L563" s="61"/>
      <c r="M563" s="61"/>
      <c r="N563" s="61"/>
      <c r="O563" s="66"/>
      <c r="P563" s="76" t="str">
        <f t="shared" ca="1" si="33"/>
        <v/>
      </c>
      <c r="Q563" s="65" t="str">
        <f t="shared" ca="1" si="34"/>
        <v/>
      </c>
      <c r="R563" s="2"/>
      <c r="S563" s="2"/>
      <c r="T563" s="1"/>
      <c r="U563" s="1" t="str">
        <f t="shared" si="35"/>
        <v/>
      </c>
    </row>
    <row r="564" spans="1:21" ht="18" customHeight="1" x14ac:dyDescent="0.3">
      <c r="A564" s="2"/>
      <c r="B564" s="65" t="str">
        <f t="shared" si="32"/>
        <v/>
      </c>
      <c r="C564" s="60"/>
      <c r="D564" s="65" t="str">
        <f>IF($E564="","",IFERROR(INDEX(MUSTERILER!$B$7:$B$156,MATCH($U564,MUSTERILER!$T$7:$T$156,0)),IFERROR(INDEX(MUSTERILER!$B$7:$B$156,MATCH($E564,MUSTERILER!$B$7:$B$156,0)),IFERROR(INDEX(MUSTERILER!$B$7:$B$156,MATCH($U564&amp;"*",MUSTERILER!$T$7:$T$156,0)),"TANIMSIZ MÜŞTERİ"))))</f>
        <v/>
      </c>
      <c r="E564" s="61"/>
      <c r="F564" s="61"/>
      <c r="G564" s="60"/>
      <c r="H564" s="66"/>
      <c r="I564" s="66"/>
      <c r="J564" s="60"/>
      <c r="K564" s="60"/>
      <c r="L564" s="61"/>
      <c r="M564" s="61"/>
      <c r="N564" s="61"/>
      <c r="O564" s="66"/>
      <c r="P564" s="76" t="str">
        <f t="shared" ca="1" si="33"/>
        <v/>
      </c>
      <c r="Q564" s="65" t="str">
        <f t="shared" ca="1" si="34"/>
        <v/>
      </c>
      <c r="R564" s="2"/>
      <c r="S564" s="2"/>
      <c r="T564" s="1"/>
      <c r="U564" s="1" t="str">
        <f t="shared" si="35"/>
        <v/>
      </c>
    </row>
    <row r="565" spans="1:21" ht="18" customHeight="1" x14ac:dyDescent="0.3">
      <c r="A565" s="2"/>
      <c r="B565" s="65" t="str">
        <f t="shared" si="32"/>
        <v/>
      </c>
      <c r="C565" s="60"/>
      <c r="D565" s="65" t="str">
        <f>IF($E565="","",IFERROR(INDEX(MUSTERILER!$B$7:$B$156,MATCH($U565,MUSTERILER!$T$7:$T$156,0)),IFERROR(INDEX(MUSTERILER!$B$7:$B$156,MATCH($E565,MUSTERILER!$B$7:$B$156,0)),IFERROR(INDEX(MUSTERILER!$B$7:$B$156,MATCH($U565&amp;"*",MUSTERILER!$T$7:$T$156,0)),"TANIMSIZ MÜŞTERİ"))))</f>
        <v/>
      </c>
      <c r="E565" s="61"/>
      <c r="F565" s="61"/>
      <c r="G565" s="60"/>
      <c r="H565" s="66"/>
      <c r="I565" s="66"/>
      <c r="J565" s="60"/>
      <c r="K565" s="60"/>
      <c r="L565" s="61"/>
      <c r="M565" s="61"/>
      <c r="N565" s="61"/>
      <c r="O565" s="66"/>
      <c r="P565" s="76" t="str">
        <f t="shared" ca="1" si="33"/>
        <v/>
      </c>
      <c r="Q565" s="65" t="str">
        <f t="shared" ca="1" si="34"/>
        <v/>
      </c>
      <c r="R565" s="2"/>
      <c r="S565" s="2"/>
      <c r="T565" s="1"/>
      <c r="U565" s="1" t="str">
        <f t="shared" si="35"/>
        <v/>
      </c>
    </row>
    <row r="566" spans="1:21" ht="18" customHeight="1" x14ac:dyDescent="0.3">
      <c r="A566" s="2"/>
      <c r="B566" s="65" t="str">
        <f t="shared" si="32"/>
        <v/>
      </c>
      <c r="C566" s="60"/>
      <c r="D566" s="65" t="str">
        <f>IF($E566="","",IFERROR(INDEX(MUSTERILER!$B$7:$B$156,MATCH($U566,MUSTERILER!$T$7:$T$156,0)),IFERROR(INDEX(MUSTERILER!$B$7:$B$156,MATCH($E566,MUSTERILER!$B$7:$B$156,0)),IFERROR(INDEX(MUSTERILER!$B$7:$B$156,MATCH($U566&amp;"*",MUSTERILER!$T$7:$T$156,0)),"TANIMSIZ MÜŞTERİ"))))</f>
        <v/>
      </c>
      <c r="E566" s="61"/>
      <c r="F566" s="61"/>
      <c r="G566" s="60"/>
      <c r="H566" s="66"/>
      <c r="I566" s="66"/>
      <c r="J566" s="60"/>
      <c r="K566" s="60"/>
      <c r="L566" s="61"/>
      <c r="M566" s="61"/>
      <c r="N566" s="61"/>
      <c r="O566" s="66"/>
      <c r="P566" s="76" t="str">
        <f t="shared" ca="1" si="33"/>
        <v/>
      </c>
      <c r="Q566" s="65" t="str">
        <f t="shared" ca="1" si="34"/>
        <v/>
      </c>
      <c r="R566" s="2"/>
      <c r="S566" s="2"/>
      <c r="T566" s="1"/>
      <c r="U566" s="1" t="str">
        <f t="shared" si="35"/>
        <v/>
      </c>
    </row>
    <row r="567" spans="1:21" ht="18" customHeight="1" x14ac:dyDescent="0.3">
      <c r="A567" s="2"/>
      <c r="B567" s="65" t="str">
        <f t="shared" si="32"/>
        <v/>
      </c>
      <c r="C567" s="60"/>
      <c r="D567" s="65" t="str">
        <f>IF($E567="","",IFERROR(INDEX(MUSTERILER!$B$7:$B$156,MATCH($U567,MUSTERILER!$T$7:$T$156,0)),IFERROR(INDEX(MUSTERILER!$B$7:$B$156,MATCH($E567,MUSTERILER!$B$7:$B$156,0)),IFERROR(INDEX(MUSTERILER!$B$7:$B$156,MATCH($U567&amp;"*",MUSTERILER!$T$7:$T$156,0)),"TANIMSIZ MÜŞTERİ"))))</f>
        <v/>
      </c>
      <c r="E567" s="61"/>
      <c r="F567" s="61"/>
      <c r="G567" s="60"/>
      <c r="H567" s="66"/>
      <c r="I567" s="66"/>
      <c r="J567" s="60"/>
      <c r="K567" s="60"/>
      <c r="L567" s="61"/>
      <c r="M567" s="61"/>
      <c r="N567" s="61"/>
      <c r="O567" s="66"/>
      <c r="P567" s="76" t="str">
        <f t="shared" ca="1" si="33"/>
        <v/>
      </c>
      <c r="Q567" s="65" t="str">
        <f t="shared" ca="1" si="34"/>
        <v/>
      </c>
      <c r="R567" s="2"/>
      <c r="S567" s="2"/>
      <c r="T567" s="1"/>
      <c r="U567" s="1" t="str">
        <f t="shared" si="35"/>
        <v/>
      </c>
    </row>
    <row r="568" spans="1:21" ht="18" customHeight="1" x14ac:dyDescent="0.3">
      <c r="A568" s="2"/>
      <c r="B568" s="65" t="str">
        <f t="shared" si="32"/>
        <v/>
      </c>
      <c r="C568" s="60"/>
      <c r="D568" s="65" t="str">
        <f>IF($E568="","",IFERROR(INDEX(MUSTERILER!$B$7:$B$156,MATCH($U568,MUSTERILER!$T$7:$T$156,0)),IFERROR(INDEX(MUSTERILER!$B$7:$B$156,MATCH($E568,MUSTERILER!$B$7:$B$156,0)),IFERROR(INDEX(MUSTERILER!$B$7:$B$156,MATCH($U568&amp;"*",MUSTERILER!$T$7:$T$156,0)),"TANIMSIZ MÜŞTERİ"))))</f>
        <v/>
      </c>
      <c r="E568" s="61"/>
      <c r="F568" s="61"/>
      <c r="G568" s="60"/>
      <c r="H568" s="66"/>
      <c r="I568" s="66"/>
      <c r="J568" s="60"/>
      <c r="K568" s="60"/>
      <c r="L568" s="61"/>
      <c r="M568" s="61"/>
      <c r="N568" s="61"/>
      <c r="O568" s="66"/>
      <c r="P568" s="76" t="str">
        <f t="shared" ca="1" si="33"/>
        <v/>
      </c>
      <c r="Q568" s="65" t="str">
        <f t="shared" ca="1" si="34"/>
        <v/>
      </c>
      <c r="R568" s="2"/>
      <c r="S568" s="2"/>
      <c r="T568" s="1"/>
      <c r="U568" s="1" t="str">
        <f t="shared" si="35"/>
        <v/>
      </c>
    </row>
    <row r="569" spans="1:21" ht="18" customHeight="1" x14ac:dyDescent="0.3">
      <c r="A569" s="2"/>
      <c r="B569" s="65" t="str">
        <f t="shared" si="32"/>
        <v/>
      </c>
      <c r="C569" s="60"/>
      <c r="D569" s="65" t="str">
        <f>IF($E569="","",IFERROR(INDEX(MUSTERILER!$B$7:$B$156,MATCH($U569,MUSTERILER!$T$7:$T$156,0)),IFERROR(INDEX(MUSTERILER!$B$7:$B$156,MATCH($E569,MUSTERILER!$B$7:$B$156,0)),IFERROR(INDEX(MUSTERILER!$B$7:$B$156,MATCH($U569&amp;"*",MUSTERILER!$T$7:$T$156,0)),"TANIMSIZ MÜŞTERİ"))))</f>
        <v/>
      </c>
      <c r="E569" s="61"/>
      <c r="F569" s="61"/>
      <c r="G569" s="60"/>
      <c r="H569" s="66"/>
      <c r="I569" s="66"/>
      <c r="J569" s="60"/>
      <c r="K569" s="60"/>
      <c r="L569" s="61"/>
      <c r="M569" s="61"/>
      <c r="N569" s="61"/>
      <c r="O569" s="66"/>
      <c r="P569" s="76" t="str">
        <f t="shared" ca="1" si="33"/>
        <v/>
      </c>
      <c r="Q569" s="65" t="str">
        <f t="shared" ca="1" si="34"/>
        <v/>
      </c>
      <c r="R569" s="2"/>
      <c r="S569" s="2"/>
      <c r="T569" s="1"/>
      <c r="U569" s="1" t="str">
        <f t="shared" si="35"/>
        <v/>
      </c>
    </row>
    <row r="570" spans="1:21" ht="18" customHeight="1" x14ac:dyDescent="0.3">
      <c r="A570" s="2"/>
      <c r="B570" s="65" t="str">
        <f t="shared" si="32"/>
        <v/>
      </c>
      <c r="C570" s="60"/>
      <c r="D570" s="65" t="str">
        <f>IF($E570="","",IFERROR(INDEX(MUSTERILER!$B$7:$B$156,MATCH($U570,MUSTERILER!$T$7:$T$156,0)),IFERROR(INDEX(MUSTERILER!$B$7:$B$156,MATCH($E570,MUSTERILER!$B$7:$B$156,0)),IFERROR(INDEX(MUSTERILER!$B$7:$B$156,MATCH($U570&amp;"*",MUSTERILER!$T$7:$T$156,0)),"TANIMSIZ MÜŞTERİ"))))</f>
        <v/>
      </c>
      <c r="E570" s="61"/>
      <c r="F570" s="61"/>
      <c r="G570" s="60"/>
      <c r="H570" s="66"/>
      <c r="I570" s="66"/>
      <c r="J570" s="60"/>
      <c r="K570" s="60"/>
      <c r="L570" s="61"/>
      <c r="M570" s="61"/>
      <c r="N570" s="61"/>
      <c r="O570" s="66"/>
      <c r="P570" s="76" t="str">
        <f t="shared" ca="1" si="33"/>
        <v/>
      </c>
      <c r="Q570" s="65" t="str">
        <f t="shared" ca="1" si="34"/>
        <v/>
      </c>
      <c r="R570" s="2"/>
      <c r="S570" s="2"/>
      <c r="T570" s="1"/>
      <c r="U570" s="1" t="str">
        <f t="shared" si="35"/>
        <v/>
      </c>
    </row>
    <row r="571" spans="1:21" ht="18" customHeight="1" x14ac:dyDescent="0.3">
      <c r="A571" s="2"/>
      <c r="B571" s="65" t="str">
        <f t="shared" si="32"/>
        <v/>
      </c>
      <c r="C571" s="60"/>
      <c r="D571" s="65" t="str">
        <f>IF($E571="","",IFERROR(INDEX(MUSTERILER!$B$7:$B$156,MATCH($U571,MUSTERILER!$T$7:$T$156,0)),IFERROR(INDEX(MUSTERILER!$B$7:$B$156,MATCH($E571,MUSTERILER!$B$7:$B$156,0)),IFERROR(INDEX(MUSTERILER!$B$7:$B$156,MATCH($U571&amp;"*",MUSTERILER!$T$7:$T$156,0)),"TANIMSIZ MÜŞTERİ"))))</f>
        <v/>
      </c>
      <c r="E571" s="61"/>
      <c r="F571" s="61"/>
      <c r="G571" s="60"/>
      <c r="H571" s="66"/>
      <c r="I571" s="66"/>
      <c r="J571" s="60"/>
      <c r="K571" s="60"/>
      <c r="L571" s="61"/>
      <c r="M571" s="61"/>
      <c r="N571" s="61"/>
      <c r="O571" s="66"/>
      <c r="P571" s="76" t="str">
        <f t="shared" ca="1" si="33"/>
        <v/>
      </c>
      <c r="Q571" s="65" t="str">
        <f t="shared" ca="1" si="34"/>
        <v/>
      </c>
      <c r="R571" s="2"/>
      <c r="S571" s="2"/>
      <c r="T571" s="1"/>
      <c r="U571" s="1" t="str">
        <f t="shared" si="35"/>
        <v/>
      </c>
    </row>
    <row r="572" spans="1:21" ht="18" customHeight="1" x14ac:dyDescent="0.3">
      <c r="A572" s="2"/>
      <c r="B572" s="65" t="str">
        <f t="shared" si="32"/>
        <v/>
      </c>
      <c r="C572" s="60"/>
      <c r="D572" s="65" t="str">
        <f>IF($E572="","",IFERROR(INDEX(MUSTERILER!$B$7:$B$156,MATCH($U572,MUSTERILER!$T$7:$T$156,0)),IFERROR(INDEX(MUSTERILER!$B$7:$B$156,MATCH($E572,MUSTERILER!$B$7:$B$156,0)),IFERROR(INDEX(MUSTERILER!$B$7:$B$156,MATCH($U572&amp;"*",MUSTERILER!$T$7:$T$156,0)),"TANIMSIZ MÜŞTERİ"))))</f>
        <v/>
      </c>
      <c r="E572" s="61"/>
      <c r="F572" s="61"/>
      <c r="G572" s="60"/>
      <c r="H572" s="66"/>
      <c r="I572" s="66"/>
      <c r="J572" s="60"/>
      <c r="K572" s="60"/>
      <c r="L572" s="61"/>
      <c r="M572" s="61"/>
      <c r="N572" s="61"/>
      <c r="O572" s="66"/>
      <c r="P572" s="76" t="str">
        <f t="shared" ca="1" si="33"/>
        <v/>
      </c>
      <c r="Q572" s="65" t="str">
        <f t="shared" ca="1" si="34"/>
        <v/>
      </c>
      <c r="R572" s="2"/>
      <c r="S572" s="2"/>
      <c r="T572" s="1"/>
      <c r="U572" s="1" t="str">
        <f t="shared" si="35"/>
        <v/>
      </c>
    </row>
    <row r="573" spans="1:21" ht="18" customHeight="1" x14ac:dyDescent="0.3">
      <c r="A573" s="2"/>
      <c r="B573" s="65" t="str">
        <f t="shared" si="32"/>
        <v/>
      </c>
      <c r="C573" s="60"/>
      <c r="D573" s="65" t="str">
        <f>IF($E573="","",IFERROR(INDEX(MUSTERILER!$B$7:$B$156,MATCH($U573,MUSTERILER!$T$7:$T$156,0)),IFERROR(INDEX(MUSTERILER!$B$7:$B$156,MATCH($E573,MUSTERILER!$B$7:$B$156,0)),IFERROR(INDEX(MUSTERILER!$B$7:$B$156,MATCH($U573&amp;"*",MUSTERILER!$T$7:$T$156,0)),"TANIMSIZ MÜŞTERİ"))))</f>
        <v/>
      </c>
      <c r="E573" s="61"/>
      <c r="F573" s="61"/>
      <c r="G573" s="60"/>
      <c r="H573" s="66"/>
      <c r="I573" s="66"/>
      <c r="J573" s="60"/>
      <c r="K573" s="60"/>
      <c r="L573" s="61"/>
      <c r="M573" s="61"/>
      <c r="N573" s="61"/>
      <c r="O573" s="66"/>
      <c r="P573" s="76" t="str">
        <f t="shared" ca="1" si="33"/>
        <v/>
      </c>
      <c r="Q573" s="65" t="str">
        <f t="shared" ca="1" si="34"/>
        <v/>
      </c>
      <c r="R573" s="2"/>
      <c r="S573" s="2"/>
      <c r="T573" s="1"/>
      <c r="U573" s="1" t="str">
        <f t="shared" si="35"/>
        <v/>
      </c>
    </row>
    <row r="574" spans="1:21" ht="18" customHeight="1" x14ac:dyDescent="0.3">
      <c r="A574" s="2"/>
      <c r="B574" s="65" t="str">
        <f t="shared" si="32"/>
        <v/>
      </c>
      <c r="C574" s="60"/>
      <c r="D574" s="65" t="str">
        <f>IF($E574="","",IFERROR(INDEX(MUSTERILER!$B$7:$B$156,MATCH($U574,MUSTERILER!$T$7:$T$156,0)),IFERROR(INDEX(MUSTERILER!$B$7:$B$156,MATCH($E574,MUSTERILER!$B$7:$B$156,0)),IFERROR(INDEX(MUSTERILER!$B$7:$B$156,MATCH($U574&amp;"*",MUSTERILER!$T$7:$T$156,0)),"TANIMSIZ MÜŞTERİ"))))</f>
        <v/>
      </c>
      <c r="E574" s="61"/>
      <c r="F574" s="61"/>
      <c r="G574" s="60"/>
      <c r="H574" s="66"/>
      <c r="I574" s="66"/>
      <c r="J574" s="60"/>
      <c r="K574" s="60"/>
      <c r="L574" s="61"/>
      <c r="M574" s="61"/>
      <c r="N574" s="61"/>
      <c r="O574" s="66"/>
      <c r="P574" s="76" t="str">
        <f t="shared" ca="1" si="33"/>
        <v/>
      </c>
      <c r="Q574" s="65" t="str">
        <f t="shared" ca="1" si="34"/>
        <v/>
      </c>
      <c r="R574" s="2"/>
      <c r="S574" s="2"/>
      <c r="T574" s="1"/>
      <c r="U574" s="1" t="str">
        <f t="shared" si="35"/>
        <v/>
      </c>
    </row>
    <row r="575" spans="1:21" ht="18" customHeight="1" x14ac:dyDescent="0.3">
      <c r="A575" s="2"/>
      <c r="B575" s="65" t="str">
        <f t="shared" si="32"/>
        <v/>
      </c>
      <c r="C575" s="60"/>
      <c r="D575" s="65" t="str">
        <f>IF($E575="","",IFERROR(INDEX(MUSTERILER!$B$7:$B$156,MATCH($U575,MUSTERILER!$T$7:$T$156,0)),IFERROR(INDEX(MUSTERILER!$B$7:$B$156,MATCH($E575,MUSTERILER!$B$7:$B$156,0)),IFERROR(INDEX(MUSTERILER!$B$7:$B$156,MATCH($U575&amp;"*",MUSTERILER!$T$7:$T$156,0)),"TANIMSIZ MÜŞTERİ"))))</f>
        <v/>
      </c>
      <c r="E575" s="61"/>
      <c r="F575" s="61"/>
      <c r="G575" s="60"/>
      <c r="H575" s="66"/>
      <c r="I575" s="66"/>
      <c r="J575" s="60"/>
      <c r="K575" s="60"/>
      <c r="L575" s="61"/>
      <c r="M575" s="61"/>
      <c r="N575" s="61"/>
      <c r="O575" s="66"/>
      <c r="P575" s="76" t="str">
        <f t="shared" ca="1" si="33"/>
        <v/>
      </c>
      <c r="Q575" s="65" t="str">
        <f t="shared" ca="1" si="34"/>
        <v/>
      </c>
      <c r="R575" s="2"/>
      <c r="S575" s="2"/>
      <c r="T575" s="1"/>
      <c r="U575" s="1" t="str">
        <f t="shared" si="35"/>
        <v/>
      </c>
    </row>
    <row r="576" spans="1:21" ht="18" customHeight="1" x14ac:dyDescent="0.3">
      <c r="A576" s="2"/>
      <c r="B576" s="65" t="str">
        <f t="shared" si="32"/>
        <v/>
      </c>
      <c r="C576" s="60"/>
      <c r="D576" s="65" t="str">
        <f>IF($E576="","",IFERROR(INDEX(MUSTERILER!$B$7:$B$156,MATCH($U576,MUSTERILER!$T$7:$T$156,0)),IFERROR(INDEX(MUSTERILER!$B$7:$B$156,MATCH($E576,MUSTERILER!$B$7:$B$156,0)),IFERROR(INDEX(MUSTERILER!$B$7:$B$156,MATCH($U576&amp;"*",MUSTERILER!$T$7:$T$156,0)),"TANIMSIZ MÜŞTERİ"))))</f>
        <v/>
      </c>
      <c r="E576" s="61"/>
      <c r="F576" s="61"/>
      <c r="G576" s="60"/>
      <c r="H576" s="66"/>
      <c r="I576" s="66"/>
      <c r="J576" s="60"/>
      <c r="K576" s="60"/>
      <c r="L576" s="61"/>
      <c r="M576" s="61"/>
      <c r="N576" s="61"/>
      <c r="O576" s="66"/>
      <c r="P576" s="76" t="str">
        <f t="shared" ca="1" si="33"/>
        <v/>
      </c>
      <c r="Q576" s="65" t="str">
        <f t="shared" ca="1" si="34"/>
        <v/>
      </c>
      <c r="R576" s="2"/>
      <c r="S576" s="2"/>
      <c r="T576" s="1"/>
      <c r="U576" s="1" t="str">
        <f t="shared" si="35"/>
        <v/>
      </c>
    </row>
    <row r="577" spans="1:21" ht="18" customHeight="1" x14ac:dyDescent="0.3">
      <c r="A577" s="2"/>
      <c r="B577" s="65" t="str">
        <f t="shared" si="32"/>
        <v/>
      </c>
      <c r="C577" s="60"/>
      <c r="D577" s="65" t="str">
        <f>IF($E577="","",IFERROR(INDEX(MUSTERILER!$B$7:$B$156,MATCH($U577,MUSTERILER!$T$7:$T$156,0)),IFERROR(INDEX(MUSTERILER!$B$7:$B$156,MATCH($E577,MUSTERILER!$B$7:$B$156,0)),IFERROR(INDEX(MUSTERILER!$B$7:$B$156,MATCH($U577&amp;"*",MUSTERILER!$T$7:$T$156,0)),"TANIMSIZ MÜŞTERİ"))))</f>
        <v/>
      </c>
      <c r="E577" s="61"/>
      <c r="F577" s="61"/>
      <c r="G577" s="60"/>
      <c r="H577" s="66"/>
      <c r="I577" s="66"/>
      <c r="J577" s="60"/>
      <c r="K577" s="60"/>
      <c r="L577" s="61"/>
      <c r="M577" s="61"/>
      <c r="N577" s="61"/>
      <c r="O577" s="66"/>
      <c r="P577" s="76" t="str">
        <f t="shared" ca="1" si="33"/>
        <v/>
      </c>
      <c r="Q577" s="65" t="str">
        <f t="shared" ca="1" si="34"/>
        <v/>
      </c>
      <c r="R577" s="2"/>
      <c r="S577" s="2"/>
      <c r="T577" s="1"/>
      <c r="U577" s="1" t="str">
        <f t="shared" si="35"/>
        <v/>
      </c>
    </row>
    <row r="578" spans="1:21" ht="18" customHeight="1" x14ac:dyDescent="0.3">
      <c r="A578" s="2"/>
      <c r="B578" s="65" t="str">
        <f t="shared" si="32"/>
        <v/>
      </c>
      <c r="C578" s="60"/>
      <c r="D578" s="65" t="str">
        <f>IF($E578="","",IFERROR(INDEX(MUSTERILER!$B$7:$B$156,MATCH($U578,MUSTERILER!$T$7:$T$156,0)),IFERROR(INDEX(MUSTERILER!$B$7:$B$156,MATCH($E578,MUSTERILER!$B$7:$B$156,0)),IFERROR(INDEX(MUSTERILER!$B$7:$B$156,MATCH($U578&amp;"*",MUSTERILER!$T$7:$T$156,0)),"TANIMSIZ MÜŞTERİ"))))</f>
        <v/>
      </c>
      <c r="E578" s="61"/>
      <c r="F578" s="61"/>
      <c r="G578" s="60"/>
      <c r="H578" s="66"/>
      <c r="I578" s="66"/>
      <c r="J578" s="60"/>
      <c r="K578" s="60"/>
      <c r="L578" s="61"/>
      <c r="M578" s="61"/>
      <c r="N578" s="61"/>
      <c r="O578" s="66"/>
      <c r="P578" s="76" t="str">
        <f t="shared" ca="1" si="33"/>
        <v/>
      </c>
      <c r="Q578" s="65" t="str">
        <f t="shared" ca="1" si="34"/>
        <v/>
      </c>
      <c r="R578" s="2"/>
      <c r="S578" s="2"/>
      <c r="T578" s="1"/>
      <c r="U578" s="1" t="str">
        <f t="shared" si="35"/>
        <v/>
      </c>
    </row>
    <row r="579" spans="1:21" ht="18" customHeight="1" x14ac:dyDescent="0.3">
      <c r="A579" s="2"/>
      <c r="B579" s="65" t="str">
        <f t="shared" si="32"/>
        <v/>
      </c>
      <c r="C579" s="60"/>
      <c r="D579" s="65" t="str">
        <f>IF($E579="","",IFERROR(INDEX(MUSTERILER!$B$7:$B$156,MATCH($U579,MUSTERILER!$T$7:$T$156,0)),IFERROR(INDEX(MUSTERILER!$B$7:$B$156,MATCH($E579,MUSTERILER!$B$7:$B$156,0)),IFERROR(INDEX(MUSTERILER!$B$7:$B$156,MATCH($U579&amp;"*",MUSTERILER!$T$7:$T$156,0)),"TANIMSIZ MÜŞTERİ"))))</f>
        <v/>
      </c>
      <c r="E579" s="61"/>
      <c r="F579" s="61"/>
      <c r="G579" s="60"/>
      <c r="H579" s="66"/>
      <c r="I579" s="66"/>
      <c r="J579" s="60"/>
      <c r="K579" s="60"/>
      <c r="L579" s="61"/>
      <c r="M579" s="61"/>
      <c r="N579" s="61"/>
      <c r="O579" s="66"/>
      <c r="P579" s="76" t="str">
        <f t="shared" ca="1" si="33"/>
        <v/>
      </c>
      <c r="Q579" s="65" t="str">
        <f t="shared" ca="1" si="34"/>
        <v/>
      </c>
      <c r="R579" s="2"/>
      <c r="S579" s="2"/>
      <c r="T579" s="1"/>
      <c r="U579" s="1" t="str">
        <f t="shared" si="35"/>
        <v/>
      </c>
    </row>
    <row r="580" spans="1:21" ht="18" customHeight="1" x14ac:dyDescent="0.3">
      <c r="A580" s="2"/>
      <c r="B580" s="65" t="str">
        <f t="shared" si="32"/>
        <v/>
      </c>
      <c r="C580" s="60"/>
      <c r="D580" s="65" t="str">
        <f>IF($E580="","",IFERROR(INDEX(MUSTERILER!$B$7:$B$156,MATCH($U580,MUSTERILER!$T$7:$T$156,0)),IFERROR(INDEX(MUSTERILER!$B$7:$B$156,MATCH($E580,MUSTERILER!$B$7:$B$156,0)),IFERROR(INDEX(MUSTERILER!$B$7:$B$156,MATCH($U580&amp;"*",MUSTERILER!$T$7:$T$156,0)),"TANIMSIZ MÜŞTERİ"))))</f>
        <v/>
      </c>
      <c r="E580" s="61"/>
      <c r="F580" s="61"/>
      <c r="G580" s="60"/>
      <c r="H580" s="66"/>
      <c r="I580" s="66"/>
      <c r="J580" s="60"/>
      <c r="K580" s="60"/>
      <c r="L580" s="61"/>
      <c r="M580" s="61"/>
      <c r="N580" s="61"/>
      <c r="O580" s="66"/>
      <c r="P580" s="76" t="str">
        <f t="shared" ca="1" si="33"/>
        <v/>
      </c>
      <c r="Q580" s="65" t="str">
        <f t="shared" ca="1" si="34"/>
        <v/>
      </c>
      <c r="R580" s="2"/>
      <c r="S580" s="2"/>
      <c r="T580" s="1"/>
      <c r="U580" s="1" t="str">
        <f t="shared" si="35"/>
        <v/>
      </c>
    </row>
    <row r="581" spans="1:21" ht="18" customHeight="1" x14ac:dyDescent="0.3">
      <c r="A581" s="2"/>
      <c r="B581" s="65" t="str">
        <f t="shared" si="32"/>
        <v/>
      </c>
      <c r="C581" s="60"/>
      <c r="D581" s="65" t="str">
        <f>IF($E581="","",IFERROR(INDEX(MUSTERILER!$B$7:$B$156,MATCH($U581,MUSTERILER!$T$7:$T$156,0)),IFERROR(INDEX(MUSTERILER!$B$7:$B$156,MATCH($E581,MUSTERILER!$B$7:$B$156,0)),IFERROR(INDEX(MUSTERILER!$B$7:$B$156,MATCH($U581&amp;"*",MUSTERILER!$T$7:$T$156,0)),"TANIMSIZ MÜŞTERİ"))))</f>
        <v/>
      </c>
      <c r="E581" s="61"/>
      <c r="F581" s="61"/>
      <c r="G581" s="60"/>
      <c r="H581" s="66"/>
      <c r="I581" s="66"/>
      <c r="J581" s="60"/>
      <c r="K581" s="60"/>
      <c r="L581" s="61"/>
      <c r="M581" s="61"/>
      <c r="N581" s="61"/>
      <c r="O581" s="66"/>
      <c r="P581" s="76" t="str">
        <f t="shared" ca="1" si="33"/>
        <v/>
      </c>
      <c r="Q581" s="65" t="str">
        <f t="shared" ca="1" si="34"/>
        <v/>
      </c>
      <c r="R581" s="2"/>
      <c r="S581" s="2"/>
      <c r="T581" s="1"/>
      <c r="U581" s="1" t="str">
        <f t="shared" si="35"/>
        <v/>
      </c>
    </row>
    <row r="582" spans="1:21" ht="18" customHeight="1" x14ac:dyDescent="0.3">
      <c r="A582" s="2"/>
      <c r="B582" s="65" t="str">
        <f t="shared" si="32"/>
        <v/>
      </c>
      <c r="C582" s="60"/>
      <c r="D582" s="65" t="str">
        <f>IF($E582="","",IFERROR(INDEX(MUSTERILER!$B$7:$B$156,MATCH($U582,MUSTERILER!$T$7:$T$156,0)),IFERROR(INDEX(MUSTERILER!$B$7:$B$156,MATCH($E582,MUSTERILER!$B$7:$B$156,0)),IFERROR(INDEX(MUSTERILER!$B$7:$B$156,MATCH($U582&amp;"*",MUSTERILER!$T$7:$T$156,0)),"TANIMSIZ MÜŞTERİ"))))</f>
        <v/>
      </c>
      <c r="E582" s="61"/>
      <c r="F582" s="61"/>
      <c r="G582" s="60"/>
      <c r="H582" s="66"/>
      <c r="I582" s="66"/>
      <c r="J582" s="60"/>
      <c r="K582" s="60"/>
      <c r="L582" s="61"/>
      <c r="M582" s="61"/>
      <c r="N582" s="61"/>
      <c r="O582" s="66"/>
      <c r="P582" s="76" t="str">
        <f t="shared" ca="1" si="33"/>
        <v/>
      </c>
      <c r="Q582" s="65" t="str">
        <f t="shared" ca="1" si="34"/>
        <v/>
      </c>
      <c r="R582" s="2"/>
      <c r="S582" s="2"/>
      <c r="T582" s="1"/>
      <c r="U582" s="1" t="str">
        <f t="shared" si="35"/>
        <v/>
      </c>
    </row>
    <row r="583" spans="1:21" ht="18" customHeight="1" x14ac:dyDescent="0.3">
      <c r="A583" s="2"/>
      <c r="B583" s="65" t="str">
        <f t="shared" ref="B583:B646" si="36">IF($E583="","","A"&amp;TEXT(ROW()-6,"00000"))</f>
        <v/>
      </c>
      <c r="C583" s="60"/>
      <c r="D583" s="65" t="str">
        <f>IF($E583="","",IFERROR(INDEX(MUSTERILER!$B$7:$B$156,MATCH($U583,MUSTERILER!$T$7:$T$156,0)),IFERROR(INDEX(MUSTERILER!$B$7:$B$156,MATCH($E583,MUSTERILER!$B$7:$B$156,0)),IFERROR(INDEX(MUSTERILER!$B$7:$B$156,MATCH($U583&amp;"*",MUSTERILER!$T$7:$T$156,0)),"TANIMSIZ MÜŞTERİ"))))</f>
        <v/>
      </c>
      <c r="E583" s="61"/>
      <c r="F583" s="61"/>
      <c r="G583" s="60"/>
      <c r="H583" s="66"/>
      <c r="I583" s="66"/>
      <c r="J583" s="60"/>
      <c r="K583" s="60"/>
      <c r="L583" s="61"/>
      <c r="M583" s="61"/>
      <c r="N583" s="61"/>
      <c r="O583" s="66"/>
      <c r="P583" s="76" t="str">
        <f t="shared" ref="P583:P646" ca="1" si="37">IF(OR($E583="",$I583=""),"",IF(OR($J583="Tamamlandı",$J583="İptal"),"",$I583-TODAY()))</f>
        <v/>
      </c>
      <c r="Q583" s="65" t="str">
        <f t="shared" ref="Q583:Q646" ca="1" si="38"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2"/>
      <c r="S583" s="2"/>
      <c r="T583" s="1"/>
      <c r="U583" s="1" t="str">
        <f t="shared" ref="U583:U646" si="39">IF($E583="","",UPPER(SUBSTITUTE(SUBSTITUTE(SUBSTITUTE(SUBSTITUTE(SUBSTITUTE(SUBSTITUTE(SUBSTITUTE(SUBSTITUTE(SUBSTITUTE(SUBSTITUTE(SUBSTITUTE(SUBSTITUTE(SUBSTITUTE(SUBSTITUTE(SUBSTITUTE(SUBSTITUTE(SUBSTITUTE(SUBSTITUTE(TRIM($E583),"'",""),"İ","I"),"ı","I"),"i","I"),"Ş","S"),"ş","S"),"Ğ","G"),"ğ","G"),"Ü","U"),"ü","U"),"Ö","O"),"ö","O"),"Ç","C"),"ç","C"),".",""),",","")," ",""),"-","")))</f>
        <v/>
      </c>
    </row>
    <row r="584" spans="1:21" ht="18" customHeight="1" x14ac:dyDescent="0.3">
      <c r="A584" s="2"/>
      <c r="B584" s="65" t="str">
        <f t="shared" si="36"/>
        <v/>
      </c>
      <c r="C584" s="60"/>
      <c r="D584" s="65" t="str">
        <f>IF($E584="","",IFERROR(INDEX(MUSTERILER!$B$7:$B$156,MATCH($U584,MUSTERILER!$T$7:$T$156,0)),IFERROR(INDEX(MUSTERILER!$B$7:$B$156,MATCH($E584,MUSTERILER!$B$7:$B$156,0)),IFERROR(INDEX(MUSTERILER!$B$7:$B$156,MATCH($U584&amp;"*",MUSTERILER!$T$7:$T$156,0)),"TANIMSIZ MÜŞTERİ"))))</f>
        <v/>
      </c>
      <c r="E584" s="61"/>
      <c r="F584" s="61"/>
      <c r="G584" s="60"/>
      <c r="H584" s="66"/>
      <c r="I584" s="66"/>
      <c r="J584" s="60"/>
      <c r="K584" s="60"/>
      <c r="L584" s="61"/>
      <c r="M584" s="61"/>
      <c r="N584" s="61"/>
      <c r="O584" s="66"/>
      <c r="P584" s="76" t="str">
        <f t="shared" ca="1" si="37"/>
        <v/>
      </c>
      <c r="Q584" s="65" t="str">
        <f t="shared" ca="1" si="38"/>
        <v/>
      </c>
      <c r="R584" s="2"/>
      <c r="S584" s="2"/>
      <c r="T584" s="1"/>
      <c r="U584" s="1" t="str">
        <f t="shared" si="39"/>
        <v/>
      </c>
    </row>
    <row r="585" spans="1:21" ht="18" customHeight="1" x14ac:dyDescent="0.3">
      <c r="A585" s="2"/>
      <c r="B585" s="65" t="str">
        <f t="shared" si="36"/>
        <v/>
      </c>
      <c r="C585" s="60"/>
      <c r="D585" s="65" t="str">
        <f>IF($E585="","",IFERROR(INDEX(MUSTERILER!$B$7:$B$156,MATCH($U585,MUSTERILER!$T$7:$T$156,0)),IFERROR(INDEX(MUSTERILER!$B$7:$B$156,MATCH($E585,MUSTERILER!$B$7:$B$156,0)),IFERROR(INDEX(MUSTERILER!$B$7:$B$156,MATCH($U585&amp;"*",MUSTERILER!$T$7:$T$156,0)),"TANIMSIZ MÜŞTERİ"))))</f>
        <v/>
      </c>
      <c r="E585" s="61"/>
      <c r="F585" s="61"/>
      <c r="G585" s="60"/>
      <c r="H585" s="66"/>
      <c r="I585" s="66"/>
      <c r="J585" s="60"/>
      <c r="K585" s="60"/>
      <c r="L585" s="61"/>
      <c r="M585" s="61"/>
      <c r="N585" s="61"/>
      <c r="O585" s="66"/>
      <c r="P585" s="76" t="str">
        <f t="shared" ca="1" si="37"/>
        <v/>
      </c>
      <c r="Q585" s="65" t="str">
        <f t="shared" ca="1" si="38"/>
        <v/>
      </c>
      <c r="R585" s="2"/>
      <c r="S585" s="2"/>
      <c r="T585" s="1"/>
      <c r="U585" s="1" t="str">
        <f t="shared" si="39"/>
        <v/>
      </c>
    </row>
    <row r="586" spans="1:21" ht="18" customHeight="1" x14ac:dyDescent="0.3">
      <c r="A586" s="2"/>
      <c r="B586" s="65" t="str">
        <f t="shared" si="36"/>
        <v/>
      </c>
      <c r="C586" s="60"/>
      <c r="D586" s="65" t="str">
        <f>IF($E586="","",IFERROR(INDEX(MUSTERILER!$B$7:$B$156,MATCH($U586,MUSTERILER!$T$7:$T$156,0)),IFERROR(INDEX(MUSTERILER!$B$7:$B$156,MATCH($E586,MUSTERILER!$B$7:$B$156,0)),IFERROR(INDEX(MUSTERILER!$B$7:$B$156,MATCH($U586&amp;"*",MUSTERILER!$T$7:$T$156,0)),"TANIMSIZ MÜŞTERİ"))))</f>
        <v/>
      </c>
      <c r="E586" s="61"/>
      <c r="F586" s="61"/>
      <c r="G586" s="60"/>
      <c r="H586" s="66"/>
      <c r="I586" s="66"/>
      <c r="J586" s="60"/>
      <c r="K586" s="60"/>
      <c r="L586" s="61"/>
      <c r="M586" s="61"/>
      <c r="N586" s="61"/>
      <c r="O586" s="66"/>
      <c r="P586" s="76" t="str">
        <f t="shared" ca="1" si="37"/>
        <v/>
      </c>
      <c r="Q586" s="65" t="str">
        <f t="shared" ca="1" si="38"/>
        <v/>
      </c>
      <c r="R586" s="2"/>
      <c r="S586" s="2"/>
      <c r="T586" s="1"/>
      <c r="U586" s="1" t="str">
        <f t="shared" si="39"/>
        <v/>
      </c>
    </row>
    <row r="587" spans="1:21" ht="18" customHeight="1" x14ac:dyDescent="0.3">
      <c r="A587" s="2"/>
      <c r="B587" s="65" t="str">
        <f t="shared" si="36"/>
        <v/>
      </c>
      <c r="C587" s="60"/>
      <c r="D587" s="65" t="str">
        <f>IF($E587="","",IFERROR(INDEX(MUSTERILER!$B$7:$B$156,MATCH($U587,MUSTERILER!$T$7:$T$156,0)),IFERROR(INDEX(MUSTERILER!$B$7:$B$156,MATCH($E587,MUSTERILER!$B$7:$B$156,0)),IFERROR(INDEX(MUSTERILER!$B$7:$B$156,MATCH($U587&amp;"*",MUSTERILER!$T$7:$T$156,0)),"TANIMSIZ MÜŞTERİ"))))</f>
        <v/>
      </c>
      <c r="E587" s="61"/>
      <c r="F587" s="61"/>
      <c r="G587" s="60"/>
      <c r="H587" s="66"/>
      <c r="I587" s="66"/>
      <c r="J587" s="60"/>
      <c r="K587" s="60"/>
      <c r="L587" s="61"/>
      <c r="M587" s="61"/>
      <c r="N587" s="61"/>
      <c r="O587" s="66"/>
      <c r="P587" s="76" t="str">
        <f t="shared" ca="1" si="37"/>
        <v/>
      </c>
      <c r="Q587" s="65" t="str">
        <f t="shared" ca="1" si="38"/>
        <v/>
      </c>
      <c r="R587" s="2"/>
      <c r="S587" s="2"/>
      <c r="T587" s="1"/>
      <c r="U587" s="1" t="str">
        <f t="shared" si="39"/>
        <v/>
      </c>
    </row>
    <row r="588" spans="1:21" ht="18" customHeight="1" x14ac:dyDescent="0.3">
      <c r="A588" s="2"/>
      <c r="B588" s="65" t="str">
        <f t="shared" si="36"/>
        <v/>
      </c>
      <c r="C588" s="60"/>
      <c r="D588" s="65" t="str">
        <f>IF($E588="","",IFERROR(INDEX(MUSTERILER!$B$7:$B$156,MATCH($U588,MUSTERILER!$T$7:$T$156,0)),IFERROR(INDEX(MUSTERILER!$B$7:$B$156,MATCH($E588,MUSTERILER!$B$7:$B$156,0)),IFERROR(INDEX(MUSTERILER!$B$7:$B$156,MATCH($U588&amp;"*",MUSTERILER!$T$7:$T$156,0)),"TANIMSIZ MÜŞTERİ"))))</f>
        <v/>
      </c>
      <c r="E588" s="61"/>
      <c r="F588" s="61"/>
      <c r="G588" s="60"/>
      <c r="H588" s="66"/>
      <c r="I588" s="66"/>
      <c r="J588" s="60"/>
      <c r="K588" s="60"/>
      <c r="L588" s="61"/>
      <c r="M588" s="61"/>
      <c r="N588" s="61"/>
      <c r="O588" s="66"/>
      <c r="P588" s="76" t="str">
        <f t="shared" ca="1" si="37"/>
        <v/>
      </c>
      <c r="Q588" s="65" t="str">
        <f t="shared" ca="1" si="38"/>
        <v/>
      </c>
      <c r="R588" s="2"/>
      <c r="S588" s="2"/>
      <c r="T588" s="1"/>
      <c r="U588" s="1" t="str">
        <f t="shared" si="39"/>
        <v/>
      </c>
    </row>
    <row r="589" spans="1:21" ht="18" customHeight="1" x14ac:dyDescent="0.3">
      <c r="A589" s="2"/>
      <c r="B589" s="65" t="str">
        <f t="shared" si="36"/>
        <v/>
      </c>
      <c r="C589" s="60"/>
      <c r="D589" s="65" t="str">
        <f>IF($E589="","",IFERROR(INDEX(MUSTERILER!$B$7:$B$156,MATCH($U589,MUSTERILER!$T$7:$T$156,0)),IFERROR(INDEX(MUSTERILER!$B$7:$B$156,MATCH($E589,MUSTERILER!$B$7:$B$156,0)),IFERROR(INDEX(MUSTERILER!$B$7:$B$156,MATCH($U589&amp;"*",MUSTERILER!$T$7:$T$156,0)),"TANIMSIZ MÜŞTERİ"))))</f>
        <v/>
      </c>
      <c r="E589" s="61"/>
      <c r="F589" s="61"/>
      <c r="G589" s="60"/>
      <c r="H589" s="66"/>
      <c r="I589" s="66"/>
      <c r="J589" s="60"/>
      <c r="K589" s="60"/>
      <c r="L589" s="61"/>
      <c r="M589" s="61"/>
      <c r="N589" s="61"/>
      <c r="O589" s="66"/>
      <c r="P589" s="76" t="str">
        <f t="shared" ca="1" si="37"/>
        <v/>
      </c>
      <c r="Q589" s="65" t="str">
        <f t="shared" ca="1" si="38"/>
        <v/>
      </c>
      <c r="R589" s="2"/>
      <c r="S589" s="2"/>
      <c r="T589" s="1"/>
      <c r="U589" s="1" t="str">
        <f t="shared" si="39"/>
        <v/>
      </c>
    </row>
    <row r="590" spans="1:21" ht="18" customHeight="1" x14ac:dyDescent="0.3">
      <c r="A590" s="2"/>
      <c r="B590" s="65" t="str">
        <f t="shared" si="36"/>
        <v/>
      </c>
      <c r="C590" s="60"/>
      <c r="D590" s="65" t="str">
        <f>IF($E590="","",IFERROR(INDEX(MUSTERILER!$B$7:$B$156,MATCH($U590,MUSTERILER!$T$7:$T$156,0)),IFERROR(INDEX(MUSTERILER!$B$7:$B$156,MATCH($E590,MUSTERILER!$B$7:$B$156,0)),IFERROR(INDEX(MUSTERILER!$B$7:$B$156,MATCH($U590&amp;"*",MUSTERILER!$T$7:$T$156,0)),"TANIMSIZ MÜŞTERİ"))))</f>
        <v/>
      </c>
      <c r="E590" s="61"/>
      <c r="F590" s="61"/>
      <c r="G590" s="60"/>
      <c r="H590" s="66"/>
      <c r="I590" s="66"/>
      <c r="J590" s="60"/>
      <c r="K590" s="60"/>
      <c r="L590" s="61"/>
      <c r="M590" s="61"/>
      <c r="N590" s="61"/>
      <c r="O590" s="66"/>
      <c r="P590" s="76" t="str">
        <f t="shared" ca="1" si="37"/>
        <v/>
      </c>
      <c r="Q590" s="65" t="str">
        <f t="shared" ca="1" si="38"/>
        <v/>
      </c>
      <c r="R590" s="2"/>
      <c r="S590" s="2"/>
      <c r="T590" s="1"/>
      <c r="U590" s="1" t="str">
        <f t="shared" si="39"/>
        <v/>
      </c>
    </row>
    <row r="591" spans="1:21" ht="18" customHeight="1" x14ac:dyDescent="0.3">
      <c r="A591" s="2"/>
      <c r="B591" s="65" t="str">
        <f t="shared" si="36"/>
        <v/>
      </c>
      <c r="C591" s="60"/>
      <c r="D591" s="65" t="str">
        <f>IF($E591="","",IFERROR(INDEX(MUSTERILER!$B$7:$B$156,MATCH($U591,MUSTERILER!$T$7:$T$156,0)),IFERROR(INDEX(MUSTERILER!$B$7:$B$156,MATCH($E591,MUSTERILER!$B$7:$B$156,0)),IFERROR(INDEX(MUSTERILER!$B$7:$B$156,MATCH($U591&amp;"*",MUSTERILER!$T$7:$T$156,0)),"TANIMSIZ MÜŞTERİ"))))</f>
        <v/>
      </c>
      <c r="E591" s="61"/>
      <c r="F591" s="61"/>
      <c r="G591" s="60"/>
      <c r="H591" s="66"/>
      <c r="I591" s="66"/>
      <c r="J591" s="60"/>
      <c r="K591" s="60"/>
      <c r="L591" s="61"/>
      <c r="M591" s="61"/>
      <c r="N591" s="61"/>
      <c r="O591" s="66"/>
      <c r="P591" s="76" t="str">
        <f t="shared" ca="1" si="37"/>
        <v/>
      </c>
      <c r="Q591" s="65" t="str">
        <f t="shared" ca="1" si="38"/>
        <v/>
      </c>
      <c r="R591" s="2"/>
      <c r="S591" s="2"/>
      <c r="T591" s="1"/>
      <c r="U591" s="1" t="str">
        <f t="shared" si="39"/>
        <v/>
      </c>
    </row>
    <row r="592" spans="1:21" ht="18" customHeight="1" x14ac:dyDescent="0.3">
      <c r="A592" s="2"/>
      <c r="B592" s="65" t="str">
        <f t="shared" si="36"/>
        <v/>
      </c>
      <c r="C592" s="60"/>
      <c r="D592" s="65" t="str">
        <f>IF($E592="","",IFERROR(INDEX(MUSTERILER!$B$7:$B$156,MATCH($U592,MUSTERILER!$T$7:$T$156,0)),IFERROR(INDEX(MUSTERILER!$B$7:$B$156,MATCH($E592,MUSTERILER!$B$7:$B$156,0)),IFERROR(INDEX(MUSTERILER!$B$7:$B$156,MATCH($U592&amp;"*",MUSTERILER!$T$7:$T$156,0)),"TANIMSIZ MÜŞTERİ"))))</f>
        <v/>
      </c>
      <c r="E592" s="61"/>
      <c r="F592" s="61"/>
      <c r="G592" s="60"/>
      <c r="H592" s="66"/>
      <c r="I592" s="66"/>
      <c r="J592" s="60"/>
      <c r="K592" s="60"/>
      <c r="L592" s="61"/>
      <c r="M592" s="61"/>
      <c r="N592" s="61"/>
      <c r="O592" s="66"/>
      <c r="P592" s="76" t="str">
        <f t="shared" ca="1" si="37"/>
        <v/>
      </c>
      <c r="Q592" s="65" t="str">
        <f t="shared" ca="1" si="38"/>
        <v/>
      </c>
      <c r="R592" s="2"/>
      <c r="S592" s="2"/>
      <c r="T592" s="1"/>
      <c r="U592" s="1" t="str">
        <f t="shared" si="39"/>
        <v/>
      </c>
    </row>
    <row r="593" spans="1:21" ht="18" customHeight="1" x14ac:dyDescent="0.3">
      <c r="A593" s="2"/>
      <c r="B593" s="65" t="str">
        <f t="shared" si="36"/>
        <v/>
      </c>
      <c r="C593" s="60"/>
      <c r="D593" s="65" t="str">
        <f>IF($E593="","",IFERROR(INDEX(MUSTERILER!$B$7:$B$156,MATCH($U593,MUSTERILER!$T$7:$T$156,0)),IFERROR(INDEX(MUSTERILER!$B$7:$B$156,MATCH($E593,MUSTERILER!$B$7:$B$156,0)),IFERROR(INDEX(MUSTERILER!$B$7:$B$156,MATCH($U593&amp;"*",MUSTERILER!$T$7:$T$156,0)),"TANIMSIZ MÜŞTERİ"))))</f>
        <v/>
      </c>
      <c r="E593" s="61"/>
      <c r="F593" s="61"/>
      <c r="G593" s="60"/>
      <c r="H593" s="66"/>
      <c r="I593" s="66"/>
      <c r="J593" s="60"/>
      <c r="K593" s="60"/>
      <c r="L593" s="61"/>
      <c r="M593" s="61"/>
      <c r="N593" s="61"/>
      <c r="O593" s="66"/>
      <c r="P593" s="76" t="str">
        <f t="shared" ca="1" si="37"/>
        <v/>
      </c>
      <c r="Q593" s="65" t="str">
        <f t="shared" ca="1" si="38"/>
        <v/>
      </c>
      <c r="R593" s="2"/>
      <c r="S593" s="2"/>
      <c r="T593" s="1"/>
      <c r="U593" s="1" t="str">
        <f t="shared" si="39"/>
        <v/>
      </c>
    </row>
    <row r="594" spans="1:21" ht="18" customHeight="1" x14ac:dyDescent="0.3">
      <c r="A594" s="2"/>
      <c r="B594" s="65" t="str">
        <f t="shared" si="36"/>
        <v/>
      </c>
      <c r="C594" s="60"/>
      <c r="D594" s="65" t="str">
        <f>IF($E594="","",IFERROR(INDEX(MUSTERILER!$B$7:$B$156,MATCH($U594,MUSTERILER!$T$7:$T$156,0)),IFERROR(INDEX(MUSTERILER!$B$7:$B$156,MATCH($E594,MUSTERILER!$B$7:$B$156,0)),IFERROR(INDEX(MUSTERILER!$B$7:$B$156,MATCH($U594&amp;"*",MUSTERILER!$T$7:$T$156,0)),"TANIMSIZ MÜŞTERİ"))))</f>
        <v/>
      </c>
      <c r="E594" s="61"/>
      <c r="F594" s="61"/>
      <c r="G594" s="60"/>
      <c r="H594" s="66"/>
      <c r="I594" s="66"/>
      <c r="J594" s="60"/>
      <c r="K594" s="60"/>
      <c r="L594" s="61"/>
      <c r="M594" s="61"/>
      <c r="N594" s="61"/>
      <c r="O594" s="66"/>
      <c r="P594" s="76" t="str">
        <f t="shared" ca="1" si="37"/>
        <v/>
      </c>
      <c r="Q594" s="65" t="str">
        <f t="shared" ca="1" si="38"/>
        <v/>
      </c>
      <c r="R594" s="2"/>
      <c r="S594" s="2"/>
      <c r="T594" s="1"/>
      <c r="U594" s="1" t="str">
        <f t="shared" si="39"/>
        <v/>
      </c>
    </row>
    <row r="595" spans="1:21" ht="18" customHeight="1" x14ac:dyDescent="0.3">
      <c r="A595" s="2"/>
      <c r="B595" s="65" t="str">
        <f t="shared" si="36"/>
        <v/>
      </c>
      <c r="C595" s="60"/>
      <c r="D595" s="65" t="str">
        <f>IF($E595="","",IFERROR(INDEX(MUSTERILER!$B$7:$B$156,MATCH($U595,MUSTERILER!$T$7:$T$156,0)),IFERROR(INDEX(MUSTERILER!$B$7:$B$156,MATCH($E595,MUSTERILER!$B$7:$B$156,0)),IFERROR(INDEX(MUSTERILER!$B$7:$B$156,MATCH($U595&amp;"*",MUSTERILER!$T$7:$T$156,0)),"TANIMSIZ MÜŞTERİ"))))</f>
        <v/>
      </c>
      <c r="E595" s="61"/>
      <c r="F595" s="61"/>
      <c r="G595" s="60"/>
      <c r="H595" s="66"/>
      <c r="I595" s="66"/>
      <c r="J595" s="60"/>
      <c r="K595" s="60"/>
      <c r="L595" s="61"/>
      <c r="M595" s="61"/>
      <c r="N595" s="61"/>
      <c r="O595" s="66"/>
      <c r="P595" s="76" t="str">
        <f t="shared" ca="1" si="37"/>
        <v/>
      </c>
      <c r="Q595" s="65" t="str">
        <f t="shared" ca="1" si="38"/>
        <v/>
      </c>
      <c r="R595" s="2"/>
      <c r="S595" s="2"/>
      <c r="T595" s="1"/>
      <c r="U595" s="1" t="str">
        <f t="shared" si="39"/>
        <v/>
      </c>
    </row>
    <row r="596" spans="1:21" ht="18" customHeight="1" x14ac:dyDescent="0.3">
      <c r="A596" s="2"/>
      <c r="B596" s="65" t="str">
        <f t="shared" si="36"/>
        <v/>
      </c>
      <c r="C596" s="60"/>
      <c r="D596" s="65" t="str">
        <f>IF($E596="","",IFERROR(INDEX(MUSTERILER!$B$7:$B$156,MATCH($U596,MUSTERILER!$T$7:$T$156,0)),IFERROR(INDEX(MUSTERILER!$B$7:$B$156,MATCH($E596,MUSTERILER!$B$7:$B$156,0)),IFERROR(INDEX(MUSTERILER!$B$7:$B$156,MATCH($U596&amp;"*",MUSTERILER!$T$7:$T$156,0)),"TANIMSIZ MÜŞTERİ"))))</f>
        <v/>
      </c>
      <c r="E596" s="61"/>
      <c r="F596" s="61"/>
      <c r="G596" s="60"/>
      <c r="H596" s="66"/>
      <c r="I596" s="66"/>
      <c r="J596" s="60"/>
      <c r="K596" s="60"/>
      <c r="L596" s="61"/>
      <c r="M596" s="61"/>
      <c r="N596" s="61"/>
      <c r="O596" s="66"/>
      <c r="P596" s="76" t="str">
        <f t="shared" ca="1" si="37"/>
        <v/>
      </c>
      <c r="Q596" s="65" t="str">
        <f t="shared" ca="1" si="38"/>
        <v/>
      </c>
      <c r="R596" s="2"/>
      <c r="S596" s="2"/>
      <c r="T596" s="1"/>
      <c r="U596" s="1" t="str">
        <f t="shared" si="39"/>
        <v/>
      </c>
    </row>
    <row r="597" spans="1:21" ht="18" customHeight="1" x14ac:dyDescent="0.3">
      <c r="A597" s="2"/>
      <c r="B597" s="65" t="str">
        <f t="shared" si="36"/>
        <v/>
      </c>
      <c r="C597" s="60"/>
      <c r="D597" s="65" t="str">
        <f>IF($E597="","",IFERROR(INDEX(MUSTERILER!$B$7:$B$156,MATCH($U597,MUSTERILER!$T$7:$T$156,0)),IFERROR(INDEX(MUSTERILER!$B$7:$B$156,MATCH($E597,MUSTERILER!$B$7:$B$156,0)),IFERROR(INDEX(MUSTERILER!$B$7:$B$156,MATCH($U597&amp;"*",MUSTERILER!$T$7:$T$156,0)),"TANIMSIZ MÜŞTERİ"))))</f>
        <v/>
      </c>
      <c r="E597" s="61"/>
      <c r="F597" s="61"/>
      <c r="G597" s="60"/>
      <c r="H597" s="66"/>
      <c r="I597" s="66"/>
      <c r="J597" s="60"/>
      <c r="K597" s="60"/>
      <c r="L597" s="61"/>
      <c r="M597" s="61"/>
      <c r="N597" s="61"/>
      <c r="O597" s="66"/>
      <c r="P597" s="76" t="str">
        <f t="shared" ca="1" si="37"/>
        <v/>
      </c>
      <c r="Q597" s="65" t="str">
        <f t="shared" ca="1" si="38"/>
        <v/>
      </c>
      <c r="R597" s="2"/>
      <c r="S597" s="2"/>
      <c r="T597" s="1"/>
      <c r="U597" s="1" t="str">
        <f t="shared" si="39"/>
        <v/>
      </c>
    </row>
    <row r="598" spans="1:21" ht="18" customHeight="1" x14ac:dyDescent="0.3">
      <c r="A598" s="2"/>
      <c r="B598" s="65" t="str">
        <f t="shared" si="36"/>
        <v/>
      </c>
      <c r="C598" s="60"/>
      <c r="D598" s="65" t="str">
        <f>IF($E598="","",IFERROR(INDEX(MUSTERILER!$B$7:$B$156,MATCH($U598,MUSTERILER!$T$7:$T$156,0)),IFERROR(INDEX(MUSTERILER!$B$7:$B$156,MATCH($E598,MUSTERILER!$B$7:$B$156,0)),IFERROR(INDEX(MUSTERILER!$B$7:$B$156,MATCH($U598&amp;"*",MUSTERILER!$T$7:$T$156,0)),"TANIMSIZ MÜŞTERİ"))))</f>
        <v/>
      </c>
      <c r="E598" s="61"/>
      <c r="F598" s="61"/>
      <c r="G598" s="60"/>
      <c r="H598" s="66"/>
      <c r="I598" s="66"/>
      <c r="J598" s="60"/>
      <c r="K598" s="60"/>
      <c r="L598" s="61"/>
      <c r="M598" s="61"/>
      <c r="N598" s="61"/>
      <c r="O598" s="66"/>
      <c r="P598" s="76" t="str">
        <f t="shared" ca="1" si="37"/>
        <v/>
      </c>
      <c r="Q598" s="65" t="str">
        <f t="shared" ca="1" si="38"/>
        <v/>
      </c>
      <c r="R598" s="2"/>
      <c r="S598" s="2"/>
      <c r="T598" s="1"/>
      <c r="U598" s="1" t="str">
        <f t="shared" si="39"/>
        <v/>
      </c>
    </row>
    <row r="599" spans="1:21" ht="18" customHeight="1" x14ac:dyDescent="0.3">
      <c r="A599" s="2"/>
      <c r="B599" s="65" t="str">
        <f t="shared" si="36"/>
        <v/>
      </c>
      <c r="C599" s="60"/>
      <c r="D599" s="65" t="str">
        <f>IF($E599="","",IFERROR(INDEX(MUSTERILER!$B$7:$B$156,MATCH($U599,MUSTERILER!$T$7:$T$156,0)),IFERROR(INDEX(MUSTERILER!$B$7:$B$156,MATCH($E599,MUSTERILER!$B$7:$B$156,0)),IFERROR(INDEX(MUSTERILER!$B$7:$B$156,MATCH($U599&amp;"*",MUSTERILER!$T$7:$T$156,0)),"TANIMSIZ MÜŞTERİ"))))</f>
        <v/>
      </c>
      <c r="E599" s="61"/>
      <c r="F599" s="61"/>
      <c r="G599" s="60"/>
      <c r="H599" s="66"/>
      <c r="I599" s="66"/>
      <c r="J599" s="60"/>
      <c r="K599" s="60"/>
      <c r="L599" s="61"/>
      <c r="M599" s="61"/>
      <c r="N599" s="61"/>
      <c r="O599" s="66"/>
      <c r="P599" s="76" t="str">
        <f t="shared" ca="1" si="37"/>
        <v/>
      </c>
      <c r="Q599" s="65" t="str">
        <f t="shared" ca="1" si="38"/>
        <v/>
      </c>
      <c r="R599" s="2"/>
      <c r="S599" s="2"/>
      <c r="T599" s="1"/>
      <c r="U599" s="1" t="str">
        <f t="shared" si="39"/>
        <v/>
      </c>
    </row>
    <row r="600" spans="1:21" ht="18" customHeight="1" x14ac:dyDescent="0.3">
      <c r="A600" s="2"/>
      <c r="B600" s="65" t="str">
        <f t="shared" si="36"/>
        <v/>
      </c>
      <c r="C600" s="60"/>
      <c r="D600" s="65" t="str">
        <f>IF($E600="","",IFERROR(INDEX(MUSTERILER!$B$7:$B$156,MATCH($U600,MUSTERILER!$T$7:$T$156,0)),IFERROR(INDEX(MUSTERILER!$B$7:$B$156,MATCH($E600,MUSTERILER!$B$7:$B$156,0)),IFERROR(INDEX(MUSTERILER!$B$7:$B$156,MATCH($U600&amp;"*",MUSTERILER!$T$7:$T$156,0)),"TANIMSIZ MÜŞTERİ"))))</f>
        <v/>
      </c>
      <c r="E600" s="61"/>
      <c r="F600" s="61"/>
      <c r="G600" s="60"/>
      <c r="H600" s="66"/>
      <c r="I600" s="66"/>
      <c r="J600" s="60"/>
      <c r="K600" s="60"/>
      <c r="L600" s="61"/>
      <c r="M600" s="61"/>
      <c r="N600" s="61"/>
      <c r="O600" s="66"/>
      <c r="P600" s="76" t="str">
        <f t="shared" ca="1" si="37"/>
        <v/>
      </c>
      <c r="Q600" s="65" t="str">
        <f t="shared" ca="1" si="38"/>
        <v/>
      </c>
      <c r="R600" s="2"/>
      <c r="S600" s="2"/>
      <c r="T600" s="1"/>
      <c r="U600" s="1" t="str">
        <f t="shared" si="39"/>
        <v/>
      </c>
    </row>
    <row r="601" spans="1:21" ht="18" customHeight="1" x14ac:dyDescent="0.3">
      <c r="A601" s="2"/>
      <c r="B601" s="65" t="str">
        <f t="shared" si="36"/>
        <v/>
      </c>
      <c r="C601" s="60"/>
      <c r="D601" s="65" t="str">
        <f>IF($E601="","",IFERROR(INDEX(MUSTERILER!$B$7:$B$156,MATCH($U601,MUSTERILER!$T$7:$T$156,0)),IFERROR(INDEX(MUSTERILER!$B$7:$B$156,MATCH($E601,MUSTERILER!$B$7:$B$156,0)),IFERROR(INDEX(MUSTERILER!$B$7:$B$156,MATCH($U601&amp;"*",MUSTERILER!$T$7:$T$156,0)),"TANIMSIZ MÜŞTERİ"))))</f>
        <v/>
      </c>
      <c r="E601" s="61"/>
      <c r="F601" s="61"/>
      <c r="G601" s="60"/>
      <c r="H601" s="66"/>
      <c r="I601" s="66"/>
      <c r="J601" s="60"/>
      <c r="K601" s="60"/>
      <c r="L601" s="61"/>
      <c r="M601" s="61"/>
      <c r="N601" s="61"/>
      <c r="O601" s="66"/>
      <c r="P601" s="76" t="str">
        <f t="shared" ca="1" si="37"/>
        <v/>
      </c>
      <c r="Q601" s="65" t="str">
        <f t="shared" ca="1" si="38"/>
        <v/>
      </c>
      <c r="R601" s="2"/>
      <c r="S601" s="2"/>
      <c r="T601" s="1"/>
      <c r="U601" s="1" t="str">
        <f t="shared" si="39"/>
        <v/>
      </c>
    </row>
    <row r="602" spans="1:21" ht="18" customHeight="1" x14ac:dyDescent="0.3">
      <c r="A602" s="2"/>
      <c r="B602" s="65" t="str">
        <f t="shared" si="36"/>
        <v/>
      </c>
      <c r="C602" s="60"/>
      <c r="D602" s="65" t="str">
        <f>IF($E602="","",IFERROR(INDEX(MUSTERILER!$B$7:$B$156,MATCH($U602,MUSTERILER!$T$7:$T$156,0)),IFERROR(INDEX(MUSTERILER!$B$7:$B$156,MATCH($E602,MUSTERILER!$B$7:$B$156,0)),IFERROR(INDEX(MUSTERILER!$B$7:$B$156,MATCH($U602&amp;"*",MUSTERILER!$T$7:$T$156,0)),"TANIMSIZ MÜŞTERİ"))))</f>
        <v/>
      </c>
      <c r="E602" s="61"/>
      <c r="F602" s="61"/>
      <c r="G602" s="60"/>
      <c r="H602" s="66"/>
      <c r="I602" s="66"/>
      <c r="J602" s="60"/>
      <c r="K602" s="60"/>
      <c r="L602" s="61"/>
      <c r="M602" s="61"/>
      <c r="N602" s="61"/>
      <c r="O602" s="66"/>
      <c r="P602" s="76" t="str">
        <f t="shared" ca="1" si="37"/>
        <v/>
      </c>
      <c r="Q602" s="65" t="str">
        <f t="shared" ca="1" si="38"/>
        <v/>
      </c>
      <c r="R602" s="2"/>
      <c r="S602" s="2"/>
      <c r="T602" s="1"/>
      <c r="U602" s="1" t="str">
        <f t="shared" si="39"/>
        <v/>
      </c>
    </row>
    <row r="603" spans="1:21" ht="18" customHeight="1" x14ac:dyDescent="0.3">
      <c r="A603" s="2"/>
      <c r="B603" s="65" t="str">
        <f t="shared" si="36"/>
        <v/>
      </c>
      <c r="C603" s="60"/>
      <c r="D603" s="65" t="str">
        <f>IF($E603="","",IFERROR(INDEX(MUSTERILER!$B$7:$B$156,MATCH($U603,MUSTERILER!$T$7:$T$156,0)),IFERROR(INDEX(MUSTERILER!$B$7:$B$156,MATCH($E603,MUSTERILER!$B$7:$B$156,0)),IFERROR(INDEX(MUSTERILER!$B$7:$B$156,MATCH($U603&amp;"*",MUSTERILER!$T$7:$T$156,0)),"TANIMSIZ MÜŞTERİ"))))</f>
        <v/>
      </c>
      <c r="E603" s="61"/>
      <c r="F603" s="61"/>
      <c r="G603" s="60"/>
      <c r="H603" s="66"/>
      <c r="I603" s="66"/>
      <c r="J603" s="60"/>
      <c r="K603" s="60"/>
      <c r="L603" s="61"/>
      <c r="M603" s="61"/>
      <c r="N603" s="61"/>
      <c r="O603" s="66"/>
      <c r="P603" s="76" t="str">
        <f t="shared" ca="1" si="37"/>
        <v/>
      </c>
      <c r="Q603" s="65" t="str">
        <f t="shared" ca="1" si="38"/>
        <v/>
      </c>
      <c r="R603" s="2"/>
      <c r="S603" s="2"/>
      <c r="T603" s="1"/>
      <c r="U603" s="1" t="str">
        <f t="shared" si="39"/>
        <v/>
      </c>
    </row>
    <row r="604" spans="1:21" ht="18" customHeight="1" x14ac:dyDescent="0.3">
      <c r="A604" s="2"/>
      <c r="B604" s="65" t="str">
        <f t="shared" si="36"/>
        <v/>
      </c>
      <c r="C604" s="60"/>
      <c r="D604" s="65" t="str">
        <f>IF($E604="","",IFERROR(INDEX(MUSTERILER!$B$7:$B$156,MATCH($U604,MUSTERILER!$T$7:$T$156,0)),IFERROR(INDEX(MUSTERILER!$B$7:$B$156,MATCH($E604,MUSTERILER!$B$7:$B$156,0)),IFERROR(INDEX(MUSTERILER!$B$7:$B$156,MATCH($U604&amp;"*",MUSTERILER!$T$7:$T$156,0)),"TANIMSIZ MÜŞTERİ"))))</f>
        <v/>
      </c>
      <c r="E604" s="61"/>
      <c r="F604" s="61"/>
      <c r="G604" s="60"/>
      <c r="H604" s="66"/>
      <c r="I604" s="66"/>
      <c r="J604" s="60"/>
      <c r="K604" s="60"/>
      <c r="L604" s="61"/>
      <c r="M604" s="61"/>
      <c r="N604" s="61"/>
      <c r="O604" s="66"/>
      <c r="P604" s="76" t="str">
        <f t="shared" ca="1" si="37"/>
        <v/>
      </c>
      <c r="Q604" s="65" t="str">
        <f t="shared" ca="1" si="38"/>
        <v/>
      </c>
      <c r="R604" s="2"/>
      <c r="S604" s="2"/>
      <c r="T604" s="1"/>
      <c r="U604" s="1" t="str">
        <f t="shared" si="39"/>
        <v/>
      </c>
    </row>
    <row r="605" spans="1:21" ht="18" customHeight="1" x14ac:dyDescent="0.3">
      <c r="A605" s="2"/>
      <c r="B605" s="65" t="str">
        <f t="shared" si="36"/>
        <v/>
      </c>
      <c r="C605" s="60"/>
      <c r="D605" s="65" t="str">
        <f>IF($E605="","",IFERROR(INDEX(MUSTERILER!$B$7:$B$156,MATCH($U605,MUSTERILER!$T$7:$T$156,0)),IFERROR(INDEX(MUSTERILER!$B$7:$B$156,MATCH($E605,MUSTERILER!$B$7:$B$156,0)),IFERROR(INDEX(MUSTERILER!$B$7:$B$156,MATCH($U605&amp;"*",MUSTERILER!$T$7:$T$156,0)),"TANIMSIZ MÜŞTERİ"))))</f>
        <v/>
      </c>
      <c r="E605" s="61"/>
      <c r="F605" s="61"/>
      <c r="G605" s="60"/>
      <c r="H605" s="66"/>
      <c r="I605" s="66"/>
      <c r="J605" s="60"/>
      <c r="K605" s="60"/>
      <c r="L605" s="61"/>
      <c r="M605" s="61"/>
      <c r="N605" s="61"/>
      <c r="O605" s="66"/>
      <c r="P605" s="76" t="str">
        <f t="shared" ca="1" si="37"/>
        <v/>
      </c>
      <c r="Q605" s="65" t="str">
        <f t="shared" ca="1" si="38"/>
        <v/>
      </c>
      <c r="R605" s="2"/>
      <c r="S605" s="2"/>
      <c r="T605" s="1"/>
      <c r="U605" s="1" t="str">
        <f t="shared" si="39"/>
        <v/>
      </c>
    </row>
    <row r="606" spans="1:21" ht="18" customHeight="1" x14ac:dyDescent="0.3">
      <c r="A606" s="2"/>
      <c r="B606" s="65" t="str">
        <f t="shared" si="36"/>
        <v/>
      </c>
      <c r="C606" s="60"/>
      <c r="D606" s="65" t="str">
        <f>IF($E606="","",IFERROR(INDEX(MUSTERILER!$B$7:$B$156,MATCH($U606,MUSTERILER!$T$7:$T$156,0)),IFERROR(INDEX(MUSTERILER!$B$7:$B$156,MATCH($E606,MUSTERILER!$B$7:$B$156,0)),IFERROR(INDEX(MUSTERILER!$B$7:$B$156,MATCH($U606&amp;"*",MUSTERILER!$T$7:$T$156,0)),"TANIMSIZ MÜŞTERİ"))))</f>
        <v/>
      </c>
      <c r="E606" s="61"/>
      <c r="F606" s="61"/>
      <c r="G606" s="60"/>
      <c r="H606" s="66"/>
      <c r="I606" s="66"/>
      <c r="J606" s="60"/>
      <c r="K606" s="60"/>
      <c r="L606" s="61"/>
      <c r="M606" s="61"/>
      <c r="N606" s="61"/>
      <c r="O606" s="66"/>
      <c r="P606" s="76" t="str">
        <f t="shared" ca="1" si="37"/>
        <v/>
      </c>
      <c r="Q606" s="65" t="str">
        <f t="shared" ca="1" si="38"/>
        <v/>
      </c>
      <c r="R606" s="2"/>
      <c r="S606" s="2"/>
      <c r="T606" s="1"/>
      <c r="U606" s="1" t="str">
        <f t="shared" si="39"/>
        <v/>
      </c>
    </row>
    <row r="607" spans="1:21" ht="18" customHeight="1" x14ac:dyDescent="0.3">
      <c r="A607" s="2"/>
      <c r="B607" s="65" t="str">
        <f t="shared" si="36"/>
        <v/>
      </c>
      <c r="C607" s="60"/>
      <c r="D607" s="65" t="str">
        <f>IF($E607="","",IFERROR(INDEX(MUSTERILER!$B$7:$B$156,MATCH($U607,MUSTERILER!$T$7:$T$156,0)),IFERROR(INDEX(MUSTERILER!$B$7:$B$156,MATCH($E607,MUSTERILER!$B$7:$B$156,0)),IFERROR(INDEX(MUSTERILER!$B$7:$B$156,MATCH($U607&amp;"*",MUSTERILER!$T$7:$T$156,0)),"TANIMSIZ MÜŞTERİ"))))</f>
        <v/>
      </c>
      <c r="E607" s="61"/>
      <c r="F607" s="61"/>
      <c r="G607" s="60"/>
      <c r="H607" s="66"/>
      <c r="I607" s="66"/>
      <c r="J607" s="60"/>
      <c r="K607" s="60"/>
      <c r="L607" s="61"/>
      <c r="M607" s="61"/>
      <c r="N607" s="61"/>
      <c r="O607" s="66"/>
      <c r="P607" s="76" t="str">
        <f t="shared" ca="1" si="37"/>
        <v/>
      </c>
      <c r="Q607" s="65" t="str">
        <f t="shared" ca="1" si="38"/>
        <v/>
      </c>
      <c r="R607" s="2"/>
      <c r="S607" s="2"/>
      <c r="T607" s="1"/>
      <c r="U607" s="1" t="str">
        <f t="shared" si="39"/>
        <v/>
      </c>
    </row>
    <row r="608" spans="1:21" ht="18" customHeight="1" x14ac:dyDescent="0.3">
      <c r="A608" s="2"/>
      <c r="B608" s="65" t="str">
        <f t="shared" si="36"/>
        <v/>
      </c>
      <c r="C608" s="60"/>
      <c r="D608" s="65" t="str">
        <f>IF($E608="","",IFERROR(INDEX(MUSTERILER!$B$7:$B$156,MATCH($U608,MUSTERILER!$T$7:$T$156,0)),IFERROR(INDEX(MUSTERILER!$B$7:$B$156,MATCH($E608,MUSTERILER!$B$7:$B$156,0)),IFERROR(INDEX(MUSTERILER!$B$7:$B$156,MATCH($U608&amp;"*",MUSTERILER!$T$7:$T$156,0)),"TANIMSIZ MÜŞTERİ"))))</f>
        <v/>
      </c>
      <c r="E608" s="61"/>
      <c r="F608" s="61"/>
      <c r="G608" s="60"/>
      <c r="H608" s="66"/>
      <c r="I608" s="66"/>
      <c r="J608" s="60"/>
      <c r="K608" s="60"/>
      <c r="L608" s="61"/>
      <c r="M608" s="61"/>
      <c r="N608" s="61"/>
      <c r="O608" s="66"/>
      <c r="P608" s="76" t="str">
        <f t="shared" ca="1" si="37"/>
        <v/>
      </c>
      <c r="Q608" s="65" t="str">
        <f t="shared" ca="1" si="38"/>
        <v/>
      </c>
      <c r="R608" s="2"/>
      <c r="S608" s="2"/>
      <c r="T608" s="1"/>
      <c r="U608" s="1" t="str">
        <f t="shared" si="39"/>
        <v/>
      </c>
    </row>
    <row r="609" spans="1:21" ht="18" customHeight="1" x14ac:dyDescent="0.3">
      <c r="A609" s="2"/>
      <c r="B609" s="65" t="str">
        <f t="shared" si="36"/>
        <v/>
      </c>
      <c r="C609" s="60"/>
      <c r="D609" s="65" t="str">
        <f>IF($E609="","",IFERROR(INDEX(MUSTERILER!$B$7:$B$156,MATCH($U609,MUSTERILER!$T$7:$T$156,0)),IFERROR(INDEX(MUSTERILER!$B$7:$B$156,MATCH($E609,MUSTERILER!$B$7:$B$156,0)),IFERROR(INDEX(MUSTERILER!$B$7:$B$156,MATCH($U609&amp;"*",MUSTERILER!$T$7:$T$156,0)),"TANIMSIZ MÜŞTERİ"))))</f>
        <v/>
      </c>
      <c r="E609" s="61"/>
      <c r="F609" s="61"/>
      <c r="G609" s="60"/>
      <c r="H609" s="66"/>
      <c r="I609" s="66"/>
      <c r="J609" s="60"/>
      <c r="K609" s="60"/>
      <c r="L609" s="61"/>
      <c r="M609" s="61"/>
      <c r="N609" s="61"/>
      <c r="O609" s="66"/>
      <c r="P609" s="76" t="str">
        <f t="shared" ca="1" si="37"/>
        <v/>
      </c>
      <c r="Q609" s="65" t="str">
        <f t="shared" ca="1" si="38"/>
        <v/>
      </c>
      <c r="R609" s="2"/>
      <c r="S609" s="2"/>
      <c r="T609" s="1"/>
      <c r="U609" s="1" t="str">
        <f t="shared" si="39"/>
        <v/>
      </c>
    </row>
    <row r="610" spans="1:21" ht="18" customHeight="1" x14ac:dyDescent="0.3">
      <c r="A610" s="2"/>
      <c r="B610" s="65" t="str">
        <f t="shared" si="36"/>
        <v/>
      </c>
      <c r="C610" s="60"/>
      <c r="D610" s="65" t="str">
        <f>IF($E610="","",IFERROR(INDEX(MUSTERILER!$B$7:$B$156,MATCH($U610,MUSTERILER!$T$7:$T$156,0)),IFERROR(INDEX(MUSTERILER!$B$7:$B$156,MATCH($E610,MUSTERILER!$B$7:$B$156,0)),IFERROR(INDEX(MUSTERILER!$B$7:$B$156,MATCH($U610&amp;"*",MUSTERILER!$T$7:$T$156,0)),"TANIMSIZ MÜŞTERİ"))))</f>
        <v/>
      </c>
      <c r="E610" s="61"/>
      <c r="F610" s="61"/>
      <c r="G610" s="60"/>
      <c r="H610" s="66"/>
      <c r="I610" s="66"/>
      <c r="J610" s="60"/>
      <c r="K610" s="60"/>
      <c r="L610" s="61"/>
      <c r="M610" s="61"/>
      <c r="N610" s="61"/>
      <c r="O610" s="66"/>
      <c r="P610" s="76" t="str">
        <f t="shared" ca="1" si="37"/>
        <v/>
      </c>
      <c r="Q610" s="65" t="str">
        <f t="shared" ca="1" si="38"/>
        <v/>
      </c>
      <c r="R610" s="2"/>
      <c r="S610" s="2"/>
      <c r="T610" s="1"/>
      <c r="U610" s="1" t="str">
        <f t="shared" si="39"/>
        <v/>
      </c>
    </row>
    <row r="611" spans="1:21" ht="18" customHeight="1" x14ac:dyDescent="0.3">
      <c r="A611" s="2"/>
      <c r="B611" s="65" t="str">
        <f t="shared" si="36"/>
        <v/>
      </c>
      <c r="C611" s="60"/>
      <c r="D611" s="65" t="str">
        <f>IF($E611="","",IFERROR(INDEX(MUSTERILER!$B$7:$B$156,MATCH($U611,MUSTERILER!$T$7:$T$156,0)),IFERROR(INDEX(MUSTERILER!$B$7:$B$156,MATCH($E611,MUSTERILER!$B$7:$B$156,0)),IFERROR(INDEX(MUSTERILER!$B$7:$B$156,MATCH($U611&amp;"*",MUSTERILER!$T$7:$T$156,0)),"TANIMSIZ MÜŞTERİ"))))</f>
        <v/>
      </c>
      <c r="E611" s="61"/>
      <c r="F611" s="61"/>
      <c r="G611" s="60"/>
      <c r="H611" s="66"/>
      <c r="I611" s="66"/>
      <c r="J611" s="60"/>
      <c r="K611" s="60"/>
      <c r="L611" s="61"/>
      <c r="M611" s="61"/>
      <c r="N611" s="61"/>
      <c r="O611" s="66"/>
      <c r="P611" s="76" t="str">
        <f t="shared" ca="1" si="37"/>
        <v/>
      </c>
      <c r="Q611" s="65" t="str">
        <f t="shared" ca="1" si="38"/>
        <v/>
      </c>
      <c r="R611" s="2"/>
      <c r="S611" s="2"/>
      <c r="T611" s="1"/>
      <c r="U611" s="1" t="str">
        <f t="shared" si="39"/>
        <v/>
      </c>
    </row>
    <row r="612" spans="1:21" ht="18" customHeight="1" x14ac:dyDescent="0.3">
      <c r="A612" s="2"/>
      <c r="B612" s="65" t="str">
        <f t="shared" si="36"/>
        <v/>
      </c>
      <c r="C612" s="60"/>
      <c r="D612" s="65" t="str">
        <f>IF($E612="","",IFERROR(INDEX(MUSTERILER!$B$7:$B$156,MATCH($U612,MUSTERILER!$T$7:$T$156,0)),IFERROR(INDEX(MUSTERILER!$B$7:$B$156,MATCH($E612,MUSTERILER!$B$7:$B$156,0)),IFERROR(INDEX(MUSTERILER!$B$7:$B$156,MATCH($U612&amp;"*",MUSTERILER!$T$7:$T$156,0)),"TANIMSIZ MÜŞTERİ"))))</f>
        <v/>
      </c>
      <c r="E612" s="61"/>
      <c r="F612" s="61"/>
      <c r="G612" s="60"/>
      <c r="H612" s="66"/>
      <c r="I612" s="66"/>
      <c r="J612" s="60"/>
      <c r="K612" s="60"/>
      <c r="L612" s="61"/>
      <c r="M612" s="61"/>
      <c r="N612" s="61"/>
      <c r="O612" s="66"/>
      <c r="P612" s="76" t="str">
        <f t="shared" ca="1" si="37"/>
        <v/>
      </c>
      <c r="Q612" s="65" t="str">
        <f t="shared" ca="1" si="38"/>
        <v/>
      </c>
      <c r="R612" s="2"/>
      <c r="S612" s="2"/>
      <c r="T612" s="1"/>
      <c r="U612" s="1" t="str">
        <f t="shared" si="39"/>
        <v/>
      </c>
    </row>
    <row r="613" spans="1:21" ht="18" customHeight="1" x14ac:dyDescent="0.3">
      <c r="A613" s="2"/>
      <c r="B613" s="65" t="str">
        <f t="shared" si="36"/>
        <v/>
      </c>
      <c r="C613" s="60"/>
      <c r="D613" s="65" t="str">
        <f>IF($E613="","",IFERROR(INDEX(MUSTERILER!$B$7:$B$156,MATCH($U613,MUSTERILER!$T$7:$T$156,0)),IFERROR(INDEX(MUSTERILER!$B$7:$B$156,MATCH($E613,MUSTERILER!$B$7:$B$156,0)),IFERROR(INDEX(MUSTERILER!$B$7:$B$156,MATCH($U613&amp;"*",MUSTERILER!$T$7:$T$156,0)),"TANIMSIZ MÜŞTERİ"))))</f>
        <v/>
      </c>
      <c r="E613" s="61"/>
      <c r="F613" s="61"/>
      <c r="G613" s="60"/>
      <c r="H613" s="66"/>
      <c r="I613" s="66"/>
      <c r="J613" s="60"/>
      <c r="K613" s="60"/>
      <c r="L613" s="61"/>
      <c r="M613" s="61"/>
      <c r="N613" s="61"/>
      <c r="O613" s="66"/>
      <c r="P613" s="76" t="str">
        <f t="shared" ca="1" si="37"/>
        <v/>
      </c>
      <c r="Q613" s="65" t="str">
        <f t="shared" ca="1" si="38"/>
        <v/>
      </c>
      <c r="R613" s="2"/>
      <c r="S613" s="2"/>
      <c r="T613" s="1"/>
      <c r="U613" s="1" t="str">
        <f t="shared" si="39"/>
        <v/>
      </c>
    </row>
    <row r="614" spans="1:21" ht="18" customHeight="1" x14ac:dyDescent="0.3">
      <c r="A614" s="2"/>
      <c r="B614" s="65" t="str">
        <f t="shared" si="36"/>
        <v/>
      </c>
      <c r="C614" s="60"/>
      <c r="D614" s="65" t="str">
        <f>IF($E614="","",IFERROR(INDEX(MUSTERILER!$B$7:$B$156,MATCH($U614,MUSTERILER!$T$7:$T$156,0)),IFERROR(INDEX(MUSTERILER!$B$7:$B$156,MATCH($E614,MUSTERILER!$B$7:$B$156,0)),IFERROR(INDEX(MUSTERILER!$B$7:$B$156,MATCH($U614&amp;"*",MUSTERILER!$T$7:$T$156,0)),"TANIMSIZ MÜŞTERİ"))))</f>
        <v/>
      </c>
      <c r="E614" s="61"/>
      <c r="F614" s="61"/>
      <c r="G614" s="60"/>
      <c r="H614" s="66"/>
      <c r="I614" s="66"/>
      <c r="J614" s="60"/>
      <c r="K614" s="60"/>
      <c r="L614" s="61"/>
      <c r="M614" s="61"/>
      <c r="N614" s="61"/>
      <c r="O614" s="66"/>
      <c r="P614" s="76" t="str">
        <f t="shared" ca="1" si="37"/>
        <v/>
      </c>
      <c r="Q614" s="65" t="str">
        <f t="shared" ca="1" si="38"/>
        <v/>
      </c>
      <c r="R614" s="2"/>
      <c r="S614" s="2"/>
      <c r="T614" s="1"/>
      <c r="U614" s="1" t="str">
        <f t="shared" si="39"/>
        <v/>
      </c>
    </row>
    <row r="615" spans="1:21" ht="18" customHeight="1" x14ac:dyDescent="0.3">
      <c r="A615" s="2"/>
      <c r="B615" s="65" t="str">
        <f t="shared" si="36"/>
        <v/>
      </c>
      <c r="C615" s="60"/>
      <c r="D615" s="65" t="str">
        <f>IF($E615="","",IFERROR(INDEX(MUSTERILER!$B$7:$B$156,MATCH($U615,MUSTERILER!$T$7:$T$156,0)),IFERROR(INDEX(MUSTERILER!$B$7:$B$156,MATCH($E615,MUSTERILER!$B$7:$B$156,0)),IFERROR(INDEX(MUSTERILER!$B$7:$B$156,MATCH($U615&amp;"*",MUSTERILER!$T$7:$T$156,0)),"TANIMSIZ MÜŞTERİ"))))</f>
        <v/>
      </c>
      <c r="E615" s="61"/>
      <c r="F615" s="61"/>
      <c r="G615" s="60"/>
      <c r="H615" s="66"/>
      <c r="I615" s="66"/>
      <c r="J615" s="60"/>
      <c r="K615" s="60"/>
      <c r="L615" s="61"/>
      <c r="M615" s="61"/>
      <c r="N615" s="61"/>
      <c r="O615" s="66"/>
      <c r="P615" s="76" t="str">
        <f t="shared" ca="1" si="37"/>
        <v/>
      </c>
      <c r="Q615" s="65" t="str">
        <f t="shared" ca="1" si="38"/>
        <v/>
      </c>
      <c r="R615" s="2"/>
      <c r="S615" s="2"/>
      <c r="T615" s="1"/>
      <c r="U615" s="1" t="str">
        <f t="shared" si="39"/>
        <v/>
      </c>
    </row>
    <row r="616" spans="1:21" ht="18" customHeight="1" x14ac:dyDescent="0.3">
      <c r="A616" s="2"/>
      <c r="B616" s="65" t="str">
        <f t="shared" si="36"/>
        <v/>
      </c>
      <c r="C616" s="60"/>
      <c r="D616" s="65" t="str">
        <f>IF($E616="","",IFERROR(INDEX(MUSTERILER!$B$7:$B$156,MATCH($U616,MUSTERILER!$T$7:$T$156,0)),IFERROR(INDEX(MUSTERILER!$B$7:$B$156,MATCH($E616,MUSTERILER!$B$7:$B$156,0)),IFERROR(INDEX(MUSTERILER!$B$7:$B$156,MATCH($U616&amp;"*",MUSTERILER!$T$7:$T$156,0)),"TANIMSIZ MÜŞTERİ"))))</f>
        <v/>
      </c>
      <c r="E616" s="61"/>
      <c r="F616" s="61"/>
      <c r="G616" s="60"/>
      <c r="H616" s="66"/>
      <c r="I616" s="66"/>
      <c r="J616" s="60"/>
      <c r="K616" s="60"/>
      <c r="L616" s="61"/>
      <c r="M616" s="61"/>
      <c r="N616" s="61"/>
      <c r="O616" s="66"/>
      <c r="P616" s="76" t="str">
        <f t="shared" ca="1" si="37"/>
        <v/>
      </c>
      <c r="Q616" s="65" t="str">
        <f t="shared" ca="1" si="38"/>
        <v/>
      </c>
      <c r="R616" s="2"/>
      <c r="S616" s="2"/>
      <c r="T616" s="1"/>
      <c r="U616" s="1" t="str">
        <f t="shared" si="39"/>
        <v/>
      </c>
    </row>
    <row r="617" spans="1:21" ht="18" customHeight="1" x14ac:dyDescent="0.3">
      <c r="A617" s="2"/>
      <c r="B617" s="65" t="str">
        <f t="shared" si="36"/>
        <v/>
      </c>
      <c r="C617" s="60"/>
      <c r="D617" s="65" t="str">
        <f>IF($E617="","",IFERROR(INDEX(MUSTERILER!$B$7:$B$156,MATCH($U617,MUSTERILER!$T$7:$T$156,0)),IFERROR(INDEX(MUSTERILER!$B$7:$B$156,MATCH($E617,MUSTERILER!$B$7:$B$156,0)),IFERROR(INDEX(MUSTERILER!$B$7:$B$156,MATCH($U617&amp;"*",MUSTERILER!$T$7:$T$156,0)),"TANIMSIZ MÜŞTERİ"))))</f>
        <v/>
      </c>
      <c r="E617" s="61"/>
      <c r="F617" s="61"/>
      <c r="G617" s="60"/>
      <c r="H617" s="66"/>
      <c r="I617" s="66"/>
      <c r="J617" s="60"/>
      <c r="K617" s="60"/>
      <c r="L617" s="61"/>
      <c r="M617" s="61"/>
      <c r="N617" s="61"/>
      <c r="O617" s="66"/>
      <c r="P617" s="76" t="str">
        <f t="shared" ca="1" si="37"/>
        <v/>
      </c>
      <c r="Q617" s="65" t="str">
        <f t="shared" ca="1" si="38"/>
        <v/>
      </c>
      <c r="R617" s="2"/>
      <c r="S617" s="2"/>
      <c r="T617" s="1"/>
      <c r="U617" s="1" t="str">
        <f t="shared" si="39"/>
        <v/>
      </c>
    </row>
    <row r="618" spans="1:21" ht="18" customHeight="1" x14ac:dyDescent="0.3">
      <c r="A618" s="2"/>
      <c r="B618" s="65" t="str">
        <f t="shared" si="36"/>
        <v/>
      </c>
      <c r="C618" s="60"/>
      <c r="D618" s="65" t="str">
        <f>IF($E618="","",IFERROR(INDEX(MUSTERILER!$B$7:$B$156,MATCH($U618,MUSTERILER!$T$7:$T$156,0)),IFERROR(INDEX(MUSTERILER!$B$7:$B$156,MATCH($E618,MUSTERILER!$B$7:$B$156,0)),IFERROR(INDEX(MUSTERILER!$B$7:$B$156,MATCH($U618&amp;"*",MUSTERILER!$T$7:$T$156,0)),"TANIMSIZ MÜŞTERİ"))))</f>
        <v/>
      </c>
      <c r="E618" s="61"/>
      <c r="F618" s="61"/>
      <c r="G618" s="60"/>
      <c r="H618" s="66"/>
      <c r="I618" s="66"/>
      <c r="J618" s="60"/>
      <c r="K618" s="60"/>
      <c r="L618" s="61"/>
      <c r="M618" s="61"/>
      <c r="N618" s="61"/>
      <c r="O618" s="66"/>
      <c r="P618" s="76" t="str">
        <f t="shared" ca="1" si="37"/>
        <v/>
      </c>
      <c r="Q618" s="65" t="str">
        <f t="shared" ca="1" si="38"/>
        <v/>
      </c>
      <c r="R618" s="2"/>
      <c r="S618" s="2"/>
      <c r="T618" s="1"/>
      <c r="U618" s="1" t="str">
        <f t="shared" si="39"/>
        <v/>
      </c>
    </row>
    <row r="619" spans="1:21" ht="18" customHeight="1" x14ac:dyDescent="0.3">
      <c r="A619" s="2"/>
      <c r="B619" s="65" t="str">
        <f t="shared" si="36"/>
        <v/>
      </c>
      <c r="C619" s="60"/>
      <c r="D619" s="65" t="str">
        <f>IF($E619="","",IFERROR(INDEX(MUSTERILER!$B$7:$B$156,MATCH($U619,MUSTERILER!$T$7:$T$156,0)),IFERROR(INDEX(MUSTERILER!$B$7:$B$156,MATCH($E619,MUSTERILER!$B$7:$B$156,0)),IFERROR(INDEX(MUSTERILER!$B$7:$B$156,MATCH($U619&amp;"*",MUSTERILER!$T$7:$T$156,0)),"TANIMSIZ MÜŞTERİ"))))</f>
        <v/>
      </c>
      <c r="E619" s="61"/>
      <c r="F619" s="61"/>
      <c r="G619" s="60"/>
      <c r="H619" s="66"/>
      <c r="I619" s="66"/>
      <c r="J619" s="60"/>
      <c r="K619" s="60"/>
      <c r="L619" s="61"/>
      <c r="M619" s="61"/>
      <c r="N619" s="61"/>
      <c r="O619" s="66"/>
      <c r="P619" s="76" t="str">
        <f t="shared" ca="1" si="37"/>
        <v/>
      </c>
      <c r="Q619" s="65" t="str">
        <f t="shared" ca="1" si="38"/>
        <v/>
      </c>
      <c r="R619" s="2"/>
      <c r="S619" s="2"/>
      <c r="T619" s="1"/>
      <c r="U619" s="1" t="str">
        <f t="shared" si="39"/>
        <v/>
      </c>
    </row>
    <row r="620" spans="1:21" ht="18" customHeight="1" x14ac:dyDescent="0.3">
      <c r="A620" s="2"/>
      <c r="B620" s="65" t="str">
        <f t="shared" si="36"/>
        <v/>
      </c>
      <c r="C620" s="60"/>
      <c r="D620" s="65" t="str">
        <f>IF($E620="","",IFERROR(INDEX(MUSTERILER!$B$7:$B$156,MATCH($U620,MUSTERILER!$T$7:$T$156,0)),IFERROR(INDEX(MUSTERILER!$B$7:$B$156,MATCH($E620,MUSTERILER!$B$7:$B$156,0)),IFERROR(INDEX(MUSTERILER!$B$7:$B$156,MATCH($U620&amp;"*",MUSTERILER!$T$7:$T$156,0)),"TANIMSIZ MÜŞTERİ"))))</f>
        <v/>
      </c>
      <c r="E620" s="61"/>
      <c r="F620" s="61"/>
      <c r="G620" s="60"/>
      <c r="H620" s="66"/>
      <c r="I620" s="66"/>
      <c r="J620" s="60"/>
      <c r="K620" s="60"/>
      <c r="L620" s="61"/>
      <c r="M620" s="61"/>
      <c r="N620" s="61"/>
      <c r="O620" s="66"/>
      <c r="P620" s="76" t="str">
        <f t="shared" ca="1" si="37"/>
        <v/>
      </c>
      <c r="Q620" s="65" t="str">
        <f t="shared" ca="1" si="38"/>
        <v/>
      </c>
      <c r="R620" s="2"/>
      <c r="S620" s="2"/>
      <c r="T620" s="1"/>
      <c r="U620" s="1" t="str">
        <f t="shared" si="39"/>
        <v/>
      </c>
    </row>
    <row r="621" spans="1:21" ht="18" customHeight="1" x14ac:dyDescent="0.3">
      <c r="A621" s="2"/>
      <c r="B621" s="65" t="str">
        <f t="shared" si="36"/>
        <v/>
      </c>
      <c r="C621" s="60"/>
      <c r="D621" s="65" t="str">
        <f>IF($E621="","",IFERROR(INDEX(MUSTERILER!$B$7:$B$156,MATCH($U621,MUSTERILER!$T$7:$T$156,0)),IFERROR(INDEX(MUSTERILER!$B$7:$B$156,MATCH($E621,MUSTERILER!$B$7:$B$156,0)),IFERROR(INDEX(MUSTERILER!$B$7:$B$156,MATCH($U621&amp;"*",MUSTERILER!$T$7:$T$156,0)),"TANIMSIZ MÜŞTERİ"))))</f>
        <v/>
      </c>
      <c r="E621" s="61"/>
      <c r="F621" s="61"/>
      <c r="G621" s="60"/>
      <c r="H621" s="66"/>
      <c r="I621" s="66"/>
      <c r="J621" s="60"/>
      <c r="K621" s="60"/>
      <c r="L621" s="61"/>
      <c r="M621" s="61"/>
      <c r="N621" s="61"/>
      <c r="O621" s="66"/>
      <c r="P621" s="76" t="str">
        <f t="shared" ca="1" si="37"/>
        <v/>
      </c>
      <c r="Q621" s="65" t="str">
        <f t="shared" ca="1" si="38"/>
        <v/>
      </c>
      <c r="R621" s="2"/>
      <c r="S621" s="2"/>
      <c r="T621" s="1"/>
      <c r="U621" s="1" t="str">
        <f t="shared" si="39"/>
        <v/>
      </c>
    </row>
    <row r="622" spans="1:21" ht="18" customHeight="1" x14ac:dyDescent="0.3">
      <c r="A622" s="2"/>
      <c r="B622" s="65" t="str">
        <f t="shared" si="36"/>
        <v/>
      </c>
      <c r="C622" s="60"/>
      <c r="D622" s="65" t="str">
        <f>IF($E622="","",IFERROR(INDEX(MUSTERILER!$B$7:$B$156,MATCH($U622,MUSTERILER!$T$7:$T$156,0)),IFERROR(INDEX(MUSTERILER!$B$7:$B$156,MATCH($E622,MUSTERILER!$B$7:$B$156,0)),IFERROR(INDEX(MUSTERILER!$B$7:$B$156,MATCH($U622&amp;"*",MUSTERILER!$T$7:$T$156,0)),"TANIMSIZ MÜŞTERİ"))))</f>
        <v/>
      </c>
      <c r="E622" s="61"/>
      <c r="F622" s="61"/>
      <c r="G622" s="60"/>
      <c r="H622" s="66"/>
      <c r="I622" s="66"/>
      <c r="J622" s="60"/>
      <c r="K622" s="60"/>
      <c r="L622" s="61"/>
      <c r="M622" s="61"/>
      <c r="N622" s="61"/>
      <c r="O622" s="66"/>
      <c r="P622" s="76" t="str">
        <f t="shared" ca="1" si="37"/>
        <v/>
      </c>
      <c r="Q622" s="65" t="str">
        <f t="shared" ca="1" si="38"/>
        <v/>
      </c>
      <c r="R622" s="2"/>
      <c r="S622" s="2"/>
      <c r="T622" s="1"/>
      <c r="U622" s="1" t="str">
        <f t="shared" si="39"/>
        <v/>
      </c>
    </row>
    <row r="623" spans="1:21" ht="18" customHeight="1" x14ac:dyDescent="0.3">
      <c r="A623" s="2"/>
      <c r="B623" s="65" t="str">
        <f t="shared" si="36"/>
        <v/>
      </c>
      <c r="C623" s="60"/>
      <c r="D623" s="65" t="str">
        <f>IF($E623="","",IFERROR(INDEX(MUSTERILER!$B$7:$B$156,MATCH($U623,MUSTERILER!$T$7:$T$156,0)),IFERROR(INDEX(MUSTERILER!$B$7:$B$156,MATCH($E623,MUSTERILER!$B$7:$B$156,0)),IFERROR(INDEX(MUSTERILER!$B$7:$B$156,MATCH($U623&amp;"*",MUSTERILER!$T$7:$T$156,0)),"TANIMSIZ MÜŞTERİ"))))</f>
        <v/>
      </c>
      <c r="E623" s="61"/>
      <c r="F623" s="61"/>
      <c r="G623" s="60"/>
      <c r="H623" s="66"/>
      <c r="I623" s="66"/>
      <c r="J623" s="60"/>
      <c r="K623" s="60"/>
      <c r="L623" s="61"/>
      <c r="M623" s="61"/>
      <c r="N623" s="61"/>
      <c r="O623" s="66"/>
      <c r="P623" s="76" t="str">
        <f t="shared" ca="1" si="37"/>
        <v/>
      </c>
      <c r="Q623" s="65" t="str">
        <f t="shared" ca="1" si="38"/>
        <v/>
      </c>
      <c r="R623" s="2"/>
      <c r="S623" s="2"/>
      <c r="T623" s="1"/>
      <c r="U623" s="1" t="str">
        <f t="shared" si="39"/>
        <v/>
      </c>
    </row>
    <row r="624" spans="1:21" ht="18" customHeight="1" x14ac:dyDescent="0.3">
      <c r="A624" s="2"/>
      <c r="B624" s="65" t="str">
        <f t="shared" si="36"/>
        <v/>
      </c>
      <c r="C624" s="60"/>
      <c r="D624" s="65" t="str">
        <f>IF($E624="","",IFERROR(INDEX(MUSTERILER!$B$7:$B$156,MATCH($U624,MUSTERILER!$T$7:$T$156,0)),IFERROR(INDEX(MUSTERILER!$B$7:$B$156,MATCH($E624,MUSTERILER!$B$7:$B$156,0)),IFERROR(INDEX(MUSTERILER!$B$7:$B$156,MATCH($U624&amp;"*",MUSTERILER!$T$7:$T$156,0)),"TANIMSIZ MÜŞTERİ"))))</f>
        <v/>
      </c>
      <c r="E624" s="61"/>
      <c r="F624" s="61"/>
      <c r="G624" s="60"/>
      <c r="H624" s="66"/>
      <c r="I624" s="66"/>
      <c r="J624" s="60"/>
      <c r="K624" s="60"/>
      <c r="L624" s="61"/>
      <c r="M624" s="61"/>
      <c r="N624" s="61"/>
      <c r="O624" s="66"/>
      <c r="P624" s="76" t="str">
        <f t="shared" ca="1" si="37"/>
        <v/>
      </c>
      <c r="Q624" s="65" t="str">
        <f t="shared" ca="1" si="38"/>
        <v/>
      </c>
      <c r="R624" s="2"/>
      <c r="S624" s="2"/>
      <c r="T624" s="1"/>
      <c r="U624" s="1" t="str">
        <f t="shared" si="39"/>
        <v/>
      </c>
    </row>
    <row r="625" spans="1:21" ht="18" customHeight="1" x14ac:dyDescent="0.3">
      <c r="A625" s="2"/>
      <c r="B625" s="65" t="str">
        <f t="shared" si="36"/>
        <v/>
      </c>
      <c r="C625" s="60"/>
      <c r="D625" s="65" t="str">
        <f>IF($E625="","",IFERROR(INDEX(MUSTERILER!$B$7:$B$156,MATCH($U625,MUSTERILER!$T$7:$T$156,0)),IFERROR(INDEX(MUSTERILER!$B$7:$B$156,MATCH($E625,MUSTERILER!$B$7:$B$156,0)),IFERROR(INDEX(MUSTERILER!$B$7:$B$156,MATCH($U625&amp;"*",MUSTERILER!$T$7:$T$156,0)),"TANIMSIZ MÜŞTERİ"))))</f>
        <v/>
      </c>
      <c r="E625" s="61"/>
      <c r="F625" s="61"/>
      <c r="G625" s="60"/>
      <c r="H625" s="66"/>
      <c r="I625" s="66"/>
      <c r="J625" s="60"/>
      <c r="K625" s="60"/>
      <c r="L625" s="61"/>
      <c r="M625" s="61"/>
      <c r="N625" s="61"/>
      <c r="O625" s="66"/>
      <c r="P625" s="76" t="str">
        <f t="shared" ca="1" si="37"/>
        <v/>
      </c>
      <c r="Q625" s="65" t="str">
        <f t="shared" ca="1" si="38"/>
        <v/>
      </c>
      <c r="R625" s="2"/>
      <c r="S625" s="2"/>
      <c r="T625" s="1"/>
      <c r="U625" s="1" t="str">
        <f t="shared" si="39"/>
        <v/>
      </c>
    </row>
    <row r="626" spans="1:21" ht="18" customHeight="1" x14ac:dyDescent="0.3">
      <c r="A626" s="2"/>
      <c r="B626" s="65" t="str">
        <f t="shared" si="36"/>
        <v/>
      </c>
      <c r="C626" s="60"/>
      <c r="D626" s="65" t="str">
        <f>IF($E626="","",IFERROR(INDEX(MUSTERILER!$B$7:$B$156,MATCH($U626,MUSTERILER!$T$7:$T$156,0)),IFERROR(INDEX(MUSTERILER!$B$7:$B$156,MATCH($E626,MUSTERILER!$B$7:$B$156,0)),IFERROR(INDEX(MUSTERILER!$B$7:$B$156,MATCH($U626&amp;"*",MUSTERILER!$T$7:$T$156,0)),"TANIMSIZ MÜŞTERİ"))))</f>
        <v/>
      </c>
      <c r="E626" s="61"/>
      <c r="F626" s="61"/>
      <c r="G626" s="60"/>
      <c r="H626" s="66"/>
      <c r="I626" s="66"/>
      <c r="J626" s="60"/>
      <c r="K626" s="60"/>
      <c r="L626" s="61"/>
      <c r="M626" s="61"/>
      <c r="N626" s="61"/>
      <c r="O626" s="66"/>
      <c r="P626" s="76" t="str">
        <f t="shared" ca="1" si="37"/>
        <v/>
      </c>
      <c r="Q626" s="65" t="str">
        <f t="shared" ca="1" si="38"/>
        <v/>
      </c>
      <c r="R626" s="2"/>
      <c r="S626" s="2"/>
      <c r="T626" s="1"/>
      <c r="U626" s="1" t="str">
        <f t="shared" si="39"/>
        <v/>
      </c>
    </row>
    <row r="627" spans="1:21" ht="18" customHeight="1" x14ac:dyDescent="0.3">
      <c r="A627" s="2"/>
      <c r="B627" s="65" t="str">
        <f t="shared" si="36"/>
        <v/>
      </c>
      <c r="C627" s="60"/>
      <c r="D627" s="65" t="str">
        <f>IF($E627="","",IFERROR(INDEX(MUSTERILER!$B$7:$B$156,MATCH($U627,MUSTERILER!$T$7:$T$156,0)),IFERROR(INDEX(MUSTERILER!$B$7:$B$156,MATCH($E627,MUSTERILER!$B$7:$B$156,0)),IFERROR(INDEX(MUSTERILER!$B$7:$B$156,MATCH($U627&amp;"*",MUSTERILER!$T$7:$T$156,0)),"TANIMSIZ MÜŞTERİ"))))</f>
        <v/>
      </c>
      <c r="E627" s="61"/>
      <c r="F627" s="61"/>
      <c r="G627" s="60"/>
      <c r="H627" s="66"/>
      <c r="I627" s="66"/>
      <c r="J627" s="60"/>
      <c r="K627" s="60"/>
      <c r="L627" s="61"/>
      <c r="M627" s="61"/>
      <c r="N627" s="61"/>
      <c r="O627" s="66"/>
      <c r="P627" s="76" t="str">
        <f t="shared" ca="1" si="37"/>
        <v/>
      </c>
      <c r="Q627" s="65" t="str">
        <f t="shared" ca="1" si="38"/>
        <v/>
      </c>
      <c r="R627" s="2"/>
      <c r="S627" s="2"/>
      <c r="T627" s="1"/>
      <c r="U627" s="1" t="str">
        <f t="shared" si="39"/>
        <v/>
      </c>
    </row>
    <row r="628" spans="1:21" ht="18" customHeight="1" x14ac:dyDescent="0.3">
      <c r="A628" s="2"/>
      <c r="B628" s="65" t="str">
        <f t="shared" si="36"/>
        <v/>
      </c>
      <c r="C628" s="60"/>
      <c r="D628" s="65" t="str">
        <f>IF($E628="","",IFERROR(INDEX(MUSTERILER!$B$7:$B$156,MATCH($U628,MUSTERILER!$T$7:$T$156,0)),IFERROR(INDEX(MUSTERILER!$B$7:$B$156,MATCH($E628,MUSTERILER!$B$7:$B$156,0)),IFERROR(INDEX(MUSTERILER!$B$7:$B$156,MATCH($U628&amp;"*",MUSTERILER!$T$7:$T$156,0)),"TANIMSIZ MÜŞTERİ"))))</f>
        <v/>
      </c>
      <c r="E628" s="61"/>
      <c r="F628" s="61"/>
      <c r="G628" s="60"/>
      <c r="H628" s="66"/>
      <c r="I628" s="66"/>
      <c r="J628" s="60"/>
      <c r="K628" s="60"/>
      <c r="L628" s="61"/>
      <c r="M628" s="61"/>
      <c r="N628" s="61"/>
      <c r="O628" s="66"/>
      <c r="P628" s="76" t="str">
        <f t="shared" ca="1" si="37"/>
        <v/>
      </c>
      <c r="Q628" s="65" t="str">
        <f t="shared" ca="1" si="38"/>
        <v/>
      </c>
      <c r="R628" s="2"/>
      <c r="S628" s="2"/>
      <c r="T628" s="1"/>
      <c r="U628" s="1" t="str">
        <f t="shared" si="39"/>
        <v/>
      </c>
    </row>
    <row r="629" spans="1:21" ht="18" customHeight="1" x14ac:dyDescent="0.3">
      <c r="A629" s="2"/>
      <c r="B629" s="65" t="str">
        <f t="shared" si="36"/>
        <v/>
      </c>
      <c r="C629" s="60"/>
      <c r="D629" s="65" t="str">
        <f>IF($E629="","",IFERROR(INDEX(MUSTERILER!$B$7:$B$156,MATCH($U629,MUSTERILER!$T$7:$T$156,0)),IFERROR(INDEX(MUSTERILER!$B$7:$B$156,MATCH($E629,MUSTERILER!$B$7:$B$156,0)),IFERROR(INDEX(MUSTERILER!$B$7:$B$156,MATCH($U629&amp;"*",MUSTERILER!$T$7:$T$156,0)),"TANIMSIZ MÜŞTERİ"))))</f>
        <v/>
      </c>
      <c r="E629" s="61"/>
      <c r="F629" s="61"/>
      <c r="G629" s="60"/>
      <c r="H629" s="66"/>
      <c r="I629" s="66"/>
      <c r="J629" s="60"/>
      <c r="K629" s="60"/>
      <c r="L629" s="61"/>
      <c r="M629" s="61"/>
      <c r="N629" s="61"/>
      <c r="O629" s="66"/>
      <c r="P629" s="76" t="str">
        <f t="shared" ca="1" si="37"/>
        <v/>
      </c>
      <c r="Q629" s="65" t="str">
        <f t="shared" ca="1" si="38"/>
        <v/>
      </c>
      <c r="R629" s="2"/>
      <c r="S629" s="2"/>
      <c r="T629" s="1"/>
      <c r="U629" s="1" t="str">
        <f t="shared" si="39"/>
        <v/>
      </c>
    </row>
    <row r="630" spans="1:21" ht="18" customHeight="1" x14ac:dyDescent="0.3">
      <c r="A630" s="2"/>
      <c r="B630" s="65" t="str">
        <f t="shared" si="36"/>
        <v/>
      </c>
      <c r="C630" s="60"/>
      <c r="D630" s="65" t="str">
        <f>IF($E630="","",IFERROR(INDEX(MUSTERILER!$B$7:$B$156,MATCH($U630,MUSTERILER!$T$7:$T$156,0)),IFERROR(INDEX(MUSTERILER!$B$7:$B$156,MATCH($E630,MUSTERILER!$B$7:$B$156,0)),IFERROR(INDEX(MUSTERILER!$B$7:$B$156,MATCH($U630&amp;"*",MUSTERILER!$T$7:$T$156,0)),"TANIMSIZ MÜŞTERİ"))))</f>
        <v/>
      </c>
      <c r="E630" s="61"/>
      <c r="F630" s="61"/>
      <c r="G630" s="60"/>
      <c r="H630" s="66"/>
      <c r="I630" s="66"/>
      <c r="J630" s="60"/>
      <c r="K630" s="60"/>
      <c r="L630" s="61"/>
      <c r="M630" s="61"/>
      <c r="N630" s="61"/>
      <c r="O630" s="66"/>
      <c r="P630" s="76" t="str">
        <f t="shared" ca="1" si="37"/>
        <v/>
      </c>
      <c r="Q630" s="65" t="str">
        <f t="shared" ca="1" si="38"/>
        <v/>
      </c>
      <c r="R630" s="2"/>
      <c r="S630" s="2"/>
      <c r="T630" s="1"/>
      <c r="U630" s="1" t="str">
        <f t="shared" si="39"/>
        <v/>
      </c>
    </row>
    <row r="631" spans="1:21" ht="18" customHeight="1" x14ac:dyDescent="0.3">
      <c r="A631" s="2"/>
      <c r="B631" s="65" t="str">
        <f t="shared" si="36"/>
        <v/>
      </c>
      <c r="C631" s="60"/>
      <c r="D631" s="65" t="str">
        <f>IF($E631="","",IFERROR(INDEX(MUSTERILER!$B$7:$B$156,MATCH($U631,MUSTERILER!$T$7:$T$156,0)),IFERROR(INDEX(MUSTERILER!$B$7:$B$156,MATCH($E631,MUSTERILER!$B$7:$B$156,0)),IFERROR(INDEX(MUSTERILER!$B$7:$B$156,MATCH($U631&amp;"*",MUSTERILER!$T$7:$T$156,0)),"TANIMSIZ MÜŞTERİ"))))</f>
        <v/>
      </c>
      <c r="E631" s="61"/>
      <c r="F631" s="61"/>
      <c r="G631" s="60"/>
      <c r="H631" s="66"/>
      <c r="I631" s="66"/>
      <c r="J631" s="60"/>
      <c r="K631" s="60"/>
      <c r="L631" s="61"/>
      <c r="M631" s="61"/>
      <c r="N631" s="61"/>
      <c r="O631" s="66"/>
      <c r="P631" s="76" t="str">
        <f t="shared" ca="1" si="37"/>
        <v/>
      </c>
      <c r="Q631" s="65" t="str">
        <f t="shared" ca="1" si="38"/>
        <v/>
      </c>
      <c r="R631" s="2"/>
      <c r="S631" s="2"/>
      <c r="T631" s="1"/>
      <c r="U631" s="1" t="str">
        <f t="shared" si="39"/>
        <v/>
      </c>
    </row>
    <row r="632" spans="1:21" ht="18" customHeight="1" x14ac:dyDescent="0.3">
      <c r="A632" s="2"/>
      <c r="B632" s="65" t="str">
        <f t="shared" si="36"/>
        <v/>
      </c>
      <c r="C632" s="60"/>
      <c r="D632" s="65" t="str">
        <f>IF($E632="","",IFERROR(INDEX(MUSTERILER!$B$7:$B$156,MATCH($U632,MUSTERILER!$T$7:$T$156,0)),IFERROR(INDEX(MUSTERILER!$B$7:$B$156,MATCH($E632,MUSTERILER!$B$7:$B$156,0)),IFERROR(INDEX(MUSTERILER!$B$7:$B$156,MATCH($U632&amp;"*",MUSTERILER!$T$7:$T$156,0)),"TANIMSIZ MÜŞTERİ"))))</f>
        <v/>
      </c>
      <c r="E632" s="61"/>
      <c r="F632" s="61"/>
      <c r="G632" s="60"/>
      <c r="H632" s="66"/>
      <c r="I632" s="66"/>
      <c r="J632" s="60"/>
      <c r="K632" s="60"/>
      <c r="L632" s="61"/>
      <c r="M632" s="61"/>
      <c r="N632" s="61"/>
      <c r="O632" s="66"/>
      <c r="P632" s="76" t="str">
        <f t="shared" ca="1" si="37"/>
        <v/>
      </c>
      <c r="Q632" s="65" t="str">
        <f t="shared" ca="1" si="38"/>
        <v/>
      </c>
      <c r="R632" s="2"/>
      <c r="S632" s="2"/>
      <c r="T632" s="1"/>
      <c r="U632" s="1" t="str">
        <f t="shared" si="39"/>
        <v/>
      </c>
    </row>
    <row r="633" spans="1:21" ht="18" customHeight="1" x14ac:dyDescent="0.3">
      <c r="A633" s="2"/>
      <c r="B633" s="65" t="str">
        <f t="shared" si="36"/>
        <v/>
      </c>
      <c r="C633" s="60"/>
      <c r="D633" s="65" t="str">
        <f>IF($E633="","",IFERROR(INDEX(MUSTERILER!$B$7:$B$156,MATCH($U633,MUSTERILER!$T$7:$T$156,0)),IFERROR(INDEX(MUSTERILER!$B$7:$B$156,MATCH($E633,MUSTERILER!$B$7:$B$156,0)),IFERROR(INDEX(MUSTERILER!$B$7:$B$156,MATCH($U633&amp;"*",MUSTERILER!$T$7:$T$156,0)),"TANIMSIZ MÜŞTERİ"))))</f>
        <v/>
      </c>
      <c r="E633" s="61"/>
      <c r="F633" s="61"/>
      <c r="G633" s="60"/>
      <c r="H633" s="66"/>
      <c r="I633" s="66"/>
      <c r="J633" s="60"/>
      <c r="K633" s="60"/>
      <c r="L633" s="61"/>
      <c r="M633" s="61"/>
      <c r="N633" s="61"/>
      <c r="O633" s="66"/>
      <c r="P633" s="76" t="str">
        <f t="shared" ca="1" si="37"/>
        <v/>
      </c>
      <c r="Q633" s="65" t="str">
        <f t="shared" ca="1" si="38"/>
        <v/>
      </c>
      <c r="R633" s="2"/>
      <c r="S633" s="2"/>
      <c r="T633" s="1"/>
      <c r="U633" s="1" t="str">
        <f t="shared" si="39"/>
        <v/>
      </c>
    </row>
    <row r="634" spans="1:21" ht="18" customHeight="1" x14ac:dyDescent="0.3">
      <c r="A634" s="2"/>
      <c r="B634" s="65" t="str">
        <f t="shared" si="36"/>
        <v/>
      </c>
      <c r="C634" s="60"/>
      <c r="D634" s="65" t="str">
        <f>IF($E634="","",IFERROR(INDEX(MUSTERILER!$B$7:$B$156,MATCH($U634,MUSTERILER!$T$7:$T$156,0)),IFERROR(INDEX(MUSTERILER!$B$7:$B$156,MATCH($E634,MUSTERILER!$B$7:$B$156,0)),IFERROR(INDEX(MUSTERILER!$B$7:$B$156,MATCH($U634&amp;"*",MUSTERILER!$T$7:$T$156,0)),"TANIMSIZ MÜŞTERİ"))))</f>
        <v/>
      </c>
      <c r="E634" s="61"/>
      <c r="F634" s="61"/>
      <c r="G634" s="60"/>
      <c r="H634" s="66"/>
      <c r="I634" s="66"/>
      <c r="J634" s="60"/>
      <c r="K634" s="60"/>
      <c r="L634" s="61"/>
      <c r="M634" s="61"/>
      <c r="N634" s="61"/>
      <c r="O634" s="66"/>
      <c r="P634" s="76" t="str">
        <f t="shared" ca="1" si="37"/>
        <v/>
      </c>
      <c r="Q634" s="65" t="str">
        <f t="shared" ca="1" si="38"/>
        <v/>
      </c>
      <c r="R634" s="2"/>
      <c r="S634" s="2"/>
      <c r="T634" s="1"/>
      <c r="U634" s="1" t="str">
        <f t="shared" si="39"/>
        <v/>
      </c>
    </row>
    <row r="635" spans="1:21" ht="18" customHeight="1" x14ac:dyDescent="0.3">
      <c r="A635" s="2"/>
      <c r="B635" s="65" t="str">
        <f t="shared" si="36"/>
        <v/>
      </c>
      <c r="C635" s="60"/>
      <c r="D635" s="65" t="str">
        <f>IF($E635="","",IFERROR(INDEX(MUSTERILER!$B$7:$B$156,MATCH($U635,MUSTERILER!$T$7:$T$156,0)),IFERROR(INDEX(MUSTERILER!$B$7:$B$156,MATCH($E635,MUSTERILER!$B$7:$B$156,0)),IFERROR(INDEX(MUSTERILER!$B$7:$B$156,MATCH($U635&amp;"*",MUSTERILER!$T$7:$T$156,0)),"TANIMSIZ MÜŞTERİ"))))</f>
        <v/>
      </c>
      <c r="E635" s="61"/>
      <c r="F635" s="61"/>
      <c r="G635" s="60"/>
      <c r="H635" s="66"/>
      <c r="I635" s="66"/>
      <c r="J635" s="60"/>
      <c r="K635" s="60"/>
      <c r="L635" s="61"/>
      <c r="M635" s="61"/>
      <c r="N635" s="61"/>
      <c r="O635" s="66"/>
      <c r="P635" s="76" t="str">
        <f t="shared" ca="1" si="37"/>
        <v/>
      </c>
      <c r="Q635" s="65" t="str">
        <f t="shared" ca="1" si="38"/>
        <v/>
      </c>
      <c r="R635" s="2"/>
      <c r="S635" s="2"/>
      <c r="T635" s="1"/>
      <c r="U635" s="1" t="str">
        <f t="shared" si="39"/>
        <v/>
      </c>
    </row>
    <row r="636" spans="1:21" ht="18" customHeight="1" x14ac:dyDescent="0.3">
      <c r="A636" s="2"/>
      <c r="B636" s="65" t="str">
        <f t="shared" si="36"/>
        <v/>
      </c>
      <c r="C636" s="60"/>
      <c r="D636" s="65" t="str">
        <f>IF($E636="","",IFERROR(INDEX(MUSTERILER!$B$7:$B$156,MATCH($U636,MUSTERILER!$T$7:$T$156,0)),IFERROR(INDEX(MUSTERILER!$B$7:$B$156,MATCH($E636,MUSTERILER!$B$7:$B$156,0)),IFERROR(INDEX(MUSTERILER!$B$7:$B$156,MATCH($U636&amp;"*",MUSTERILER!$T$7:$T$156,0)),"TANIMSIZ MÜŞTERİ"))))</f>
        <v/>
      </c>
      <c r="E636" s="61"/>
      <c r="F636" s="61"/>
      <c r="G636" s="60"/>
      <c r="H636" s="66"/>
      <c r="I636" s="66"/>
      <c r="J636" s="60"/>
      <c r="K636" s="60"/>
      <c r="L636" s="61"/>
      <c r="M636" s="61"/>
      <c r="N636" s="61"/>
      <c r="O636" s="66"/>
      <c r="P636" s="76" t="str">
        <f t="shared" ca="1" si="37"/>
        <v/>
      </c>
      <c r="Q636" s="65" t="str">
        <f t="shared" ca="1" si="38"/>
        <v/>
      </c>
      <c r="R636" s="2"/>
      <c r="S636" s="2"/>
      <c r="T636" s="1"/>
      <c r="U636" s="1" t="str">
        <f t="shared" si="39"/>
        <v/>
      </c>
    </row>
    <row r="637" spans="1:21" ht="18" customHeight="1" x14ac:dyDescent="0.3">
      <c r="A637" s="2"/>
      <c r="B637" s="65" t="str">
        <f t="shared" si="36"/>
        <v/>
      </c>
      <c r="C637" s="60"/>
      <c r="D637" s="65" t="str">
        <f>IF($E637="","",IFERROR(INDEX(MUSTERILER!$B$7:$B$156,MATCH($U637,MUSTERILER!$T$7:$T$156,0)),IFERROR(INDEX(MUSTERILER!$B$7:$B$156,MATCH($E637,MUSTERILER!$B$7:$B$156,0)),IFERROR(INDEX(MUSTERILER!$B$7:$B$156,MATCH($U637&amp;"*",MUSTERILER!$T$7:$T$156,0)),"TANIMSIZ MÜŞTERİ"))))</f>
        <v/>
      </c>
      <c r="E637" s="61"/>
      <c r="F637" s="61"/>
      <c r="G637" s="60"/>
      <c r="H637" s="66"/>
      <c r="I637" s="66"/>
      <c r="J637" s="60"/>
      <c r="K637" s="60"/>
      <c r="L637" s="61"/>
      <c r="M637" s="61"/>
      <c r="N637" s="61"/>
      <c r="O637" s="66"/>
      <c r="P637" s="76" t="str">
        <f t="shared" ca="1" si="37"/>
        <v/>
      </c>
      <c r="Q637" s="65" t="str">
        <f t="shared" ca="1" si="38"/>
        <v/>
      </c>
      <c r="R637" s="2"/>
      <c r="S637" s="2"/>
      <c r="T637" s="1"/>
      <c r="U637" s="1" t="str">
        <f t="shared" si="39"/>
        <v/>
      </c>
    </row>
    <row r="638" spans="1:21" ht="18" customHeight="1" x14ac:dyDescent="0.3">
      <c r="A638" s="2"/>
      <c r="B638" s="65" t="str">
        <f t="shared" si="36"/>
        <v/>
      </c>
      <c r="C638" s="60"/>
      <c r="D638" s="65" t="str">
        <f>IF($E638="","",IFERROR(INDEX(MUSTERILER!$B$7:$B$156,MATCH($U638,MUSTERILER!$T$7:$T$156,0)),IFERROR(INDEX(MUSTERILER!$B$7:$B$156,MATCH($E638,MUSTERILER!$B$7:$B$156,0)),IFERROR(INDEX(MUSTERILER!$B$7:$B$156,MATCH($U638&amp;"*",MUSTERILER!$T$7:$T$156,0)),"TANIMSIZ MÜŞTERİ"))))</f>
        <v/>
      </c>
      <c r="E638" s="61"/>
      <c r="F638" s="61"/>
      <c r="G638" s="60"/>
      <c r="H638" s="66"/>
      <c r="I638" s="66"/>
      <c r="J638" s="60"/>
      <c r="K638" s="60"/>
      <c r="L638" s="61"/>
      <c r="M638" s="61"/>
      <c r="N638" s="61"/>
      <c r="O638" s="66"/>
      <c r="P638" s="76" t="str">
        <f t="shared" ca="1" si="37"/>
        <v/>
      </c>
      <c r="Q638" s="65" t="str">
        <f t="shared" ca="1" si="38"/>
        <v/>
      </c>
      <c r="R638" s="2"/>
      <c r="S638" s="2"/>
      <c r="T638" s="1"/>
      <c r="U638" s="1" t="str">
        <f t="shared" si="39"/>
        <v/>
      </c>
    </row>
    <row r="639" spans="1:21" ht="18" customHeight="1" x14ac:dyDescent="0.3">
      <c r="A639" s="2"/>
      <c r="B639" s="65" t="str">
        <f t="shared" si="36"/>
        <v/>
      </c>
      <c r="C639" s="60"/>
      <c r="D639" s="65" t="str">
        <f>IF($E639="","",IFERROR(INDEX(MUSTERILER!$B$7:$B$156,MATCH($U639,MUSTERILER!$T$7:$T$156,0)),IFERROR(INDEX(MUSTERILER!$B$7:$B$156,MATCH($E639,MUSTERILER!$B$7:$B$156,0)),IFERROR(INDEX(MUSTERILER!$B$7:$B$156,MATCH($U639&amp;"*",MUSTERILER!$T$7:$T$156,0)),"TANIMSIZ MÜŞTERİ"))))</f>
        <v/>
      </c>
      <c r="E639" s="61"/>
      <c r="F639" s="61"/>
      <c r="G639" s="60"/>
      <c r="H639" s="66"/>
      <c r="I639" s="66"/>
      <c r="J639" s="60"/>
      <c r="K639" s="60"/>
      <c r="L639" s="61"/>
      <c r="M639" s="61"/>
      <c r="N639" s="61"/>
      <c r="O639" s="66"/>
      <c r="P639" s="76" t="str">
        <f t="shared" ca="1" si="37"/>
        <v/>
      </c>
      <c r="Q639" s="65" t="str">
        <f t="shared" ca="1" si="38"/>
        <v/>
      </c>
      <c r="R639" s="2"/>
      <c r="S639" s="2"/>
      <c r="T639" s="1"/>
      <c r="U639" s="1" t="str">
        <f t="shared" si="39"/>
        <v/>
      </c>
    </row>
    <row r="640" spans="1:21" ht="18" customHeight="1" x14ac:dyDescent="0.3">
      <c r="A640" s="2"/>
      <c r="B640" s="65" t="str">
        <f t="shared" si="36"/>
        <v/>
      </c>
      <c r="C640" s="60"/>
      <c r="D640" s="65" t="str">
        <f>IF($E640="","",IFERROR(INDEX(MUSTERILER!$B$7:$B$156,MATCH($U640,MUSTERILER!$T$7:$T$156,0)),IFERROR(INDEX(MUSTERILER!$B$7:$B$156,MATCH($E640,MUSTERILER!$B$7:$B$156,0)),IFERROR(INDEX(MUSTERILER!$B$7:$B$156,MATCH($U640&amp;"*",MUSTERILER!$T$7:$T$156,0)),"TANIMSIZ MÜŞTERİ"))))</f>
        <v/>
      </c>
      <c r="E640" s="61"/>
      <c r="F640" s="61"/>
      <c r="G640" s="60"/>
      <c r="H640" s="66"/>
      <c r="I640" s="66"/>
      <c r="J640" s="60"/>
      <c r="K640" s="60"/>
      <c r="L640" s="61"/>
      <c r="M640" s="61"/>
      <c r="N640" s="61"/>
      <c r="O640" s="66"/>
      <c r="P640" s="76" t="str">
        <f t="shared" ca="1" si="37"/>
        <v/>
      </c>
      <c r="Q640" s="65" t="str">
        <f t="shared" ca="1" si="38"/>
        <v/>
      </c>
      <c r="R640" s="2"/>
      <c r="S640" s="2"/>
      <c r="T640" s="1"/>
      <c r="U640" s="1" t="str">
        <f t="shared" si="39"/>
        <v/>
      </c>
    </row>
    <row r="641" spans="1:21" ht="18" customHeight="1" x14ac:dyDescent="0.3">
      <c r="A641" s="2"/>
      <c r="B641" s="65" t="str">
        <f t="shared" si="36"/>
        <v/>
      </c>
      <c r="C641" s="60"/>
      <c r="D641" s="65" t="str">
        <f>IF($E641="","",IFERROR(INDEX(MUSTERILER!$B$7:$B$156,MATCH($U641,MUSTERILER!$T$7:$T$156,0)),IFERROR(INDEX(MUSTERILER!$B$7:$B$156,MATCH($E641,MUSTERILER!$B$7:$B$156,0)),IFERROR(INDEX(MUSTERILER!$B$7:$B$156,MATCH($U641&amp;"*",MUSTERILER!$T$7:$T$156,0)),"TANIMSIZ MÜŞTERİ"))))</f>
        <v/>
      </c>
      <c r="E641" s="61"/>
      <c r="F641" s="61"/>
      <c r="G641" s="60"/>
      <c r="H641" s="66"/>
      <c r="I641" s="66"/>
      <c r="J641" s="60"/>
      <c r="K641" s="60"/>
      <c r="L641" s="61"/>
      <c r="M641" s="61"/>
      <c r="N641" s="61"/>
      <c r="O641" s="66"/>
      <c r="P641" s="76" t="str">
        <f t="shared" ca="1" si="37"/>
        <v/>
      </c>
      <c r="Q641" s="65" t="str">
        <f t="shared" ca="1" si="38"/>
        <v/>
      </c>
      <c r="R641" s="2"/>
      <c r="S641" s="2"/>
      <c r="T641" s="1"/>
      <c r="U641" s="1" t="str">
        <f t="shared" si="39"/>
        <v/>
      </c>
    </row>
    <row r="642" spans="1:21" ht="18" customHeight="1" x14ac:dyDescent="0.3">
      <c r="A642" s="2"/>
      <c r="B642" s="65" t="str">
        <f t="shared" si="36"/>
        <v/>
      </c>
      <c r="C642" s="60"/>
      <c r="D642" s="65" t="str">
        <f>IF($E642="","",IFERROR(INDEX(MUSTERILER!$B$7:$B$156,MATCH($U642,MUSTERILER!$T$7:$T$156,0)),IFERROR(INDEX(MUSTERILER!$B$7:$B$156,MATCH($E642,MUSTERILER!$B$7:$B$156,0)),IFERROR(INDEX(MUSTERILER!$B$7:$B$156,MATCH($U642&amp;"*",MUSTERILER!$T$7:$T$156,0)),"TANIMSIZ MÜŞTERİ"))))</f>
        <v/>
      </c>
      <c r="E642" s="61"/>
      <c r="F642" s="61"/>
      <c r="G642" s="60"/>
      <c r="H642" s="66"/>
      <c r="I642" s="66"/>
      <c r="J642" s="60"/>
      <c r="K642" s="60"/>
      <c r="L642" s="61"/>
      <c r="M642" s="61"/>
      <c r="N642" s="61"/>
      <c r="O642" s="66"/>
      <c r="P642" s="76" t="str">
        <f t="shared" ca="1" si="37"/>
        <v/>
      </c>
      <c r="Q642" s="65" t="str">
        <f t="shared" ca="1" si="38"/>
        <v/>
      </c>
      <c r="R642" s="2"/>
      <c r="S642" s="2"/>
      <c r="T642" s="1"/>
      <c r="U642" s="1" t="str">
        <f t="shared" si="39"/>
        <v/>
      </c>
    </row>
    <row r="643" spans="1:21" ht="18" customHeight="1" x14ac:dyDescent="0.3">
      <c r="A643" s="2"/>
      <c r="B643" s="65" t="str">
        <f t="shared" si="36"/>
        <v/>
      </c>
      <c r="C643" s="60"/>
      <c r="D643" s="65" t="str">
        <f>IF($E643="","",IFERROR(INDEX(MUSTERILER!$B$7:$B$156,MATCH($U643,MUSTERILER!$T$7:$T$156,0)),IFERROR(INDEX(MUSTERILER!$B$7:$B$156,MATCH($E643,MUSTERILER!$B$7:$B$156,0)),IFERROR(INDEX(MUSTERILER!$B$7:$B$156,MATCH($U643&amp;"*",MUSTERILER!$T$7:$T$156,0)),"TANIMSIZ MÜŞTERİ"))))</f>
        <v/>
      </c>
      <c r="E643" s="61"/>
      <c r="F643" s="61"/>
      <c r="G643" s="60"/>
      <c r="H643" s="66"/>
      <c r="I643" s="66"/>
      <c r="J643" s="60"/>
      <c r="K643" s="60"/>
      <c r="L643" s="61"/>
      <c r="M643" s="61"/>
      <c r="N643" s="61"/>
      <c r="O643" s="66"/>
      <c r="P643" s="76" t="str">
        <f t="shared" ca="1" si="37"/>
        <v/>
      </c>
      <c r="Q643" s="65" t="str">
        <f t="shared" ca="1" si="38"/>
        <v/>
      </c>
      <c r="R643" s="2"/>
      <c r="S643" s="2"/>
      <c r="T643" s="1"/>
      <c r="U643" s="1" t="str">
        <f t="shared" si="39"/>
        <v/>
      </c>
    </row>
    <row r="644" spans="1:21" ht="18" customHeight="1" x14ac:dyDescent="0.3">
      <c r="A644" s="2"/>
      <c r="B644" s="65" t="str">
        <f t="shared" si="36"/>
        <v/>
      </c>
      <c r="C644" s="60"/>
      <c r="D644" s="65" t="str">
        <f>IF($E644="","",IFERROR(INDEX(MUSTERILER!$B$7:$B$156,MATCH($U644,MUSTERILER!$T$7:$T$156,0)),IFERROR(INDEX(MUSTERILER!$B$7:$B$156,MATCH($E644,MUSTERILER!$B$7:$B$156,0)),IFERROR(INDEX(MUSTERILER!$B$7:$B$156,MATCH($U644&amp;"*",MUSTERILER!$T$7:$T$156,0)),"TANIMSIZ MÜŞTERİ"))))</f>
        <v/>
      </c>
      <c r="E644" s="61"/>
      <c r="F644" s="61"/>
      <c r="G644" s="60"/>
      <c r="H644" s="66"/>
      <c r="I644" s="66"/>
      <c r="J644" s="60"/>
      <c r="K644" s="60"/>
      <c r="L644" s="61"/>
      <c r="M644" s="61"/>
      <c r="N644" s="61"/>
      <c r="O644" s="66"/>
      <c r="P644" s="76" t="str">
        <f t="shared" ca="1" si="37"/>
        <v/>
      </c>
      <c r="Q644" s="65" t="str">
        <f t="shared" ca="1" si="38"/>
        <v/>
      </c>
      <c r="R644" s="2"/>
      <c r="S644" s="2"/>
      <c r="T644" s="1"/>
      <c r="U644" s="1" t="str">
        <f t="shared" si="39"/>
        <v/>
      </c>
    </row>
    <row r="645" spans="1:21" ht="18" customHeight="1" x14ac:dyDescent="0.3">
      <c r="A645" s="2"/>
      <c r="B645" s="65" t="str">
        <f t="shared" si="36"/>
        <v/>
      </c>
      <c r="C645" s="60"/>
      <c r="D645" s="65" t="str">
        <f>IF($E645="","",IFERROR(INDEX(MUSTERILER!$B$7:$B$156,MATCH($U645,MUSTERILER!$T$7:$T$156,0)),IFERROR(INDEX(MUSTERILER!$B$7:$B$156,MATCH($E645,MUSTERILER!$B$7:$B$156,0)),IFERROR(INDEX(MUSTERILER!$B$7:$B$156,MATCH($U645&amp;"*",MUSTERILER!$T$7:$T$156,0)),"TANIMSIZ MÜŞTERİ"))))</f>
        <v/>
      </c>
      <c r="E645" s="61"/>
      <c r="F645" s="61"/>
      <c r="G645" s="60"/>
      <c r="H645" s="66"/>
      <c r="I645" s="66"/>
      <c r="J645" s="60"/>
      <c r="K645" s="60"/>
      <c r="L645" s="61"/>
      <c r="M645" s="61"/>
      <c r="N645" s="61"/>
      <c r="O645" s="66"/>
      <c r="P645" s="76" t="str">
        <f t="shared" ca="1" si="37"/>
        <v/>
      </c>
      <c r="Q645" s="65" t="str">
        <f t="shared" ca="1" si="38"/>
        <v/>
      </c>
      <c r="R645" s="2"/>
      <c r="S645" s="2"/>
      <c r="T645" s="1"/>
      <c r="U645" s="1" t="str">
        <f t="shared" si="39"/>
        <v/>
      </c>
    </row>
    <row r="646" spans="1:21" ht="18" customHeight="1" x14ac:dyDescent="0.3">
      <c r="A646" s="2"/>
      <c r="B646" s="65" t="str">
        <f t="shared" si="36"/>
        <v/>
      </c>
      <c r="C646" s="60"/>
      <c r="D646" s="65" t="str">
        <f>IF($E646="","",IFERROR(INDEX(MUSTERILER!$B$7:$B$156,MATCH($U646,MUSTERILER!$T$7:$T$156,0)),IFERROR(INDEX(MUSTERILER!$B$7:$B$156,MATCH($E646,MUSTERILER!$B$7:$B$156,0)),IFERROR(INDEX(MUSTERILER!$B$7:$B$156,MATCH($U646&amp;"*",MUSTERILER!$T$7:$T$156,0)),"TANIMSIZ MÜŞTERİ"))))</f>
        <v/>
      </c>
      <c r="E646" s="61"/>
      <c r="F646" s="61"/>
      <c r="G646" s="60"/>
      <c r="H646" s="66"/>
      <c r="I646" s="66"/>
      <c r="J646" s="60"/>
      <c r="K646" s="60"/>
      <c r="L646" s="61"/>
      <c r="M646" s="61"/>
      <c r="N646" s="61"/>
      <c r="O646" s="66"/>
      <c r="P646" s="76" t="str">
        <f t="shared" ca="1" si="37"/>
        <v/>
      </c>
      <c r="Q646" s="65" t="str">
        <f t="shared" ca="1" si="38"/>
        <v/>
      </c>
      <c r="R646" s="2"/>
      <c r="S646" s="2"/>
      <c r="T646" s="1"/>
      <c r="U646" s="1" t="str">
        <f t="shared" si="39"/>
        <v/>
      </c>
    </row>
    <row r="647" spans="1:21" ht="18" customHeight="1" x14ac:dyDescent="0.3">
      <c r="A647" s="2"/>
      <c r="B647" s="65" t="str">
        <f t="shared" ref="B647:B710" si="40">IF($E647="","","A"&amp;TEXT(ROW()-6,"00000"))</f>
        <v/>
      </c>
      <c r="C647" s="60"/>
      <c r="D647" s="65" t="str">
        <f>IF($E647="","",IFERROR(INDEX(MUSTERILER!$B$7:$B$156,MATCH($U647,MUSTERILER!$T$7:$T$156,0)),IFERROR(INDEX(MUSTERILER!$B$7:$B$156,MATCH($E647,MUSTERILER!$B$7:$B$156,0)),IFERROR(INDEX(MUSTERILER!$B$7:$B$156,MATCH($U647&amp;"*",MUSTERILER!$T$7:$T$156,0)),"TANIMSIZ MÜŞTERİ"))))</f>
        <v/>
      </c>
      <c r="E647" s="61"/>
      <c r="F647" s="61"/>
      <c r="G647" s="60"/>
      <c r="H647" s="66"/>
      <c r="I647" s="66"/>
      <c r="J647" s="60"/>
      <c r="K647" s="60"/>
      <c r="L647" s="61"/>
      <c r="M647" s="61"/>
      <c r="N647" s="61"/>
      <c r="O647" s="66"/>
      <c r="P647" s="76" t="str">
        <f t="shared" ref="P647:P710" ca="1" si="41">IF(OR($E647="",$I647=""),"",IF(OR($J647="Tamamlandı",$J647="İptal"),"",$I647-TODAY()))</f>
        <v/>
      </c>
      <c r="Q647" s="65" t="str">
        <f t="shared" ref="Q647:Q710" ca="1" si="42"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2"/>
      <c r="S647" s="2"/>
      <c r="T647" s="1"/>
      <c r="U647" s="1" t="str">
        <f t="shared" ref="U647:U710" si="43">IF($E647="","",UPPER(SUBSTITUTE(SUBSTITUTE(SUBSTITUTE(SUBSTITUTE(SUBSTITUTE(SUBSTITUTE(SUBSTITUTE(SUBSTITUTE(SUBSTITUTE(SUBSTITUTE(SUBSTITUTE(SUBSTITUTE(SUBSTITUTE(SUBSTITUTE(SUBSTITUTE(SUBSTITUTE(SUBSTITUTE(SUBSTITUTE(TRIM($E647),"'",""),"İ","I"),"ı","I"),"i","I"),"Ş","S"),"ş","S"),"Ğ","G"),"ğ","G"),"Ü","U"),"ü","U"),"Ö","O"),"ö","O"),"Ç","C"),"ç","C"),".",""),",","")," ",""),"-","")))</f>
        <v/>
      </c>
    </row>
    <row r="648" spans="1:21" ht="18" customHeight="1" x14ac:dyDescent="0.3">
      <c r="A648" s="2"/>
      <c r="B648" s="65" t="str">
        <f t="shared" si="40"/>
        <v/>
      </c>
      <c r="C648" s="60"/>
      <c r="D648" s="65" t="str">
        <f>IF($E648="","",IFERROR(INDEX(MUSTERILER!$B$7:$B$156,MATCH($U648,MUSTERILER!$T$7:$T$156,0)),IFERROR(INDEX(MUSTERILER!$B$7:$B$156,MATCH($E648,MUSTERILER!$B$7:$B$156,0)),IFERROR(INDEX(MUSTERILER!$B$7:$B$156,MATCH($U648&amp;"*",MUSTERILER!$T$7:$T$156,0)),"TANIMSIZ MÜŞTERİ"))))</f>
        <v/>
      </c>
      <c r="E648" s="61"/>
      <c r="F648" s="61"/>
      <c r="G648" s="60"/>
      <c r="H648" s="66"/>
      <c r="I648" s="66"/>
      <c r="J648" s="60"/>
      <c r="K648" s="60"/>
      <c r="L648" s="61"/>
      <c r="M648" s="61"/>
      <c r="N648" s="61"/>
      <c r="O648" s="66"/>
      <c r="P648" s="76" t="str">
        <f t="shared" ca="1" si="41"/>
        <v/>
      </c>
      <c r="Q648" s="65" t="str">
        <f t="shared" ca="1" si="42"/>
        <v/>
      </c>
      <c r="R648" s="2"/>
      <c r="S648" s="2"/>
      <c r="T648" s="1"/>
      <c r="U648" s="1" t="str">
        <f t="shared" si="43"/>
        <v/>
      </c>
    </row>
    <row r="649" spans="1:21" ht="18" customHeight="1" x14ac:dyDescent="0.3">
      <c r="A649" s="2"/>
      <c r="B649" s="65" t="str">
        <f t="shared" si="40"/>
        <v/>
      </c>
      <c r="C649" s="60"/>
      <c r="D649" s="65" t="str">
        <f>IF($E649="","",IFERROR(INDEX(MUSTERILER!$B$7:$B$156,MATCH($U649,MUSTERILER!$T$7:$T$156,0)),IFERROR(INDEX(MUSTERILER!$B$7:$B$156,MATCH($E649,MUSTERILER!$B$7:$B$156,0)),IFERROR(INDEX(MUSTERILER!$B$7:$B$156,MATCH($U649&amp;"*",MUSTERILER!$T$7:$T$156,0)),"TANIMSIZ MÜŞTERİ"))))</f>
        <v/>
      </c>
      <c r="E649" s="61"/>
      <c r="F649" s="61"/>
      <c r="G649" s="60"/>
      <c r="H649" s="66"/>
      <c r="I649" s="66"/>
      <c r="J649" s="60"/>
      <c r="K649" s="60"/>
      <c r="L649" s="61"/>
      <c r="M649" s="61"/>
      <c r="N649" s="61"/>
      <c r="O649" s="66"/>
      <c r="P649" s="76" t="str">
        <f t="shared" ca="1" si="41"/>
        <v/>
      </c>
      <c r="Q649" s="65" t="str">
        <f t="shared" ca="1" si="42"/>
        <v/>
      </c>
      <c r="R649" s="2"/>
      <c r="S649" s="2"/>
      <c r="T649" s="1"/>
      <c r="U649" s="1" t="str">
        <f t="shared" si="43"/>
        <v/>
      </c>
    </row>
    <row r="650" spans="1:21" ht="18" customHeight="1" x14ac:dyDescent="0.3">
      <c r="A650" s="2"/>
      <c r="B650" s="65" t="str">
        <f t="shared" si="40"/>
        <v/>
      </c>
      <c r="C650" s="60"/>
      <c r="D650" s="65" t="str">
        <f>IF($E650="","",IFERROR(INDEX(MUSTERILER!$B$7:$B$156,MATCH($U650,MUSTERILER!$T$7:$T$156,0)),IFERROR(INDEX(MUSTERILER!$B$7:$B$156,MATCH($E650,MUSTERILER!$B$7:$B$156,0)),IFERROR(INDEX(MUSTERILER!$B$7:$B$156,MATCH($U650&amp;"*",MUSTERILER!$T$7:$T$156,0)),"TANIMSIZ MÜŞTERİ"))))</f>
        <v/>
      </c>
      <c r="E650" s="61"/>
      <c r="F650" s="61"/>
      <c r="G650" s="60"/>
      <c r="H650" s="66"/>
      <c r="I650" s="66"/>
      <c r="J650" s="60"/>
      <c r="K650" s="60"/>
      <c r="L650" s="61"/>
      <c r="M650" s="61"/>
      <c r="N650" s="61"/>
      <c r="O650" s="66"/>
      <c r="P650" s="76" t="str">
        <f t="shared" ca="1" si="41"/>
        <v/>
      </c>
      <c r="Q650" s="65" t="str">
        <f t="shared" ca="1" si="42"/>
        <v/>
      </c>
      <c r="R650" s="2"/>
      <c r="S650" s="2"/>
      <c r="T650" s="1"/>
      <c r="U650" s="1" t="str">
        <f t="shared" si="43"/>
        <v/>
      </c>
    </row>
    <row r="651" spans="1:21" ht="18" customHeight="1" x14ac:dyDescent="0.3">
      <c r="A651" s="2"/>
      <c r="B651" s="65" t="str">
        <f t="shared" si="40"/>
        <v/>
      </c>
      <c r="C651" s="60"/>
      <c r="D651" s="65" t="str">
        <f>IF($E651="","",IFERROR(INDEX(MUSTERILER!$B$7:$B$156,MATCH($U651,MUSTERILER!$T$7:$T$156,0)),IFERROR(INDEX(MUSTERILER!$B$7:$B$156,MATCH($E651,MUSTERILER!$B$7:$B$156,0)),IFERROR(INDEX(MUSTERILER!$B$7:$B$156,MATCH($U651&amp;"*",MUSTERILER!$T$7:$T$156,0)),"TANIMSIZ MÜŞTERİ"))))</f>
        <v/>
      </c>
      <c r="E651" s="61"/>
      <c r="F651" s="61"/>
      <c r="G651" s="60"/>
      <c r="H651" s="66"/>
      <c r="I651" s="66"/>
      <c r="J651" s="60"/>
      <c r="K651" s="60"/>
      <c r="L651" s="61"/>
      <c r="M651" s="61"/>
      <c r="N651" s="61"/>
      <c r="O651" s="66"/>
      <c r="P651" s="76" t="str">
        <f t="shared" ca="1" si="41"/>
        <v/>
      </c>
      <c r="Q651" s="65" t="str">
        <f t="shared" ca="1" si="42"/>
        <v/>
      </c>
      <c r="R651" s="2"/>
      <c r="S651" s="2"/>
      <c r="T651" s="1"/>
      <c r="U651" s="1" t="str">
        <f t="shared" si="43"/>
        <v/>
      </c>
    </row>
    <row r="652" spans="1:21" ht="18" customHeight="1" x14ac:dyDescent="0.3">
      <c r="A652" s="2"/>
      <c r="B652" s="65" t="str">
        <f t="shared" si="40"/>
        <v/>
      </c>
      <c r="C652" s="60"/>
      <c r="D652" s="65" t="str">
        <f>IF($E652="","",IFERROR(INDEX(MUSTERILER!$B$7:$B$156,MATCH($U652,MUSTERILER!$T$7:$T$156,0)),IFERROR(INDEX(MUSTERILER!$B$7:$B$156,MATCH($E652,MUSTERILER!$B$7:$B$156,0)),IFERROR(INDEX(MUSTERILER!$B$7:$B$156,MATCH($U652&amp;"*",MUSTERILER!$T$7:$T$156,0)),"TANIMSIZ MÜŞTERİ"))))</f>
        <v/>
      </c>
      <c r="E652" s="61"/>
      <c r="F652" s="61"/>
      <c r="G652" s="60"/>
      <c r="H652" s="66"/>
      <c r="I652" s="66"/>
      <c r="J652" s="60"/>
      <c r="K652" s="60"/>
      <c r="L652" s="61"/>
      <c r="M652" s="61"/>
      <c r="N652" s="61"/>
      <c r="O652" s="66"/>
      <c r="P652" s="76" t="str">
        <f t="shared" ca="1" si="41"/>
        <v/>
      </c>
      <c r="Q652" s="65" t="str">
        <f t="shared" ca="1" si="42"/>
        <v/>
      </c>
      <c r="R652" s="2"/>
      <c r="S652" s="2"/>
      <c r="T652" s="1"/>
      <c r="U652" s="1" t="str">
        <f t="shared" si="43"/>
        <v/>
      </c>
    </row>
    <row r="653" spans="1:21" ht="18" customHeight="1" x14ac:dyDescent="0.3">
      <c r="A653" s="2"/>
      <c r="B653" s="65" t="str">
        <f t="shared" si="40"/>
        <v/>
      </c>
      <c r="C653" s="60"/>
      <c r="D653" s="65" t="str">
        <f>IF($E653="","",IFERROR(INDEX(MUSTERILER!$B$7:$B$156,MATCH($U653,MUSTERILER!$T$7:$T$156,0)),IFERROR(INDEX(MUSTERILER!$B$7:$B$156,MATCH($E653,MUSTERILER!$B$7:$B$156,0)),IFERROR(INDEX(MUSTERILER!$B$7:$B$156,MATCH($U653&amp;"*",MUSTERILER!$T$7:$T$156,0)),"TANIMSIZ MÜŞTERİ"))))</f>
        <v/>
      </c>
      <c r="E653" s="61"/>
      <c r="F653" s="61"/>
      <c r="G653" s="60"/>
      <c r="H653" s="66"/>
      <c r="I653" s="66"/>
      <c r="J653" s="60"/>
      <c r="K653" s="60"/>
      <c r="L653" s="61"/>
      <c r="M653" s="61"/>
      <c r="N653" s="61"/>
      <c r="O653" s="66"/>
      <c r="P653" s="76" t="str">
        <f t="shared" ca="1" si="41"/>
        <v/>
      </c>
      <c r="Q653" s="65" t="str">
        <f t="shared" ca="1" si="42"/>
        <v/>
      </c>
      <c r="R653" s="2"/>
      <c r="S653" s="2"/>
      <c r="T653" s="1"/>
      <c r="U653" s="1" t="str">
        <f t="shared" si="43"/>
        <v/>
      </c>
    </row>
    <row r="654" spans="1:21" ht="18" customHeight="1" x14ac:dyDescent="0.3">
      <c r="A654" s="2"/>
      <c r="B654" s="65" t="str">
        <f t="shared" si="40"/>
        <v/>
      </c>
      <c r="C654" s="60"/>
      <c r="D654" s="65" t="str">
        <f>IF($E654="","",IFERROR(INDEX(MUSTERILER!$B$7:$B$156,MATCH($U654,MUSTERILER!$T$7:$T$156,0)),IFERROR(INDEX(MUSTERILER!$B$7:$B$156,MATCH($E654,MUSTERILER!$B$7:$B$156,0)),IFERROR(INDEX(MUSTERILER!$B$7:$B$156,MATCH($U654&amp;"*",MUSTERILER!$T$7:$T$156,0)),"TANIMSIZ MÜŞTERİ"))))</f>
        <v/>
      </c>
      <c r="E654" s="61"/>
      <c r="F654" s="61"/>
      <c r="G654" s="60"/>
      <c r="H654" s="66"/>
      <c r="I654" s="66"/>
      <c r="J654" s="60"/>
      <c r="K654" s="60"/>
      <c r="L654" s="61"/>
      <c r="M654" s="61"/>
      <c r="N654" s="61"/>
      <c r="O654" s="66"/>
      <c r="P654" s="76" t="str">
        <f t="shared" ca="1" si="41"/>
        <v/>
      </c>
      <c r="Q654" s="65" t="str">
        <f t="shared" ca="1" si="42"/>
        <v/>
      </c>
      <c r="R654" s="2"/>
      <c r="S654" s="2"/>
      <c r="T654" s="1"/>
      <c r="U654" s="1" t="str">
        <f t="shared" si="43"/>
        <v/>
      </c>
    </row>
    <row r="655" spans="1:21" ht="18" customHeight="1" x14ac:dyDescent="0.3">
      <c r="A655" s="2"/>
      <c r="B655" s="65" t="str">
        <f t="shared" si="40"/>
        <v/>
      </c>
      <c r="C655" s="60"/>
      <c r="D655" s="65" t="str">
        <f>IF($E655="","",IFERROR(INDEX(MUSTERILER!$B$7:$B$156,MATCH($U655,MUSTERILER!$T$7:$T$156,0)),IFERROR(INDEX(MUSTERILER!$B$7:$B$156,MATCH($E655,MUSTERILER!$B$7:$B$156,0)),IFERROR(INDEX(MUSTERILER!$B$7:$B$156,MATCH($U655&amp;"*",MUSTERILER!$T$7:$T$156,0)),"TANIMSIZ MÜŞTERİ"))))</f>
        <v/>
      </c>
      <c r="E655" s="61"/>
      <c r="F655" s="61"/>
      <c r="G655" s="60"/>
      <c r="H655" s="66"/>
      <c r="I655" s="66"/>
      <c r="J655" s="60"/>
      <c r="K655" s="60"/>
      <c r="L655" s="61"/>
      <c r="M655" s="61"/>
      <c r="N655" s="61"/>
      <c r="O655" s="66"/>
      <c r="P655" s="76" t="str">
        <f t="shared" ca="1" si="41"/>
        <v/>
      </c>
      <c r="Q655" s="65" t="str">
        <f t="shared" ca="1" si="42"/>
        <v/>
      </c>
      <c r="R655" s="2"/>
      <c r="S655" s="2"/>
      <c r="T655" s="1"/>
      <c r="U655" s="1" t="str">
        <f t="shared" si="43"/>
        <v/>
      </c>
    </row>
    <row r="656" spans="1:21" ht="18" customHeight="1" x14ac:dyDescent="0.3">
      <c r="A656" s="2"/>
      <c r="B656" s="65" t="str">
        <f t="shared" si="40"/>
        <v/>
      </c>
      <c r="C656" s="60"/>
      <c r="D656" s="65" t="str">
        <f>IF($E656="","",IFERROR(INDEX(MUSTERILER!$B$7:$B$156,MATCH($U656,MUSTERILER!$T$7:$T$156,0)),IFERROR(INDEX(MUSTERILER!$B$7:$B$156,MATCH($E656,MUSTERILER!$B$7:$B$156,0)),IFERROR(INDEX(MUSTERILER!$B$7:$B$156,MATCH($U656&amp;"*",MUSTERILER!$T$7:$T$156,0)),"TANIMSIZ MÜŞTERİ"))))</f>
        <v/>
      </c>
      <c r="E656" s="61"/>
      <c r="F656" s="61"/>
      <c r="G656" s="60"/>
      <c r="H656" s="66"/>
      <c r="I656" s="66"/>
      <c r="J656" s="60"/>
      <c r="K656" s="60"/>
      <c r="L656" s="61"/>
      <c r="M656" s="61"/>
      <c r="N656" s="61"/>
      <c r="O656" s="66"/>
      <c r="P656" s="76" t="str">
        <f t="shared" ca="1" si="41"/>
        <v/>
      </c>
      <c r="Q656" s="65" t="str">
        <f t="shared" ca="1" si="42"/>
        <v/>
      </c>
      <c r="R656" s="2"/>
      <c r="S656" s="2"/>
      <c r="T656" s="1"/>
      <c r="U656" s="1" t="str">
        <f t="shared" si="43"/>
        <v/>
      </c>
    </row>
    <row r="657" spans="1:21" ht="18" customHeight="1" x14ac:dyDescent="0.3">
      <c r="A657" s="2"/>
      <c r="B657" s="65" t="str">
        <f t="shared" si="40"/>
        <v/>
      </c>
      <c r="C657" s="60"/>
      <c r="D657" s="65" t="str">
        <f>IF($E657="","",IFERROR(INDEX(MUSTERILER!$B$7:$B$156,MATCH($U657,MUSTERILER!$T$7:$T$156,0)),IFERROR(INDEX(MUSTERILER!$B$7:$B$156,MATCH($E657,MUSTERILER!$B$7:$B$156,0)),IFERROR(INDEX(MUSTERILER!$B$7:$B$156,MATCH($U657&amp;"*",MUSTERILER!$T$7:$T$156,0)),"TANIMSIZ MÜŞTERİ"))))</f>
        <v/>
      </c>
      <c r="E657" s="61"/>
      <c r="F657" s="61"/>
      <c r="G657" s="60"/>
      <c r="H657" s="66"/>
      <c r="I657" s="66"/>
      <c r="J657" s="60"/>
      <c r="K657" s="60"/>
      <c r="L657" s="61"/>
      <c r="M657" s="61"/>
      <c r="N657" s="61"/>
      <c r="O657" s="66"/>
      <c r="P657" s="76" t="str">
        <f t="shared" ca="1" si="41"/>
        <v/>
      </c>
      <c r="Q657" s="65" t="str">
        <f t="shared" ca="1" si="42"/>
        <v/>
      </c>
      <c r="R657" s="2"/>
      <c r="S657" s="2"/>
      <c r="T657" s="1"/>
      <c r="U657" s="1" t="str">
        <f t="shared" si="43"/>
        <v/>
      </c>
    </row>
    <row r="658" spans="1:21" ht="18" customHeight="1" x14ac:dyDescent="0.3">
      <c r="A658" s="2"/>
      <c r="B658" s="65" t="str">
        <f t="shared" si="40"/>
        <v/>
      </c>
      <c r="C658" s="60"/>
      <c r="D658" s="65" t="str">
        <f>IF($E658="","",IFERROR(INDEX(MUSTERILER!$B$7:$B$156,MATCH($U658,MUSTERILER!$T$7:$T$156,0)),IFERROR(INDEX(MUSTERILER!$B$7:$B$156,MATCH($E658,MUSTERILER!$B$7:$B$156,0)),IFERROR(INDEX(MUSTERILER!$B$7:$B$156,MATCH($U658&amp;"*",MUSTERILER!$T$7:$T$156,0)),"TANIMSIZ MÜŞTERİ"))))</f>
        <v/>
      </c>
      <c r="E658" s="61"/>
      <c r="F658" s="61"/>
      <c r="G658" s="60"/>
      <c r="H658" s="66"/>
      <c r="I658" s="66"/>
      <c r="J658" s="60"/>
      <c r="K658" s="60"/>
      <c r="L658" s="61"/>
      <c r="M658" s="61"/>
      <c r="N658" s="61"/>
      <c r="O658" s="66"/>
      <c r="P658" s="76" t="str">
        <f t="shared" ca="1" si="41"/>
        <v/>
      </c>
      <c r="Q658" s="65" t="str">
        <f t="shared" ca="1" si="42"/>
        <v/>
      </c>
      <c r="R658" s="2"/>
      <c r="S658" s="2"/>
      <c r="T658" s="1"/>
      <c r="U658" s="1" t="str">
        <f t="shared" si="43"/>
        <v/>
      </c>
    </row>
    <row r="659" spans="1:21" ht="18" customHeight="1" x14ac:dyDescent="0.3">
      <c r="A659" s="2"/>
      <c r="B659" s="65" t="str">
        <f t="shared" si="40"/>
        <v/>
      </c>
      <c r="C659" s="60"/>
      <c r="D659" s="65" t="str">
        <f>IF($E659="","",IFERROR(INDEX(MUSTERILER!$B$7:$B$156,MATCH($U659,MUSTERILER!$T$7:$T$156,0)),IFERROR(INDEX(MUSTERILER!$B$7:$B$156,MATCH($E659,MUSTERILER!$B$7:$B$156,0)),IFERROR(INDEX(MUSTERILER!$B$7:$B$156,MATCH($U659&amp;"*",MUSTERILER!$T$7:$T$156,0)),"TANIMSIZ MÜŞTERİ"))))</f>
        <v/>
      </c>
      <c r="E659" s="61"/>
      <c r="F659" s="61"/>
      <c r="G659" s="60"/>
      <c r="H659" s="66"/>
      <c r="I659" s="66"/>
      <c r="J659" s="60"/>
      <c r="K659" s="60"/>
      <c r="L659" s="61"/>
      <c r="M659" s="61"/>
      <c r="N659" s="61"/>
      <c r="O659" s="66"/>
      <c r="P659" s="76" t="str">
        <f t="shared" ca="1" si="41"/>
        <v/>
      </c>
      <c r="Q659" s="65" t="str">
        <f t="shared" ca="1" si="42"/>
        <v/>
      </c>
      <c r="R659" s="2"/>
      <c r="S659" s="2"/>
      <c r="T659" s="1"/>
      <c r="U659" s="1" t="str">
        <f t="shared" si="43"/>
        <v/>
      </c>
    </row>
    <row r="660" spans="1:21" ht="18" customHeight="1" x14ac:dyDescent="0.3">
      <c r="A660" s="2"/>
      <c r="B660" s="65" t="str">
        <f t="shared" si="40"/>
        <v/>
      </c>
      <c r="C660" s="60"/>
      <c r="D660" s="65" t="str">
        <f>IF($E660="","",IFERROR(INDEX(MUSTERILER!$B$7:$B$156,MATCH($U660,MUSTERILER!$T$7:$T$156,0)),IFERROR(INDEX(MUSTERILER!$B$7:$B$156,MATCH($E660,MUSTERILER!$B$7:$B$156,0)),IFERROR(INDEX(MUSTERILER!$B$7:$B$156,MATCH($U660&amp;"*",MUSTERILER!$T$7:$T$156,0)),"TANIMSIZ MÜŞTERİ"))))</f>
        <v/>
      </c>
      <c r="E660" s="61"/>
      <c r="F660" s="61"/>
      <c r="G660" s="60"/>
      <c r="H660" s="66"/>
      <c r="I660" s="66"/>
      <c r="J660" s="60"/>
      <c r="K660" s="60"/>
      <c r="L660" s="61"/>
      <c r="M660" s="61"/>
      <c r="N660" s="61"/>
      <c r="O660" s="66"/>
      <c r="P660" s="76" t="str">
        <f t="shared" ca="1" si="41"/>
        <v/>
      </c>
      <c r="Q660" s="65" t="str">
        <f t="shared" ca="1" si="42"/>
        <v/>
      </c>
      <c r="R660" s="2"/>
      <c r="S660" s="2"/>
      <c r="T660" s="1"/>
      <c r="U660" s="1" t="str">
        <f t="shared" si="43"/>
        <v/>
      </c>
    </row>
    <row r="661" spans="1:21" ht="18" customHeight="1" x14ac:dyDescent="0.3">
      <c r="A661" s="2"/>
      <c r="B661" s="65" t="str">
        <f t="shared" si="40"/>
        <v/>
      </c>
      <c r="C661" s="60"/>
      <c r="D661" s="65" t="str">
        <f>IF($E661="","",IFERROR(INDEX(MUSTERILER!$B$7:$B$156,MATCH($U661,MUSTERILER!$T$7:$T$156,0)),IFERROR(INDEX(MUSTERILER!$B$7:$B$156,MATCH($E661,MUSTERILER!$B$7:$B$156,0)),IFERROR(INDEX(MUSTERILER!$B$7:$B$156,MATCH($U661&amp;"*",MUSTERILER!$T$7:$T$156,0)),"TANIMSIZ MÜŞTERİ"))))</f>
        <v/>
      </c>
      <c r="E661" s="61"/>
      <c r="F661" s="61"/>
      <c r="G661" s="60"/>
      <c r="H661" s="66"/>
      <c r="I661" s="66"/>
      <c r="J661" s="60"/>
      <c r="K661" s="60"/>
      <c r="L661" s="61"/>
      <c r="M661" s="61"/>
      <c r="N661" s="61"/>
      <c r="O661" s="66"/>
      <c r="P661" s="76" t="str">
        <f t="shared" ca="1" si="41"/>
        <v/>
      </c>
      <c r="Q661" s="65" t="str">
        <f t="shared" ca="1" si="42"/>
        <v/>
      </c>
      <c r="R661" s="2"/>
      <c r="S661" s="2"/>
      <c r="T661" s="1"/>
      <c r="U661" s="1" t="str">
        <f t="shared" si="43"/>
        <v/>
      </c>
    </row>
    <row r="662" spans="1:21" ht="18" customHeight="1" x14ac:dyDescent="0.3">
      <c r="A662" s="2"/>
      <c r="B662" s="65" t="str">
        <f t="shared" si="40"/>
        <v/>
      </c>
      <c r="C662" s="60"/>
      <c r="D662" s="65" t="str">
        <f>IF($E662="","",IFERROR(INDEX(MUSTERILER!$B$7:$B$156,MATCH($U662,MUSTERILER!$T$7:$T$156,0)),IFERROR(INDEX(MUSTERILER!$B$7:$B$156,MATCH($E662,MUSTERILER!$B$7:$B$156,0)),IFERROR(INDEX(MUSTERILER!$B$7:$B$156,MATCH($U662&amp;"*",MUSTERILER!$T$7:$T$156,0)),"TANIMSIZ MÜŞTERİ"))))</f>
        <v/>
      </c>
      <c r="E662" s="61"/>
      <c r="F662" s="61"/>
      <c r="G662" s="60"/>
      <c r="H662" s="66"/>
      <c r="I662" s="66"/>
      <c r="J662" s="60"/>
      <c r="K662" s="60"/>
      <c r="L662" s="61"/>
      <c r="M662" s="61"/>
      <c r="N662" s="61"/>
      <c r="O662" s="66"/>
      <c r="P662" s="76" t="str">
        <f t="shared" ca="1" si="41"/>
        <v/>
      </c>
      <c r="Q662" s="65" t="str">
        <f t="shared" ca="1" si="42"/>
        <v/>
      </c>
      <c r="R662" s="2"/>
      <c r="S662" s="2"/>
      <c r="T662" s="1"/>
      <c r="U662" s="1" t="str">
        <f t="shared" si="43"/>
        <v/>
      </c>
    </row>
    <row r="663" spans="1:21" ht="18" customHeight="1" x14ac:dyDescent="0.3">
      <c r="A663" s="2"/>
      <c r="B663" s="65" t="str">
        <f t="shared" si="40"/>
        <v/>
      </c>
      <c r="C663" s="60"/>
      <c r="D663" s="65" t="str">
        <f>IF($E663="","",IFERROR(INDEX(MUSTERILER!$B$7:$B$156,MATCH($U663,MUSTERILER!$T$7:$T$156,0)),IFERROR(INDEX(MUSTERILER!$B$7:$B$156,MATCH($E663,MUSTERILER!$B$7:$B$156,0)),IFERROR(INDEX(MUSTERILER!$B$7:$B$156,MATCH($U663&amp;"*",MUSTERILER!$T$7:$T$156,0)),"TANIMSIZ MÜŞTERİ"))))</f>
        <v/>
      </c>
      <c r="E663" s="61"/>
      <c r="F663" s="61"/>
      <c r="G663" s="60"/>
      <c r="H663" s="66"/>
      <c r="I663" s="66"/>
      <c r="J663" s="60"/>
      <c r="K663" s="60"/>
      <c r="L663" s="61"/>
      <c r="M663" s="61"/>
      <c r="N663" s="61"/>
      <c r="O663" s="66"/>
      <c r="P663" s="76" t="str">
        <f t="shared" ca="1" si="41"/>
        <v/>
      </c>
      <c r="Q663" s="65" t="str">
        <f t="shared" ca="1" si="42"/>
        <v/>
      </c>
      <c r="R663" s="2"/>
      <c r="S663" s="2"/>
      <c r="T663" s="1"/>
      <c r="U663" s="1" t="str">
        <f t="shared" si="43"/>
        <v/>
      </c>
    </row>
    <row r="664" spans="1:21" ht="18" customHeight="1" x14ac:dyDescent="0.3">
      <c r="A664" s="2"/>
      <c r="B664" s="65" t="str">
        <f t="shared" si="40"/>
        <v/>
      </c>
      <c r="C664" s="60"/>
      <c r="D664" s="65" t="str">
        <f>IF($E664="","",IFERROR(INDEX(MUSTERILER!$B$7:$B$156,MATCH($U664,MUSTERILER!$T$7:$T$156,0)),IFERROR(INDEX(MUSTERILER!$B$7:$B$156,MATCH($E664,MUSTERILER!$B$7:$B$156,0)),IFERROR(INDEX(MUSTERILER!$B$7:$B$156,MATCH($U664&amp;"*",MUSTERILER!$T$7:$T$156,0)),"TANIMSIZ MÜŞTERİ"))))</f>
        <v/>
      </c>
      <c r="E664" s="61"/>
      <c r="F664" s="61"/>
      <c r="G664" s="60"/>
      <c r="H664" s="66"/>
      <c r="I664" s="66"/>
      <c r="J664" s="60"/>
      <c r="K664" s="60"/>
      <c r="L664" s="61"/>
      <c r="M664" s="61"/>
      <c r="N664" s="61"/>
      <c r="O664" s="66"/>
      <c r="P664" s="76" t="str">
        <f t="shared" ca="1" si="41"/>
        <v/>
      </c>
      <c r="Q664" s="65" t="str">
        <f t="shared" ca="1" si="42"/>
        <v/>
      </c>
      <c r="R664" s="2"/>
      <c r="S664" s="2"/>
      <c r="T664" s="1"/>
      <c r="U664" s="1" t="str">
        <f t="shared" si="43"/>
        <v/>
      </c>
    </row>
    <row r="665" spans="1:21" ht="18" customHeight="1" x14ac:dyDescent="0.3">
      <c r="A665" s="2"/>
      <c r="B665" s="65" t="str">
        <f t="shared" si="40"/>
        <v/>
      </c>
      <c r="C665" s="60"/>
      <c r="D665" s="65" t="str">
        <f>IF($E665="","",IFERROR(INDEX(MUSTERILER!$B$7:$B$156,MATCH($U665,MUSTERILER!$T$7:$T$156,0)),IFERROR(INDEX(MUSTERILER!$B$7:$B$156,MATCH($E665,MUSTERILER!$B$7:$B$156,0)),IFERROR(INDEX(MUSTERILER!$B$7:$B$156,MATCH($U665&amp;"*",MUSTERILER!$T$7:$T$156,0)),"TANIMSIZ MÜŞTERİ"))))</f>
        <v/>
      </c>
      <c r="E665" s="61"/>
      <c r="F665" s="61"/>
      <c r="G665" s="60"/>
      <c r="H665" s="66"/>
      <c r="I665" s="66"/>
      <c r="J665" s="60"/>
      <c r="K665" s="60"/>
      <c r="L665" s="61"/>
      <c r="M665" s="61"/>
      <c r="N665" s="61"/>
      <c r="O665" s="66"/>
      <c r="P665" s="76" t="str">
        <f t="shared" ca="1" si="41"/>
        <v/>
      </c>
      <c r="Q665" s="65" t="str">
        <f t="shared" ca="1" si="42"/>
        <v/>
      </c>
      <c r="R665" s="2"/>
      <c r="S665" s="2"/>
      <c r="T665" s="1"/>
      <c r="U665" s="1" t="str">
        <f t="shared" si="43"/>
        <v/>
      </c>
    </row>
    <row r="666" spans="1:21" ht="18" customHeight="1" x14ac:dyDescent="0.3">
      <c r="A666" s="2"/>
      <c r="B666" s="65" t="str">
        <f t="shared" si="40"/>
        <v/>
      </c>
      <c r="C666" s="60"/>
      <c r="D666" s="65" t="str">
        <f>IF($E666="","",IFERROR(INDEX(MUSTERILER!$B$7:$B$156,MATCH($U666,MUSTERILER!$T$7:$T$156,0)),IFERROR(INDEX(MUSTERILER!$B$7:$B$156,MATCH($E666,MUSTERILER!$B$7:$B$156,0)),IFERROR(INDEX(MUSTERILER!$B$7:$B$156,MATCH($U666&amp;"*",MUSTERILER!$T$7:$T$156,0)),"TANIMSIZ MÜŞTERİ"))))</f>
        <v/>
      </c>
      <c r="E666" s="61"/>
      <c r="F666" s="61"/>
      <c r="G666" s="60"/>
      <c r="H666" s="66"/>
      <c r="I666" s="66"/>
      <c r="J666" s="60"/>
      <c r="K666" s="60"/>
      <c r="L666" s="61"/>
      <c r="M666" s="61"/>
      <c r="N666" s="61"/>
      <c r="O666" s="66"/>
      <c r="P666" s="76" t="str">
        <f t="shared" ca="1" si="41"/>
        <v/>
      </c>
      <c r="Q666" s="65" t="str">
        <f t="shared" ca="1" si="42"/>
        <v/>
      </c>
      <c r="R666" s="2"/>
      <c r="S666" s="2"/>
      <c r="T666" s="1"/>
      <c r="U666" s="1" t="str">
        <f t="shared" si="43"/>
        <v/>
      </c>
    </row>
    <row r="667" spans="1:21" ht="18" customHeight="1" x14ac:dyDescent="0.3">
      <c r="A667" s="2"/>
      <c r="B667" s="65" t="str">
        <f t="shared" si="40"/>
        <v/>
      </c>
      <c r="C667" s="60"/>
      <c r="D667" s="65" t="str">
        <f>IF($E667="","",IFERROR(INDEX(MUSTERILER!$B$7:$B$156,MATCH($U667,MUSTERILER!$T$7:$T$156,0)),IFERROR(INDEX(MUSTERILER!$B$7:$B$156,MATCH($E667,MUSTERILER!$B$7:$B$156,0)),IFERROR(INDEX(MUSTERILER!$B$7:$B$156,MATCH($U667&amp;"*",MUSTERILER!$T$7:$T$156,0)),"TANIMSIZ MÜŞTERİ"))))</f>
        <v/>
      </c>
      <c r="E667" s="61"/>
      <c r="F667" s="61"/>
      <c r="G667" s="60"/>
      <c r="H667" s="66"/>
      <c r="I667" s="66"/>
      <c r="J667" s="60"/>
      <c r="K667" s="60"/>
      <c r="L667" s="61"/>
      <c r="M667" s="61"/>
      <c r="N667" s="61"/>
      <c r="O667" s="66"/>
      <c r="P667" s="76" t="str">
        <f t="shared" ca="1" si="41"/>
        <v/>
      </c>
      <c r="Q667" s="65" t="str">
        <f t="shared" ca="1" si="42"/>
        <v/>
      </c>
      <c r="R667" s="2"/>
      <c r="S667" s="2"/>
      <c r="T667" s="1"/>
      <c r="U667" s="1" t="str">
        <f t="shared" si="43"/>
        <v/>
      </c>
    </row>
    <row r="668" spans="1:21" ht="18" customHeight="1" x14ac:dyDescent="0.3">
      <c r="A668" s="2"/>
      <c r="B668" s="65" t="str">
        <f t="shared" si="40"/>
        <v/>
      </c>
      <c r="C668" s="60"/>
      <c r="D668" s="65" t="str">
        <f>IF($E668="","",IFERROR(INDEX(MUSTERILER!$B$7:$B$156,MATCH($U668,MUSTERILER!$T$7:$T$156,0)),IFERROR(INDEX(MUSTERILER!$B$7:$B$156,MATCH($E668,MUSTERILER!$B$7:$B$156,0)),IFERROR(INDEX(MUSTERILER!$B$7:$B$156,MATCH($U668&amp;"*",MUSTERILER!$T$7:$T$156,0)),"TANIMSIZ MÜŞTERİ"))))</f>
        <v/>
      </c>
      <c r="E668" s="61"/>
      <c r="F668" s="61"/>
      <c r="G668" s="60"/>
      <c r="H668" s="66"/>
      <c r="I668" s="66"/>
      <c r="J668" s="60"/>
      <c r="K668" s="60"/>
      <c r="L668" s="61"/>
      <c r="M668" s="61"/>
      <c r="N668" s="61"/>
      <c r="O668" s="66"/>
      <c r="P668" s="76" t="str">
        <f t="shared" ca="1" si="41"/>
        <v/>
      </c>
      <c r="Q668" s="65" t="str">
        <f t="shared" ca="1" si="42"/>
        <v/>
      </c>
      <c r="R668" s="2"/>
      <c r="S668" s="2"/>
      <c r="T668" s="1"/>
      <c r="U668" s="1" t="str">
        <f t="shared" si="43"/>
        <v/>
      </c>
    </row>
    <row r="669" spans="1:21" ht="18" customHeight="1" x14ac:dyDescent="0.3">
      <c r="A669" s="2"/>
      <c r="B669" s="65" t="str">
        <f t="shared" si="40"/>
        <v/>
      </c>
      <c r="C669" s="60"/>
      <c r="D669" s="65" t="str">
        <f>IF($E669="","",IFERROR(INDEX(MUSTERILER!$B$7:$B$156,MATCH($U669,MUSTERILER!$T$7:$T$156,0)),IFERROR(INDEX(MUSTERILER!$B$7:$B$156,MATCH($E669,MUSTERILER!$B$7:$B$156,0)),IFERROR(INDEX(MUSTERILER!$B$7:$B$156,MATCH($U669&amp;"*",MUSTERILER!$T$7:$T$156,0)),"TANIMSIZ MÜŞTERİ"))))</f>
        <v/>
      </c>
      <c r="E669" s="61"/>
      <c r="F669" s="61"/>
      <c r="G669" s="60"/>
      <c r="H669" s="66"/>
      <c r="I669" s="66"/>
      <c r="J669" s="60"/>
      <c r="K669" s="60"/>
      <c r="L669" s="61"/>
      <c r="M669" s="61"/>
      <c r="N669" s="61"/>
      <c r="O669" s="66"/>
      <c r="P669" s="76" t="str">
        <f t="shared" ca="1" si="41"/>
        <v/>
      </c>
      <c r="Q669" s="65" t="str">
        <f t="shared" ca="1" si="42"/>
        <v/>
      </c>
      <c r="R669" s="2"/>
      <c r="S669" s="2"/>
      <c r="T669" s="1"/>
      <c r="U669" s="1" t="str">
        <f t="shared" si="43"/>
        <v/>
      </c>
    </row>
    <row r="670" spans="1:21" ht="18" customHeight="1" x14ac:dyDescent="0.3">
      <c r="A670" s="2"/>
      <c r="B670" s="65" t="str">
        <f t="shared" si="40"/>
        <v/>
      </c>
      <c r="C670" s="60"/>
      <c r="D670" s="65" t="str">
        <f>IF($E670="","",IFERROR(INDEX(MUSTERILER!$B$7:$B$156,MATCH($U670,MUSTERILER!$T$7:$T$156,0)),IFERROR(INDEX(MUSTERILER!$B$7:$B$156,MATCH($E670,MUSTERILER!$B$7:$B$156,0)),IFERROR(INDEX(MUSTERILER!$B$7:$B$156,MATCH($U670&amp;"*",MUSTERILER!$T$7:$T$156,0)),"TANIMSIZ MÜŞTERİ"))))</f>
        <v/>
      </c>
      <c r="E670" s="61"/>
      <c r="F670" s="61"/>
      <c r="G670" s="60"/>
      <c r="H670" s="66"/>
      <c r="I670" s="66"/>
      <c r="J670" s="60"/>
      <c r="K670" s="60"/>
      <c r="L670" s="61"/>
      <c r="M670" s="61"/>
      <c r="N670" s="61"/>
      <c r="O670" s="66"/>
      <c r="P670" s="76" t="str">
        <f t="shared" ca="1" si="41"/>
        <v/>
      </c>
      <c r="Q670" s="65" t="str">
        <f t="shared" ca="1" si="42"/>
        <v/>
      </c>
      <c r="R670" s="2"/>
      <c r="S670" s="2"/>
      <c r="T670" s="1"/>
      <c r="U670" s="1" t="str">
        <f t="shared" si="43"/>
        <v/>
      </c>
    </row>
    <row r="671" spans="1:21" ht="18" customHeight="1" x14ac:dyDescent="0.3">
      <c r="A671" s="2"/>
      <c r="B671" s="65" t="str">
        <f t="shared" si="40"/>
        <v/>
      </c>
      <c r="C671" s="60"/>
      <c r="D671" s="65" t="str">
        <f>IF($E671="","",IFERROR(INDEX(MUSTERILER!$B$7:$B$156,MATCH($U671,MUSTERILER!$T$7:$T$156,0)),IFERROR(INDEX(MUSTERILER!$B$7:$B$156,MATCH($E671,MUSTERILER!$B$7:$B$156,0)),IFERROR(INDEX(MUSTERILER!$B$7:$B$156,MATCH($U671&amp;"*",MUSTERILER!$T$7:$T$156,0)),"TANIMSIZ MÜŞTERİ"))))</f>
        <v/>
      </c>
      <c r="E671" s="61"/>
      <c r="F671" s="61"/>
      <c r="G671" s="60"/>
      <c r="H671" s="66"/>
      <c r="I671" s="66"/>
      <c r="J671" s="60"/>
      <c r="K671" s="60"/>
      <c r="L671" s="61"/>
      <c r="M671" s="61"/>
      <c r="N671" s="61"/>
      <c r="O671" s="66"/>
      <c r="P671" s="76" t="str">
        <f t="shared" ca="1" si="41"/>
        <v/>
      </c>
      <c r="Q671" s="65" t="str">
        <f t="shared" ca="1" si="42"/>
        <v/>
      </c>
      <c r="R671" s="2"/>
      <c r="S671" s="2"/>
      <c r="T671" s="1"/>
      <c r="U671" s="1" t="str">
        <f t="shared" si="43"/>
        <v/>
      </c>
    </row>
    <row r="672" spans="1:21" ht="18" customHeight="1" x14ac:dyDescent="0.3">
      <c r="A672" s="2"/>
      <c r="B672" s="65" t="str">
        <f t="shared" si="40"/>
        <v/>
      </c>
      <c r="C672" s="60"/>
      <c r="D672" s="65" t="str">
        <f>IF($E672="","",IFERROR(INDEX(MUSTERILER!$B$7:$B$156,MATCH($U672,MUSTERILER!$T$7:$T$156,0)),IFERROR(INDEX(MUSTERILER!$B$7:$B$156,MATCH($E672,MUSTERILER!$B$7:$B$156,0)),IFERROR(INDEX(MUSTERILER!$B$7:$B$156,MATCH($U672&amp;"*",MUSTERILER!$T$7:$T$156,0)),"TANIMSIZ MÜŞTERİ"))))</f>
        <v/>
      </c>
      <c r="E672" s="61"/>
      <c r="F672" s="61"/>
      <c r="G672" s="60"/>
      <c r="H672" s="66"/>
      <c r="I672" s="66"/>
      <c r="J672" s="60"/>
      <c r="K672" s="60"/>
      <c r="L672" s="61"/>
      <c r="M672" s="61"/>
      <c r="N672" s="61"/>
      <c r="O672" s="66"/>
      <c r="P672" s="76" t="str">
        <f t="shared" ca="1" si="41"/>
        <v/>
      </c>
      <c r="Q672" s="65" t="str">
        <f t="shared" ca="1" si="42"/>
        <v/>
      </c>
      <c r="R672" s="2"/>
      <c r="S672" s="2"/>
      <c r="T672" s="1"/>
      <c r="U672" s="1" t="str">
        <f t="shared" si="43"/>
        <v/>
      </c>
    </row>
    <row r="673" spans="1:21" ht="18" customHeight="1" x14ac:dyDescent="0.3">
      <c r="A673" s="2"/>
      <c r="B673" s="65" t="str">
        <f t="shared" si="40"/>
        <v/>
      </c>
      <c r="C673" s="60"/>
      <c r="D673" s="65" t="str">
        <f>IF($E673="","",IFERROR(INDEX(MUSTERILER!$B$7:$B$156,MATCH($U673,MUSTERILER!$T$7:$T$156,0)),IFERROR(INDEX(MUSTERILER!$B$7:$B$156,MATCH($E673,MUSTERILER!$B$7:$B$156,0)),IFERROR(INDEX(MUSTERILER!$B$7:$B$156,MATCH($U673&amp;"*",MUSTERILER!$T$7:$T$156,0)),"TANIMSIZ MÜŞTERİ"))))</f>
        <v/>
      </c>
      <c r="E673" s="61"/>
      <c r="F673" s="61"/>
      <c r="G673" s="60"/>
      <c r="H673" s="66"/>
      <c r="I673" s="66"/>
      <c r="J673" s="60"/>
      <c r="K673" s="60"/>
      <c r="L673" s="61"/>
      <c r="M673" s="61"/>
      <c r="N673" s="61"/>
      <c r="O673" s="66"/>
      <c r="P673" s="76" t="str">
        <f t="shared" ca="1" si="41"/>
        <v/>
      </c>
      <c r="Q673" s="65" t="str">
        <f t="shared" ca="1" si="42"/>
        <v/>
      </c>
      <c r="R673" s="2"/>
      <c r="S673" s="2"/>
      <c r="T673" s="1"/>
      <c r="U673" s="1" t="str">
        <f t="shared" si="43"/>
        <v/>
      </c>
    </row>
    <row r="674" spans="1:21" ht="18" customHeight="1" x14ac:dyDescent="0.3">
      <c r="A674" s="2"/>
      <c r="B674" s="65" t="str">
        <f t="shared" si="40"/>
        <v/>
      </c>
      <c r="C674" s="60"/>
      <c r="D674" s="65" t="str">
        <f>IF($E674="","",IFERROR(INDEX(MUSTERILER!$B$7:$B$156,MATCH($U674,MUSTERILER!$T$7:$T$156,0)),IFERROR(INDEX(MUSTERILER!$B$7:$B$156,MATCH($E674,MUSTERILER!$B$7:$B$156,0)),IFERROR(INDEX(MUSTERILER!$B$7:$B$156,MATCH($U674&amp;"*",MUSTERILER!$T$7:$T$156,0)),"TANIMSIZ MÜŞTERİ"))))</f>
        <v/>
      </c>
      <c r="E674" s="61"/>
      <c r="F674" s="61"/>
      <c r="G674" s="60"/>
      <c r="H674" s="66"/>
      <c r="I674" s="66"/>
      <c r="J674" s="60"/>
      <c r="K674" s="60"/>
      <c r="L674" s="61"/>
      <c r="M674" s="61"/>
      <c r="N674" s="61"/>
      <c r="O674" s="66"/>
      <c r="P674" s="76" t="str">
        <f t="shared" ca="1" si="41"/>
        <v/>
      </c>
      <c r="Q674" s="65" t="str">
        <f t="shared" ca="1" si="42"/>
        <v/>
      </c>
      <c r="R674" s="2"/>
      <c r="S674" s="2"/>
      <c r="T674" s="1"/>
      <c r="U674" s="1" t="str">
        <f t="shared" si="43"/>
        <v/>
      </c>
    </row>
    <row r="675" spans="1:21" ht="18" customHeight="1" x14ac:dyDescent="0.3">
      <c r="A675" s="2"/>
      <c r="B675" s="65" t="str">
        <f t="shared" si="40"/>
        <v/>
      </c>
      <c r="C675" s="60"/>
      <c r="D675" s="65" t="str">
        <f>IF($E675="","",IFERROR(INDEX(MUSTERILER!$B$7:$B$156,MATCH($U675,MUSTERILER!$T$7:$T$156,0)),IFERROR(INDEX(MUSTERILER!$B$7:$B$156,MATCH($E675,MUSTERILER!$B$7:$B$156,0)),IFERROR(INDEX(MUSTERILER!$B$7:$B$156,MATCH($U675&amp;"*",MUSTERILER!$T$7:$T$156,0)),"TANIMSIZ MÜŞTERİ"))))</f>
        <v/>
      </c>
      <c r="E675" s="61"/>
      <c r="F675" s="61"/>
      <c r="G675" s="60"/>
      <c r="H675" s="66"/>
      <c r="I675" s="66"/>
      <c r="J675" s="60"/>
      <c r="K675" s="60"/>
      <c r="L675" s="61"/>
      <c r="M675" s="61"/>
      <c r="N675" s="61"/>
      <c r="O675" s="66"/>
      <c r="P675" s="76" t="str">
        <f t="shared" ca="1" si="41"/>
        <v/>
      </c>
      <c r="Q675" s="65" t="str">
        <f t="shared" ca="1" si="42"/>
        <v/>
      </c>
      <c r="R675" s="2"/>
      <c r="S675" s="2"/>
      <c r="T675" s="1"/>
      <c r="U675" s="1" t="str">
        <f t="shared" si="43"/>
        <v/>
      </c>
    </row>
    <row r="676" spans="1:21" ht="18" customHeight="1" x14ac:dyDescent="0.3">
      <c r="A676" s="2"/>
      <c r="B676" s="65" t="str">
        <f t="shared" si="40"/>
        <v/>
      </c>
      <c r="C676" s="60"/>
      <c r="D676" s="65" t="str">
        <f>IF($E676="","",IFERROR(INDEX(MUSTERILER!$B$7:$B$156,MATCH($U676,MUSTERILER!$T$7:$T$156,0)),IFERROR(INDEX(MUSTERILER!$B$7:$B$156,MATCH($E676,MUSTERILER!$B$7:$B$156,0)),IFERROR(INDEX(MUSTERILER!$B$7:$B$156,MATCH($U676&amp;"*",MUSTERILER!$T$7:$T$156,0)),"TANIMSIZ MÜŞTERİ"))))</f>
        <v/>
      </c>
      <c r="E676" s="61"/>
      <c r="F676" s="61"/>
      <c r="G676" s="60"/>
      <c r="H676" s="66"/>
      <c r="I676" s="66"/>
      <c r="J676" s="60"/>
      <c r="K676" s="60"/>
      <c r="L676" s="61"/>
      <c r="M676" s="61"/>
      <c r="N676" s="61"/>
      <c r="O676" s="66"/>
      <c r="P676" s="76" t="str">
        <f t="shared" ca="1" si="41"/>
        <v/>
      </c>
      <c r="Q676" s="65" t="str">
        <f t="shared" ca="1" si="42"/>
        <v/>
      </c>
      <c r="R676" s="2"/>
      <c r="S676" s="2"/>
      <c r="T676" s="1"/>
      <c r="U676" s="1" t="str">
        <f t="shared" si="43"/>
        <v/>
      </c>
    </row>
    <row r="677" spans="1:21" ht="18" customHeight="1" x14ac:dyDescent="0.3">
      <c r="A677" s="2"/>
      <c r="B677" s="65" t="str">
        <f t="shared" si="40"/>
        <v/>
      </c>
      <c r="C677" s="60"/>
      <c r="D677" s="65" t="str">
        <f>IF($E677="","",IFERROR(INDEX(MUSTERILER!$B$7:$B$156,MATCH($U677,MUSTERILER!$T$7:$T$156,0)),IFERROR(INDEX(MUSTERILER!$B$7:$B$156,MATCH($E677,MUSTERILER!$B$7:$B$156,0)),IFERROR(INDEX(MUSTERILER!$B$7:$B$156,MATCH($U677&amp;"*",MUSTERILER!$T$7:$T$156,0)),"TANIMSIZ MÜŞTERİ"))))</f>
        <v/>
      </c>
      <c r="E677" s="61"/>
      <c r="F677" s="61"/>
      <c r="G677" s="60"/>
      <c r="H677" s="66"/>
      <c r="I677" s="66"/>
      <c r="J677" s="60"/>
      <c r="K677" s="60"/>
      <c r="L677" s="61"/>
      <c r="M677" s="61"/>
      <c r="N677" s="61"/>
      <c r="O677" s="66"/>
      <c r="P677" s="76" t="str">
        <f t="shared" ca="1" si="41"/>
        <v/>
      </c>
      <c r="Q677" s="65" t="str">
        <f t="shared" ca="1" si="42"/>
        <v/>
      </c>
      <c r="R677" s="2"/>
      <c r="S677" s="2"/>
      <c r="T677" s="1"/>
      <c r="U677" s="1" t="str">
        <f t="shared" si="43"/>
        <v/>
      </c>
    </row>
    <row r="678" spans="1:21" ht="18" customHeight="1" x14ac:dyDescent="0.3">
      <c r="A678" s="2"/>
      <c r="B678" s="65" t="str">
        <f t="shared" si="40"/>
        <v/>
      </c>
      <c r="C678" s="60"/>
      <c r="D678" s="65" t="str">
        <f>IF($E678="","",IFERROR(INDEX(MUSTERILER!$B$7:$B$156,MATCH($U678,MUSTERILER!$T$7:$T$156,0)),IFERROR(INDEX(MUSTERILER!$B$7:$B$156,MATCH($E678,MUSTERILER!$B$7:$B$156,0)),IFERROR(INDEX(MUSTERILER!$B$7:$B$156,MATCH($U678&amp;"*",MUSTERILER!$T$7:$T$156,0)),"TANIMSIZ MÜŞTERİ"))))</f>
        <v/>
      </c>
      <c r="E678" s="61"/>
      <c r="F678" s="61"/>
      <c r="G678" s="60"/>
      <c r="H678" s="66"/>
      <c r="I678" s="66"/>
      <c r="J678" s="60"/>
      <c r="K678" s="60"/>
      <c r="L678" s="61"/>
      <c r="M678" s="61"/>
      <c r="N678" s="61"/>
      <c r="O678" s="66"/>
      <c r="P678" s="76" t="str">
        <f t="shared" ca="1" si="41"/>
        <v/>
      </c>
      <c r="Q678" s="65" t="str">
        <f t="shared" ca="1" si="42"/>
        <v/>
      </c>
      <c r="R678" s="2"/>
      <c r="S678" s="2"/>
      <c r="T678" s="1"/>
      <c r="U678" s="1" t="str">
        <f t="shared" si="43"/>
        <v/>
      </c>
    </row>
    <row r="679" spans="1:21" ht="18" customHeight="1" x14ac:dyDescent="0.3">
      <c r="A679" s="2"/>
      <c r="B679" s="65" t="str">
        <f t="shared" si="40"/>
        <v/>
      </c>
      <c r="C679" s="60"/>
      <c r="D679" s="65" t="str">
        <f>IF($E679="","",IFERROR(INDEX(MUSTERILER!$B$7:$B$156,MATCH($U679,MUSTERILER!$T$7:$T$156,0)),IFERROR(INDEX(MUSTERILER!$B$7:$B$156,MATCH($E679,MUSTERILER!$B$7:$B$156,0)),IFERROR(INDEX(MUSTERILER!$B$7:$B$156,MATCH($U679&amp;"*",MUSTERILER!$T$7:$T$156,0)),"TANIMSIZ MÜŞTERİ"))))</f>
        <v/>
      </c>
      <c r="E679" s="61"/>
      <c r="F679" s="61"/>
      <c r="G679" s="60"/>
      <c r="H679" s="66"/>
      <c r="I679" s="66"/>
      <c r="J679" s="60"/>
      <c r="K679" s="60"/>
      <c r="L679" s="61"/>
      <c r="M679" s="61"/>
      <c r="N679" s="61"/>
      <c r="O679" s="66"/>
      <c r="P679" s="76" t="str">
        <f t="shared" ca="1" si="41"/>
        <v/>
      </c>
      <c r="Q679" s="65" t="str">
        <f t="shared" ca="1" si="42"/>
        <v/>
      </c>
      <c r="R679" s="2"/>
      <c r="S679" s="2"/>
      <c r="T679" s="1"/>
      <c r="U679" s="1" t="str">
        <f t="shared" si="43"/>
        <v/>
      </c>
    </row>
    <row r="680" spans="1:21" ht="18" customHeight="1" x14ac:dyDescent="0.3">
      <c r="A680" s="2"/>
      <c r="B680" s="65" t="str">
        <f t="shared" si="40"/>
        <v/>
      </c>
      <c r="C680" s="60"/>
      <c r="D680" s="65" t="str">
        <f>IF($E680="","",IFERROR(INDEX(MUSTERILER!$B$7:$B$156,MATCH($U680,MUSTERILER!$T$7:$T$156,0)),IFERROR(INDEX(MUSTERILER!$B$7:$B$156,MATCH($E680,MUSTERILER!$B$7:$B$156,0)),IFERROR(INDEX(MUSTERILER!$B$7:$B$156,MATCH($U680&amp;"*",MUSTERILER!$T$7:$T$156,0)),"TANIMSIZ MÜŞTERİ"))))</f>
        <v/>
      </c>
      <c r="E680" s="61"/>
      <c r="F680" s="61"/>
      <c r="G680" s="60"/>
      <c r="H680" s="66"/>
      <c r="I680" s="66"/>
      <c r="J680" s="60"/>
      <c r="K680" s="60"/>
      <c r="L680" s="61"/>
      <c r="M680" s="61"/>
      <c r="N680" s="61"/>
      <c r="O680" s="66"/>
      <c r="P680" s="76" t="str">
        <f t="shared" ca="1" si="41"/>
        <v/>
      </c>
      <c r="Q680" s="65" t="str">
        <f t="shared" ca="1" si="42"/>
        <v/>
      </c>
      <c r="R680" s="2"/>
      <c r="S680" s="2"/>
      <c r="T680" s="1"/>
      <c r="U680" s="1" t="str">
        <f t="shared" si="43"/>
        <v/>
      </c>
    </row>
    <row r="681" spans="1:21" ht="18" customHeight="1" x14ac:dyDescent="0.3">
      <c r="A681" s="2"/>
      <c r="B681" s="65" t="str">
        <f t="shared" si="40"/>
        <v/>
      </c>
      <c r="C681" s="60"/>
      <c r="D681" s="65" t="str">
        <f>IF($E681="","",IFERROR(INDEX(MUSTERILER!$B$7:$B$156,MATCH($U681,MUSTERILER!$T$7:$T$156,0)),IFERROR(INDEX(MUSTERILER!$B$7:$B$156,MATCH($E681,MUSTERILER!$B$7:$B$156,0)),IFERROR(INDEX(MUSTERILER!$B$7:$B$156,MATCH($U681&amp;"*",MUSTERILER!$T$7:$T$156,0)),"TANIMSIZ MÜŞTERİ"))))</f>
        <v/>
      </c>
      <c r="E681" s="61"/>
      <c r="F681" s="61"/>
      <c r="G681" s="60"/>
      <c r="H681" s="66"/>
      <c r="I681" s="66"/>
      <c r="J681" s="60"/>
      <c r="K681" s="60"/>
      <c r="L681" s="61"/>
      <c r="M681" s="61"/>
      <c r="N681" s="61"/>
      <c r="O681" s="66"/>
      <c r="P681" s="76" t="str">
        <f t="shared" ca="1" si="41"/>
        <v/>
      </c>
      <c r="Q681" s="65" t="str">
        <f t="shared" ca="1" si="42"/>
        <v/>
      </c>
      <c r="R681" s="2"/>
      <c r="S681" s="2"/>
      <c r="T681" s="1"/>
      <c r="U681" s="1" t="str">
        <f t="shared" si="43"/>
        <v/>
      </c>
    </row>
    <row r="682" spans="1:21" ht="18" customHeight="1" x14ac:dyDescent="0.3">
      <c r="A682" s="2"/>
      <c r="B682" s="65" t="str">
        <f t="shared" si="40"/>
        <v/>
      </c>
      <c r="C682" s="60"/>
      <c r="D682" s="65" t="str">
        <f>IF($E682="","",IFERROR(INDEX(MUSTERILER!$B$7:$B$156,MATCH($U682,MUSTERILER!$T$7:$T$156,0)),IFERROR(INDEX(MUSTERILER!$B$7:$B$156,MATCH($E682,MUSTERILER!$B$7:$B$156,0)),IFERROR(INDEX(MUSTERILER!$B$7:$B$156,MATCH($U682&amp;"*",MUSTERILER!$T$7:$T$156,0)),"TANIMSIZ MÜŞTERİ"))))</f>
        <v/>
      </c>
      <c r="E682" s="61"/>
      <c r="F682" s="61"/>
      <c r="G682" s="60"/>
      <c r="H682" s="66"/>
      <c r="I682" s="66"/>
      <c r="J682" s="60"/>
      <c r="K682" s="60"/>
      <c r="L682" s="61"/>
      <c r="M682" s="61"/>
      <c r="N682" s="61"/>
      <c r="O682" s="66"/>
      <c r="P682" s="76" t="str">
        <f t="shared" ca="1" si="41"/>
        <v/>
      </c>
      <c r="Q682" s="65" t="str">
        <f t="shared" ca="1" si="42"/>
        <v/>
      </c>
      <c r="R682" s="2"/>
      <c r="S682" s="2"/>
      <c r="T682" s="1"/>
      <c r="U682" s="1" t="str">
        <f t="shared" si="43"/>
        <v/>
      </c>
    </row>
    <row r="683" spans="1:21" ht="18" customHeight="1" x14ac:dyDescent="0.3">
      <c r="A683" s="2"/>
      <c r="B683" s="65" t="str">
        <f t="shared" si="40"/>
        <v/>
      </c>
      <c r="C683" s="60"/>
      <c r="D683" s="65" t="str">
        <f>IF($E683="","",IFERROR(INDEX(MUSTERILER!$B$7:$B$156,MATCH($U683,MUSTERILER!$T$7:$T$156,0)),IFERROR(INDEX(MUSTERILER!$B$7:$B$156,MATCH($E683,MUSTERILER!$B$7:$B$156,0)),IFERROR(INDEX(MUSTERILER!$B$7:$B$156,MATCH($U683&amp;"*",MUSTERILER!$T$7:$T$156,0)),"TANIMSIZ MÜŞTERİ"))))</f>
        <v/>
      </c>
      <c r="E683" s="61"/>
      <c r="F683" s="61"/>
      <c r="G683" s="60"/>
      <c r="H683" s="66"/>
      <c r="I683" s="66"/>
      <c r="J683" s="60"/>
      <c r="K683" s="60"/>
      <c r="L683" s="61"/>
      <c r="M683" s="61"/>
      <c r="N683" s="61"/>
      <c r="O683" s="66"/>
      <c r="P683" s="76" t="str">
        <f t="shared" ca="1" si="41"/>
        <v/>
      </c>
      <c r="Q683" s="65" t="str">
        <f t="shared" ca="1" si="42"/>
        <v/>
      </c>
      <c r="R683" s="2"/>
      <c r="S683" s="2"/>
      <c r="T683" s="1"/>
      <c r="U683" s="1" t="str">
        <f t="shared" si="43"/>
        <v/>
      </c>
    </row>
    <row r="684" spans="1:21" ht="18" customHeight="1" x14ac:dyDescent="0.3">
      <c r="A684" s="2"/>
      <c r="B684" s="65" t="str">
        <f t="shared" si="40"/>
        <v/>
      </c>
      <c r="C684" s="60"/>
      <c r="D684" s="65" t="str">
        <f>IF($E684="","",IFERROR(INDEX(MUSTERILER!$B$7:$B$156,MATCH($U684,MUSTERILER!$T$7:$T$156,0)),IFERROR(INDEX(MUSTERILER!$B$7:$B$156,MATCH($E684,MUSTERILER!$B$7:$B$156,0)),IFERROR(INDEX(MUSTERILER!$B$7:$B$156,MATCH($U684&amp;"*",MUSTERILER!$T$7:$T$156,0)),"TANIMSIZ MÜŞTERİ"))))</f>
        <v/>
      </c>
      <c r="E684" s="61"/>
      <c r="F684" s="61"/>
      <c r="G684" s="60"/>
      <c r="H684" s="66"/>
      <c r="I684" s="66"/>
      <c r="J684" s="60"/>
      <c r="K684" s="60"/>
      <c r="L684" s="61"/>
      <c r="M684" s="61"/>
      <c r="N684" s="61"/>
      <c r="O684" s="66"/>
      <c r="P684" s="76" t="str">
        <f t="shared" ca="1" si="41"/>
        <v/>
      </c>
      <c r="Q684" s="65" t="str">
        <f t="shared" ca="1" si="42"/>
        <v/>
      </c>
      <c r="R684" s="2"/>
      <c r="S684" s="2"/>
      <c r="T684" s="1"/>
      <c r="U684" s="1" t="str">
        <f t="shared" si="43"/>
        <v/>
      </c>
    </row>
    <row r="685" spans="1:21" ht="18" customHeight="1" x14ac:dyDescent="0.3">
      <c r="A685" s="2"/>
      <c r="B685" s="65" t="str">
        <f t="shared" si="40"/>
        <v/>
      </c>
      <c r="C685" s="60"/>
      <c r="D685" s="65" t="str">
        <f>IF($E685="","",IFERROR(INDEX(MUSTERILER!$B$7:$B$156,MATCH($U685,MUSTERILER!$T$7:$T$156,0)),IFERROR(INDEX(MUSTERILER!$B$7:$B$156,MATCH($E685,MUSTERILER!$B$7:$B$156,0)),IFERROR(INDEX(MUSTERILER!$B$7:$B$156,MATCH($U685&amp;"*",MUSTERILER!$T$7:$T$156,0)),"TANIMSIZ MÜŞTERİ"))))</f>
        <v/>
      </c>
      <c r="E685" s="61"/>
      <c r="F685" s="61"/>
      <c r="G685" s="60"/>
      <c r="H685" s="66"/>
      <c r="I685" s="66"/>
      <c r="J685" s="60"/>
      <c r="K685" s="60"/>
      <c r="L685" s="61"/>
      <c r="M685" s="61"/>
      <c r="N685" s="61"/>
      <c r="O685" s="66"/>
      <c r="P685" s="76" t="str">
        <f t="shared" ca="1" si="41"/>
        <v/>
      </c>
      <c r="Q685" s="65" t="str">
        <f t="shared" ca="1" si="42"/>
        <v/>
      </c>
      <c r="R685" s="2"/>
      <c r="S685" s="2"/>
      <c r="T685" s="1"/>
      <c r="U685" s="1" t="str">
        <f t="shared" si="43"/>
        <v/>
      </c>
    </row>
    <row r="686" spans="1:21" ht="18" customHeight="1" x14ac:dyDescent="0.3">
      <c r="A686" s="2"/>
      <c r="B686" s="65" t="str">
        <f t="shared" si="40"/>
        <v/>
      </c>
      <c r="C686" s="60"/>
      <c r="D686" s="65" t="str">
        <f>IF($E686="","",IFERROR(INDEX(MUSTERILER!$B$7:$B$156,MATCH($U686,MUSTERILER!$T$7:$T$156,0)),IFERROR(INDEX(MUSTERILER!$B$7:$B$156,MATCH($E686,MUSTERILER!$B$7:$B$156,0)),IFERROR(INDEX(MUSTERILER!$B$7:$B$156,MATCH($U686&amp;"*",MUSTERILER!$T$7:$T$156,0)),"TANIMSIZ MÜŞTERİ"))))</f>
        <v/>
      </c>
      <c r="E686" s="61"/>
      <c r="F686" s="61"/>
      <c r="G686" s="60"/>
      <c r="H686" s="66"/>
      <c r="I686" s="66"/>
      <c r="J686" s="60"/>
      <c r="K686" s="60"/>
      <c r="L686" s="61"/>
      <c r="M686" s="61"/>
      <c r="N686" s="61"/>
      <c r="O686" s="66"/>
      <c r="P686" s="76" t="str">
        <f t="shared" ca="1" si="41"/>
        <v/>
      </c>
      <c r="Q686" s="65" t="str">
        <f t="shared" ca="1" si="42"/>
        <v/>
      </c>
      <c r="R686" s="2"/>
      <c r="S686" s="2"/>
      <c r="T686" s="1"/>
      <c r="U686" s="1" t="str">
        <f t="shared" si="43"/>
        <v/>
      </c>
    </row>
    <row r="687" spans="1:21" ht="18" customHeight="1" x14ac:dyDescent="0.3">
      <c r="A687" s="2"/>
      <c r="B687" s="65" t="str">
        <f t="shared" si="40"/>
        <v/>
      </c>
      <c r="C687" s="60"/>
      <c r="D687" s="65" t="str">
        <f>IF($E687="","",IFERROR(INDEX(MUSTERILER!$B$7:$B$156,MATCH($U687,MUSTERILER!$T$7:$T$156,0)),IFERROR(INDEX(MUSTERILER!$B$7:$B$156,MATCH($E687,MUSTERILER!$B$7:$B$156,0)),IFERROR(INDEX(MUSTERILER!$B$7:$B$156,MATCH($U687&amp;"*",MUSTERILER!$T$7:$T$156,0)),"TANIMSIZ MÜŞTERİ"))))</f>
        <v/>
      </c>
      <c r="E687" s="61"/>
      <c r="F687" s="61"/>
      <c r="G687" s="60"/>
      <c r="H687" s="66"/>
      <c r="I687" s="66"/>
      <c r="J687" s="60"/>
      <c r="K687" s="60"/>
      <c r="L687" s="61"/>
      <c r="M687" s="61"/>
      <c r="N687" s="61"/>
      <c r="O687" s="66"/>
      <c r="P687" s="76" t="str">
        <f t="shared" ca="1" si="41"/>
        <v/>
      </c>
      <c r="Q687" s="65" t="str">
        <f t="shared" ca="1" si="42"/>
        <v/>
      </c>
      <c r="R687" s="2"/>
      <c r="S687" s="2"/>
      <c r="T687" s="1"/>
      <c r="U687" s="1" t="str">
        <f t="shared" si="43"/>
        <v/>
      </c>
    </row>
    <row r="688" spans="1:21" ht="18" customHeight="1" x14ac:dyDescent="0.3">
      <c r="A688" s="2"/>
      <c r="B688" s="65" t="str">
        <f t="shared" si="40"/>
        <v/>
      </c>
      <c r="C688" s="60"/>
      <c r="D688" s="65" t="str">
        <f>IF($E688="","",IFERROR(INDEX(MUSTERILER!$B$7:$B$156,MATCH($U688,MUSTERILER!$T$7:$T$156,0)),IFERROR(INDEX(MUSTERILER!$B$7:$B$156,MATCH($E688,MUSTERILER!$B$7:$B$156,0)),IFERROR(INDEX(MUSTERILER!$B$7:$B$156,MATCH($U688&amp;"*",MUSTERILER!$T$7:$T$156,0)),"TANIMSIZ MÜŞTERİ"))))</f>
        <v/>
      </c>
      <c r="E688" s="61"/>
      <c r="F688" s="61"/>
      <c r="G688" s="60"/>
      <c r="H688" s="66"/>
      <c r="I688" s="66"/>
      <c r="J688" s="60"/>
      <c r="K688" s="60"/>
      <c r="L688" s="61"/>
      <c r="M688" s="61"/>
      <c r="N688" s="61"/>
      <c r="O688" s="66"/>
      <c r="P688" s="76" t="str">
        <f t="shared" ca="1" si="41"/>
        <v/>
      </c>
      <c r="Q688" s="65" t="str">
        <f t="shared" ca="1" si="42"/>
        <v/>
      </c>
      <c r="R688" s="2"/>
      <c r="S688" s="2"/>
      <c r="T688" s="1"/>
      <c r="U688" s="1" t="str">
        <f t="shared" si="43"/>
        <v/>
      </c>
    </row>
    <row r="689" spans="1:21" ht="18" customHeight="1" x14ac:dyDescent="0.3">
      <c r="A689" s="2"/>
      <c r="B689" s="65" t="str">
        <f t="shared" si="40"/>
        <v/>
      </c>
      <c r="C689" s="60"/>
      <c r="D689" s="65" t="str">
        <f>IF($E689="","",IFERROR(INDEX(MUSTERILER!$B$7:$B$156,MATCH($U689,MUSTERILER!$T$7:$T$156,0)),IFERROR(INDEX(MUSTERILER!$B$7:$B$156,MATCH($E689,MUSTERILER!$B$7:$B$156,0)),IFERROR(INDEX(MUSTERILER!$B$7:$B$156,MATCH($U689&amp;"*",MUSTERILER!$T$7:$T$156,0)),"TANIMSIZ MÜŞTERİ"))))</f>
        <v/>
      </c>
      <c r="E689" s="61"/>
      <c r="F689" s="61"/>
      <c r="G689" s="60"/>
      <c r="H689" s="66"/>
      <c r="I689" s="66"/>
      <c r="J689" s="60"/>
      <c r="K689" s="60"/>
      <c r="L689" s="61"/>
      <c r="M689" s="61"/>
      <c r="N689" s="61"/>
      <c r="O689" s="66"/>
      <c r="P689" s="76" t="str">
        <f t="shared" ca="1" si="41"/>
        <v/>
      </c>
      <c r="Q689" s="65" t="str">
        <f t="shared" ca="1" si="42"/>
        <v/>
      </c>
      <c r="R689" s="2"/>
      <c r="S689" s="2"/>
      <c r="T689" s="1"/>
      <c r="U689" s="1" t="str">
        <f t="shared" si="43"/>
        <v/>
      </c>
    </row>
    <row r="690" spans="1:21" ht="18" customHeight="1" x14ac:dyDescent="0.3">
      <c r="A690" s="2"/>
      <c r="B690" s="65" t="str">
        <f t="shared" si="40"/>
        <v/>
      </c>
      <c r="C690" s="60"/>
      <c r="D690" s="65" t="str">
        <f>IF($E690="","",IFERROR(INDEX(MUSTERILER!$B$7:$B$156,MATCH($U690,MUSTERILER!$T$7:$T$156,0)),IFERROR(INDEX(MUSTERILER!$B$7:$B$156,MATCH($E690,MUSTERILER!$B$7:$B$156,0)),IFERROR(INDEX(MUSTERILER!$B$7:$B$156,MATCH($U690&amp;"*",MUSTERILER!$T$7:$T$156,0)),"TANIMSIZ MÜŞTERİ"))))</f>
        <v/>
      </c>
      <c r="E690" s="61"/>
      <c r="F690" s="61"/>
      <c r="G690" s="60"/>
      <c r="H690" s="66"/>
      <c r="I690" s="66"/>
      <c r="J690" s="60"/>
      <c r="K690" s="60"/>
      <c r="L690" s="61"/>
      <c r="M690" s="61"/>
      <c r="N690" s="61"/>
      <c r="O690" s="66"/>
      <c r="P690" s="76" t="str">
        <f t="shared" ca="1" si="41"/>
        <v/>
      </c>
      <c r="Q690" s="65" t="str">
        <f t="shared" ca="1" si="42"/>
        <v/>
      </c>
      <c r="R690" s="2"/>
      <c r="S690" s="2"/>
      <c r="T690" s="1"/>
      <c r="U690" s="1" t="str">
        <f t="shared" si="43"/>
        <v/>
      </c>
    </row>
    <row r="691" spans="1:21" ht="18" customHeight="1" x14ac:dyDescent="0.3">
      <c r="A691" s="2"/>
      <c r="B691" s="65" t="str">
        <f t="shared" si="40"/>
        <v/>
      </c>
      <c r="C691" s="60"/>
      <c r="D691" s="65" t="str">
        <f>IF($E691="","",IFERROR(INDEX(MUSTERILER!$B$7:$B$156,MATCH($U691,MUSTERILER!$T$7:$T$156,0)),IFERROR(INDEX(MUSTERILER!$B$7:$B$156,MATCH($E691,MUSTERILER!$B$7:$B$156,0)),IFERROR(INDEX(MUSTERILER!$B$7:$B$156,MATCH($U691&amp;"*",MUSTERILER!$T$7:$T$156,0)),"TANIMSIZ MÜŞTERİ"))))</f>
        <v/>
      </c>
      <c r="E691" s="61"/>
      <c r="F691" s="61"/>
      <c r="G691" s="60"/>
      <c r="H691" s="66"/>
      <c r="I691" s="66"/>
      <c r="J691" s="60"/>
      <c r="K691" s="60"/>
      <c r="L691" s="61"/>
      <c r="M691" s="61"/>
      <c r="N691" s="61"/>
      <c r="O691" s="66"/>
      <c r="P691" s="76" t="str">
        <f t="shared" ca="1" si="41"/>
        <v/>
      </c>
      <c r="Q691" s="65" t="str">
        <f t="shared" ca="1" si="42"/>
        <v/>
      </c>
      <c r="R691" s="2"/>
      <c r="S691" s="2"/>
      <c r="T691" s="1"/>
      <c r="U691" s="1" t="str">
        <f t="shared" si="43"/>
        <v/>
      </c>
    </row>
    <row r="692" spans="1:21" ht="18" customHeight="1" x14ac:dyDescent="0.3">
      <c r="A692" s="2"/>
      <c r="B692" s="65" t="str">
        <f t="shared" si="40"/>
        <v/>
      </c>
      <c r="C692" s="60"/>
      <c r="D692" s="65" t="str">
        <f>IF($E692="","",IFERROR(INDEX(MUSTERILER!$B$7:$B$156,MATCH($U692,MUSTERILER!$T$7:$T$156,0)),IFERROR(INDEX(MUSTERILER!$B$7:$B$156,MATCH($E692,MUSTERILER!$B$7:$B$156,0)),IFERROR(INDEX(MUSTERILER!$B$7:$B$156,MATCH($U692&amp;"*",MUSTERILER!$T$7:$T$156,0)),"TANIMSIZ MÜŞTERİ"))))</f>
        <v/>
      </c>
      <c r="E692" s="61"/>
      <c r="F692" s="61"/>
      <c r="G692" s="60"/>
      <c r="H692" s="66"/>
      <c r="I692" s="66"/>
      <c r="J692" s="60"/>
      <c r="K692" s="60"/>
      <c r="L692" s="61"/>
      <c r="M692" s="61"/>
      <c r="N692" s="61"/>
      <c r="O692" s="66"/>
      <c r="P692" s="76" t="str">
        <f t="shared" ca="1" si="41"/>
        <v/>
      </c>
      <c r="Q692" s="65" t="str">
        <f t="shared" ca="1" si="42"/>
        <v/>
      </c>
      <c r="R692" s="2"/>
      <c r="S692" s="2"/>
      <c r="T692" s="1"/>
      <c r="U692" s="1" t="str">
        <f t="shared" si="43"/>
        <v/>
      </c>
    </row>
    <row r="693" spans="1:21" ht="18" customHeight="1" x14ac:dyDescent="0.3">
      <c r="A693" s="2"/>
      <c r="B693" s="65" t="str">
        <f t="shared" si="40"/>
        <v/>
      </c>
      <c r="C693" s="60"/>
      <c r="D693" s="65" t="str">
        <f>IF($E693="","",IFERROR(INDEX(MUSTERILER!$B$7:$B$156,MATCH($U693,MUSTERILER!$T$7:$T$156,0)),IFERROR(INDEX(MUSTERILER!$B$7:$B$156,MATCH($E693,MUSTERILER!$B$7:$B$156,0)),IFERROR(INDEX(MUSTERILER!$B$7:$B$156,MATCH($U693&amp;"*",MUSTERILER!$T$7:$T$156,0)),"TANIMSIZ MÜŞTERİ"))))</f>
        <v/>
      </c>
      <c r="E693" s="61"/>
      <c r="F693" s="61"/>
      <c r="G693" s="60"/>
      <c r="H693" s="66"/>
      <c r="I693" s="66"/>
      <c r="J693" s="60"/>
      <c r="K693" s="60"/>
      <c r="L693" s="61"/>
      <c r="M693" s="61"/>
      <c r="N693" s="61"/>
      <c r="O693" s="66"/>
      <c r="P693" s="76" t="str">
        <f t="shared" ca="1" si="41"/>
        <v/>
      </c>
      <c r="Q693" s="65" t="str">
        <f t="shared" ca="1" si="42"/>
        <v/>
      </c>
      <c r="R693" s="2"/>
      <c r="S693" s="2"/>
      <c r="T693" s="1"/>
      <c r="U693" s="1" t="str">
        <f t="shared" si="43"/>
        <v/>
      </c>
    </row>
    <row r="694" spans="1:21" ht="18" customHeight="1" x14ac:dyDescent="0.3">
      <c r="A694" s="2"/>
      <c r="B694" s="65" t="str">
        <f t="shared" si="40"/>
        <v/>
      </c>
      <c r="C694" s="60"/>
      <c r="D694" s="65" t="str">
        <f>IF($E694="","",IFERROR(INDEX(MUSTERILER!$B$7:$B$156,MATCH($U694,MUSTERILER!$T$7:$T$156,0)),IFERROR(INDEX(MUSTERILER!$B$7:$B$156,MATCH($E694,MUSTERILER!$B$7:$B$156,0)),IFERROR(INDEX(MUSTERILER!$B$7:$B$156,MATCH($U694&amp;"*",MUSTERILER!$T$7:$T$156,0)),"TANIMSIZ MÜŞTERİ"))))</f>
        <v/>
      </c>
      <c r="E694" s="61"/>
      <c r="F694" s="61"/>
      <c r="G694" s="60"/>
      <c r="H694" s="66"/>
      <c r="I694" s="66"/>
      <c r="J694" s="60"/>
      <c r="K694" s="60"/>
      <c r="L694" s="61"/>
      <c r="M694" s="61"/>
      <c r="N694" s="61"/>
      <c r="O694" s="66"/>
      <c r="P694" s="76" t="str">
        <f t="shared" ca="1" si="41"/>
        <v/>
      </c>
      <c r="Q694" s="65" t="str">
        <f t="shared" ca="1" si="42"/>
        <v/>
      </c>
      <c r="R694" s="2"/>
      <c r="S694" s="2"/>
      <c r="T694" s="1"/>
      <c r="U694" s="1" t="str">
        <f t="shared" si="43"/>
        <v/>
      </c>
    </row>
    <row r="695" spans="1:21" ht="18" customHeight="1" x14ac:dyDescent="0.3">
      <c r="A695" s="2"/>
      <c r="B695" s="65" t="str">
        <f t="shared" si="40"/>
        <v/>
      </c>
      <c r="C695" s="60"/>
      <c r="D695" s="65" t="str">
        <f>IF($E695="","",IFERROR(INDEX(MUSTERILER!$B$7:$B$156,MATCH($U695,MUSTERILER!$T$7:$T$156,0)),IFERROR(INDEX(MUSTERILER!$B$7:$B$156,MATCH($E695,MUSTERILER!$B$7:$B$156,0)),IFERROR(INDEX(MUSTERILER!$B$7:$B$156,MATCH($U695&amp;"*",MUSTERILER!$T$7:$T$156,0)),"TANIMSIZ MÜŞTERİ"))))</f>
        <v/>
      </c>
      <c r="E695" s="61"/>
      <c r="F695" s="61"/>
      <c r="G695" s="60"/>
      <c r="H695" s="66"/>
      <c r="I695" s="66"/>
      <c r="J695" s="60"/>
      <c r="K695" s="60"/>
      <c r="L695" s="61"/>
      <c r="M695" s="61"/>
      <c r="N695" s="61"/>
      <c r="O695" s="66"/>
      <c r="P695" s="76" t="str">
        <f t="shared" ca="1" si="41"/>
        <v/>
      </c>
      <c r="Q695" s="65" t="str">
        <f t="shared" ca="1" si="42"/>
        <v/>
      </c>
      <c r="R695" s="2"/>
      <c r="S695" s="2"/>
      <c r="T695" s="1"/>
      <c r="U695" s="1" t="str">
        <f t="shared" si="43"/>
        <v/>
      </c>
    </row>
    <row r="696" spans="1:21" ht="18" customHeight="1" x14ac:dyDescent="0.3">
      <c r="A696" s="2"/>
      <c r="B696" s="65" t="str">
        <f t="shared" si="40"/>
        <v/>
      </c>
      <c r="C696" s="60"/>
      <c r="D696" s="65" t="str">
        <f>IF($E696="","",IFERROR(INDEX(MUSTERILER!$B$7:$B$156,MATCH($U696,MUSTERILER!$T$7:$T$156,0)),IFERROR(INDEX(MUSTERILER!$B$7:$B$156,MATCH($E696,MUSTERILER!$B$7:$B$156,0)),IFERROR(INDEX(MUSTERILER!$B$7:$B$156,MATCH($U696&amp;"*",MUSTERILER!$T$7:$T$156,0)),"TANIMSIZ MÜŞTERİ"))))</f>
        <v/>
      </c>
      <c r="E696" s="61"/>
      <c r="F696" s="61"/>
      <c r="G696" s="60"/>
      <c r="H696" s="66"/>
      <c r="I696" s="66"/>
      <c r="J696" s="60"/>
      <c r="K696" s="60"/>
      <c r="L696" s="61"/>
      <c r="M696" s="61"/>
      <c r="N696" s="61"/>
      <c r="O696" s="66"/>
      <c r="P696" s="76" t="str">
        <f t="shared" ca="1" si="41"/>
        <v/>
      </c>
      <c r="Q696" s="65" t="str">
        <f t="shared" ca="1" si="42"/>
        <v/>
      </c>
      <c r="R696" s="2"/>
      <c r="S696" s="2"/>
      <c r="T696" s="1"/>
      <c r="U696" s="1" t="str">
        <f t="shared" si="43"/>
        <v/>
      </c>
    </row>
    <row r="697" spans="1:21" ht="18" customHeight="1" x14ac:dyDescent="0.3">
      <c r="A697" s="2"/>
      <c r="B697" s="65" t="str">
        <f t="shared" si="40"/>
        <v/>
      </c>
      <c r="C697" s="60"/>
      <c r="D697" s="65" t="str">
        <f>IF($E697="","",IFERROR(INDEX(MUSTERILER!$B$7:$B$156,MATCH($U697,MUSTERILER!$T$7:$T$156,0)),IFERROR(INDEX(MUSTERILER!$B$7:$B$156,MATCH($E697,MUSTERILER!$B$7:$B$156,0)),IFERROR(INDEX(MUSTERILER!$B$7:$B$156,MATCH($U697&amp;"*",MUSTERILER!$T$7:$T$156,0)),"TANIMSIZ MÜŞTERİ"))))</f>
        <v/>
      </c>
      <c r="E697" s="61"/>
      <c r="F697" s="61"/>
      <c r="G697" s="60"/>
      <c r="H697" s="66"/>
      <c r="I697" s="66"/>
      <c r="J697" s="60"/>
      <c r="K697" s="60"/>
      <c r="L697" s="61"/>
      <c r="M697" s="61"/>
      <c r="N697" s="61"/>
      <c r="O697" s="66"/>
      <c r="P697" s="76" t="str">
        <f t="shared" ca="1" si="41"/>
        <v/>
      </c>
      <c r="Q697" s="65" t="str">
        <f t="shared" ca="1" si="42"/>
        <v/>
      </c>
      <c r="R697" s="2"/>
      <c r="S697" s="2"/>
      <c r="T697" s="1"/>
      <c r="U697" s="1" t="str">
        <f t="shared" si="43"/>
        <v/>
      </c>
    </row>
    <row r="698" spans="1:21" ht="18" customHeight="1" x14ac:dyDescent="0.3">
      <c r="A698" s="2"/>
      <c r="B698" s="65" t="str">
        <f t="shared" si="40"/>
        <v/>
      </c>
      <c r="C698" s="60"/>
      <c r="D698" s="65" t="str">
        <f>IF($E698="","",IFERROR(INDEX(MUSTERILER!$B$7:$B$156,MATCH($U698,MUSTERILER!$T$7:$T$156,0)),IFERROR(INDEX(MUSTERILER!$B$7:$B$156,MATCH($E698,MUSTERILER!$B$7:$B$156,0)),IFERROR(INDEX(MUSTERILER!$B$7:$B$156,MATCH($U698&amp;"*",MUSTERILER!$T$7:$T$156,0)),"TANIMSIZ MÜŞTERİ"))))</f>
        <v/>
      </c>
      <c r="E698" s="61"/>
      <c r="F698" s="61"/>
      <c r="G698" s="60"/>
      <c r="H698" s="66"/>
      <c r="I698" s="66"/>
      <c r="J698" s="60"/>
      <c r="K698" s="60"/>
      <c r="L698" s="61"/>
      <c r="M698" s="61"/>
      <c r="N698" s="61"/>
      <c r="O698" s="66"/>
      <c r="P698" s="76" t="str">
        <f t="shared" ca="1" si="41"/>
        <v/>
      </c>
      <c r="Q698" s="65" t="str">
        <f t="shared" ca="1" si="42"/>
        <v/>
      </c>
      <c r="R698" s="2"/>
      <c r="S698" s="2"/>
      <c r="T698" s="1"/>
      <c r="U698" s="1" t="str">
        <f t="shared" si="43"/>
        <v/>
      </c>
    </row>
    <row r="699" spans="1:21" ht="18" customHeight="1" x14ac:dyDescent="0.3">
      <c r="A699" s="2"/>
      <c r="B699" s="65" t="str">
        <f t="shared" si="40"/>
        <v/>
      </c>
      <c r="C699" s="60"/>
      <c r="D699" s="65" t="str">
        <f>IF($E699="","",IFERROR(INDEX(MUSTERILER!$B$7:$B$156,MATCH($U699,MUSTERILER!$T$7:$T$156,0)),IFERROR(INDEX(MUSTERILER!$B$7:$B$156,MATCH($E699,MUSTERILER!$B$7:$B$156,0)),IFERROR(INDEX(MUSTERILER!$B$7:$B$156,MATCH($U699&amp;"*",MUSTERILER!$T$7:$T$156,0)),"TANIMSIZ MÜŞTERİ"))))</f>
        <v/>
      </c>
      <c r="E699" s="61"/>
      <c r="F699" s="61"/>
      <c r="G699" s="60"/>
      <c r="H699" s="66"/>
      <c r="I699" s="66"/>
      <c r="J699" s="60"/>
      <c r="K699" s="60"/>
      <c r="L699" s="61"/>
      <c r="M699" s="61"/>
      <c r="N699" s="61"/>
      <c r="O699" s="66"/>
      <c r="P699" s="76" t="str">
        <f t="shared" ca="1" si="41"/>
        <v/>
      </c>
      <c r="Q699" s="65" t="str">
        <f t="shared" ca="1" si="42"/>
        <v/>
      </c>
      <c r="R699" s="2"/>
      <c r="S699" s="2"/>
      <c r="T699" s="1"/>
      <c r="U699" s="1" t="str">
        <f t="shared" si="43"/>
        <v/>
      </c>
    </row>
    <row r="700" spans="1:21" ht="18" customHeight="1" x14ac:dyDescent="0.3">
      <c r="A700" s="2"/>
      <c r="B700" s="65" t="str">
        <f t="shared" si="40"/>
        <v/>
      </c>
      <c r="C700" s="60"/>
      <c r="D700" s="65" t="str">
        <f>IF($E700="","",IFERROR(INDEX(MUSTERILER!$B$7:$B$156,MATCH($U700,MUSTERILER!$T$7:$T$156,0)),IFERROR(INDEX(MUSTERILER!$B$7:$B$156,MATCH($E700,MUSTERILER!$B$7:$B$156,0)),IFERROR(INDEX(MUSTERILER!$B$7:$B$156,MATCH($U700&amp;"*",MUSTERILER!$T$7:$T$156,0)),"TANIMSIZ MÜŞTERİ"))))</f>
        <v/>
      </c>
      <c r="E700" s="61"/>
      <c r="F700" s="61"/>
      <c r="G700" s="60"/>
      <c r="H700" s="66"/>
      <c r="I700" s="66"/>
      <c r="J700" s="60"/>
      <c r="K700" s="60"/>
      <c r="L700" s="61"/>
      <c r="M700" s="61"/>
      <c r="N700" s="61"/>
      <c r="O700" s="66"/>
      <c r="P700" s="76" t="str">
        <f t="shared" ca="1" si="41"/>
        <v/>
      </c>
      <c r="Q700" s="65" t="str">
        <f t="shared" ca="1" si="42"/>
        <v/>
      </c>
      <c r="R700" s="2"/>
      <c r="S700" s="2"/>
      <c r="T700" s="1"/>
      <c r="U700" s="1" t="str">
        <f t="shared" si="43"/>
        <v/>
      </c>
    </row>
    <row r="701" spans="1:21" ht="18" customHeight="1" x14ac:dyDescent="0.3">
      <c r="A701" s="2"/>
      <c r="B701" s="65" t="str">
        <f t="shared" si="40"/>
        <v/>
      </c>
      <c r="C701" s="60"/>
      <c r="D701" s="65" t="str">
        <f>IF($E701="","",IFERROR(INDEX(MUSTERILER!$B$7:$B$156,MATCH($U701,MUSTERILER!$T$7:$T$156,0)),IFERROR(INDEX(MUSTERILER!$B$7:$B$156,MATCH($E701,MUSTERILER!$B$7:$B$156,0)),IFERROR(INDEX(MUSTERILER!$B$7:$B$156,MATCH($U701&amp;"*",MUSTERILER!$T$7:$T$156,0)),"TANIMSIZ MÜŞTERİ"))))</f>
        <v/>
      </c>
      <c r="E701" s="61"/>
      <c r="F701" s="61"/>
      <c r="G701" s="60"/>
      <c r="H701" s="66"/>
      <c r="I701" s="66"/>
      <c r="J701" s="60"/>
      <c r="K701" s="60"/>
      <c r="L701" s="61"/>
      <c r="M701" s="61"/>
      <c r="N701" s="61"/>
      <c r="O701" s="66"/>
      <c r="P701" s="76" t="str">
        <f t="shared" ca="1" si="41"/>
        <v/>
      </c>
      <c r="Q701" s="65" t="str">
        <f t="shared" ca="1" si="42"/>
        <v/>
      </c>
      <c r="R701" s="2"/>
      <c r="S701" s="2"/>
      <c r="T701" s="1"/>
      <c r="U701" s="1" t="str">
        <f t="shared" si="43"/>
        <v/>
      </c>
    </row>
    <row r="702" spans="1:21" ht="18" customHeight="1" x14ac:dyDescent="0.3">
      <c r="A702" s="2"/>
      <c r="B702" s="65" t="str">
        <f t="shared" si="40"/>
        <v/>
      </c>
      <c r="C702" s="60"/>
      <c r="D702" s="65" t="str">
        <f>IF($E702="","",IFERROR(INDEX(MUSTERILER!$B$7:$B$156,MATCH($U702,MUSTERILER!$T$7:$T$156,0)),IFERROR(INDEX(MUSTERILER!$B$7:$B$156,MATCH($E702,MUSTERILER!$B$7:$B$156,0)),IFERROR(INDEX(MUSTERILER!$B$7:$B$156,MATCH($U702&amp;"*",MUSTERILER!$T$7:$T$156,0)),"TANIMSIZ MÜŞTERİ"))))</f>
        <v/>
      </c>
      <c r="E702" s="61"/>
      <c r="F702" s="61"/>
      <c r="G702" s="60"/>
      <c r="H702" s="66"/>
      <c r="I702" s="66"/>
      <c r="J702" s="60"/>
      <c r="K702" s="60"/>
      <c r="L702" s="61"/>
      <c r="M702" s="61"/>
      <c r="N702" s="61"/>
      <c r="O702" s="66"/>
      <c r="P702" s="76" t="str">
        <f t="shared" ca="1" si="41"/>
        <v/>
      </c>
      <c r="Q702" s="65" t="str">
        <f t="shared" ca="1" si="42"/>
        <v/>
      </c>
      <c r="R702" s="2"/>
      <c r="S702" s="2"/>
      <c r="T702" s="1"/>
      <c r="U702" s="1" t="str">
        <f t="shared" si="43"/>
        <v/>
      </c>
    </row>
    <row r="703" spans="1:21" ht="18" customHeight="1" x14ac:dyDescent="0.3">
      <c r="A703" s="2"/>
      <c r="B703" s="65" t="str">
        <f t="shared" si="40"/>
        <v/>
      </c>
      <c r="C703" s="60"/>
      <c r="D703" s="65" t="str">
        <f>IF($E703="","",IFERROR(INDEX(MUSTERILER!$B$7:$B$156,MATCH($U703,MUSTERILER!$T$7:$T$156,0)),IFERROR(INDEX(MUSTERILER!$B$7:$B$156,MATCH($E703,MUSTERILER!$B$7:$B$156,0)),IFERROR(INDEX(MUSTERILER!$B$7:$B$156,MATCH($U703&amp;"*",MUSTERILER!$T$7:$T$156,0)),"TANIMSIZ MÜŞTERİ"))))</f>
        <v/>
      </c>
      <c r="E703" s="61"/>
      <c r="F703" s="61"/>
      <c r="G703" s="60"/>
      <c r="H703" s="66"/>
      <c r="I703" s="66"/>
      <c r="J703" s="60"/>
      <c r="K703" s="60"/>
      <c r="L703" s="61"/>
      <c r="M703" s="61"/>
      <c r="N703" s="61"/>
      <c r="O703" s="66"/>
      <c r="P703" s="76" t="str">
        <f t="shared" ca="1" si="41"/>
        <v/>
      </c>
      <c r="Q703" s="65" t="str">
        <f t="shared" ca="1" si="42"/>
        <v/>
      </c>
      <c r="R703" s="2"/>
      <c r="S703" s="2"/>
      <c r="T703" s="1"/>
      <c r="U703" s="1" t="str">
        <f t="shared" si="43"/>
        <v/>
      </c>
    </row>
    <row r="704" spans="1:21" ht="18" customHeight="1" x14ac:dyDescent="0.3">
      <c r="A704" s="2"/>
      <c r="B704" s="65" t="str">
        <f t="shared" si="40"/>
        <v/>
      </c>
      <c r="C704" s="60"/>
      <c r="D704" s="65" t="str">
        <f>IF($E704="","",IFERROR(INDEX(MUSTERILER!$B$7:$B$156,MATCH($U704,MUSTERILER!$T$7:$T$156,0)),IFERROR(INDEX(MUSTERILER!$B$7:$B$156,MATCH($E704,MUSTERILER!$B$7:$B$156,0)),IFERROR(INDEX(MUSTERILER!$B$7:$B$156,MATCH($U704&amp;"*",MUSTERILER!$T$7:$T$156,0)),"TANIMSIZ MÜŞTERİ"))))</f>
        <v/>
      </c>
      <c r="E704" s="61"/>
      <c r="F704" s="61"/>
      <c r="G704" s="60"/>
      <c r="H704" s="66"/>
      <c r="I704" s="66"/>
      <c r="J704" s="60"/>
      <c r="K704" s="60"/>
      <c r="L704" s="61"/>
      <c r="M704" s="61"/>
      <c r="N704" s="61"/>
      <c r="O704" s="66"/>
      <c r="P704" s="76" t="str">
        <f t="shared" ca="1" si="41"/>
        <v/>
      </c>
      <c r="Q704" s="65" t="str">
        <f t="shared" ca="1" si="42"/>
        <v/>
      </c>
      <c r="R704" s="2"/>
      <c r="S704" s="2"/>
      <c r="T704" s="1"/>
      <c r="U704" s="1" t="str">
        <f t="shared" si="43"/>
        <v/>
      </c>
    </row>
    <row r="705" spans="1:21" ht="18" customHeight="1" x14ac:dyDescent="0.3">
      <c r="A705" s="2"/>
      <c r="B705" s="65" t="str">
        <f t="shared" si="40"/>
        <v/>
      </c>
      <c r="C705" s="60"/>
      <c r="D705" s="65" t="str">
        <f>IF($E705="","",IFERROR(INDEX(MUSTERILER!$B$7:$B$156,MATCH($U705,MUSTERILER!$T$7:$T$156,0)),IFERROR(INDEX(MUSTERILER!$B$7:$B$156,MATCH($E705,MUSTERILER!$B$7:$B$156,0)),IFERROR(INDEX(MUSTERILER!$B$7:$B$156,MATCH($U705&amp;"*",MUSTERILER!$T$7:$T$156,0)),"TANIMSIZ MÜŞTERİ"))))</f>
        <v/>
      </c>
      <c r="E705" s="61"/>
      <c r="F705" s="61"/>
      <c r="G705" s="60"/>
      <c r="H705" s="66"/>
      <c r="I705" s="66"/>
      <c r="J705" s="60"/>
      <c r="K705" s="60"/>
      <c r="L705" s="61"/>
      <c r="M705" s="61"/>
      <c r="N705" s="61"/>
      <c r="O705" s="66"/>
      <c r="P705" s="76" t="str">
        <f t="shared" ca="1" si="41"/>
        <v/>
      </c>
      <c r="Q705" s="65" t="str">
        <f t="shared" ca="1" si="42"/>
        <v/>
      </c>
      <c r="R705" s="2"/>
      <c r="S705" s="2"/>
      <c r="T705" s="1"/>
      <c r="U705" s="1" t="str">
        <f t="shared" si="43"/>
        <v/>
      </c>
    </row>
    <row r="706" spans="1:21" ht="18" customHeight="1" x14ac:dyDescent="0.3">
      <c r="A706" s="2"/>
      <c r="B706" s="65" t="str">
        <f t="shared" si="40"/>
        <v/>
      </c>
      <c r="C706" s="60"/>
      <c r="D706" s="65" t="str">
        <f>IF($E706="","",IFERROR(INDEX(MUSTERILER!$B$7:$B$156,MATCH($U706,MUSTERILER!$T$7:$T$156,0)),IFERROR(INDEX(MUSTERILER!$B$7:$B$156,MATCH($E706,MUSTERILER!$B$7:$B$156,0)),IFERROR(INDEX(MUSTERILER!$B$7:$B$156,MATCH($U706&amp;"*",MUSTERILER!$T$7:$T$156,0)),"TANIMSIZ MÜŞTERİ"))))</f>
        <v/>
      </c>
      <c r="E706" s="61"/>
      <c r="F706" s="61"/>
      <c r="G706" s="60"/>
      <c r="H706" s="66"/>
      <c r="I706" s="66"/>
      <c r="J706" s="60"/>
      <c r="K706" s="60"/>
      <c r="L706" s="61"/>
      <c r="M706" s="61"/>
      <c r="N706" s="61"/>
      <c r="O706" s="66"/>
      <c r="P706" s="76" t="str">
        <f t="shared" ca="1" si="41"/>
        <v/>
      </c>
      <c r="Q706" s="65" t="str">
        <f t="shared" ca="1" si="42"/>
        <v/>
      </c>
      <c r="R706" s="2"/>
      <c r="S706" s="2"/>
      <c r="T706" s="1"/>
      <c r="U706" s="1" t="str">
        <f t="shared" si="43"/>
        <v/>
      </c>
    </row>
    <row r="707" spans="1:21" ht="18" customHeight="1" x14ac:dyDescent="0.3">
      <c r="A707" s="2"/>
      <c r="B707" s="65" t="str">
        <f t="shared" si="40"/>
        <v/>
      </c>
      <c r="C707" s="60"/>
      <c r="D707" s="65" t="str">
        <f>IF($E707="","",IFERROR(INDEX(MUSTERILER!$B$7:$B$156,MATCH($U707,MUSTERILER!$T$7:$T$156,0)),IFERROR(INDEX(MUSTERILER!$B$7:$B$156,MATCH($E707,MUSTERILER!$B$7:$B$156,0)),IFERROR(INDEX(MUSTERILER!$B$7:$B$156,MATCH($U707&amp;"*",MUSTERILER!$T$7:$T$156,0)),"TANIMSIZ MÜŞTERİ"))))</f>
        <v/>
      </c>
      <c r="E707" s="61"/>
      <c r="F707" s="61"/>
      <c r="G707" s="60"/>
      <c r="H707" s="66"/>
      <c r="I707" s="66"/>
      <c r="J707" s="60"/>
      <c r="K707" s="60"/>
      <c r="L707" s="61"/>
      <c r="M707" s="61"/>
      <c r="N707" s="61"/>
      <c r="O707" s="66"/>
      <c r="P707" s="76" t="str">
        <f t="shared" ca="1" si="41"/>
        <v/>
      </c>
      <c r="Q707" s="65" t="str">
        <f t="shared" ca="1" si="42"/>
        <v/>
      </c>
      <c r="R707" s="2"/>
      <c r="S707" s="2"/>
      <c r="T707" s="1"/>
      <c r="U707" s="1" t="str">
        <f t="shared" si="43"/>
        <v/>
      </c>
    </row>
    <row r="708" spans="1:21" ht="18" customHeight="1" x14ac:dyDescent="0.3">
      <c r="A708" s="2"/>
      <c r="B708" s="65" t="str">
        <f t="shared" si="40"/>
        <v/>
      </c>
      <c r="C708" s="60"/>
      <c r="D708" s="65" t="str">
        <f>IF($E708="","",IFERROR(INDEX(MUSTERILER!$B$7:$B$156,MATCH($U708,MUSTERILER!$T$7:$T$156,0)),IFERROR(INDEX(MUSTERILER!$B$7:$B$156,MATCH($E708,MUSTERILER!$B$7:$B$156,0)),IFERROR(INDEX(MUSTERILER!$B$7:$B$156,MATCH($U708&amp;"*",MUSTERILER!$T$7:$T$156,0)),"TANIMSIZ MÜŞTERİ"))))</f>
        <v/>
      </c>
      <c r="E708" s="61"/>
      <c r="F708" s="61"/>
      <c r="G708" s="60"/>
      <c r="H708" s="66"/>
      <c r="I708" s="66"/>
      <c r="J708" s="60"/>
      <c r="K708" s="60"/>
      <c r="L708" s="61"/>
      <c r="M708" s="61"/>
      <c r="N708" s="61"/>
      <c r="O708" s="66"/>
      <c r="P708" s="76" t="str">
        <f t="shared" ca="1" si="41"/>
        <v/>
      </c>
      <c r="Q708" s="65" t="str">
        <f t="shared" ca="1" si="42"/>
        <v/>
      </c>
      <c r="R708" s="2"/>
      <c r="S708" s="2"/>
      <c r="T708" s="1"/>
      <c r="U708" s="1" t="str">
        <f t="shared" si="43"/>
        <v/>
      </c>
    </row>
    <row r="709" spans="1:21" ht="18" customHeight="1" x14ac:dyDescent="0.3">
      <c r="A709" s="2"/>
      <c r="B709" s="65" t="str">
        <f t="shared" si="40"/>
        <v/>
      </c>
      <c r="C709" s="60"/>
      <c r="D709" s="65" t="str">
        <f>IF($E709="","",IFERROR(INDEX(MUSTERILER!$B$7:$B$156,MATCH($U709,MUSTERILER!$T$7:$T$156,0)),IFERROR(INDEX(MUSTERILER!$B$7:$B$156,MATCH($E709,MUSTERILER!$B$7:$B$156,0)),IFERROR(INDEX(MUSTERILER!$B$7:$B$156,MATCH($U709&amp;"*",MUSTERILER!$T$7:$T$156,0)),"TANIMSIZ MÜŞTERİ"))))</f>
        <v/>
      </c>
      <c r="E709" s="61"/>
      <c r="F709" s="61"/>
      <c r="G709" s="60"/>
      <c r="H709" s="66"/>
      <c r="I709" s="66"/>
      <c r="J709" s="60"/>
      <c r="K709" s="60"/>
      <c r="L709" s="61"/>
      <c r="M709" s="61"/>
      <c r="N709" s="61"/>
      <c r="O709" s="66"/>
      <c r="P709" s="76" t="str">
        <f t="shared" ca="1" si="41"/>
        <v/>
      </c>
      <c r="Q709" s="65" t="str">
        <f t="shared" ca="1" si="42"/>
        <v/>
      </c>
      <c r="R709" s="2"/>
      <c r="S709" s="2"/>
      <c r="T709" s="1"/>
      <c r="U709" s="1" t="str">
        <f t="shared" si="43"/>
        <v/>
      </c>
    </row>
    <row r="710" spans="1:21" ht="18" customHeight="1" x14ac:dyDescent="0.3">
      <c r="A710" s="2"/>
      <c r="B710" s="65" t="str">
        <f t="shared" si="40"/>
        <v/>
      </c>
      <c r="C710" s="60"/>
      <c r="D710" s="65" t="str">
        <f>IF($E710="","",IFERROR(INDEX(MUSTERILER!$B$7:$B$156,MATCH($U710,MUSTERILER!$T$7:$T$156,0)),IFERROR(INDEX(MUSTERILER!$B$7:$B$156,MATCH($E710,MUSTERILER!$B$7:$B$156,0)),IFERROR(INDEX(MUSTERILER!$B$7:$B$156,MATCH($U710&amp;"*",MUSTERILER!$T$7:$T$156,0)),"TANIMSIZ MÜŞTERİ"))))</f>
        <v/>
      </c>
      <c r="E710" s="61"/>
      <c r="F710" s="61"/>
      <c r="G710" s="60"/>
      <c r="H710" s="66"/>
      <c r="I710" s="66"/>
      <c r="J710" s="60"/>
      <c r="K710" s="60"/>
      <c r="L710" s="61"/>
      <c r="M710" s="61"/>
      <c r="N710" s="61"/>
      <c r="O710" s="66"/>
      <c r="P710" s="76" t="str">
        <f t="shared" ca="1" si="41"/>
        <v/>
      </c>
      <c r="Q710" s="65" t="str">
        <f t="shared" ca="1" si="42"/>
        <v/>
      </c>
      <c r="R710" s="2"/>
      <c r="S710" s="2"/>
      <c r="T710" s="1"/>
      <c r="U710" s="1" t="str">
        <f t="shared" si="43"/>
        <v/>
      </c>
    </row>
    <row r="711" spans="1:21" ht="18" customHeight="1" x14ac:dyDescent="0.3">
      <c r="A711" s="2"/>
      <c r="B711" s="65" t="str">
        <f t="shared" ref="B711:B774" si="44">IF($E711="","","A"&amp;TEXT(ROW()-6,"00000"))</f>
        <v/>
      </c>
      <c r="C711" s="60"/>
      <c r="D711" s="65" t="str">
        <f>IF($E711="","",IFERROR(INDEX(MUSTERILER!$B$7:$B$156,MATCH($U711,MUSTERILER!$T$7:$T$156,0)),IFERROR(INDEX(MUSTERILER!$B$7:$B$156,MATCH($E711,MUSTERILER!$B$7:$B$156,0)),IFERROR(INDEX(MUSTERILER!$B$7:$B$156,MATCH($U711&amp;"*",MUSTERILER!$T$7:$T$156,0)),"TANIMSIZ MÜŞTERİ"))))</f>
        <v/>
      </c>
      <c r="E711" s="61"/>
      <c r="F711" s="61"/>
      <c r="G711" s="60"/>
      <c r="H711" s="66"/>
      <c r="I711" s="66"/>
      <c r="J711" s="60"/>
      <c r="K711" s="60"/>
      <c r="L711" s="61"/>
      <c r="M711" s="61"/>
      <c r="N711" s="61"/>
      <c r="O711" s="66"/>
      <c r="P711" s="76" t="str">
        <f t="shared" ref="P711:P774" ca="1" si="45">IF(OR($E711="",$I711=""),"",IF(OR($J711="Tamamlandı",$J711="İptal"),"",$I711-TODAY()))</f>
        <v/>
      </c>
      <c r="Q711" s="65" t="str">
        <f t="shared" ref="Q711:Q774" ca="1" si="46"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2"/>
      <c r="S711" s="2"/>
      <c r="T711" s="1"/>
      <c r="U711" s="1" t="str">
        <f t="shared" ref="U711:U774" si="47">IF($E711="","",UPPER(SUBSTITUTE(SUBSTITUTE(SUBSTITUTE(SUBSTITUTE(SUBSTITUTE(SUBSTITUTE(SUBSTITUTE(SUBSTITUTE(SUBSTITUTE(SUBSTITUTE(SUBSTITUTE(SUBSTITUTE(SUBSTITUTE(SUBSTITUTE(SUBSTITUTE(SUBSTITUTE(SUBSTITUTE(SUBSTITUTE(TRIM($E711),"'",""),"İ","I"),"ı","I"),"i","I"),"Ş","S"),"ş","S"),"Ğ","G"),"ğ","G"),"Ü","U"),"ü","U"),"Ö","O"),"ö","O"),"Ç","C"),"ç","C"),".",""),",","")," ",""),"-","")))</f>
        <v/>
      </c>
    </row>
    <row r="712" spans="1:21" ht="18" customHeight="1" x14ac:dyDescent="0.3">
      <c r="A712" s="2"/>
      <c r="B712" s="65" t="str">
        <f t="shared" si="44"/>
        <v/>
      </c>
      <c r="C712" s="60"/>
      <c r="D712" s="65" t="str">
        <f>IF($E712="","",IFERROR(INDEX(MUSTERILER!$B$7:$B$156,MATCH($U712,MUSTERILER!$T$7:$T$156,0)),IFERROR(INDEX(MUSTERILER!$B$7:$B$156,MATCH($E712,MUSTERILER!$B$7:$B$156,0)),IFERROR(INDEX(MUSTERILER!$B$7:$B$156,MATCH($U712&amp;"*",MUSTERILER!$T$7:$T$156,0)),"TANIMSIZ MÜŞTERİ"))))</f>
        <v/>
      </c>
      <c r="E712" s="61"/>
      <c r="F712" s="61"/>
      <c r="G712" s="60"/>
      <c r="H712" s="66"/>
      <c r="I712" s="66"/>
      <c r="J712" s="60"/>
      <c r="K712" s="60"/>
      <c r="L712" s="61"/>
      <c r="M712" s="61"/>
      <c r="N712" s="61"/>
      <c r="O712" s="66"/>
      <c r="P712" s="76" t="str">
        <f t="shared" ca="1" si="45"/>
        <v/>
      </c>
      <c r="Q712" s="65" t="str">
        <f t="shared" ca="1" si="46"/>
        <v/>
      </c>
      <c r="R712" s="2"/>
      <c r="S712" s="2"/>
      <c r="T712" s="1"/>
      <c r="U712" s="1" t="str">
        <f t="shared" si="47"/>
        <v/>
      </c>
    </row>
    <row r="713" spans="1:21" ht="18" customHeight="1" x14ac:dyDescent="0.3">
      <c r="A713" s="2"/>
      <c r="B713" s="65" t="str">
        <f t="shared" si="44"/>
        <v/>
      </c>
      <c r="C713" s="60"/>
      <c r="D713" s="65" t="str">
        <f>IF($E713="","",IFERROR(INDEX(MUSTERILER!$B$7:$B$156,MATCH($U713,MUSTERILER!$T$7:$T$156,0)),IFERROR(INDEX(MUSTERILER!$B$7:$B$156,MATCH($E713,MUSTERILER!$B$7:$B$156,0)),IFERROR(INDEX(MUSTERILER!$B$7:$B$156,MATCH($U713&amp;"*",MUSTERILER!$T$7:$T$156,0)),"TANIMSIZ MÜŞTERİ"))))</f>
        <v/>
      </c>
      <c r="E713" s="61"/>
      <c r="F713" s="61"/>
      <c r="G713" s="60"/>
      <c r="H713" s="66"/>
      <c r="I713" s="66"/>
      <c r="J713" s="60"/>
      <c r="K713" s="60"/>
      <c r="L713" s="61"/>
      <c r="M713" s="61"/>
      <c r="N713" s="61"/>
      <c r="O713" s="66"/>
      <c r="P713" s="76" t="str">
        <f t="shared" ca="1" si="45"/>
        <v/>
      </c>
      <c r="Q713" s="65" t="str">
        <f t="shared" ca="1" si="46"/>
        <v/>
      </c>
      <c r="R713" s="2"/>
      <c r="S713" s="2"/>
      <c r="T713" s="1"/>
      <c r="U713" s="1" t="str">
        <f t="shared" si="47"/>
        <v/>
      </c>
    </row>
    <row r="714" spans="1:21" ht="18" customHeight="1" x14ac:dyDescent="0.3">
      <c r="A714" s="2"/>
      <c r="B714" s="65" t="str">
        <f t="shared" si="44"/>
        <v/>
      </c>
      <c r="C714" s="60"/>
      <c r="D714" s="65" t="str">
        <f>IF($E714="","",IFERROR(INDEX(MUSTERILER!$B$7:$B$156,MATCH($U714,MUSTERILER!$T$7:$T$156,0)),IFERROR(INDEX(MUSTERILER!$B$7:$B$156,MATCH($E714,MUSTERILER!$B$7:$B$156,0)),IFERROR(INDEX(MUSTERILER!$B$7:$B$156,MATCH($U714&amp;"*",MUSTERILER!$T$7:$T$156,0)),"TANIMSIZ MÜŞTERİ"))))</f>
        <v/>
      </c>
      <c r="E714" s="61"/>
      <c r="F714" s="61"/>
      <c r="G714" s="60"/>
      <c r="H714" s="66"/>
      <c r="I714" s="66"/>
      <c r="J714" s="60"/>
      <c r="K714" s="60"/>
      <c r="L714" s="61"/>
      <c r="M714" s="61"/>
      <c r="N714" s="61"/>
      <c r="O714" s="66"/>
      <c r="P714" s="76" t="str">
        <f t="shared" ca="1" si="45"/>
        <v/>
      </c>
      <c r="Q714" s="65" t="str">
        <f t="shared" ca="1" si="46"/>
        <v/>
      </c>
      <c r="R714" s="2"/>
      <c r="S714" s="2"/>
      <c r="T714" s="1"/>
      <c r="U714" s="1" t="str">
        <f t="shared" si="47"/>
        <v/>
      </c>
    </row>
    <row r="715" spans="1:21" ht="18" customHeight="1" x14ac:dyDescent="0.3">
      <c r="A715" s="2"/>
      <c r="B715" s="65" t="str">
        <f t="shared" si="44"/>
        <v/>
      </c>
      <c r="C715" s="60"/>
      <c r="D715" s="65" t="str">
        <f>IF($E715="","",IFERROR(INDEX(MUSTERILER!$B$7:$B$156,MATCH($U715,MUSTERILER!$T$7:$T$156,0)),IFERROR(INDEX(MUSTERILER!$B$7:$B$156,MATCH($E715,MUSTERILER!$B$7:$B$156,0)),IFERROR(INDEX(MUSTERILER!$B$7:$B$156,MATCH($U715&amp;"*",MUSTERILER!$T$7:$T$156,0)),"TANIMSIZ MÜŞTERİ"))))</f>
        <v/>
      </c>
      <c r="E715" s="61"/>
      <c r="F715" s="61"/>
      <c r="G715" s="60"/>
      <c r="H715" s="66"/>
      <c r="I715" s="66"/>
      <c r="J715" s="60"/>
      <c r="K715" s="60"/>
      <c r="L715" s="61"/>
      <c r="M715" s="61"/>
      <c r="N715" s="61"/>
      <c r="O715" s="66"/>
      <c r="P715" s="76" t="str">
        <f t="shared" ca="1" si="45"/>
        <v/>
      </c>
      <c r="Q715" s="65" t="str">
        <f t="shared" ca="1" si="46"/>
        <v/>
      </c>
      <c r="R715" s="2"/>
      <c r="S715" s="2"/>
      <c r="T715" s="1"/>
      <c r="U715" s="1" t="str">
        <f t="shared" si="47"/>
        <v/>
      </c>
    </row>
    <row r="716" spans="1:21" ht="18" customHeight="1" x14ac:dyDescent="0.3">
      <c r="A716" s="2"/>
      <c r="B716" s="65" t="str">
        <f t="shared" si="44"/>
        <v/>
      </c>
      <c r="C716" s="60"/>
      <c r="D716" s="65" t="str">
        <f>IF($E716="","",IFERROR(INDEX(MUSTERILER!$B$7:$B$156,MATCH($U716,MUSTERILER!$T$7:$T$156,0)),IFERROR(INDEX(MUSTERILER!$B$7:$B$156,MATCH($E716,MUSTERILER!$B$7:$B$156,0)),IFERROR(INDEX(MUSTERILER!$B$7:$B$156,MATCH($U716&amp;"*",MUSTERILER!$T$7:$T$156,0)),"TANIMSIZ MÜŞTERİ"))))</f>
        <v/>
      </c>
      <c r="E716" s="61"/>
      <c r="F716" s="61"/>
      <c r="G716" s="60"/>
      <c r="H716" s="66"/>
      <c r="I716" s="66"/>
      <c r="J716" s="60"/>
      <c r="K716" s="60"/>
      <c r="L716" s="61"/>
      <c r="M716" s="61"/>
      <c r="N716" s="61"/>
      <c r="O716" s="66"/>
      <c r="P716" s="76" t="str">
        <f t="shared" ca="1" si="45"/>
        <v/>
      </c>
      <c r="Q716" s="65" t="str">
        <f t="shared" ca="1" si="46"/>
        <v/>
      </c>
      <c r="R716" s="2"/>
      <c r="S716" s="2"/>
      <c r="T716" s="1"/>
      <c r="U716" s="1" t="str">
        <f t="shared" si="47"/>
        <v/>
      </c>
    </row>
    <row r="717" spans="1:21" ht="18" customHeight="1" x14ac:dyDescent="0.3">
      <c r="A717" s="2"/>
      <c r="B717" s="65" t="str">
        <f t="shared" si="44"/>
        <v/>
      </c>
      <c r="C717" s="60"/>
      <c r="D717" s="65" t="str">
        <f>IF($E717="","",IFERROR(INDEX(MUSTERILER!$B$7:$B$156,MATCH($U717,MUSTERILER!$T$7:$T$156,0)),IFERROR(INDEX(MUSTERILER!$B$7:$B$156,MATCH($E717,MUSTERILER!$B$7:$B$156,0)),IFERROR(INDEX(MUSTERILER!$B$7:$B$156,MATCH($U717&amp;"*",MUSTERILER!$T$7:$T$156,0)),"TANIMSIZ MÜŞTERİ"))))</f>
        <v/>
      </c>
      <c r="E717" s="61"/>
      <c r="F717" s="61"/>
      <c r="G717" s="60"/>
      <c r="H717" s="66"/>
      <c r="I717" s="66"/>
      <c r="J717" s="60"/>
      <c r="K717" s="60"/>
      <c r="L717" s="61"/>
      <c r="M717" s="61"/>
      <c r="N717" s="61"/>
      <c r="O717" s="66"/>
      <c r="P717" s="76" t="str">
        <f t="shared" ca="1" si="45"/>
        <v/>
      </c>
      <c r="Q717" s="65" t="str">
        <f t="shared" ca="1" si="46"/>
        <v/>
      </c>
      <c r="R717" s="2"/>
      <c r="S717" s="2"/>
      <c r="T717" s="1"/>
      <c r="U717" s="1" t="str">
        <f t="shared" si="47"/>
        <v/>
      </c>
    </row>
    <row r="718" spans="1:21" ht="18" customHeight="1" x14ac:dyDescent="0.3">
      <c r="A718" s="2"/>
      <c r="B718" s="65" t="str">
        <f t="shared" si="44"/>
        <v/>
      </c>
      <c r="C718" s="60"/>
      <c r="D718" s="65" t="str">
        <f>IF($E718="","",IFERROR(INDEX(MUSTERILER!$B$7:$B$156,MATCH($U718,MUSTERILER!$T$7:$T$156,0)),IFERROR(INDEX(MUSTERILER!$B$7:$B$156,MATCH($E718,MUSTERILER!$B$7:$B$156,0)),IFERROR(INDEX(MUSTERILER!$B$7:$B$156,MATCH($U718&amp;"*",MUSTERILER!$T$7:$T$156,0)),"TANIMSIZ MÜŞTERİ"))))</f>
        <v/>
      </c>
      <c r="E718" s="61"/>
      <c r="F718" s="61"/>
      <c r="G718" s="60"/>
      <c r="H718" s="66"/>
      <c r="I718" s="66"/>
      <c r="J718" s="60"/>
      <c r="K718" s="60"/>
      <c r="L718" s="61"/>
      <c r="M718" s="61"/>
      <c r="N718" s="61"/>
      <c r="O718" s="66"/>
      <c r="P718" s="76" t="str">
        <f t="shared" ca="1" si="45"/>
        <v/>
      </c>
      <c r="Q718" s="65" t="str">
        <f t="shared" ca="1" si="46"/>
        <v/>
      </c>
      <c r="R718" s="2"/>
      <c r="S718" s="2"/>
      <c r="T718" s="1"/>
      <c r="U718" s="1" t="str">
        <f t="shared" si="47"/>
        <v/>
      </c>
    </row>
    <row r="719" spans="1:21" ht="18" customHeight="1" x14ac:dyDescent="0.3">
      <c r="A719" s="2"/>
      <c r="B719" s="65" t="str">
        <f t="shared" si="44"/>
        <v/>
      </c>
      <c r="C719" s="60"/>
      <c r="D719" s="65" t="str">
        <f>IF($E719="","",IFERROR(INDEX(MUSTERILER!$B$7:$B$156,MATCH($U719,MUSTERILER!$T$7:$T$156,0)),IFERROR(INDEX(MUSTERILER!$B$7:$B$156,MATCH($E719,MUSTERILER!$B$7:$B$156,0)),IFERROR(INDEX(MUSTERILER!$B$7:$B$156,MATCH($U719&amp;"*",MUSTERILER!$T$7:$T$156,0)),"TANIMSIZ MÜŞTERİ"))))</f>
        <v/>
      </c>
      <c r="E719" s="61"/>
      <c r="F719" s="61"/>
      <c r="G719" s="60"/>
      <c r="H719" s="66"/>
      <c r="I719" s="66"/>
      <c r="J719" s="60"/>
      <c r="K719" s="60"/>
      <c r="L719" s="61"/>
      <c r="M719" s="61"/>
      <c r="N719" s="61"/>
      <c r="O719" s="66"/>
      <c r="P719" s="76" t="str">
        <f t="shared" ca="1" si="45"/>
        <v/>
      </c>
      <c r="Q719" s="65" t="str">
        <f t="shared" ca="1" si="46"/>
        <v/>
      </c>
      <c r="R719" s="2"/>
      <c r="S719" s="2"/>
      <c r="T719" s="1"/>
      <c r="U719" s="1" t="str">
        <f t="shared" si="47"/>
        <v/>
      </c>
    </row>
    <row r="720" spans="1:21" ht="18" customHeight="1" x14ac:dyDescent="0.3">
      <c r="A720" s="2"/>
      <c r="B720" s="65" t="str">
        <f t="shared" si="44"/>
        <v/>
      </c>
      <c r="C720" s="60"/>
      <c r="D720" s="65" t="str">
        <f>IF($E720="","",IFERROR(INDEX(MUSTERILER!$B$7:$B$156,MATCH($U720,MUSTERILER!$T$7:$T$156,0)),IFERROR(INDEX(MUSTERILER!$B$7:$B$156,MATCH($E720,MUSTERILER!$B$7:$B$156,0)),IFERROR(INDEX(MUSTERILER!$B$7:$B$156,MATCH($U720&amp;"*",MUSTERILER!$T$7:$T$156,0)),"TANIMSIZ MÜŞTERİ"))))</f>
        <v/>
      </c>
      <c r="E720" s="61"/>
      <c r="F720" s="61"/>
      <c r="G720" s="60"/>
      <c r="H720" s="66"/>
      <c r="I720" s="66"/>
      <c r="J720" s="60"/>
      <c r="K720" s="60"/>
      <c r="L720" s="61"/>
      <c r="M720" s="61"/>
      <c r="N720" s="61"/>
      <c r="O720" s="66"/>
      <c r="P720" s="76" t="str">
        <f t="shared" ca="1" si="45"/>
        <v/>
      </c>
      <c r="Q720" s="65" t="str">
        <f t="shared" ca="1" si="46"/>
        <v/>
      </c>
      <c r="R720" s="2"/>
      <c r="S720" s="2"/>
      <c r="T720" s="1"/>
      <c r="U720" s="1" t="str">
        <f t="shared" si="47"/>
        <v/>
      </c>
    </row>
    <row r="721" spans="1:21" ht="18" customHeight="1" x14ac:dyDescent="0.3">
      <c r="A721" s="2"/>
      <c r="B721" s="65" t="str">
        <f t="shared" si="44"/>
        <v/>
      </c>
      <c r="C721" s="60"/>
      <c r="D721" s="65" t="str">
        <f>IF($E721="","",IFERROR(INDEX(MUSTERILER!$B$7:$B$156,MATCH($U721,MUSTERILER!$T$7:$T$156,0)),IFERROR(INDEX(MUSTERILER!$B$7:$B$156,MATCH($E721,MUSTERILER!$B$7:$B$156,0)),IFERROR(INDEX(MUSTERILER!$B$7:$B$156,MATCH($U721&amp;"*",MUSTERILER!$T$7:$T$156,0)),"TANIMSIZ MÜŞTERİ"))))</f>
        <v/>
      </c>
      <c r="E721" s="61"/>
      <c r="F721" s="61"/>
      <c r="G721" s="60"/>
      <c r="H721" s="66"/>
      <c r="I721" s="66"/>
      <c r="J721" s="60"/>
      <c r="K721" s="60"/>
      <c r="L721" s="61"/>
      <c r="M721" s="61"/>
      <c r="N721" s="61"/>
      <c r="O721" s="66"/>
      <c r="P721" s="76" t="str">
        <f t="shared" ca="1" si="45"/>
        <v/>
      </c>
      <c r="Q721" s="65" t="str">
        <f t="shared" ca="1" si="46"/>
        <v/>
      </c>
      <c r="R721" s="2"/>
      <c r="S721" s="2"/>
      <c r="T721" s="1"/>
      <c r="U721" s="1" t="str">
        <f t="shared" si="47"/>
        <v/>
      </c>
    </row>
    <row r="722" spans="1:21" ht="18" customHeight="1" x14ac:dyDescent="0.3">
      <c r="A722" s="2"/>
      <c r="B722" s="65" t="str">
        <f t="shared" si="44"/>
        <v/>
      </c>
      <c r="C722" s="60"/>
      <c r="D722" s="65" t="str">
        <f>IF($E722="","",IFERROR(INDEX(MUSTERILER!$B$7:$B$156,MATCH($U722,MUSTERILER!$T$7:$T$156,0)),IFERROR(INDEX(MUSTERILER!$B$7:$B$156,MATCH($E722,MUSTERILER!$B$7:$B$156,0)),IFERROR(INDEX(MUSTERILER!$B$7:$B$156,MATCH($U722&amp;"*",MUSTERILER!$T$7:$T$156,0)),"TANIMSIZ MÜŞTERİ"))))</f>
        <v/>
      </c>
      <c r="E722" s="61"/>
      <c r="F722" s="61"/>
      <c r="G722" s="60"/>
      <c r="H722" s="66"/>
      <c r="I722" s="66"/>
      <c r="J722" s="60"/>
      <c r="K722" s="60"/>
      <c r="L722" s="61"/>
      <c r="M722" s="61"/>
      <c r="N722" s="61"/>
      <c r="O722" s="66"/>
      <c r="P722" s="76" t="str">
        <f t="shared" ca="1" si="45"/>
        <v/>
      </c>
      <c r="Q722" s="65" t="str">
        <f t="shared" ca="1" si="46"/>
        <v/>
      </c>
      <c r="R722" s="2"/>
      <c r="S722" s="2"/>
      <c r="T722" s="1"/>
      <c r="U722" s="1" t="str">
        <f t="shared" si="47"/>
        <v/>
      </c>
    </row>
    <row r="723" spans="1:21" ht="18" customHeight="1" x14ac:dyDescent="0.3">
      <c r="A723" s="2"/>
      <c r="B723" s="65" t="str">
        <f t="shared" si="44"/>
        <v/>
      </c>
      <c r="C723" s="60"/>
      <c r="D723" s="65" t="str">
        <f>IF($E723="","",IFERROR(INDEX(MUSTERILER!$B$7:$B$156,MATCH($U723,MUSTERILER!$T$7:$T$156,0)),IFERROR(INDEX(MUSTERILER!$B$7:$B$156,MATCH($E723,MUSTERILER!$B$7:$B$156,0)),IFERROR(INDEX(MUSTERILER!$B$7:$B$156,MATCH($U723&amp;"*",MUSTERILER!$T$7:$T$156,0)),"TANIMSIZ MÜŞTERİ"))))</f>
        <v/>
      </c>
      <c r="E723" s="61"/>
      <c r="F723" s="61"/>
      <c r="G723" s="60"/>
      <c r="H723" s="66"/>
      <c r="I723" s="66"/>
      <c r="J723" s="60"/>
      <c r="K723" s="60"/>
      <c r="L723" s="61"/>
      <c r="M723" s="61"/>
      <c r="N723" s="61"/>
      <c r="O723" s="66"/>
      <c r="P723" s="76" t="str">
        <f t="shared" ca="1" si="45"/>
        <v/>
      </c>
      <c r="Q723" s="65" t="str">
        <f t="shared" ca="1" si="46"/>
        <v/>
      </c>
      <c r="R723" s="2"/>
      <c r="S723" s="2"/>
      <c r="T723" s="1"/>
      <c r="U723" s="1" t="str">
        <f t="shared" si="47"/>
        <v/>
      </c>
    </row>
    <row r="724" spans="1:21" ht="18" customHeight="1" x14ac:dyDescent="0.3">
      <c r="A724" s="2"/>
      <c r="B724" s="65" t="str">
        <f t="shared" si="44"/>
        <v/>
      </c>
      <c r="C724" s="60"/>
      <c r="D724" s="65" t="str">
        <f>IF($E724="","",IFERROR(INDEX(MUSTERILER!$B$7:$B$156,MATCH($U724,MUSTERILER!$T$7:$T$156,0)),IFERROR(INDEX(MUSTERILER!$B$7:$B$156,MATCH($E724,MUSTERILER!$B$7:$B$156,0)),IFERROR(INDEX(MUSTERILER!$B$7:$B$156,MATCH($U724&amp;"*",MUSTERILER!$T$7:$T$156,0)),"TANIMSIZ MÜŞTERİ"))))</f>
        <v/>
      </c>
      <c r="E724" s="61"/>
      <c r="F724" s="61"/>
      <c r="G724" s="60"/>
      <c r="H724" s="66"/>
      <c r="I724" s="66"/>
      <c r="J724" s="60"/>
      <c r="K724" s="60"/>
      <c r="L724" s="61"/>
      <c r="M724" s="61"/>
      <c r="N724" s="61"/>
      <c r="O724" s="66"/>
      <c r="P724" s="76" t="str">
        <f t="shared" ca="1" si="45"/>
        <v/>
      </c>
      <c r="Q724" s="65" t="str">
        <f t="shared" ca="1" si="46"/>
        <v/>
      </c>
      <c r="R724" s="2"/>
      <c r="S724" s="2"/>
      <c r="T724" s="1"/>
      <c r="U724" s="1" t="str">
        <f t="shared" si="47"/>
        <v/>
      </c>
    </row>
    <row r="725" spans="1:21" ht="18" customHeight="1" x14ac:dyDescent="0.3">
      <c r="A725" s="2"/>
      <c r="B725" s="65" t="str">
        <f t="shared" si="44"/>
        <v/>
      </c>
      <c r="C725" s="60"/>
      <c r="D725" s="65" t="str">
        <f>IF($E725="","",IFERROR(INDEX(MUSTERILER!$B$7:$B$156,MATCH($U725,MUSTERILER!$T$7:$T$156,0)),IFERROR(INDEX(MUSTERILER!$B$7:$B$156,MATCH($E725,MUSTERILER!$B$7:$B$156,0)),IFERROR(INDEX(MUSTERILER!$B$7:$B$156,MATCH($U725&amp;"*",MUSTERILER!$T$7:$T$156,0)),"TANIMSIZ MÜŞTERİ"))))</f>
        <v/>
      </c>
      <c r="E725" s="61"/>
      <c r="F725" s="61"/>
      <c r="G725" s="60"/>
      <c r="H725" s="66"/>
      <c r="I725" s="66"/>
      <c r="J725" s="60"/>
      <c r="K725" s="60"/>
      <c r="L725" s="61"/>
      <c r="M725" s="61"/>
      <c r="N725" s="61"/>
      <c r="O725" s="66"/>
      <c r="P725" s="76" t="str">
        <f t="shared" ca="1" si="45"/>
        <v/>
      </c>
      <c r="Q725" s="65" t="str">
        <f t="shared" ca="1" si="46"/>
        <v/>
      </c>
      <c r="R725" s="2"/>
      <c r="S725" s="2"/>
      <c r="T725" s="1"/>
      <c r="U725" s="1" t="str">
        <f t="shared" si="47"/>
        <v/>
      </c>
    </row>
    <row r="726" spans="1:21" ht="18" customHeight="1" x14ac:dyDescent="0.3">
      <c r="A726" s="2"/>
      <c r="B726" s="65" t="str">
        <f t="shared" si="44"/>
        <v/>
      </c>
      <c r="C726" s="60"/>
      <c r="D726" s="65" t="str">
        <f>IF($E726="","",IFERROR(INDEX(MUSTERILER!$B$7:$B$156,MATCH($U726,MUSTERILER!$T$7:$T$156,0)),IFERROR(INDEX(MUSTERILER!$B$7:$B$156,MATCH($E726,MUSTERILER!$B$7:$B$156,0)),IFERROR(INDEX(MUSTERILER!$B$7:$B$156,MATCH($U726&amp;"*",MUSTERILER!$T$7:$T$156,0)),"TANIMSIZ MÜŞTERİ"))))</f>
        <v/>
      </c>
      <c r="E726" s="61"/>
      <c r="F726" s="61"/>
      <c r="G726" s="60"/>
      <c r="H726" s="66"/>
      <c r="I726" s="66"/>
      <c r="J726" s="60"/>
      <c r="K726" s="60"/>
      <c r="L726" s="61"/>
      <c r="M726" s="61"/>
      <c r="N726" s="61"/>
      <c r="O726" s="66"/>
      <c r="P726" s="76" t="str">
        <f t="shared" ca="1" si="45"/>
        <v/>
      </c>
      <c r="Q726" s="65" t="str">
        <f t="shared" ca="1" si="46"/>
        <v/>
      </c>
      <c r="R726" s="2"/>
      <c r="S726" s="2"/>
      <c r="T726" s="1"/>
      <c r="U726" s="1" t="str">
        <f t="shared" si="47"/>
        <v/>
      </c>
    </row>
    <row r="727" spans="1:21" ht="18" customHeight="1" x14ac:dyDescent="0.3">
      <c r="A727" s="2"/>
      <c r="B727" s="65" t="str">
        <f t="shared" si="44"/>
        <v/>
      </c>
      <c r="C727" s="60"/>
      <c r="D727" s="65" t="str">
        <f>IF($E727="","",IFERROR(INDEX(MUSTERILER!$B$7:$B$156,MATCH($U727,MUSTERILER!$T$7:$T$156,0)),IFERROR(INDEX(MUSTERILER!$B$7:$B$156,MATCH($E727,MUSTERILER!$B$7:$B$156,0)),IFERROR(INDEX(MUSTERILER!$B$7:$B$156,MATCH($U727&amp;"*",MUSTERILER!$T$7:$T$156,0)),"TANIMSIZ MÜŞTERİ"))))</f>
        <v/>
      </c>
      <c r="E727" s="61"/>
      <c r="F727" s="61"/>
      <c r="G727" s="60"/>
      <c r="H727" s="66"/>
      <c r="I727" s="66"/>
      <c r="J727" s="60"/>
      <c r="K727" s="60"/>
      <c r="L727" s="61"/>
      <c r="M727" s="61"/>
      <c r="N727" s="61"/>
      <c r="O727" s="66"/>
      <c r="P727" s="76" t="str">
        <f t="shared" ca="1" si="45"/>
        <v/>
      </c>
      <c r="Q727" s="65" t="str">
        <f t="shared" ca="1" si="46"/>
        <v/>
      </c>
      <c r="R727" s="2"/>
      <c r="S727" s="2"/>
      <c r="T727" s="1"/>
      <c r="U727" s="1" t="str">
        <f t="shared" si="47"/>
        <v/>
      </c>
    </row>
    <row r="728" spans="1:21" ht="18" customHeight="1" x14ac:dyDescent="0.3">
      <c r="A728" s="2"/>
      <c r="B728" s="65" t="str">
        <f t="shared" si="44"/>
        <v/>
      </c>
      <c r="C728" s="60"/>
      <c r="D728" s="65" t="str">
        <f>IF($E728="","",IFERROR(INDEX(MUSTERILER!$B$7:$B$156,MATCH($U728,MUSTERILER!$T$7:$T$156,0)),IFERROR(INDEX(MUSTERILER!$B$7:$B$156,MATCH($E728,MUSTERILER!$B$7:$B$156,0)),IFERROR(INDEX(MUSTERILER!$B$7:$B$156,MATCH($U728&amp;"*",MUSTERILER!$T$7:$T$156,0)),"TANIMSIZ MÜŞTERİ"))))</f>
        <v/>
      </c>
      <c r="E728" s="61"/>
      <c r="F728" s="61"/>
      <c r="G728" s="60"/>
      <c r="H728" s="66"/>
      <c r="I728" s="66"/>
      <c r="J728" s="60"/>
      <c r="K728" s="60"/>
      <c r="L728" s="61"/>
      <c r="M728" s="61"/>
      <c r="N728" s="61"/>
      <c r="O728" s="66"/>
      <c r="P728" s="76" t="str">
        <f t="shared" ca="1" si="45"/>
        <v/>
      </c>
      <c r="Q728" s="65" t="str">
        <f t="shared" ca="1" si="46"/>
        <v/>
      </c>
      <c r="R728" s="2"/>
      <c r="S728" s="2"/>
      <c r="T728" s="1"/>
      <c r="U728" s="1" t="str">
        <f t="shared" si="47"/>
        <v/>
      </c>
    </row>
    <row r="729" spans="1:21" ht="18" customHeight="1" x14ac:dyDescent="0.3">
      <c r="A729" s="2"/>
      <c r="B729" s="65" t="str">
        <f t="shared" si="44"/>
        <v/>
      </c>
      <c r="C729" s="60"/>
      <c r="D729" s="65" t="str">
        <f>IF($E729="","",IFERROR(INDEX(MUSTERILER!$B$7:$B$156,MATCH($U729,MUSTERILER!$T$7:$T$156,0)),IFERROR(INDEX(MUSTERILER!$B$7:$B$156,MATCH($E729,MUSTERILER!$B$7:$B$156,0)),IFERROR(INDEX(MUSTERILER!$B$7:$B$156,MATCH($U729&amp;"*",MUSTERILER!$T$7:$T$156,0)),"TANIMSIZ MÜŞTERİ"))))</f>
        <v/>
      </c>
      <c r="E729" s="61"/>
      <c r="F729" s="61"/>
      <c r="G729" s="60"/>
      <c r="H729" s="66"/>
      <c r="I729" s="66"/>
      <c r="J729" s="60"/>
      <c r="K729" s="60"/>
      <c r="L729" s="61"/>
      <c r="M729" s="61"/>
      <c r="N729" s="61"/>
      <c r="O729" s="66"/>
      <c r="P729" s="76" t="str">
        <f t="shared" ca="1" si="45"/>
        <v/>
      </c>
      <c r="Q729" s="65" t="str">
        <f t="shared" ca="1" si="46"/>
        <v/>
      </c>
      <c r="R729" s="2"/>
      <c r="S729" s="2"/>
      <c r="T729" s="1"/>
      <c r="U729" s="1" t="str">
        <f t="shared" si="47"/>
        <v/>
      </c>
    </row>
    <row r="730" spans="1:21" ht="18" customHeight="1" x14ac:dyDescent="0.3">
      <c r="A730" s="2"/>
      <c r="B730" s="65" t="str">
        <f t="shared" si="44"/>
        <v/>
      </c>
      <c r="C730" s="60"/>
      <c r="D730" s="65" t="str">
        <f>IF($E730="","",IFERROR(INDEX(MUSTERILER!$B$7:$B$156,MATCH($U730,MUSTERILER!$T$7:$T$156,0)),IFERROR(INDEX(MUSTERILER!$B$7:$B$156,MATCH($E730,MUSTERILER!$B$7:$B$156,0)),IFERROR(INDEX(MUSTERILER!$B$7:$B$156,MATCH($U730&amp;"*",MUSTERILER!$T$7:$T$156,0)),"TANIMSIZ MÜŞTERİ"))))</f>
        <v/>
      </c>
      <c r="E730" s="61"/>
      <c r="F730" s="61"/>
      <c r="G730" s="60"/>
      <c r="H730" s="66"/>
      <c r="I730" s="66"/>
      <c r="J730" s="60"/>
      <c r="K730" s="60"/>
      <c r="L730" s="61"/>
      <c r="M730" s="61"/>
      <c r="N730" s="61"/>
      <c r="O730" s="66"/>
      <c r="P730" s="76" t="str">
        <f t="shared" ca="1" si="45"/>
        <v/>
      </c>
      <c r="Q730" s="65" t="str">
        <f t="shared" ca="1" si="46"/>
        <v/>
      </c>
      <c r="R730" s="2"/>
      <c r="S730" s="2"/>
      <c r="T730" s="1"/>
      <c r="U730" s="1" t="str">
        <f t="shared" si="47"/>
        <v/>
      </c>
    </row>
    <row r="731" spans="1:21" ht="18" customHeight="1" x14ac:dyDescent="0.3">
      <c r="A731" s="2"/>
      <c r="B731" s="65" t="str">
        <f t="shared" si="44"/>
        <v/>
      </c>
      <c r="C731" s="60"/>
      <c r="D731" s="65" t="str">
        <f>IF($E731="","",IFERROR(INDEX(MUSTERILER!$B$7:$B$156,MATCH($U731,MUSTERILER!$T$7:$T$156,0)),IFERROR(INDEX(MUSTERILER!$B$7:$B$156,MATCH($E731,MUSTERILER!$B$7:$B$156,0)),IFERROR(INDEX(MUSTERILER!$B$7:$B$156,MATCH($U731&amp;"*",MUSTERILER!$T$7:$T$156,0)),"TANIMSIZ MÜŞTERİ"))))</f>
        <v/>
      </c>
      <c r="E731" s="61"/>
      <c r="F731" s="61"/>
      <c r="G731" s="60"/>
      <c r="H731" s="66"/>
      <c r="I731" s="66"/>
      <c r="J731" s="60"/>
      <c r="K731" s="60"/>
      <c r="L731" s="61"/>
      <c r="M731" s="61"/>
      <c r="N731" s="61"/>
      <c r="O731" s="66"/>
      <c r="P731" s="76" t="str">
        <f t="shared" ca="1" si="45"/>
        <v/>
      </c>
      <c r="Q731" s="65" t="str">
        <f t="shared" ca="1" si="46"/>
        <v/>
      </c>
      <c r="R731" s="2"/>
      <c r="S731" s="2"/>
      <c r="T731" s="1"/>
      <c r="U731" s="1" t="str">
        <f t="shared" si="47"/>
        <v/>
      </c>
    </row>
    <row r="732" spans="1:21" ht="18" customHeight="1" x14ac:dyDescent="0.3">
      <c r="A732" s="2"/>
      <c r="B732" s="65" t="str">
        <f t="shared" si="44"/>
        <v/>
      </c>
      <c r="C732" s="60"/>
      <c r="D732" s="65" t="str">
        <f>IF($E732="","",IFERROR(INDEX(MUSTERILER!$B$7:$B$156,MATCH($U732,MUSTERILER!$T$7:$T$156,0)),IFERROR(INDEX(MUSTERILER!$B$7:$B$156,MATCH($E732,MUSTERILER!$B$7:$B$156,0)),IFERROR(INDEX(MUSTERILER!$B$7:$B$156,MATCH($U732&amp;"*",MUSTERILER!$T$7:$T$156,0)),"TANIMSIZ MÜŞTERİ"))))</f>
        <v/>
      </c>
      <c r="E732" s="61"/>
      <c r="F732" s="61"/>
      <c r="G732" s="60"/>
      <c r="H732" s="66"/>
      <c r="I732" s="66"/>
      <c r="J732" s="60"/>
      <c r="K732" s="60"/>
      <c r="L732" s="61"/>
      <c r="M732" s="61"/>
      <c r="N732" s="61"/>
      <c r="O732" s="66"/>
      <c r="P732" s="76" t="str">
        <f t="shared" ca="1" si="45"/>
        <v/>
      </c>
      <c r="Q732" s="65" t="str">
        <f t="shared" ca="1" si="46"/>
        <v/>
      </c>
      <c r="R732" s="2"/>
      <c r="S732" s="2"/>
      <c r="T732" s="1"/>
      <c r="U732" s="1" t="str">
        <f t="shared" si="47"/>
        <v/>
      </c>
    </row>
    <row r="733" spans="1:21" ht="18" customHeight="1" x14ac:dyDescent="0.3">
      <c r="A733" s="2"/>
      <c r="B733" s="65" t="str">
        <f t="shared" si="44"/>
        <v/>
      </c>
      <c r="C733" s="60"/>
      <c r="D733" s="65" t="str">
        <f>IF($E733="","",IFERROR(INDEX(MUSTERILER!$B$7:$B$156,MATCH($U733,MUSTERILER!$T$7:$T$156,0)),IFERROR(INDEX(MUSTERILER!$B$7:$B$156,MATCH($E733,MUSTERILER!$B$7:$B$156,0)),IFERROR(INDEX(MUSTERILER!$B$7:$B$156,MATCH($U733&amp;"*",MUSTERILER!$T$7:$T$156,0)),"TANIMSIZ MÜŞTERİ"))))</f>
        <v/>
      </c>
      <c r="E733" s="61"/>
      <c r="F733" s="61"/>
      <c r="G733" s="60"/>
      <c r="H733" s="66"/>
      <c r="I733" s="66"/>
      <c r="J733" s="60"/>
      <c r="K733" s="60"/>
      <c r="L733" s="61"/>
      <c r="M733" s="61"/>
      <c r="N733" s="61"/>
      <c r="O733" s="66"/>
      <c r="P733" s="76" t="str">
        <f t="shared" ca="1" si="45"/>
        <v/>
      </c>
      <c r="Q733" s="65" t="str">
        <f t="shared" ca="1" si="46"/>
        <v/>
      </c>
      <c r="R733" s="2"/>
      <c r="S733" s="2"/>
      <c r="T733" s="1"/>
      <c r="U733" s="1" t="str">
        <f t="shared" si="47"/>
        <v/>
      </c>
    </row>
    <row r="734" spans="1:21" ht="18" customHeight="1" x14ac:dyDescent="0.3">
      <c r="A734" s="2"/>
      <c r="B734" s="65" t="str">
        <f t="shared" si="44"/>
        <v/>
      </c>
      <c r="C734" s="60"/>
      <c r="D734" s="65" t="str">
        <f>IF($E734="","",IFERROR(INDEX(MUSTERILER!$B$7:$B$156,MATCH($U734,MUSTERILER!$T$7:$T$156,0)),IFERROR(INDEX(MUSTERILER!$B$7:$B$156,MATCH($E734,MUSTERILER!$B$7:$B$156,0)),IFERROR(INDEX(MUSTERILER!$B$7:$B$156,MATCH($U734&amp;"*",MUSTERILER!$T$7:$T$156,0)),"TANIMSIZ MÜŞTERİ"))))</f>
        <v/>
      </c>
      <c r="E734" s="61"/>
      <c r="F734" s="61"/>
      <c r="G734" s="60"/>
      <c r="H734" s="66"/>
      <c r="I734" s="66"/>
      <c r="J734" s="60"/>
      <c r="K734" s="60"/>
      <c r="L734" s="61"/>
      <c r="M734" s="61"/>
      <c r="N734" s="61"/>
      <c r="O734" s="66"/>
      <c r="P734" s="76" t="str">
        <f t="shared" ca="1" si="45"/>
        <v/>
      </c>
      <c r="Q734" s="65" t="str">
        <f t="shared" ca="1" si="46"/>
        <v/>
      </c>
      <c r="R734" s="2"/>
      <c r="S734" s="2"/>
      <c r="T734" s="1"/>
      <c r="U734" s="1" t="str">
        <f t="shared" si="47"/>
        <v/>
      </c>
    </row>
    <row r="735" spans="1:21" ht="18" customHeight="1" x14ac:dyDescent="0.3">
      <c r="A735" s="2"/>
      <c r="B735" s="65" t="str">
        <f t="shared" si="44"/>
        <v/>
      </c>
      <c r="C735" s="60"/>
      <c r="D735" s="65" t="str">
        <f>IF($E735="","",IFERROR(INDEX(MUSTERILER!$B$7:$B$156,MATCH($U735,MUSTERILER!$T$7:$T$156,0)),IFERROR(INDEX(MUSTERILER!$B$7:$B$156,MATCH($E735,MUSTERILER!$B$7:$B$156,0)),IFERROR(INDEX(MUSTERILER!$B$7:$B$156,MATCH($U735&amp;"*",MUSTERILER!$T$7:$T$156,0)),"TANIMSIZ MÜŞTERİ"))))</f>
        <v/>
      </c>
      <c r="E735" s="61"/>
      <c r="F735" s="61"/>
      <c r="G735" s="60"/>
      <c r="H735" s="66"/>
      <c r="I735" s="66"/>
      <c r="J735" s="60"/>
      <c r="K735" s="60"/>
      <c r="L735" s="61"/>
      <c r="M735" s="61"/>
      <c r="N735" s="61"/>
      <c r="O735" s="66"/>
      <c r="P735" s="76" t="str">
        <f t="shared" ca="1" si="45"/>
        <v/>
      </c>
      <c r="Q735" s="65" t="str">
        <f t="shared" ca="1" si="46"/>
        <v/>
      </c>
      <c r="R735" s="2"/>
      <c r="S735" s="2"/>
      <c r="T735" s="1"/>
      <c r="U735" s="1" t="str">
        <f t="shared" si="47"/>
        <v/>
      </c>
    </row>
    <row r="736" spans="1:21" ht="18" customHeight="1" x14ac:dyDescent="0.3">
      <c r="A736" s="2"/>
      <c r="B736" s="65" t="str">
        <f t="shared" si="44"/>
        <v/>
      </c>
      <c r="C736" s="60"/>
      <c r="D736" s="65" t="str">
        <f>IF($E736="","",IFERROR(INDEX(MUSTERILER!$B$7:$B$156,MATCH($U736,MUSTERILER!$T$7:$T$156,0)),IFERROR(INDEX(MUSTERILER!$B$7:$B$156,MATCH($E736,MUSTERILER!$B$7:$B$156,0)),IFERROR(INDEX(MUSTERILER!$B$7:$B$156,MATCH($U736&amp;"*",MUSTERILER!$T$7:$T$156,0)),"TANIMSIZ MÜŞTERİ"))))</f>
        <v/>
      </c>
      <c r="E736" s="61"/>
      <c r="F736" s="61"/>
      <c r="G736" s="60"/>
      <c r="H736" s="66"/>
      <c r="I736" s="66"/>
      <c r="J736" s="60"/>
      <c r="K736" s="60"/>
      <c r="L736" s="61"/>
      <c r="M736" s="61"/>
      <c r="N736" s="61"/>
      <c r="O736" s="66"/>
      <c r="P736" s="76" t="str">
        <f t="shared" ca="1" si="45"/>
        <v/>
      </c>
      <c r="Q736" s="65" t="str">
        <f t="shared" ca="1" si="46"/>
        <v/>
      </c>
      <c r="R736" s="2"/>
      <c r="S736" s="2"/>
      <c r="T736" s="1"/>
      <c r="U736" s="1" t="str">
        <f t="shared" si="47"/>
        <v/>
      </c>
    </row>
    <row r="737" spans="1:21" ht="18" customHeight="1" x14ac:dyDescent="0.3">
      <c r="A737" s="2"/>
      <c r="B737" s="65" t="str">
        <f t="shared" si="44"/>
        <v/>
      </c>
      <c r="C737" s="60"/>
      <c r="D737" s="65" t="str">
        <f>IF($E737="","",IFERROR(INDEX(MUSTERILER!$B$7:$B$156,MATCH($U737,MUSTERILER!$T$7:$T$156,0)),IFERROR(INDEX(MUSTERILER!$B$7:$B$156,MATCH($E737,MUSTERILER!$B$7:$B$156,0)),IFERROR(INDEX(MUSTERILER!$B$7:$B$156,MATCH($U737&amp;"*",MUSTERILER!$T$7:$T$156,0)),"TANIMSIZ MÜŞTERİ"))))</f>
        <v/>
      </c>
      <c r="E737" s="61"/>
      <c r="F737" s="61"/>
      <c r="G737" s="60"/>
      <c r="H737" s="66"/>
      <c r="I737" s="66"/>
      <c r="J737" s="60"/>
      <c r="K737" s="60"/>
      <c r="L737" s="61"/>
      <c r="M737" s="61"/>
      <c r="N737" s="61"/>
      <c r="O737" s="66"/>
      <c r="P737" s="76" t="str">
        <f t="shared" ca="1" si="45"/>
        <v/>
      </c>
      <c r="Q737" s="65" t="str">
        <f t="shared" ca="1" si="46"/>
        <v/>
      </c>
      <c r="R737" s="2"/>
      <c r="S737" s="2"/>
      <c r="T737" s="1"/>
      <c r="U737" s="1" t="str">
        <f t="shared" si="47"/>
        <v/>
      </c>
    </row>
    <row r="738" spans="1:21" ht="18" customHeight="1" x14ac:dyDescent="0.3">
      <c r="A738" s="2"/>
      <c r="B738" s="65" t="str">
        <f t="shared" si="44"/>
        <v/>
      </c>
      <c r="C738" s="60"/>
      <c r="D738" s="65" t="str">
        <f>IF($E738="","",IFERROR(INDEX(MUSTERILER!$B$7:$B$156,MATCH($U738,MUSTERILER!$T$7:$T$156,0)),IFERROR(INDEX(MUSTERILER!$B$7:$B$156,MATCH($E738,MUSTERILER!$B$7:$B$156,0)),IFERROR(INDEX(MUSTERILER!$B$7:$B$156,MATCH($U738&amp;"*",MUSTERILER!$T$7:$T$156,0)),"TANIMSIZ MÜŞTERİ"))))</f>
        <v/>
      </c>
      <c r="E738" s="61"/>
      <c r="F738" s="61"/>
      <c r="G738" s="60"/>
      <c r="H738" s="66"/>
      <c r="I738" s="66"/>
      <c r="J738" s="60"/>
      <c r="K738" s="60"/>
      <c r="L738" s="61"/>
      <c r="M738" s="61"/>
      <c r="N738" s="61"/>
      <c r="O738" s="66"/>
      <c r="P738" s="76" t="str">
        <f t="shared" ca="1" si="45"/>
        <v/>
      </c>
      <c r="Q738" s="65" t="str">
        <f t="shared" ca="1" si="46"/>
        <v/>
      </c>
      <c r="R738" s="2"/>
      <c r="S738" s="2"/>
      <c r="T738" s="1"/>
      <c r="U738" s="1" t="str">
        <f t="shared" si="47"/>
        <v/>
      </c>
    </row>
    <row r="739" spans="1:21" ht="18" customHeight="1" x14ac:dyDescent="0.3">
      <c r="A739" s="2"/>
      <c r="B739" s="65" t="str">
        <f t="shared" si="44"/>
        <v/>
      </c>
      <c r="C739" s="60"/>
      <c r="D739" s="65" t="str">
        <f>IF($E739="","",IFERROR(INDEX(MUSTERILER!$B$7:$B$156,MATCH($U739,MUSTERILER!$T$7:$T$156,0)),IFERROR(INDEX(MUSTERILER!$B$7:$B$156,MATCH($E739,MUSTERILER!$B$7:$B$156,0)),IFERROR(INDEX(MUSTERILER!$B$7:$B$156,MATCH($U739&amp;"*",MUSTERILER!$T$7:$T$156,0)),"TANIMSIZ MÜŞTERİ"))))</f>
        <v/>
      </c>
      <c r="E739" s="61"/>
      <c r="F739" s="61"/>
      <c r="G739" s="60"/>
      <c r="H739" s="66"/>
      <c r="I739" s="66"/>
      <c r="J739" s="60"/>
      <c r="K739" s="60"/>
      <c r="L739" s="61"/>
      <c r="M739" s="61"/>
      <c r="N739" s="61"/>
      <c r="O739" s="66"/>
      <c r="P739" s="76" t="str">
        <f t="shared" ca="1" si="45"/>
        <v/>
      </c>
      <c r="Q739" s="65" t="str">
        <f t="shared" ca="1" si="46"/>
        <v/>
      </c>
      <c r="R739" s="2"/>
      <c r="S739" s="2"/>
      <c r="T739" s="1"/>
      <c r="U739" s="1" t="str">
        <f t="shared" si="47"/>
        <v/>
      </c>
    </row>
    <row r="740" spans="1:21" ht="18" customHeight="1" x14ac:dyDescent="0.3">
      <c r="A740" s="2"/>
      <c r="B740" s="65" t="str">
        <f t="shared" si="44"/>
        <v/>
      </c>
      <c r="C740" s="60"/>
      <c r="D740" s="65" t="str">
        <f>IF($E740="","",IFERROR(INDEX(MUSTERILER!$B$7:$B$156,MATCH($U740,MUSTERILER!$T$7:$T$156,0)),IFERROR(INDEX(MUSTERILER!$B$7:$B$156,MATCH($E740,MUSTERILER!$B$7:$B$156,0)),IFERROR(INDEX(MUSTERILER!$B$7:$B$156,MATCH($U740&amp;"*",MUSTERILER!$T$7:$T$156,0)),"TANIMSIZ MÜŞTERİ"))))</f>
        <v/>
      </c>
      <c r="E740" s="61"/>
      <c r="F740" s="61"/>
      <c r="G740" s="60"/>
      <c r="H740" s="66"/>
      <c r="I740" s="66"/>
      <c r="J740" s="60"/>
      <c r="K740" s="60"/>
      <c r="L740" s="61"/>
      <c r="M740" s="61"/>
      <c r="N740" s="61"/>
      <c r="O740" s="66"/>
      <c r="P740" s="76" t="str">
        <f t="shared" ca="1" si="45"/>
        <v/>
      </c>
      <c r="Q740" s="65" t="str">
        <f t="shared" ca="1" si="46"/>
        <v/>
      </c>
      <c r="R740" s="2"/>
      <c r="S740" s="2"/>
      <c r="T740" s="1"/>
      <c r="U740" s="1" t="str">
        <f t="shared" si="47"/>
        <v/>
      </c>
    </row>
    <row r="741" spans="1:21" ht="18" customHeight="1" x14ac:dyDescent="0.3">
      <c r="A741" s="2"/>
      <c r="B741" s="65" t="str">
        <f t="shared" si="44"/>
        <v/>
      </c>
      <c r="C741" s="60"/>
      <c r="D741" s="65" t="str">
        <f>IF($E741="","",IFERROR(INDEX(MUSTERILER!$B$7:$B$156,MATCH($U741,MUSTERILER!$T$7:$T$156,0)),IFERROR(INDEX(MUSTERILER!$B$7:$B$156,MATCH($E741,MUSTERILER!$B$7:$B$156,0)),IFERROR(INDEX(MUSTERILER!$B$7:$B$156,MATCH($U741&amp;"*",MUSTERILER!$T$7:$T$156,0)),"TANIMSIZ MÜŞTERİ"))))</f>
        <v/>
      </c>
      <c r="E741" s="61"/>
      <c r="F741" s="61"/>
      <c r="G741" s="60"/>
      <c r="H741" s="66"/>
      <c r="I741" s="66"/>
      <c r="J741" s="60"/>
      <c r="K741" s="60"/>
      <c r="L741" s="61"/>
      <c r="M741" s="61"/>
      <c r="N741" s="61"/>
      <c r="O741" s="66"/>
      <c r="P741" s="76" t="str">
        <f t="shared" ca="1" si="45"/>
        <v/>
      </c>
      <c r="Q741" s="65" t="str">
        <f t="shared" ca="1" si="46"/>
        <v/>
      </c>
      <c r="R741" s="2"/>
      <c r="S741" s="2"/>
      <c r="T741" s="1"/>
      <c r="U741" s="1" t="str">
        <f t="shared" si="47"/>
        <v/>
      </c>
    </row>
    <row r="742" spans="1:21" ht="18" customHeight="1" x14ac:dyDescent="0.3">
      <c r="A742" s="2"/>
      <c r="B742" s="65" t="str">
        <f t="shared" si="44"/>
        <v/>
      </c>
      <c r="C742" s="60"/>
      <c r="D742" s="65" t="str">
        <f>IF($E742="","",IFERROR(INDEX(MUSTERILER!$B$7:$B$156,MATCH($U742,MUSTERILER!$T$7:$T$156,0)),IFERROR(INDEX(MUSTERILER!$B$7:$B$156,MATCH($E742,MUSTERILER!$B$7:$B$156,0)),IFERROR(INDEX(MUSTERILER!$B$7:$B$156,MATCH($U742&amp;"*",MUSTERILER!$T$7:$T$156,0)),"TANIMSIZ MÜŞTERİ"))))</f>
        <v/>
      </c>
      <c r="E742" s="61"/>
      <c r="F742" s="61"/>
      <c r="G742" s="60"/>
      <c r="H742" s="66"/>
      <c r="I742" s="66"/>
      <c r="J742" s="60"/>
      <c r="K742" s="60"/>
      <c r="L742" s="61"/>
      <c r="M742" s="61"/>
      <c r="N742" s="61"/>
      <c r="O742" s="66"/>
      <c r="P742" s="76" t="str">
        <f t="shared" ca="1" si="45"/>
        <v/>
      </c>
      <c r="Q742" s="65" t="str">
        <f t="shared" ca="1" si="46"/>
        <v/>
      </c>
      <c r="R742" s="2"/>
      <c r="S742" s="2"/>
      <c r="T742" s="1"/>
      <c r="U742" s="1" t="str">
        <f t="shared" si="47"/>
        <v/>
      </c>
    </row>
    <row r="743" spans="1:21" ht="18" customHeight="1" x14ac:dyDescent="0.3">
      <c r="A743" s="2"/>
      <c r="B743" s="65" t="str">
        <f t="shared" si="44"/>
        <v/>
      </c>
      <c r="C743" s="60"/>
      <c r="D743" s="65" t="str">
        <f>IF($E743="","",IFERROR(INDEX(MUSTERILER!$B$7:$B$156,MATCH($U743,MUSTERILER!$T$7:$T$156,0)),IFERROR(INDEX(MUSTERILER!$B$7:$B$156,MATCH($E743,MUSTERILER!$B$7:$B$156,0)),IFERROR(INDEX(MUSTERILER!$B$7:$B$156,MATCH($U743&amp;"*",MUSTERILER!$T$7:$T$156,0)),"TANIMSIZ MÜŞTERİ"))))</f>
        <v/>
      </c>
      <c r="E743" s="61"/>
      <c r="F743" s="61"/>
      <c r="G743" s="60"/>
      <c r="H743" s="66"/>
      <c r="I743" s="66"/>
      <c r="J743" s="60"/>
      <c r="K743" s="60"/>
      <c r="L743" s="61"/>
      <c r="M743" s="61"/>
      <c r="N743" s="61"/>
      <c r="O743" s="66"/>
      <c r="P743" s="76" t="str">
        <f t="shared" ca="1" si="45"/>
        <v/>
      </c>
      <c r="Q743" s="65" t="str">
        <f t="shared" ca="1" si="46"/>
        <v/>
      </c>
      <c r="R743" s="2"/>
      <c r="S743" s="2"/>
      <c r="T743" s="1"/>
      <c r="U743" s="1" t="str">
        <f t="shared" si="47"/>
        <v/>
      </c>
    </row>
    <row r="744" spans="1:21" ht="18" customHeight="1" x14ac:dyDescent="0.3">
      <c r="A744" s="2"/>
      <c r="B744" s="65" t="str">
        <f t="shared" si="44"/>
        <v/>
      </c>
      <c r="C744" s="60"/>
      <c r="D744" s="65" t="str">
        <f>IF($E744="","",IFERROR(INDEX(MUSTERILER!$B$7:$B$156,MATCH($U744,MUSTERILER!$T$7:$T$156,0)),IFERROR(INDEX(MUSTERILER!$B$7:$B$156,MATCH($E744,MUSTERILER!$B$7:$B$156,0)),IFERROR(INDEX(MUSTERILER!$B$7:$B$156,MATCH($U744&amp;"*",MUSTERILER!$T$7:$T$156,0)),"TANIMSIZ MÜŞTERİ"))))</f>
        <v/>
      </c>
      <c r="E744" s="61"/>
      <c r="F744" s="61"/>
      <c r="G744" s="60"/>
      <c r="H744" s="66"/>
      <c r="I744" s="66"/>
      <c r="J744" s="60"/>
      <c r="K744" s="60"/>
      <c r="L744" s="61"/>
      <c r="M744" s="61"/>
      <c r="N744" s="61"/>
      <c r="O744" s="66"/>
      <c r="P744" s="76" t="str">
        <f t="shared" ca="1" si="45"/>
        <v/>
      </c>
      <c r="Q744" s="65" t="str">
        <f t="shared" ca="1" si="46"/>
        <v/>
      </c>
      <c r="R744" s="2"/>
      <c r="S744" s="2"/>
      <c r="T744" s="1"/>
      <c r="U744" s="1" t="str">
        <f t="shared" si="47"/>
        <v/>
      </c>
    </row>
    <row r="745" spans="1:21" ht="18" customHeight="1" x14ac:dyDescent="0.3">
      <c r="A745" s="2"/>
      <c r="B745" s="65" t="str">
        <f t="shared" si="44"/>
        <v/>
      </c>
      <c r="C745" s="60"/>
      <c r="D745" s="65" t="str">
        <f>IF($E745="","",IFERROR(INDEX(MUSTERILER!$B$7:$B$156,MATCH($U745,MUSTERILER!$T$7:$T$156,0)),IFERROR(INDEX(MUSTERILER!$B$7:$B$156,MATCH($E745,MUSTERILER!$B$7:$B$156,0)),IFERROR(INDEX(MUSTERILER!$B$7:$B$156,MATCH($U745&amp;"*",MUSTERILER!$T$7:$T$156,0)),"TANIMSIZ MÜŞTERİ"))))</f>
        <v/>
      </c>
      <c r="E745" s="61"/>
      <c r="F745" s="61"/>
      <c r="G745" s="60"/>
      <c r="H745" s="66"/>
      <c r="I745" s="66"/>
      <c r="J745" s="60"/>
      <c r="K745" s="60"/>
      <c r="L745" s="61"/>
      <c r="M745" s="61"/>
      <c r="N745" s="61"/>
      <c r="O745" s="66"/>
      <c r="P745" s="76" t="str">
        <f t="shared" ca="1" si="45"/>
        <v/>
      </c>
      <c r="Q745" s="65" t="str">
        <f t="shared" ca="1" si="46"/>
        <v/>
      </c>
      <c r="R745" s="2"/>
      <c r="S745" s="2"/>
      <c r="T745" s="1"/>
      <c r="U745" s="1" t="str">
        <f t="shared" si="47"/>
        <v/>
      </c>
    </row>
    <row r="746" spans="1:21" ht="18" customHeight="1" x14ac:dyDescent="0.3">
      <c r="A746" s="2"/>
      <c r="B746" s="65" t="str">
        <f t="shared" si="44"/>
        <v/>
      </c>
      <c r="C746" s="60"/>
      <c r="D746" s="65" t="str">
        <f>IF($E746="","",IFERROR(INDEX(MUSTERILER!$B$7:$B$156,MATCH($U746,MUSTERILER!$T$7:$T$156,0)),IFERROR(INDEX(MUSTERILER!$B$7:$B$156,MATCH($E746,MUSTERILER!$B$7:$B$156,0)),IFERROR(INDEX(MUSTERILER!$B$7:$B$156,MATCH($U746&amp;"*",MUSTERILER!$T$7:$T$156,0)),"TANIMSIZ MÜŞTERİ"))))</f>
        <v/>
      </c>
      <c r="E746" s="61"/>
      <c r="F746" s="61"/>
      <c r="G746" s="60"/>
      <c r="H746" s="66"/>
      <c r="I746" s="66"/>
      <c r="J746" s="60"/>
      <c r="K746" s="60"/>
      <c r="L746" s="61"/>
      <c r="M746" s="61"/>
      <c r="N746" s="61"/>
      <c r="O746" s="66"/>
      <c r="P746" s="76" t="str">
        <f t="shared" ca="1" si="45"/>
        <v/>
      </c>
      <c r="Q746" s="65" t="str">
        <f t="shared" ca="1" si="46"/>
        <v/>
      </c>
      <c r="R746" s="2"/>
      <c r="S746" s="2"/>
      <c r="T746" s="1"/>
      <c r="U746" s="1" t="str">
        <f t="shared" si="47"/>
        <v/>
      </c>
    </row>
    <row r="747" spans="1:21" ht="18" customHeight="1" x14ac:dyDescent="0.3">
      <c r="A747" s="2"/>
      <c r="B747" s="65" t="str">
        <f t="shared" si="44"/>
        <v/>
      </c>
      <c r="C747" s="60"/>
      <c r="D747" s="65" t="str">
        <f>IF($E747="","",IFERROR(INDEX(MUSTERILER!$B$7:$B$156,MATCH($U747,MUSTERILER!$T$7:$T$156,0)),IFERROR(INDEX(MUSTERILER!$B$7:$B$156,MATCH($E747,MUSTERILER!$B$7:$B$156,0)),IFERROR(INDEX(MUSTERILER!$B$7:$B$156,MATCH($U747&amp;"*",MUSTERILER!$T$7:$T$156,0)),"TANIMSIZ MÜŞTERİ"))))</f>
        <v/>
      </c>
      <c r="E747" s="61"/>
      <c r="F747" s="61"/>
      <c r="G747" s="60"/>
      <c r="H747" s="66"/>
      <c r="I747" s="66"/>
      <c r="J747" s="60"/>
      <c r="K747" s="60"/>
      <c r="L747" s="61"/>
      <c r="M747" s="61"/>
      <c r="N747" s="61"/>
      <c r="O747" s="66"/>
      <c r="P747" s="76" t="str">
        <f t="shared" ca="1" si="45"/>
        <v/>
      </c>
      <c r="Q747" s="65" t="str">
        <f t="shared" ca="1" si="46"/>
        <v/>
      </c>
      <c r="R747" s="2"/>
      <c r="S747" s="2"/>
      <c r="T747" s="1"/>
      <c r="U747" s="1" t="str">
        <f t="shared" si="47"/>
        <v/>
      </c>
    </row>
    <row r="748" spans="1:21" ht="18" customHeight="1" x14ac:dyDescent="0.3">
      <c r="A748" s="2"/>
      <c r="B748" s="65" t="str">
        <f t="shared" si="44"/>
        <v/>
      </c>
      <c r="C748" s="60"/>
      <c r="D748" s="65" t="str">
        <f>IF($E748="","",IFERROR(INDEX(MUSTERILER!$B$7:$B$156,MATCH($U748,MUSTERILER!$T$7:$T$156,0)),IFERROR(INDEX(MUSTERILER!$B$7:$B$156,MATCH($E748,MUSTERILER!$B$7:$B$156,0)),IFERROR(INDEX(MUSTERILER!$B$7:$B$156,MATCH($U748&amp;"*",MUSTERILER!$T$7:$T$156,0)),"TANIMSIZ MÜŞTERİ"))))</f>
        <v/>
      </c>
      <c r="E748" s="61"/>
      <c r="F748" s="61"/>
      <c r="G748" s="60"/>
      <c r="H748" s="66"/>
      <c r="I748" s="66"/>
      <c r="J748" s="60"/>
      <c r="K748" s="60"/>
      <c r="L748" s="61"/>
      <c r="M748" s="61"/>
      <c r="N748" s="61"/>
      <c r="O748" s="66"/>
      <c r="P748" s="76" t="str">
        <f t="shared" ca="1" si="45"/>
        <v/>
      </c>
      <c r="Q748" s="65" t="str">
        <f t="shared" ca="1" si="46"/>
        <v/>
      </c>
      <c r="R748" s="2"/>
      <c r="S748" s="2"/>
      <c r="T748" s="1"/>
      <c r="U748" s="1" t="str">
        <f t="shared" si="47"/>
        <v/>
      </c>
    </row>
    <row r="749" spans="1:21" ht="18" customHeight="1" x14ac:dyDescent="0.3">
      <c r="A749" s="2"/>
      <c r="B749" s="65" t="str">
        <f t="shared" si="44"/>
        <v/>
      </c>
      <c r="C749" s="60"/>
      <c r="D749" s="65" t="str">
        <f>IF($E749="","",IFERROR(INDEX(MUSTERILER!$B$7:$B$156,MATCH($U749,MUSTERILER!$T$7:$T$156,0)),IFERROR(INDEX(MUSTERILER!$B$7:$B$156,MATCH($E749,MUSTERILER!$B$7:$B$156,0)),IFERROR(INDEX(MUSTERILER!$B$7:$B$156,MATCH($U749&amp;"*",MUSTERILER!$T$7:$T$156,0)),"TANIMSIZ MÜŞTERİ"))))</f>
        <v/>
      </c>
      <c r="E749" s="61"/>
      <c r="F749" s="61"/>
      <c r="G749" s="60"/>
      <c r="H749" s="66"/>
      <c r="I749" s="66"/>
      <c r="J749" s="60"/>
      <c r="K749" s="60"/>
      <c r="L749" s="61"/>
      <c r="M749" s="61"/>
      <c r="N749" s="61"/>
      <c r="O749" s="66"/>
      <c r="P749" s="76" t="str">
        <f t="shared" ca="1" si="45"/>
        <v/>
      </c>
      <c r="Q749" s="65" t="str">
        <f t="shared" ca="1" si="46"/>
        <v/>
      </c>
      <c r="R749" s="2"/>
      <c r="S749" s="2"/>
      <c r="T749" s="1"/>
      <c r="U749" s="1" t="str">
        <f t="shared" si="47"/>
        <v/>
      </c>
    </row>
    <row r="750" spans="1:21" ht="18" customHeight="1" x14ac:dyDescent="0.3">
      <c r="A750" s="2"/>
      <c r="B750" s="65" t="str">
        <f t="shared" si="44"/>
        <v/>
      </c>
      <c r="C750" s="60"/>
      <c r="D750" s="65" t="str">
        <f>IF($E750="","",IFERROR(INDEX(MUSTERILER!$B$7:$B$156,MATCH($U750,MUSTERILER!$T$7:$T$156,0)),IFERROR(INDEX(MUSTERILER!$B$7:$B$156,MATCH($E750,MUSTERILER!$B$7:$B$156,0)),IFERROR(INDEX(MUSTERILER!$B$7:$B$156,MATCH($U750&amp;"*",MUSTERILER!$T$7:$T$156,0)),"TANIMSIZ MÜŞTERİ"))))</f>
        <v/>
      </c>
      <c r="E750" s="61"/>
      <c r="F750" s="61"/>
      <c r="G750" s="60"/>
      <c r="H750" s="66"/>
      <c r="I750" s="66"/>
      <c r="J750" s="60"/>
      <c r="K750" s="60"/>
      <c r="L750" s="61"/>
      <c r="M750" s="61"/>
      <c r="N750" s="61"/>
      <c r="O750" s="66"/>
      <c r="P750" s="76" t="str">
        <f t="shared" ca="1" si="45"/>
        <v/>
      </c>
      <c r="Q750" s="65" t="str">
        <f t="shared" ca="1" si="46"/>
        <v/>
      </c>
      <c r="R750" s="2"/>
      <c r="S750" s="2"/>
      <c r="T750" s="1"/>
      <c r="U750" s="1" t="str">
        <f t="shared" si="47"/>
        <v/>
      </c>
    </row>
    <row r="751" spans="1:21" ht="18" customHeight="1" x14ac:dyDescent="0.3">
      <c r="A751" s="2"/>
      <c r="B751" s="65" t="str">
        <f t="shared" si="44"/>
        <v/>
      </c>
      <c r="C751" s="60"/>
      <c r="D751" s="65" t="str">
        <f>IF($E751="","",IFERROR(INDEX(MUSTERILER!$B$7:$B$156,MATCH($U751,MUSTERILER!$T$7:$T$156,0)),IFERROR(INDEX(MUSTERILER!$B$7:$B$156,MATCH($E751,MUSTERILER!$B$7:$B$156,0)),IFERROR(INDEX(MUSTERILER!$B$7:$B$156,MATCH($U751&amp;"*",MUSTERILER!$T$7:$T$156,0)),"TANIMSIZ MÜŞTERİ"))))</f>
        <v/>
      </c>
      <c r="E751" s="61"/>
      <c r="F751" s="61"/>
      <c r="G751" s="60"/>
      <c r="H751" s="66"/>
      <c r="I751" s="66"/>
      <c r="J751" s="60"/>
      <c r="K751" s="60"/>
      <c r="L751" s="61"/>
      <c r="M751" s="61"/>
      <c r="N751" s="61"/>
      <c r="O751" s="66"/>
      <c r="P751" s="76" t="str">
        <f t="shared" ca="1" si="45"/>
        <v/>
      </c>
      <c r="Q751" s="65" t="str">
        <f t="shared" ca="1" si="46"/>
        <v/>
      </c>
      <c r="R751" s="2"/>
      <c r="S751" s="2"/>
      <c r="T751" s="1"/>
      <c r="U751" s="1" t="str">
        <f t="shared" si="47"/>
        <v/>
      </c>
    </row>
    <row r="752" spans="1:21" ht="18" customHeight="1" x14ac:dyDescent="0.3">
      <c r="A752" s="2"/>
      <c r="B752" s="65" t="str">
        <f t="shared" si="44"/>
        <v/>
      </c>
      <c r="C752" s="60"/>
      <c r="D752" s="65" t="str">
        <f>IF($E752="","",IFERROR(INDEX(MUSTERILER!$B$7:$B$156,MATCH($U752,MUSTERILER!$T$7:$T$156,0)),IFERROR(INDEX(MUSTERILER!$B$7:$B$156,MATCH($E752,MUSTERILER!$B$7:$B$156,0)),IFERROR(INDEX(MUSTERILER!$B$7:$B$156,MATCH($U752&amp;"*",MUSTERILER!$T$7:$T$156,0)),"TANIMSIZ MÜŞTERİ"))))</f>
        <v/>
      </c>
      <c r="E752" s="61"/>
      <c r="F752" s="61"/>
      <c r="G752" s="60"/>
      <c r="H752" s="66"/>
      <c r="I752" s="66"/>
      <c r="J752" s="60"/>
      <c r="K752" s="60"/>
      <c r="L752" s="61"/>
      <c r="M752" s="61"/>
      <c r="N752" s="61"/>
      <c r="O752" s="66"/>
      <c r="P752" s="76" t="str">
        <f t="shared" ca="1" si="45"/>
        <v/>
      </c>
      <c r="Q752" s="65" t="str">
        <f t="shared" ca="1" si="46"/>
        <v/>
      </c>
      <c r="R752" s="2"/>
      <c r="S752" s="2"/>
      <c r="T752" s="1"/>
      <c r="U752" s="1" t="str">
        <f t="shared" si="47"/>
        <v/>
      </c>
    </row>
    <row r="753" spans="1:21" ht="18" customHeight="1" x14ac:dyDescent="0.3">
      <c r="A753" s="2"/>
      <c r="B753" s="65" t="str">
        <f t="shared" si="44"/>
        <v/>
      </c>
      <c r="C753" s="60"/>
      <c r="D753" s="65" t="str">
        <f>IF($E753="","",IFERROR(INDEX(MUSTERILER!$B$7:$B$156,MATCH($U753,MUSTERILER!$T$7:$T$156,0)),IFERROR(INDEX(MUSTERILER!$B$7:$B$156,MATCH($E753,MUSTERILER!$B$7:$B$156,0)),IFERROR(INDEX(MUSTERILER!$B$7:$B$156,MATCH($U753&amp;"*",MUSTERILER!$T$7:$T$156,0)),"TANIMSIZ MÜŞTERİ"))))</f>
        <v/>
      </c>
      <c r="E753" s="61"/>
      <c r="F753" s="61"/>
      <c r="G753" s="60"/>
      <c r="H753" s="66"/>
      <c r="I753" s="66"/>
      <c r="J753" s="60"/>
      <c r="K753" s="60"/>
      <c r="L753" s="61"/>
      <c r="M753" s="61"/>
      <c r="N753" s="61"/>
      <c r="O753" s="66"/>
      <c r="P753" s="76" t="str">
        <f t="shared" ca="1" si="45"/>
        <v/>
      </c>
      <c r="Q753" s="65" t="str">
        <f t="shared" ca="1" si="46"/>
        <v/>
      </c>
      <c r="R753" s="2"/>
      <c r="S753" s="2"/>
      <c r="T753" s="1"/>
      <c r="U753" s="1" t="str">
        <f t="shared" si="47"/>
        <v/>
      </c>
    </row>
    <row r="754" spans="1:21" ht="18" customHeight="1" x14ac:dyDescent="0.3">
      <c r="A754" s="2"/>
      <c r="B754" s="65" t="str">
        <f t="shared" si="44"/>
        <v/>
      </c>
      <c r="C754" s="60"/>
      <c r="D754" s="65" t="str">
        <f>IF($E754="","",IFERROR(INDEX(MUSTERILER!$B$7:$B$156,MATCH($U754,MUSTERILER!$T$7:$T$156,0)),IFERROR(INDEX(MUSTERILER!$B$7:$B$156,MATCH($E754,MUSTERILER!$B$7:$B$156,0)),IFERROR(INDEX(MUSTERILER!$B$7:$B$156,MATCH($U754&amp;"*",MUSTERILER!$T$7:$T$156,0)),"TANIMSIZ MÜŞTERİ"))))</f>
        <v/>
      </c>
      <c r="E754" s="61"/>
      <c r="F754" s="61"/>
      <c r="G754" s="60"/>
      <c r="H754" s="66"/>
      <c r="I754" s="66"/>
      <c r="J754" s="60"/>
      <c r="K754" s="60"/>
      <c r="L754" s="61"/>
      <c r="M754" s="61"/>
      <c r="N754" s="61"/>
      <c r="O754" s="66"/>
      <c r="P754" s="76" t="str">
        <f t="shared" ca="1" si="45"/>
        <v/>
      </c>
      <c r="Q754" s="65" t="str">
        <f t="shared" ca="1" si="46"/>
        <v/>
      </c>
      <c r="R754" s="2"/>
      <c r="S754" s="2"/>
      <c r="T754" s="1"/>
      <c r="U754" s="1" t="str">
        <f t="shared" si="47"/>
        <v/>
      </c>
    </row>
    <row r="755" spans="1:21" ht="18" customHeight="1" x14ac:dyDescent="0.3">
      <c r="A755" s="2"/>
      <c r="B755" s="65" t="str">
        <f t="shared" si="44"/>
        <v/>
      </c>
      <c r="C755" s="60"/>
      <c r="D755" s="65" t="str">
        <f>IF($E755="","",IFERROR(INDEX(MUSTERILER!$B$7:$B$156,MATCH($U755,MUSTERILER!$T$7:$T$156,0)),IFERROR(INDEX(MUSTERILER!$B$7:$B$156,MATCH($E755,MUSTERILER!$B$7:$B$156,0)),IFERROR(INDEX(MUSTERILER!$B$7:$B$156,MATCH($U755&amp;"*",MUSTERILER!$T$7:$T$156,0)),"TANIMSIZ MÜŞTERİ"))))</f>
        <v/>
      </c>
      <c r="E755" s="61"/>
      <c r="F755" s="61"/>
      <c r="G755" s="60"/>
      <c r="H755" s="66"/>
      <c r="I755" s="66"/>
      <c r="J755" s="60"/>
      <c r="K755" s="60"/>
      <c r="L755" s="61"/>
      <c r="M755" s="61"/>
      <c r="N755" s="61"/>
      <c r="O755" s="66"/>
      <c r="P755" s="76" t="str">
        <f t="shared" ca="1" si="45"/>
        <v/>
      </c>
      <c r="Q755" s="65" t="str">
        <f t="shared" ca="1" si="46"/>
        <v/>
      </c>
      <c r="R755" s="2"/>
      <c r="S755" s="2"/>
      <c r="T755" s="1"/>
      <c r="U755" s="1" t="str">
        <f t="shared" si="47"/>
        <v/>
      </c>
    </row>
    <row r="756" spans="1:21" ht="18" customHeight="1" x14ac:dyDescent="0.3">
      <c r="A756" s="2"/>
      <c r="B756" s="65" t="str">
        <f t="shared" si="44"/>
        <v/>
      </c>
      <c r="C756" s="60"/>
      <c r="D756" s="65" t="str">
        <f>IF($E756="","",IFERROR(INDEX(MUSTERILER!$B$7:$B$156,MATCH($U756,MUSTERILER!$T$7:$T$156,0)),IFERROR(INDEX(MUSTERILER!$B$7:$B$156,MATCH($E756,MUSTERILER!$B$7:$B$156,0)),IFERROR(INDEX(MUSTERILER!$B$7:$B$156,MATCH($U756&amp;"*",MUSTERILER!$T$7:$T$156,0)),"TANIMSIZ MÜŞTERİ"))))</f>
        <v/>
      </c>
      <c r="E756" s="61"/>
      <c r="F756" s="61"/>
      <c r="G756" s="60"/>
      <c r="H756" s="66"/>
      <c r="I756" s="66"/>
      <c r="J756" s="60"/>
      <c r="K756" s="60"/>
      <c r="L756" s="61"/>
      <c r="M756" s="61"/>
      <c r="N756" s="61"/>
      <c r="O756" s="66"/>
      <c r="P756" s="76" t="str">
        <f t="shared" ca="1" si="45"/>
        <v/>
      </c>
      <c r="Q756" s="65" t="str">
        <f t="shared" ca="1" si="46"/>
        <v/>
      </c>
      <c r="R756" s="2"/>
      <c r="S756" s="2"/>
      <c r="T756" s="1"/>
      <c r="U756" s="1" t="str">
        <f t="shared" si="47"/>
        <v/>
      </c>
    </row>
    <row r="757" spans="1:21" ht="18" customHeight="1" x14ac:dyDescent="0.3">
      <c r="A757" s="2"/>
      <c r="B757" s="65" t="str">
        <f t="shared" si="44"/>
        <v/>
      </c>
      <c r="C757" s="60"/>
      <c r="D757" s="65" t="str">
        <f>IF($E757="","",IFERROR(INDEX(MUSTERILER!$B$7:$B$156,MATCH($U757,MUSTERILER!$T$7:$T$156,0)),IFERROR(INDEX(MUSTERILER!$B$7:$B$156,MATCH($E757,MUSTERILER!$B$7:$B$156,0)),IFERROR(INDEX(MUSTERILER!$B$7:$B$156,MATCH($U757&amp;"*",MUSTERILER!$T$7:$T$156,0)),"TANIMSIZ MÜŞTERİ"))))</f>
        <v/>
      </c>
      <c r="E757" s="61"/>
      <c r="F757" s="61"/>
      <c r="G757" s="60"/>
      <c r="H757" s="66"/>
      <c r="I757" s="66"/>
      <c r="J757" s="60"/>
      <c r="K757" s="60"/>
      <c r="L757" s="61"/>
      <c r="M757" s="61"/>
      <c r="N757" s="61"/>
      <c r="O757" s="66"/>
      <c r="P757" s="76" t="str">
        <f t="shared" ca="1" si="45"/>
        <v/>
      </c>
      <c r="Q757" s="65" t="str">
        <f t="shared" ca="1" si="46"/>
        <v/>
      </c>
      <c r="R757" s="2"/>
      <c r="S757" s="2"/>
      <c r="T757" s="1"/>
      <c r="U757" s="1" t="str">
        <f t="shared" si="47"/>
        <v/>
      </c>
    </row>
    <row r="758" spans="1:21" ht="18" customHeight="1" x14ac:dyDescent="0.3">
      <c r="A758" s="2"/>
      <c r="B758" s="65" t="str">
        <f t="shared" si="44"/>
        <v/>
      </c>
      <c r="C758" s="60"/>
      <c r="D758" s="65" t="str">
        <f>IF($E758="","",IFERROR(INDEX(MUSTERILER!$B$7:$B$156,MATCH($U758,MUSTERILER!$T$7:$T$156,0)),IFERROR(INDEX(MUSTERILER!$B$7:$B$156,MATCH($E758,MUSTERILER!$B$7:$B$156,0)),IFERROR(INDEX(MUSTERILER!$B$7:$B$156,MATCH($U758&amp;"*",MUSTERILER!$T$7:$T$156,0)),"TANIMSIZ MÜŞTERİ"))))</f>
        <v/>
      </c>
      <c r="E758" s="61"/>
      <c r="F758" s="61"/>
      <c r="G758" s="60"/>
      <c r="H758" s="66"/>
      <c r="I758" s="66"/>
      <c r="J758" s="60"/>
      <c r="K758" s="60"/>
      <c r="L758" s="61"/>
      <c r="M758" s="61"/>
      <c r="N758" s="61"/>
      <c r="O758" s="66"/>
      <c r="P758" s="76" t="str">
        <f t="shared" ca="1" si="45"/>
        <v/>
      </c>
      <c r="Q758" s="65" t="str">
        <f t="shared" ca="1" si="46"/>
        <v/>
      </c>
      <c r="R758" s="2"/>
      <c r="S758" s="2"/>
      <c r="T758" s="1"/>
      <c r="U758" s="1" t="str">
        <f t="shared" si="47"/>
        <v/>
      </c>
    </row>
    <row r="759" spans="1:21" ht="18" customHeight="1" x14ac:dyDescent="0.3">
      <c r="A759" s="2"/>
      <c r="B759" s="65" t="str">
        <f t="shared" si="44"/>
        <v/>
      </c>
      <c r="C759" s="60"/>
      <c r="D759" s="65" t="str">
        <f>IF($E759="","",IFERROR(INDEX(MUSTERILER!$B$7:$B$156,MATCH($U759,MUSTERILER!$T$7:$T$156,0)),IFERROR(INDEX(MUSTERILER!$B$7:$B$156,MATCH($E759,MUSTERILER!$B$7:$B$156,0)),IFERROR(INDEX(MUSTERILER!$B$7:$B$156,MATCH($U759&amp;"*",MUSTERILER!$T$7:$T$156,0)),"TANIMSIZ MÜŞTERİ"))))</f>
        <v/>
      </c>
      <c r="E759" s="61"/>
      <c r="F759" s="61"/>
      <c r="G759" s="60"/>
      <c r="H759" s="66"/>
      <c r="I759" s="66"/>
      <c r="J759" s="60"/>
      <c r="K759" s="60"/>
      <c r="L759" s="61"/>
      <c r="M759" s="61"/>
      <c r="N759" s="61"/>
      <c r="O759" s="66"/>
      <c r="P759" s="76" t="str">
        <f t="shared" ca="1" si="45"/>
        <v/>
      </c>
      <c r="Q759" s="65" t="str">
        <f t="shared" ca="1" si="46"/>
        <v/>
      </c>
      <c r="R759" s="2"/>
      <c r="S759" s="2"/>
      <c r="T759" s="1"/>
      <c r="U759" s="1" t="str">
        <f t="shared" si="47"/>
        <v/>
      </c>
    </row>
    <row r="760" spans="1:21" ht="18" customHeight="1" x14ac:dyDescent="0.3">
      <c r="A760" s="2"/>
      <c r="B760" s="65" t="str">
        <f t="shared" si="44"/>
        <v/>
      </c>
      <c r="C760" s="60"/>
      <c r="D760" s="65" t="str">
        <f>IF($E760="","",IFERROR(INDEX(MUSTERILER!$B$7:$B$156,MATCH($U760,MUSTERILER!$T$7:$T$156,0)),IFERROR(INDEX(MUSTERILER!$B$7:$B$156,MATCH($E760,MUSTERILER!$B$7:$B$156,0)),IFERROR(INDEX(MUSTERILER!$B$7:$B$156,MATCH($U760&amp;"*",MUSTERILER!$T$7:$T$156,0)),"TANIMSIZ MÜŞTERİ"))))</f>
        <v/>
      </c>
      <c r="E760" s="61"/>
      <c r="F760" s="61"/>
      <c r="G760" s="60"/>
      <c r="H760" s="66"/>
      <c r="I760" s="66"/>
      <c r="J760" s="60"/>
      <c r="K760" s="60"/>
      <c r="L760" s="61"/>
      <c r="M760" s="61"/>
      <c r="N760" s="61"/>
      <c r="O760" s="66"/>
      <c r="P760" s="76" t="str">
        <f t="shared" ca="1" si="45"/>
        <v/>
      </c>
      <c r="Q760" s="65" t="str">
        <f t="shared" ca="1" si="46"/>
        <v/>
      </c>
      <c r="R760" s="2"/>
      <c r="S760" s="2"/>
      <c r="T760" s="1"/>
      <c r="U760" s="1" t="str">
        <f t="shared" si="47"/>
        <v/>
      </c>
    </row>
    <row r="761" spans="1:21" ht="18" customHeight="1" x14ac:dyDescent="0.3">
      <c r="A761" s="2"/>
      <c r="B761" s="65" t="str">
        <f t="shared" si="44"/>
        <v/>
      </c>
      <c r="C761" s="60"/>
      <c r="D761" s="65" t="str">
        <f>IF($E761="","",IFERROR(INDEX(MUSTERILER!$B$7:$B$156,MATCH($U761,MUSTERILER!$T$7:$T$156,0)),IFERROR(INDEX(MUSTERILER!$B$7:$B$156,MATCH($E761,MUSTERILER!$B$7:$B$156,0)),IFERROR(INDEX(MUSTERILER!$B$7:$B$156,MATCH($U761&amp;"*",MUSTERILER!$T$7:$T$156,0)),"TANIMSIZ MÜŞTERİ"))))</f>
        <v/>
      </c>
      <c r="E761" s="61"/>
      <c r="F761" s="61"/>
      <c r="G761" s="60"/>
      <c r="H761" s="66"/>
      <c r="I761" s="66"/>
      <c r="J761" s="60"/>
      <c r="K761" s="60"/>
      <c r="L761" s="61"/>
      <c r="M761" s="61"/>
      <c r="N761" s="61"/>
      <c r="O761" s="66"/>
      <c r="P761" s="76" t="str">
        <f t="shared" ca="1" si="45"/>
        <v/>
      </c>
      <c r="Q761" s="65" t="str">
        <f t="shared" ca="1" si="46"/>
        <v/>
      </c>
      <c r="R761" s="2"/>
      <c r="S761" s="2"/>
      <c r="T761" s="1"/>
      <c r="U761" s="1" t="str">
        <f t="shared" si="47"/>
        <v/>
      </c>
    </row>
    <row r="762" spans="1:21" ht="18" customHeight="1" x14ac:dyDescent="0.3">
      <c r="A762" s="2"/>
      <c r="B762" s="65" t="str">
        <f t="shared" si="44"/>
        <v/>
      </c>
      <c r="C762" s="60"/>
      <c r="D762" s="65" t="str">
        <f>IF($E762="","",IFERROR(INDEX(MUSTERILER!$B$7:$B$156,MATCH($U762,MUSTERILER!$T$7:$T$156,0)),IFERROR(INDEX(MUSTERILER!$B$7:$B$156,MATCH($E762,MUSTERILER!$B$7:$B$156,0)),IFERROR(INDEX(MUSTERILER!$B$7:$B$156,MATCH($U762&amp;"*",MUSTERILER!$T$7:$T$156,0)),"TANIMSIZ MÜŞTERİ"))))</f>
        <v/>
      </c>
      <c r="E762" s="61"/>
      <c r="F762" s="61"/>
      <c r="G762" s="60"/>
      <c r="H762" s="66"/>
      <c r="I762" s="66"/>
      <c r="J762" s="60"/>
      <c r="K762" s="60"/>
      <c r="L762" s="61"/>
      <c r="M762" s="61"/>
      <c r="N762" s="61"/>
      <c r="O762" s="66"/>
      <c r="P762" s="76" t="str">
        <f t="shared" ca="1" si="45"/>
        <v/>
      </c>
      <c r="Q762" s="65" t="str">
        <f t="shared" ca="1" si="46"/>
        <v/>
      </c>
      <c r="R762" s="2"/>
      <c r="S762" s="2"/>
      <c r="T762" s="1"/>
      <c r="U762" s="1" t="str">
        <f t="shared" si="47"/>
        <v/>
      </c>
    </row>
    <row r="763" spans="1:21" ht="18" customHeight="1" x14ac:dyDescent="0.3">
      <c r="A763" s="2"/>
      <c r="B763" s="65" t="str">
        <f t="shared" si="44"/>
        <v/>
      </c>
      <c r="C763" s="60"/>
      <c r="D763" s="65" t="str">
        <f>IF($E763="","",IFERROR(INDEX(MUSTERILER!$B$7:$B$156,MATCH($U763,MUSTERILER!$T$7:$T$156,0)),IFERROR(INDEX(MUSTERILER!$B$7:$B$156,MATCH($E763,MUSTERILER!$B$7:$B$156,0)),IFERROR(INDEX(MUSTERILER!$B$7:$B$156,MATCH($U763&amp;"*",MUSTERILER!$T$7:$T$156,0)),"TANIMSIZ MÜŞTERİ"))))</f>
        <v/>
      </c>
      <c r="E763" s="61"/>
      <c r="F763" s="61"/>
      <c r="G763" s="60"/>
      <c r="H763" s="66"/>
      <c r="I763" s="66"/>
      <c r="J763" s="60"/>
      <c r="K763" s="60"/>
      <c r="L763" s="61"/>
      <c r="M763" s="61"/>
      <c r="N763" s="61"/>
      <c r="O763" s="66"/>
      <c r="P763" s="76" t="str">
        <f t="shared" ca="1" si="45"/>
        <v/>
      </c>
      <c r="Q763" s="65" t="str">
        <f t="shared" ca="1" si="46"/>
        <v/>
      </c>
      <c r="R763" s="2"/>
      <c r="S763" s="2"/>
      <c r="T763" s="1"/>
      <c r="U763" s="1" t="str">
        <f t="shared" si="47"/>
        <v/>
      </c>
    </row>
    <row r="764" spans="1:21" ht="18" customHeight="1" x14ac:dyDescent="0.3">
      <c r="A764" s="2"/>
      <c r="B764" s="65" t="str">
        <f t="shared" si="44"/>
        <v/>
      </c>
      <c r="C764" s="60"/>
      <c r="D764" s="65" t="str">
        <f>IF($E764="","",IFERROR(INDEX(MUSTERILER!$B$7:$B$156,MATCH($U764,MUSTERILER!$T$7:$T$156,0)),IFERROR(INDEX(MUSTERILER!$B$7:$B$156,MATCH($E764,MUSTERILER!$B$7:$B$156,0)),IFERROR(INDEX(MUSTERILER!$B$7:$B$156,MATCH($U764&amp;"*",MUSTERILER!$T$7:$T$156,0)),"TANIMSIZ MÜŞTERİ"))))</f>
        <v/>
      </c>
      <c r="E764" s="61"/>
      <c r="F764" s="61"/>
      <c r="G764" s="60"/>
      <c r="H764" s="66"/>
      <c r="I764" s="66"/>
      <c r="J764" s="60"/>
      <c r="K764" s="60"/>
      <c r="L764" s="61"/>
      <c r="M764" s="61"/>
      <c r="N764" s="61"/>
      <c r="O764" s="66"/>
      <c r="P764" s="76" t="str">
        <f t="shared" ca="1" si="45"/>
        <v/>
      </c>
      <c r="Q764" s="65" t="str">
        <f t="shared" ca="1" si="46"/>
        <v/>
      </c>
      <c r="R764" s="2"/>
      <c r="S764" s="2"/>
      <c r="T764" s="1"/>
      <c r="U764" s="1" t="str">
        <f t="shared" si="47"/>
        <v/>
      </c>
    </row>
    <row r="765" spans="1:21" ht="18" customHeight="1" x14ac:dyDescent="0.3">
      <c r="A765" s="2"/>
      <c r="B765" s="65" t="str">
        <f t="shared" si="44"/>
        <v/>
      </c>
      <c r="C765" s="60"/>
      <c r="D765" s="65" t="str">
        <f>IF($E765="","",IFERROR(INDEX(MUSTERILER!$B$7:$B$156,MATCH($U765,MUSTERILER!$T$7:$T$156,0)),IFERROR(INDEX(MUSTERILER!$B$7:$B$156,MATCH($E765,MUSTERILER!$B$7:$B$156,0)),IFERROR(INDEX(MUSTERILER!$B$7:$B$156,MATCH($U765&amp;"*",MUSTERILER!$T$7:$T$156,0)),"TANIMSIZ MÜŞTERİ"))))</f>
        <v/>
      </c>
      <c r="E765" s="61"/>
      <c r="F765" s="61"/>
      <c r="G765" s="60"/>
      <c r="H765" s="66"/>
      <c r="I765" s="66"/>
      <c r="J765" s="60"/>
      <c r="K765" s="60"/>
      <c r="L765" s="61"/>
      <c r="M765" s="61"/>
      <c r="N765" s="61"/>
      <c r="O765" s="66"/>
      <c r="P765" s="76" t="str">
        <f t="shared" ca="1" si="45"/>
        <v/>
      </c>
      <c r="Q765" s="65" t="str">
        <f t="shared" ca="1" si="46"/>
        <v/>
      </c>
      <c r="R765" s="2"/>
      <c r="S765" s="2"/>
      <c r="T765" s="1"/>
      <c r="U765" s="1" t="str">
        <f t="shared" si="47"/>
        <v/>
      </c>
    </row>
    <row r="766" spans="1:21" ht="18" customHeight="1" x14ac:dyDescent="0.3">
      <c r="A766" s="2"/>
      <c r="B766" s="65" t="str">
        <f t="shared" si="44"/>
        <v/>
      </c>
      <c r="C766" s="60"/>
      <c r="D766" s="65" t="str">
        <f>IF($E766="","",IFERROR(INDEX(MUSTERILER!$B$7:$B$156,MATCH($U766,MUSTERILER!$T$7:$T$156,0)),IFERROR(INDEX(MUSTERILER!$B$7:$B$156,MATCH($E766,MUSTERILER!$B$7:$B$156,0)),IFERROR(INDEX(MUSTERILER!$B$7:$B$156,MATCH($U766&amp;"*",MUSTERILER!$T$7:$T$156,0)),"TANIMSIZ MÜŞTERİ"))))</f>
        <v/>
      </c>
      <c r="E766" s="61"/>
      <c r="F766" s="61"/>
      <c r="G766" s="60"/>
      <c r="H766" s="66"/>
      <c r="I766" s="66"/>
      <c r="J766" s="60"/>
      <c r="K766" s="60"/>
      <c r="L766" s="61"/>
      <c r="M766" s="61"/>
      <c r="N766" s="61"/>
      <c r="O766" s="66"/>
      <c r="P766" s="76" t="str">
        <f t="shared" ca="1" si="45"/>
        <v/>
      </c>
      <c r="Q766" s="65" t="str">
        <f t="shared" ca="1" si="46"/>
        <v/>
      </c>
      <c r="R766" s="2"/>
      <c r="S766" s="2"/>
      <c r="T766" s="1"/>
      <c r="U766" s="1" t="str">
        <f t="shared" si="47"/>
        <v/>
      </c>
    </row>
    <row r="767" spans="1:21" ht="18" customHeight="1" x14ac:dyDescent="0.3">
      <c r="A767" s="2"/>
      <c r="B767" s="65" t="str">
        <f t="shared" si="44"/>
        <v/>
      </c>
      <c r="C767" s="60"/>
      <c r="D767" s="65" t="str">
        <f>IF($E767="","",IFERROR(INDEX(MUSTERILER!$B$7:$B$156,MATCH($U767,MUSTERILER!$T$7:$T$156,0)),IFERROR(INDEX(MUSTERILER!$B$7:$B$156,MATCH($E767,MUSTERILER!$B$7:$B$156,0)),IFERROR(INDEX(MUSTERILER!$B$7:$B$156,MATCH($U767&amp;"*",MUSTERILER!$T$7:$T$156,0)),"TANIMSIZ MÜŞTERİ"))))</f>
        <v/>
      </c>
      <c r="E767" s="61"/>
      <c r="F767" s="61"/>
      <c r="G767" s="60"/>
      <c r="H767" s="66"/>
      <c r="I767" s="66"/>
      <c r="J767" s="60"/>
      <c r="K767" s="60"/>
      <c r="L767" s="61"/>
      <c r="M767" s="61"/>
      <c r="N767" s="61"/>
      <c r="O767" s="66"/>
      <c r="P767" s="76" t="str">
        <f t="shared" ca="1" si="45"/>
        <v/>
      </c>
      <c r="Q767" s="65" t="str">
        <f t="shared" ca="1" si="46"/>
        <v/>
      </c>
      <c r="R767" s="2"/>
      <c r="S767" s="2"/>
      <c r="T767" s="1"/>
      <c r="U767" s="1" t="str">
        <f t="shared" si="47"/>
        <v/>
      </c>
    </row>
    <row r="768" spans="1:21" ht="18" customHeight="1" x14ac:dyDescent="0.3">
      <c r="A768" s="2"/>
      <c r="B768" s="65" t="str">
        <f t="shared" si="44"/>
        <v/>
      </c>
      <c r="C768" s="60"/>
      <c r="D768" s="65" t="str">
        <f>IF($E768="","",IFERROR(INDEX(MUSTERILER!$B$7:$B$156,MATCH($U768,MUSTERILER!$T$7:$T$156,0)),IFERROR(INDEX(MUSTERILER!$B$7:$B$156,MATCH($E768,MUSTERILER!$B$7:$B$156,0)),IFERROR(INDEX(MUSTERILER!$B$7:$B$156,MATCH($U768&amp;"*",MUSTERILER!$T$7:$T$156,0)),"TANIMSIZ MÜŞTERİ"))))</f>
        <v/>
      </c>
      <c r="E768" s="61"/>
      <c r="F768" s="61"/>
      <c r="G768" s="60"/>
      <c r="H768" s="66"/>
      <c r="I768" s="66"/>
      <c r="J768" s="60"/>
      <c r="K768" s="60"/>
      <c r="L768" s="61"/>
      <c r="M768" s="61"/>
      <c r="N768" s="61"/>
      <c r="O768" s="66"/>
      <c r="P768" s="76" t="str">
        <f t="shared" ca="1" si="45"/>
        <v/>
      </c>
      <c r="Q768" s="65" t="str">
        <f t="shared" ca="1" si="46"/>
        <v/>
      </c>
      <c r="R768" s="2"/>
      <c r="S768" s="2"/>
      <c r="T768" s="1"/>
      <c r="U768" s="1" t="str">
        <f t="shared" si="47"/>
        <v/>
      </c>
    </row>
    <row r="769" spans="1:21" ht="18" customHeight="1" x14ac:dyDescent="0.3">
      <c r="A769" s="2"/>
      <c r="B769" s="65" t="str">
        <f t="shared" si="44"/>
        <v/>
      </c>
      <c r="C769" s="60"/>
      <c r="D769" s="65" t="str">
        <f>IF($E769="","",IFERROR(INDEX(MUSTERILER!$B$7:$B$156,MATCH($U769,MUSTERILER!$T$7:$T$156,0)),IFERROR(INDEX(MUSTERILER!$B$7:$B$156,MATCH($E769,MUSTERILER!$B$7:$B$156,0)),IFERROR(INDEX(MUSTERILER!$B$7:$B$156,MATCH($U769&amp;"*",MUSTERILER!$T$7:$T$156,0)),"TANIMSIZ MÜŞTERİ"))))</f>
        <v/>
      </c>
      <c r="E769" s="61"/>
      <c r="F769" s="61"/>
      <c r="G769" s="60"/>
      <c r="H769" s="66"/>
      <c r="I769" s="66"/>
      <c r="J769" s="60"/>
      <c r="K769" s="60"/>
      <c r="L769" s="61"/>
      <c r="M769" s="61"/>
      <c r="N769" s="61"/>
      <c r="O769" s="66"/>
      <c r="P769" s="76" t="str">
        <f t="shared" ca="1" si="45"/>
        <v/>
      </c>
      <c r="Q769" s="65" t="str">
        <f t="shared" ca="1" si="46"/>
        <v/>
      </c>
      <c r="R769" s="2"/>
      <c r="S769" s="2"/>
      <c r="T769" s="1"/>
      <c r="U769" s="1" t="str">
        <f t="shared" si="47"/>
        <v/>
      </c>
    </row>
    <row r="770" spans="1:21" ht="18" customHeight="1" x14ac:dyDescent="0.3">
      <c r="A770" s="2"/>
      <c r="B770" s="65" t="str">
        <f t="shared" si="44"/>
        <v/>
      </c>
      <c r="C770" s="60"/>
      <c r="D770" s="65" t="str">
        <f>IF($E770="","",IFERROR(INDEX(MUSTERILER!$B$7:$B$156,MATCH($U770,MUSTERILER!$T$7:$T$156,0)),IFERROR(INDEX(MUSTERILER!$B$7:$B$156,MATCH($E770,MUSTERILER!$B$7:$B$156,0)),IFERROR(INDEX(MUSTERILER!$B$7:$B$156,MATCH($U770&amp;"*",MUSTERILER!$T$7:$T$156,0)),"TANIMSIZ MÜŞTERİ"))))</f>
        <v/>
      </c>
      <c r="E770" s="61"/>
      <c r="F770" s="61"/>
      <c r="G770" s="60"/>
      <c r="H770" s="66"/>
      <c r="I770" s="66"/>
      <c r="J770" s="60"/>
      <c r="K770" s="60"/>
      <c r="L770" s="61"/>
      <c r="M770" s="61"/>
      <c r="N770" s="61"/>
      <c r="O770" s="66"/>
      <c r="P770" s="76" t="str">
        <f t="shared" ca="1" si="45"/>
        <v/>
      </c>
      <c r="Q770" s="65" t="str">
        <f t="shared" ca="1" si="46"/>
        <v/>
      </c>
      <c r="R770" s="2"/>
      <c r="S770" s="2"/>
      <c r="T770" s="1"/>
      <c r="U770" s="1" t="str">
        <f t="shared" si="47"/>
        <v/>
      </c>
    </row>
    <row r="771" spans="1:21" ht="18" customHeight="1" x14ac:dyDescent="0.3">
      <c r="A771" s="2"/>
      <c r="B771" s="65" t="str">
        <f t="shared" si="44"/>
        <v/>
      </c>
      <c r="C771" s="60"/>
      <c r="D771" s="65" t="str">
        <f>IF($E771="","",IFERROR(INDEX(MUSTERILER!$B$7:$B$156,MATCH($U771,MUSTERILER!$T$7:$T$156,0)),IFERROR(INDEX(MUSTERILER!$B$7:$B$156,MATCH($E771,MUSTERILER!$B$7:$B$156,0)),IFERROR(INDEX(MUSTERILER!$B$7:$B$156,MATCH($U771&amp;"*",MUSTERILER!$T$7:$T$156,0)),"TANIMSIZ MÜŞTERİ"))))</f>
        <v/>
      </c>
      <c r="E771" s="61"/>
      <c r="F771" s="61"/>
      <c r="G771" s="60"/>
      <c r="H771" s="66"/>
      <c r="I771" s="66"/>
      <c r="J771" s="60"/>
      <c r="K771" s="60"/>
      <c r="L771" s="61"/>
      <c r="M771" s="61"/>
      <c r="N771" s="61"/>
      <c r="O771" s="66"/>
      <c r="P771" s="76" t="str">
        <f t="shared" ca="1" si="45"/>
        <v/>
      </c>
      <c r="Q771" s="65" t="str">
        <f t="shared" ca="1" si="46"/>
        <v/>
      </c>
      <c r="R771" s="2"/>
      <c r="S771" s="2"/>
      <c r="T771" s="1"/>
      <c r="U771" s="1" t="str">
        <f t="shared" si="47"/>
        <v/>
      </c>
    </row>
    <row r="772" spans="1:21" ht="18" customHeight="1" x14ac:dyDescent="0.3">
      <c r="A772" s="2"/>
      <c r="B772" s="65" t="str">
        <f t="shared" si="44"/>
        <v/>
      </c>
      <c r="C772" s="60"/>
      <c r="D772" s="65" t="str">
        <f>IF($E772="","",IFERROR(INDEX(MUSTERILER!$B$7:$B$156,MATCH($U772,MUSTERILER!$T$7:$T$156,0)),IFERROR(INDEX(MUSTERILER!$B$7:$B$156,MATCH($E772,MUSTERILER!$B$7:$B$156,0)),IFERROR(INDEX(MUSTERILER!$B$7:$B$156,MATCH($U772&amp;"*",MUSTERILER!$T$7:$T$156,0)),"TANIMSIZ MÜŞTERİ"))))</f>
        <v/>
      </c>
      <c r="E772" s="61"/>
      <c r="F772" s="61"/>
      <c r="G772" s="60"/>
      <c r="H772" s="66"/>
      <c r="I772" s="66"/>
      <c r="J772" s="60"/>
      <c r="K772" s="60"/>
      <c r="L772" s="61"/>
      <c r="M772" s="61"/>
      <c r="N772" s="61"/>
      <c r="O772" s="66"/>
      <c r="P772" s="76" t="str">
        <f t="shared" ca="1" si="45"/>
        <v/>
      </c>
      <c r="Q772" s="65" t="str">
        <f t="shared" ca="1" si="46"/>
        <v/>
      </c>
      <c r="R772" s="2"/>
      <c r="S772" s="2"/>
      <c r="T772" s="1"/>
      <c r="U772" s="1" t="str">
        <f t="shared" si="47"/>
        <v/>
      </c>
    </row>
    <row r="773" spans="1:21" ht="18" customHeight="1" x14ac:dyDescent="0.3">
      <c r="A773" s="2"/>
      <c r="B773" s="65" t="str">
        <f t="shared" si="44"/>
        <v/>
      </c>
      <c r="C773" s="60"/>
      <c r="D773" s="65" t="str">
        <f>IF($E773="","",IFERROR(INDEX(MUSTERILER!$B$7:$B$156,MATCH($U773,MUSTERILER!$T$7:$T$156,0)),IFERROR(INDEX(MUSTERILER!$B$7:$B$156,MATCH($E773,MUSTERILER!$B$7:$B$156,0)),IFERROR(INDEX(MUSTERILER!$B$7:$B$156,MATCH($U773&amp;"*",MUSTERILER!$T$7:$T$156,0)),"TANIMSIZ MÜŞTERİ"))))</f>
        <v/>
      </c>
      <c r="E773" s="61"/>
      <c r="F773" s="61"/>
      <c r="G773" s="60"/>
      <c r="H773" s="66"/>
      <c r="I773" s="66"/>
      <c r="J773" s="60"/>
      <c r="K773" s="60"/>
      <c r="L773" s="61"/>
      <c r="M773" s="61"/>
      <c r="N773" s="61"/>
      <c r="O773" s="66"/>
      <c r="P773" s="76" t="str">
        <f t="shared" ca="1" si="45"/>
        <v/>
      </c>
      <c r="Q773" s="65" t="str">
        <f t="shared" ca="1" si="46"/>
        <v/>
      </c>
      <c r="R773" s="2"/>
      <c r="S773" s="2"/>
      <c r="T773" s="1"/>
      <c r="U773" s="1" t="str">
        <f t="shared" si="47"/>
        <v/>
      </c>
    </row>
    <row r="774" spans="1:21" ht="18" customHeight="1" x14ac:dyDescent="0.3">
      <c r="A774" s="2"/>
      <c r="B774" s="65" t="str">
        <f t="shared" si="44"/>
        <v/>
      </c>
      <c r="C774" s="60"/>
      <c r="D774" s="65" t="str">
        <f>IF($E774="","",IFERROR(INDEX(MUSTERILER!$B$7:$B$156,MATCH($U774,MUSTERILER!$T$7:$T$156,0)),IFERROR(INDEX(MUSTERILER!$B$7:$B$156,MATCH($E774,MUSTERILER!$B$7:$B$156,0)),IFERROR(INDEX(MUSTERILER!$B$7:$B$156,MATCH($U774&amp;"*",MUSTERILER!$T$7:$T$156,0)),"TANIMSIZ MÜŞTERİ"))))</f>
        <v/>
      </c>
      <c r="E774" s="61"/>
      <c r="F774" s="61"/>
      <c r="G774" s="60"/>
      <c r="H774" s="66"/>
      <c r="I774" s="66"/>
      <c r="J774" s="60"/>
      <c r="K774" s="60"/>
      <c r="L774" s="61"/>
      <c r="M774" s="61"/>
      <c r="N774" s="61"/>
      <c r="O774" s="66"/>
      <c r="P774" s="76" t="str">
        <f t="shared" ca="1" si="45"/>
        <v/>
      </c>
      <c r="Q774" s="65" t="str">
        <f t="shared" ca="1" si="46"/>
        <v/>
      </c>
      <c r="R774" s="2"/>
      <c r="S774" s="2"/>
      <c r="T774" s="1"/>
      <c r="U774" s="1" t="str">
        <f t="shared" si="47"/>
        <v/>
      </c>
    </row>
    <row r="775" spans="1:21" ht="18" customHeight="1" x14ac:dyDescent="0.3">
      <c r="A775" s="2"/>
      <c r="B775" s="65" t="str">
        <f t="shared" ref="B775:B838" si="48">IF($E775="","","A"&amp;TEXT(ROW()-6,"00000"))</f>
        <v/>
      </c>
      <c r="C775" s="60"/>
      <c r="D775" s="65" t="str">
        <f>IF($E775="","",IFERROR(INDEX(MUSTERILER!$B$7:$B$156,MATCH($U775,MUSTERILER!$T$7:$T$156,0)),IFERROR(INDEX(MUSTERILER!$B$7:$B$156,MATCH($E775,MUSTERILER!$B$7:$B$156,0)),IFERROR(INDEX(MUSTERILER!$B$7:$B$156,MATCH($U775&amp;"*",MUSTERILER!$T$7:$T$156,0)),"TANIMSIZ MÜŞTERİ"))))</f>
        <v/>
      </c>
      <c r="E775" s="61"/>
      <c r="F775" s="61"/>
      <c r="G775" s="60"/>
      <c r="H775" s="66"/>
      <c r="I775" s="66"/>
      <c r="J775" s="60"/>
      <c r="K775" s="60"/>
      <c r="L775" s="61"/>
      <c r="M775" s="61"/>
      <c r="N775" s="61"/>
      <c r="O775" s="66"/>
      <c r="P775" s="76" t="str">
        <f t="shared" ref="P775:P838" ca="1" si="49">IF(OR($E775="",$I775=""),"",IF(OR($J775="Tamamlandı",$J775="İptal"),"",$I775-TODAY()))</f>
        <v/>
      </c>
      <c r="Q775" s="65" t="str">
        <f t="shared" ref="Q775:Q838" ca="1" si="50"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2"/>
      <c r="S775" s="2"/>
      <c r="T775" s="1"/>
      <c r="U775" s="1" t="str">
        <f t="shared" ref="U775:U838" si="51">IF($E775="","",UPPER(SUBSTITUTE(SUBSTITUTE(SUBSTITUTE(SUBSTITUTE(SUBSTITUTE(SUBSTITUTE(SUBSTITUTE(SUBSTITUTE(SUBSTITUTE(SUBSTITUTE(SUBSTITUTE(SUBSTITUTE(SUBSTITUTE(SUBSTITUTE(SUBSTITUTE(SUBSTITUTE(SUBSTITUTE(SUBSTITUTE(TRIM($E775),"'",""),"İ","I"),"ı","I"),"i","I"),"Ş","S"),"ş","S"),"Ğ","G"),"ğ","G"),"Ü","U"),"ü","U"),"Ö","O"),"ö","O"),"Ç","C"),"ç","C"),".",""),",","")," ",""),"-","")))</f>
        <v/>
      </c>
    </row>
    <row r="776" spans="1:21" ht="18" customHeight="1" x14ac:dyDescent="0.3">
      <c r="A776" s="2"/>
      <c r="B776" s="65" t="str">
        <f t="shared" si="48"/>
        <v/>
      </c>
      <c r="C776" s="60"/>
      <c r="D776" s="65" t="str">
        <f>IF($E776="","",IFERROR(INDEX(MUSTERILER!$B$7:$B$156,MATCH($U776,MUSTERILER!$T$7:$T$156,0)),IFERROR(INDEX(MUSTERILER!$B$7:$B$156,MATCH($E776,MUSTERILER!$B$7:$B$156,0)),IFERROR(INDEX(MUSTERILER!$B$7:$B$156,MATCH($U776&amp;"*",MUSTERILER!$T$7:$T$156,0)),"TANIMSIZ MÜŞTERİ"))))</f>
        <v/>
      </c>
      <c r="E776" s="61"/>
      <c r="F776" s="61"/>
      <c r="G776" s="60"/>
      <c r="H776" s="66"/>
      <c r="I776" s="66"/>
      <c r="J776" s="60"/>
      <c r="K776" s="60"/>
      <c r="L776" s="61"/>
      <c r="M776" s="61"/>
      <c r="N776" s="61"/>
      <c r="O776" s="66"/>
      <c r="P776" s="76" t="str">
        <f t="shared" ca="1" si="49"/>
        <v/>
      </c>
      <c r="Q776" s="65" t="str">
        <f t="shared" ca="1" si="50"/>
        <v/>
      </c>
      <c r="R776" s="2"/>
      <c r="S776" s="2"/>
      <c r="T776" s="1"/>
      <c r="U776" s="1" t="str">
        <f t="shared" si="51"/>
        <v/>
      </c>
    </row>
    <row r="777" spans="1:21" ht="18" customHeight="1" x14ac:dyDescent="0.3">
      <c r="A777" s="2"/>
      <c r="B777" s="65" t="str">
        <f t="shared" si="48"/>
        <v/>
      </c>
      <c r="C777" s="60"/>
      <c r="D777" s="65" t="str">
        <f>IF($E777="","",IFERROR(INDEX(MUSTERILER!$B$7:$B$156,MATCH($U777,MUSTERILER!$T$7:$T$156,0)),IFERROR(INDEX(MUSTERILER!$B$7:$B$156,MATCH($E777,MUSTERILER!$B$7:$B$156,0)),IFERROR(INDEX(MUSTERILER!$B$7:$B$156,MATCH($U777&amp;"*",MUSTERILER!$T$7:$T$156,0)),"TANIMSIZ MÜŞTERİ"))))</f>
        <v/>
      </c>
      <c r="E777" s="61"/>
      <c r="F777" s="61"/>
      <c r="G777" s="60"/>
      <c r="H777" s="66"/>
      <c r="I777" s="66"/>
      <c r="J777" s="60"/>
      <c r="K777" s="60"/>
      <c r="L777" s="61"/>
      <c r="M777" s="61"/>
      <c r="N777" s="61"/>
      <c r="O777" s="66"/>
      <c r="P777" s="76" t="str">
        <f t="shared" ca="1" si="49"/>
        <v/>
      </c>
      <c r="Q777" s="65" t="str">
        <f t="shared" ca="1" si="50"/>
        <v/>
      </c>
      <c r="R777" s="2"/>
      <c r="S777" s="2"/>
      <c r="T777" s="1"/>
      <c r="U777" s="1" t="str">
        <f t="shared" si="51"/>
        <v/>
      </c>
    </row>
    <row r="778" spans="1:21" ht="18" customHeight="1" x14ac:dyDescent="0.3">
      <c r="A778" s="2"/>
      <c r="B778" s="65" t="str">
        <f t="shared" si="48"/>
        <v/>
      </c>
      <c r="C778" s="60"/>
      <c r="D778" s="65" t="str">
        <f>IF($E778="","",IFERROR(INDEX(MUSTERILER!$B$7:$B$156,MATCH($U778,MUSTERILER!$T$7:$T$156,0)),IFERROR(INDEX(MUSTERILER!$B$7:$B$156,MATCH($E778,MUSTERILER!$B$7:$B$156,0)),IFERROR(INDEX(MUSTERILER!$B$7:$B$156,MATCH($U778&amp;"*",MUSTERILER!$T$7:$T$156,0)),"TANIMSIZ MÜŞTERİ"))))</f>
        <v/>
      </c>
      <c r="E778" s="61"/>
      <c r="F778" s="61"/>
      <c r="G778" s="60"/>
      <c r="H778" s="66"/>
      <c r="I778" s="66"/>
      <c r="J778" s="60"/>
      <c r="K778" s="60"/>
      <c r="L778" s="61"/>
      <c r="M778" s="61"/>
      <c r="N778" s="61"/>
      <c r="O778" s="66"/>
      <c r="P778" s="76" t="str">
        <f t="shared" ca="1" si="49"/>
        <v/>
      </c>
      <c r="Q778" s="65" t="str">
        <f t="shared" ca="1" si="50"/>
        <v/>
      </c>
      <c r="R778" s="2"/>
      <c r="S778" s="2"/>
      <c r="T778" s="1"/>
      <c r="U778" s="1" t="str">
        <f t="shared" si="51"/>
        <v/>
      </c>
    </row>
    <row r="779" spans="1:21" ht="18" customHeight="1" x14ac:dyDescent="0.3">
      <c r="A779" s="2"/>
      <c r="B779" s="65" t="str">
        <f t="shared" si="48"/>
        <v/>
      </c>
      <c r="C779" s="60"/>
      <c r="D779" s="65" t="str">
        <f>IF($E779="","",IFERROR(INDEX(MUSTERILER!$B$7:$B$156,MATCH($U779,MUSTERILER!$T$7:$T$156,0)),IFERROR(INDEX(MUSTERILER!$B$7:$B$156,MATCH($E779,MUSTERILER!$B$7:$B$156,0)),IFERROR(INDEX(MUSTERILER!$B$7:$B$156,MATCH($U779&amp;"*",MUSTERILER!$T$7:$T$156,0)),"TANIMSIZ MÜŞTERİ"))))</f>
        <v/>
      </c>
      <c r="E779" s="61"/>
      <c r="F779" s="61"/>
      <c r="G779" s="60"/>
      <c r="H779" s="66"/>
      <c r="I779" s="66"/>
      <c r="J779" s="60"/>
      <c r="K779" s="60"/>
      <c r="L779" s="61"/>
      <c r="M779" s="61"/>
      <c r="N779" s="61"/>
      <c r="O779" s="66"/>
      <c r="P779" s="76" t="str">
        <f t="shared" ca="1" si="49"/>
        <v/>
      </c>
      <c r="Q779" s="65" t="str">
        <f t="shared" ca="1" si="50"/>
        <v/>
      </c>
      <c r="R779" s="2"/>
      <c r="S779" s="2"/>
      <c r="T779" s="1"/>
      <c r="U779" s="1" t="str">
        <f t="shared" si="51"/>
        <v/>
      </c>
    </row>
    <row r="780" spans="1:21" ht="18" customHeight="1" x14ac:dyDescent="0.3">
      <c r="A780" s="2"/>
      <c r="B780" s="65" t="str">
        <f t="shared" si="48"/>
        <v/>
      </c>
      <c r="C780" s="60"/>
      <c r="D780" s="65" t="str">
        <f>IF($E780="","",IFERROR(INDEX(MUSTERILER!$B$7:$B$156,MATCH($U780,MUSTERILER!$T$7:$T$156,0)),IFERROR(INDEX(MUSTERILER!$B$7:$B$156,MATCH($E780,MUSTERILER!$B$7:$B$156,0)),IFERROR(INDEX(MUSTERILER!$B$7:$B$156,MATCH($U780&amp;"*",MUSTERILER!$T$7:$T$156,0)),"TANIMSIZ MÜŞTERİ"))))</f>
        <v/>
      </c>
      <c r="E780" s="61"/>
      <c r="F780" s="61"/>
      <c r="G780" s="60"/>
      <c r="H780" s="66"/>
      <c r="I780" s="66"/>
      <c r="J780" s="60"/>
      <c r="K780" s="60"/>
      <c r="L780" s="61"/>
      <c r="M780" s="61"/>
      <c r="N780" s="61"/>
      <c r="O780" s="66"/>
      <c r="P780" s="76" t="str">
        <f t="shared" ca="1" si="49"/>
        <v/>
      </c>
      <c r="Q780" s="65" t="str">
        <f t="shared" ca="1" si="50"/>
        <v/>
      </c>
      <c r="R780" s="2"/>
      <c r="S780" s="2"/>
      <c r="T780" s="1"/>
      <c r="U780" s="1" t="str">
        <f t="shared" si="51"/>
        <v/>
      </c>
    </row>
    <row r="781" spans="1:21" ht="18" customHeight="1" x14ac:dyDescent="0.3">
      <c r="A781" s="2"/>
      <c r="B781" s="65" t="str">
        <f t="shared" si="48"/>
        <v/>
      </c>
      <c r="C781" s="60"/>
      <c r="D781" s="65" t="str">
        <f>IF($E781="","",IFERROR(INDEX(MUSTERILER!$B$7:$B$156,MATCH($U781,MUSTERILER!$T$7:$T$156,0)),IFERROR(INDEX(MUSTERILER!$B$7:$B$156,MATCH($E781,MUSTERILER!$B$7:$B$156,0)),IFERROR(INDEX(MUSTERILER!$B$7:$B$156,MATCH($U781&amp;"*",MUSTERILER!$T$7:$T$156,0)),"TANIMSIZ MÜŞTERİ"))))</f>
        <v/>
      </c>
      <c r="E781" s="61"/>
      <c r="F781" s="61"/>
      <c r="G781" s="60"/>
      <c r="H781" s="66"/>
      <c r="I781" s="66"/>
      <c r="J781" s="60"/>
      <c r="K781" s="60"/>
      <c r="L781" s="61"/>
      <c r="M781" s="61"/>
      <c r="N781" s="61"/>
      <c r="O781" s="66"/>
      <c r="P781" s="76" t="str">
        <f t="shared" ca="1" si="49"/>
        <v/>
      </c>
      <c r="Q781" s="65" t="str">
        <f t="shared" ca="1" si="50"/>
        <v/>
      </c>
      <c r="R781" s="2"/>
      <c r="S781" s="2"/>
      <c r="T781" s="1"/>
      <c r="U781" s="1" t="str">
        <f t="shared" si="51"/>
        <v/>
      </c>
    </row>
    <row r="782" spans="1:21" ht="18" customHeight="1" x14ac:dyDescent="0.3">
      <c r="A782" s="2"/>
      <c r="B782" s="65" t="str">
        <f t="shared" si="48"/>
        <v/>
      </c>
      <c r="C782" s="60"/>
      <c r="D782" s="65" t="str">
        <f>IF($E782="","",IFERROR(INDEX(MUSTERILER!$B$7:$B$156,MATCH($U782,MUSTERILER!$T$7:$T$156,0)),IFERROR(INDEX(MUSTERILER!$B$7:$B$156,MATCH($E782,MUSTERILER!$B$7:$B$156,0)),IFERROR(INDEX(MUSTERILER!$B$7:$B$156,MATCH($U782&amp;"*",MUSTERILER!$T$7:$T$156,0)),"TANIMSIZ MÜŞTERİ"))))</f>
        <v/>
      </c>
      <c r="E782" s="61"/>
      <c r="F782" s="61"/>
      <c r="G782" s="60"/>
      <c r="H782" s="66"/>
      <c r="I782" s="66"/>
      <c r="J782" s="60"/>
      <c r="K782" s="60"/>
      <c r="L782" s="61"/>
      <c r="M782" s="61"/>
      <c r="N782" s="61"/>
      <c r="O782" s="66"/>
      <c r="P782" s="76" t="str">
        <f t="shared" ca="1" si="49"/>
        <v/>
      </c>
      <c r="Q782" s="65" t="str">
        <f t="shared" ca="1" si="50"/>
        <v/>
      </c>
      <c r="R782" s="2"/>
      <c r="S782" s="2"/>
      <c r="T782" s="1"/>
      <c r="U782" s="1" t="str">
        <f t="shared" si="51"/>
        <v/>
      </c>
    </row>
    <row r="783" spans="1:21" ht="18" customHeight="1" x14ac:dyDescent="0.3">
      <c r="A783" s="2"/>
      <c r="B783" s="65" t="str">
        <f t="shared" si="48"/>
        <v/>
      </c>
      <c r="C783" s="60"/>
      <c r="D783" s="65" t="str">
        <f>IF($E783="","",IFERROR(INDEX(MUSTERILER!$B$7:$B$156,MATCH($U783,MUSTERILER!$T$7:$T$156,0)),IFERROR(INDEX(MUSTERILER!$B$7:$B$156,MATCH($E783,MUSTERILER!$B$7:$B$156,0)),IFERROR(INDEX(MUSTERILER!$B$7:$B$156,MATCH($U783&amp;"*",MUSTERILER!$T$7:$T$156,0)),"TANIMSIZ MÜŞTERİ"))))</f>
        <v/>
      </c>
      <c r="E783" s="61"/>
      <c r="F783" s="61"/>
      <c r="G783" s="60"/>
      <c r="H783" s="66"/>
      <c r="I783" s="66"/>
      <c r="J783" s="60"/>
      <c r="K783" s="60"/>
      <c r="L783" s="61"/>
      <c r="M783" s="61"/>
      <c r="N783" s="61"/>
      <c r="O783" s="66"/>
      <c r="P783" s="76" t="str">
        <f t="shared" ca="1" si="49"/>
        <v/>
      </c>
      <c r="Q783" s="65" t="str">
        <f t="shared" ca="1" si="50"/>
        <v/>
      </c>
      <c r="R783" s="2"/>
      <c r="S783" s="2"/>
      <c r="T783" s="1"/>
      <c r="U783" s="1" t="str">
        <f t="shared" si="51"/>
        <v/>
      </c>
    </row>
    <row r="784" spans="1:21" ht="18" customHeight="1" x14ac:dyDescent="0.3">
      <c r="A784" s="2"/>
      <c r="B784" s="65" t="str">
        <f t="shared" si="48"/>
        <v/>
      </c>
      <c r="C784" s="60"/>
      <c r="D784" s="65" t="str">
        <f>IF($E784="","",IFERROR(INDEX(MUSTERILER!$B$7:$B$156,MATCH($U784,MUSTERILER!$T$7:$T$156,0)),IFERROR(INDEX(MUSTERILER!$B$7:$B$156,MATCH($E784,MUSTERILER!$B$7:$B$156,0)),IFERROR(INDEX(MUSTERILER!$B$7:$B$156,MATCH($U784&amp;"*",MUSTERILER!$T$7:$T$156,0)),"TANIMSIZ MÜŞTERİ"))))</f>
        <v/>
      </c>
      <c r="E784" s="61"/>
      <c r="F784" s="61"/>
      <c r="G784" s="60"/>
      <c r="H784" s="66"/>
      <c r="I784" s="66"/>
      <c r="J784" s="60"/>
      <c r="K784" s="60"/>
      <c r="L784" s="61"/>
      <c r="M784" s="61"/>
      <c r="N784" s="61"/>
      <c r="O784" s="66"/>
      <c r="P784" s="76" t="str">
        <f t="shared" ca="1" si="49"/>
        <v/>
      </c>
      <c r="Q784" s="65" t="str">
        <f t="shared" ca="1" si="50"/>
        <v/>
      </c>
      <c r="R784" s="2"/>
      <c r="S784" s="2"/>
      <c r="T784" s="1"/>
      <c r="U784" s="1" t="str">
        <f t="shared" si="51"/>
        <v/>
      </c>
    </row>
    <row r="785" spans="1:21" ht="18" customHeight="1" x14ac:dyDescent="0.3">
      <c r="A785" s="2"/>
      <c r="B785" s="65" t="str">
        <f t="shared" si="48"/>
        <v/>
      </c>
      <c r="C785" s="60"/>
      <c r="D785" s="65" t="str">
        <f>IF($E785="","",IFERROR(INDEX(MUSTERILER!$B$7:$B$156,MATCH($U785,MUSTERILER!$T$7:$T$156,0)),IFERROR(INDEX(MUSTERILER!$B$7:$B$156,MATCH($E785,MUSTERILER!$B$7:$B$156,0)),IFERROR(INDEX(MUSTERILER!$B$7:$B$156,MATCH($U785&amp;"*",MUSTERILER!$T$7:$T$156,0)),"TANIMSIZ MÜŞTERİ"))))</f>
        <v/>
      </c>
      <c r="E785" s="61"/>
      <c r="F785" s="61"/>
      <c r="G785" s="60"/>
      <c r="H785" s="66"/>
      <c r="I785" s="66"/>
      <c r="J785" s="60"/>
      <c r="K785" s="60"/>
      <c r="L785" s="61"/>
      <c r="M785" s="61"/>
      <c r="N785" s="61"/>
      <c r="O785" s="66"/>
      <c r="P785" s="76" t="str">
        <f t="shared" ca="1" si="49"/>
        <v/>
      </c>
      <c r="Q785" s="65" t="str">
        <f t="shared" ca="1" si="50"/>
        <v/>
      </c>
      <c r="R785" s="2"/>
      <c r="S785" s="2"/>
      <c r="T785" s="1"/>
      <c r="U785" s="1" t="str">
        <f t="shared" si="51"/>
        <v/>
      </c>
    </row>
    <row r="786" spans="1:21" ht="18" customHeight="1" x14ac:dyDescent="0.3">
      <c r="A786" s="2"/>
      <c r="B786" s="65" t="str">
        <f t="shared" si="48"/>
        <v/>
      </c>
      <c r="C786" s="60"/>
      <c r="D786" s="65" t="str">
        <f>IF($E786="","",IFERROR(INDEX(MUSTERILER!$B$7:$B$156,MATCH($U786,MUSTERILER!$T$7:$T$156,0)),IFERROR(INDEX(MUSTERILER!$B$7:$B$156,MATCH($E786,MUSTERILER!$B$7:$B$156,0)),IFERROR(INDEX(MUSTERILER!$B$7:$B$156,MATCH($U786&amp;"*",MUSTERILER!$T$7:$T$156,0)),"TANIMSIZ MÜŞTERİ"))))</f>
        <v/>
      </c>
      <c r="E786" s="61"/>
      <c r="F786" s="61"/>
      <c r="G786" s="60"/>
      <c r="H786" s="66"/>
      <c r="I786" s="66"/>
      <c r="J786" s="60"/>
      <c r="K786" s="60"/>
      <c r="L786" s="61"/>
      <c r="M786" s="61"/>
      <c r="N786" s="61"/>
      <c r="O786" s="66"/>
      <c r="P786" s="76" t="str">
        <f t="shared" ca="1" si="49"/>
        <v/>
      </c>
      <c r="Q786" s="65" t="str">
        <f t="shared" ca="1" si="50"/>
        <v/>
      </c>
      <c r="R786" s="2"/>
      <c r="S786" s="2"/>
      <c r="T786" s="1"/>
      <c r="U786" s="1" t="str">
        <f t="shared" si="51"/>
        <v/>
      </c>
    </row>
    <row r="787" spans="1:21" ht="18" customHeight="1" x14ac:dyDescent="0.3">
      <c r="A787" s="2"/>
      <c r="B787" s="65" t="str">
        <f t="shared" si="48"/>
        <v/>
      </c>
      <c r="C787" s="60"/>
      <c r="D787" s="65" t="str">
        <f>IF($E787="","",IFERROR(INDEX(MUSTERILER!$B$7:$B$156,MATCH($U787,MUSTERILER!$T$7:$T$156,0)),IFERROR(INDEX(MUSTERILER!$B$7:$B$156,MATCH($E787,MUSTERILER!$B$7:$B$156,0)),IFERROR(INDEX(MUSTERILER!$B$7:$B$156,MATCH($U787&amp;"*",MUSTERILER!$T$7:$T$156,0)),"TANIMSIZ MÜŞTERİ"))))</f>
        <v/>
      </c>
      <c r="E787" s="61"/>
      <c r="F787" s="61"/>
      <c r="G787" s="60"/>
      <c r="H787" s="66"/>
      <c r="I787" s="66"/>
      <c r="J787" s="60"/>
      <c r="K787" s="60"/>
      <c r="L787" s="61"/>
      <c r="M787" s="61"/>
      <c r="N787" s="61"/>
      <c r="O787" s="66"/>
      <c r="P787" s="76" t="str">
        <f t="shared" ca="1" si="49"/>
        <v/>
      </c>
      <c r="Q787" s="65" t="str">
        <f t="shared" ca="1" si="50"/>
        <v/>
      </c>
      <c r="R787" s="2"/>
      <c r="S787" s="2"/>
      <c r="T787" s="1"/>
      <c r="U787" s="1" t="str">
        <f t="shared" si="51"/>
        <v/>
      </c>
    </row>
    <row r="788" spans="1:21" ht="18" customHeight="1" x14ac:dyDescent="0.3">
      <c r="A788" s="2"/>
      <c r="B788" s="65" t="str">
        <f t="shared" si="48"/>
        <v/>
      </c>
      <c r="C788" s="60"/>
      <c r="D788" s="65" t="str">
        <f>IF($E788="","",IFERROR(INDEX(MUSTERILER!$B$7:$B$156,MATCH($U788,MUSTERILER!$T$7:$T$156,0)),IFERROR(INDEX(MUSTERILER!$B$7:$B$156,MATCH($E788,MUSTERILER!$B$7:$B$156,0)),IFERROR(INDEX(MUSTERILER!$B$7:$B$156,MATCH($U788&amp;"*",MUSTERILER!$T$7:$T$156,0)),"TANIMSIZ MÜŞTERİ"))))</f>
        <v/>
      </c>
      <c r="E788" s="61"/>
      <c r="F788" s="61"/>
      <c r="G788" s="60"/>
      <c r="H788" s="66"/>
      <c r="I788" s="66"/>
      <c r="J788" s="60"/>
      <c r="K788" s="60"/>
      <c r="L788" s="61"/>
      <c r="M788" s="61"/>
      <c r="N788" s="61"/>
      <c r="O788" s="66"/>
      <c r="P788" s="76" t="str">
        <f t="shared" ca="1" si="49"/>
        <v/>
      </c>
      <c r="Q788" s="65" t="str">
        <f t="shared" ca="1" si="50"/>
        <v/>
      </c>
      <c r="R788" s="2"/>
      <c r="S788" s="2"/>
      <c r="T788" s="1"/>
      <c r="U788" s="1" t="str">
        <f t="shared" si="51"/>
        <v/>
      </c>
    </row>
    <row r="789" spans="1:21" ht="18" customHeight="1" x14ac:dyDescent="0.3">
      <c r="A789" s="2"/>
      <c r="B789" s="65" t="str">
        <f t="shared" si="48"/>
        <v/>
      </c>
      <c r="C789" s="60"/>
      <c r="D789" s="65" t="str">
        <f>IF($E789="","",IFERROR(INDEX(MUSTERILER!$B$7:$B$156,MATCH($U789,MUSTERILER!$T$7:$T$156,0)),IFERROR(INDEX(MUSTERILER!$B$7:$B$156,MATCH($E789,MUSTERILER!$B$7:$B$156,0)),IFERROR(INDEX(MUSTERILER!$B$7:$B$156,MATCH($U789&amp;"*",MUSTERILER!$T$7:$T$156,0)),"TANIMSIZ MÜŞTERİ"))))</f>
        <v/>
      </c>
      <c r="E789" s="61"/>
      <c r="F789" s="61"/>
      <c r="G789" s="60"/>
      <c r="H789" s="66"/>
      <c r="I789" s="66"/>
      <c r="J789" s="60"/>
      <c r="K789" s="60"/>
      <c r="L789" s="61"/>
      <c r="M789" s="61"/>
      <c r="N789" s="61"/>
      <c r="O789" s="66"/>
      <c r="P789" s="76" t="str">
        <f t="shared" ca="1" si="49"/>
        <v/>
      </c>
      <c r="Q789" s="65" t="str">
        <f t="shared" ca="1" si="50"/>
        <v/>
      </c>
      <c r="R789" s="2"/>
      <c r="S789" s="2"/>
      <c r="T789" s="1"/>
      <c r="U789" s="1" t="str">
        <f t="shared" si="51"/>
        <v/>
      </c>
    </row>
    <row r="790" spans="1:21" ht="18" customHeight="1" x14ac:dyDescent="0.3">
      <c r="A790" s="2"/>
      <c r="B790" s="65" t="str">
        <f t="shared" si="48"/>
        <v/>
      </c>
      <c r="C790" s="60"/>
      <c r="D790" s="65" t="str">
        <f>IF($E790="","",IFERROR(INDEX(MUSTERILER!$B$7:$B$156,MATCH($U790,MUSTERILER!$T$7:$T$156,0)),IFERROR(INDEX(MUSTERILER!$B$7:$B$156,MATCH($E790,MUSTERILER!$B$7:$B$156,0)),IFERROR(INDEX(MUSTERILER!$B$7:$B$156,MATCH($U790&amp;"*",MUSTERILER!$T$7:$T$156,0)),"TANIMSIZ MÜŞTERİ"))))</f>
        <v/>
      </c>
      <c r="E790" s="61"/>
      <c r="F790" s="61"/>
      <c r="G790" s="60"/>
      <c r="H790" s="66"/>
      <c r="I790" s="66"/>
      <c r="J790" s="60"/>
      <c r="K790" s="60"/>
      <c r="L790" s="61"/>
      <c r="M790" s="61"/>
      <c r="N790" s="61"/>
      <c r="O790" s="66"/>
      <c r="P790" s="76" t="str">
        <f t="shared" ca="1" si="49"/>
        <v/>
      </c>
      <c r="Q790" s="65" t="str">
        <f t="shared" ca="1" si="50"/>
        <v/>
      </c>
      <c r="R790" s="2"/>
      <c r="S790" s="2"/>
      <c r="T790" s="1"/>
      <c r="U790" s="1" t="str">
        <f t="shared" si="51"/>
        <v/>
      </c>
    </row>
    <row r="791" spans="1:21" ht="18" customHeight="1" x14ac:dyDescent="0.3">
      <c r="A791" s="2"/>
      <c r="B791" s="65" t="str">
        <f t="shared" si="48"/>
        <v/>
      </c>
      <c r="C791" s="60"/>
      <c r="D791" s="65" t="str">
        <f>IF($E791="","",IFERROR(INDEX(MUSTERILER!$B$7:$B$156,MATCH($U791,MUSTERILER!$T$7:$T$156,0)),IFERROR(INDEX(MUSTERILER!$B$7:$B$156,MATCH($E791,MUSTERILER!$B$7:$B$156,0)),IFERROR(INDEX(MUSTERILER!$B$7:$B$156,MATCH($U791&amp;"*",MUSTERILER!$T$7:$T$156,0)),"TANIMSIZ MÜŞTERİ"))))</f>
        <v/>
      </c>
      <c r="E791" s="61"/>
      <c r="F791" s="61"/>
      <c r="G791" s="60"/>
      <c r="H791" s="66"/>
      <c r="I791" s="66"/>
      <c r="J791" s="60"/>
      <c r="K791" s="60"/>
      <c r="L791" s="61"/>
      <c r="M791" s="61"/>
      <c r="N791" s="61"/>
      <c r="O791" s="66"/>
      <c r="P791" s="76" t="str">
        <f t="shared" ca="1" si="49"/>
        <v/>
      </c>
      <c r="Q791" s="65" t="str">
        <f t="shared" ca="1" si="50"/>
        <v/>
      </c>
      <c r="R791" s="2"/>
      <c r="S791" s="2"/>
      <c r="T791" s="1"/>
      <c r="U791" s="1" t="str">
        <f t="shared" si="51"/>
        <v/>
      </c>
    </row>
    <row r="792" spans="1:21" ht="18" customHeight="1" x14ac:dyDescent="0.3">
      <c r="A792" s="2"/>
      <c r="B792" s="65" t="str">
        <f t="shared" si="48"/>
        <v/>
      </c>
      <c r="C792" s="60"/>
      <c r="D792" s="65" t="str">
        <f>IF($E792="","",IFERROR(INDEX(MUSTERILER!$B$7:$B$156,MATCH($U792,MUSTERILER!$T$7:$T$156,0)),IFERROR(INDEX(MUSTERILER!$B$7:$B$156,MATCH($E792,MUSTERILER!$B$7:$B$156,0)),IFERROR(INDEX(MUSTERILER!$B$7:$B$156,MATCH($U792&amp;"*",MUSTERILER!$T$7:$T$156,0)),"TANIMSIZ MÜŞTERİ"))))</f>
        <v/>
      </c>
      <c r="E792" s="61"/>
      <c r="F792" s="61"/>
      <c r="G792" s="60"/>
      <c r="H792" s="66"/>
      <c r="I792" s="66"/>
      <c r="J792" s="60"/>
      <c r="K792" s="60"/>
      <c r="L792" s="61"/>
      <c r="M792" s="61"/>
      <c r="N792" s="61"/>
      <c r="O792" s="66"/>
      <c r="P792" s="76" t="str">
        <f t="shared" ca="1" si="49"/>
        <v/>
      </c>
      <c r="Q792" s="65" t="str">
        <f t="shared" ca="1" si="50"/>
        <v/>
      </c>
      <c r="R792" s="2"/>
      <c r="S792" s="2"/>
      <c r="T792" s="1"/>
      <c r="U792" s="1" t="str">
        <f t="shared" si="51"/>
        <v/>
      </c>
    </row>
    <row r="793" spans="1:21" ht="18" customHeight="1" x14ac:dyDescent="0.3">
      <c r="A793" s="2"/>
      <c r="B793" s="65" t="str">
        <f t="shared" si="48"/>
        <v/>
      </c>
      <c r="C793" s="60"/>
      <c r="D793" s="65" t="str">
        <f>IF($E793="","",IFERROR(INDEX(MUSTERILER!$B$7:$B$156,MATCH($U793,MUSTERILER!$T$7:$T$156,0)),IFERROR(INDEX(MUSTERILER!$B$7:$B$156,MATCH($E793,MUSTERILER!$B$7:$B$156,0)),IFERROR(INDEX(MUSTERILER!$B$7:$B$156,MATCH($U793&amp;"*",MUSTERILER!$T$7:$T$156,0)),"TANIMSIZ MÜŞTERİ"))))</f>
        <v/>
      </c>
      <c r="E793" s="61"/>
      <c r="F793" s="61"/>
      <c r="G793" s="60"/>
      <c r="H793" s="66"/>
      <c r="I793" s="66"/>
      <c r="J793" s="60"/>
      <c r="K793" s="60"/>
      <c r="L793" s="61"/>
      <c r="M793" s="61"/>
      <c r="N793" s="61"/>
      <c r="O793" s="66"/>
      <c r="P793" s="76" t="str">
        <f t="shared" ca="1" si="49"/>
        <v/>
      </c>
      <c r="Q793" s="65" t="str">
        <f t="shared" ca="1" si="50"/>
        <v/>
      </c>
      <c r="R793" s="2"/>
      <c r="S793" s="2"/>
      <c r="T793" s="1"/>
      <c r="U793" s="1" t="str">
        <f t="shared" si="51"/>
        <v/>
      </c>
    </row>
    <row r="794" spans="1:21" ht="18" customHeight="1" x14ac:dyDescent="0.3">
      <c r="A794" s="2"/>
      <c r="B794" s="65" t="str">
        <f t="shared" si="48"/>
        <v/>
      </c>
      <c r="C794" s="60"/>
      <c r="D794" s="65" t="str">
        <f>IF($E794="","",IFERROR(INDEX(MUSTERILER!$B$7:$B$156,MATCH($U794,MUSTERILER!$T$7:$T$156,0)),IFERROR(INDEX(MUSTERILER!$B$7:$B$156,MATCH($E794,MUSTERILER!$B$7:$B$156,0)),IFERROR(INDEX(MUSTERILER!$B$7:$B$156,MATCH($U794&amp;"*",MUSTERILER!$T$7:$T$156,0)),"TANIMSIZ MÜŞTERİ"))))</f>
        <v/>
      </c>
      <c r="E794" s="61"/>
      <c r="F794" s="61"/>
      <c r="G794" s="60"/>
      <c r="H794" s="66"/>
      <c r="I794" s="66"/>
      <c r="J794" s="60"/>
      <c r="K794" s="60"/>
      <c r="L794" s="61"/>
      <c r="M794" s="61"/>
      <c r="N794" s="61"/>
      <c r="O794" s="66"/>
      <c r="P794" s="76" t="str">
        <f t="shared" ca="1" si="49"/>
        <v/>
      </c>
      <c r="Q794" s="65" t="str">
        <f t="shared" ca="1" si="50"/>
        <v/>
      </c>
      <c r="R794" s="2"/>
      <c r="S794" s="2"/>
      <c r="T794" s="1"/>
      <c r="U794" s="1" t="str">
        <f t="shared" si="51"/>
        <v/>
      </c>
    </row>
    <row r="795" spans="1:21" ht="18" customHeight="1" x14ac:dyDescent="0.3">
      <c r="A795" s="2"/>
      <c r="B795" s="65" t="str">
        <f t="shared" si="48"/>
        <v/>
      </c>
      <c r="C795" s="60"/>
      <c r="D795" s="65" t="str">
        <f>IF($E795="","",IFERROR(INDEX(MUSTERILER!$B$7:$B$156,MATCH($U795,MUSTERILER!$T$7:$T$156,0)),IFERROR(INDEX(MUSTERILER!$B$7:$B$156,MATCH($E795,MUSTERILER!$B$7:$B$156,0)),IFERROR(INDEX(MUSTERILER!$B$7:$B$156,MATCH($U795&amp;"*",MUSTERILER!$T$7:$T$156,0)),"TANIMSIZ MÜŞTERİ"))))</f>
        <v/>
      </c>
      <c r="E795" s="61"/>
      <c r="F795" s="61"/>
      <c r="G795" s="60"/>
      <c r="H795" s="66"/>
      <c r="I795" s="66"/>
      <c r="J795" s="60"/>
      <c r="K795" s="60"/>
      <c r="L795" s="61"/>
      <c r="M795" s="61"/>
      <c r="N795" s="61"/>
      <c r="O795" s="66"/>
      <c r="P795" s="76" t="str">
        <f t="shared" ca="1" si="49"/>
        <v/>
      </c>
      <c r="Q795" s="65" t="str">
        <f t="shared" ca="1" si="50"/>
        <v/>
      </c>
      <c r="R795" s="2"/>
      <c r="S795" s="2"/>
      <c r="T795" s="1"/>
      <c r="U795" s="1" t="str">
        <f t="shared" si="51"/>
        <v/>
      </c>
    </row>
    <row r="796" spans="1:21" ht="18" customHeight="1" x14ac:dyDescent="0.3">
      <c r="A796" s="2"/>
      <c r="B796" s="65" t="str">
        <f t="shared" si="48"/>
        <v/>
      </c>
      <c r="C796" s="60"/>
      <c r="D796" s="65" t="str">
        <f>IF($E796="","",IFERROR(INDEX(MUSTERILER!$B$7:$B$156,MATCH($U796,MUSTERILER!$T$7:$T$156,0)),IFERROR(INDEX(MUSTERILER!$B$7:$B$156,MATCH($E796,MUSTERILER!$B$7:$B$156,0)),IFERROR(INDEX(MUSTERILER!$B$7:$B$156,MATCH($U796&amp;"*",MUSTERILER!$T$7:$T$156,0)),"TANIMSIZ MÜŞTERİ"))))</f>
        <v/>
      </c>
      <c r="E796" s="61"/>
      <c r="F796" s="61"/>
      <c r="G796" s="60"/>
      <c r="H796" s="66"/>
      <c r="I796" s="66"/>
      <c r="J796" s="60"/>
      <c r="K796" s="60"/>
      <c r="L796" s="61"/>
      <c r="M796" s="61"/>
      <c r="N796" s="61"/>
      <c r="O796" s="66"/>
      <c r="P796" s="76" t="str">
        <f t="shared" ca="1" si="49"/>
        <v/>
      </c>
      <c r="Q796" s="65" t="str">
        <f t="shared" ca="1" si="50"/>
        <v/>
      </c>
      <c r="R796" s="2"/>
      <c r="S796" s="2"/>
      <c r="T796" s="1"/>
      <c r="U796" s="1" t="str">
        <f t="shared" si="51"/>
        <v/>
      </c>
    </row>
    <row r="797" spans="1:21" ht="18" customHeight="1" x14ac:dyDescent="0.3">
      <c r="A797" s="2"/>
      <c r="B797" s="65" t="str">
        <f t="shared" si="48"/>
        <v/>
      </c>
      <c r="C797" s="60"/>
      <c r="D797" s="65" t="str">
        <f>IF($E797="","",IFERROR(INDEX(MUSTERILER!$B$7:$B$156,MATCH($U797,MUSTERILER!$T$7:$T$156,0)),IFERROR(INDEX(MUSTERILER!$B$7:$B$156,MATCH($E797,MUSTERILER!$B$7:$B$156,0)),IFERROR(INDEX(MUSTERILER!$B$7:$B$156,MATCH($U797&amp;"*",MUSTERILER!$T$7:$T$156,0)),"TANIMSIZ MÜŞTERİ"))))</f>
        <v/>
      </c>
      <c r="E797" s="61"/>
      <c r="F797" s="61"/>
      <c r="G797" s="60"/>
      <c r="H797" s="66"/>
      <c r="I797" s="66"/>
      <c r="J797" s="60"/>
      <c r="K797" s="60"/>
      <c r="L797" s="61"/>
      <c r="M797" s="61"/>
      <c r="N797" s="61"/>
      <c r="O797" s="66"/>
      <c r="P797" s="76" t="str">
        <f t="shared" ca="1" si="49"/>
        <v/>
      </c>
      <c r="Q797" s="65" t="str">
        <f t="shared" ca="1" si="50"/>
        <v/>
      </c>
      <c r="R797" s="2"/>
      <c r="S797" s="2"/>
      <c r="T797" s="1"/>
      <c r="U797" s="1" t="str">
        <f t="shared" si="51"/>
        <v/>
      </c>
    </row>
    <row r="798" spans="1:21" ht="18" customHeight="1" x14ac:dyDescent="0.3">
      <c r="A798" s="2"/>
      <c r="B798" s="65" t="str">
        <f t="shared" si="48"/>
        <v/>
      </c>
      <c r="C798" s="60"/>
      <c r="D798" s="65" t="str">
        <f>IF($E798="","",IFERROR(INDEX(MUSTERILER!$B$7:$B$156,MATCH($U798,MUSTERILER!$T$7:$T$156,0)),IFERROR(INDEX(MUSTERILER!$B$7:$B$156,MATCH($E798,MUSTERILER!$B$7:$B$156,0)),IFERROR(INDEX(MUSTERILER!$B$7:$B$156,MATCH($U798&amp;"*",MUSTERILER!$T$7:$T$156,0)),"TANIMSIZ MÜŞTERİ"))))</f>
        <v/>
      </c>
      <c r="E798" s="61"/>
      <c r="F798" s="61"/>
      <c r="G798" s="60"/>
      <c r="H798" s="66"/>
      <c r="I798" s="66"/>
      <c r="J798" s="60"/>
      <c r="K798" s="60"/>
      <c r="L798" s="61"/>
      <c r="M798" s="61"/>
      <c r="N798" s="61"/>
      <c r="O798" s="66"/>
      <c r="P798" s="76" t="str">
        <f t="shared" ca="1" si="49"/>
        <v/>
      </c>
      <c r="Q798" s="65" t="str">
        <f t="shared" ca="1" si="50"/>
        <v/>
      </c>
      <c r="R798" s="2"/>
      <c r="S798" s="2"/>
      <c r="T798" s="1"/>
      <c r="U798" s="1" t="str">
        <f t="shared" si="51"/>
        <v/>
      </c>
    </row>
    <row r="799" spans="1:21" ht="18" customHeight="1" x14ac:dyDescent="0.3">
      <c r="A799" s="2"/>
      <c r="B799" s="65" t="str">
        <f t="shared" si="48"/>
        <v/>
      </c>
      <c r="C799" s="60"/>
      <c r="D799" s="65" t="str">
        <f>IF($E799="","",IFERROR(INDEX(MUSTERILER!$B$7:$B$156,MATCH($U799,MUSTERILER!$T$7:$T$156,0)),IFERROR(INDEX(MUSTERILER!$B$7:$B$156,MATCH($E799,MUSTERILER!$B$7:$B$156,0)),IFERROR(INDEX(MUSTERILER!$B$7:$B$156,MATCH($U799&amp;"*",MUSTERILER!$T$7:$T$156,0)),"TANIMSIZ MÜŞTERİ"))))</f>
        <v/>
      </c>
      <c r="E799" s="61"/>
      <c r="F799" s="61"/>
      <c r="G799" s="60"/>
      <c r="H799" s="66"/>
      <c r="I799" s="66"/>
      <c r="J799" s="60"/>
      <c r="K799" s="60"/>
      <c r="L799" s="61"/>
      <c r="M799" s="61"/>
      <c r="N799" s="61"/>
      <c r="O799" s="66"/>
      <c r="P799" s="76" t="str">
        <f t="shared" ca="1" si="49"/>
        <v/>
      </c>
      <c r="Q799" s="65" t="str">
        <f t="shared" ca="1" si="50"/>
        <v/>
      </c>
      <c r="R799" s="2"/>
      <c r="S799" s="2"/>
      <c r="T799" s="1"/>
      <c r="U799" s="1" t="str">
        <f t="shared" si="51"/>
        <v/>
      </c>
    </row>
    <row r="800" spans="1:21" ht="18" customHeight="1" x14ac:dyDescent="0.3">
      <c r="A800" s="2"/>
      <c r="B800" s="65" t="str">
        <f t="shared" si="48"/>
        <v/>
      </c>
      <c r="C800" s="60"/>
      <c r="D800" s="65" t="str">
        <f>IF($E800="","",IFERROR(INDEX(MUSTERILER!$B$7:$B$156,MATCH($U800,MUSTERILER!$T$7:$T$156,0)),IFERROR(INDEX(MUSTERILER!$B$7:$B$156,MATCH($E800,MUSTERILER!$B$7:$B$156,0)),IFERROR(INDEX(MUSTERILER!$B$7:$B$156,MATCH($U800&amp;"*",MUSTERILER!$T$7:$T$156,0)),"TANIMSIZ MÜŞTERİ"))))</f>
        <v/>
      </c>
      <c r="E800" s="61"/>
      <c r="F800" s="61"/>
      <c r="G800" s="60"/>
      <c r="H800" s="66"/>
      <c r="I800" s="66"/>
      <c r="J800" s="60"/>
      <c r="K800" s="60"/>
      <c r="L800" s="61"/>
      <c r="M800" s="61"/>
      <c r="N800" s="61"/>
      <c r="O800" s="66"/>
      <c r="P800" s="76" t="str">
        <f t="shared" ca="1" si="49"/>
        <v/>
      </c>
      <c r="Q800" s="65" t="str">
        <f t="shared" ca="1" si="50"/>
        <v/>
      </c>
      <c r="R800" s="2"/>
      <c r="S800" s="2"/>
      <c r="T800" s="1"/>
      <c r="U800" s="1" t="str">
        <f t="shared" si="51"/>
        <v/>
      </c>
    </row>
    <row r="801" spans="1:21" ht="18" customHeight="1" x14ac:dyDescent="0.3">
      <c r="A801" s="2"/>
      <c r="B801" s="65" t="str">
        <f t="shared" si="48"/>
        <v/>
      </c>
      <c r="C801" s="60"/>
      <c r="D801" s="65" t="str">
        <f>IF($E801="","",IFERROR(INDEX(MUSTERILER!$B$7:$B$156,MATCH($U801,MUSTERILER!$T$7:$T$156,0)),IFERROR(INDEX(MUSTERILER!$B$7:$B$156,MATCH($E801,MUSTERILER!$B$7:$B$156,0)),IFERROR(INDEX(MUSTERILER!$B$7:$B$156,MATCH($U801&amp;"*",MUSTERILER!$T$7:$T$156,0)),"TANIMSIZ MÜŞTERİ"))))</f>
        <v/>
      </c>
      <c r="E801" s="61"/>
      <c r="F801" s="61"/>
      <c r="G801" s="60"/>
      <c r="H801" s="66"/>
      <c r="I801" s="66"/>
      <c r="J801" s="60"/>
      <c r="K801" s="60"/>
      <c r="L801" s="61"/>
      <c r="M801" s="61"/>
      <c r="N801" s="61"/>
      <c r="O801" s="66"/>
      <c r="P801" s="76" t="str">
        <f t="shared" ca="1" si="49"/>
        <v/>
      </c>
      <c r="Q801" s="65" t="str">
        <f t="shared" ca="1" si="50"/>
        <v/>
      </c>
      <c r="R801" s="2"/>
      <c r="S801" s="2"/>
      <c r="T801" s="1"/>
      <c r="U801" s="1" t="str">
        <f t="shared" si="51"/>
        <v/>
      </c>
    </row>
    <row r="802" spans="1:21" ht="18" customHeight="1" x14ac:dyDescent="0.3">
      <c r="A802" s="2"/>
      <c r="B802" s="65" t="str">
        <f t="shared" si="48"/>
        <v/>
      </c>
      <c r="C802" s="60"/>
      <c r="D802" s="65" t="str">
        <f>IF($E802="","",IFERROR(INDEX(MUSTERILER!$B$7:$B$156,MATCH($U802,MUSTERILER!$T$7:$T$156,0)),IFERROR(INDEX(MUSTERILER!$B$7:$B$156,MATCH($E802,MUSTERILER!$B$7:$B$156,0)),IFERROR(INDEX(MUSTERILER!$B$7:$B$156,MATCH($U802&amp;"*",MUSTERILER!$T$7:$T$156,0)),"TANIMSIZ MÜŞTERİ"))))</f>
        <v/>
      </c>
      <c r="E802" s="61"/>
      <c r="F802" s="61"/>
      <c r="G802" s="60"/>
      <c r="H802" s="66"/>
      <c r="I802" s="66"/>
      <c r="J802" s="60"/>
      <c r="K802" s="60"/>
      <c r="L802" s="61"/>
      <c r="M802" s="61"/>
      <c r="N802" s="61"/>
      <c r="O802" s="66"/>
      <c r="P802" s="76" t="str">
        <f t="shared" ca="1" si="49"/>
        <v/>
      </c>
      <c r="Q802" s="65" t="str">
        <f t="shared" ca="1" si="50"/>
        <v/>
      </c>
      <c r="R802" s="2"/>
      <c r="S802" s="2"/>
      <c r="T802" s="1"/>
      <c r="U802" s="1" t="str">
        <f t="shared" si="51"/>
        <v/>
      </c>
    </row>
    <row r="803" spans="1:21" ht="18" customHeight="1" x14ac:dyDescent="0.3">
      <c r="A803" s="2"/>
      <c r="B803" s="65" t="str">
        <f t="shared" si="48"/>
        <v/>
      </c>
      <c r="C803" s="60"/>
      <c r="D803" s="65" t="str">
        <f>IF($E803="","",IFERROR(INDEX(MUSTERILER!$B$7:$B$156,MATCH($U803,MUSTERILER!$T$7:$T$156,0)),IFERROR(INDEX(MUSTERILER!$B$7:$B$156,MATCH($E803,MUSTERILER!$B$7:$B$156,0)),IFERROR(INDEX(MUSTERILER!$B$7:$B$156,MATCH($U803&amp;"*",MUSTERILER!$T$7:$T$156,0)),"TANIMSIZ MÜŞTERİ"))))</f>
        <v/>
      </c>
      <c r="E803" s="61"/>
      <c r="F803" s="61"/>
      <c r="G803" s="60"/>
      <c r="H803" s="66"/>
      <c r="I803" s="66"/>
      <c r="J803" s="60"/>
      <c r="K803" s="60"/>
      <c r="L803" s="61"/>
      <c r="M803" s="61"/>
      <c r="N803" s="61"/>
      <c r="O803" s="66"/>
      <c r="P803" s="76" t="str">
        <f t="shared" ca="1" si="49"/>
        <v/>
      </c>
      <c r="Q803" s="65" t="str">
        <f t="shared" ca="1" si="50"/>
        <v/>
      </c>
      <c r="R803" s="2"/>
      <c r="S803" s="2"/>
      <c r="T803" s="1"/>
      <c r="U803" s="1" t="str">
        <f t="shared" si="51"/>
        <v/>
      </c>
    </row>
    <row r="804" spans="1:21" ht="18" customHeight="1" x14ac:dyDescent="0.3">
      <c r="A804" s="2"/>
      <c r="B804" s="65" t="str">
        <f t="shared" si="48"/>
        <v/>
      </c>
      <c r="C804" s="60"/>
      <c r="D804" s="65" t="str">
        <f>IF($E804="","",IFERROR(INDEX(MUSTERILER!$B$7:$B$156,MATCH($U804,MUSTERILER!$T$7:$T$156,0)),IFERROR(INDEX(MUSTERILER!$B$7:$B$156,MATCH($E804,MUSTERILER!$B$7:$B$156,0)),IFERROR(INDEX(MUSTERILER!$B$7:$B$156,MATCH($U804&amp;"*",MUSTERILER!$T$7:$T$156,0)),"TANIMSIZ MÜŞTERİ"))))</f>
        <v/>
      </c>
      <c r="E804" s="61"/>
      <c r="F804" s="61"/>
      <c r="G804" s="60"/>
      <c r="H804" s="66"/>
      <c r="I804" s="66"/>
      <c r="J804" s="60"/>
      <c r="K804" s="60"/>
      <c r="L804" s="61"/>
      <c r="M804" s="61"/>
      <c r="N804" s="61"/>
      <c r="O804" s="66"/>
      <c r="P804" s="76" t="str">
        <f t="shared" ca="1" si="49"/>
        <v/>
      </c>
      <c r="Q804" s="65" t="str">
        <f t="shared" ca="1" si="50"/>
        <v/>
      </c>
      <c r="R804" s="2"/>
      <c r="S804" s="2"/>
      <c r="T804" s="1"/>
      <c r="U804" s="1" t="str">
        <f t="shared" si="51"/>
        <v/>
      </c>
    </row>
    <row r="805" spans="1:21" ht="18" customHeight="1" x14ac:dyDescent="0.3">
      <c r="A805" s="2"/>
      <c r="B805" s="65" t="str">
        <f t="shared" si="48"/>
        <v/>
      </c>
      <c r="C805" s="60"/>
      <c r="D805" s="65" t="str">
        <f>IF($E805="","",IFERROR(INDEX(MUSTERILER!$B$7:$B$156,MATCH($U805,MUSTERILER!$T$7:$T$156,0)),IFERROR(INDEX(MUSTERILER!$B$7:$B$156,MATCH($E805,MUSTERILER!$B$7:$B$156,0)),IFERROR(INDEX(MUSTERILER!$B$7:$B$156,MATCH($U805&amp;"*",MUSTERILER!$T$7:$T$156,0)),"TANIMSIZ MÜŞTERİ"))))</f>
        <v/>
      </c>
      <c r="E805" s="61"/>
      <c r="F805" s="61"/>
      <c r="G805" s="60"/>
      <c r="H805" s="66"/>
      <c r="I805" s="66"/>
      <c r="J805" s="60"/>
      <c r="K805" s="60"/>
      <c r="L805" s="61"/>
      <c r="M805" s="61"/>
      <c r="N805" s="61"/>
      <c r="O805" s="66"/>
      <c r="P805" s="76" t="str">
        <f t="shared" ca="1" si="49"/>
        <v/>
      </c>
      <c r="Q805" s="65" t="str">
        <f t="shared" ca="1" si="50"/>
        <v/>
      </c>
      <c r="R805" s="2"/>
      <c r="S805" s="2"/>
      <c r="T805" s="1"/>
      <c r="U805" s="1" t="str">
        <f t="shared" si="51"/>
        <v/>
      </c>
    </row>
    <row r="806" spans="1:21" ht="18" customHeight="1" x14ac:dyDescent="0.3">
      <c r="A806" s="2"/>
      <c r="B806" s="65" t="str">
        <f t="shared" si="48"/>
        <v/>
      </c>
      <c r="C806" s="60"/>
      <c r="D806" s="65" t="str">
        <f>IF($E806="","",IFERROR(INDEX(MUSTERILER!$B$7:$B$156,MATCH($U806,MUSTERILER!$T$7:$T$156,0)),IFERROR(INDEX(MUSTERILER!$B$7:$B$156,MATCH($E806,MUSTERILER!$B$7:$B$156,0)),IFERROR(INDEX(MUSTERILER!$B$7:$B$156,MATCH($U806&amp;"*",MUSTERILER!$T$7:$T$156,0)),"TANIMSIZ MÜŞTERİ"))))</f>
        <v/>
      </c>
      <c r="E806" s="61"/>
      <c r="F806" s="61"/>
      <c r="G806" s="60"/>
      <c r="H806" s="66"/>
      <c r="I806" s="66"/>
      <c r="J806" s="60"/>
      <c r="K806" s="60"/>
      <c r="L806" s="61"/>
      <c r="M806" s="61"/>
      <c r="N806" s="61"/>
      <c r="O806" s="66"/>
      <c r="P806" s="76" t="str">
        <f t="shared" ca="1" si="49"/>
        <v/>
      </c>
      <c r="Q806" s="65" t="str">
        <f t="shared" ca="1" si="50"/>
        <v/>
      </c>
      <c r="R806" s="2"/>
      <c r="S806" s="2"/>
      <c r="T806" s="1"/>
      <c r="U806" s="1" t="str">
        <f t="shared" si="51"/>
        <v/>
      </c>
    </row>
    <row r="807" spans="1:21" ht="18" customHeight="1" x14ac:dyDescent="0.3">
      <c r="A807" s="2"/>
      <c r="B807" s="65" t="str">
        <f t="shared" si="48"/>
        <v/>
      </c>
      <c r="C807" s="60"/>
      <c r="D807" s="65" t="str">
        <f>IF($E807="","",IFERROR(INDEX(MUSTERILER!$B$7:$B$156,MATCH($U807,MUSTERILER!$T$7:$T$156,0)),IFERROR(INDEX(MUSTERILER!$B$7:$B$156,MATCH($E807,MUSTERILER!$B$7:$B$156,0)),IFERROR(INDEX(MUSTERILER!$B$7:$B$156,MATCH($U807&amp;"*",MUSTERILER!$T$7:$T$156,0)),"TANIMSIZ MÜŞTERİ"))))</f>
        <v/>
      </c>
      <c r="E807" s="61"/>
      <c r="F807" s="61"/>
      <c r="G807" s="60"/>
      <c r="H807" s="66"/>
      <c r="I807" s="66"/>
      <c r="J807" s="60"/>
      <c r="K807" s="60"/>
      <c r="L807" s="61"/>
      <c r="M807" s="61"/>
      <c r="N807" s="61"/>
      <c r="O807" s="66"/>
      <c r="P807" s="76" t="str">
        <f t="shared" ca="1" si="49"/>
        <v/>
      </c>
      <c r="Q807" s="65" t="str">
        <f t="shared" ca="1" si="50"/>
        <v/>
      </c>
      <c r="R807" s="2"/>
      <c r="S807" s="2"/>
      <c r="T807" s="1"/>
      <c r="U807" s="1" t="str">
        <f t="shared" si="51"/>
        <v/>
      </c>
    </row>
    <row r="808" spans="1:21" ht="18" customHeight="1" x14ac:dyDescent="0.3">
      <c r="A808" s="2"/>
      <c r="B808" s="65" t="str">
        <f t="shared" si="48"/>
        <v/>
      </c>
      <c r="C808" s="60"/>
      <c r="D808" s="65" t="str">
        <f>IF($E808="","",IFERROR(INDEX(MUSTERILER!$B$7:$B$156,MATCH($U808,MUSTERILER!$T$7:$T$156,0)),IFERROR(INDEX(MUSTERILER!$B$7:$B$156,MATCH($E808,MUSTERILER!$B$7:$B$156,0)),IFERROR(INDEX(MUSTERILER!$B$7:$B$156,MATCH($U808&amp;"*",MUSTERILER!$T$7:$T$156,0)),"TANIMSIZ MÜŞTERİ"))))</f>
        <v/>
      </c>
      <c r="E808" s="61"/>
      <c r="F808" s="61"/>
      <c r="G808" s="60"/>
      <c r="H808" s="66"/>
      <c r="I808" s="66"/>
      <c r="J808" s="60"/>
      <c r="K808" s="60"/>
      <c r="L808" s="61"/>
      <c r="M808" s="61"/>
      <c r="N808" s="61"/>
      <c r="O808" s="66"/>
      <c r="P808" s="76" t="str">
        <f t="shared" ca="1" si="49"/>
        <v/>
      </c>
      <c r="Q808" s="65" t="str">
        <f t="shared" ca="1" si="50"/>
        <v/>
      </c>
      <c r="R808" s="2"/>
      <c r="S808" s="2"/>
      <c r="T808" s="1"/>
      <c r="U808" s="1" t="str">
        <f t="shared" si="51"/>
        <v/>
      </c>
    </row>
    <row r="809" spans="1:21" ht="18" customHeight="1" x14ac:dyDescent="0.3">
      <c r="A809" s="2"/>
      <c r="B809" s="65" t="str">
        <f t="shared" si="48"/>
        <v/>
      </c>
      <c r="C809" s="60"/>
      <c r="D809" s="65" t="str">
        <f>IF($E809="","",IFERROR(INDEX(MUSTERILER!$B$7:$B$156,MATCH($U809,MUSTERILER!$T$7:$T$156,0)),IFERROR(INDEX(MUSTERILER!$B$7:$B$156,MATCH($E809,MUSTERILER!$B$7:$B$156,0)),IFERROR(INDEX(MUSTERILER!$B$7:$B$156,MATCH($U809&amp;"*",MUSTERILER!$T$7:$T$156,0)),"TANIMSIZ MÜŞTERİ"))))</f>
        <v/>
      </c>
      <c r="E809" s="61"/>
      <c r="F809" s="61"/>
      <c r="G809" s="60"/>
      <c r="H809" s="66"/>
      <c r="I809" s="66"/>
      <c r="J809" s="60"/>
      <c r="K809" s="60"/>
      <c r="L809" s="61"/>
      <c r="M809" s="61"/>
      <c r="N809" s="61"/>
      <c r="O809" s="66"/>
      <c r="P809" s="76" t="str">
        <f t="shared" ca="1" si="49"/>
        <v/>
      </c>
      <c r="Q809" s="65" t="str">
        <f t="shared" ca="1" si="50"/>
        <v/>
      </c>
      <c r="R809" s="2"/>
      <c r="S809" s="2"/>
      <c r="T809" s="1"/>
      <c r="U809" s="1" t="str">
        <f t="shared" si="51"/>
        <v/>
      </c>
    </row>
    <row r="810" spans="1:21" ht="18" customHeight="1" x14ac:dyDescent="0.3">
      <c r="A810" s="2"/>
      <c r="B810" s="65" t="str">
        <f t="shared" si="48"/>
        <v/>
      </c>
      <c r="C810" s="60"/>
      <c r="D810" s="65" t="str">
        <f>IF($E810="","",IFERROR(INDEX(MUSTERILER!$B$7:$B$156,MATCH($U810,MUSTERILER!$T$7:$T$156,0)),IFERROR(INDEX(MUSTERILER!$B$7:$B$156,MATCH($E810,MUSTERILER!$B$7:$B$156,0)),IFERROR(INDEX(MUSTERILER!$B$7:$B$156,MATCH($U810&amp;"*",MUSTERILER!$T$7:$T$156,0)),"TANIMSIZ MÜŞTERİ"))))</f>
        <v/>
      </c>
      <c r="E810" s="61"/>
      <c r="F810" s="61"/>
      <c r="G810" s="60"/>
      <c r="H810" s="66"/>
      <c r="I810" s="66"/>
      <c r="J810" s="60"/>
      <c r="K810" s="60"/>
      <c r="L810" s="61"/>
      <c r="M810" s="61"/>
      <c r="N810" s="61"/>
      <c r="O810" s="66"/>
      <c r="P810" s="76" t="str">
        <f t="shared" ca="1" si="49"/>
        <v/>
      </c>
      <c r="Q810" s="65" t="str">
        <f t="shared" ca="1" si="50"/>
        <v/>
      </c>
      <c r="R810" s="2"/>
      <c r="S810" s="2"/>
      <c r="T810" s="1"/>
      <c r="U810" s="1" t="str">
        <f t="shared" si="51"/>
        <v/>
      </c>
    </row>
    <row r="811" spans="1:21" ht="18" customHeight="1" x14ac:dyDescent="0.3">
      <c r="A811" s="2"/>
      <c r="B811" s="65" t="str">
        <f t="shared" si="48"/>
        <v/>
      </c>
      <c r="C811" s="60"/>
      <c r="D811" s="65" t="str">
        <f>IF($E811="","",IFERROR(INDEX(MUSTERILER!$B$7:$B$156,MATCH($U811,MUSTERILER!$T$7:$T$156,0)),IFERROR(INDEX(MUSTERILER!$B$7:$B$156,MATCH($E811,MUSTERILER!$B$7:$B$156,0)),IFERROR(INDEX(MUSTERILER!$B$7:$B$156,MATCH($U811&amp;"*",MUSTERILER!$T$7:$T$156,0)),"TANIMSIZ MÜŞTERİ"))))</f>
        <v/>
      </c>
      <c r="E811" s="61"/>
      <c r="F811" s="61"/>
      <c r="G811" s="60"/>
      <c r="H811" s="66"/>
      <c r="I811" s="66"/>
      <c r="J811" s="60"/>
      <c r="K811" s="60"/>
      <c r="L811" s="61"/>
      <c r="M811" s="61"/>
      <c r="N811" s="61"/>
      <c r="O811" s="66"/>
      <c r="P811" s="76" t="str">
        <f t="shared" ca="1" si="49"/>
        <v/>
      </c>
      <c r="Q811" s="65" t="str">
        <f t="shared" ca="1" si="50"/>
        <v/>
      </c>
      <c r="R811" s="2"/>
      <c r="S811" s="2"/>
      <c r="T811" s="1"/>
      <c r="U811" s="1" t="str">
        <f t="shared" si="51"/>
        <v/>
      </c>
    </row>
    <row r="812" spans="1:21" ht="18" customHeight="1" x14ac:dyDescent="0.3">
      <c r="A812" s="2"/>
      <c r="B812" s="65" t="str">
        <f t="shared" si="48"/>
        <v/>
      </c>
      <c r="C812" s="60"/>
      <c r="D812" s="65" t="str">
        <f>IF($E812="","",IFERROR(INDEX(MUSTERILER!$B$7:$B$156,MATCH($U812,MUSTERILER!$T$7:$T$156,0)),IFERROR(INDEX(MUSTERILER!$B$7:$B$156,MATCH($E812,MUSTERILER!$B$7:$B$156,0)),IFERROR(INDEX(MUSTERILER!$B$7:$B$156,MATCH($U812&amp;"*",MUSTERILER!$T$7:$T$156,0)),"TANIMSIZ MÜŞTERİ"))))</f>
        <v/>
      </c>
      <c r="E812" s="61"/>
      <c r="F812" s="61"/>
      <c r="G812" s="60"/>
      <c r="H812" s="66"/>
      <c r="I812" s="66"/>
      <c r="J812" s="60"/>
      <c r="K812" s="60"/>
      <c r="L812" s="61"/>
      <c r="M812" s="61"/>
      <c r="N812" s="61"/>
      <c r="O812" s="66"/>
      <c r="P812" s="76" t="str">
        <f t="shared" ca="1" si="49"/>
        <v/>
      </c>
      <c r="Q812" s="65" t="str">
        <f t="shared" ca="1" si="50"/>
        <v/>
      </c>
      <c r="R812" s="2"/>
      <c r="S812" s="2"/>
      <c r="T812" s="1"/>
      <c r="U812" s="1" t="str">
        <f t="shared" si="51"/>
        <v/>
      </c>
    </row>
    <row r="813" spans="1:21" ht="18" customHeight="1" x14ac:dyDescent="0.3">
      <c r="A813" s="2"/>
      <c r="B813" s="65" t="str">
        <f t="shared" si="48"/>
        <v/>
      </c>
      <c r="C813" s="60"/>
      <c r="D813" s="65" t="str">
        <f>IF($E813="","",IFERROR(INDEX(MUSTERILER!$B$7:$B$156,MATCH($U813,MUSTERILER!$T$7:$T$156,0)),IFERROR(INDEX(MUSTERILER!$B$7:$B$156,MATCH($E813,MUSTERILER!$B$7:$B$156,0)),IFERROR(INDEX(MUSTERILER!$B$7:$B$156,MATCH($U813&amp;"*",MUSTERILER!$T$7:$T$156,0)),"TANIMSIZ MÜŞTERİ"))))</f>
        <v/>
      </c>
      <c r="E813" s="61"/>
      <c r="F813" s="61"/>
      <c r="G813" s="60"/>
      <c r="H813" s="66"/>
      <c r="I813" s="66"/>
      <c r="J813" s="60"/>
      <c r="K813" s="60"/>
      <c r="L813" s="61"/>
      <c r="M813" s="61"/>
      <c r="N813" s="61"/>
      <c r="O813" s="66"/>
      <c r="P813" s="76" t="str">
        <f t="shared" ca="1" si="49"/>
        <v/>
      </c>
      <c r="Q813" s="65" t="str">
        <f t="shared" ca="1" si="50"/>
        <v/>
      </c>
      <c r="R813" s="2"/>
      <c r="S813" s="2"/>
      <c r="T813" s="1"/>
      <c r="U813" s="1" t="str">
        <f t="shared" si="51"/>
        <v/>
      </c>
    </row>
    <row r="814" spans="1:21" ht="18" customHeight="1" x14ac:dyDescent="0.3">
      <c r="A814" s="2"/>
      <c r="B814" s="65" t="str">
        <f t="shared" si="48"/>
        <v/>
      </c>
      <c r="C814" s="60"/>
      <c r="D814" s="65" t="str">
        <f>IF($E814="","",IFERROR(INDEX(MUSTERILER!$B$7:$B$156,MATCH($U814,MUSTERILER!$T$7:$T$156,0)),IFERROR(INDEX(MUSTERILER!$B$7:$B$156,MATCH($E814,MUSTERILER!$B$7:$B$156,0)),IFERROR(INDEX(MUSTERILER!$B$7:$B$156,MATCH($U814&amp;"*",MUSTERILER!$T$7:$T$156,0)),"TANIMSIZ MÜŞTERİ"))))</f>
        <v/>
      </c>
      <c r="E814" s="61"/>
      <c r="F814" s="61"/>
      <c r="G814" s="60"/>
      <c r="H814" s="66"/>
      <c r="I814" s="66"/>
      <c r="J814" s="60"/>
      <c r="K814" s="60"/>
      <c r="L814" s="61"/>
      <c r="M814" s="61"/>
      <c r="N814" s="61"/>
      <c r="O814" s="66"/>
      <c r="P814" s="76" t="str">
        <f t="shared" ca="1" si="49"/>
        <v/>
      </c>
      <c r="Q814" s="65" t="str">
        <f t="shared" ca="1" si="50"/>
        <v/>
      </c>
      <c r="R814" s="2"/>
      <c r="S814" s="2"/>
      <c r="T814" s="1"/>
      <c r="U814" s="1" t="str">
        <f t="shared" si="51"/>
        <v/>
      </c>
    </row>
    <row r="815" spans="1:21" ht="18" customHeight="1" x14ac:dyDescent="0.3">
      <c r="A815" s="2"/>
      <c r="B815" s="65" t="str">
        <f t="shared" si="48"/>
        <v/>
      </c>
      <c r="C815" s="60"/>
      <c r="D815" s="65" t="str">
        <f>IF($E815="","",IFERROR(INDEX(MUSTERILER!$B$7:$B$156,MATCH($U815,MUSTERILER!$T$7:$T$156,0)),IFERROR(INDEX(MUSTERILER!$B$7:$B$156,MATCH($E815,MUSTERILER!$B$7:$B$156,0)),IFERROR(INDEX(MUSTERILER!$B$7:$B$156,MATCH($U815&amp;"*",MUSTERILER!$T$7:$T$156,0)),"TANIMSIZ MÜŞTERİ"))))</f>
        <v/>
      </c>
      <c r="E815" s="61"/>
      <c r="F815" s="61"/>
      <c r="G815" s="60"/>
      <c r="H815" s="66"/>
      <c r="I815" s="66"/>
      <c r="J815" s="60"/>
      <c r="K815" s="60"/>
      <c r="L815" s="61"/>
      <c r="M815" s="61"/>
      <c r="N815" s="61"/>
      <c r="O815" s="66"/>
      <c r="P815" s="76" t="str">
        <f t="shared" ca="1" si="49"/>
        <v/>
      </c>
      <c r="Q815" s="65" t="str">
        <f t="shared" ca="1" si="50"/>
        <v/>
      </c>
      <c r="R815" s="2"/>
      <c r="S815" s="2"/>
      <c r="T815" s="1"/>
      <c r="U815" s="1" t="str">
        <f t="shared" si="51"/>
        <v/>
      </c>
    </row>
    <row r="816" spans="1:21" ht="18" customHeight="1" x14ac:dyDescent="0.3">
      <c r="A816" s="2"/>
      <c r="B816" s="65" t="str">
        <f t="shared" si="48"/>
        <v/>
      </c>
      <c r="C816" s="60"/>
      <c r="D816" s="65" t="str">
        <f>IF($E816="","",IFERROR(INDEX(MUSTERILER!$B$7:$B$156,MATCH($U816,MUSTERILER!$T$7:$T$156,0)),IFERROR(INDEX(MUSTERILER!$B$7:$B$156,MATCH($E816,MUSTERILER!$B$7:$B$156,0)),IFERROR(INDEX(MUSTERILER!$B$7:$B$156,MATCH($U816&amp;"*",MUSTERILER!$T$7:$T$156,0)),"TANIMSIZ MÜŞTERİ"))))</f>
        <v/>
      </c>
      <c r="E816" s="61"/>
      <c r="F816" s="61"/>
      <c r="G816" s="60"/>
      <c r="H816" s="66"/>
      <c r="I816" s="66"/>
      <c r="J816" s="60"/>
      <c r="K816" s="60"/>
      <c r="L816" s="61"/>
      <c r="M816" s="61"/>
      <c r="N816" s="61"/>
      <c r="O816" s="66"/>
      <c r="P816" s="76" t="str">
        <f t="shared" ca="1" si="49"/>
        <v/>
      </c>
      <c r="Q816" s="65" t="str">
        <f t="shared" ca="1" si="50"/>
        <v/>
      </c>
      <c r="R816" s="2"/>
      <c r="S816" s="2"/>
      <c r="T816" s="1"/>
      <c r="U816" s="1" t="str">
        <f t="shared" si="51"/>
        <v/>
      </c>
    </row>
    <row r="817" spans="1:21" ht="18" customHeight="1" x14ac:dyDescent="0.3">
      <c r="A817" s="2"/>
      <c r="B817" s="65" t="str">
        <f t="shared" si="48"/>
        <v/>
      </c>
      <c r="C817" s="60"/>
      <c r="D817" s="65" t="str">
        <f>IF($E817="","",IFERROR(INDEX(MUSTERILER!$B$7:$B$156,MATCH($U817,MUSTERILER!$T$7:$T$156,0)),IFERROR(INDEX(MUSTERILER!$B$7:$B$156,MATCH($E817,MUSTERILER!$B$7:$B$156,0)),IFERROR(INDEX(MUSTERILER!$B$7:$B$156,MATCH($U817&amp;"*",MUSTERILER!$T$7:$T$156,0)),"TANIMSIZ MÜŞTERİ"))))</f>
        <v/>
      </c>
      <c r="E817" s="61"/>
      <c r="F817" s="61"/>
      <c r="G817" s="60"/>
      <c r="H817" s="66"/>
      <c r="I817" s="66"/>
      <c r="J817" s="60"/>
      <c r="K817" s="60"/>
      <c r="L817" s="61"/>
      <c r="M817" s="61"/>
      <c r="N817" s="61"/>
      <c r="O817" s="66"/>
      <c r="P817" s="76" t="str">
        <f t="shared" ca="1" si="49"/>
        <v/>
      </c>
      <c r="Q817" s="65" t="str">
        <f t="shared" ca="1" si="50"/>
        <v/>
      </c>
      <c r="R817" s="2"/>
      <c r="S817" s="2"/>
      <c r="T817" s="1"/>
      <c r="U817" s="1" t="str">
        <f t="shared" si="51"/>
        <v/>
      </c>
    </row>
    <row r="818" spans="1:21" ht="18" customHeight="1" x14ac:dyDescent="0.3">
      <c r="A818" s="2"/>
      <c r="B818" s="65" t="str">
        <f t="shared" si="48"/>
        <v/>
      </c>
      <c r="C818" s="60"/>
      <c r="D818" s="65" t="str">
        <f>IF($E818="","",IFERROR(INDEX(MUSTERILER!$B$7:$B$156,MATCH($U818,MUSTERILER!$T$7:$T$156,0)),IFERROR(INDEX(MUSTERILER!$B$7:$B$156,MATCH($E818,MUSTERILER!$B$7:$B$156,0)),IFERROR(INDEX(MUSTERILER!$B$7:$B$156,MATCH($U818&amp;"*",MUSTERILER!$T$7:$T$156,0)),"TANIMSIZ MÜŞTERİ"))))</f>
        <v/>
      </c>
      <c r="E818" s="61"/>
      <c r="F818" s="61"/>
      <c r="G818" s="60"/>
      <c r="H818" s="66"/>
      <c r="I818" s="66"/>
      <c r="J818" s="60"/>
      <c r="K818" s="60"/>
      <c r="L818" s="61"/>
      <c r="M818" s="61"/>
      <c r="N818" s="61"/>
      <c r="O818" s="66"/>
      <c r="P818" s="76" t="str">
        <f t="shared" ca="1" si="49"/>
        <v/>
      </c>
      <c r="Q818" s="65" t="str">
        <f t="shared" ca="1" si="50"/>
        <v/>
      </c>
      <c r="R818" s="2"/>
      <c r="S818" s="2"/>
      <c r="T818" s="1"/>
      <c r="U818" s="1" t="str">
        <f t="shared" si="51"/>
        <v/>
      </c>
    </row>
    <row r="819" spans="1:21" ht="18" customHeight="1" x14ac:dyDescent="0.3">
      <c r="A819" s="2"/>
      <c r="B819" s="65" t="str">
        <f t="shared" si="48"/>
        <v/>
      </c>
      <c r="C819" s="60"/>
      <c r="D819" s="65" t="str">
        <f>IF($E819="","",IFERROR(INDEX(MUSTERILER!$B$7:$B$156,MATCH($U819,MUSTERILER!$T$7:$T$156,0)),IFERROR(INDEX(MUSTERILER!$B$7:$B$156,MATCH($E819,MUSTERILER!$B$7:$B$156,0)),IFERROR(INDEX(MUSTERILER!$B$7:$B$156,MATCH($U819&amp;"*",MUSTERILER!$T$7:$T$156,0)),"TANIMSIZ MÜŞTERİ"))))</f>
        <v/>
      </c>
      <c r="E819" s="61"/>
      <c r="F819" s="61"/>
      <c r="G819" s="60"/>
      <c r="H819" s="66"/>
      <c r="I819" s="66"/>
      <c r="J819" s="60"/>
      <c r="K819" s="60"/>
      <c r="L819" s="61"/>
      <c r="M819" s="61"/>
      <c r="N819" s="61"/>
      <c r="O819" s="66"/>
      <c r="P819" s="76" t="str">
        <f t="shared" ca="1" si="49"/>
        <v/>
      </c>
      <c r="Q819" s="65" t="str">
        <f t="shared" ca="1" si="50"/>
        <v/>
      </c>
      <c r="R819" s="2"/>
      <c r="S819" s="2"/>
      <c r="T819" s="1"/>
      <c r="U819" s="1" t="str">
        <f t="shared" si="51"/>
        <v/>
      </c>
    </row>
    <row r="820" spans="1:21" ht="18" customHeight="1" x14ac:dyDescent="0.3">
      <c r="A820" s="2"/>
      <c r="B820" s="65" t="str">
        <f t="shared" si="48"/>
        <v/>
      </c>
      <c r="C820" s="60"/>
      <c r="D820" s="65" t="str">
        <f>IF($E820="","",IFERROR(INDEX(MUSTERILER!$B$7:$B$156,MATCH($U820,MUSTERILER!$T$7:$T$156,0)),IFERROR(INDEX(MUSTERILER!$B$7:$B$156,MATCH($E820,MUSTERILER!$B$7:$B$156,0)),IFERROR(INDEX(MUSTERILER!$B$7:$B$156,MATCH($U820&amp;"*",MUSTERILER!$T$7:$T$156,0)),"TANIMSIZ MÜŞTERİ"))))</f>
        <v/>
      </c>
      <c r="E820" s="61"/>
      <c r="F820" s="61"/>
      <c r="G820" s="60"/>
      <c r="H820" s="66"/>
      <c r="I820" s="66"/>
      <c r="J820" s="60"/>
      <c r="K820" s="60"/>
      <c r="L820" s="61"/>
      <c r="M820" s="61"/>
      <c r="N820" s="61"/>
      <c r="O820" s="66"/>
      <c r="P820" s="76" t="str">
        <f t="shared" ca="1" si="49"/>
        <v/>
      </c>
      <c r="Q820" s="65" t="str">
        <f t="shared" ca="1" si="50"/>
        <v/>
      </c>
      <c r="R820" s="2"/>
      <c r="S820" s="2"/>
      <c r="T820" s="1"/>
      <c r="U820" s="1" t="str">
        <f t="shared" si="51"/>
        <v/>
      </c>
    </row>
    <row r="821" spans="1:21" ht="18" customHeight="1" x14ac:dyDescent="0.3">
      <c r="A821" s="2"/>
      <c r="B821" s="65" t="str">
        <f t="shared" si="48"/>
        <v/>
      </c>
      <c r="C821" s="60"/>
      <c r="D821" s="65" t="str">
        <f>IF($E821="","",IFERROR(INDEX(MUSTERILER!$B$7:$B$156,MATCH($U821,MUSTERILER!$T$7:$T$156,0)),IFERROR(INDEX(MUSTERILER!$B$7:$B$156,MATCH($E821,MUSTERILER!$B$7:$B$156,0)),IFERROR(INDEX(MUSTERILER!$B$7:$B$156,MATCH($U821&amp;"*",MUSTERILER!$T$7:$T$156,0)),"TANIMSIZ MÜŞTERİ"))))</f>
        <v/>
      </c>
      <c r="E821" s="61"/>
      <c r="F821" s="61"/>
      <c r="G821" s="60"/>
      <c r="H821" s="66"/>
      <c r="I821" s="66"/>
      <c r="J821" s="60"/>
      <c r="K821" s="60"/>
      <c r="L821" s="61"/>
      <c r="M821" s="61"/>
      <c r="N821" s="61"/>
      <c r="O821" s="66"/>
      <c r="P821" s="76" t="str">
        <f t="shared" ca="1" si="49"/>
        <v/>
      </c>
      <c r="Q821" s="65" t="str">
        <f t="shared" ca="1" si="50"/>
        <v/>
      </c>
      <c r="R821" s="2"/>
      <c r="S821" s="2"/>
      <c r="T821" s="1"/>
      <c r="U821" s="1" t="str">
        <f t="shared" si="51"/>
        <v/>
      </c>
    </row>
    <row r="822" spans="1:21" ht="18" customHeight="1" x14ac:dyDescent="0.3">
      <c r="A822" s="2"/>
      <c r="B822" s="65" t="str">
        <f t="shared" si="48"/>
        <v/>
      </c>
      <c r="C822" s="60"/>
      <c r="D822" s="65" t="str">
        <f>IF($E822="","",IFERROR(INDEX(MUSTERILER!$B$7:$B$156,MATCH($U822,MUSTERILER!$T$7:$T$156,0)),IFERROR(INDEX(MUSTERILER!$B$7:$B$156,MATCH($E822,MUSTERILER!$B$7:$B$156,0)),IFERROR(INDEX(MUSTERILER!$B$7:$B$156,MATCH($U822&amp;"*",MUSTERILER!$T$7:$T$156,0)),"TANIMSIZ MÜŞTERİ"))))</f>
        <v/>
      </c>
      <c r="E822" s="61"/>
      <c r="F822" s="61"/>
      <c r="G822" s="60"/>
      <c r="H822" s="66"/>
      <c r="I822" s="66"/>
      <c r="J822" s="60"/>
      <c r="K822" s="60"/>
      <c r="L822" s="61"/>
      <c r="M822" s="61"/>
      <c r="N822" s="61"/>
      <c r="O822" s="66"/>
      <c r="P822" s="76" t="str">
        <f t="shared" ca="1" si="49"/>
        <v/>
      </c>
      <c r="Q822" s="65" t="str">
        <f t="shared" ca="1" si="50"/>
        <v/>
      </c>
      <c r="R822" s="2"/>
      <c r="S822" s="2"/>
      <c r="T822" s="1"/>
      <c r="U822" s="1" t="str">
        <f t="shared" si="51"/>
        <v/>
      </c>
    </row>
    <row r="823" spans="1:21" ht="18" customHeight="1" x14ac:dyDescent="0.3">
      <c r="A823" s="2"/>
      <c r="B823" s="65" t="str">
        <f t="shared" si="48"/>
        <v/>
      </c>
      <c r="C823" s="60"/>
      <c r="D823" s="65" t="str">
        <f>IF($E823="","",IFERROR(INDEX(MUSTERILER!$B$7:$B$156,MATCH($U823,MUSTERILER!$T$7:$T$156,0)),IFERROR(INDEX(MUSTERILER!$B$7:$B$156,MATCH($E823,MUSTERILER!$B$7:$B$156,0)),IFERROR(INDEX(MUSTERILER!$B$7:$B$156,MATCH($U823&amp;"*",MUSTERILER!$T$7:$T$156,0)),"TANIMSIZ MÜŞTERİ"))))</f>
        <v/>
      </c>
      <c r="E823" s="61"/>
      <c r="F823" s="61"/>
      <c r="G823" s="60"/>
      <c r="H823" s="66"/>
      <c r="I823" s="66"/>
      <c r="J823" s="60"/>
      <c r="K823" s="60"/>
      <c r="L823" s="61"/>
      <c r="M823" s="61"/>
      <c r="N823" s="61"/>
      <c r="O823" s="66"/>
      <c r="P823" s="76" t="str">
        <f t="shared" ca="1" si="49"/>
        <v/>
      </c>
      <c r="Q823" s="65" t="str">
        <f t="shared" ca="1" si="50"/>
        <v/>
      </c>
      <c r="R823" s="2"/>
      <c r="S823" s="2"/>
      <c r="T823" s="1"/>
      <c r="U823" s="1" t="str">
        <f t="shared" si="51"/>
        <v/>
      </c>
    </row>
    <row r="824" spans="1:21" ht="18" customHeight="1" x14ac:dyDescent="0.3">
      <c r="A824" s="2"/>
      <c r="B824" s="65" t="str">
        <f t="shared" si="48"/>
        <v/>
      </c>
      <c r="C824" s="60"/>
      <c r="D824" s="65" t="str">
        <f>IF($E824="","",IFERROR(INDEX(MUSTERILER!$B$7:$B$156,MATCH($U824,MUSTERILER!$T$7:$T$156,0)),IFERROR(INDEX(MUSTERILER!$B$7:$B$156,MATCH($E824,MUSTERILER!$B$7:$B$156,0)),IFERROR(INDEX(MUSTERILER!$B$7:$B$156,MATCH($U824&amp;"*",MUSTERILER!$T$7:$T$156,0)),"TANIMSIZ MÜŞTERİ"))))</f>
        <v/>
      </c>
      <c r="E824" s="61"/>
      <c r="F824" s="61"/>
      <c r="G824" s="60"/>
      <c r="H824" s="66"/>
      <c r="I824" s="66"/>
      <c r="J824" s="60"/>
      <c r="K824" s="60"/>
      <c r="L824" s="61"/>
      <c r="M824" s="61"/>
      <c r="N824" s="61"/>
      <c r="O824" s="66"/>
      <c r="P824" s="76" t="str">
        <f t="shared" ca="1" si="49"/>
        <v/>
      </c>
      <c r="Q824" s="65" t="str">
        <f t="shared" ca="1" si="50"/>
        <v/>
      </c>
      <c r="R824" s="2"/>
      <c r="S824" s="2"/>
      <c r="T824" s="1"/>
      <c r="U824" s="1" t="str">
        <f t="shared" si="51"/>
        <v/>
      </c>
    </row>
    <row r="825" spans="1:21" ht="18" customHeight="1" x14ac:dyDescent="0.3">
      <c r="A825" s="2"/>
      <c r="B825" s="65" t="str">
        <f t="shared" si="48"/>
        <v/>
      </c>
      <c r="C825" s="60"/>
      <c r="D825" s="65" t="str">
        <f>IF($E825="","",IFERROR(INDEX(MUSTERILER!$B$7:$B$156,MATCH($U825,MUSTERILER!$T$7:$T$156,0)),IFERROR(INDEX(MUSTERILER!$B$7:$B$156,MATCH($E825,MUSTERILER!$B$7:$B$156,0)),IFERROR(INDEX(MUSTERILER!$B$7:$B$156,MATCH($U825&amp;"*",MUSTERILER!$T$7:$T$156,0)),"TANIMSIZ MÜŞTERİ"))))</f>
        <v/>
      </c>
      <c r="E825" s="61"/>
      <c r="F825" s="61"/>
      <c r="G825" s="60"/>
      <c r="H825" s="66"/>
      <c r="I825" s="66"/>
      <c r="J825" s="60"/>
      <c r="K825" s="60"/>
      <c r="L825" s="61"/>
      <c r="M825" s="61"/>
      <c r="N825" s="61"/>
      <c r="O825" s="66"/>
      <c r="P825" s="76" t="str">
        <f t="shared" ca="1" si="49"/>
        <v/>
      </c>
      <c r="Q825" s="65" t="str">
        <f t="shared" ca="1" si="50"/>
        <v/>
      </c>
      <c r="R825" s="2"/>
      <c r="S825" s="2"/>
      <c r="T825" s="1"/>
      <c r="U825" s="1" t="str">
        <f t="shared" si="51"/>
        <v/>
      </c>
    </row>
    <row r="826" spans="1:21" ht="18" customHeight="1" x14ac:dyDescent="0.3">
      <c r="A826" s="2"/>
      <c r="B826" s="65" t="str">
        <f t="shared" si="48"/>
        <v/>
      </c>
      <c r="C826" s="60"/>
      <c r="D826" s="65" t="str">
        <f>IF($E826="","",IFERROR(INDEX(MUSTERILER!$B$7:$B$156,MATCH($U826,MUSTERILER!$T$7:$T$156,0)),IFERROR(INDEX(MUSTERILER!$B$7:$B$156,MATCH($E826,MUSTERILER!$B$7:$B$156,0)),IFERROR(INDEX(MUSTERILER!$B$7:$B$156,MATCH($U826&amp;"*",MUSTERILER!$T$7:$T$156,0)),"TANIMSIZ MÜŞTERİ"))))</f>
        <v/>
      </c>
      <c r="E826" s="61"/>
      <c r="F826" s="61"/>
      <c r="G826" s="60"/>
      <c r="H826" s="66"/>
      <c r="I826" s="66"/>
      <c r="J826" s="60"/>
      <c r="K826" s="60"/>
      <c r="L826" s="61"/>
      <c r="M826" s="61"/>
      <c r="N826" s="61"/>
      <c r="O826" s="66"/>
      <c r="P826" s="76" t="str">
        <f t="shared" ca="1" si="49"/>
        <v/>
      </c>
      <c r="Q826" s="65" t="str">
        <f t="shared" ca="1" si="50"/>
        <v/>
      </c>
      <c r="R826" s="2"/>
      <c r="S826" s="2"/>
      <c r="T826" s="1"/>
      <c r="U826" s="1" t="str">
        <f t="shared" si="51"/>
        <v/>
      </c>
    </row>
    <row r="827" spans="1:21" ht="18" customHeight="1" x14ac:dyDescent="0.3">
      <c r="A827" s="2"/>
      <c r="B827" s="65" t="str">
        <f t="shared" si="48"/>
        <v/>
      </c>
      <c r="C827" s="60"/>
      <c r="D827" s="65" t="str">
        <f>IF($E827="","",IFERROR(INDEX(MUSTERILER!$B$7:$B$156,MATCH($U827,MUSTERILER!$T$7:$T$156,0)),IFERROR(INDEX(MUSTERILER!$B$7:$B$156,MATCH($E827,MUSTERILER!$B$7:$B$156,0)),IFERROR(INDEX(MUSTERILER!$B$7:$B$156,MATCH($U827&amp;"*",MUSTERILER!$T$7:$T$156,0)),"TANIMSIZ MÜŞTERİ"))))</f>
        <v/>
      </c>
      <c r="E827" s="61"/>
      <c r="F827" s="61"/>
      <c r="G827" s="60"/>
      <c r="H827" s="66"/>
      <c r="I827" s="66"/>
      <c r="J827" s="60"/>
      <c r="K827" s="60"/>
      <c r="L827" s="61"/>
      <c r="M827" s="61"/>
      <c r="N827" s="61"/>
      <c r="O827" s="66"/>
      <c r="P827" s="76" t="str">
        <f t="shared" ca="1" si="49"/>
        <v/>
      </c>
      <c r="Q827" s="65" t="str">
        <f t="shared" ca="1" si="50"/>
        <v/>
      </c>
      <c r="R827" s="2"/>
      <c r="S827" s="2"/>
      <c r="T827" s="1"/>
      <c r="U827" s="1" t="str">
        <f t="shared" si="51"/>
        <v/>
      </c>
    </row>
    <row r="828" spans="1:21" ht="18" customHeight="1" x14ac:dyDescent="0.3">
      <c r="A828" s="2"/>
      <c r="B828" s="65" t="str">
        <f t="shared" si="48"/>
        <v/>
      </c>
      <c r="C828" s="60"/>
      <c r="D828" s="65" t="str">
        <f>IF($E828="","",IFERROR(INDEX(MUSTERILER!$B$7:$B$156,MATCH($U828,MUSTERILER!$T$7:$T$156,0)),IFERROR(INDEX(MUSTERILER!$B$7:$B$156,MATCH($E828,MUSTERILER!$B$7:$B$156,0)),IFERROR(INDEX(MUSTERILER!$B$7:$B$156,MATCH($U828&amp;"*",MUSTERILER!$T$7:$T$156,0)),"TANIMSIZ MÜŞTERİ"))))</f>
        <v/>
      </c>
      <c r="E828" s="61"/>
      <c r="F828" s="61"/>
      <c r="G828" s="60"/>
      <c r="H828" s="66"/>
      <c r="I828" s="66"/>
      <c r="J828" s="60"/>
      <c r="K828" s="60"/>
      <c r="L828" s="61"/>
      <c r="M828" s="61"/>
      <c r="N828" s="61"/>
      <c r="O828" s="66"/>
      <c r="P828" s="76" t="str">
        <f t="shared" ca="1" si="49"/>
        <v/>
      </c>
      <c r="Q828" s="65" t="str">
        <f t="shared" ca="1" si="50"/>
        <v/>
      </c>
      <c r="R828" s="2"/>
      <c r="S828" s="2"/>
      <c r="T828" s="1"/>
      <c r="U828" s="1" t="str">
        <f t="shared" si="51"/>
        <v/>
      </c>
    </row>
    <row r="829" spans="1:21" ht="18" customHeight="1" x14ac:dyDescent="0.3">
      <c r="A829" s="2"/>
      <c r="B829" s="65" t="str">
        <f t="shared" si="48"/>
        <v/>
      </c>
      <c r="C829" s="60"/>
      <c r="D829" s="65" t="str">
        <f>IF($E829="","",IFERROR(INDEX(MUSTERILER!$B$7:$B$156,MATCH($U829,MUSTERILER!$T$7:$T$156,0)),IFERROR(INDEX(MUSTERILER!$B$7:$B$156,MATCH($E829,MUSTERILER!$B$7:$B$156,0)),IFERROR(INDEX(MUSTERILER!$B$7:$B$156,MATCH($U829&amp;"*",MUSTERILER!$T$7:$T$156,0)),"TANIMSIZ MÜŞTERİ"))))</f>
        <v/>
      </c>
      <c r="E829" s="61"/>
      <c r="F829" s="61"/>
      <c r="G829" s="60"/>
      <c r="H829" s="66"/>
      <c r="I829" s="66"/>
      <c r="J829" s="60"/>
      <c r="K829" s="60"/>
      <c r="L829" s="61"/>
      <c r="M829" s="61"/>
      <c r="N829" s="61"/>
      <c r="O829" s="66"/>
      <c r="P829" s="76" t="str">
        <f t="shared" ca="1" si="49"/>
        <v/>
      </c>
      <c r="Q829" s="65" t="str">
        <f t="shared" ca="1" si="50"/>
        <v/>
      </c>
      <c r="R829" s="2"/>
      <c r="S829" s="2"/>
      <c r="T829" s="1"/>
      <c r="U829" s="1" t="str">
        <f t="shared" si="51"/>
        <v/>
      </c>
    </row>
    <row r="830" spans="1:21" ht="18" customHeight="1" x14ac:dyDescent="0.3">
      <c r="A830" s="2"/>
      <c r="B830" s="65" t="str">
        <f t="shared" si="48"/>
        <v/>
      </c>
      <c r="C830" s="60"/>
      <c r="D830" s="65" t="str">
        <f>IF($E830="","",IFERROR(INDEX(MUSTERILER!$B$7:$B$156,MATCH($U830,MUSTERILER!$T$7:$T$156,0)),IFERROR(INDEX(MUSTERILER!$B$7:$B$156,MATCH($E830,MUSTERILER!$B$7:$B$156,0)),IFERROR(INDEX(MUSTERILER!$B$7:$B$156,MATCH($U830&amp;"*",MUSTERILER!$T$7:$T$156,0)),"TANIMSIZ MÜŞTERİ"))))</f>
        <v/>
      </c>
      <c r="E830" s="61"/>
      <c r="F830" s="61"/>
      <c r="G830" s="60"/>
      <c r="H830" s="66"/>
      <c r="I830" s="66"/>
      <c r="J830" s="60"/>
      <c r="K830" s="60"/>
      <c r="L830" s="61"/>
      <c r="M830" s="61"/>
      <c r="N830" s="61"/>
      <c r="O830" s="66"/>
      <c r="P830" s="76" t="str">
        <f t="shared" ca="1" si="49"/>
        <v/>
      </c>
      <c r="Q830" s="65" t="str">
        <f t="shared" ca="1" si="50"/>
        <v/>
      </c>
      <c r="R830" s="2"/>
      <c r="S830" s="2"/>
      <c r="T830" s="1"/>
      <c r="U830" s="1" t="str">
        <f t="shared" si="51"/>
        <v/>
      </c>
    </row>
    <row r="831" spans="1:21" ht="18" customHeight="1" x14ac:dyDescent="0.3">
      <c r="A831" s="2"/>
      <c r="B831" s="65" t="str">
        <f t="shared" si="48"/>
        <v/>
      </c>
      <c r="C831" s="60"/>
      <c r="D831" s="65" t="str">
        <f>IF($E831="","",IFERROR(INDEX(MUSTERILER!$B$7:$B$156,MATCH($U831,MUSTERILER!$T$7:$T$156,0)),IFERROR(INDEX(MUSTERILER!$B$7:$B$156,MATCH($E831,MUSTERILER!$B$7:$B$156,0)),IFERROR(INDEX(MUSTERILER!$B$7:$B$156,MATCH($U831&amp;"*",MUSTERILER!$T$7:$T$156,0)),"TANIMSIZ MÜŞTERİ"))))</f>
        <v/>
      </c>
      <c r="E831" s="61"/>
      <c r="F831" s="61"/>
      <c r="G831" s="60"/>
      <c r="H831" s="66"/>
      <c r="I831" s="66"/>
      <c r="J831" s="60"/>
      <c r="K831" s="60"/>
      <c r="L831" s="61"/>
      <c r="M831" s="61"/>
      <c r="N831" s="61"/>
      <c r="O831" s="66"/>
      <c r="P831" s="76" t="str">
        <f t="shared" ca="1" si="49"/>
        <v/>
      </c>
      <c r="Q831" s="65" t="str">
        <f t="shared" ca="1" si="50"/>
        <v/>
      </c>
      <c r="R831" s="2"/>
      <c r="S831" s="2"/>
      <c r="T831" s="1"/>
      <c r="U831" s="1" t="str">
        <f t="shared" si="51"/>
        <v/>
      </c>
    </row>
    <row r="832" spans="1:21" ht="18" customHeight="1" x14ac:dyDescent="0.3">
      <c r="A832" s="2"/>
      <c r="B832" s="65" t="str">
        <f t="shared" si="48"/>
        <v/>
      </c>
      <c r="C832" s="60"/>
      <c r="D832" s="65" t="str">
        <f>IF($E832="","",IFERROR(INDEX(MUSTERILER!$B$7:$B$156,MATCH($U832,MUSTERILER!$T$7:$T$156,0)),IFERROR(INDEX(MUSTERILER!$B$7:$B$156,MATCH($E832,MUSTERILER!$B$7:$B$156,0)),IFERROR(INDEX(MUSTERILER!$B$7:$B$156,MATCH($U832&amp;"*",MUSTERILER!$T$7:$T$156,0)),"TANIMSIZ MÜŞTERİ"))))</f>
        <v/>
      </c>
      <c r="E832" s="61"/>
      <c r="F832" s="61"/>
      <c r="G832" s="60"/>
      <c r="H832" s="66"/>
      <c r="I832" s="66"/>
      <c r="J832" s="60"/>
      <c r="K832" s="60"/>
      <c r="L832" s="61"/>
      <c r="M832" s="61"/>
      <c r="N832" s="61"/>
      <c r="O832" s="66"/>
      <c r="P832" s="76" t="str">
        <f t="shared" ca="1" si="49"/>
        <v/>
      </c>
      <c r="Q832" s="65" t="str">
        <f t="shared" ca="1" si="50"/>
        <v/>
      </c>
      <c r="R832" s="2"/>
      <c r="S832" s="2"/>
      <c r="T832" s="1"/>
      <c r="U832" s="1" t="str">
        <f t="shared" si="51"/>
        <v/>
      </c>
    </row>
    <row r="833" spans="1:21" ht="18" customHeight="1" x14ac:dyDescent="0.3">
      <c r="A833" s="2"/>
      <c r="B833" s="65" t="str">
        <f t="shared" si="48"/>
        <v/>
      </c>
      <c r="C833" s="60"/>
      <c r="D833" s="65" t="str">
        <f>IF($E833="","",IFERROR(INDEX(MUSTERILER!$B$7:$B$156,MATCH($U833,MUSTERILER!$T$7:$T$156,0)),IFERROR(INDEX(MUSTERILER!$B$7:$B$156,MATCH($E833,MUSTERILER!$B$7:$B$156,0)),IFERROR(INDEX(MUSTERILER!$B$7:$B$156,MATCH($U833&amp;"*",MUSTERILER!$T$7:$T$156,0)),"TANIMSIZ MÜŞTERİ"))))</f>
        <v/>
      </c>
      <c r="E833" s="61"/>
      <c r="F833" s="61"/>
      <c r="G833" s="60"/>
      <c r="H833" s="66"/>
      <c r="I833" s="66"/>
      <c r="J833" s="60"/>
      <c r="K833" s="60"/>
      <c r="L833" s="61"/>
      <c r="M833" s="61"/>
      <c r="N833" s="61"/>
      <c r="O833" s="66"/>
      <c r="P833" s="76" t="str">
        <f t="shared" ca="1" si="49"/>
        <v/>
      </c>
      <c r="Q833" s="65" t="str">
        <f t="shared" ca="1" si="50"/>
        <v/>
      </c>
      <c r="R833" s="2"/>
      <c r="S833" s="2"/>
      <c r="T833" s="1"/>
      <c r="U833" s="1" t="str">
        <f t="shared" si="51"/>
        <v/>
      </c>
    </row>
    <row r="834" spans="1:21" ht="18" customHeight="1" x14ac:dyDescent="0.3">
      <c r="A834" s="2"/>
      <c r="B834" s="65" t="str">
        <f t="shared" si="48"/>
        <v/>
      </c>
      <c r="C834" s="60"/>
      <c r="D834" s="65" t="str">
        <f>IF($E834="","",IFERROR(INDEX(MUSTERILER!$B$7:$B$156,MATCH($U834,MUSTERILER!$T$7:$T$156,0)),IFERROR(INDEX(MUSTERILER!$B$7:$B$156,MATCH($E834,MUSTERILER!$B$7:$B$156,0)),IFERROR(INDEX(MUSTERILER!$B$7:$B$156,MATCH($U834&amp;"*",MUSTERILER!$T$7:$T$156,0)),"TANIMSIZ MÜŞTERİ"))))</f>
        <v/>
      </c>
      <c r="E834" s="61"/>
      <c r="F834" s="61"/>
      <c r="G834" s="60"/>
      <c r="H834" s="66"/>
      <c r="I834" s="66"/>
      <c r="J834" s="60"/>
      <c r="K834" s="60"/>
      <c r="L834" s="61"/>
      <c r="M834" s="61"/>
      <c r="N834" s="61"/>
      <c r="O834" s="66"/>
      <c r="P834" s="76" t="str">
        <f t="shared" ca="1" si="49"/>
        <v/>
      </c>
      <c r="Q834" s="65" t="str">
        <f t="shared" ca="1" si="50"/>
        <v/>
      </c>
      <c r="R834" s="2"/>
      <c r="S834" s="2"/>
      <c r="T834" s="1"/>
      <c r="U834" s="1" t="str">
        <f t="shared" si="51"/>
        <v/>
      </c>
    </row>
    <row r="835" spans="1:21" ht="18" customHeight="1" x14ac:dyDescent="0.3">
      <c r="A835" s="2"/>
      <c r="B835" s="65" t="str">
        <f t="shared" si="48"/>
        <v/>
      </c>
      <c r="C835" s="60"/>
      <c r="D835" s="65" t="str">
        <f>IF($E835="","",IFERROR(INDEX(MUSTERILER!$B$7:$B$156,MATCH($U835,MUSTERILER!$T$7:$T$156,0)),IFERROR(INDEX(MUSTERILER!$B$7:$B$156,MATCH($E835,MUSTERILER!$B$7:$B$156,0)),IFERROR(INDEX(MUSTERILER!$B$7:$B$156,MATCH($U835&amp;"*",MUSTERILER!$T$7:$T$156,0)),"TANIMSIZ MÜŞTERİ"))))</f>
        <v/>
      </c>
      <c r="E835" s="61"/>
      <c r="F835" s="61"/>
      <c r="G835" s="60"/>
      <c r="H835" s="66"/>
      <c r="I835" s="66"/>
      <c r="J835" s="60"/>
      <c r="K835" s="60"/>
      <c r="L835" s="61"/>
      <c r="M835" s="61"/>
      <c r="N835" s="61"/>
      <c r="O835" s="66"/>
      <c r="P835" s="76" t="str">
        <f t="shared" ca="1" si="49"/>
        <v/>
      </c>
      <c r="Q835" s="65" t="str">
        <f t="shared" ca="1" si="50"/>
        <v/>
      </c>
      <c r="R835" s="2"/>
      <c r="S835" s="2"/>
      <c r="T835" s="1"/>
      <c r="U835" s="1" t="str">
        <f t="shared" si="51"/>
        <v/>
      </c>
    </row>
    <row r="836" spans="1:21" ht="18" customHeight="1" x14ac:dyDescent="0.3">
      <c r="A836" s="2"/>
      <c r="B836" s="65" t="str">
        <f t="shared" si="48"/>
        <v/>
      </c>
      <c r="C836" s="60"/>
      <c r="D836" s="65" t="str">
        <f>IF($E836="","",IFERROR(INDEX(MUSTERILER!$B$7:$B$156,MATCH($U836,MUSTERILER!$T$7:$T$156,0)),IFERROR(INDEX(MUSTERILER!$B$7:$B$156,MATCH($E836,MUSTERILER!$B$7:$B$156,0)),IFERROR(INDEX(MUSTERILER!$B$7:$B$156,MATCH($U836&amp;"*",MUSTERILER!$T$7:$T$156,0)),"TANIMSIZ MÜŞTERİ"))))</f>
        <v/>
      </c>
      <c r="E836" s="61"/>
      <c r="F836" s="61"/>
      <c r="G836" s="60"/>
      <c r="H836" s="66"/>
      <c r="I836" s="66"/>
      <c r="J836" s="60"/>
      <c r="K836" s="60"/>
      <c r="L836" s="61"/>
      <c r="M836" s="61"/>
      <c r="N836" s="61"/>
      <c r="O836" s="66"/>
      <c r="P836" s="76" t="str">
        <f t="shared" ca="1" si="49"/>
        <v/>
      </c>
      <c r="Q836" s="65" t="str">
        <f t="shared" ca="1" si="50"/>
        <v/>
      </c>
      <c r="R836" s="2"/>
      <c r="S836" s="2"/>
      <c r="T836" s="1"/>
      <c r="U836" s="1" t="str">
        <f t="shared" si="51"/>
        <v/>
      </c>
    </row>
    <row r="837" spans="1:21" ht="18" customHeight="1" x14ac:dyDescent="0.3">
      <c r="A837" s="2"/>
      <c r="B837" s="65" t="str">
        <f t="shared" si="48"/>
        <v/>
      </c>
      <c r="C837" s="60"/>
      <c r="D837" s="65" t="str">
        <f>IF($E837="","",IFERROR(INDEX(MUSTERILER!$B$7:$B$156,MATCH($U837,MUSTERILER!$T$7:$T$156,0)),IFERROR(INDEX(MUSTERILER!$B$7:$B$156,MATCH($E837,MUSTERILER!$B$7:$B$156,0)),IFERROR(INDEX(MUSTERILER!$B$7:$B$156,MATCH($U837&amp;"*",MUSTERILER!$T$7:$T$156,0)),"TANIMSIZ MÜŞTERİ"))))</f>
        <v/>
      </c>
      <c r="E837" s="61"/>
      <c r="F837" s="61"/>
      <c r="G837" s="60"/>
      <c r="H837" s="66"/>
      <c r="I837" s="66"/>
      <c r="J837" s="60"/>
      <c r="K837" s="60"/>
      <c r="L837" s="61"/>
      <c r="M837" s="61"/>
      <c r="N837" s="61"/>
      <c r="O837" s="66"/>
      <c r="P837" s="76" t="str">
        <f t="shared" ca="1" si="49"/>
        <v/>
      </c>
      <c r="Q837" s="65" t="str">
        <f t="shared" ca="1" si="50"/>
        <v/>
      </c>
      <c r="R837" s="2"/>
      <c r="S837" s="2"/>
      <c r="T837" s="1"/>
      <c r="U837" s="1" t="str">
        <f t="shared" si="51"/>
        <v/>
      </c>
    </row>
    <row r="838" spans="1:21" ht="18" customHeight="1" x14ac:dyDescent="0.3">
      <c r="A838" s="2"/>
      <c r="B838" s="65" t="str">
        <f t="shared" si="48"/>
        <v/>
      </c>
      <c r="C838" s="60"/>
      <c r="D838" s="65" t="str">
        <f>IF($E838="","",IFERROR(INDEX(MUSTERILER!$B$7:$B$156,MATCH($U838,MUSTERILER!$T$7:$T$156,0)),IFERROR(INDEX(MUSTERILER!$B$7:$B$156,MATCH($E838,MUSTERILER!$B$7:$B$156,0)),IFERROR(INDEX(MUSTERILER!$B$7:$B$156,MATCH($U838&amp;"*",MUSTERILER!$T$7:$T$156,0)),"TANIMSIZ MÜŞTERİ"))))</f>
        <v/>
      </c>
      <c r="E838" s="61"/>
      <c r="F838" s="61"/>
      <c r="G838" s="60"/>
      <c r="H838" s="66"/>
      <c r="I838" s="66"/>
      <c r="J838" s="60"/>
      <c r="K838" s="60"/>
      <c r="L838" s="61"/>
      <c r="M838" s="61"/>
      <c r="N838" s="61"/>
      <c r="O838" s="66"/>
      <c r="P838" s="76" t="str">
        <f t="shared" ca="1" si="49"/>
        <v/>
      </c>
      <c r="Q838" s="65" t="str">
        <f t="shared" ca="1" si="50"/>
        <v/>
      </c>
      <c r="R838" s="2"/>
      <c r="S838" s="2"/>
      <c r="T838" s="1"/>
      <c r="U838" s="1" t="str">
        <f t="shared" si="51"/>
        <v/>
      </c>
    </row>
    <row r="839" spans="1:21" ht="18" customHeight="1" x14ac:dyDescent="0.3">
      <c r="A839" s="2"/>
      <c r="B839" s="65" t="str">
        <f t="shared" ref="B839:B902" si="52">IF($E839="","","A"&amp;TEXT(ROW()-6,"00000"))</f>
        <v/>
      </c>
      <c r="C839" s="60"/>
      <c r="D839" s="65" t="str">
        <f>IF($E839="","",IFERROR(INDEX(MUSTERILER!$B$7:$B$156,MATCH($U839,MUSTERILER!$T$7:$T$156,0)),IFERROR(INDEX(MUSTERILER!$B$7:$B$156,MATCH($E839,MUSTERILER!$B$7:$B$156,0)),IFERROR(INDEX(MUSTERILER!$B$7:$B$156,MATCH($U839&amp;"*",MUSTERILER!$T$7:$T$156,0)),"TANIMSIZ MÜŞTERİ"))))</f>
        <v/>
      </c>
      <c r="E839" s="61"/>
      <c r="F839" s="61"/>
      <c r="G839" s="60"/>
      <c r="H839" s="66"/>
      <c r="I839" s="66"/>
      <c r="J839" s="60"/>
      <c r="K839" s="60"/>
      <c r="L839" s="61"/>
      <c r="M839" s="61"/>
      <c r="N839" s="61"/>
      <c r="O839" s="66"/>
      <c r="P839" s="76" t="str">
        <f t="shared" ref="P839:P902" ca="1" si="53">IF(OR($E839="",$I839=""),"",IF(OR($J839="Tamamlandı",$J839="İptal"),"",$I839-TODAY()))</f>
        <v/>
      </c>
      <c r="Q839" s="65" t="str">
        <f t="shared" ref="Q839:Q902" ca="1" si="54"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2"/>
      <c r="S839" s="2"/>
      <c r="T839" s="1"/>
      <c r="U839" s="1" t="str">
        <f t="shared" ref="U839:U902" si="55">IF($E839="","",UPPER(SUBSTITUTE(SUBSTITUTE(SUBSTITUTE(SUBSTITUTE(SUBSTITUTE(SUBSTITUTE(SUBSTITUTE(SUBSTITUTE(SUBSTITUTE(SUBSTITUTE(SUBSTITUTE(SUBSTITUTE(SUBSTITUTE(SUBSTITUTE(SUBSTITUTE(SUBSTITUTE(SUBSTITUTE(SUBSTITUTE(TRIM($E839),"'",""),"İ","I"),"ı","I"),"i","I"),"Ş","S"),"ş","S"),"Ğ","G"),"ğ","G"),"Ü","U"),"ü","U"),"Ö","O"),"ö","O"),"Ç","C"),"ç","C"),".",""),",","")," ",""),"-","")))</f>
        <v/>
      </c>
    </row>
    <row r="840" spans="1:21" ht="18" customHeight="1" x14ac:dyDescent="0.3">
      <c r="A840" s="2"/>
      <c r="B840" s="65" t="str">
        <f t="shared" si="52"/>
        <v/>
      </c>
      <c r="C840" s="60"/>
      <c r="D840" s="65" t="str">
        <f>IF($E840="","",IFERROR(INDEX(MUSTERILER!$B$7:$B$156,MATCH($U840,MUSTERILER!$T$7:$T$156,0)),IFERROR(INDEX(MUSTERILER!$B$7:$B$156,MATCH($E840,MUSTERILER!$B$7:$B$156,0)),IFERROR(INDEX(MUSTERILER!$B$7:$B$156,MATCH($U840&amp;"*",MUSTERILER!$T$7:$T$156,0)),"TANIMSIZ MÜŞTERİ"))))</f>
        <v/>
      </c>
      <c r="E840" s="61"/>
      <c r="F840" s="61"/>
      <c r="G840" s="60"/>
      <c r="H840" s="66"/>
      <c r="I840" s="66"/>
      <c r="J840" s="60"/>
      <c r="K840" s="60"/>
      <c r="L840" s="61"/>
      <c r="M840" s="61"/>
      <c r="N840" s="61"/>
      <c r="O840" s="66"/>
      <c r="P840" s="76" t="str">
        <f t="shared" ca="1" si="53"/>
        <v/>
      </c>
      <c r="Q840" s="65" t="str">
        <f t="shared" ca="1" si="54"/>
        <v/>
      </c>
      <c r="R840" s="2"/>
      <c r="S840" s="2"/>
      <c r="T840" s="1"/>
      <c r="U840" s="1" t="str">
        <f t="shared" si="55"/>
        <v/>
      </c>
    </row>
    <row r="841" spans="1:21" ht="18" customHeight="1" x14ac:dyDescent="0.3">
      <c r="A841" s="2"/>
      <c r="B841" s="65" t="str">
        <f t="shared" si="52"/>
        <v/>
      </c>
      <c r="C841" s="60"/>
      <c r="D841" s="65" t="str">
        <f>IF($E841="","",IFERROR(INDEX(MUSTERILER!$B$7:$B$156,MATCH($U841,MUSTERILER!$T$7:$T$156,0)),IFERROR(INDEX(MUSTERILER!$B$7:$B$156,MATCH($E841,MUSTERILER!$B$7:$B$156,0)),IFERROR(INDEX(MUSTERILER!$B$7:$B$156,MATCH($U841&amp;"*",MUSTERILER!$T$7:$T$156,0)),"TANIMSIZ MÜŞTERİ"))))</f>
        <v/>
      </c>
      <c r="E841" s="61"/>
      <c r="F841" s="61"/>
      <c r="G841" s="60"/>
      <c r="H841" s="66"/>
      <c r="I841" s="66"/>
      <c r="J841" s="60"/>
      <c r="K841" s="60"/>
      <c r="L841" s="61"/>
      <c r="M841" s="61"/>
      <c r="N841" s="61"/>
      <c r="O841" s="66"/>
      <c r="P841" s="76" t="str">
        <f t="shared" ca="1" si="53"/>
        <v/>
      </c>
      <c r="Q841" s="65" t="str">
        <f t="shared" ca="1" si="54"/>
        <v/>
      </c>
      <c r="R841" s="2"/>
      <c r="S841" s="2"/>
      <c r="T841" s="1"/>
      <c r="U841" s="1" t="str">
        <f t="shared" si="55"/>
        <v/>
      </c>
    </row>
    <row r="842" spans="1:21" ht="18" customHeight="1" x14ac:dyDescent="0.3">
      <c r="A842" s="2"/>
      <c r="B842" s="65" t="str">
        <f t="shared" si="52"/>
        <v/>
      </c>
      <c r="C842" s="60"/>
      <c r="D842" s="65" t="str">
        <f>IF($E842="","",IFERROR(INDEX(MUSTERILER!$B$7:$B$156,MATCH($U842,MUSTERILER!$T$7:$T$156,0)),IFERROR(INDEX(MUSTERILER!$B$7:$B$156,MATCH($E842,MUSTERILER!$B$7:$B$156,0)),IFERROR(INDEX(MUSTERILER!$B$7:$B$156,MATCH($U842&amp;"*",MUSTERILER!$T$7:$T$156,0)),"TANIMSIZ MÜŞTERİ"))))</f>
        <v/>
      </c>
      <c r="E842" s="61"/>
      <c r="F842" s="61"/>
      <c r="G842" s="60"/>
      <c r="H842" s="66"/>
      <c r="I842" s="66"/>
      <c r="J842" s="60"/>
      <c r="K842" s="60"/>
      <c r="L842" s="61"/>
      <c r="M842" s="61"/>
      <c r="N842" s="61"/>
      <c r="O842" s="66"/>
      <c r="P842" s="76" t="str">
        <f t="shared" ca="1" si="53"/>
        <v/>
      </c>
      <c r="Q842" s="65" t="str">
        <f t="shared" ca="1" si="54"/>
        <v/>
      </c>
      <c r="R842" s="2"/>
      <c r="S842" s="2"/>
      <c r="T842" s="1"/>
      <c r="U842" s="1" t="str">
        <f t="shared" si="55"/>
        <v/>
      </c>
    </row>
    <row r="843" spans="1:21" ht="18" customHeight="1" x14ac:dyDescent="0.3">
      <c r="A843" s="2"/>
      <c r="B843" s="65" t="str">
        <f t="shared" si="52"/>
        <v/>
      </c>
      <c r="C843" s="60"/>
      <c r="D843" s="65" t="str">
        <f>IF($E843="","",IFERROR(INDEX(MUSTERILER!$B$7:$B$156,MATCH($U843,MUSTERILER!$T$7:$T$156,0)),IFERROR(INDEX(MUSTERILER!$B$7:$B$156,MATCH($E843,MUSTERILER!$B$7:$B$156,0)),IFERROR(INDEX(MUSTERILER!$B$7:$B$156,MATCH($U843&amp;"*",MUSTERILER!$T$7:$T$156,0)),"TANIMSIZ MÜŞTERİ"))))</f>
        <v/>
      </c>
      <c r="E843" s="61"/>
      <c r="F843" s="61"/>
      <c r="G843" s="60"/>
      <c r="H843" s="66"/>
      <c r="I843" s="66"/>
      <c r="J843" s="60"/>
      <c r="K843" s="60"/>
      <c r="L843" s="61"/>
      <c r="M843" s="61"/>
      <c r="N843" s="61"/>
      <c r="O843" s="66"/>
      <c r="P843" s="76" t="str">
        <f t="shared" ca="1" si="53"/>
        <v/>
      </c>
      <c r="Q843" s="65" t="str">
        <f t="shared" ca="1" si="54"/>
        <v/>
      </c>
      <c r="R843" s="2"/>
      <c r="S843" s="2"/>
      <c r="T843" s="1"/>
      <c r="U843" s="1" t="str">
        <f t="shared" si="55"/>
        <v/>
      </c>
    </row>
    <row r="844" spans="1:21" ht="18" customHeight="1" x14ac:dyDescent="0.3">
      <c r="A844" s="2"/>
      <c r="B844" s="65" t="str">
        <f t="shared" si="52"/>
        <v/>
      </c>
      <c r="C844" s="60"/>
      <c r="D844" s="65" t="str">
        <f>IF($E844="","",IFERROR(INDEX(MUSTERILER!$B$7:$B$156,MATCH($U844,MUSTERILER!$T$7:$T$156,0)),IFERROR(INDEX(MUSTERILER!$B$7:$B$156,MATCH($E844,MUSTERILER!$B$7:$B$156,0)),IFERROR(INDEX(MUSTERILER!$B$7:$B$156,MATCH($U844&amp;"*",MUSTERILER!$T$7:$T$156,0)),"TANIMSIZ MÜŞTERİ"))))</f>
        <v/>
      </c>
      <c r="E844" s="61"/>
      <c r="F844" s="61"/>
      <c r="G844" s="60"/>
      <c r="H844" s="66"/>
      <c r="I844" s="66"/>
      <c r="J844" s="60"/>
      <c r="K844" s="60"/>
      <c r="L844" s="61"/>
      <c r="M844" s="61"/>
      <c r="N844" s="61"/>
      <c r="O844" s="66"/>
      <c r="P844" s="76" t="str">
        <f t="shared" ca="1" si="53"/>
        <v/>
      </c>
      <c r="Q844" s="65" t="str">
        <f t="shared" ca="1" si="54"/>
        <v/>
      </c>
      <c r="R844" s="2"/>
      <c r="S844" s="2"/>
      <c r="T844" s="1"/>
      <c r="U844" s="1" t="str">
        <f t="shared" si="55"/>
        <v/>
      </c>
    </row>
    <row r="845" spans="1:21" ht="18" customHeight="1" x14ac:dyDescent="0.3">
      <c r="A845" s="2"/>
      <c r="B845" s="65" t="str">
        <f t="shared" si="52"/>
        <v/>
      </c>
      <c r="C845" s="60"/>
      <c r="D845" s="65" t="str">
        <f>IF($E845="","",IFERROR(INDEX(MUSTERILER!$B$7:$B$156,MATCH($U845,MUSTERILER!$T$7:$T$156,0)),IFERROR(INDEX(MUSTERILER!$B$7:$B$156,MATCH($E845,MUSTERILER!$B$7:$B$156,0)),IFERROR(INDEX(MUSTERILER!$B$7:$B$156,MATCH($U845&amp;"*",MUSTERILER!$T$7:$T$156,0)),"TANIMSIZ MÜŞTERİ"))))</f>
        <v/>
      </c>
      <c r="E845" s="61"/>
      <c r="F845" s="61"/>
      <c r="G845" s="60"/>
      <c r="H845" s="66"/>
      <c r="I845" s="66"/>
      <c r="J845" s="60"/>
      <c r="K845" s="60"/>
      <c r="L845" s="61"/>
      <c r="M845" s="61"/>
      <c r="N845" s="61"/>
      <c r="O845" s="66"/>
      <c r="P845" s="76" t="str">
        <f t="shared" ca="1" si="53"/>
        <v/>
      </c>
      <c r="Q845" s="65" t="str">
        <f t="shared" ca="1" si="54"/>
        <v/>
      </c>
      <c r="R845" s="2"/>
      <c r="S845" s="2"/>
      <c r="T845" s="1"/>
      <c r="U845" s="1" t="str">
        <f t="shared" si="55"/>
        <v/>
      </c>
    </row>
    <row r="846" spans="1:21" ht="18" customHeight="1" x14ac:dyDescent="0.3">
      <c r="A846" s="2"/>
      <c r="B846" s="65" t="str">
        <f t="shared" si="52"/>
        <v/>
      </c>
      <c r="C846" s="60"/>
      <c r="D846" s="65" t="str">
        <f>IF($E846="","",IFERROR(INDEX(MUSTERILER!$B$7:$B$156,MATCH($U846,MUSTERILER!$T$7:$T$156,0)),IFERROR(INDEX(MUSTERILER!$B$7:$B$156,MATCH($E846,MUSTERILER!$B$7:$B$156,0)),IFERROR(INDEX(MUSTERILER!$B$7:$B$156,MATCH($U846&amp;"*",MUSTERILER!$T$7:$T$156,0)),"TANIMSIZ MÜŞTERİ"))))</f>
        <v/>
      </c>
      <c r="E846" s="61"/>
      <c r="F846" s="61"/>
      <c r="G846" s="60"/>
      <c r="H846" s="66"/>
      <c r="I846" s="66"/>
      <c r="J846" s="60"/>
      <c r="K846" s="60"/>
      <c r="L846" s="61"/>
      <c r="M846" s="61"/>
      <c r="N846" s="61"/>
      <c r="O846" s="66"/>
      <c r="P846" s="76" t="str">
        <f t="shared" ca="1" si="53"/>
        <v/>
      </c>
      <c r="Q846" s="65" t="str">
        <f t="shared" ca="1" si="54"/>
        <v/>
      </c>
      <c r="R846" s="2"/>
      <c r="S846" s="2"/>
      <c r="T846" s="1"/>
      <c r="U846" s="1" t="str">
        <f t="shared" si="55"/>
        <v/>
      </c>
    </row>
    <row r="847" spans="1:21" ht="18" customHeight="1" x14ac:dyDescent="0.3">
      <c r="A847" s="2"/>
      <c r="B847" s="65" t="str">
        <f t="shared" si="52"/>
        <v/>
      </c>
      <c r="C847" s="60"/>
      <c r="D847" s="65" t="str">
        <f>IF($E847="","",IFERROR(INDEX(MUSTERILER!$B$7:$B$156,MATCH($U847,MUSTERILER!$T$7:$T$156,0)),IFERROR(INDEX(MUSTERILER!$B$7:$B$156,MATCH($E847,MUSTERILER!$B$7:$B$156,0)),IFERROR(INDEX(MUSTERILER!$B$7:$B$156,MATCH($U847&amp;"*",MUSTERILER!$T$7:$T$156,0)),"TANIMSIZ MÜŞTERİ"))))</f>
        <v/>
      </c>
      <c r="E847" s="61"/>
      <c r="F847" s="61"/>
      <c r="G847" s="60"/>
      <c r="H847" s="66"/>
      <c r="I847" s="66"/>
      <c r="J847" s="60"/>
      <c r="K847" s="60"/>
      <c r="L847" s="61"/>
      <c r="M847" s="61"/>
      <c r="N847" s="61"/>
      <c r="O847" s="66"/>
      <c r="P847" s="76" t="str">
        <f t="shared" ca="1" si="53"/>
        <v/>
      </c>
      <c r="Q847" s="65" t="str">
        <f t="shared" ca="1" si="54"/>
        <v/>
      </c>
      <c r="R847" s="2"/>
      <c r="S847" s="2"/>
      <c r="T847" s="1"/>
      <c r="U847" s="1" t="str">
        <f t="shared" si="55"/>
        <v/>
      </c>
    </row>
    <row r="848" spans="1:21" ht="18" customHeight="1" x14ac:dyDescent="0.3">
      <c r="A848" s="2"/>
      <c r="B848" s="65" t="str">
        <f t="shared" si="52"/>
        <v/>
      </c>
      <c r="C848" s="60"/>
      <c r="D848" s="65" t="str">
        <f>IF($E848="","",IFERROR(INDEX(MUSTERILER!$B$7:$B$156,MATCH($U848,MUSTERILER!$T$7:$T$156,0)),IFERROR(INDEX(MUSTERILER!$B$7:$B$156,MATCH($E848,MUSTERILER!$B$7:$B$156,0)),IFERROR(INDEX(MUSTERILER!$B$7:$B$156,MATCH($U848&amp;"*",MUSTERILER!$T$7:$T$156,0)),"TANIMSIZ MÜŞTERİ"))))</f>
        <v/>
      </c>
      <c r="E848" s="61"/>
      <c r="F848" s="61"/>
      <c r="G848" s="60"/>
      <c r="H848" s="66"/>
      <c r="I848" s="66"/>
      <c r="J848" s="60"/>
      <c r="K848" s="60"/>
      <c r="L848" s="61"/>
      <c r="M848" s="61"/>
      <c r="N848" s="61"/>
      <c r="O848" s="66"/>
      <c r="P848" s="76" t="str">
        <f t="shared" ca="1" si="53"/>
        <v/>
      </c>
      <c r="Q848" s="65" t="str">
        <f t="shared" ca="1" si="54"/>
        <v/>
      </c>
      <c r="R848" s="2"/>
      <c r="S848" s="2"/>
      <c r="T848" s="1"/>
      <c r="U848" s="1" t="str">
        <f t="shared" si="55"/>
        <v/>
      </c>
    </row>
    <row r="849" spans="1:21" ht="18" customHeight="1" x14ac:dyDescent="0.3">
      <c r="A849" s="2"/>
      <c r="B849" s="65" t="str">
        <f t="shared" si="52"/>
        <v/>
      </c>
      <c r="C849" s="60"/>
      <c r="D849" s="65" t="str">
        <f>IF($E849="","",IFERROR(INDEX(MUSTERILER!$B$7:$B$156,MATCH($U849,MUSTERILER!$T$7:$T$156,0)),IFERROR(INDEX(MUSTERILER!$B$7:$B$156,MATCH($E849,MUSTERILER!$B$7:$B$156,0)),IFERROR(INDEX(MUSTERILER!$B$7:$B$156,MATCH($U849&amp;"*",MUSTERILER!$T$7:$T$156,0)),"TANIMSIZ MÜŞTERİ"))))</f>
        <v/>
      </c>
      <c r="E849" s="61"/>
      <c r="F849" s="61"/>
      <c r="G849" s="60"/>
      <c r="H849" s="66"/>
      <c r="I849" s="66"/>
      <c r="J849" s="60"/>
      <c r="K849" s="60"/>
      <c r="L849" s="61"/>
      <c r="M849" s="61"/>
      <c r="N849" s="61"/>
      <c r="O849" s="66"/>
      <c r="P849" s="76" t="str">
        <f t="shared" ca="1" si="53"/>
        <v/>
      </c>
      <c r="Q849" s="65" t="str">
        <f t="shared" ca="1" si="54"/>
        <v/>
      </c>
      <c r="R849" s="2"/>
      <c r="S849" s="2"/>
      <c r="T849" s="1"/>
      <c r="U849" s="1" t="str">
        <f t="shared" si="55"/>
        <v/>
      </c>
    </row>
    <row r="850" spans="1:21" ht="18" customHeight="1" x14ac:dyDescent="0.3">
      <c r="A850" s="2"/>
      <c r="B850" s="65" t="str">
        <f t="shared" si="52"/>
        <v/>
      </c>
      <c r="C850" s="60"/>
      <c r="D850" s="65" t="str">
        <f>IF($E850="","",IFERROR(INDEX(MUSTERILER!$B$7:$B$156,MATCH($U850,MUSTERILER!$T$7:$T$156,0)),IFERROR(INDEX(MUSTERILER!$B$7:$B$156,MATCH($E850,MUSTERILER!$B$7:$B$156,0)),IFERROR(INDEX(MUSTERILER!$B$7:$B$156,MATCH($U850&amp;"*",MUSTERILER!$T$7:$T$156,0)),"TANIMSIZ MÜŞTERİ"))))</f>
        <v/>
      </c>
      <c r="E850" s="61"/>
      <c r="F850" s="61"/>
      <c r="G850" s="60"/>
      <c r="H850" s="66"/>
      <c r="I850" s="66"/>
      <c r="J850" s="60"/>
      <c r="K850" s="60"/>
      <c r="L850" s="61"/>
      <c r="M850" s="61"/>
      <c r="N850" s="61"/>
      <c r="O850" s="66"/>
      <c r="P850" s="76" t="str">
        <f t="shared" ca="1" si="53"/>
        <v/>
      </c>
      <c r="Q850" s="65" t="str">
        <f t="shared" ca="1" si="54"/>
        <v/>
      </c>
      <c r="R850" s="2"/>
      <c r="S850" s="2"/>
      <c r="T850" s="1"/>
      <c r="U850" s="1" t="str">
        <f t="shared" si="55"/>
        <v/>
      </c>
    </row>
    <row r="851" spans="1:21" ht="18" customHeight="1" x14ac:dyDescent="0.3">
      <c r="A851" s="2"/>
      <c r="B851" s="65" t="str">
        <f t="shared" si="52"/>
        <v/>
      </c>
      <c r="C851" s="60"/>
      <c r="D851" s="65" t="str">
        <f>IF($E851="","",IFERROR(INDEX(MUSTERILER!$B$7:$B$156,MATCH($U851,MUSTERILER!$T$7:$T$156,0)),IFERROR(INDEX(MUSTERILER!$B$7:$B$156,MATCH($E851,MUSTERILER!$B$7:$B$156,0)),IFERROR(INDEX(MUSTERILER!$B$7:$B$156,MATCH($U851&amp;"*",MUSTERILER!$T$7:$T$156,0)),"TANIMSIZ MÜŞTERİ"))))</f>
        <v/>
      </c>
      <c r="E851" s="61"/>
      <c r="F851" s="61"/>
      <c r="G851" s="60"/>
      <c r="H851" s="66"/>
      <c r="I851" s="66"/>
      <c r="J851" s="60"/>
      <c r="K851" s="60"/>
      <c r="L851" s="61"/>
      <c r="M851" s="61"/>
      <c r="N851" s="61"/>
      <c r="O851" s="66"/>
      <c r="P851" s="76" t="str">
        <f t="shared" ca="1" si="53"/>
        <v/>
      </c>
      <c r="Q851" s="65" t="str">
        <f t="shared" ca="1" si="54"/>
        <v/>
      </c>
      <c r="R851" s="2"/>
      <c r="S851" s="2"/>
      <c r="T851" s="1"/>
      <c r="U851" s="1" t="str">
        <f t="shared" si="55"/>
        <v/>
      </c>
    </row>
    <row r="852" spans="1:21" ht="18" customHeight="1" x14ac:dyDescent="0.3">
      <c r="A852" s="2"/>
      <c r="B852" s="65" t="str">
        <f t="shared" si="52"/>
        <v/>
      </c>
      <c r="C852" s="60"/>
      <c r="D852" s="65" t="str">
        <f>IF($E852="","",IFERROR(INDEX(MUSTERILER!$B$7:$B$156,MATCH($U852,MUSTERILER!$T$7:$T$156,0)),IFERROR(INDEX(MUSTERILER!$B$7:$B$156,MATCH($E852,MUSTERILER!$B$7:$B$156,0)),IFERROR(INDEX(MUSTERILER!$B$7:$B$156,MATCH($U852&amp;"*",MUSTERILER!$T$7:$T$156,0)),"TANIMSIZ MÜŞTERİ"))))</f>
        <v/>
      </c>
      <c r="E852" s="61"/>
      <c r="F852" s="61"/>
      <c r="G852" s="60"/>
      <c r="H852" s="66"/>
      <c r="I852" s="66"/>
      <c r="J852" s="60"/>
      <c r="K852" s="60"/>
      <c r="L852" s="61"/>
      <c r="M852" s="61"/>
      <c r="N852" s="61"/>
      <c r="O852" s="66"/>
      <c r="P852" s="76" t="str">
        <f t="shared" ca="1" si="53"/>
        <v/>
      </c>
      <c r="Q852" s="65" t="str">
        <f t="shared" ca="1" si="54"/>
        <v/>
      </c>
      <c r="R852" s="2"/>
      <c r="S852" s="2"/>
      <c r="T852" s="1"/>
      <c r="U852" s="1" t="str">
        <f t="shared" si="55"/>
        <v/>
      </c>
    </row>
    <row r="853" spans="1:21" ht="18" customHeight="1" x14ac:dyDescent="0.3">
      <c r="A853" s="2"/>
      <c r="B853" s="65" t="str">
        <f t="shared" si="52"/>
        <v/>
      </c>
      <c r="C853" s="60"/>
      <c r="D853" s="65" t="str">
        <f>IF($E853="","",IFERROR(INDEX(MUSTERILER!$B$7:$B$156,MATCH($U853,MUSTERILER!$T$7:$T$156,0)),IFERROR(INDEX(MUSTERILER!$B$7:$B$156,MATCH($E853,MUSTERILER!$B$7:$B$156,0)),IFERROR(INDEX(MUSTERILER!$B$7:$B$156,MATCH($U853&amp;"*",MUSTERILER!$T$7:$T$156,0)),"TANIMSIZ MÜŞTERİ"))))</f>
        <v/>
      </c>
      <c r="E853" s="61"/>
      <c r="F853" s="61"/>
      <c r="G853" s="60"/>
      <c r="H853" s="66"/>
      <c r="I853" s="66"/>
      <c r="J853" s="60"/>
      <c r="K853" s="60"/>
      <c r="L853" s="61"/>
      <c r="M853" s="61"/>
      <c r="N853" s="61"/>
      <c r="O853" s="66"/>
      <c r="P853" s="76" t="str">
        <f t="shared" ca="1" si="53"/>
        <v/>
      </c>
      <c r="Q853" s="65" t="str">
        <f t="shared" ca="1" si="54"/>
        <v/>
      </c>
      <c r="R853" s="2"/>
      <c r="S853" s="2"/>
      <c r="T853" s="1"/>
      <c r="U853" s="1" t="str">
        <f t="shared" si="55"/>
        <v/>
      </c>
    </row>
    <row r="854" spans="1:21" ht="18" customHeight="1" x14ac:dyDescent="0.3">
      <c r="A854" s="2"/>
      <c r="B854" s="65" t="str">
        <f t="shared" si="52"/>
        <v/>
      </c>
      <c r="C854" s="60"/>
      <c r="D854" s="65" t="str">
        <f>IF($E854="","",IFERROR(INDEX(MUSTERILER!$B$7:$B$156,MATCH($U854,MUSTERILER!$T$7:$T$156,0)),IFERROR(INDEX(MUSTERILER!$B$7:$B$156,MATCH($E854,MUSTERILER!$B$7:$B$156,0)),IFERROR(INDEX(MUSTERILER!$B$7:$B$156,MATCH($U854&amp;"*",MUSTERILER!$T$7:$T$156,0)),"TANIMSIZ MÜŞTERİ"))))</f>
        <v/>
      </c>
      <c r="E854" s="61"/>
      <c r="F854" s="61"/>
      <c r="G854" s="60"/>
      <c r="H854" s="66"/>
      <c r="I854" s="66"/>
      <c r="J854" s="60"/>
      <c r="K854" s="60"/>
      <c r="L854" s="61"/>
      <c r="M854" s="61"/>
      <c r="N854" s="61"/>
      <c r="O854" s="66"/>
      <c r="P854" s="76" t="str">
        <f t="shared" ca="1" si="53"/>
        <v/>
      </c>
      <c r="Q854" s="65" t="str">
        <f t="shared" ca="1" si="54"/>
        <v/>
      </c>
      <c r="R854" s="2"/>
      <c r="S854" s="2"/>
      <c r="T854" s="1"/>
      <c r="U854" s="1" t="str">
        <f t="shared" si="55"/>
        <v/>
      </c>
    </row>
    <row r="855" spans="1:21" ht="18" customHeight="1" x14ac:dyDescent="0.3">
      <c r="A855" s="2"/>
      <c r="B855" s="65" t="str">
        <f t="shared" si="52"/>
        <v/>
      </c>
      <c r="C855" s="60"/>
      <c r="D855" s="65" t="str">
        <f>IF($E855="","",IFERROR(INDEX(MUSTERILER!$B$7:$B$156,MATCH($U855,MUSTERILER!$T$7:$T$156,0)),IFERROR(INDEX(MUSTERILER!$B$7:$B$156,MATCH($E855,MUSTERILER!$B$7:$B$156,0)),IFERROR(INDEX(MUSTERILER!$B$7:$B$156,MATCH($U855&amp;"*",MUSTERILER!$T$7:$T$156,0)),"TANIMSIZ MÜŞTERİ"))))</f>
        <v/>
      </c>
      <c r="E855" s="61"/>
      <c r="F855" s="61"/>
      <c r="G855" s="60"/>
      <c r="H855" s="66"/>
      <c r="I855" s="66"/>
      <c r="J855" s="60"/>
      <c r="K855" s="60"/>
      <c r="L855" s="61"/>
      <c r="M855" s="61"/>
      <c r="N855" s="61"/>
      <c r="O855" s="66"/>
      <c r="P855" s="76" t="str">
        <f t="shared" ca="1" si="53"/>
        <v/>
      </c>
      <c r="Q855" s="65" t="str">
        <f t="shared" ca="1" si="54"/>
        <v/>
      </c>
      <c r="R855" s="2"/>
      <c r="S855" s="2"/>
      <c r="T855" s="1"/>
      <c r="U855" s="1" t="str">
        <f t="shared" si="55"/>
        <v/>
      </c>
    </row>
    <row r="856" spans="1:21" ht="18" customHeight="1" x14ac:dyDescent="0.3">
      <c r="A856" s="2"/>
      <c r="B856" s="65" t="str">
        <f t="shared" si="52"/>
        <v/>
      </c>
      <c r="C856" s="60"/>
      <c r="D856" s="65" t="str">
        <f>IF($E856="","",IFERROR(INDEX(MUSTERILER!$B$7:$B$156,MATCH($U856,MUSTERILER!$T$7:$T$156,0)),IFERROR(INDEX(MUSTERILER!$B$7:$B$156,MATCH($E856,MUSTERILER!$B$7:$B$156,0)),IFERROR(INDEX(MUSTERILER!$B$7:$B$156,MATCH($U856&amp;"*",MUSTERILER!$T$7:$T$156,0)),"TANIMSIZ MÜŞTERİ"))))</f>
        <v/>
      </c>
      <c r="E856" s="61"/>
      <c r="F856" s="61"/>
      <c r="G856" s="60"/>
      <c r="H856" s="66"/>
      <c r="I856" s="66"/>
      <c r="J856" s="60"/>
      <c r="K856" s="60"/>
      <c r="L856" s="61"/>
      <c r="M856" s="61"/>
      <c r="N856" s="61"/>
      <c r="O856" s="66"/>
      <c r="P856" s="76" t="str">
        <f t="shared" ca="1" si="53"/>
        <v/>
      </c>
      <c r="Q856" s="65" t="str">
        <f t="shared" ca="1" si="54"/>
        <v/>
      </c>
      <c r="R856" s="2"/>
      <c r="S856" s="2"/>
      <c r="T856" s="1"/>
      <c r="U856" s="1" t="str">
        <f t="shared" si="55"/>
        <v/>
      </c>
    </row>
    <row r="857" spans="1:21" ht="18" customHeight="1" x14ac:dyDescent="0.3">
      <c r="A857" s="2"/>
      <c r="B857" s="65" t="str">
        <f t="shared" si="52"/>
        <v/>
      </c>
      <c r="C857" s="60"/>
      <c r="D857" s="65" t="str">
        <f>IF($E857="","",IFERROR(INDEX(MUSTERILER!$B$7:$B$156,MATCH($U857,MUSTERILER!$T$7:$T$156,0)),IFERROR(INDEX(MUSTERILER!$B$7:$B$156,MATCH($E857,MUSTERILER!$B$7:$B$156,0)),IFERROR(INDEX(MUSTERILER!$B$7:$B$156,MATCH($U857&amp;"*",MUSTERILER!$T$7:$T$156,0)),"TANIMSIZ MÜŞTERİ"))))</f>
        <v/>
      </c>
      <c r="E857" s="61"/>
      <c r="F857" s="61"/>
      <c r="G857" s="60"/>
      <c r="H857" s="66"/>
      <c r="I857" s="66"/>
      <c r="J857" s="60"/>
      <c r="K857" s="60"/>
      <c r="L857" s="61"/>
      <c r="M857" s="61"/>
      <c r="N857" s="61"/>
      <c r="O857" s="66"/>
      <c r="P857" s="76" t="str">
        <f t="shared" ca="1" si="53"/>
        <v/>
      </c>
      <c r="Q857" s="65" t="str">
        <f t="shared" ca="1" si="54"/>
        <v/>
      </c>
      <c r="R857" s="2"/>
      <c r="S857" s="2"/>
      <c r="T857" s="1"/>
      <c r="U857" s="1" t="str">
        <f t="shared" si="55"/>
        <v/>
      </c>
    </row>
    <row r="858" spans="1:21" ht="18" customHeight="1" x14ac:dyDescent="0.3">
      <c r="A858" s="2"/>
      <c r="B858" s="65" t="str">
        <f t="shared" si="52"/>
        <v/>
      </c>
      <c r="C858" s="60"/>
      <c r="D858" s="65" t="str">
        <f>IF($E858="","",IFERROR(INDEX(MUSTERILER!$B$7:$B$156,MATCH($U858,MUSTERILER!$T$7:$T$156,0)),IFERROR(INDEX(MUSTERILER!$B$7:$B$156,MATCH($E858,MUSTERILER!$B$7:$B$156,0)),IFERROR(INDEX(MUSTERILER!$B$7:$B$156,MATCH($U858&amp;"*",MUSTERILER!$T$7:$T$156,0)),"TANIMSIZ MÜŞTERİ"))))</f>
        <v/>
      </c>
      <c r="E858" s="61"/>
      <c r="F858" s="61"/>
      <c r="G858" s="60"/>
      <c r="H858" s="66"/>
      <c r="I858" s="66"/>
      <c r="J858" s="60"/>
      <c r="K858" s="60"/>
      <c r="L858" s="61"/>
      <c r="M858" s="61"/>
      <c r="N858" s="61"/>
      <c r="O858" s="66"/>
      <c r="P858" s="76" t="str">
        <f t="shared" ca="1" si="53"/>
        <v/>
      </c>
      <c r="Q858" s="65" t="str">
        <f t="shared" ca="1" si="54"/>
        <v/>
      </c>
      <c r="R858" s="2"/>
      <c r="S858" s="2"/>
      <c r="T858" s="1"/>
      <c r="U858" s="1" t="str">
        <f t="shared" si="55"/>
        <v/>
      </c>
    </row>
    <row r="859" spans="1:21" ht="18" customHeight="1" x14ac:dyDescent="0.3">
      <c r="A859" s="2"/>
      <c r="B859" s="65" t="str">
        <f t="shared" si="52"/>
        <v/>
      </c>
      <c r="C859" s="60"/>
      <c r="D859" s="65" t="str">
        <f>IF($E859="","",IFERROR(INDEX(MUSTERILER!$B$7:$B$156,MATCH($U859,MUSTERILER!$T$7:$T$156,0)),IFERROR(INDEX(MUSTERILER!$B$7:$B$156,MATCH($E859,MUSTERILER!$B$7:$B$156,0)),IFERROR(INDEX(MUSTERILER!$B$7:$B$156,MATCH($U859&amp;"*",MUSTERILER!$T$7:$T$156,0)),"TANIMSIZ MÜŞTERİ"))))</f>
        <v/>
      </c>
      <c r="E859" s="61"/>
      <c r="F859" s="61"/>
      <c r="G859" s="60"/>
      <c r="H859" s="66"/>
      <c r="I859" s="66"/>
      <c r="J859" s="60"/>
      <c r="K859" s="60"/>
      <c r="L859" s="61"/>
      <c r="M859" s="61"/>
      <c r="N859" s="61"/>
      <c r="O859" s="66"/>
      <c r="P859" s="76" t="str">
        <f t="shared" ca="1" si="53"/>
        <v/>
      </c>
      <c r="Q859" s="65" t="str">
        <f t="shared" ca="1" si="54"/>
        <v/>
      </c>
      <c r="R859" s="2"/>
      <c r="S859" s="2"/>
      <c r="T859" s="1"/>
      <c r="U859" s="1" t="str">
        <f t="shared" si="55"/>
        <v/>
      </c>
    </row>
    <row r="860" spans="1:21" ht="18" customHeight="1" x14ac:dyDescent="0.3">
      <c r="A860" s="2"/>
      <c r="B860" s="65" t="str">
        <f t="shared" si="52"/>
        <v/>
      </c>
      <c r="C860" s="60"/>
      <c r="D860" s="65" t="str">
        <f>IF($E860="","",IFERROR(INDEX(MUSTERILER!$B$7:$B$156,MATCH($U860,MUSTERILER!$T$7:$T$156,0)),IFERROR(INDEX(MUSTERILER!$B$7:$B$156,MATCH($E860,MUSTERILER!$B$7:$B$156,0)),IFERROR(INDEX(MUSTERILER!$B$7:$B$156,MATCH($U860&amp;"*",MUSTERILER!$T$7:$T$156,0)),"TANIMSIZ MÜŞTERİ"))))</f>
        <v/>
      </c>
      <c r="E860" s="61"/>
      <c r="F860" s="61"/>
      <c r="G860" s="60"/>
      <c r="H860" s="66"/>
      <c r="I860" s="66"/>
      <c r="J860" s="60"/>
      <c r="K860" s="60"/>
      <c r="L860" s="61"/>
      <c r="M860" s="61"/>
      <c r="N860" s="61"/>
      <c r="O860" s="66"/>
      <c r="P860" s="76" t="str">
        <f t="shared" ca="1" si="53"/>
        <v/>
      </c>
      <c r="Q860" s="65" t="str">
        <f t="shared" ca="1" si="54"/>
        <v/>
      </c>
      <c r="R860" s="2"/>
      <c r="S860" s="2"/>
      <c r="T860" s="1"/>
      <c r="U860" s="1" t="str">
        <f t="shared" si="55"/>
        <v/>
      </c>
    </row>
    <row r="861" spans="1:21" ht="18" customHeight="1" x14ac:dyDescent="0.3">
      <c r="A861" s="2"/>
      <c r="B861" s="65" t="str">
        <f t="shared" si="52"/>
        <v/>
      </c>
      <c r="C861" s="60"/>
      <c r="D861" s="65" t="str">
        <f>IF($E861="","",IFERROR(INDEX(MUSTERILER!$B$7:$B$156,MATCH($U861,MUSTERILER!$T$7:$T$156,0)),IFERROR(INDEX(MUSTERILER!$B$7:$B$156,MATCH($E861,MUSTERILER!$B$7:$B$156,0)),IFERROR(INDEX(MUSTERILER!$B$7:$B$156,MATCH($U861&amp;"*",MUSTERILER!$T$7:$T$156,0)),"TANIMSIZ MÜŞTERİ"))))</f>
        <v/>
      </c>
      <c r="E861" s="61"/>
      <c r="F861" s="61"/>
      <c r="G861" s="60"/>
      <c r="H861" s="66"/>
      <c r="I861" s="66"/>
      <c r="J861" s="60"/>
      <c r="K861" s="60"/>
      <c r="L861" s="61"/>
      <c r="M861" s="61"/>
      <c r="N861" s="61"/>
      <c r="O861" s="66"/>
      <c r="P861" s="76" t="str">
        <f t="shared" ca="1" si="53"/>
        <v/>
      </c>
      <c r="Q861" s="65" t="str">
        <f t="shared" ca="1" si="54"/>
        <v/>
      </c>
      <c r="R861" s="2"/>
      <c r="S861" s="2"/>
      <c r="T861" s="1"/>
      <c r="U861" s="1" t="str">
        <f t="shared" si="55"/>
        <v/>
      </c>
    </row>
    <row r="862" spans="1:21" ht="18" customHeight="1" x14ac:dyDescent="0.3">
      <c r="A862" s="2"/>
      <c r="B862" s="65" t="str">
        <f t="shared" si="52"/>
        <v/>
      </c>
      <c r="C862" s="60"/>
      <c r="D862" s="65" t="str">
        <f>IF($E862="","",IFERROR(INDEX(MUSTERILER!$B$7:$B$156,MATCH($U862,MUSTERILER!$T$7:$T$156,0)),IFERROR(INDEX(MUSTERILER!$B$7:$B$156,MATCH($E862,MUSTERILER!$B$7:$B$156,0)),IFERROR(INDEX(MUSTERILER!$B$7:$B$156,MATCH($U862&amp;"*",MUSTERILER!$T$7:$T$156,0)),"TANIMSIZ MÜŞTERİ"))))</f>
        <v/>
      </c>
      <c r="E862" s="61"/>
      <c r="F862" s="61"/>
      <c r="G862" s="60"/>
      <c r="H862" s="66"/>
      <c r="I862" s="66"/>
      <c r="J862" s="60"/>
      <c r="K862" s="60"/>
      <c r="L862" s="61"/>
      <c r="M862" s="61"/>
      <c r="N862" s="61"/>
      <c r="O862" s="66"/>
      <c r="P862" s="76" t="str">
        <f t="shared" ca="1" si="53"/>
        <v/>
      </c>
      <c r="Q862" s="65" t="str">
        <f t="shared" ca="1" si="54"/>
        <v/>
      </c>
      <c r="R862" s="2"/>
      <c r="S862" s="2"/>
      <c r="T862" s="1"/>
      <c r="U862" s="1" t="str">
        <f t="shared" si="55"/>
        <v/>
      </c>
    </row>
    <row r="863" spans="1:21" ht="18" customHeight="1" x14ac:dyDescent="0.3">
      <c r="A863" s="2"/>
      <c r="B863" s="65" t="str">
        <f t="shared" si="52"/>
        <v/>
      </c>
      <c r="C863" s="60"/>
      <c r="D863" s="65" t="str">
        <f>IF($E863="","",IFERROR(INDEX(MUSTERILER!$B$7:$B$156,MATCH($U863,MUSTERILER!$T$7:$T$156,0)),IFERROR(INDEX(MUSTERILER!$B$7:$B$156,MATCH($E863,MUSTERILER!$B$7:$B$156,0)),IFERROR(INDEX(MUSTERILER!$B$7:$B$156,MATCH($U863&amp;"*",MUSTERILER!$T$7:$T$156,0)),"TANIMSIZ MÜŞTERİ"))))</f>
        <v/>
      </c>
      <c r="E863" s="61"/>
      <c r="F863" s="61"/>
      <c r="G863" s="60"/>
      <c r="H863" s="66"/>
      <c r="I863" s="66"/>
      <c r="J863" s="60"/>
      <c r="K863" s="60"/>
      <c r="L863" s="61"/>
      <c r="M863" s="61"/>
      <c r="N863" s="61"/>
      <c r="O863" s="66"/>
      <c r="P863" s="76" t="str">
        <f t="shared" ca="1" si="53"/>
        <v/>
      </c>
      <c r="Q863" s="65" t="str">
        <f t="shared" ca="1" si="54"/>
        <v/>
      </c>
      <c r="R863" s="2"/>
      <c r="S863" s="2"/>
      <c r="T863" s="1"/>
      <c r="U863" s="1" t="str">
        <f t="shared" si="55"/>
        <v/>
      </c>
    </row>
    <row r="864" spans="1:21" ht="18" customHeight="1" x14ac:dyDescent="0.3">
      <c r="A864" s="2"/>
      <c r="B864" s="65" t="str">
        <f t="shared" si="52"/>
        <v/>
      </c>
      <c r="C864" s="60"/>
      <c r="D864" s="65" t="str">
        <f>IF($E864="","",IFERROR(INDEX(MUSTERILER!$B$7:$B$156,MATCH($U864,MUSTERILER!$T$7:$T$156,0)),IFERROR(INDEX(MUSTERILER!$B$7:$B$156,MATCH($E864,MUSTERILER!$B$7:$B$156,0)),IFERROR(INDEX(MUSTERILER!$B$7:$B$156,MATCH($U864&amp;"*",MUSTERILER!$T$7:$T$156,0)),"TANIMSIZ MÜŞTERİ"))))</f>
        <v/>
      </c>
      <c r="E864" s="61"/>
      <c r="F864" s="61"/>
      <c r="G864" s="60"/>
      <c r="H864" s="66"/>
      <c r="I864" s="66"/>
      <c r="J864" s="60"/>
      <c r="K864" s="60"/>
      <c r="L864" s="61"/>
      <c r="M864" s="61"/>
      <c r="N864" s="61"/>
      <c r="O864" s="66"/>
      <c r="P864" s="76" t="str">
        <f t="shared" ca="1" si="53"/>
        <v/>
      </c>
      <c r="Q864" s="65" t="str">
        <f t="shared" ca="1" si="54"/>
        <v/>
      </c>
      <c r="R864" s="2"/>
      <c r="S864" s="2"/>
      <c r="T864" s="1"/>
      <c r="U864" s="1" t="str">
        <f t="shared" si="55"/>
        <v/>
      </c>
    </row>
    <row r="865" spans="1:21" ht="18" customHeight="1" x14ac:dyDescent="0.3">
      <c r="A865" s="2"/>
      <c r="B865" s="65" t="str">
        <f t="shared" si="52"/>
        <v/>
      </c>
      <c r="C865" s="60"/>
      <c r="D865" s="65" t="str">
        <f>IF($E865="","",IFERROR(INDEX(MUSTERILER!$B$7:$B$156,MATCH($U865,MUSTERILER!$T$7:$T$156,0)),IFERROR(INDEX(MUSTERILER!$B$7:$B$156,MATCH($E865,MUSTERILER!$B$7:$B$156,0)),IFERROR(INDEX(MUSTERILER!$B$7:$B$156,MATCH($U865&amp;"*",MUSTERILER!$T$7:$T$156,0)),"TANIMSIZ MÜŞTERİ"))))</f>
        <v/>
      </c>
      <c r="E865" s="61"/>
      <c r="F865" s="61"/>
      <c r="G865" s="60"/>
      <c r="H865" s="66"/>
      <c r="I865" s="66"/>
      <c r="J865" s="60"/>
      <c r="K865" s="60"/>
      <c r="L865" s="61"/>
      <c r="M865" s="61"/>
      <c r="N865" s="61"/>
      <c r="O865" s="66"/>
      <c r="P865" s="76" t="str">
        <f t="shared" ca="1" si="53"/>
        <v/>
      </c>
      <c r="Q865" s="65" t="str">
        <f t="shared" ca="1" si="54"/>
        <v/>
      </c>
      <c r="R865" s="2"/>
      <c r="S865" s="2"/>
      <c r="T865" s="1"/>
      <c r="U865" s="1" t="str">
        <f t="shared" si="55"/>
        <v/>
      </c>
    </row>
    <row r="866" spans="1:21" ht="18" customHeight="1" x14ac:dyDescent="0.3">
      <c r="A866" s="2"/>
      <c r="B866" s="65" t="str">
        <f t="shared" si="52"/>
        <v/>
      </c>
      <c r="C866" s="60"/>
      <c r="D866" s="65" t="str">
        <f>IF($E866="","",IFERROR(INDEX(MUSTERILER!$B$7:$B$156,MATCH($U866,MUSTERILER!$T$7:$T$156,0)),IFERROR(INDEX(MUSTERILER!$B$7:$B$156,MATCH($E866,MUSTERILER!$B$7:$B$156,0)),IFERROR(INDEX(MUSTERILER!$B$7:$B$156,MATCH($U866&amp;"*",MUSTERILER!$T$7:$T$156,0)),"TANIMSIZ MÜŞTERİ"))))</f>
        <v/>
      </c>
      <c r="E866" s="61"/>
      <c r="F866" s="61"/>
      <c r="G866" s="60"/>
      <c r="H866" s="66"/>
      <c r="I866" s="66"/>
      <c r="J866" s="60"/>
      <c r="K866" s="60"/>
      <c r="L866" s="61"/>
      <c r="M866" s="61"/>
      <c r="N866" s="61"/>
      <c r="O866" s="66"/>
      <c r="P866" s="76" t="str">
        <f t="shared" ca="1" si="53"/>
        <v/>
      </c>
      <c r="Q866" s="65" t="str">
        <f t="shared" ca="1" si="54"/>
        <v/>
      </c>
      <c r="R866" s="2"/>
      <c r="S866" s="2"/>
      <c r="T866" s="1"/>
      <c r="U866" s="1" t="str">
        <f t="shared" si="55"/>
        <v/>
      </c>
    </row>
    <row r="867" spans="1:21" ht="18" customHeight="1" x14ac:dyDescent="0.3">
      <c r="A867" s="2"/>
      <c r="B867" s="65" t="str">
        <f t="shared" si="52"/>
        <v/>
      </c>
      <c r="C867" s="60"/>
      <c r="D867" s="65" t="str">
        <f>IF($E867="","",IFERROR(INDEX(MUSTERILER!$B$7:$B$156,MATCH($U867,MUSTERILER!$T$7:$T$156,0)),IFERROR(INDEX(MUSTERILER!$B$7:$B$156,MATCH($E867,MUSTERILER!$B$7:$B$156,0)),IFERROR(INDEX(MUSTERILER!$B$7:$B$156,MATCH($U867&amp;"*",MUSTERILER!$T$7:$T$156,0)),"TANIMSIZ MÜŞTERİ"))))</f>
        <v/>
      </c>
      <c r="E867" s="61"/>
      <c r="F867" s="61"/>
      <c r="G867" s="60"/>
      <c r="H867" s="66"/>
      <c r="I867" s="66"/>
      <c r="J867" s="60"/>
      <c r="K867" s="60"/>
      <c r="L867" s="61"/>
      <c r="M867" s="61"/>
      <c r="N867" s="61"/>
      <c r="O867" s="66"/>
      <c r="P867" s="76" t="str">
        <f t="shared" ca="1" si="53"/>
        <v/>
      </c>
      <c r="Q867" s="65" t="str">
        <f t="shared" ca="1" si="54"/>
        <v/>
      </c>
      <c r="R867" s="2"/>
      <c r="S867" s="2"/>
      <c r="T867" s="1"/>
      <c r="U867" s="1" t="str">
        <f t="shared" si="55"/>
        <v/>
      </c>
    </row>
    <row r="868" spans="1:21" ht="18" customHeight="1" x14ac:dyDescent="0.3">
      <c r="A868" s="2"/>
      <c r="B868" s="65" t="str">
        <f t="shared" si="52"/>
        <v/>
      </c>
      <c r="C868" s="60"/>
      <c r="D868" s="65" t="str">
        <f>IF($E868="","",IFERROR(INDEX(MUSTERILER!$B$7:$B$156,MATCH($U868,MUSTERILER!$T$7:$T$156,0)),IFERROR(INDEX(MUSTERILER!$B$7:$B$156,MATCH($E868,MUSTERILER!$B$7:$B$156,0)),IFERROR(INDEX(MUSTERILER!$B$7:$B$156,MATCH($U868&amp;"*",MUSTERILER!$T$7:$T$156,0)),"TANIMSIZ MÜŞTERİ"))))</f>
        <v/>
      </c>
      <c r="E868" s="61"/>
      <c r="F868" s="61"/>
      <c r="G868" s="60"/>
      <c r="H868" s="66"/>
      <c r="I868" s="66"/>
      <c r="J868" s="60"/>
      <c r="K868" s="60"/>
      <c r="L868" s="61"/>
      <c r="M868" s="61"/>
      <c r="N868" s="61"/>
      <c r="O868" s="66"/>
      <c r="P868" s="76" t="str">
        <f t="shared" ca="1" si="53"/>
        <v/>
      </c>
      <c r="Q868" s="65" t="str">
        <f t="shared" ca="1" si="54"/>
        <v/>
      </c>
      <c r="R868" s="2"/>
      <c r="S868" s="2"/>
      <c r="T868" s="1"/>
      <c r="U868" s="1" t="str">
        <f t="shared" si="55"/>
        <v/>
      </c>
    </row>
    <row r="869" spans="1:21" ht="18" customHeight="1" x14ac:dyDescent="0.3">
      <c r="A869" s="2"/>
      <c r="B869" s="65" t="str">
        <f t="shared" si="52"/>
        <v/>
      </c>
      <c r="C869" s="60"/>
      <c r="D869" s="65" t="str">
        <f>IF($E869="","",IFERROR(INDEX(MUSTERILER!$B$7:$B$156,MATCH($U869,MUSTERILER!$T$7:$T$156,0)),IFERROR(INDEX(MUSTERILER!$B$7:$B$156,MATCH($E869,MUSTERILER!$B$7:$B$156,0)),IFERROR(INDEX(MUSTERILER!$B$7:$B$156,MATCH($U869&amp;"*",MUSTERILER!$T$7:$T$156,0)),"TANIMSIZ MÜŞTERİ"))))</f>
        <v/>
      </c>
      <c r="E869" s="61"/>
      <c r="F869" s="61"/>
      <c r="G869" s="60"/>
      <c r="H869" s="66"/>
      <c r="I869" s="66"/>
      <c r="J869" s="60"/>
      <c r="K869" s="60"/>
      <c r="L869" s="61"/>
      <c r="M869" s="61"/>
      <c r="N869" s="61"/>
      <c r="O869" s="66"/>
      <c r="P869" s="76" t="str">
        <f t="shared" ca="1" si="53"/>
        <v/>
      </c>
      <c r="Q869" s="65" t="str">
        <f t="shared" ca="1" si="54"/>
        <v/>
      </c>
      <c r="R869" s="2"/>
      <c r="S869" s="2"/>
      <c r="T869" s="1"/>
      <c r="U869" s="1" t="str">
        <f t="shared" si="55"/>
        <v/>
      </c>
    </row>
    <row r="870" spans="1:21" ht="18" customHeight="1" x14ac:dyDescent="0.3">
      <c r="A870" s="2"/>
      <c r="B870" s="65" t="str">
        <f t="shared" si="52"/>
        <v/>
      </c>
      <c r="C870" s="60"/>
      <c r="D870" s="65" t="str">
        <f>IF($E870="","",IFERROR(INDEX(MUSTERILER!$B$7:$B$156,MATCH($U870,MUSTERILER!$T$7:$T$156,0)),IFERROR(INDEX(MUSTERILER!$B$7:$B$156,MATCH($E870,MUSTERILER!$B$7:$B$156,0)),IFERROR(INDEX(MUSTERILER!$B$7:$B$156,MATCH($U870&amp;"*",MUSTERILER!$T$7:$T$156,0)),"TANIMSIZ MÜŞTERİ"))))</f>
        <v/>
      </c>
      <c r="E870" s="61"/>
      <c r="F870" s="61"/>
      <c r="G870" s="60"/>
      <c r="H870" s="66"/>
      <c r="I870" s="66"/>
      <c r="J870" s="60"/>
      <c r="K870" s="60"/>
      <c r="L870" s="61"/>
      <c r="M870" s="61"/>
      <c r="N870" s="61"/>
      <c r="O870" s="66"/>
      <c r="P870" s="76" t="str">
        <f t="shared" ca="1" si="53"/>
        <v/>
      </c>
      <c r="Q870" s="65" t="str">
        <f t="shared" ca="1" si="54"/>
        <v/>
      </c>
      <c r="R870" s="2"/>
      <c r="S870" s="2"/>
      <c r="T870" s="1"/>
      <c r="U870" s="1" t="str">
        <f t="shared" si="55"/>
        <v/>
      </c>
    </row>
    <row r="871" spans="1:21" ht="18" customHeight="1" x14ac:dyDescent="0.3">
      <c r="A871" s="2"/>
      <c r="B871" s="65" t="str">
        <f t="shared" si="52"/>
        <v/>
      </c>
      <c r="C871" s="60"/>
      <c r="D871" s="65" t="str">
        <f>IF($E871="","",IFERROR(INDEX(MUSTERILER!$B$7:$B$156,MATCH($U871,MUSTERILER!$T$7:$T$156,0)),IFERROR(INDEX(MUSTERILER!$B$7:$B$156,MATCH($E871,MUSTERILER!$B$7:$B$156,0)),IFERROR(INDEX(MUSTERILER!$B$7:$B$156,MATCH($U871&amp;"*",MUSTERILER!$T$7:$T$156,0)),"TANIMSIZ MÜŞTERİ"))))</f>
        <v/>
      </c>
      <c r="E871" s="61"/>
      <c r="F871" s="61"/>
      <c r="G871" s="60"/>
      <c r="H871" s="66"/>
      <c r="I871" s="66"/>
      <c r="J871" s="60"/>
      <c r="K871" s="60"/>
      <c r="L871" s="61"/>
      <c r="M871" s="61"/>
      <c r="N871" s="61"/>
      <c r="O871" s="66"/>
      <c r="P871" s="76" t="str">
        <f t="shared" ca="1" si="53"/>
        <v/>
      </c>
      <c r="Q871" s="65" t="str">
        <f t="shared" ca="1" si="54"/>
        <v/>
      </c>
      <c r="R871" s="2"/>
      <c r="S871" s="2"/>
      <c r="T871" s="1"/>
      <c r="U871" s="1" t="str">
        <f t="shared" si="55"/>
        <v/>
      </c>
    </row>
    <row r="872" spans="1:21" ht="18" customHeight="1" x14ac:dyDescent="0.3">
      <c r="A872" s="2"/>
      <c r="B872" s="65" t="str">
        <f t="shared" si="52"/>
        <v/>
      </c>
      <c r="C872" s="60"/>
      <c r="D872" s="65" t="str">
        <f>IF($E872="","",IFERROR(INDEX(MUSTERILER!$B$7:$B$156,MATCH($U872,MUSTERILER!$T$7:$T$156,0)),IFERROR(INDEX(MUSTERILER!$B$7:$B$156,MATCH($E872,MUSTERILER!$B$7:$B$156,0)),IFERROR(INDEX(MUSTERILER!$B$7:$B$156,MATCH($U872&amp;"*",MUSTERILER!$T$7:$T$156,0)),"TANIMSIZ MÜŞTERİ"))))</f>
        <v/>
      </c>
      <c r="E872" s="61"/>
      <c r="F872" s="61"/>
      <c r="G872" s="60"/>
      <c r="H872" s="66"/>
      <c r="I872" s="66"/>
      <c r="J872" s="60"/>
      <c r="K872" s="60"/>
      <c r="L872" s="61"/>
      <c r="M872" s="61"/>
      <c r="N872" s="61"/>
      <c r="O872" s="66"/>
      <c r="P872" s="76" t="str">
        <f t="shared" ca="1" si="53"/>
        <v/>
      </c>
      <c r="Q872" s="65" t="str">
        <f t="shared" ca="1" si="54"/>
        <v/>
      </c>
      <c r="R872" s="2"/>
      <c r="S872" s="2"/>
      <c r="T872" s="1"/>
      <c r="U872" s="1" t="str">
        <f t="shared" si="55"/>
        <v/>
      </c>
    </row>
    <row r="873" spans="1:21" ht="18" customHeight="1" x14ac:dyDescent="0.3">
      <c r="A873" s="2"/>
      <c r="B873" s="65" t="str">
        <f t="shared" si="52"/>
        <v/>
      </c>
      <c r="C873" s="60"/>
      <c r="D873" s="65" t="str">
        <f>IF($E873="","",IFERROR(INDEX(MUSTERILER!$B$7:$B$156,MATCH($U873,MUSTERILER!$T$7:$T$156,0)),IFERROR(INDEX(MUSTERILER!$B$7:$B$156,MATCH($E873,MUSTERILER!$B$7:$B$156,0)),IFERROR(INDEX(MUSTERILER!$B$7:$B$156,MATCH($U873&amp;"*",MUSTERILER!$T$7:$T$156,0)),"TANIMSIZ MÜŞTERİ"))))</f>
        <v/>
      </c>
      <c r="E873" s="61"/>
      <c r="F873" s="61"/>
      <c r="G873" s="60"/>
      <c r="H873" s="66"/>
      <c r="I873" s="66"/>
      <c r="J873" s="60"/>
      <c r="K873" s="60"/>
      <c r="L873" s="61"/>
      <c r="M873" s="61"/>
      <c r="N873" s="61"/>
      <c r="O873" s="66"/>
      <c r="P873" s="76" t="str">
        <f t="shared" ca="1" si="53"/>
        <v/>
      </c>
      <c r="Q873" s="65" t="str">
        <f t="shared" ca="1" si="54"/>
        <v/>
      </c>
      <c r="R873" s="2"/>
      <c r="S873" s="2"/>
      <c r="T873" s="1"/>
      <c r="U873" s="1" t="str">
        <f t="shared" si="55"/>
        <v/>
      </c>
    </row>
    <row r="874" spans="1:21" ht="18" customHeight="1" x14ac:dyDescent="0.3">
      <c r="A874" s="2"/>
      <c r="B874" s="65" t="str">
        <f t="shared" si="52"/>
        <v/>
      </c>
      <c r="C874" s="60"/>
      <c r="D874" s="65" t="str">
        <f>IF($E874="","",IFERROR(INDEX(MUSTERILER!$B$7:$B$156,MATCH($U874,MUSTERILER!$T$7:$T$156,0)),IFERROR(INDEX(MUSTERILER!$B$7:$B$156,MATCH($E874,MUSTERILER!$B$7:$B$156,0)),IFERROR(INDEX(MUSTERILER!$B$7:$B$156,MATCH($U874&amp;"*",MUSTERILER!$T$7:$T$156,0)),"TANIMSIZ MÜŞTERİ"))))</f>
        <v/>
      </c>
      <c r="E874" s="61"/>
      <c r="F874" s="61"/>
      <c r="G874" s="60"/>
      <c r="H874" s="66"/>
      <c r="I874" s="66"/>
      <c r="J874" s="60"/>
      <c r="K874" s="60"/>
      <c r="L874" s="61"/>
      <c r="M874" s="61"/>
      <c r="N874" s="61"/>
      <c r="O874" s="66"/>
      <c r="P874" s="76" t="str">
        <f t="shared" ca="1" si="53"/>
        <v/>
      </c>
      <c r="Q874" s="65" t="str">
        <f t="shared" ca="1" si="54"/>
        <v/>
      </c>
      <c r="R874" s="2"/>
      <c r="S874" s="2"/>
      <c r="T874" s="1"/>
      <c r="U874" s="1" t="str">
        <f t="shared" si="55"/>
        <v/>
      </c>
    </row>
    <row r="875" spans="1:21" ht="18" customHeight="1" x14ac:dyDescent="0.3">
      <c r="A875" s="2"/>
      <c r="B875" s="65" t="str">
        <f t="shared" si="52"/>
        <v/>
      </c>
      <c r="C875" s="60"/>
      <c r="D875" s="65" t="str">
        <f>IF($E875="","",IFERROR(INDEX(MUSTERILER!$B$7:$B$156,MATCH($U875,MUSTERILER!$T$7:$T$156,0)),IFERROR(INDEX(MUSTERILER!$B$7:$B$156,MATCH($E875,MUSTERILER!$B$7:$B$156,0)),IFERROR(INDEX(MUSTERILER!$B$7:$B$156,MATCH($U875&amp;"*",MUSTERILER!$T$7:$T$156,0)),"TANIMSIZ MÜŞTERİ"))))</f>
        <v/>
      </c>
      <c r="E875" s="61"/>
      <c r="F875" s="61"/>
      <c r="G875" s="60"/>
      <c r="H875" s="66"/>
      <c r="I875" s="66"/>
      <c r="J875" s="60"/>
      <c r="K875" s="60"/>
      <c r="L875" s="61"/>
      <c r="M875" s="61"/>
      <c r="N875" s="61"/>
      <c r="O875" s="66"/>
      <c r="P875" s="76" t="str">
        <f t="shared" ca="1" si="53"/>
        <v/>
      </c>
      <c r="Q875" s="65" t="str">
        <f t="shared" ca="1" si="54"/>
        <v/>
      </c>
      <c r="R875" s="2"/>
      <c r="S875" s="2"/>
      <c r="T875" s="1"/>
      <c r="U875" s="1" t="str">
        <f t="shared" si="55"/>
        <v/>
      </c>
    </row>
    <row r="876" spans="1:21" ht="18" customHeight="1" x14ac:dyDescent="0.3">
      <c r="A876" s="2"/>
      <c r="B876" s="65" t="str">
        <f t="shared" si="52"/>
        <v/>
      </c>
      <c r="C876" s="60"/>
      <c r="D876" s="65" t="str">
        <f>IF($E876="","",IFERROR(INDEX(MUSTERILER!$B$7:$B$156,MATCH($U876,MUSTERILER!$T$7:$T$156,0)),IFERROR(INDEX(MUSTERILER!$B$7:$B$156,MATCH($E876,MUSTERILER!$B$7:$B$156,0)),IFERROR(INDEX(MUSTERILER!$B$7:$B$156,MATCH($U876&amp;"*",MUSTERILER!$T$7:$T$156,0)),"TANIMSIZ MÜŞTERİ"))))</f>
        <v/>
      </c>
      <c r="E876" s="61"/>
      <c r="F876" s="61"/>
      <c r="G876" s="60"/>
      <c r="H876" s="66"/>
      <c r="I876" s="66"/>
      <c r="J876" s="60"/>
      <c r="K876" s="60"/>
      <c r="L876" s="61"/>
      <c r="M876" s="61"/>
      <c r="N876" s="61"/>
      <c r="O876" s="66"/>
      <c r="P876" s="76" t="str">
        <f t="shared" ca="1" si="53"/>
        <v/>
      </c>
      <c r="Q876" s="65" t="str">
        <f t="shared" ca="1" si="54"/>
        <v/>
      </c>
      <c r="R876" s="2"/>
      <c r="S876" s="2"/>
      <c r="T876" s="1"/>
      <c r="U876" s="1" t="str">
        <f t="shared" si="55"/>
        <v/>
      </c>
    </row>
    <row r="877" spans="1:21" ht="18" customHeight="1" x14ac:dyDescent="0.3">
      <c r="A877" s="2"/>
      <c r="B877" s="65" t="str">
        <f t="shared" si="52"/>
        <v/>
      </c>
      <c r="C877" s="60"/>
      <c r="D877" s="65" t="str">
        <f>IF($E877="","",IFERROR(INDEX(MUSTERILER!$B$7:$B$156,MATCH($U877,MUSTERILER!$T$7:$T$156,0)),IFERROR(INDEX(MUSTERILER!$B$7:$B$156,MATCH($E877,MUSTERILER!$B$7:$B$156,0)),IFERROR(INDEX(MUSTERILER!$B$7:$B$156,MATCH($U877&amp;"*",MUSTERILER!$T$7:$T$156,0)),"TANIMSIZ MÜŞTERİ"))))</f>
        <v/>
      </c>
      <c r="E877" s="61"/>
      <c r="F877" s="61"/>
      <c r="G877" s="60"/>
      <c r="H877" s="66"/>
      <c r="I877" s="66"/>
      <c r="J877" s="60"/>
      <c r="K877" s="60"/>
      <c r="L877" s="61"/>
      <c r="M877" s="61"/>
      <c r="N877" s="61"/>
      <c r="O877" s="66"/>
      <c r="P877" s="76" t="str">
        <f t="shared" ca="1" si="53"/>
        <v/>
      </c>
      <c r="Q877" s="65" t="str">
        <f t="shared" ca="1" si="54"/>
        <v/>
      </c>
      <c r="R877" s="2"/>
      <c r="S877" s="2"/>
      <c r="T877" s="1"/>
      <c r="U877" s="1" t="str">
        <f t="shared" si="55"/>
        <v/>
      </c>
    </row>
    <row r="878" spans="1:21" ht="18" customHeight="1" x14ac:dyDescent="0.3">
      <c r="A878" s="2"/>
      <c r="B878" s="65" t="str">
        <f t="shared" si="52"/>
        <v/>
      </c>
      <c r="C878" s="60"/>
      <c r="D878" s="65" t="str">
        <f>IF($E878="","",IFERROR(INDEX(MUSTERILER!$B$7:$B$156,MATCH($U878,MUSTERILER!$T$7:$T$156,0)),IFERROR(INDEX(MUSTERILER!$B$7:$B$156,MATCH($E878,MUSTERILER!$B$7:$B$156,0)),IFERROR(INDEX(MUSTERILER!$B$7:$B$156,MATCH($U878&amp;"*",MUSTERILER!$T$7:$T$156,0)),"TANIMSIZ MÜŞTERİ"))))</f>
        <v/>
      </c>
      <c r="E878" s="61"/>
      <c r="F878" s="61"/>
      <c r="G878" s="60"/>
      <c r="H878" s="66"/>
      <c r="I878" s="66"/>
      <c r="J878" s="60"/>
      <c r="K878" s="60"/>
      <c r="L878" s="61"/>
      <c r="M878" s="61"/>
      <c r="N878" s="61"/>
      <c r="O878" s="66"/>
      <c r="P878" s="76" t="str">
        <f t="shared" ca="1" si="53"/>
        <v/>
      </c>
      <c r="Q878" s="65" t="str">
        <f t="shared" ca="1" si="54"/>
        <v/>
      </c>
      <c r="R878" s="2"/>
      <c r="S878" s="2"/>
      <c r="T878" s="1"/>
      <c r="U878" s="1" t="str">
        <f t="shared" si="55"/>
        <v/>
      </c>
    </row>
    <row r="879" spans="1:21" ht="18" customHeight="1" x14ac:dyDescent="0.3">
      <c r="A879" s="2"/>
      <c r="B879" s="65" t="str">
        <f t="shared" si="52"/>
        <v/>
      </c>
      <c r="C879" s="60"/>
      <c r="D879" s="65" t="str">
        <f>IF($E879="","",IFERROR(INDEX(MUSTERILER!$B$7:$B$156,MATCH($U879,MUSTERILER!$T$7:$T$156,0)),IFERROR(INDEX(MUSTERILER!$B$7:$B$156,MATCH($E879,MUSTERILER!$B$7:$B$156,0)),IFERROR(INDEX(MUSTERILER!$B$7:$B$156,MATCH($U879&amp;"*",MUSTERILER!$T$7:$T$156,0)),"TANIMSIZ MÜŞTERİ"))))</f>
        <v/>
      </c>
      <c r="E879" s="61"/>
      <c r="F879" s="61"/>
      <c r="G879" s="60"/>
      <c r="H879" s="66"/>
      <c r="I879" s="66"/>
      <c r="J879" s="60"/>
      <c r="K879" s="60"/>
      <c r="L879" s="61"/>
      <c r="M879" s="61"/>
      <c r="N879" s="61"/>
      <c r="O879" s="66"/>
      <c r="P879" s="76" t="str">
        <f t="shared" ca="1" si="53"/>
        <v/>
      </c>
      <c r="Q879" s="65" t="str">
        <f t="shared" ca="1" si="54"/>
        <v/>
      </c>
      <c r="R879" s="2"/>
      <c r="S879" s="2"/>
      <c r="T879" s="1"/>
      <c r="U879" s="1" t="str">
        <f t="shared" si="55"/>
        <v/>
      </c>
    </row>
    <row r="880" spans="1:21" ht="18" customHeight="1" x14ac:dyDescent="0.3">
      <c r="A880" s="2"/>
      <c r="B880" s="65" t="str">
        <f t="shared" si="52"/>
        <v/>
      </c>
      <c r="C880" s="60"/>
      <c r="D880" s="65" t="str">
        <f>IF($E880="","",IFERROR(INDEX(MUSTERILER!$B$7:$B$156,MATCH($U880,MUSTERILER!$T$7:$T$156,0)),IFERROR(INDEX(MUSTERILER!$B$7:$B$156,MATCH($E880,MUSTERILER!$B$7:$B$156,0)),IFERROR(INDEX(MUSTERILER!$B$7:$B$156,MATCH($U880&amp;"*",MUSTERILER!$T$7:$T$156,0)),"TANIMSIZ MÜŞTERİ"))))</f>
        <v/>
      </c>
      <c r="E880" s="61"/>
      <c r="F880" s="61"/>
      <c r="G880" s="60"/>
      <c r="H880" s="66"/>
      <c r="I880" s="66"/>
      <c r="J880" s="60"/>
      <c r="K880" s="60"/>
      <c r="L880" s="61"/>
      <c r="M880" s="61"/>
      <c r="N880" s="61"/>
      <c r="O880" s="66"/>
      <c r="P880" s="76" t="str">
        <f t="shared" ca="1" si="53"/>
        <v/>
      </c>
      <c r="Q880" s="65" t="str">
        <f t="shared" ca="1" si="54"/>
        <v/>
      </c>
      <c r="R880" s="2"/>
      <c r="S880" s="2"/>
      <c r="T880" s="1"/>
      <c r="U880" s="1" t="str">
        <f t="shared" si="55"/>
        <v/>
      </c>
    </row>
    <row r="881" spans="1:21" ht="18" customHeight="1" x14ac:dyDescent="0.3">
      <c r="A881" s="2"/>
      <c r="B881" s="65" t="str">
        <f t="shared" si="52"/>
        <v/>
      </c>
      <c r="C881" s="60"/>
      <c r="D881" s="65" t="str">
        <f>IF($E881="","",IFERROR(INDEX(MUSTERILER!$B$7:$B$156,MATCH($U881,MUSTERILER!$T$7:$T$156,0)),IFERROR(INDEX(MUSTERILER!$B$7:$B$156,MATCH($E881,MUSTERILER!$B$7:$B$156,0)),IFERROR(INDEX(MUSTERILER!$B$7:$B$156,MATCH($U881&amp;"*",MUSTERILER!$T$7:$T$156,0)),"TANIMSIZ MÜŞTERİ"))))</f>
        <v/>
      </c>
      <c r="E881" s="61"/>
      <c r="F881" s="61"/>
      <c r="G881" s="60"/>
      <c r="H881" s="66"/>
      <c r="I881" s="66"/>
      <c r="J881" s="60"/>
      <c r="K881" s="60"/>
      <c r="L881" s="61"/>
      <c r="M881" s="61"/>
      <c r="N881" s="61"/>
      <c r="O881" s="66"/>
      <c r="P881" s="76" t="str">
        <f t="shared" ca="1" si="53"/>
        <v/>
      </c>
      <c r="Q881" s="65" t="str">
        <f t="shared" ca="1" si="54"/>
        <v/>
      </c>
      <c r="R881" s="2"/>
      <c r="S881" s="2"/>
      <c r="T881" s="1"/>
      <c r="U881" s="1" t="str">
        <f t="shared" si="55"/>
        <v/>
      </c>
    </row>
    <row r="882" spans="1:21" ht="18" customHeight="1" x14ac:dyDescent="0.3">
      <c r="A882" s="2"/>
      <c r="B882" s="65" t="str">
        <f t="shared" si="52"/>
        <v/>
      </c>
      <c r="C882" s="60"/>
      <c r="D882" s="65" t="str">
        <f>IF($E882="","",IFERROR(INDEX(MUSTERILER!$B$7:$B$156,MATCH($U882,MUSTERILER!$T$7:$T$156,0)),IFERROR(INDEX(MUSTERILER!$B$7:$B$156,MATCH($E882,MUSTERILER!$B$7:$B$156,0)),IFERROR(INDEX(MUSTERILER!$B$7:$B$156,MATCH($U882&amp;"*",MUSTERILER!$T$7:$T$156,0)),"TANIMSIZ MÜŞTERİ"))))</f>
        <v/>
      </c>
      <c r="E882" s="61"/>
      <c r="F882" s="61"/>
      <c r="G882" s="60"/>
      <c r="H882" s="66"/>
      <c r="I882" s="66"/>
      <c r="J882" s="60"/>
      <c r="K882" s="60"/>
      <c r="L882" s="61"/>
      <c r="M882" s="61"/>
      <c r="N882" s="61"/>
      <c r="O882" s="66"/>
      <c r="P882" s="76" t="str">
        <f t="shared" ca="1" si="53"/>
        <v/>
      </c>
      <c r="Q882" s="65" t="str">
        <f t="shared" ca="1" si="54"/>
        <v/>
      </c>
      <c r="R882" s="2"/>
      <c r="S882" s="2"/>
      <c r="T882" s="1"/>
      <c r="U882" s="1" t="str">
        <f t="shared" si="55"/>
        <v/>
      </c>
    </row>
    <row r="883" spans="1:21" ht="18" customHeight="1" x14ac:dyDescent="0.3">
      <c r="A883" s="2"/>
      <c r="B883" s="65" t="str">
        <f t="shared" si="52"/>
        <v/>
      </c>
      <c r="C883" s="60"/>
      <c r="D883" s="65" t="str">
        <f>IF($E883="","",IFERROR(INDEX(MUSTERILER!$B$7:$B$156,MATCH($U883,MUSTERILER!$T$7:$T$156,0)),IFERROR(INDEX(MUSTERILER!$B$7:$B$156,MATCH($E883,MUSTERILER!$B$7:$B$156,0)),IFERROR(INDEX(MUSTERILER!$B$7:$B$156,MATCH($U883&amp;"*",MUSTERILER!$T$7:$T$156,0)),"TANIMSIZ MÜŞTERİ"))))</f>
        <v/>
      </c>
      <c r="E883" s="61"/>
      <c r="F883" s="61"/>
      <c r="G883" s="60"/>
      <c r="H883" s="66"/>
      <c r="I883" s="66"/>
      <c r="J883" s="60"/>
      <c r="K883" s="60"/>
      <c r="L883" s="61"/>
      <c r="M883" s="61"/>
      <c r="N883" s="61"/>
      <c r="O883" s="66"/>
      <c r="P883" s="76" t="str">
        <f t="shared" ca="1" si="53"/>
        <v/>
      </c>
      <c r="Q883" s="65" t="str">
        <f t="shared" ca="1" si="54"/>
        <v/>
      </c>
      <c r="R883" s="2"/>
      <c r="S883" s="2"/>
      <c r="T883" s="1"/>
      <c r="U883" s="1" t="str">
        <f t="shared" si="55"/>
        <v/>
      </c>
    </row>
    <row r="884" spans="1:21" ht="18" customHeight="1" x14ac:dyDescent="0.3">
      <c r="A884" s="2"/>
      <c r="B884" s="65" t="str">
        <f t="shared" si="52"/>
        <v/>
      </c>
      <c r="C884" s="60"/>
      <c r="D884" s="65" t="str">
        <f>IF($E884="","",IFERROR(INDEX(MUSTERILER!$B$7:$B$156,MATCH($U884,MUSTERILER!$T$7:$T$156,0)),IFERROR(INDEX(MUSTERILER!$B$7:$B$156,MATCH($E884,MUSTERILER!$B$7:$B$156,0)),IFERROR(INDEX(MUSTERILER!$B$7:$B$156,MATCH($U884&amp;"*",MUSTERILER!$T$7:$T$156,0)),"TANIMSIZ MÜŞTERİ"))))</f>
        <v/>
      </c>
      <c r="E884" s="61"/>
      <c r="F884" s="61"/>
      <c r="G884" s="60"/>
      <c r="H884" s="66"/>
      <c r="I884" s="66"/>
      <c r="J884" s="60"/>
      <c r="K884" s="60"/>
      <c r="L884" s="61"/>
      <c r="M884" s="61"/>
      <c r="N884" s="61"/>
      <c r="O884" s="66"/>
      <c r="P884" s="76" t="str">
        <f t="shared" ca="1" si="53"/>
        <v/>
      </c>
      <c r="Q884" s="65" t="str">
        <f t="shared" ca="1" si="54"/>
        <v/>
      </c>
      <c r="R884" s="2"/>
      <c r="S884" s="2"/>
      <c r="T884" s="1"/>
      <c r="U884" s="1" t="str">
        <f t="shared" si="55"/>
        <v/>
      </c>
    </row>
    <row r="885" spans="1:21" ht="18" customHeight="1" x14ac:dyDescent="0.3">
      <c r="A885" s="2"/>
      <c r="B885" s="65" t="str">
        <f t="shared" si="52"/>
        <v/>
      </c>
      <c r="C885" s="60"/>
      <c r="D885" s="65" t="str">
        <f>IF($E885="","",IFERROR(INDEX(MUSTERILER!$B$7:$B$156,MATCH($U885,MUSTERILER!$T$7:$T$156,0)),IFERROR(INDEX(MUSTERILER!$B$7:$B$156,MATCH($E885,MUSTERILER!$B$7:$B$156,0)),IFERROR(INDEX(MUSTERILER!$B$7:$B$156,MATCH($U885&amp;"*",MUSTERILER!$T$7:$T$156,0)),"TANIMSIZ MÜŞTERİ"))))</f>
        <v/>
      </c>
      <c r="E885" s="61"/>
      <c r="F885" s="61"/>
      <c r="G885" s="60"/>
      <c r="H885" s="66"/>
      <c r="I885" s="66"/>
      <c r="J885" s="60"/>
      <c r="K885" s="60"/>
      <c r="L885" s="61"/>
      <c r="M885" s="61"/>
      <c r="N885" s="61"/>
      <c r="O885" s="66"/>
      <c r="P885" s="76" t="str">
        <f t="shared" ca="1" si="53"/>
        <v/>
      </c>
      <c r="Q885" s="65" t="str">
        <f t="shared" ca="1" si="54"/>
        <v/>
      </c>
      <c r="R885" s="2"/>
      <c r="S885" s="2"/>
      <c r="T885" s="1"/>
      <c r="U885" s="1" t="str">
        <f t="shared" si="55"/>
        <v/>
      </c>
    </row>
    <row r="886" spans="1:21" ht="18" customHeight="1" x14ac:dyDescent="0.3">
      <c r="A886" s="2"/>
      <c r="B886" s="65" t="str">
        <f t="shared" si="52"/>
        <v/>
      </c>
      <c r="C886" s="60"/>
      <c r="D886" s="65" t="str">
        <f>IF($E886="","",IFERROR(INDEX(MUSTERILER!$B$7:$B$156,MATCH($U886,MUSTERILER!$T$7:$T$156,0)),IFERROR(INDEX(MUSTERILER!$B$7:$B$156,MATCH($E886,MUSTERILER!$B$7:$B$156,0)),IFERROR(INDEX(MUSTERILER!$B$7:$B$156,MATCH($U886&amp;"*",MUSTERILER!$T$7:$T$156,0)),"TANIMSIZ MÜŞTERİ"))))</f>
        <v/>
      </c>
      <c r="E886" s="61"/>
      <c r="F886" s="61"/>
      <c r="G886" s="60"/>
      <c r="H886" s="66"/>
      <c r="I886" s="66"/>
      <c r="J886" s="60"/>
      <c r="K886" s="60"/>
      <c r="L886" s="61"/>
      <c r="M886" s="61"/>
      <c r="N886" s="61"/>
      <c r="O886" s="66"/>
      <c r="P886" s="76" t="str">
        <f t="shared" ca="1" si="53"/>
        <v/>
      </c>
      <c r="Q886" s="65" t="str">
        <f t="shared" ca="1" si="54"/>
        <v/>
      </c>
      <c r="R886" s="2"/>
      <c r="S886" s="2"/>
      <c r="T886" s="1"/>
      <c r="U886" s="1" t="str">
        <f t="shared" si="55"/>
        <v/>
      </c>
    </row>
    <row r="887" spans="1:21" ht="18" customHeight="1" x14ac:dyDescent="0.3">
      <c r="A887" s="2"/>
      <c r="B887" s="65" t="str">
        <f t="shared" si="52"/>
        <v/>
      </c>
      <c r="C887" s="60"/>
      <c r="D887" s="65" t="str">
        <f>IF($E887="","",IFERROR(INDEX(MUSTERILER!$B$7:$B$156,MATCH($U887,MUSTERILER!$T$7:$T$156,0)),IFERROR(INDEX(MUSTERILER!$B$7:$B$156,MATCH($E887,MUSTERILER!$B$7:$B$156,0)),IFERROR(INDEX(MUSTERILER!$B$7:$B$156,MATCH($U887&amp;"*",MUSTERILER!$T$7:$T$156,0)),"TANIMSIZ MÜŞTERİ"))))</f>
        <v/>
      </c>
      <c r="E887" s="61"/>
      <c r="F887" s="61"/>
      <c r="G887" s="60"/>
      <c r="H887" s="66"/>
      <c r="I887" s="66"/>
      <c r="J887" s="60"/>
      <c r="K887" s="60"/>
      <c r="L887" s="61"/>
      <c r="M887" s="61"/>
      <c r="N887" s="61"/>
      <c r="O887" s="66"/>
      <c r="P887" s="76" t="str">
        <f t="shared" ca="1" si="53"/>
        <v/>
      </c>
      <c r="Q887" s="65" t="str">
        <f t="shared" ca="1" si="54"/>
        <v/>
      </c>
      <c r="R887" s="2"/>
      <c r="S887" s="2"/>
      <c r="T887" s="1"/>
      <c r="U887" s="1" t="str">
        <f t="shared" si="55"/>
        <v/>
      </c>
    </row>
    <row r="888" spans="1:21" ht="18" customHeight="1" x14ac:dyDescent="0.3">
      <c r="A888" s="2"/>
      <c r="B888" s="65" t="str">
        <f t="shared" si="52"/>
        <v/>
      </c>
      <c r="C888" s="60"/>
      <c r="D888" s="65" t="str">
        <f>IF($E888="","",IFERROR(INDEX(MUSTERILER!$B$7:$B$156,MATCH($U888,MUSTERILER!$T$7:$T$156,0)),IFERROR(INDEX(MUSTERILER!$B$7:$B$156,MATCH($E888,MUSTERILER!$B$7:$B$156,0)),IFERROR(INDEX(MUSTERILER!$B$7:$B$156,MATCH($U888&amp;"*",MUSTERILER!$T$7:$T$156,0)),"TANIMSIZ MÜŞTERİ"))))</f>
        <v/>
      </c>
      <c r="E888" s="61"/>
      <c r="F888" s="61"/>
      <c r="G888" s="60"/>
      <c r="H888" s="66"/>
      <c r="I888" s="66"/>
      <c r="J888" s="60"/>
      <c r="K888" s="60"/>
      <c r="L888" s="61"/>
      <c r="M888" s="61"/>
      <c r="N888" s="61"/>
      <c r="O888" s="66"/>
      <c r="P888" s="76" t="str">
        <f t="shared" ca="1" si="53"/>
        <v/>
      </c>
      <c r="Q888" s="65" t="str">
        <f t="shared" ca="1" si="54"/>
        <v/>
      </c>
      <c r="R888" s="2"/>
      <c r="S888" s="2"/>
      <c r="T888" s="1"/>
      <c r="U888" s="1" t="str">
        <f t="shared" si="55"/>
        <v/>
      </c>
    </row>
    <row r="889" spans="1:21" ht="18" customHeight="1" x14ac:dyDescent="0.3">
      <c r="A889" s="2"/>
      <c r="B889" s="65" t="str">
        <f t="shared" si="52"/>
        <v/>
      </c>
      <c r="C889" s="60"/>
      <c r="D889" s="65" t="str">
        <f>IF($E889="","",IFERROR(INDEX(MUSTERILER!$B$7:$B$156,MATCH($U889,MUSTERILER!$T$7:$T$156,0)),IFERROR(INDEX(MUSTERILER!$B$7:$B$156,MATCH($E889,MUSTERILER!$B$7:$B$156,0)),IFERROR(INDEX(MUSTERILER!$B$7:$B$156,MATCH($U889&amp;"*",MUSTERILER!$T$7:$T$156,0)),"TANIMSIZ MÜŞTERİ"))))</f>
        <v/>
      </c>
      <c r="E889" s="61"/>
      <c r="F889" s="61"/>
      <c r="G889" s="60"/>
      <c r="H889" s="66"/>
      <c r="I889" s="66"/>
      <c r="J889" s="60"/>
      <c r="K889" s="60"/>
      <c r="L889" s="61"/>
      <c r="M889" s="61"/>
      <c r="N889" s="61"/>
      <c r="O889" s="66"/>
      <c r="P889" s="76" t="str">
        <f t="shared" ca="1" si="53"/>
        <v/>
      </c>
      <c r="Q889" s="65" t="str">
        <f t="shared" ca="1" si="54"/>
        <v/>
      </c>
      <c r="R889" s="2"/>
      <c r="S889" s="2"/>
      <c r="T889" s="1"/>
      <c r="U889" s="1" t="str">
        <f t="shared" si="55"/>
        <v/>
      </c>
    </row>
    <row r="890" spans="1:21" ht="18" customHeight="1" x14ac:dyDescent="0.3">
      <c r="A890" s="2"/>
      <c r="B890" s="65" t="str">
        <f t="shared" si="52"/>
        <v/>
      </c>
      <c r="C890" s="60"/>
      <c r="D890" s="65" t="str">
        <f>IF($E890="","",IFERROR(INDEX(MUSTERILER!$B$7:$B$156,MATCH($U890,MUSTERILER!$T$7:$T$156,0)),IFERROR(INDEX(MUSTERILER!$B$7:$B$156,MATCH($E890,MUSTERILER!$B$7:$B$156,0)),IFERROR(INDEX(MUSTERILER!$B$7:$B$156,MATCH($U890&amp;"*",MUSTERILER!$T$7:$T$156,0)),"TANIMSIZ MÜŞTERİ"))))</f>
        <v/>
      </c>
      <c r="E890" s="61"/>
      <c r="F890" s="61"/>
      <c r="G890" s="60"/>
      <c r="H890" s="66"/>
      <c r="I890" s="66"/>
      <c r="J890" s="60"/>
      <c r="K890" s="60"/>
      <c r="L890" s="61"/>
      <c r="M890" s="61"/>
      <c r="N890" s="61"/>
      <c r="O890" s="66"/>
      <c r="P890" s="76" t="str">
        <f t="shared" ca="1" si="53"/>
        <v/>
      </c>
      <c r="Q890" s="65" t="str">
        <f t="shared" ca="1" si="54"/>
        <v/>
      </c>
      <c r="R890" s="2"/>
      <c r="S890" s="2"/>
      <c r="T890" s="1"/>
      <c r="U890" s="1" t="str">
        <f t="shared" si="55"/>
        <v/>
      </c>
    </row>
    <row r="891" spans="1:21" ht="18" customHeight="1" x14ac:dyDescent="0.3">
      <c r="A891" s="2"/>
      <c r="B891" s="65" t="str">
        <f t="shared" si="52"/>
        <v/>
      </c>
      <c r="C891" s="60"/>
      <c r="D891" s="65" t="str">
        <f>IF($E891="","",IFERROR(INDEX(MUSTERILER!$B$7:$B$156,MATCH($U891,MUSTERILER!$T$7:$T$156,0)),IFERROR(INDEX(MUSTERILER!$B$7:$B$156,MATCH($E891,MUSTERILER!$B$7:$B$156,0)),IFERROR(INDEX(MUSTERILER!$B$7:$B$156,MATCH($U891&amp;"*",MUSTERILER!$T$7:$T$156,0)),"TANIMSIZ MÜŞTERİ"))))</f>
        <v/>
      </c>
      <c r="E891" s="61"/>
      <c r="F891" s="61"/>
      <c r="G891" s="60"/>
      <c r="H891" s="66"/>
      <c r="I891" s="66"/>
      <c r="J891" s="60"/>
      <c r="K891" s="60"/>
      <c r="L891" s="61"/>
      <c r="M891" s="61"/>
      <c r="N891" s="61"/>
      <c r="O891" s="66"/>
      <c r="P891" s="76" t="str">
        <f t="shared" ca="1" si="53"/>
        <v/>
      </c>
      <c r="Q891" s="65" t="str">
        <f t="shared" ca="1" si="54"/>
        <v/>
      </c>
      <c r="R891" s="2"/>
      <c r="S891" s="2"/>
      <c r="T891" s="1"/>
      <c r="U891" s="1" t="str">
        <f t="shared" si="55"/>
        <v/>
      </c>
    </row>
    <row r="892" spans="1:21" ht="18" customHeight="1" x14ac:dyDescent="0.3">
      <c r="A892" s="2"/>
      <c r="B892" s="65" t="str">
        <f t="shared" si="52"/>
        <v/>
      </c>
      <c r="C892" s="60"/>
      <c r="D892" s="65" t="str">
        <f>IF($E892="","",IFERROR(INDEX(MUSTERILER!$B$7:$B$156,MATCH($U892,MUSTERILER!$T$7:$T$156,0)),IFERROR(INDEX(MUSTERILER!$B$7:$B$156,MATCH($E892,MUSTERILER!$B$7:$B$156,0)),IFERROR(INDEX(MUSTERILER!$B$7:$B$156,MATCH($U892&amp;"*",MUSTERILER!$T$7:$T$156,0)),"TANIMSIZ MÜŞTERİ"))))</f>
        <v/>
      </c>
      <c r="E892" s="61"/>
      <c r="F892" s="61"/>
      <c r="G892" s="60"/>
      <c r="H892" s="66"/>
      <c r="I892" s="66"/>
      <c r="J892" s="60"/>
      <c r="K892" s="60"/>
      <c r="L892" s="61"/>
      <c r="M892" s="61"/>
      <c r="N892" s="61"/>
      <c r="O892" s="66"/>
      <c r="P892" s="76" t="str">
        <f t="shared" ca="1" si="53"/>
        <v/>
      </c>
      <c r="Q892" s="65" t="str">
        <f t="shared" ca="1" si="54"/>
        <v/>
      </c>
      <c r="R892" s="2"/>
      <c r="S892" s="2"/>
      <c r="T892" s="1"/>
      <c r="U892" s="1" t="str">
        <f t="shared" si="55"/>
        <v/>
      </c>
    </row>
    <row r="893" spans="1:21" ht="18" customHeight="1" x14ac:dyDescent="0.3">
      <c r="A893" s="2"/>
      <c r="B893" s="65" t="str">
        <f t="shared" si="52"/>
        <v/>
      </c>
      <c r="C893" s="60"/>
      <c r="D893" s="65" t="str">
        <f>IF($E893="","",IFERROR(INDEX(MUSTERILER!$B$7:$B$156,MATCH($U893,MUSTERILER!$T$7:$T$156,0)),IFERROR(INDEX(MUSTERILER!$B$7:$B$156,MATCH($E893,MUSTERILER!$B$7:$B$156,0)),IFERROR(INDEX(MUSTERILER!$B$7:$B$156,MATCH($U893&amp;"*",MUSTERILER!$T$7:$T$156,0)),"TANIMSIZ MÜŞTERİ"))))</f>
        <v/>
      </c>
      <c r="E893" s="61"/>
      <c r="F893" s="61"/>
      <c r="G893" s="60"/>
      <c r="H893" s="66"/>
      <c r="I893" s="66"/>
      <c r="J893" s="60"/>
      <c r="K893" s="60"/>
      <c r="L893" s="61"/>
      <c r="M893" s="61"/>
      <c r="N893" s="61"/>
      <c r="O893" s="66"/>
      <c r="P893" s="76" t="str">
        <f t="shared" ca="1" si="53"/>
        <v/>
      </c>
      <c r="Q893" s="65" t="str">
        <f t="shared" ca="1" si="54"/>
        <v/>
      </c>
      <c r="R893" s="2"/>
      <c r="S893" s="2"/>
      <c r="T893" s="1"/>
      <c r="U893" s="1" t="str">
        <f t="shared" si="55"/>
        <v/>
      </c>
    </row>
    <row r="894" spans="1:21" ht="18" customHeight="1" x14ac:dyDescent="0.3">
      <c r="A894" s="2"/>
      <c r="B894" s="65" t="str">
        <f t="shared" si="52"/>
        <v/>
      </c>
      <c r="C894" s="60"/>
      <c r="D894" s="65" t="str">
        <f>IF($E894="","",IFERROR(INDEX(MUSTERILER!$B$7:$B$156,MATCH($U894,MUSTERILER!$T$7:$T$156,0)),IFERROR(INDEX(MUSTERILER!$B$7:$B$156,MATCH($E894,MUSTERILER!$B$7:$B$156,0)),IFERROR(INDEX(MUSTERILER!$B$7:$B$156,MATCH($U894&amp;"*",MUSTERILER!$T$7:$T$156,0)),"TANIMSIZ MÜŞTERİ"))))</f>
        <v/>
      </c>
      <c r="E894" s="61"/>
      <c r="F894" s="61"/>
      <c r="G894" s="60"/>
      <c r="H894" s="66"/>
      <c r="I894" s="66"/>
      <c r="J894" s="60"/>
      <c r="K894" s="60"/>
      <c r="L894" s="61"/>
      <c r="M894" s="61"/>
      <c r="N894" s="61"/>
      <c r="O894" s="66"/>
      <c r="P894" s="76" t="str">
        <f t="shared" ca="1" si="53"/>
        <v/>
      </c>
      <c r="Q894" s="65" t="str">
        <f t="shared" ca="1" si="54"/>
        <v/>
      </c>
      <c r="R894" s="2"/>
      <c r="S894" s="2"/>
      <c r="T894" s="1"/>
      <c r="U894" s="1" t="str">
        <f t="shared" si="55"/>
        <v/>
      </c>
    </row>
    <row r="895" spans="1:21" ht="18" customHeight="1" x14ac:dyDescent="0.3">
      <c r="A895" s="2"/>
      <c r="B895" s="65" t="str">
        <f t="shared" si="52"/>
        <v/>
      </c>
      <c r="C895" s="60"/>
      <c r="D895" s="65" t="str">
        <f>IF($E895="","",IFERROR(INDEX(MUSTERILER!$B$7:$B$156,MATCH($U895,MUSTERILER!$T$7:$T$156,0)),IFERROR(INDEX(MUSTERILER!$B$7:$B$156,MATCH($E895,MUSTERILER!$B$7:$B$156,0)),IFERROR(INDEX(MUSTERILER!$B$7:$B$156,MATCH($U895&amp;"*",MUSTERILER!$T$7:$T$156,0)),"TANIMSIZ MÜŞTERİ"))))</f>
        <v/>
      </c>
      <c r="E895" s="61"/>
      <c r="F895" s="61"/>
      <c r="G895" s="60"/>
      <c r="H895" s="66"/>
      <c r="I895" s="66"/>
      <c r="J895" s="60"/>
      <c r="K895" s="60"/>
      <c r="L895" s="61"/>
      <c r="M895" s="61"/>
      <c r="N895" s="61"/>
      <c r="O895" s="66"/>
      <c r="P895" s="76" t="str">
        <f t="shared" ca="1" si="53"/>
        <v/>
      </c>
      <c r="Q895" s="65" t="str">
        <f t="shared" ca="1" si="54"/>
        <v/>
      </c>
      <c r="R895" s="2"/>
      <c r="S895" s="2"/>
      <c r="T895" s="1"/>
      <c r="U895" s="1" t="str">
        <f t="shared" si="55"/>
        <v/>
      </c>
    </row>
    <row r="896" spans="1:21" ht="18" customHeight="1" x14ac:dyDescent="0.3">
      <c r="A896" s="2"/>
      <c r="B896" s="65" t="str">
        <f t="shared" si="52"/>
        <v/>
      </c>
      <c r="C896" s="60"/>
      <c r="D896" s="65" t="str">
        <f>IF($E896="","",IFERROR(INDEX(MUSTERILER!$B$7:$B$156,MATCH($U896,MUSTERILER!$T$7:$T$156,0)),IFERROR(INDEX(MUSTERILER!$B$7:$B$156,MATCH($E896,MUSTERILER!$B$7:$B$156,0)),IFERROR(INDEX(MUSTERILER!$B$7:$B$156,MATCH($U896&amp;"*",MUSTERILER!$T$7:$T$156,0)),"TANIMSIZ MÜŞTERİ"))))</f>
        <v/>
      </c>
      <c r="E896" s="61"/>
      <c r="F896" s="61"/>
      <c r="G896" s="60"/>
      <c r="H896" s="66"/>
      <c r="I896" s="66"/>
      <c r="J896" s="60"/>
      <c r="K896" s="60"/>
      <c r="L896" s="61"/>
      <c r="M896" s="61"/>
      <c r="N896" s="61"/>
      <c r="O896" s="66"/>
      <c r="P896" s="76" t="str">
        <f t="shared" ca="1" si="53"/>
        <v/>
      </c>
      <c r="Q896" s="65" t="str">
        <f t="shared" ca="1" si="54"/>
        <v/>
      </c>
      <c r="R896" s="2"/>
      <c r="S896" s="2"/>
      <c r="T896" s="1"/>
      <c r="U896" s="1" t="str">
        <f t="shared" si="55"/>
        <v/>
      </c>
    </row>
    <row r="897" spans="1:21" ht="18" customHeight="1" x14ac:dyDescent="0.3">
      <c r="A897" s="2"/>
      <c r="B897" s="65" t="str">
        <f t="shared" si="52"/>
        <v/>
      </c>
      <c r="C897" s="60"/>
      <c r="D897" s="65" t="str">
        <f>IF($E897="","",IFERROR(INDEX(MUSTERILER!$B$7:$B$156,MATCH($U897,MUSTERILER!$T$7:$T$156,0)),IFERROR(INDEX(MUSTERILER!$B$7:$B$156,MATCH($E897,MUSTERILER!$B$7:$B$156,0)),IFERROR(INDEX(MUSTERILER!$B$7:$B$156,MATCH($U897&amp;"*",MUSTERILER!$T$7:$T$156,0)),"TANIMSIZ MÜŞTERİ"))))</f>
        <v/>
      </c>
      <c r="E897" s="61"/>
      <c r="F897" s="61"/>
      <c r="G897" s="60"/>
      <c r="H897" s="66"/>
      <c r="I897" s="66"/>
      <c r="J897" s="60"/>
      <c r="K897" s="60"/>
      <c r="L897" s="61"/>
      <c r="M897" s="61"/>
      <c r="N897" s="61"/>
      <c r="O897" s="66"/>
      <c r="P897" s="76" t="str">
        <f t="shared" ca="1" si="53"/>
        <v/>
      </c>
      <c r="Q897" s="65" t="str">
        <f t="shared" ca="1" si="54"/>
        <v/>
      </c>
      <c r="R897" s="2"/>
      <c r="S897" s="2"/>
      <c r="T897" s="1"/>
      <c r="U897" s="1" t="str">
        <f t="shared" si="55"/>
        <v/>
      </c>
    </row>
    <row r="898" spans="1:21" ht="18" customHeight="1" x14ac:dyDescent="0.3">
      <c r="A898" s="2"/>
      <c r="B898" s="65" t="str">
        <f t="shared" si="52"/>
        <v/>
      </c>
      <c r="C898" s="60"/>
      <c r="D898" s="65" t="str">
        <f>IF($E898="","",IFERROR(INDEX(MUSTERILER!$B$7:$B$156,MATCH($U898,MUSTERILER!$T$7:$T$156,0)),IFERROR(INDEX(MUSTERILER!$B$7:$B$156,MATCH($E898,MUSTERILER!$B$7:$B$156,0)),IFERROR(INDEX(MUSTERILER!$B$7:$B$156,MATCH($U898&amp;"*",MUSTERILER!$T$7:$T$156,0)),"TANIMSIZ MÜŞTERİ"))))</f>
        <v/>
      </c>
      <c r="E898" s="61"/>
      <c r="F898" s="61"/>
      <c r="G898" s="60"/>
      <c r="H898" s="66"/>
      <c r="I898" s="66"/>
      <c r="J898" s="60"/>
      <c r="K898" s="60"/>
      <c r="L898" s="61"/>
      <c r="M898" s="61"/>
      <c r="N898" s="61"/>
      <c r="O898" s="66"/>
      <c r="P898" s="76" t="str">
        <f t="shared" ca="1" si="53"/>
        <v/>
      </c>
      <c r="Q898" s="65" t="str">
        <f t="shared" ca="1" si="54"/>
        <v/>
      </c>
      <c r="R898" s="2"/>
      <c r="S898" s="2"/>
      <c r="T898" s="1"/>
      <c r="U898" s="1" t="str">
        <f t="shared" si="55"/>
        <v/>
      </c>
    </row>
    <row r="899" spans="1:21" ht="18" customHeight="1" x14ac:dyDescent="0.3">
      <c r="A899" s="2"/>
      <c r="B899" s="65" t="str">
        <f t="shared" si="52"/>
        <v/>
      </c>
      <c r="C899" s="60"/>
      <c r="D899" s="65" t="str">
        <f>IF($E899="","",IFERROR(INDEX(MUSTERILER!$B$7:$B$156,MATCH($U899,MUSTERILER!$T$7:$T$156,0)),IFERROR(INDEX(MUSTERILER!$B$7:$B$156,MATCH($E899,MUSTERILER!$B$7:$B$156,0)),IFERROR(INDEX(MUSTERILER!$B$7:$B$156,MATCH($U899&amp;"*",MUSTERILER!$T$7:$T$156,0)),"TANIMSIZ MÜŞTERİ"))))</f>
        <v/>
      </c>
      <c r="E899" s="61"/>
      <c r="F899" s="61"/>
      <c r="G899" s="60"/>
      <c r="H899" s="66"/>
      <c r="I899" s="66"/>
      <c r="J899" s="60"/>
      <c r="K899" s="60"/>
      <c r="L899" s="61"/>
      <c r="M899" s="61"/>
      <c r="N899" s="61"/>
      <c r="O899" s="66"/>
      <c r="P899" s="76" t="str">
        <f t="shared" ca="1" si="53"/>
        <v/>
      </c>
      <c r="Q899" s="65" t="str">
        <f t="shared" ca="1" si="54"/>
        <v/>
      </c>
      <c r="R899" s="2"/>
      <c r="S899" s="2"/>
      <c r="T899" s="1"/>
      <c r="U899" s="1" t="str">
        <f t="shared" si="55"/>
        <v/>
      </c>
    </row>
    <row r="900" spans="1:21" ht="18" customHeight="1" x14ac:dyDescent="0.3">
      <c r="A900" s="2"/>
      <c r="B900" s="65" t="str">
        <f t="shared" si="52"/>
        <v/>
      </c>
      <c r="C900" s="60"/>
      <c r="D900" s="65" t="str">
        <f>IF($E900="","",IFERROR(INDEX(MUSTERILER!$B$7:$B$156,MATCH($U900,MUSTERILER!$T$7:$T$156,0)),IFERROR(INDEX(MUSTERILER!$B$7:$B$156,MATCH($E900,MUSTERILER!$B$7:$B$156,0)),IFERROR(INDEX(MUSTERILER!$B$7:$B$156,MATCH($U900&amp;"*",MUSTERILER!$T$7:$T$156,0)),"TANIMSIZ MÜŞTERİ"))))</f>
        <v/>
      </c>
      <c r="E900" s="61"/>
      <c r="F900" s="61"/>
      <c r="G900" s="60"/>
      <c r="H900" s="66"/>
      <c r="I900" s="66"/>
      <c r="J900" s="60"/>
      <c r="K900" s="60"/>
      <c r="L900" s="61"/>
      <c r="M900" s="61"/>
      <c r="N900" s="61"/>
      <c r="O900" s="66"/>
      <c r="P900" s="76" t="str">
        <f t="shared" ca="1" si="53"/>
        <v/>
      </c>
      <c r="Q900" s="65" t="str">
        <f t="shared" ca="1" si="54"/>
        <v/>
      </c>
      <c r="R900" s="2"/>
      <c r="S900" s="2"/>
      <c r="T900" s="1"/>
      <c r="U900" s="1" t="str">
        <f t="shared" si="55"/>
        <v/>
      </c>
    </row>
    <row r="901" spans="1:21" ht="18" customHeight="1" x14ac:dyDescent="0.3">
      <c r="A901" s="2"/>
      <c r="B901" s="65" t="str">
        <f t="shared" si="52"/>
        <v/>
      </c>
      <c r="C901" s="60"/>
      <c r="D901" s="65" t="str">
        <f>IF($E901="","",IFERROR(INDEX(MUSTERILER!$B$7:$B$156,MATCH($U901,MUSTERILER!$T$7:$T$156,0)),IFERROR(INDEX(MUSTERILER!$B$7:$B$156,MATCH($E901,MUSTERILER!$B$7:$B$156,0)),IFERROR(INDEX(MUSTERILER!$B$7:$B$156,MATCH($U901&amp;"*",MUSTERILER!$T$7:$T$156,0)),"TANIMSIZ MÜŞTERİ"))))</f>
        <v/>
      </c>
      <c r="E901" s="61"/>
      <c r="F901" s="61"/>
      <c r="G901" s="60"/>
      <c r="H901" s="66"/>
      <c r="I901" s="66"/>
      <c r="J901" s="60"/>
      <c r="K901" s="60"/>
      <c r="L901" s="61"/>
      <c r="M901" s="61"/>
      <c r="N901" s="61"/>
      <c r="O901" s="66"/>
      <c r="P901" s="76" t="str">
        <f t="shared" ca="1" si="53"/>
        <v/>
      </c>
      <c r="Q901" s="65" t="str">
        <f t="shared" ca="1" si="54"/>
        <v/>
      </c>
      <c r="R901" s="2"/>
      <c r="S901" s="2"/>
      <c r="T901" s="1"/>
      <c r="U901" s="1" t="str">
        <f t="shared" si="55"/>
        <v/>
      </c>
    </row>
    <row r="902" spans="1:21" ht="18" customHeight="1" x14ac:dyDescent="0.3">
      <c r="A902" s="2"/>
      <c r="B902" s="65" t="str">
        <f t="shared" si="52"/>
        <v/>
      </c>
      <c r="C902" s="60"/>
      <c r="D902" s="65" t="str">
        <f>IF($E902="","",IFERROR(INDEX(MUSTERILER!$B$7:$B$156,MATCH($U902,MUSTERILER!$T$7:$T$156,0)),IFERROR(INDEX(MUSTERILER!$B$7:$B$156,MATCH($E902,MUSTERILER!$B$7:$B$156,0)),IFERROR(INDEX(MUSTERILER!$B$7:$B$156,MATCH($U902&amp;"*",MUSTERILER!$T$7:$T$156,0)),"TANIMSIZ MÜŞTERİ"))))</f>
        <v/>
      </c>
      <c r="E902" s="61"/>
      <c r="F902" s="61"/>
      <c r="G902" s="60"/>
      <c r="H902" s="66"/>
      <c r="I902" s="66"/>
      <c r="J902" s="60"/>
      <c r="K902" s="60"/>
      <c r="L902" s="61"/>
      <c r="M902" s="61"/>
      <c r="N902" s="61"/>
      <c r="O902" s="66"/>
      <c r="P902" s="76" t="str">
        <f t="shared" ca="1" si="53"/>
        <v/>
      </c>
      <c r="Q902" s="65" t="str">
        <f t="shared" ca="1" si="54"/>
        <v/>
      </c>
      <c r="R902" s="2"/>
      <c r="S902" s="2"/>
      <c r="T902" s="1"/>
      <c r="U902" s="1" t="str">
        <f t="shared" si="55"/>
        <v/>
      </c>
    </row>
    <row r="903" spans="1:21" ht="18" customHeight="1" x14ac:dyDescent="0.3">
      <c r="A903" s="2"/>
      <c r="B903" s="65" t="str">
        <f t="shared" ref="B903:B966" si="56">IF($E903="","","A"&amp;TEXT(ROW()-6,"00000"))</f>
        <v/>
      </c>
      <c r="C903" s="60"/>
      <c r="D903" s="65" t="str">
        <f>IF($E903="","",IFERROR(INDEX(MUSTERILER!$B$7:$B$156,MATCH($U903,MUSTERILER!$T$7:$T$156,0)),IFERROR(INDEX(MUSTERILER!$B$7:$B$156,MATCH($E903,MUSTERILER!$B$7:$B$156,0)),IFERROR(INDEX(MUSTERILER!$B$7:$B$156,MATCH($U903&amp;"*",MUSTERILER!$T$7:$T$156,0)),"TANIMSIZ MÜŞTERİ"))))</f>
        <v/>
      </c>
      <c r="E903" s="61"/>
      <c r="F903" s="61"/>
      <c r="G903" s="60"/>
      <c r="H903" s="66"/>
      <c r="I903" s="66"/>
      <c r="J903" s="60"/>
      <c r="K903" s="60"/>
      <c r="L903" s="61"/>
      <c r="M903" s="61"/>
      <c r="N903" s="61"/>
      <c r="O903" s="66"/>
      <c r="P903" s="76" t="str">
        <f t="shared" ref="P903:P966" ca="1" si="57">IF(OR($E903="",$I903=""),"",IF(OR($J903="Tamamlandı",$J903="İptal"),"",$I903-TODAY()))</f>
        <v/>
      </c>
      <c r="Q903" s="65" t="str">
        <f t="shared" ref="Q903:Q966" ca="1" si="58"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2"/>
      <c r="S903" s="2"/>
      <c r="T903" s="1"/>
      <c r="U903" s="1" t="str">
        <f t="shared" ref="U903:U966" si="59">IF($E903="","",UPPER(SUBSTITUTE(SUBSTITUTE(SUBSTITUTE(SUBSTITUTE(SUBSTITUTE(SUBSTITUTE(SUBSTITUTE(SUBSTITUTE(SUBSTITUTE(SUBSTITUTE(SUBSTITUTE(SUBSTITUTE(SUBSTITUTE(SUBSTITUTE(SUBSTITUTE(SUBSTITUTE(SUBSTITUTE(SUBSTITUTE(TRIM($E903),"'",""),"İ","I"),"ı","I"),"i","I"),"Ş","S"),"ş","S"),"Ğ","G"),"ğ","G"),"Ü","U"),"ü","U"),"Ö","O"),"ö","O"),"Ç","C"),"ç","C"),".",""),",","")," ",""),"-","")))</f>
        <v/>
      </c>
    </row>
    <row r="904" spans="1:21" ht="18" customHeight="1" x14ac:dyDescent="0.3">
      <c r="A904" s="2"/>
      <c r="B904" s="65" t="str">
        <f t="shared" si="56"/>
        <v/>
      </c>
      <c r="C904" s="60"/>
      <c r="D904" s="65" t="str">
        <f>IF($E904="","",IFERROR(INDEX(MUSTERILER!$B$7:$B$156,MATCH($U904,MUSTERILER!$T$7:$T$156,0)),IFERROR(INDEX(MUSTERILER!$B$7:$B$156,MATCH($E904,MUSTERILER!$B$7:$B$156,0)),IFERROR(INDEX(MUSTERILER!$B$7:$B$156,MATCH($U904&amp;"*",MUSTERILER!$T$7:$T$156,0)),"TANIMSIZ MÜŞTERİ"))))</f>
        <v/>
      </c>
      <c r="E904" s="61"/>
      <c r="F904" s="61"/>
      <c r="G904" s="60"/>
      <c r="H904" s="66"/>
      <c r="I904" s="66"/>
      <c r="J904" s="60"/>
      <c r="K904" s="60"/>
      <c r="L904" s="61"/>
      <c r="M904" s="61"/>
      <c r="N904" s="61"/>
      <c r="O904" s="66"/>
      <c r="P904" s="76" t="str">
        <f t="shared" ca="1" si="57"/>
        <v/>
      </c>
      <c r="Q904" s="65" t="str">
        <f t="shared" ca="1" si="58"/>
        <v/>
      </c>
      <c r="R904" s="2"/>
      <c r="S904" s="2"/>
      <c r="T904" s="1"/>
      <c r="U904" s="1" t="str">
        <f t="shared" si="59"/>
        <v/>
      </c>
    </row>
    <row r="905" spans="1:21" ht="18" customHeight="1" x14ac:dyDescent="0.3">
      <c r="A905" s="2"/>
      <c r="B905" s="65" t="str">
        <f t="shared" si="56"/>
        <v/>
      </c>
      <c r="C905" s="60"/>
      <c r="D905" s="65" t="str">
        <f>IF($E905="","",IFERROR(INDEX(MUSTERILER!$B$7:$B$156,MATCH($U905,MUSTERILER!$T$7:$T$156,0)),IFERROR(INDEX(MUSTERILER!$B$7:$B$156,MATCH($E905,MUSTERILER!$B$7:$B$156,0)),IFERROR(INDEX(MUSTERILER!$B$7:$B$156,MATCH($U905&amp;"*",MUSTERILER!$T$7:$T$156,0)),"TANIMSIZ MÜŞTERİ"))))</f>
        <v/>
      </c>
      <c r="E905" s="61"/>
      <c r="F905" s="61"/>
      <c r="G905" s="60"/>
      <c r="H905" s="66"/>
      <c r="I905" s="66"/>
      <c r="J905" s="60"/>
      <c r="K905" s="60"/>
      <c r="L905" s="61"/>
      <c r="M905" s="61"/>
      <c r="N905" s="61"/>
      <c r="O905" s="66"/>
      <c r="P905" s="76" t="str">
        <f t="shared" ca="1" si="57"/>
        <v/>
      </c>
      <c r="Q905" s="65" t="str">
        <f t="shared" ca="1" si="58"/>
        <v/>
      </c>
      <c r="R905" s="2"/>
      <c r="S905" s="2"/>
      <c r="T905" s="1"/>
      <c r="U905" s="1" t="str">
        <f t="shared" si="59"/>
        <v/>
      </c>
    </row>
    <row r="906" spans="1:21" ht="18" customHeight="1" x14ac:dyDescent="0.3">
      <c r="A906" s="2"/>
      <c r="B906" s="65" t="str">
        <f t="shared" si="56"/>
        <v/>
      </c>
      <c r="C906" s="60"/>
      <c r="D906" s="65" t="str">
        <f>IF($E906="","",IFERROR(INDEX(MUSTERILER!$B$7:$B$156,MATCH($U906,MUSTERILER!$T$7:$T$156,0)),IFERROR(INDEX(MUSTERILER!$B$7:$B$156,MATCH($E906,MUSTERILER!$B$7:$B$156,0)),IFERROR(INDEX(MUSTERILER!$B$7:$B$156,MATCH($U906&amp;"*",MUSTERILER!$T$7:$T$156,0)),"TANIMSIZ MÜŞTERİ"))))</f>
        <v/>
      </c>
      <c r="E906" s="61"/>
      <c r="F906" s="61"/>
      <c r="G906" s="60"/>
      <c r="H906" s="66"/>
      <c r="I906" s="66"/>
      <c r="J906" s="60"/>
      <c r="K906" s="60"/>
      <c r="L906" s="61"/>
      <c r="M906" s="61"/>
      <c r="N906" s="61"/>
      <c r="O906" s="66"/>
      <c r="P906" s="76" t="str">
        <f t="shared" ca="1" si="57"/>
        <v/>
      </c>
      <c r="Q906" s="65" t="str">
        <f t="shared" ca="1" si="58"/>
        <v/>
      </c>
      <c r="R906" s="2"/>
      <c r="S906" s="2"/>
      <c r="T906" s="1"/>
      <c r="U906" s="1" t="str">
        <f t="shared" si="59"/>
        <v/>
      </c>
    </row>
    <row r="907" spans="1:21" ht="18" customHeight="1" x14ac:dyDescent="0.3">
      <c r="A907" s="2"/>
      <c r="B907" s="65" t="str">
        <f t="shared" si="56"/>
        <v/>
      </c>
      <c r="C907" s="60"/>
      <c r="D907" s="65" t="str">
        <f>IF($E907="","",IFERROR(INDEX(MUSTERILER!$B$7:$B$156,MATCH($U907,MUSTERILER!$T$7:$T$156,0)),IFERROR(INDEX(MUSTERILER!$B$7:$B$156,MATCH($E907,MUSTERILER!$B$7:$B$156,0)),IFERROR(INDEX(MUSTERILER!$B$7:$B$156,MATCH($U907&amp;"*",MUSTERILER!$T$7:$T$156,0)),"TANIMSIZ MÜŞTERİ"))))</f>
        <v/>
      </c>
      <c r="E907" s="61"/>
      <c r="F907" s="61"/>
      <c r="G907" s="60"/>
      <c r="H907" s="66"/>
      <c r="I907" s="66"/>
      <c r="J907" s="60"/>
      <c r="K907" s="60"/>
      <c r="L907" s="61"/>
      <c r="M907" s="61"/>
      <c r="N907" s="61"/>
      <c r="O907" s="66"/>
      <c r="P907" s="76" t="str">
        <f t="shared" ca="1" si="57"/>
        <v/>
      </c>
      <c r="Q907" s="65" t="str">
        <f t="shared" ca="1" si="58"/>
        <v/>
      </c>
      <c r="R907" s="2"/>
      <c r="S907" s="2"/>
      <c r="T907" s="1"/>
      <c r="U907" s="1" t="str">
        <f t="shared" si="59"/>
        <v/>
      </c>
    </row>
    <row r="908" spans="1:21" ht="18" customHeight="1" x14ac:dyDescent="0.3">
      <c r="A908" s="2"/>
      <c r="B908" s="65" t="str">
        <f t="shared" si="56"/>
        <v/>
      </c>
      <c r="C908" s="60"/>
      <c r="D908" s="65" t="str">
        <f>IF($E908="","",IFERROR(INDEX(MUSTERILER!$B$7:$B$156,MATCH($U908,MUSTERILER!$T$7:$T$156,0)),IFERROR(INDEX(MUSTERILER!$B$7:$B$156,MATCH($E908,MUSTERILER!$B$7:$B$156,0)),IFERROR(INDEX(MUSTERILER!$B$7:$B$156,MATCH($U908&amp;"*",MUSTERILER!$T$7:$T$156,0)),"TANIMSIZ MÜŞTERİ"))))</f>
        <v/>
      </c>
      <c r="E908" s="61"/>
      <c r="F908" s="61"/>
      <c r="G908" s="60"/>
      <c r="H908" s="66"/>
      <c r="I908" s="66"/>
      <c r="J908" s="60"/>
      <c r="K908" s="60"/>
      <c r="L908" s="61"/>
      <c r="M908" s="61"/>
      <c r="N908" s="61"/>
      <c r="O908" s="66"/>
      <c r="P908" s="76" t="str">
        <f t="shared" ca="1" si="57"/>
        <v/>
      </c>
      <c r="Q908" s="65" t="str">
        <f t="shared" ca="1" si="58"/>
        <v/>
      </c>
      <c r="R908" s="2"/>
      <c r="S908" s="2"/>
      <c r="T908" s="1"/>
      <c r="U908" s="1" t="str">
        <f t="shared" si="59"/>
        <v/>
      </c>
    </row>
    <row r="909" spans="1:21" ht="18" customHeight="1" x14ac:dyDescent="0.3">
      <c r="A909" s="2"/>
      <c r="B909" s="65" t="str">
        <f t="shared" si="56"/>
        <v/>
      </c>
      <c r="C909" s="60"/>
      <c r="D909" s="65" t="str">
        <f>IF($E909="","",IFERROR(INDEX(MUSTERILER!$B$7:$B$156,MATCH($U909,MUSTERILER!$T$7:$T$156,0)),IFERROR(INDEX(MUSTERILER!$B$7:$B$156,MATCH($E909,MUSTERILER!$B$7:$B$156,0)),IFERROR(INDEX(MUSTERILER!$B$7:$B$156,MATCH($U909&amp;"*",MUSTERILER!$T$7:$T$156,0)),"TANIMSIZ MÜŞTERİ"))))</f>
        <v/>
      </c>
      <c r="E909" s="61"/>
      <c r="F909" s="61"/>
      <c r="G909" s="60"/>
      <c r="H909" s="66"/>
      <c r="I909" s="66"/>
      <c r="J909" s="60"/>
      <c r="K909" s="60"/>
      <c r="L909" s="61"/>
      <c r="M909" s="61"/>
      <c r="N909" s="61"/>
      <c r="O909" s="66"/>
      <c r="P909" s="76" t="str">
        <f t="shared" ca="1" si="57"/>
        <v/>
      </c>
      <c r="Q909" s="65" t="str">
        <f t="shared" ca="1" si="58"/>
        <v/>
      </c>
      <c r="R909" s="2"/>
      <c r="S909" s="2"/>
      <c r="T909" s="1"/>
      <c r="U909" s="1" t="str">
        <f t="shared" si="59"/>
        <v/>
      </c>
    </row>
    <row r="910" spans="1:21" ht="18" customHeight="1" x14ac:dyDescent="0.3">
      <c r="A910" s="2"/>
      <c r="B910" s="65" t="str">
        <f t="shared" si="56"/>
        <v/>
      </c>
      <c r="C910" s="60"/>
      <c r="D910" s="65" t="str">
        <f>IF($E910="","",IFERROR(INDEX(MUSTERILER!$B$7:$B$156,MATCH($U910,MUSTERILER!$T$7:$T$156,0)),IFERROR(INDEX(MUSTERILER!$B$7:$B$156,MATCH($E910,MUSTERILER!$B$7:$B$156,0)),IFERROR(INDEX(MUSTERILER!$B$7:$B$156,MATCH($U910&amp;"*",MUSTERILER!$T$7:$T$156,0)),"TANIMSIZ MÜŞTERİ"))))</f>
        <v/>
      </c>
      <c r="E910" s="61"/>
      <c r="F910" s="61"/>
      <c r="G910" s="60"/>
      <c r="H910" s="66"/>
      <c r="I910" s="66"/>
      <c r="J910" s="60"/>
      <c r="K910" s="60"/>
      <c r="L910" s="61"/>
      <c r="M910" s="61"/>
      <c r="N910" s="61"/>
      <c r="O910" s="66"/>
      <c r="P910" s="76" t="str">
        <f t="shared" ca="1" si="57"/>
        <v/>
      </c>
      <c r="Q910" s="65" t="str">
        <f t="shared" ca="1" si="58"/>
        <v/>
      </c>
      <c r="R910" s="2"/>
      <c r="S910" s="2"/>
      <c r="T910" s="1"/>
      <c r="U910" s="1" t="str">
        <f t="shared" si="59"/>
        <v/>
      </c>
    </row>
    <row r="911" spans="1:21" ht="18" customHeight="1" x14ac:dyDescent="0.3">
      <c r="A911" s="2"/>
      <c r="B911" s="65" t="str">
        <f t="shared" si="56"/>
        <v/>
      </c>
      <c r="C911" s="60"/>
      <c r="D911" s="65" t="str">
        <f>IF($E911="","",IFERROR(INDEX(MUSTERILER!$B$7:$B$156,MATCH($U911,MUSTERILER!$T$7:$T$156,0)),IFERROR(INDEX(MUSTERILER!$B$7:$B$156,MATCH($E911,MUSTERILER!$B$7:$B$156,0)),IFERROR(INDEX(MUSTERILER!$B$7:$B$156,MATCH($U911&amp;"*",MUSTERILER!$T$7:$T$156,0)),"TANIMSIZ MÜŞTERİ"))))</f>
        <v/>
      </c>
      <c r="E911" s="61"/>
      <c r="F911" s="61"/>
      <c r="G911" s="60"/>
      <c r="H911" s="66"/>
      <c r="I911" s="66"/>
      <c r="J911" s="60"/>
      <c r="K911" s="60"/>
      <c r="L911" s="61"/>
      <c r="M911" s="61"/>
      <c r="N911" s="61"/>
      <c r="O911" s="66"/>
      <c r="P911" s="76" t="str">
        <f t="shared" ca="1" si="57"/>
        <v/>
      </c>
      <c r="Q911" s="65" t="str">
        <f t="shared" ca="1" si="58"/>
        <v/>
      </c>
      <c r="R911" s="2"/>
      <c r="S911" s="2"/>
      <c r="T911" s="1"/>
      <c r="U911" s="1" t="str">
        <f t="shared" si="59"/>
        <v/>
      </c>
    </row>
    <row r="912" spans="1:21" ht="18" customHeight="1" x14ac:dyDescent="0.3">
      <c r="A912" s="2"/>
      <c r="B912" s="65" t="str">
        <f t="shared" si="56"/>
        <v/>
      </c>
      <c r="C912" s="60"/>
      <c r="D912" s="65" t="str">
        <f>IF($E912="","",IFERROR(INDEX(MUSTERILER!$B$7:$B$156,MATCH($U912,MUSTERILER!$T$7:$T$156,0)),IFERROR(INDEX(MUSTERILER!$B$7:$B$156,MATCH($E912,MUSTERILER!$B$7:$B$156,0)),IFERROR(INDEX(MUSTERILER!$B$7:$B$156,MATCH($U912&amp;"*",MUSTERILER!$T$7:$T$156,0)),"TANIMSIZ MÜŞTERİ"))))</f>
        <v/>
      </c>
      <c r="E912" s="61"/>
      <c r="F912" s="61"/>
      <c r="G912" s="60"/>
      <c r="H912" s="66"/>
      <c r="I912" s="66"/>
      <c r="J912" s="60"/>
      <c r="K912" s="60"/>
      <c r="L912" s="61"/>
      <c r="M912" s="61"/>
      <c r="N912" s="61"/>
      <c r="O912" s="66"/>
      <c r="P912" s="76" t="str">
        <f t="shared" ca="1" si="57"/>
        <v/>
      </c>
      <c r="Q912" s="65" t="str">
        <f t="shared" ca="1" si="58"/>
        <v/>
      </c>
      <c r="R912" s="2"/>
      <c r="S912" s="2"/>
      <c r="T912" s="1"/>
      <c r="U912" s="1" t="str">
        <f t="shared" si="59"/>
        <v/>
      </c>
    </row>
    <row r="913" spans="1:21" ht="18" customHeight="1" x14ac:dyDescent="0.3">
      <c r="A913" s="2"/>
      <c r="B913" s="65" t="str">
        <f t="shared" si="56"/>
        <v/>
      </c>
      <c r="C913" s="60"/>
      <c r="D913" s="65" t="str">
        <f>IF($E913="","",IFERROR(INDEX(MUSTERILER!$B$7:$B$156,MATCH($U913,MUSTERILER!$T$7:$T$156,0)),IFERROR(INDEX(MUSTERILER!$B$7:$B$156,MATCH($E913,MUSTERILER!$B$7:$B$156,0)),IFERROR(INDEX(MUSTERILER!$B$7:$B$156,MATCH($U913&amp;"*",MUSTERILER!$T$7:$T$156,0)),"TANIMSIZ MÜŞTERİ"))))</f>
        <v/>
      </c>
      <c r="E913" s="61"/>
      <c r="F913" s="61"/>
      <c r="G913" s="60"/>
      <c r="H913" s="66"/>
      <c r="I913" s="66"/>
      <c r="J913" s="60"/>
      <c r="K913" s="60"/>
      <c r="L913" s="61"/>
      <c r="M913" s="61"/>
      <c r="N913" s="61"/>
      <c r="O913" s="66"/>
      <c r="P913" s="76" t="str">
        <f t="shared" ca="1" si="57"/>
        <v/>
      </c>
      <c r="Q913" s="65" t="str">
        <f t="shared" ca="1" si="58"/>
        <v/>
      </c>
      <c r="R913" s="2"/>
      <c r="S913" s="2"/>
      <c r="T913" s="1"/>
      <c r="U913" s="1" t="str">
        <f t="shared" si="59"/>
        <v/>
      </c>
    </row>
    <row r="914" spans="1:21" ht="18" customHeight="1" x14ac:dyDescent="0.3">
      <c r="A914" s="2"/>
      <c r="B914" s="65" t="str">
        <f t="shared" si="56"/>
        <v/>
      </c>
      <c r="C914" s="60"/>
      <c r="D914" s="65" t="str">
        <f>IF($E914="","",IFERROR(INDEX(MUSTERILER!$B$7:$B$156,MATCH($U914,MUSTERILER!$T$7:$T$156,0)),IFERROR(INDEX(MUSTERILER!$B$7:$B$156,MATCH($E914,MUSTERILER!$B$7:$B$156,0)),IFERROR(INDEX(MUSTERILER!$B$7:$B$156,MATCH($U914&amp;"*",MUSTERILER!$T$7:$T$156,0)),"TANIMSIZ MÜŞTERİ"))))</f>
        <v/>
      </c>
      <c r="E914" s="61"/>
      <c r="F914" s="61"/>
      <c r="G914" s="60"/>
      <c r="H914" s="66"/>
      <c r="I914" s="66"/>
      <c r="J914" s="60"/>
      <c r="K914" s="60"/>
      <c r="L914" s="61"/>
      <c r="M914" s="61"/>
      <c r="N914" s="61"/>
      <c r="O914" s="66"/>
      <c r="P914" s="76" t="str">
        <f t="shared" ca="1" si="57"/>
        <v/>
      </c>
      <c r="Q914" s="65" t="str">
        <f t="shared" ca="1" si="58"/>
        <v/>
      </c>
      <c r="R914" s="2"/>
      <c r="S914" s="2"/>
      <c r="T914" s="1"/>
      <c r="U914" s="1" t="str">
        <f t="shared" si="59"/>
        <v/>
      </c>
    </row>
    <row r="915" spans="1:21" ht="18" customHeight="1" x14ac:dyDescent="0.3">
      <c r="A915" s="2"/>
      <c r="B915" s="65" t="str">
        <f t="shared" si="56"/>
        <v/>
      </c>
      <c r="C915" s="60"/>
      <c r="D915" s="65" t="str">
        <f>IF($E915="","",IFERROR(INDEX(MUSTERILER!$B$7:$B$156,MATCH($U915,MUSTERILER!$T$7:$T$156,0)),IFERROR(INDEX(MUSTERILER!$B$7:$B$156,MATCH($E915,MUSTERILER!$B$7:$B$156,0)),IFERROR(INDEX(MUSTERILER!$B$7:$B$156,MATCH($U915&amp;"*",MUSTERILER!$T$7:$T$156,0)),"TANIMSIZ MÜŞTERİ"))))</f>
        <v/>
      </c>
      <c r="E915" s="61"/>
      <c r="F915" s="61"/>
      <c r="G915" s="60"/>
      <c r="H915" s="66"/>
      <c r="I915" s="66"/>
      <c r="J915" s="60"/>
      <c r="K915" s="60"/>
      <c r="L915" s="61"/>
      <c r="M915" s="61"/>
      <c r="N915" s="61"/>
      <c r="O915" s="66"/>
      <c r="P915" s="76" t="str">
        <f t="shared" ca="1" si="57"/>
        <v/>
      </c>
      <c r="Q915" s="65" t="str">
        <f t="shared" ca="1" si="58"/>
        <v/>
      </c>
      <c r="R915" s="2"/>
      <c r="S915" s="2"/>
      <c r="T915" s="1"/>
      <c r="U915" s="1" t="str">
        <f t="shared" si="59"/>
        <v/>
      </c>
    </row>
    <row r="916" spans="1:21" ht="18" customHeight="1" x14ac:dyDescent="0.3">
      <c r="A916" s="2"/>
      <c r="B916" s="65" t="str">
        <f t="shared" si="56"/>
        <v/>
      </c>
      <c r="C916" s="60"/>
      <c r="D916" s="65" t="str">
        <f>IF($E916="","",IFERROR(INDEX(MUSTERILER!$B$7:$B$156,MATCH($U916,MUSTERILER!$T$7:$T$156,0)),IFERROR(INDEX(MUSTERILER!$B$7:$B$156,MATCH($E916,MUSTERILER!$B$7:$B$156,0)),IFERROR(INDEX(MUSTERILER!$B$7:$B$156,MATCH($U916&amp;"*",MUSTERILER!$T$7:$T$156,0)),"TANIMSIZ MÜŞTERİ"))))</f>
        <v/>
      </c>
      <c r="E916" s="61"/>
      <c r="F916" s="61"/>
      <c r="G916" s="60"/>
      <c r="H916" s="66"/>
      <c r="I916" s="66"/>
      <c r="J916" s="60"/>
      <c r="K916" s="60"/>
      <c r="L916" s="61"/>
      <c r="M916" s="61"/>
      <c r="N916" s="61"/>
      <c r="O916" s="66"/>
      <c r="P916" s="76" t="str">
        <f t="shared" ca="1" si="57"/>
        <v/>
      </c>
      <c r="Q916" s="65" t="str">
        <f t="shared" ca="1" si="58"/>
        <v/>
      </c>
      <c r="R916" s="2"/>
      <c r="S916" s="2"/>
      <c r="T916" s="1"/>
      <c r="U916" s="1" t="str">
        <f t="shared" si="59"/>
        <v/>
      </c>
    </row>
    <row r="917" spans="1:21" ht="18" customHeight="1" x14ac:dyDescent="0.3">
      <c r="A917" s="2"/>
      <c r="B917" s="65" t="str">
        <f t="shared" si="56"/>
        <v/>
      </c>
      <c r="C917" s="60"/>
      <c r="D917" s="65" t="str">
        <f>IF($E917="","",IFERROR(INDEX(MUSTERILER!$B$7:$B$156,MATCH($U917,MUSTERILER!$T$7:$T$156,0)),IFERROR(INDEX(MUSTERILER!$B$7:$B$156,MATCH($E917,MUSTERILER!$B$7:$B$156,0)),IFERROR(INDEX(MUSTERILER!$B$7:$B$156,MATCH($U917&amp;"*",MUSTERILER!$T$7:$T$156,0)),"TANIMSIZ MÜŞTERİ"))))</f>
        <v/>
      </c>
      <c r="E917" s="61"/>
      <c r="F917" s="61"/>
      <c r="G917" s="60"/>
      <c r="H917" s="66"/>
      <c r="I917" s="66"/>
      <c r="J917" s="60"/>
      <c r="K917" s="60"/>
      <c r="L917" s="61"/>
      <c r="M917" s="61"/>
      <c r="N917" s="61"/>
      <c r="O917" s="66"/>
      <c r="P917" s="76" t="str">
        <f t="shared" ca="1" si="57"/>
        <v/>
      </c>
      <c r="Q917" s="65" t="str">
        <f t="shared" ca="1" si="58"/>
        <v/>
      </c>
      <c r="R917" s="2"/>
      <c r="S917" s="2"/>
      <c r="T917" s="1"/>
      <c r="U917" s="1" t="str">
        <f t="shared" si="59"/>
        <v/>
      </c>
    </row>
    <row r="918" spans="1:21" ht="18" customHeight="1" x14ac:dyDescent="0.3">
      <c r="A918" s="2"/>
      <c r="B918" s="65" t="str">
        <f t="shared" si="56"/>
        <v/>
      </c>
      <c r="C918" s="60"/>
      <c r="D918" s="65" t="str">
        <f>IF($E918="","",IFERROR(INDEX(MUSTERILER!$B$7:$B$156,MATCH($U918,MUSTERILER!$T$7:$T$156,0)),IFERROR(INDEX(MUSTERILER!$B$7:$B$156,MATCH($E918,MUSTERILER!$B$7:$B$156,0)),IFERROR(INDEX(MUSTERILER!$B$7:$B$156,MATCH($U918&amp;"*",MUSTERILER!$T$7:$T$156,0)),"TANIMSIZ MÜŞTERİ"))))</f>
        <v/>
      </c>
      <c r="E918" s="61"/>
      <c r="F918" s="61"/>
      <c r="G918" s="60"/>
      <c r="H918" s="66"/>
      <c r="I918" s="66"/>
      <c r="J918" s="60"/>
      <c r="K918" s="60"/>
      <c r="L918" s="61"/>
      <c r="M918" s="61"/>
      <c r="N918" s="61"/>
      <c r="O918" s="66"/>
      <c r="P918" s="76" t="str">
        <f t="shared" ca="1" si="57"/>
        <v/>
      </c>
      <c r="Q918" s="65" t="str">
        <f t="shared" ca="1" si="58"/>
        <v/>
      </c>
      <c r="R918" s="2"/>
      <c r="S918" s="2"/>
      <c r="T918" s="1"/>
      <c r="U918" s="1" t="str">
        <f t="shared" si="59"/>
        <v/>
      </c>
    </row>
    <row r="919" spans="1:21" ht="18" customHeight="1" x14ac:dyDescent="0.3">
      <c r="A919" s="2"/>
      <c r="B919" s="65" t="str">
        <f t="shared" si="56"/>
        <v/>
      </c>
      <c r="C919" s="60"/>
      <c r="D919" s="65" t="str">
        <f>IF($E919="","",IFERROR(INDEX(MUSTERILER!$B$7:$B$156,MATCH($U919,MUSTERILER!$T$7:$T$156,0)),IFERROR(INDEX(MUSTERILER!$B$7:$B$156,MATCH($E919,MUSTERILER!$B$7:$B$156,0)),IFERROR(INDEX(MUSTERILER!$B$7:$B$156,MATCH($U919&amp;"*",MUSTERILER!$T$7:$T$156,0)),"TANIMSIZ MÜŞTERİ"))))</f>
        <v/>
      </c>
      <c r="E919" s="61"/>
      <c r="F919" s="61"/>
      <c r="G919" s="60"/>
      <c r="H919" s="66"/>
      <c r="I919" s="66"/>
      <c r="J919" s="60"/>
      <c r="K919" s="60"/>
      <c r="L919" s="61"/>
      <c r="M919" s="61"/>
      <c r="N919" s="61"/>
      <c r="O919" s="66"/>
      <c r="P919" s="76" t="str">
        <f t="shared" ca="1" si="57"/>
        <v/>
      </c>
      <c r="Q919" s="65" t="str">
        <f t="shared" ca="1" si="58"/>
        <v/>
      </c>
      <c r="R919" s="2"/>
      <c r="S919" s="2"/>
      <c r="T919" s="1"/>
      <c r="U919" s="1" t="str">
        <f t="shared" si="59"/>
        <v/>
      </c>
    </row>
    <row r="920" spans="1:21" ht="18" customHeight="1" x14ac:dyDescent="0.3">
      <c r="A920" s="2"/>
      <c r="B920" s="65" t="str">
        <f t="shared" si="56"/>
        <v/>
      </c>
      <c r="C920" s="60"/>
      <c r="D920" s="65" t="str">
        <f>IF($E920="","",IFERROR(INDEX(MUSTERILER!$B$7:$B$156,MATCH($U920,MUSTERILER!$T$7:$T$156,0)),IFERROR(INDEX(MUSTERILER!$B$7:$B$156,MATCH($E920,MUSTERILER!$B$7:$B$156,0)),IFERROR(INDEX(MUSTERILER!$B$7:$B$156,MATCH($U920&amp;"*",MUSTERILER!$T$7:$T$156,0)),"TANIMSIZ MÜŞTERİ"))))</f>
        <v/>
      </c>
      <c r="E920" s="61"/>
      <c r="F920" s="61"/>
      <c r="G920" s="60"/>
      <c r="H920" s="66"/>
      <c r="I920" s="66"/>
      <c r="J920" s="60"/>
      <c r="K920" s="60"/>
      <c r="L920" s="61"/>
      <c r="M920" s="61"/>
      <c r="N920" s="61"/>
      <c r="O920" s="66"/>
      <c r="P920" s="76" t="str">
        <f t="shared" ca="1" si="57"/>
        <v/>
      </c>
      <c r="Q920" s="65" t="str">
        <f t="shared" ca="1" si="58"/>
        <v/>
      </c>
      <c r="R920" s="2"/>
      <c r="S920" s="2"/>
      <c r="T920" s="1"/>
      <c r="U920" s="1" t="str">
        <f t="shared" si="59"/>
        <v/>
      </c>
    </row>
    <row r="921" spans="1:21" ht="18" customHeight="1" x14ac:dyDescent="0.3">
      <c r="A921" s="2"/>
      <c r="B921" s="65" t="str">
        <f t="shared" si="56"/>
        <v/>
      </c>
      <c r="C921" s="60"/>
      <c r="D921" s="65" t="str">
        <f>IF($E921="","",IFERROR(INDEX(MUSTERILER!$B$7:$B$156,MATCH($U921,MUSTERILER!$T$7:$T$156,0)),IFERROR(INDEX(MUSTERILER!$B$7:$B$156,MATCH($E921,MUSTERILER!$B$7:$B$156,0)),IFERROR(INDEX(MUSTERILER!$B$7:$B$156,MATCH($U921&amp;"*",MUSTERILER!$T$7:$T$156,0)),"TANIMSIZ MÜŞTERİ"))))</f>
        <v/>
      </c>
      <c r="E921" s="61"/>
      <c r="F921" s="61"/>
      <c r="G921" s="60"/>
      <c r="H921" s="66"/>
      <c r="I921" s="66"/>
      <c r="J921" s="60"/>
      <c r="K921" s="60"/>
      <c r="L921" s="61"/>
      <c r="M921" s="61"/>
      <c r="N921" s="61"/>
      <c r="O921" s="66"/>
      <c r="P921" s="76" t="str">
        <f t="shared" ca="1" si="57"/>
        <v/>
      </c>
      <c r="Q921" s="65" t="str">
        <f t="shared" ca="1" si="58"/>
        <v/>
      </c>
      <c r="R921" s="2"/>
      <c r="S921" s="2"/>
      <c r="T921" s="1"/>
      <c r="U921" s="1" t="str">
        <f t="shared" si="59"/>
        <v/>
      </c>
    </row>
    <row r="922" spans="1:21" ht="18" customHeight="1" x14ac:dyDescent="0.3">
      <c r="A922" s="2"/>
      <c r="B922" s="65" t="str">
        <f t="shared" si="56"/>
        <v/>
      </c>
      <c r="C922" s="60"/>
      <c r="D922" s="65" t="str">
        <f>IF($E922="","",IFERROR(INDEX(MUSTERILER!$B$7:$B$156,MATCH($U922,MUSTERILER!$T$7:$T$156,0)),IFERROR(INDEX(MUSTERILER!$B$7:$B$156,MATCH($E922,MUSTERILER!$B$7:$B$156,0)),IFERROR(INDEX(MUSTERILER!$B$7:$B$156,MATCH($U922&amp;"*",MUSTERILER!$T$7:$T$156,0)),"TANIMSIZ MÜŞTERİ"))))</f>
        <v/>
      </c>
      <c r="E922" s="61"/>
      <c r="F922" s="61"/>
      <c r="G922" s="60"/>
      <c r="H922" s="66"/>
      <c r="I922" s="66"/>
      <c r="J922" s="60"/>
      <c r="K922" s="60"/>
      <c r="L922" s="61"/>
      <c r="M922" s="61"/>
      <c r="N922" s="61"/>
      <c r="O922" s="66"/>
      <c r="P922" s="76" t="str">
        <f t="shared" ca="1" si="57"/>
        <v/>
      </c>
      <c r="Q922" s="65" t="str">
        <f t="shared" ca="1" si="58"/>
        <v/>
      </c>
      <c r="R922" s="2"/>
      <c r="S922" s="2"/>
      <c r="T922" s="1"/>
      <c r="U922" s="1" t="str">
        <f t="shared" si="59"/>
        <v/>
      </c>
    </row>
    <row r="923" spans="1:21" ht="18" customHeight="1" x14ac:dyDescent="0.3">
      <c r="A923" s="2"/>
      <c r="B923" s="65" t="str">
        <f t="shared" si="56"/>
        <v/>
      </c>
      <c r="C923" s="60"/>
      <c r="D923" s="65" t="str">
        <f>IF($E923="","",IFERROR(INDEX(MUSTERILER!$B$7:$B$156,MATCH($U923,MUSTERILER!$T$7:$T$156,0)),IFERROR(INDEX(MUSTERILER!$B$7:$B$156,MATCH($E923,MUSTERILER!$B$7:$B$156,0)),IFERROR(INDEX(MUSTERILER!$B$7:$B$156,MATCH($U923&amp;"*",MUSTERILER!$T$7:$T$156,0)),"TANIMSIZ MÜŞTERİ"))))</f>
        <v/>
      </c>
      <c r="E923" s="61"/>
      <c r="F923" s="61"/>
      <c r="G923" s="60"/>
      <c r="H923" s="66"/>
      <c r="I923" s="66"/>
      <c r="J923" s="60"/>
      <c r="K923" s="60"/>
      <c r="L923" s="61"/>
      <c r="M923" s="61"/>
      <c r="N923" s="61"/>
      <c r="O923" s="66"/>
      <c r="P923" s="76" t="str">
        <f t="shared" ca="1" si="57"/>
        <v/>
      </c>
      <c r="Q923" s="65" t="str">
        <f t="shared" ca="1" si="58"/>
        <v/>
      </c>
      <c r="R923" s="2"/>
      <c r="S923" s="2"/>
      <c r="T923" s="1"/>
      <c r="U923" s="1" t="str">
        <f t="shared" si="59"/>
        <v/>
      </c>
    </row>
    <row r="924" spans="1:21" ht="18" customHeight="1" x14ac:dyDescent="0.3">
      <c r="A924" s="2"/>
      <c r="B924" s="65" t="str">
        <f t="shared" si="56"/>
        <v/>
      </c>
      <c r="C924" s="60"/>
      <c r="D924" s="65" t="str">
        <f>IF($E924="","",IFERROR(INDEX(MUSTERILER!$B$7:$B$156,MATCH($U924,MUSTERILER!$T$7:$T$156,0)),IFERROR(INDEX(MUSTERILER!$B$7:$B$156,MATCH($E924,MUSTERILER!$B$7:$B$156,0)),IFERROR(INDEX(MUSTERILER!$B$7:$B$156,MATCH($U924&amp;"*",MUSTERILER!$T$7:$T$156,0)),"TANIMSIZ MÜŞTERİ"))))</f>
        <v/>
      </c>
      <c r="E924" s="61"/>
      <c r="F924" s="61"/>
      <c r="G924" s="60"/>
      <c r="H924" s="66"/>
      <c r="I924" s="66"/>
      <c r="J924" s="60"/>
      <c r="K924" s="60"/>
      <c r="L924" s="61"/>
      <c r="M924" s="61"/>
      <c r="N924" s="61"/>
      <c r="O924" s="66"/>
      <c r="P924" s="76" t="str">
        <f t="shared" ca="1" si="57"/>
        <v/>
      </c>
      <c r="Q924" s="65" t="str">
        <f t="shared" ca="1" si="58"/>
        <v/>
      </c>
      <c r="R924" s="2"/>
      <c r="S924" s="2"/>
      <c r="T924" s="1"/>
      <c r="U924" s="1" t="str">
        <f t="shared" si="59"/>
        <v/>
      </c>
    </row>
    <row r="925" spans="1:21" ht="18" customHeight="1" x14ac:dyDescent="0.3">
      <c r="A925" s="2"/>
      <c r="B925" s="65" t="str">
        <f t="shared" si="56"/>
        <v/>
      </c>
      <c r="C925" s="60"/>
      <c r="D925" s="65" t="str">
        <f>IF($E925="","",IFERROR(INDEX(MUSTERILER!$B$7:$B$156,MATCH($U925,MUSTERILER!$T$7:$T$156,0)),IFERROR(INDEX(MUSTERILER!$B$7:$B$156,MATCH($E925,MUSTERILER!$B$7:$B$156,0)),IFERROR(INDEX(MUSTERILER!$B$7:$B$156,MATCH($U925&amp;"*",MUSTERILER!$T$7:$T$156,0)),"TANIMSIZ MÜŞTERİ"))))</f>
        <v/>
      </c>
      <c r="E925" s="61"/>
      <c r="F925" s="61"/>
      <c r="G925" s="60"/>
      <c r="H925" s="66"/>
      <c r="I925" s="66"/>
      <c r="J925" s="60"/>
      <c r="K925" s="60"/>
      <c r="L925" s="61"/>
      <c r="M925" s="61"/>
      <c r="N925" s="61"/>
      <c r="O925" s="66"/>
      <c r="P925" s="76" t="str">
        <f t="shared" ca="1" si="57"/>
        <v/>
      </c>
      <c r="Q925" s="65" t="str">
        <f t="shared" ca="1" si="58"/>
        <v/>
      </c>
      <c r="R925" s="2"/>
      <c r="S925" s="2"/>
      <c r="T925" s="1"/>
      <c r="U925" s="1" t="str">
        <f t="shared" si="59"/>
        <v/>
      </c>
    </row>
    <row r="926" spans="1:21" ht="18" customHeight="1" x14ac:dyDescent="0.3">
      <c r="A926" s="2"/>
      <c r="B926" s="65" t="str">
        <f t="shared" si="56"/>
        <v/>
      </c>
      <c r="C926" s="60"/>
      <c r="D926" s="65" t="str">
        <f>IF($E926="","",IFERROR(INDEX(MUSTERILER!$B$7:$B$156,MATCH($U926,MUSTERILER!$T$7:$T$156,0)),IFERROR(INDEX(MUSTERILER!$B$7:$B$156,MATCH($E926,MUSTERILER!$B$7:$B$156,0)),IFERROR(INDEX(MUSTERILER!$B$7:$B$156,MATCH($U926&amp;"*",MUSTERILER!$T$7:$T$156,0)),"TANIMSIZ MÜŞTERİ"))))</f>
        <v/>
      </c>
      <c r="E926" s="61"/>
      <c r="F926" s="61"/>
      <c r="G926" s="60"/>
      <c r="H926" s="66"/>
      <c r="I926" s="66"/>
      <c r="J926" s="60"/>
      <c r="K926" s="60"/>
      <c r="L926" s="61"/>
      <c r="M926" s="61"/>
      <c r="N926" s="61"/>
      <c r="O926" s="66"/>
      <c r="P926" s="76" t="str">
        <f t="shared" ca="1" si="57"/>
        <v/>
      </c>
      <c r="Q926" s="65" t="str">
        <f t="shared" ca="1" si="58"/>
        <v/>
      </c>
      <c r="R926" s="2"/>
      <c r="S926" s="2"/>
      <c r="T926" s="1"/>
      <c r="U926" s="1" t="str">
        <f t="shared" si="59"/>
        <v/>
      </c>
    </row>
    <row r="927" spans="1:21" ht="18" customHeight="1" x14ac:dyDescent="0.3">
      <c r="A927" s="2"/>
      <c r="B927" s="65" t="str">
        <f t="shared" si="56"/>
        <v/>
      </c>
      <c r="C927" s="60"/>
      <c r="D927" s="65" t="str">
        <f>IF($E927="","",IFERROR(INDEX(MUSTERILER!$B$7:$B$156,MATCH($U927,MUSTERILER!$T$7:$T$156,0)),IFERROR(INDEX(MUSTERILER!$B$7:$B$156,MATCH($E927,MUSTERILER!$B$7:$B$156,0)),IFERROR(INDEX(MUSTERILER!$B$7:$B$156,MATCH($U927&amp;"*",MUSTERILER!$T$7:$T$156,0)),"TANIMSIZ MÜŞTERİ"))))</f>
        <v/>
      </c>
      <c r="E927" s="61"/>
      <c r="F927" s="61"/>
      <c r="G927" s="60"/>
      <c r="H927" s="66"/>
      <c r="I927" s="66"/>
      <c r="J927" s="60"/>
      <c r="K927" s="60"/>
      <c r="L927" s="61"/>
      <c r="M927" s="61"/>
      <c r="N927" s="61"/>
      <c r="O927" s="66"/>
      <c r="P927" s="76" t="str">
        <f t="shared" ca="1" si="57"/>
        <v/>
      </c>
      <c r="Q927" s="65" t="str">
        <f t="shared" ca="1" si="58"/>
        <v/>
      </c>
      <c r="R927" s="2"/>
      <c r="S927" s="2"/>
      <c r="T927" s="1"/>
      <c r="U927" s="1" t="str">
        <f t="shared" si="59"/>
        <v/>
      </c>
    </row>
    <row r="928" spans="1:21" ht="18" customHeight="1" x14ac:dyDescent="0.3">
      <c r="A928" s="2"/>
      <c r="B928" s="65" t="str">
        <f t="shared" si="56"/>
        <v/>
      </c>
      <c r="C928" s="60"/>
      <c r="D928" s="65" t="str">
        <f>IF($E928="","",IFERROR(INDEX(MUSTERILER!$B$7:$B$156,MATCH($U928,MUSTERILER!$T$7:$T$156,0)),IFERROR(INDEX(MUSTERILER!$B$7:$B$156,MATCH($E928,MUSTERILER!$B$7:$B$156,0)),IFERROR(INDEX(MUSTERILER!$B$7:$B$156,MATCH($U928&amp;"*",MUSTERILER!$T$7:$T$156,0)),"TANIMSIZ MÜŞTERİ"))))</f>
        <v/>
      </c>
      <c r="E928" s="61"/>
      <c r="F928" s="61"/>
      <c r="G928" s="60"/>
      <c r="H928" s="66"/>
      <c r="I928" s="66"/>
      <c r="J928" s="60"/>
      <c r="K928" s="60"/>
      <c r="L928" s="61"/>
      <c r="M928" s="61"/>
      <c r="N928" s="61"/>
      <c r="O928" s="66"/>
      <c r="P928" s="76" t="str">
        <f t="shared" ca="1" si="57"/>
        <v/>
      </c>
      <c r="Q928" s="65" t="str">
        <f t="shared" ca="1" si="58"/>
        <v/>
      </c>
      <c r="R928" s="2"/>
      <c r="S928" s="2"/>
      <c r="T928" s="1"/>
      <c r="U928" s="1" t="str">
        <f t="shared" si="59"/>
        <v/>
      </c>
    </row>
    <row r="929" spans="1:21" ht="18" customHeight="1" x14ac:dyDescent="0.3">
      <c r="A929" s="2"/>
      <c r="B929" s="65" t="str">
        <f t="shared" si="56"/>
        <v/>
      </c>
      <c r="C929" s="60"/>
      <c r="D929" s="65" t="str">
        <f>IF($E929="","",IFERROR(INDEX(MUSTERILER!$B$7:$B$156,MATCH($U929,MUSTERILER!$T$7:$T$156,0)),IFERROR(INDEX(MUSTERILER!$B$7:$B$156,MATCH($E929,MUSTERILER!$B$7:$B$156,0)),IFERROR(INDEX(MUSTERILER!$B$7:$B$156,MATCH($U929&amp;"*",MUSTERILER!$T$7:$T$156,0)),"TANIMSIZ MÜŞTERİ"))))</f>
        <v/>
      </c>
      <c r="E929" s="61"/>
      <c r="F929" s="61"/>
      <c r="G929" s="60"/>
      <c r="H929" s="66"/>
      <c r="I929" s="66"/>
      <c r="J929" s="60"/>
      <c r="K929" s="60"/>
      <c r="L929" s="61"/>
      <c r="M929" s="61"/>
      <c r="N929" s="61"/>
      <c r="O929" s="66"/>
      <c r="P929" s="76" t="str">
        <f t="shared" ca="1" si="57"/>
        <v/>
      </c>
      <c r="Q929" s="65" t="str">
        <f t="shared" ca="1" si="58"/>
        <v/>
      </c>
      <c r="R929" s="2"/>
      <c r="S929" s="2"/>
      <c r="T929" s="1"/>
      <c r="U929" s="1" t="str">
        <f t="shared" si="59"/>
        <v/>
      </c>
    </row>
    <row r="930" spans="1:21" ht="18" customHeight="1" x14ac:dyDescent="0.3">
      <c r="A930" s="2"/>
      <c r="B930" s="65" t="str">
        <f t="shared" si="56"/>
        <v/>
      </c>
      <c r="C930" s="60"/>
      <c r="D930" s="65" t="str">
        <f>IF($E930="","",IFERROR(INDEX(MUSTERILER!$B$7:$B$156,MATCH($U930,MUSTERILER!$T$7:$T$156,0)),IFERROR(INDEX(MUSTERILER!$B$7:$B$156,MATCH($E930,MUSTERILER!$B$7:$B$156,0)),IFERROR(INDEX(MUSTERILER!$B$7:$B$156,MATCH($U930&amp;"*",MUSTERILER!$T$7:$T$156,0)),"TANIMSIZ MÜŞTERİ"))))</f>
        <v/>
      </c>
      <c r="E930" s="61"/>
      <c r="F930" s="61"/>
      <c r="G930" s="60"/>
      <c r="H930" s="66"/>
      <c r="I930" s="66"/>
      <c r="J930" s="60"/>
      <c r="K930" s="60"/>
      <c r="L930" s="61"/>
      <c r="M930" s="61"/>
      <c r="N930" s="61"/>
      <c r="O930" s="66"/>
      <c r="P930" s="76" t="str">
        <f t="shared" ca="1" si="57"/>
        <v/>
      </c>
      <c r="Q930" s="65" t="str">
        <f t="shared" ca="1" si="58"/>
        <v/>
      </c>
      <c r="R930" s="2"/>
      <c r="S930" s="2"/>
      <c r="T930" s="1"/>
      <c r="U930" s="1" t="str">
        <f t="shared" si="59"/>
        <v/>
      </c>
    </row>
    <row r="931" spans="1:21" ht="18" customHeight="1" x14ac:dyDescent="0.3">
      <c r="A931" s="2"/>
      <c r="B931" s="65" t="str">
        <f t="shared" si="56"/>
        <v/>
      </c>
      <c r="C931" s="60"/>
      <c r="D931" s="65" t="str">
        <f>IF($E931="","",IFERROR(INDEX(MUSTERILER!$B$7:$B$156,MATCH($U931,MUSTERILER!$T$7:$T$156,0)),IFERROR(INDEX(MUSTERILER!$B$7:$B$156,MATCH($E931,MUSTERILER!$B$7:$B$156,0)),IFERROR(INDEX(MUSTERILER!$B$7:$B$156,MATCH($U931&amp;"*",MUSTERILER!$T$7:$T$156,0)),"TANIMSIZ MÜŞTERİ"))))</f>
        <v/>
      </c>
      <c r="E931" s="61"/>
      <c r="F931" s="61"/>
      <c r="G931" s="60"/>
      <c r="H931" s="66"/>
      <c r="I931" s="66"/>
      <c r="J931" s="60"/>
      <c r="K931" s="60"/>
      <c r="L931" s="61"/>
      <c r="M931" s="61"/>
      <c r="N931" s="61"/>
      <c r="O931" s="66"/>
      <c r="P931" s="76" t="str">
        <f t="shared" ca="1" si="57"/>
        <v/>
      </c>
      <c r="Q931" s="65" t="str">
        <f t="shared" ca="1" si="58"/>
        <v/>
      </c>
      <c r="R931" s="2"/>
      <c r="S931" s="2"/>
      <c r="T931" s="1"/>
      <c r="U931" s="1" t="str">
        <f t="shared" si="59"/>
        <v/>
      </c>
    </row>
    <row r="932" spans="1:21" ht="18" customHeight="1" x14ac:dyDescent="0.3">
      <c r="A932" s="2"/>
      <c r="B932" s="65" t="str">
        <f t="shared" si="56"/>
        <v/>
      </c>
      <c r="C932" s="60"/>
      <c r="D932" s="65" t="str">
        <f>IF($E932="","",IFERROR(INDEX(MUSTERILER!$B$7:$B$156,MATCH($U932,MUSTERILER!$T$7:$T$156,0)),IFERROR(INDEX(MUSTERILER!$B$7:$B$156,MATCH($E932,MUSTERILER!$B$7:$B$156,0)),IFERROR(INDEX(MUSTERILER!$B$7:$B$156,MATCH($U932&amp;"*",MUSTERILER!$T$7:$T$156,0)),"TANIMSIZ MÜŞTERİ"))))</f>
        <v/>
      </c>
      <c r="E932" s="61"/>
      <c r="F932" s="61"/>
      <c r="G932" s="60"/>
      <c r="H932" s="66"/>
      <c r="I932" s="66"/>
      <c r="J932" s="60"/>
      <c r="K932" s="60"/>
      <c r="L932" s="61"/>
      <c r="M932" s="61"/>
      <c r="N932" s="61"/>
      <c r="O932" s="66"/>
      <c r="P932" s="76" t="str">
        <f t="shared" ca="1" si="57"/>
        <v/>
      </c>
      <c r="Q932" s="65" t="str">
        <f t="shared" ca="1" si="58"/>
        <v/>
      </c>
      <c r="R932" s="2"/>
      <c r="S932" s="2"/>
      <c r="T932" s="1"/>
      <c r="U932" s="1" t="str">
        <f t="shared" si="59"/>
        <v/>
      </c>
    </row>
    <row r="933" spans="1:21" ht="18" customHeight="1" x14ac:dyDescent="0.3">
      <c r="A933" s="2"/>
      <c r="B933" s="65" t="str">
        <f t="shared" si="56"/>
        <v/>
      </c>
      <c r="C933" s="60"/>
      <c r="D933" s="65" t="str">
        <f>IF($E933="","",IFERROR(INDEX(MUSTERILER!$B$7:$B$156,MATCH($U933,MUSTERILER!$T$7:$T$156,0)),IFERROR(INDEX(MUSTERILER!$B$7:$B$156,MATCH($E933,MUSTERILER!$B$7:$B$156,0)),IFERROR(INDEX(MUSTERILER!$B$7:$B$156,MATCH($U933&amp;"*",MUSTERILER!$T$7:$T$156,0)),"TANIMSIZ MÜŞTERİ"))))</f>
        <v/>
      </c>
      <c r="E933" s="61"/>
      <c r="F933" s="61"/>
      <c r="G933" s="60"/>
      <c r="H933" s="66"/>
      <c r="I933" s="66"/>
      <c r="J933" s="60"/>
      <c r="K933" s="60"/>
      <c r="L933" s="61"/>
      <c r="M933" s="61"/>
      <c r="N933" s="61"/>
      <c r="O933" s="66"/>
      <c r="P933" s="76" t="str">
        <f t="shared" ca="1" si="57"/>
        <v/>
      </c>
      <c r="Q933" s="65" t="str">
        <f t="shared" ca="1" si="58"/>
        <v/>
      </c>
      <c r="R933" s="2"/>
      <c r="S933" s="2"/>
      <c r="T933" s="1"/>
      <c r="U933" s="1" t="str">
        <f t="shared" si="59"/>
        <v/>
      </c>
    </row>
    <row r="934" spans="1:21" ht="18" customHeight="1" x14ac:dyDescent="0.3">
      <c r="A934" s="2"/>
      <c r="B934" s="65" t="str">
        <f t="shared" si="56"/>
        <v/>
      </c>
      <c r="C934" s="60"/>
      <c r="D934" s="65" t="str">
        <f>IF($E934="","",IFERROR(INDEX(MUSTERILER!$B$7:$B$156,MATCH($U934,MUSTERILER!$T$7:$T$156,0)),IFERROR(INDEX(MUSTERILER!$B$7:$B$156,MATCH($E934,MUSTERILER!$B$7:$B$156,0)),IFERROR(INDEX(MUSTERILER!$B$7:$B$156,MATCH($U934&amp;"*",MUSTERILER!$T$7:$T$156,0)),"TANIMSIZ MÜŞTERİ"))))</f>
        <v/>
      </c>
      <c r="E934" s="61"/>
      <c r="F934" s="61"/>
      <c r="G934" s="60"/>
      <c r="H934" s="66"/>
      <c r="I934" s="66"/>
      <c r="J934" s="60"/>
      <c r="K934" s="60"/>
      <c r="L934" s="61"/>
      <c r="M934" s="61"/>
      <c r="N934" s="61"/>
      <c r="O934" s="66"/>
      <c r="P934" s="76" t="str">
        <f t="shared" ca="1" si="57"/>
        <v/>
      </c>
      <c r="Q934" s="65" t="str">
        <f t="shared" ca="1" si="58"/>
        <v/>
      </c>
      <c r="R934" s="2"/>
      <c r="S934" s="2"/>
      <c r="T934" s="1"/>
      <c r="U934" s="1" t="str">
        <f t="shared" si="59"/>
        <v/>
      </c>
    </row>
    <row r="935" spans="1:21" ht="18" customHeight="1" x14ac:dyDescent="0.3">
      <c r="A935" s="2"/>
      <c r="B935" s="65" t="str">
        <f t="shared" si="56"/>
        <v/>
      </c>
      <c r="C935" s="60"/>
      <c r="D935" s="65" t="str">
        <f>IF($E935="","",IFERROR(INDEX(MUSTERILER!$B$7:$B$156,MATCH($U935,MUSTERILER!$T$7:$T$156,0)),IFERROR(INDEX(MUSTERILER!$B$7:$B$156,MATCH($E935,MUSTERILER!$B$7:$B$156,0)),IFERROR(INDEX(MUSTERILER!$B$7:$B$156,MATCH($U935&amp;"*",MUSTERILER!$T$7:$T$156,0)),"TANIMSIZ MÜŞTERİ"))))</f>
        <v/>
      </c>
      <c r="E935" s="61"/>
      <c r="F935" s="61"/>
      <c r="G935" s="60"/>
      <c r="H935" s="66"/>
      <c r="I935" s="66"/>
      <c r="J935" s="60"/>
      <c r="K935" s="60"/>
      <c r="L935" s="61"/>
      <c r="M935" s="61"/>
      <c r="N935" s="61"/>
      <c r="O935" s="66"/>
      <c r="P935" s="76" t="str">
        <f t="shared" ca="1" si="57"/>
        <v/>
      </c>
      <c r="Q935" s="65" t="str">
        <f t="shared" ca="1" si="58"/>
        <v/>
      </c>
      <c r="R935" s="2"/>
      <c r="S935" s="2"/>
      <c r="T935" s="1"/>
      <c r="U935" s="1" t="str">
        <f t="shared" si="59"/>
        <v/>
      </c>
    </row>
    <row r="936" spans="1:21" ht="18" customHeight="1" x14ac:dyDescent="0.3">
      <c r="A936" s="2"/>
      <c r="B936" s="65" t="str">
        <f t="shared" si="56"/>
        <v/>
      </c>
      <c r="C936" s="60"/>
      <c r="D936" s="65" t="str">
        <f>IF($E936="","",IFERROR(INDEX(MUSTERILER!$B$7:$B$156,MATCH($U936,MUSTERILER!$T$7:$T$156,0)),IFERROR(INDEX(MUSTERILER!$B$7:$B$156,MATCH($E936,MUSTERILER!$B$7:$B$156,0)),IFERROR(INDEX(MUSTERILER!$B$7:$B$156,MATCH($U936&amp;"*",MUSTERILER!$T$7:$T$156,0)),"TANIMSIZ MÜŞTERİ"))))</f>
        <v/>
      </c>
      <c r="E936" s="61"/>
      <c r="F936" s="61"/>
      <c r="G936" s="60"/>
      <c r="H936" s="66"/>
      <c r="I936" s="66"/>
      <c r="J936" s="60"/>
      <c r="K936" s="60"/>
      <c r="L936" s="61"/>
      <c r="M936" s="61"/>
      <c r="N936" s="61"/>
      <c r="O936" s="66"/>
      <c r="P936" s="76" t="str">
        <f t="shared" ca="1" si="57"/>
        <v/>
      </c>
      <c r="Q936" s="65" t="str">
        <f t="shared" ca="1" si="58"/>
        <v/>
      </c>
      <c r="R936" s="2"/>
      <c r="S936" s="2"/>
      <c r="T936" s="1"/>
      <c r="U936" s="1" t="str">
        <f t="shared" si="59"/>
        <v/>
      </c>
    </row>
    <row r="937" spans="1:21" ht="18" customHeight="1" x14ac:dyDescent="0.3">
      <c r="A937" s="2"/>
      <c r="B937" s="65" t="str">
        <f t="shared" si="56"/>
        <v/>
      </c>
      <c r="C937" s="60"/>
      <c r="D937" s="65" t="str">
        <f>IF($E937="","",IFERROR(INDEX(MUSTERILER!$B$7:$B$156,MATCH($U937,MUSTERILER!$T$7:$T$156,0)),IFERROR(INDEX(MUSTERILER!$B$7:$B$156,MATCH($E937,MUSTERILER!$B$7:$B$156,0)),IFERROR(INDEX(MUSTERILER!$B$7:$B$156,MATCH($U937&amp;"*",MUSTERILER!$T$7:$T$156,0)),"TANIMSIZ MÜŞTERİ"))))</f>
        <v/>
      </c>
      <c r="E937" s="61"/>
      <c r="F937" s="61"/>
      <c r="G937" s="60"/>
      <c r="H937" s="66"/>
      <c r="I937" s="66"/>
      <c r="J937" s="60"/>
      <c r="K937" s="60"/>
      <c r="L937" s="61"/>
      <c r="M937" s="61"/>
      <c r="N937" s="61"/>
      <c r="O937" s="66"/>
      <c r="P937" s="76" t="str">
        <f t="shared" ca="1" si="57"/>
        <v/>
      </c>
      <c r="Q937" s="65" t="str">
        <f t="shared" ca="1" si="58"/>
        <v/>
      </c>
      <c r="R937" s="2"/>
      <c r="S937" s="2"/>
      <c r="T937" s="1"/>
      <c r="U937" s="1" t="str">
        <f t="shared" si="59"/>
        <v/>
      </c>
    </row>
    <row r="938" spans="1:21" ht="18" customHeight="1" x14ac:dyDescent="0.3">
      <c r="A938" s="2"/>
      <c r="B938" s="65" t="str">
        <f t="shared" si="56"/>
        <v/>
      </c>
      <c r="C938" s="60"/>
      <c r="D938" s="65" t="str">
        <f>IF($E938="","",IFERROR(INDEX(MUSTERILER!$B$7:$B$156,MATCH($U938,MUSTERILER!$T$7:$T$156,0)),IFERROR(INDEX(MUSTERILER!$B$7:$B$156,MATCH($E938,MUSTERILER!$B$7:$B$156,0)),IFERROR(INDEX(MUSTERILER!$B$7:$B$156,MATCH($U938&amp;"*",MUSTERILER!$T$7:$T$156,0)),"TANIMSIZ MÜŞTERİ"))))</f>
        <v/>
      </c>
      <c r="E938" s="61"/>
      <c r="F938" s="61"/>
      <c r="G938" s="60"/>
      <c r="H938" s="66"/>
      <c r="I938" s="66"/>
      <c r="J938" s="60"/>
      <c r="K938" s="60"/>
      <c r="L938" s="61"/>
      <c r="M938" s="61"/>
      <c r="N938" s="61"/>
      <c r="O938" s="66"/>
      <c r="P938" s="76" t="str">
        <f t="shared" ca="1" si="57"/>
        <v/>
      </c>
      <c r="Q938" s="65" t="str">
        <f t="shared" ca="1" si="58"/>
        <v/>
      </c>
      <c r="R938" s="2"/>
      <c r="S938" s="2"/>
      <c r="T938" s="1"/>
      <c r="U938" s="1" t="str">
        <f t="shared" si="59"/>
        <v/>
      </c>
    </row>
    <row r="939" spans="1:21" ht="18" customHeight="1" x14ac:dyDescent="0.3">
      <c r="A939" s="2"/>
      <c r="B939" s="65" t="str">
        <f t="shared" si="56"/>
        <v/>
      </c>
      <c r="C939" s="60"/>
      <c r="D939" s="65" t="str">
        <f>IF($E939="","",IFERROR(INDEX(MUSTERILER!$B$7:$B$156,MATCH($U939,MUSTERILER!$T$7:$T$156,0)),IFERROR(INDEX(MUSTERILER!$B$7:$B$156,MATCH($E939,MUSTERILER!$B$7:$B$156,0)),IFERROR(INDEX(MUSTERILER!$B$7:$B$156,MATCH($U939&amp;"*",MUSTERILER!$T$7:$T$156,0)),"TANIMSIZ MÜŞTERİ"))))</f>
        <v/>
      </c>
      <c r="E939" s="61"/>
      <c r="F939" s="61"/>
      <c r="G939" s="60"/>
      <c r="H939" s="66"/>
      <c r="I939" s="66"/>
      <c r="J939" s="60"/>
      <c r="K939" s="60"/>
      <c r="L939" s="61"/>
      <c r="M939" s="61"/>
      <c r="N939" s="61"/>
      <c r="O939" s="66"/>
      <c r="P939" s="76" t="str">
        <f t="shared" ca="1" si="57"/>
        <v/>
      </c>
      <c r="Q939" s="65" t="str">
        <f t="shared" ca="1" si="58"/>
        <v/>
      </c>
      <c r="R939" s="2"/>
      <c r="S939" s="2"/>
      <c r="T939" s="1"/>
      <c r="U939" s="1" t="str">
        <f t="shared" si="59"/>
        <v/>
      </c>
    </row>
    <row r="940" spans="1:21" ht="18" customHeight="1" x14ac:dyDescent="0.3">
      <c r="A940" s="2"/>
      <c r="B940" s="65" t="str">
        <f t="shared" si="56"/>
        <v/>
      </c>
      <c r="C940" s="60"/>
      <c r="D940" s="65" t="str">
        <f>IF($E940="","",IFERROR(INDEX(MUSTERILER!$B$7:$B$156,MATCH($U940,MUSTERILER!$T$7:$T$156,0)),IFERROR(INDEX(MUSTERILER!$B$7:$B$156,MATCH($E940,MUSTERILER!$B$7:$B$156,0)),IFERROR(INDEX(MUSTERILER!$B$7:$B$156,MATCH($U940&amp;"*",MUSTERILER!$T$7:$T$156,0)),"TANIMSIZ MÜŞTERİ"))))</f>
        <v/>
      </c>
      <c r="E940" s="61"/>
      <c r="F940" s="61"/>
      <c r="G940" s="60"/>
      <c r="H940" s="66"/>
      <c r="I940" s="66"/>
      <c r="J940" s="60"/>
      <c r="K940" s="60"/>
      <c r="L940" s="61"/>
      <c r="M940" s="61"/>
      <c r="N940" s="61"/>
      <c r="O940" s="66"/>
      <c r="P940" s="76" t="str">
        <f t="shared" ca="1" si="57"/>
        <v/>
      </c>
      <c r="Q940" s="65" t="str">
        <f t="shared" ca="1" si="58"/>
        <v/>
      </c>
      <c r="R940" s="2"/>
      <c r="S940" s="2"/>
      <c r="T940" s="1"/>
      <c r="U940" s="1" t="str">
        <f t="shared" si="59"/>
        <v/>
      </c>
    </row>
    <row r="941" spans="1:21" ht="18" customHeight="1" x14ac:dyDescent="0.3">
      <c r="A941" s="2"/>
      <c r="B941" s="65" t="str">
        <f t="shared" si="56"/>
        <v/>
      </c>
      <c r="C941" s="60"/>
      <c r="D941" s="65" t="str">
        <f>IF($E941="","",IFERROR(INDEX(MUSTERILER!$B$7:$B$156,MATCH($U941,MUSTERILER!$T$7:$T$156,0)),IFERROR(INDEX(MUSTERILER!$B$7:$B$156,MATCH($E941,MUSTERILER!$B$7:$B$156,0)),IFERROR(INDEX(MUSTERILER!$B$7:$B$156,MATCH($U941&amp;"*",MUSTERILER!$T$7:$T$156,0)),"TANIMSIZ MÜŞTERİ"))))</f>
        <v/>
      </c>
      <c r="E941" s="61"/>
      <c r="F941" s="61"/>
      <c r="G941" s="60"/>
      <c r="H941" s="66"/>
      <c r="I941" s="66"/>
      <c r="J941" s="60"/>
      <c r="K941" s="60"/>
      <c r="L941" s="61"/>
      <c r="M941" s="61"/>
      <c r="N941" s="61"/>
      <c r="O941" s="66"/>
      <c r="P941" s="76" t="str">
        <f t="shared" ca="1" si="57"/>
        <v/>
      </c>
      <c r="Q941" s="65" t="str">
        <f t="shared" ca="1" si="58"/>
        <v/>
      </c>
      <c r="R941" s="2"/>
      <c r="S941" s="2"/>
      <c r="T941" s="1"/>
      <c r="U941" s="1" t="str">
        <f t="shared" si="59"/>
        <v/>
      </c>
    </row>
    <row r="942" spans="1:21" ht="18" customHeight="1" x14ac:dyDescent="0.3">
      <c r="A942" s="2"/>
      <c r="B942" s="65" t="str">
        <f t="shared" si="56"/>
        <v/>
      </c>
      <c r="C942" s="60"/>
      <c r="D942" s="65" t="str">
        <f>IF($E942="","",IFERROR(INDEX(MUSTERILER!$B$7:$B$156,MATCH($U942,MUSTERILER!$T$7:$T$156,0)),IFERROR(INDEX(MUSTERILER!$B$7:$B$156,MATCH($E942,MUSTERILER!$B$7:$B$156,0)),IFERROR(INDEX(MUSTERILER!$B$7:$B$156,MATCH($U942&amp;"*",MUSTERILER!$T$7:$T$156,0)),"TANIMSIZ MÜŞTERİ"))))</f>
        <v/>
      </c>
      <c r="E942" s="61"/>
      <c r="F942" s="61"/>
      <c r="G942" s="60"/>
      <c r="H942" s="66"/>
      <c r="I942" s="66"/>
      <c r="J942" s="60"/>
      <c r="K942" s="60"/>
      <c r="L942" s="61"/>
      <c r="M942" s="61"/>
      <c r="N942" s="61"/>
      <c r="O942" s="66"/>
      <c r="P942" s="76" t="str">
        <f t="shared" ca="1" si="57"/>
        <v/>
      </c>
      <c r="Q942" s="65" t="str">
        <f t="shared" ca="1" si="58"/>
        <v/>
      </c>
      <c r="R942" s="2"/>
      <c r="S942" s="2"/>
      <c r="T942" s="1"/>
      <c r="U942" s="1" t="str">
        <f t="shared" si="59"/>
        <v/>
      </c>
    </row>
    <row r="943" spans="1:21" ht="18" customHeight="1" x14ac:dyDescent="0.3">
      <c r="A943" s="2"/>
      <c r="B943" s="65" t="str">
        <f t="shared" si="56"/>
        <v/>
      </c>
      <c r="C943" s="60"/>
      <c r="D943" s="65" t="str">
        <f>IF($E943="","",IFERROR(INDEX(MUSTERILER!$B$7:$B$156,MATCH($U943,MUSTERILER!$T$7:$T$156,0)),IFERROR(INDEX(MUSTERILER!$B$7:$B$156,MATCH($E943,MUSTERILER!$B$7:$B$156,0)),IFERROR(INDEX(MUSTERILER!$B$7:$B$156,MATCH($U943&amp;"*",MUSTERILER!$T$7:$T$156,0)),"TANIMSIZ MÜŞTERİ"))))</f>
        <v/>
      </c>
      <c r="E943" s="61"/>
      <c r="F943" s="61"/>
      <c r="G943" s="60"/>
      <c r="H943" s="66"/>
      <c r="I943" s="66"/>
      <c r="J943" s="60"/>
      <c r="K943" s="60"/>
      <c r="L943" s="61"/>
      <c r="M943" s="61"/>
      <c r="N943" s="61"/>
      <c r="O943" s="66"/>
      <c r="P943" s="76" t="str">
        <f t="shared" ca="1" si="57"/>
        <v/>
      </c>
      <c r="Q943" s="65" t="str">
        <f t="shared" ca="1" si="58"/>
        <v/>
      </c>
      <c r="R943" s="2"/>
      <c r="S943" s="2"/>
      <c r="T943" s="1"/>
      <c r="U943" s="1" t="str">
        <f t="shared" si="59"/>
        <v/>
      </c>
    </row>
    <row r="944" spans="1:21" ht="18" customHeight="1" x14ac:dyDescent="0.3">
      <c r="A944" s="2"/>
      <c r="B944" s="65" t="str">
        <f t="shared" si="56"/>
        <v/>
      </c>
      <c r="C944" s="60"/>
      <c r="D944" s="65" t="str">
        <f>IF($E944="","",IFERROR(INDEX(MUSTERILER!$B$7:$B$156,MATCH($U944,MUSTERILER!$T$7:$T$156,0)),IFERROR(INDEX(MUSTERILER!$B$7:$B$156,MATCH($E944,MUSTERILER!$B$7:$B$156,0)),IFERROR(INDEX(MUSTERILER!$B$7:$B$156,MATCH($U944&amp;"*",MUSTERILER!$T$7:$T$156,0)),"TANIMSIZ MÜŞTERİ"))))</f>
        <v/>
      </c>
      <c r="E944" s="61"/>
      <c r="F944" s="61"/>
      <c r="G944" s="60"/>
      <c r="H944" s="66"/>
      <c r="I944" s="66"/>
      <c r="J944" s="60"/>
      <c r="K944" s="60"/>
      <c r="L944" s="61"/>
      <c r="M944" s="61"/>
      <c r="N944" s="61"/>
      <c r="O944" s="66"/>
      <c r="P944" s="76" t="str">
        <f t="shared" ca="1" si="57"/>
        <v/>
      </c>
      <c r="Q944" s="65" t="str">
        <f t="shared" ca="1" si="58"/>
        <v/>
      </c>
      <c r="R944" s="2"/>
      <c r="S944" s="2"/>
      <c r="T944" s="1"/>
      <c r="U944" s="1" t="str">
        <f t="shared" si="59"/>
        <v/>
      </c>
    </row>
    <row r="945" spans="1:21" ht="18" customHeight="1" x14ac:dyDescent="0.3">
      <c r="A945" s="2"/>
      <c r="B945" s="65" t="str">
        <f t="shared" si="56"/>
        <v/>
      </c>
      <c r="C945" s="60"/>
      <c r="D945" s="65" t="str">
        <f>IF($E945="","",IFERROR(INDEX(MUSTERILER!$B$7:$B$156,MATCH($U945,MUSTERILER!$T$7:$T$156,0)),IFERROR(INDEX(MUSTERILER!$B$7:$B$156,MATCH($E945,MUSTERILER!$B$7:$B$156,0)),IFERROR(INDEX(MUSTERILER!$B$7:$B$156,MATCH($U945&amp;"*",MUSTERILER!$T$7:$T$156,0)),"TANIMSIZ MÜŞTERİ"))))</f>
        <v/>
      </c>
      <c r="E945" s="61"/>
      <c r="F945" s="61"/>
      <c r="G945" s="60"/>
      <c r="H945" s="66"/>
      <c r="I945" s="66"/>
      <c r="J945" s="60"/>
      <c r="K945" s="60"/>
      <c r="L945" s="61"/>
      <c r="M945" s="61"/>
      <c r="N945" s="61"/>
      <c r="O945" s="66"/>
      <c r="P945" s="76" t="str">
        <f t="shared" ca="1" si="57"/>
        <v/>
      </c>
      <c r="Q945" s="65" t="str">
        <f t="shared" ca="1" si="58"/>
        <v/>
      </c>
      <c r="R945" s="2"/>
      <c r="S945" s="2"/>
      <c r="T945" s="1"/>
      <c r="U945" s="1" t="str">
        <f t="shared" si="59"/>
        <v/>
      </c>
    </row>
    <row r="946" spans="1:21" ht="18" customHeight="1" x14ac:dyDescent="0.3">
      <c r="A946" s="2"/>
      <c r="B946" s="65" t="str">
        <f t="shared" si="56"/>
        <v/>
      </c>
      <c r="C946" s="60"/>
      <c r="D946" s="65" t="str">
        <f>IF($E946="","",IFERROR(INDEX(MUSTERILER!$B$7:$B$156,MATCH($U946,MUSTERILER!$T$7:$T$156,0)),IFERROR(INDEX(MUSTERILER!$B$7:$B$156,MATCH($E946,MUSTERILER!$B$7:$B$156,0)),IFERROR(INDEX(MUSTERILER!$B$7:$B$156,MATCH($U946&amp;"*",MUSTERILER!$T$7:$T$156,0)),"TANIMSIZ MÜŞTERİ"))))</f>
        <v/>
      </c>
      <c r="E946" s="61"/>
      <c r="F946" s="61"/>
      <c r="G946" s="60"/>
      <c r="H946" s="66"/>
      <c r="I946" s="66"/>
      <c r="J946" s="60"/>
      <c r="K946" s="60"/>
      <c r="L946" s="61"/>
      <c r="M946" s="61"/>
      <c r="N946" s="61"/>
      <c r="O946" s="66"/>
      <c r="P946" s="76" t="str">
        <f t="shared" ca="1" si="57"/>
        <v/>
      </c>
      <c r="Q946" s="65" t="str">
        <f t="shared" ca="1" si="58"/>
        <v/>
      </c>
      <c r="R946" s="2"/>
      <c r="S946" s="2"/>
      <c r="T946" s="1"/>
      <c r="U946" s="1" t="str">
        <f t="shared" si="59"/>
        <v/>
      </c>
    </row>
    <row r="947" spans="1:21" ht="18" customHeight="1" x14ac:dyDescent="0.3">
      <c r="A947" s="2"/>
      <c r="B947" s="65" t="str">
        <f t="shared" si="56"/>
        <v/>
      </c>
      <c r="C947" s="60"/>
      <c r="D947" s="65" t="str">
        <f>IF($E947="","",IFERROR(INDEX(MUSTERILER!$B$7:$B$156,MATCH($U947,MUSTERILER!$T$7:$T$156,0)),IFERROR(INDEX(MUSTERILER!$B$7:$B$156,MATCH($E947,MUSTERILER!$B$7:$B$156,0)),IFERROR(INDEX(MUSTERILER!$B$7:$B$156,MATCH($U947&amp;"*",MUSTERILER!$T$7:$T$156,0)),"TANIMSIZ MÜŞTERİ"))))</f>
        <v/>
      </c>
      <c r="E947" s="61"/>
      <c r="F947" s="61"/>
      <c r="G947" s="60"/>
      <c r="H947" s="66"/>
      <c r="I947" s="66"/>
      <c r="J947" s="60"/>
      <c r="K947" s="60"/>
      <c r="L947" s="61"/>
      <c r="M947" s="61"/>
      <c r="N947" s="61"/>
      <c r="O947" s="66"/>
      <c r="P947" s="76" t="str">
        <f t="shared" ca="1" si="57"/>
        <v/>
      </c>
      <c r="Q947" s="65" t="str">
        <f t="shared" ca="1" si="58"/>
        <v/>
      </c>
      <c r="R947" s="2"/>
      <c r="S947" s="2"/>
      <c r="T947" s="1"/>
      <c r="U947" s="1" t="str">
        <f t="shared" si="59"/>
        <v/>
      </c>
    </row>
    <row r="948" spans="1:21" ht="18" customHeight="1" x14ac:dyDescent="0.3">
      <c r="A948" s="2"/>
      <c r="B948" s="65" t="str">
        <f t="shared" si="56"/>
        <v/>
      </c>
      <c r="C948" s="60"/>
      <c r="D948" s="65" t="str">
        <f>IF($E948="","",IFERROR(INDEX(MUSTERILER!$B$7:$B$156,MATCH($U948,MUSTERILER!$T$7:$T$156,0)),IFERROR(INDEX(MUSTERILER!$B$7:$B$156,MATCH($E948,MUSTERILER!$B$7:$B$156,0)),IFERROR(INDEX(MUSTERILER!$B$7:$B$156,MATCH($U948&amp;"*",MUSTERILER!$T$7:$T$156,0)),"TANIMSIZ MÜŞTERİ"))))</f>
        <v/>
      </c>
      <c r="E948" s="61"/>
      <c r="F948" s="61"/>
      <c r="G948" s="60"/>
      <c r="H948" s="66"/>
      <c r="I948" s="66"/>
      <c r="J948" s="60"/>
      <c r="K948" s="60"/>
      <c r="L948" s="61"/>
      <c r="M948" s="61"/>
      <c r="N948" s="61"/>
      <c r="O948" s="66"/>
      <c r="P948" s="76" t="str">
        <f t="shared" ca="1" si="57"/>
        <v/>
      </c>
      <c r="Q948" s="65" t="str">
        <f t="shared" ca="1" si="58"/>
        <v/>
      </c>
      <c r="R948" s="2"/>
      <c r="S948" s="2"/>
      <c r="T948" s="1"/>
      <c r="U948" s="1" t="str">
        <f t="shared" si="59"/>
        <v/>
      </c>
    </row>
    <row r="949" spans="1:21" ht="18" customHeight="1" x14ac:dyDescent="0.3">
      <c r="A949" s="2"/>
      <c r="B949" s="65" t="str">
        <f t="shared" si="56"/>
        <v/>
      </c>
      <c r="C949" s="60"/>
      <c r="D949" s="65" t="str">
        <f>IF($E949="","",IFERROR(INDEX(MUSTERILER!$B$7:$B$156,MATCH($U949,MUSTERILER!$T$7:$T$156,0)),IFERROR(INDEX(MUSTERILER!$B$7:$B$156,MATCH($E949,MUSTERILER!$B$7:$B$156,0)),IFERROR(INDEX(MUSTERILER!$B$7:$B$156,MATCH($U949&amp;"*",MUSTERILER!$T$7:$T$156,0)),"TANIMSIZ MÜŞTERİ"))))</f>
        <v/>
      </c>
      <c r="E949" s="61"/>
      <c r="F949" s="61"/>
      <c r="G949" s="60"/>
      <c r="H949" s="66"/>
      <c r="I949" s="66"/>
      <c r="J949" s="60"/>
      <c r="K949" s="60"/>
      <c r="L949" s="61"/>
      <c r="M949" s="61"/>
      <c r="N949" s="61"/>
      <c r="O949" s="66"/>
      <c r="P949" s="76" t="str">
        <f t="shared" ca="1" si="57"/>
        <v/>
      </c>
      <c r="Q949" s="65" t="str">
        <f t="shared" ca="1" si="58"/>
        <v/>
      </c>
      <c r="R949" s="2"/>
      <c r="S949" s="2"/>
      <c r="T949" s="1"/>
      <c r="U949" s="1" t="str">
        <f t="shared" si="59"/>
        <v/>
      </c>
    </row>
    <row r="950" spans="1:21" ht="18" customHeight="1" x14ac:dyDescent="0.3">
      <c r="A950" s="2"/>
      <c r="B950" s="65" t="str">
        <f t="shared" si="56"/>
        <v/>
      </c>
      <c r="C950" s="60"/>
      <c r="D950" s="65" t="str">
        <f>IF($E950="","",IFERROR(INDEX(MUSTERILER!$B$7:$B$156,MATCH($U950,MUSTERILER!$T$7:$T$156,0)),IFERROR(INDEX(MUSTERILER!$B$7:$B$156,MATCH($E950,MUSTERILER!$B$7:$B$156,0)),IFERROR(INDEX(MUSTERILER!$B$7:$B$156,MATCH($U950&amp;"*",MUSTERILER!$T$7:$T$156,0)),"TANIMSIZ MÜŞTERİ"))))</f>
        <v/>
      </c>
      <c r="E950" s="61"/>
      <c r="F950" s="61"/>
      <c r="G950" s="60"/>
      <c r="H950" s="66"/>
      <c r="I950" s="66"/>
      <c r="J950" s="60"/>
      <c r="K950" s="60"/>
      <c r="L950" s="61"/>
      <c r="M950" s="61"/>
      <c r="N950" s="61"/>
      <c r="O950" s="66"/>
      <c r="P950" s="76" t="str">
        <f t="shared" ca="1" si="57"/>
        <v/>
      </c>
      <c r="Q950" s="65" t="str">
        <f t="shared" ca="1" si="58"/>
        <v/>
      </c>
      <c r="R950" s="2"/>
      <c r="S950" s="2"/>
      <c r="T950" s="1"/>
      <c r="U950" s="1" t="str">
        <f t="shared" si="59"/>
        <v/>
      </c>
    </row>
    <row r="951" spans="1:21" ht="18" customHeight="1" x14ac:dyDescent="0.3">
      <c r="A951" s="2"/>
      <c r="B951" s="65" t="str">
        <f t="shared" si="56"/>
        <v/>
      </c>
      <c r="C951" s="60"/>
      <c r="D951" s="65" t="str">
        <f>IF($E951="","",IFERROR(INDEX(MUSTERILER!$B$7:$B$156,MATCH($U951,MUSTERILER!$T$7:$T$156,0)),IFERROR(INDEX(MUSTERILER!$B$7:$B$156,MATCH($E951,MUSTERILER!$B$7:$B$156,0)),IFERROR(INDEX(MUSTERILER!$B$7:$B$156,MATCH($U951&amp;"*",MUSTERILER!$T$7:$T$156,0)),"TANIMSIZ MÜŞTERİ"))))</f>
        <v/>
      </c>
      <c r="E951" s="61"/>
      <c r="F951" s="61"/>
      <c r="G951" s="60"/>
      <c r="H951" s="66"/>
      <c r="I951" s="66"/>
      <c r="J951" s="60"/>
      <c r="K951" s="60"/>
      <c r="L951" s="61"/>
      <c r="M951" s="61"/>
      <c r="N951" s="61"/>
      <c r="O951" s="66"/>
      <c r="P951" s="76" t="str">
        <f t="shared" ca="1" si="57"/>
        <v/>
      </c>
      <c r="Q951" s="65" t="str">
        <f t="shared" ca="1" si="58"/>
        <v/>
      </c>
      <c r="R951" s="2"/>
      <c r="S951" s="2"/>
      <c r="T951" s="1"/>
      <c r="U951" s="1" t="str">
        <f t="shared" si="59"/>
        <v/>
      </c>
    </row>
    <row r="952" spans="1:21" ht="18" customHeight="1" x14ac:dyDescent="0.3">
      <c r="A952" s="2"/>
      <c r="B952" s="65" t="str">
        <f t="shared" si="56"/>
        <v/>
      </c>
      <c r="C952" s="60"/>
      <c r="D952" s="65" t="str">
        <f>IF($E952="","",IFERROR(INDEX(MUSTERILER!$B$7:$B$156,MATCH($U952,MUSTERILER!$T$7:$T$156,0)),IFERROR(INDEX(MUSTERILER!$B$7:$B$156,MATCH($E952,MUSTERILER!$B$7:$B$156,0)),IFERROR(INDEX(MUSTERILER!$B$7:$B$156,MATCH($U952&amp;"*",MUSTERILER!$T$7:$T$156,0)),"TANIMSIZ MÜŞTERİ"))))</f>
        <v/>
      </c>
      <c r="E952" s="61"/>
      <c r="F952" s="61"/>
      <c r="G952" s="60"/>
      <c r="H952" s="66"/>
      <c r="I952" s="66"/>
      <c r="J952" s="60"/>
      <c r="K952" s="60"/>
      <c r="L952" s="61"/>
      <c r="M952" s="61"/>
      <c r="N952" s="61"/>
      <c r="O952" s="66"/>
      <c r="P952" s="76" t="str">
        <f t="shared" ca="1" si="57"/>
        <v/>
      </c>
      <c r="Q952" s="65" t="str">
        <f t="shared" ca="1" si="58"/>
        <v/>
      </c>
      <c r="R952" s="2"/>
      <c r="S952" s="2"/>
      <c r="T952" s="1"/>
      <c r="U952" s="1" t="str">
        <f t="shared" si="59"/>
        <v/>
      </c>
    </row>
    <row r="953" spans="1:21" ht="18" customHeight="1" x14ac:dyDescent="0.3">
      <c r="A953" s="2"/>
      <c r="B953" s="65" t="str">
        <f t="shared" si="56"/>
        <v/>
      </c>
      <c r="C953" s="60"/>
      <c r="D953" s="65" t="str">
        <f>IF($E953="","",IFERROR(INDEX(MUSTERILER!$B$7:$B$156,MATCH($U953,MUSTERILER!$T$7:$T$156,0)),IFERROR(INDEX(MUSTERILER!$B$7:$B$156,MATCH($E953,MUSTERILER!$B$7:$B$156,0)),IFERROR(INDEX(MUSTERILER!$B$7:$B$156,MATCH($U953&amp;"*",MUSTERILER!$T$7:$T$156,0)),"TANIMSIZ MÜŞTERİ"))))</f>
        <v/>
      </c>
      <c r="E953" s="61"/>
      <c r="F953" s="61"/>
      <c r="G953" s="60"/>
      <c r="H953" s="66"/>
      <c r="I953" s="66"/>
      <c r="J953" s="60"/>
      <c r="K953" s="60"/>
      <c r="L953" s="61"/>
      <c r="M953" s="61"/>
      <c r="N953" s="61"/>
      <c r="O953" s="66"/>
      <c r="P953" s="76" t="str">
        <f t="shared" ca="1" si="57"/>
        <v/>
      </c>
      <c r="Q953" s="65" t="str">
        <f t="shared" ca="1" si="58"/>
        <v/>
      </c>
      <c r="R953" s="2"/>
      <c r="S953" s="2"/>
      <c r="T953" s="1"/>
      <c r="U953" s="1" t="str">
        <f t="shared" si="59"/>
        <v/>
      </c>
    </row>
    <row r="954" spans="1:21" ht="18" customHeight="1" x14ac:dyDescent="0.3">
      <c r="A954" s="2"/>
      <c r="B954" s="65" t="str">
        <f t="shared" si="56"/>
        <v/>
      </c>
      <c r="C954" s="60"/>
      <c r="D954" s="65" t="str">
        <f>IF($E954="","",IFERROR(INDEX(MUSTERILER!$B$7:$B$156,MATCH($U954,MUSTERILER!$T$7:$T$156,0)),IFERROR(INDEX(MUSTERILER!$B$7:$B$156,MATCH($E954,MUSTERILER!$B$7:$B$156,0)),IFERROR(INDEX(MUSTERILER!$B$7:$B$156,MATCH($U954&amp;"*",MUSTERILER!$T$7:$T$156,0)),"TANIMSIZ MÜŞTERİ"))))</f>
        <v/>
      </c>
      <c r="E954" s="61"/>
      <c r="F954" s="61"/>
      <c r="G954" s="60"/>
      <c r="H954" s="66"/>
      <c r="I954" s="66"/>
      <c r="J954" s="60"/>
      <c r="K954" s="60"/>
      <c r="L954" s="61"/>
      <c r="M954" s="61"/>
      <c r="N954" s="61"/>
      <c r="O954" s="66"/>
      <c r="P954" s="76" t="str">
        <f t="shared" ca="1" si="57"/>
        <v/>
      </c>
      <c r="Q954" s="65" t="str">
        <f t="shared" ca="1" si="58"/>
        <v/>
      </c>
      <c r="R954" s="2"/>
      <c r="S954" s="2"/>
      <c r="T954" s="1"/>
      <c r="U954" s="1" t="str">
        <f t="shared" si="59"/>
        <v/>
      </c>
    </row>
    <row r="955" spans="1:21" ht="18" customHeight="1" x14ac:dyDescent="0.3">
      <c r="A955" s="2"/>
      <c r="B955" s="65" t="str">
        <f t="shared" si="56"/>
        <v/>
      </c>
      <c r="C955" s="60"/>
      <c r="D955" s="65" t="str">
        <f>IF($E955="","",IFERROR(INDEX(MUSTERILER!$B$7:$B$156,MATCH($U955,MUSTERILER!$T$7:$T$156,0)),IFERROR(INDEX(MUSTERILER!$B$7:$B$156,MATCH($E955,MUSTERILER!$B$7:$B$156,0)),IFERROR(INDEX(MUSTERILER!$B$7:$B$156,MATCH($U955&amp;"*",MUSTERILER!$T$7:$T$156,0)),"TANIMSIZ MÜŞTERİ"))))</f>
        <v/>
      </c>
      <c r="E955" s="61"/>
      <c r="F955" s="61"/>
      <c r="G955" s="60"/>
      <c r="H955" s="66"/>
      <c r="I955" s="66"/>
      <c r="J955" s="60"/>
      <c r="K955" s="60"/>
      <c r="L955" s="61"/>
      <c r="M955" s="61"/>
      <c r="N955" s="61"/>
      <c r="O955" s="66"/>
      <c r="P955" s="76" t="str">
        <f t="shared" ca="1" si="57"/>
        <v/>
      </c>
      <c r="Q955" s="65" t="str">
        <f t="shared" ca="1" si="58"/>
        <v/>
      </c>
      <c r="R955" s="2"/>
      <c r="S955" s="2"/>
      <c r="T955" s="1"/>
      <c r="U955" s="1" t="str">
        <f t="shared" si="59"/>
        <v/>
      </c>
    </row>
    <row r="956" spans="1:21" ht="18" customHeight="1" x14ac:dyDescent="0.3">
      <c r="A956" s="2"/>
      <c r="B956" s="65" t="str">
        <f t="shared" si="56"/>
        <v/>
      </c>
      <c r="C956" s="60"/>
      <c r="D956" s="65" t="str">
        <f>IF($E956="","",IFERROR(INDEX(MUSTERILER!$B$7:$B$156,MATCH($U956,MUSTERILER!$T$7:$T$156,0)),IFERROR(INDEX(MUSTERILER!$B$7:$B$156,MATCH($E956,MUSTERILER!$B$7:$B$156,0)),IFERROR(INDEX(MUSTERILER!$B$7:$B$156,MATCH($U956&amp;"*",MUSTERILER!$T$7:$T$156,0)),"TANIMSIZ MÜŞTERİ"))))</f>
        <v/>
      </c>
      <c r="E956" s="61"/>
      <c r="F956" s="61"/>
      <c r="G956" s="60"/>
      <c r="H956" s="66"/>
      <c r="I956" s="66"/>
      <c r="J956" s="60"/>
      <c r="K956" s="60"/>
      <c r="L956" s="61"/>
      <c r="M956" s="61"/>
      <c r="N956" s="61"/>
      <c r="O956" s="66"/>
      <c r="P956" s="76" t="str">
        <f t="shared" ca="1" si="57"/>
        <v/>
      </c>
      <c r="Q956" s="65" t="str">
        <f t="shared" ca="1" si="58"/>
        <v/>
      </c>
      <c r="R956" s="2"/>
      <c r="S956" s="2"/>
      <c r="T956" s="1"/>
      <c r="U956" s="1" t="str">
        <f t="shared" si="59"/>
        <v/>
      </c>
    </row>
    <row r="957" spans="1:21" ht="18" customHeight="1" x14ac:dyDescent="0.3">
      <c r="A957" s="2"/>
      <c r="B957" s="65" t="str">
        <f t="shared" si="56"/>
        <v/>
      </c>
      <c r="C957" s="60"/>
      <c r="D957" s="65" t="str">
        <f>IF($E957="","",IFERROR(INDEX(MUSTERILER!$B$7:$B$156,MATCH($U957,MUSTERILER!$T$7:$T$156,0)),IFERROR(INDEX(MUSTERILER!$B$7:$B$156,MATCH($E957,MUSTERILER!$B$7:$B$156,0)),IFERROR(INDEX(MUSTERILER!$B$7:$B$156,MATCH($U957&amp;"*",MUSTERILER!$T$7:$T$156,0)),"TANIMSIZ MÜŞTERİ"))))</f>
        <v/>
      </c>
      <c r="E957" s="61"/>
      <c r="F957" s="61"/>
      <c r="G957" s="60"/>
      <c r="H957" s="66"/>
      <c r="I957" s="66"/>
      <c r="J957" s="60"/>
      <c r="K957" s="60"/>
      <c r="L957" s="61"/>
      <c r="M957" s="61"/>
      <c r="N957" s="61"/>
      <c r="O957" s="66"/>
      <c r="P957" s="76" t="str">
        <f t="shared" ca="1" si="57"/>
        <v/>
      </c>
      <c r="Q957" s="65" t="str">
        <f t="shared" ca="1" si="58"/>
        <v/>
      </c>
      <c r="R957" s="2"/>
      <c r="S957" s="2"/>
      <c r="T957" s="1"/>
      <c r="U957" s="1" t="str">
        <f t="shared" si="59"/>
        <v/>
      </c>
    </row>
    <row r="958" spans="1:21" ht="18" customHeight="1" x14ac:dyDescent="0.3">
      <c r="A958" s="2"/>
      <c r="B958" s="65" t="str">
        <f t="shared" si="56"/>
        <v/>
      </c>
      <c r="C958" s="60"/>
      <c r="D958" s="65" t="str">
        <f>IF($E958="","",IFERROR(INDEX(MUSTERILER!$B$7:$B$156,MATCH($U958,MUSTERILER!$T$7:$T$156,0)),IFERROR(INDEX(MUSTERILER!$B$7:$B$156,MATCH($E958,MUSTERILER!$B$7:$B$156,0)),IFERROR(INDEX(MUSTERILER!$B$7:$B$156,MATCH($U958&amp;"*",MUSTERILER!$T$7:$T$156,0)),"TANIMSIZ MÜŞTERİ"))))</f>
        <v/>
      </c>
      <c r="E958" s="61"/>
      <c r="F958" s="61"/>
      <c r="G958" s="60"/>
      <c r="H958" s="66"/>
      <c r="I958" s="66"/>
      <c r="J958" s="60"/>
      <c r="K958" s="60"/>
      <c r="L958" s="61"/>
      <c r="M958" s="61"/>
      <c r="N958" s="61"/>
      <c r="O958" s="66"/>
      <c r="P958" s="76" t="str">
        <f t="shared" ca="1" si="57"/>
        <v/>
      </c>
      <c r="Q958" s="65" t="str">
        <f t="shared" ca="1" si="58"/>
        <v/>
      </c>
      <c r="R958" s="2"/>
      <c r="S958" s="2"/>
      <c r="T958" s="1"/>
      <c r="U958" s="1" t="str">
        <f t="shared" si="59"/>
        <v/>
      </c>
    </row>
    <row r="959" spans="1:21" ht="18" customHeight="1" x14ac:dyDescent="0.3">
      <c r="A959" s="2"/>
      <c r="B959" s="65" t="str">
        <f t="shared" si="56"/>
        <v/>
      </c>
      <c r="C959" s="60"/>
      <c r="D959" s="65" t="str">
        <f>IF($E959="","",IFERROR(INDEX(MUSTERILER!$B$7:$B$156,MATCH($U959,MUSTERILER!$T$7:$T$156,0)),IFERROR(INDEX(MUSTERILER!$B$7:$B$156,MATCH($E959,MUSTERILER!$B$7:$B$156,0)),IFERROR(INDEX(MUSTERILER!$B$7:$B$156,MATCH($U959&amp;"*",MUSTERILER!$T$7:$T$156,0)),"TANIMSIZ MÜŞTERİ"))))</f>
        <v/>
      </c>
      <c r="E959" s="61"/>
      <c r="F959" s="61"/>
      <c r="G959" s="60"/>
      <c r="H959" s="66"/>
      <c r="I959" s="66"/>
      <c r="J959" s="60"/>
      <c r="K959" s="60"/>
      <c r="L959" s="61"/>
      <c r="M959" s="61"/>
      <c r="N959" s="61"/>
      <c r="O959" s="66"/>
      <c r="P959" s="76" t="str">
        <f t="shared" ca="1" si="57"/>
        <v/>
      </c>
      <c r="Q959" s="65" t="str">
        <f t="shared" ca="1" si="58"/>
        <v/>
      </c>
      <c r="R959" s="2"/>
      <c r="S959" s="2"/>
      <c r="T959" s="1"/>
      <c r="U959" s="1" t="str">
        <f t="shared" si="59"/>
        <v/>
      </c>
    </row>
    <row r="960" spans="1:21" ht="18" customHeight="1" x14ac:dyDescent="0.3">
      <c r="A960" s="2"/>
      <c r="B960" s="65" t="str">
        <f t="shared" si="56"/>
        <v/>
      </c>
      <c r="C960" s="60"/>
      <c r="D960" s="65" t="str">
        <f>IF($E960="","",IFERROR(INDEX(MUSTERILER!$B$7:$B$156,MATCH($U960,MUSTERILER!$T$7:$T$156,0)),IFERROR(INDEX(MUSTERILER!$B$7:$B$156,MATCH($E960,MUSTERILER!$B$7:$B$156,0)),IFERROR(INDEX(MUSTERILER!$B$7:$B$156,MATCH($U960&amp;"*",MUSTERILER!$T$7:$T$156,0)),"TANIMSIZ MÜŞTERİ"))))</f>
        <v/>
      </c>
      <c r="E960" s="61"/>
      <c r="F960" s="61"/>
      <c r="G960" s="60"/>
      <c r="H960" s="66"/>
      <c r="I960" s="66"/>
      <c r="J960" s="60"/>
      <c r="K960" s="60"/>
      <c r="L960" s="61"/>
      <c r="M960" s="61"/>
      <c r="N960" s="61"/>
      <c r="O960" s="66"/>
      <c r="P960" s="76" t="str">
        <f t="shared" ca="1" si="57"/>
        <v/>
      </c>
      <c r="Q960" s="65" t="str">
        <f t="shared" ca="1" si="58"/>
        <v/>
      </c>
      <c r="R960" s="2"/>
      <c r="S960" s="2"/>
      <c r="T960" s="1"/>
      <c r="U960" s="1" t="str">
        <f t="shared" si="59"/>
        <v/>
      </c>
    </row>
    <row r="961" spans="1:21" ht="18" customHeight="1" x14ac:dyDescent="0.3">
      <c r="A961" s="2"/>
      <c r="B961" s="65" t="str">
        <f t="shared" si="56"/>
        <v/>
      </c>
      <c r="C961" s="60"/>
      <c r="D961" s="65" t="str">
        <f>IF($E961="","",IFERROR(INDEX(MUSTERILER!$B$7:$B$156,MATCH($U961,MUSTERILER!$T$7:$T$156,0)),IFERROR(INDEX(MUSTERILER!$B$7:$B$156,MATCH($E961,MUSTERILER!$B$7:$B$156,0)),IFERROR(INDEX(MUSTERILER!$B$7:$B$156,MATCH($U961&amp;"*",MUSTERILER!$T$7:$T$156,0)),"TANIMSIZ MÜŞTERİ"))))</f>
        <v/>
      </c>
      <c r="E961" s="61"/>
      <c r="F961" s="61"/>
      <c r="G961" s="60"/>
      <c r="H961" s="66"/>
      <c r="I961" s="66"/>
      <c r="J961" s="60"/>
      <c r="K961" s="60"/>
      <c r="L961" s="61"/>
      <c r="M961" s="61"/>
      <c r="N961" s="61"/>
      <c r="O961" s="66"/>
      <c r="P961" s="76" t="str">
        <f t="shared" ca="1" si="57"/>
        <v/>
      </c>
      <c r="Q961" s="65" t="str">
        <f t="shared" ca="1" si="58"/>
        <v/>
      </c>
      <c r="R961" s="2"/>
      <c r="S961" s="2"/>
      <c r="T961" s="1"/>
      <c r="U961" s="1" t="str">
        <f t="shared" si="59"/>
        <v/>
      </c>
    </row>
    <row r="962" spans="1:21" ht="18" customHeight="1" x14ac:dyDescent="0.3">
      <c r="A962" s="2"/>
      <c r="B962" s="65" t="str">
        <f t="shared" si="56"/>
        <v/>
      </c>
      <c r="C962" s="60"/>
      <c r="D962" s="65" t="str">
        <f>IF($E962="","",IFERROR(INDEX(MUSTERILER!$B$7:$B$156,MATCH($U962,MUSTERILER!$T$7:$T$156,0)),IFERROR(INDEX(MUSTERILER!$B$7:$B$156,MATCH($E962,MUSTERILER!$B$7:$B$156,0)),IFERROR(INDEX(MUSTERILER!$B$7:$B$156,MATCH($U962&amp;"*",MUSTERILER!$T$7:$T$156,0)),"TANIMSIZ MÜŞTERİ"))))</f>
        <v/>
      </c>
      <c r="E962" s="61"/>
      <c r="F962" s="61"/>
      <c r="G962" s="60"/>
      <c r="H962" s="66"/>
      <c r="I962" s="66"/>
      <c r="J962" s="60"/>
      <c r="K962" s="60"/>
      <c r="L962" s="61"/>
      <c r="M962" s="61"/>
      <c r="N962" s="61"/>
      <c r="O962" s="66"/>
      <c r="P962" s="76" t="str">
        <f t="shared" ca="1" si="57"/>
        <v/>
      </c>
      <c r="Q962" s="65" t="str">
        <f t="shared" ca="1" si="58"/>
        <v/>
      </c>
      <c r="R962" s="2"/>
      <c r="S962" s="2"/>
      <c r="T962" s="1"/>
      <c r="U962" s="1" t="str">
        <f t="shared" si="59"/>
        <v/>
      </c>
    </row>
    <row r="963" spans="1:21" ht="18" customHeight="1" x14ac:dyDescent="0.3">
      <c r="A963" s="2"/>
      <c r="B963" s="65" t="str">
        <f t="shared" si="56"/>
        <v/>
      </c>
      <c r="C963" s="60"/>
      <c r="D963" s="65" t="str">
        <f>IF($E963="","",IFERROR(INDEX(MUSTERILER!$B$7:$B$156,MATCH($U963,MUSTERILER!$T$7:$T$156,0)),IFERROR(INDEX(MUSTERILER!$B$7:$B$156,MATCH($E963,MUSTERILER!$B$7:$B$156,0)),IFERROR(INDEX(MUSTERILER!$B$7:$B$156,MATCH($U963&amp;"*",MUSTERILER!$T$7:$T$156,0)),"TANIMSIZ MÜŞTERİ"))))</f>
        <v/>
      </c>
      <c r="E963" s="61"/>
      <c r="F963" s="61"/>
      <c r="G963" s="60"/>
      <c r="H963" s="66"/>
      <c r="I963" s="66"/>
      <c r="J963" s="60"/>
      <c r="K963" s="60"/>
      <c r="L963" s="61"/>
      <c r="M963" s="61"/>
      <c r="N963" s="61"/>
      <c r="O963" s="66"/>
      <c r="P963" s="76" t="str">
        <f t="shared" ca="1" si="57"/>
        <v/>
      </c>
      <c r="Q963" s="65" t="str">
        <f t="shared" ca="1" si="58"/>
        <v/>
      </c>
      <c r="R963" s="2"/>
      <c r="S963" s="2"/>
      <c r="T963" s="1"/>
      <c r="U963" s="1" t="str">
        <f t="shared" si="59"/>
        <v/>
      </c>
    </row>
    <row r="964" spans="1:21" ht="18" customHeight="1" x14ac:dyDescent="0.3">
      <c r="A964" s="2"/>
      <c r="B964" s="65" t="str">
        <f t="shared" si="56"/>
        <v/>
      </c>
      <c r="C964" s="60"/>
      <c r="D964" s="65" t="str">
        <f>IF($E964="","",IFERROR(INDEX(MUSTERILER!$B$7:$B$156,MATCH($U964,MUSTERILER!$T$7:$T$156,0)),IFERROR(INDEX(MUSTERILER!$B$7:$B$156,MATCH($E964,MUSTERILER!$B$7:$B$156,0)),IFERROR(INDEX(MUSTERILER!$B$7:$B$156,MATCH($U964&amp;"*",MUSTERILER!$T$7:$T$156,0)),"TANIMSIZ MÜŞTERİ"))))</f>
        <v/>
      </c>
      <c r="E964" s="61"/>
      <c r="F964" s="61"/>
      <c r="G964" s="60"/>
      <c r="H964" s="66"/>
      <c r="I964" s="66"/>
      <c r="J964" s="60"/>
      <c r="K964" s="60"/>
      <c r="L964" s="61"/>
      <c r="M964" s="61"/>
      <c r="N964" s="61"/>
      <c r="O964" s="66"/>
      <c r="P964" s="76" t="str">
        <f t="shared" ca="1" si="57"/>
        <v/>
      </c>
      <c r="Q964" s="65" t="str">
        <f t="shared" ca="1" si="58"/>
        <v/>
      </c>
      <c r="R964" s="2"/>
      <c r="S964" s="2"/>
      <c r="T964" s="1"/>
      <c r="U964" s="1" t="str">
        <f t="shared" si="59"/>
        <v/>
      </c>
    </row>
    <row r="965" spans="1:21" ht="18" customHeight="1" x14ac:dyDescent="0.3">
      <c r="A965" s="2"/>
      <c r="B965" s="65" t="str">
        <f t="shared" si="56"/>
        <v/>
      </c>
      <c r="C965" s="60"/>
      <c r="D965" s="65" t="str">
        <f>IF($E965="","",IFERROR(INDEX(MUSTERILER!$B$7:$B$156,MATCH($U965,MUSTERILER!$T$7:$T$156,0)),IFERROR(INDEX(MUSTERILER!$B$7:$B$156,MATCH($E965,MUSTERILER!$B$7:$B$156,0)),IFERROR(INDEX(MUSTERILER!$B$7:$B$156,MATCH($U965&amp;"*",MUSTERILER!$T$7:$T$156,0)),"TANIMSIZ MÜŞTERİ"))))</f>
        <v/>
      </c>
      <c r="E965" s="61"/>
      <c r="F965" s="61"/>
      <c r="G965" s="60"/>
      <c r="H965" s="66"/>
      <c r="I965" s="66"/>
      <c r="J965" s="60"/>
      <c r="K965" s="60"/>
      <c r="L965" s="61"/>
      <c r="M965" s="61"/>
      <c r="N965" s="61"/>
      <c r="O965" s="66"/>
      <c r="P965" s="76" t="str">
        <f t="shared" ca="1" si="57"/>
        <v/>
      </c>
      <c r="Q965" s="65" t="str">
        <f t="shared" ca="1" si="58"/>
        <v/>
      </c>
      <c r="R965" s="2"/>
      <c r="S965" s="2"/>
      <c r="T965" s="1"/>
      <c r="U965" s="1" t="str">
        <f t="shared" si="59"/>
        <v/>
      </c>
    </row>
    <row r="966" spans="1:21" ht="18" customHeight="1" x14ac:dyDescent="0.3">
      <c r="A966" s="2"/>
      <c r="B966" s="65" t="str">
        <f t="shared" si="56"/>
        <v/>
      </c>
      <c r="C966" s="60"/>
      <c r="D966" s="65" t="str">
        <f>IF($E966="","",IFERROR(INDEX(MUSTERILER!$B$7:$B$156,MATCH($U966,MUSTERILER!$T$7:$T$156,0)),IFERROR(INDEX(MUSTERILER!$B$7:$B$156,MATCH($E966,MUSTERILER!$B$7:$B$156,0)),IFERROR(INDEX(MUSTERILER!$B$7:$B$156,MATCH($U966&amp;"*",MUSTERILER!$T$7:$T$156,0)),"TANIMSIZ MÜŞTERİ"))))</f>
        <v/>
      </c>
      <c r="E966" s="61"/>
      <c r="F966" s="61"/>
      <c r="G966" s="60"/>
      <c r="H966" s="66"/>
      <c r="I966" s="66"/>
      <c r="J966" s="60"/>
      <c r="K966" s="60"/>
      <c r="L966" s="61"/>
      <c r="M966" s="61"/>
      <c r="N966" s="61"/>
      <c r="O966" s="66"/>
      <c r="P966" s="76" t="str">
        <f t="shared" ca="1" si="57"/>
        <v/>
      </c>
      <c r="Q966" s="65" t="str">
        <f t="shared" ca="1" si="58"/>
        <v/>
      </c>
      <c r="R966" s="2"/>
      <c r="S966" s="2"/>
      <c r="T966" s="1"/>
      <c r="U966" s="1" t="str">
        <f t="shared" si="59"/>
        <v/>
      </c>
    </row>
    <row r="967" spans="1:21" ht="18" customHeight="1" x14ac:dyDescent="0.3">
      <c r="A967" s="2"/>
      <c r="B967" s="65" t="str">
        <f t="shared" ref="B967:B1006" si="60">IF($E967="","","A"&amp;TEXT(ROW()-6,"00000"))</f>
        <v/>
      </c>
      <c r="C967" s="60"/>
      <c r="D967" s="65" t="str">
        <f>IF($E967="","",IFERROR(INDEX(MUSTERILER!$B$7:$B$156,MATCH($U967,MUSTERILER!$T$7:$T$156,0)),IFERROR(INDEX(MUSTERILER!$B$7:$B$156,MATCH($E967,MUSTERILER!$B$7:$B$156,0)),IFERROR(INDEX(MUSTERILER!$B$7:$B$156,MATCH($U967&amp;"*",MUSTERILER!$T$7:$T$156,0)),"TANIMSIZ MÜŞTERİ"))))</f>
        <v/>
      </c>
      <c r="E967" s="61"/>
      <c r="F967" s="61"/>
      <c r="G967" s="60"/>
      <c r="H967" s="66"/>
      <c r="I967" s="66"/>
      <c r="J967" s="60"/>
      <c r="K967" s="60"/>
      <c r="L967" s="61"/>
      <c r="M967" s="61"/>
      <c r="N967" s="61"/>
      <c r="O967" s="66"/>
      <c r="P967" s="76" t="str">
        <f t="shared" ref="P967:P1006" ca="1" si="61">IF(OR($E967="",$I967=""),"",IF(OR($J967="Tamamlandı",$J967="İptal"),"",$I967-TODAY()))</f>
        <v/>
      </c>
      <c r="Q967" s="65" t="str">
        <f t="shared" ref="Q967:Q1006" ca="1" si="62"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2"/>
      <c r="S967" s="2"/>
      <c r="T967" s="1"/>
      <c r="U967" s="1" t="str">
        <f t="shared" ref="U967:U1006" si="63">IF($E967="","",UPPER(SUBSTITUTE(SUBSTITUTE(SUBSTITUTE(SUBSTITUTE(SUBSTITUTE(SUBSTITUTE(SUBSTITUTE(SUBSTITUTE(SUBSTITUTE(SUBSTITUTE(SUBSTITUTE(SUBSTITUTE(SUBSTITUTE(SUBSTITUTE(SUBSTITUTE(SUBSTITUTE(SUBSTITUTE(SUBSTITUTE(TRIM($E967),"'",""),"İ","I"),"ı","I"),"i","I"),"Ş","S"),"ş","S"),"Ğ","G"),"ğ","G"),"Ü","U"),"ü","U"),"Ö","O"),"ö","O"),"Ç","C"),"ç","C"),".",""),",","")," ",""),"-","")))</f>
        <v/>
      </c>
    </row>
    <row r="968" spans="1:21" ht="18" customHeight="1" x14ac:dyDescent="0.3">
      <c r="A968" s="2"/>
      <c r="B968" s="65" t="str">
        <f t="shared" si="60"/>
        <v/>
      </c>
      <c r="C968" s="60"/>
      <c r="D968" s="65" t="str">
        <f>IF($E968="","",IFERROR(INDEX(MUSTERILER!$B$7:$B$156,MATCH($U968,MUSTERILER!$T$7:$T$156,0)),IFERROR(INDEX(MUSTERILER!$B$7:$B$156,MATCH($E968,MUSTERILER!$B$7:$B$156,0)),IFERROR(INDEX(MUSTERILER!$B$7:$B$156,MATCH($U968&amp;"*",MUSTERILER!$T$7:$T$156,0)),"TANIMSIZ MÜŞTERİ"))))</f>
        <v/>
      </c>
      <c r="E968" s="61"/>
      <c r="F968" s="61"/>
      <c r="G968" s="60"/>
      <c r="H968" s="66"/>
      <c r="I968" s="66"/>
      <c r="J968" s="60"/>
      <c r="K968" s="60"/>
      <c r="L968" s="61"/>
      <c r="M968" s="61"/>
      <c r="N968" s="61"/>
      <c r="O968" s="66"/>
      <c r="P968" s="76" t="str">
        <f t="shared" ca="1" si="61"/>
        <v/>
      </c>
      <c r="Q968" s="65" t="str">
        <f t="shared" ca="1" si="62"/>
        <v/>
      </c>
      <c r="R968" s="2"/>
      <c r="S968" s="2"/>
      <c r="T968" s="1"/>
      <c r="U968" s="1" t="str">
        <f t="shared" si="63"/>
        <v/>
      </c>
    </row>
    <row r="969" spans="1:21" ht="18" customHeight="1" x14ac:dyDescent="0.3">
      <c r="A969" s="2"/>
      <c r="B969" s="65" t="str">
        <f t="shared" si="60"/>
        <v/>
      </c>
      <c r="C969" s="60"/>
      <c r="D969" s="65" t="str">
        <f>IF($E969="","",IFERROR(INDEX(MUSTERILER!$B$7:$B$156,MATCH($U969,MUSTERILER!$T$7:$T$156,0)),IFERROR(INDEX(MUSTERILER!$B$7:$B$156,MATCH($E969,MUSTERILER!$B$7:$B$156,0)),IFERROR(INDEX(MUSTERILER!$B$7:$B$156,MATCH($U969&amp;"*",MUSTERILER!$T$7:$T$156,0)),"TANIMSIZ MÜŞTERİ"))))</f>
        <v/>
      </c>
      <c r="E969" s="61"/>
      <c r="F969" s="61"/>
      <c r="G969" s="60"/>
      <c r="H969" s="66"/>
      <c r="I969" s="66"/>
      <c r="J969" s="60"/>
      <c r="K969" s="60"/>
      <c r="L969" s="61"/>
      <c r="M969" s="61"/>
      <c r="N969" s="61"/>
      <c r="O969" s="66"/>
      <c r="P969" s="76" t="str">
        <f t="shared" ca="1" si="61"/>
        <v/>
      </c>
      <c r="Q969" s="65" t="str">
        <f t="shared" ca="1" si="62"/>
        <v/>
      </c>
      <c r="R969" s="2"/>
      <c r="S969" s="2"/>
      <c r="T969" s="1"/>
      <c r="U969" s="1" t="str">
        <f t="shared" si="63"/>
        <v/>
      </c>
    </row>
    <row r="970" spans="1:21" ht="18" customHeight="1" x14ac:dyDescent="0.3">
      <c r="A970" s="2"/>
      <c r="B970" s="65" t="str">
        <f t="shared" si="60"/>
        <v/>
      </c>
      <c r="C970" s="60"/>
      <c r="D970" s="65" t="str">
        <f>IF($E970="","",IFERROR(INDEX(MUSTERILER!$B$7:$B$156,MATCH($U970,MUSTERILER!$T$7:$T$156,0)),IFERROR(INDEX(MUSTERILER!$B$7:$B$156,MATCH($E970,MUSTERILER!$B$7:$B$156,0)),IFERROR(INDEX(MUSTERILER!$B$7:$B$156,MATCH($U970&amp;"*",MUSTERILER!$T$7:$T$156,0)),"TANIMSIZ MÜŞTERİ"))))</f>
        <v/>
      </c>
      <c r="E970" s="61"/>
      <c r="F970" s="61"/>
      <c r="G970" s="60"/>
      <c r="H970" s="66"/>
      <c r="I970" s="66"/>
      <c r="J970" s="60"/>
      <c r="K970" s="60"/>
      <c r="L970" s="61"/>
      <c r="M970" s="61"/>
      <c r="N970" s="61"/>
      <c r="O970" s="66"/>
      <c r="P970" s="76" t="str">
        <f t="shared" ca="1" si="61"/>
        <v/>
      </c>
      <c r="Q970" s="65" t="str">
        <f t="shared" ca="1" si="62"/>
        <v/>
      </c>
      <c r="R970" s="2"/>
      <c r="S970" s="2"/>
      <c r="T970" s="1"/>
      <c r="U970" s="1" t="str">
        <f t="shared" si="63"/>
        <v/>
      </c>
    </row>
    <row r="971" spans="1:21" ht="18" customHeight="1" x14ac:dyDescent="0.3">
      <c r="A971" s="2"/>
      <c r="B971" s="65" t="str">
        <f t="shared" si="60"/>
        <v/>
      </c>
      <c r="C971" s="60"/>
      <c r="D971" s="65" t="str">
        <f>IF($E971="","",IFERROR(INDEX(MUSTERILER!$B$7:$B$156,MATCH($U971,MUSTERILER!$T$7:$T$156,0)),IFERROR(INDEX(MUSTERILER!$B$7:$B$156,MATCH($E971,MUSTERILER!$B$7:$B$156,0)),IFERROR(INDEX(MUSTERILER!$B$7:$B$156,MATCH($U971&amp;"*",MUSTERILER!$T$7:$T$156,0)),"TANIMSIZ MÜŞTERİ"))))</f>
        <v/>
      </c>
      <c r="E971" s="61"/>
      <c r="F971" s="61"/>
      <c r="G971" s="60"/>
      <c r="H971" s="66"/>
      <c r="I971" s="66"/>
      <c r="J971" s="60"/>
      <c r="K971" s="60"/>
      <c r="L971" s="61"/>
      <c r="M971" s="61"/>
      <c r="N971" s="61"/>
      <c r="O971" s="66"/>
      <c r="P971" s="76" t="str">
        <f t="shared" ca="1" si="61"/>
        <v/>
      </c>
      <c r="Q971" s="65" t="str">
        <f t="shared" ca="1" si="62"/>
        <v/>
      </c>
      <c r="R971" s="2"/>
      <c r="S971" s="2"/>
      <c r="T971" s="1"/>
      <c r="U971" s="1" t="str">
        <f t="shared" si="63"/>
        <v/>
      </c>
    </row>
    <row r="972" spans="1:21" ht="18" customHeight="1" x14ac:dyDescent="0.3">
      <c r="A972" s="2"/>
      <c r="B972" s="65" t="str">
        <f t="shared" si="60"/>
        <v/>
      </c>
      <c r="C972" s="60"/>
      <c r="D972" s="65" t="str">
        <f>IF($E972="","",IFERROR(INDEX(MUSTERILER!$B$7:$B$156,MATCH($U972,MUSTERILER!$T$7:$T$156,0)),IFERROR(INDEX(MUSTERILER!$B$7:$B$156,MATCH($E972,MUSTERILER!$B$7:$B$156,0)),IFERROR(INDEX(MUSTERILER!$B$7:$B$156,MATCH($U972&amp;"*",MUSTERILER!$T$7:$T$156,0)),"TANIMSIZ MÜŞTERİ"))))</f>
        <v/>
      </c>
      <c r="E972" s="61"/>
      <c r="F972" s="61"/>
      <c r="G972" s="60"/>
      <c r="H972" s="66"/>
      <c r="I972" s="66"/>
      <c r="J972" s="60"/>
      <c r="K972" s="60"/>
      <c r="L972" s="61"/>
      <c r="M972" s="61"/>
      <c r="N972" s="61"/>
      <c r="O972" s="66"/>
      <c r="P972" s="76" t="str">
        <f t="shared" ca="1" si="61"/>
        <v/>
      </c>
      <c r="Q972" s="65" t="str">
        <f t="shared" ca="1" si="62"/>
        <v/>
      </c>
      <c r="R972" s="2"/>
      <c r="S972" s="2"/>
      <c r="T972" s="1"/>
      <c r="U972" s="1" t="str">
        <f t="shared" si="63"/>
        <v/>
      </c>
    </row>
    <row r="973" spans="1:21" ht="18" customHeight="1" x14ac:dyDescent="0.3">
      <c r="A973" s="2"/>
      <c r="B973" s="65" t="str">
        <f t="shared" si="60"/>
        <v/>
      </c>
      <c r="C973" s="60"/>
      <c r="D973" s="65" t="str">
        <f>IF($E973="","",IFERROR(INDEX(MUSTERILER!$B$7:$B$156,MATCH($U973,MUSTERILER!$T$7:$T$156,0)),IFERROR(INDEX(MUSTERILER!$B$7:$B$156,MATCH($E973,MUSTERILER!$B$7:$B$156,0)),IFERROR(INDEX(MUSTERILER!$B$7:$B$156,MATCH($U973&amp;"*",MUSTERILER!$T$7:$T$156,0)),"TANIMSIZ MÜŞTERİ"))))</f>
        <v/>
      </c>
      <c r="E973" s="61"/>
      <c r="F973" s="61"/>
      <c r="G973" s="60"/>
      <c r="H973" s="66"/>
      <c r="I973" s="66"/>
      <c r="J973" s="60"/>
      <c r="K973" s="60"/>
      <c r="L973" s="61"/>
      <c r="M973" s="61"/>
      <c r="N973" s="61"/>
      <c r="O973" s="66"/>
      <c r="P973" s="76" t="str">
        <f t="shared" ca="1" si="61"/>
        <v/>
      </c>
      <c r="Q973" s="65" t="str">
        <f t="shared" ca="1" si="62"/>
        <v/>
      </c>
      <c r="R973" s="2"/>
      <c r="S973" s="2"/>
      <c r="T973" s="1"/>
      <c r="U973" s="1" t="str">
        <f t="shared" si="63"/>
        <v/>
      </c>
    </row>
    <row r="974" spans="1:21" ht="18" customHeight="1" x14ac:dyDescent="0.3">
      <c r="A974" s="2"/>
      <c r="B974" s="65" t="str">
        <f t="shared" si="60"/>
        <v/>
      </c>
      <c r="C974" s="60"/>
      <c r="D974" s="65" t="str">
        <f>IF($E974="","",IFERROR(INDEX(MUSTERILER!$B$7:$B$156,MATCH($U974,MUSTERILER!$T$7:$T$156,0)),IFERROR(INDEX(MUSTERILER!$B$7:$B$156,MATCH($E974,MUSTERILER!$B$7:$B$156,0)),IFERROR(INDEX(MUSTERILER!$B$7:$B$156,MATCH($U974&amp;"*",MUSTERILER!$T$7:$T$156,0)),"TANIMSIZ MÜŞTERİ"))))</f>
        <v/>
      </c>
      <c r="E974" s="61"/>
      <c r="F974" s="61"/>
      <c r="G974" s="60"/>
      <c r="H974" s="66"/>
      <c r="I974" s="66"/>
      <c r="J974" s="60"/>
      <c r="K974" s="60"/>
      <c r="L974" s="61"/>
      <c r="M974" s="61"/>
      <c r="N974" s="61"/>
      <c r="O974" s="66"/>
      <c r="P974" s="76" t="str">
        <f t="shared" ca="1" si="61"/>
        <v/>
      </c>
      <c r="Q974" s="65" t="str">
        <f t="shared" ca="1" si="62"/>
        <v/>
      </c>
      <c r="R974" s="2"/>
      <c r="S974" s="2"/>
      <c r="T974" s="1"/>
      <c r="U974" s="1" t="str">
        <f t="shared" si="63"/>
        <v/>
      </c>
    </row>
    <row r="975" spans="1:21" ht="18" customHeight="1" x14ac:dyDescent="0.3">
      <c r="A975" s="2"/>
      <c r="B975" s="65" t="str">
        <f t="shared" si="60"/>
        <v/>
      </c>
      <c r="C975" s="60"/>
      <c r="D975" s="65" t="str">
        <f>IF($E975="","",IFERROR(INDEX(MUSTERILER!$B$7:$B$156,MATCH($U975,MUSTERILER!$T$7:$T$156,0)),IFERROR(INDEX(MUSTERILER!$B$7:$B$156,MATCH($E975,MUSTERILER!$B$7:$B$156,0)),IFERROR(INDEX(MUSTERILER!$B$7:$B$156,MATCH($U975&amp;"*",MUSTERILER!$T$7:$T$156,0)),"TANIMSIZ MÜŞTERİ"))))</f>
        <v/>
      </c>
      <c r="E975" s="61"/>
      <c r="F975" s="61"/>
      <c r="G975" s="60"/>
      <c r="H975" s="66"/>
      <c r="I975" s="66"/>
      <c r="J975" s="60"/>
      <c r="K975" s="60"/>
      <c r="L975" s="61"/>
      <c r="M975" s="61"/>
      <c r="N975" s="61"/>
      <c r="O975" s="66"/>
      <c r="P975" s="76" t="str">
        <f t="shared" ca="1" si="61"/>
        <v/>
      </c>
      <c r="Q975" s="65" t="str">
        <f t="shared" ca="1" si="62"/>
        <v/>
      </c>
      <c r="R975" s="2"/>
      <c r="S975" s="2"/>
      <c r="T975" s="1"/>
      <c r="U975" s="1" t="str">
        <f t="shared" si="63"/>
        <v/>
      </c>
    </row>
    <row r="976" spans="1:21" ht="18" customHeight="1" x14ac:dyDescent="0.3">
      <c r="A976" s="2"/>
      <c r="B976" s="65" t="str">
        <f t="shared" si="60"/>
        <v/>
      </c>
      <c r="C976" s="60"/>
      <c r="D976" s="65" t="str">
        <f>IF($E976="","",IFERROR(INDEX(MUSTERILER!$B$7:$B$156,MATCH($U976,MUSTERILER!$T$7:$T$156,0)),IFERROR(INDEX(MUSTERILER!$B$7:$B$156,MATCH($E976,MUSTERILER!$B$7:$B$156,0)),IFERROR(INDEX(MUSTERILER!$B$7:$B$156,MATCH($U976&amp;"*",MUSTERILER!$T$7:$T$156,0)),"TANIMSIZ MÜŞTERİ"))))</f>
        <v/>
      </c>
      <c r="E976" s="61"/>
      <c r="F976" s="61"/>
      <c r="G976" s="60"/>
      <c r="H976" s="66"/>
      <c r="I976" s="66"/>
      <c r="J976" s="60"/>
      <c r="K976" s="60"/>
      <c r="L976" s="61"/>
      <c r="M976" s="61"/>
      <c r="N976" s="61"/>
      <c r="O976" s="66"/>
      <c r="P976" s="76" t="str">
        <f t="shared" ca="1" si="61"/>
        <v/>
      </c>
      <c r="Q976" s="65" t="str">
        <f t="shared" ca="1" si="62"/>
        <v/>
      </c>
      <c r="R976" s="2"/>
      <c r="S976" s="2"/>
      <c r="T976" s="1"/>
      <c r="U976" s="1" t="str">
        <f t="shared" si="63"/>
        <v/>
      </c>
    </row>
    <row r="977" spans="1:21" ht="18" customHeight="1" x14ac:dyDescent="0.3">
      <c r="A977" s="2"/>
      <c r="B977" s="65" t="str">
        <f t="shared" si="60"/>
        <v/>
      </c>
      <c r="C977" s="60"/>
      <c r="D977" s="65" t="str">
        <f>IF($E977="","",IFERROR(INDEX(MUSTERILER!$B$7:$B$156,MATCH($U977,MUSTERILER!$T$7:$T$156,0)),IFERROR(INDEX(MUSTERILER!$B$7:$B$156,MATCH($E977,MUSTERILER!$B$7:$B$156,0)),IFERROR(INDEX(MUSTERILER!$B$7:$B$156,MATCH($U977&amp;"*",MUSTERILER!$T$7:$T$156,0)),"TANIMSIZ MÜŞTERİ"))))</f>
        <v/>
      </c>
      <c r="E977" s="61"/>
      <c r="F977" s="61"/>
      <c r="G977" s="60"/>
      <c r="H977" s="66"/>
      <c r="I977" s="66"/>
      <c r="J977" s="60"/>
      <c r="K977" s="60"/>
      <c r="L977" s="61"/>
      <c r="M977" s="61"/>
      <c r="N977" s="61"/>
      <c r="O977" s="66"/>
      <c r="P977" s="76" t="str">
        <f t="shared" ca="1" si="61"/>
        <v/>
      </c>
      <c r="Q977" s="65" t="str">
        <f t="shared" ca="1" si="62"/>
        <v/>
      </c>
      <c r="R977" s="2"/>
      <c r="S977" s="2"/>
      <c r="T977" s="1"/>
      <c r="U977" s="1" t="str">
        <f t="shared" si="63"/>
        <v/>
      </c>
    </row>
    <row r="978" spans="1:21" ht="18" customHeight="1" x14ac:dyDescent="0.3">
      <c r="A978" s="2"/>
      <c r="B978" s="65" t="str">
        <f t="shared" si="60"/>
        <v/>
      </c>
      <c r="C978" s="60"/>
      <c r="D978" s="65" t="str">
        <f>IF($E978="","",IFERROR(INDEX(MUSTERILER!$B$7:$B$156,MATCH($U978,MUSTERILER!$T$7:$T$156,0)),IFERROR(INDEX(MUSTERILER!$B$7:$B$156,MATCH($E978,MUSTERILER!$B$7:$B$156,0)),IFERROR(INDEX(MUSTERILER!$B$7:$B$156,MATCH($U978&amp;"*",MUSTERILER!$T$7:$T$156,0)),"TANIMSIZ MÜŞTERİ"))))</f>
        <v/>
      </c>
      <c r="E978" s="61"/>
      <c r="F978" s="61"/>
      <c r="G978" s="60"/>
      <c r="H978" s="66"/>
      <c r="I978" s="66"/>
      <c r="J978" s="60"/>
      <c r="K978" s="60"/>
      <c r="L978" s="61"/>
      <c r="M978" s="61"/>
      <c r="N978" s="61"/>
      <c r="O978" s="66"/>
      <c r="P978" s="76" t="str">
        <f t="shared" ca="1" si="61"/>
        <v/>
      </c>
      <c r="Q978" s="65" t="str">
        <f t="shared" ca="1" si="62"/>
        <v/>
      </c>
      <c r="R978" s="2"/>
      <c r="S978" s="2"/>
      <c r="T978" s="1"/>
      <c r="U978" s="1" t="str">
        <f t="shared" si="63"/>
        <v/>
      </c>
    </row>
    <row r="979" spans="1:21" ht="18" customHeight="1" x14ac:dyDescent="0.3">
      <c r="A979" s="2"/>
      <c r="B979" s="65" t="str">
        <f t="shared" si="60"/>
        <v/>
      </c>
      <c r="C979" s="60"/>
      <c r="D979" s="65" t="str">
        <f>IF($E979="","",IFERROR(INDEX(MUSTERILER!$B$7:$B$156,MATCH($U979,MUSTERILER!$T$7:$T$156,0)),IFERROR(INDEX(MUSTERILER!$B$7:$B$156,MATCH($E979,MUSTERILER!$B$7:$B$156,0)),IFERROR(INDEX(MUSTERILER!$B$7:$B$156,MATCH($U979&amp;"*",MUSTERILER!$T$7:$T$156,0)),"TANIMSIZ MÜŞTERİ"))))</f>
        <v/>
      </c>
      <c r="E979" s="61"/>
      <c r="F979" s="61"/>
      <c r="G979" s="60"/>
      <c r="H979" s="66"/>
      <c r="I979" s="66"/>
      <c r="J979" s="60"/>
      <c r="K979" s="60"/>
      <c r="L979" s="61"/>
      <c r="M979" s="61"/>
      <c r="N979" s="61"/>
      <c r="O979" s="66"/>
      <c r="P979" s="76" t="str">
        <f t="shared" ca="1" si="61"/>
        <v/>
      </c>
      <c r="Q979" s="65" t="str">
        <f t="shared" ca="1" si="62"/>
        <v/>
      </c>
      <c r="R979" s="2"/>
      <c r="S979" s="2"/>
      <c r="T979" s="1"/>
      <c r="U979" s="1" t="str">
        <f t="shared" si="63"/>
        <v/>
      </c>
    </row>
    <row r="980" spans="1:21" ht="18" customHeight="1" x14ac:dyDescent="0.3">
      <c r="A980" s="2"/>
      <c r="B980" s="65" t="str">
        <f t="shared" si="60"/>
        <v/>
      </c>
      <c r="C980" s="60"/>
      <c r="D980" s="65" t="str">
        <f>IF($E980="","",IFERROR(INDEX(MUSTERILER!$B$7:$B$156,MATCH($U980,MUSTERILER!$T$7:$T$156,0)),IFERROR(INDEX(MUSTERILER!$B$7:$B$156,MATCH($E980,MUSTERILER!$B$7:$B$156,0)),IFERROR(INDEX(MUSTERILER!$B$7:$B$156,MATCH($U980&amp;"*",MUSTERILER!$T$7:$T$156,0)),"TANIMSIZ MÜŞTERİ"))))</f>
        <v/>
      </c>
      <c r="E980" s="61"/>
      <c r="F980" s="61"/>
      <c r="G980" s="60"/>
      <c r="H980" s="66"/>
      <c r="I980" s="66"/>
      <c r="J980" s="60"/>
      <c r="K980" s="60"/>
      <c r="L980" s="61"/>
      <c r="M980" s="61"/>
      <c r="N980" s="61"/>
      <c r="O980" s="66"/>
      <c r="P980" s="76" t="str">
        <f t="shared" ca="1" si="61"/>
        <v/>
      </c>
      <c r="Q980" s="65" t="str">
        <f t="shared" ca="1" si="62"/>
        <v/>
      </c>
      <c r="R980" s="2"/>
      <c r="S980" s="2"/>
      <c r="T980" s="1"/>
      <c r="U980" s="1" t="str">
        <f t="shared" si="63"/>
        <v/>
      </c>
    </row>
    <row r="981" spans="1:21" ht="18" customHeight="1" x14ac:dyDescent="0.3">
      <c r="A981" s="2"/>
      <c r="B981" s="65" t="str">
        <f t="shared" si="60"/>
        <v/>
      </c>
      <c r="C981" s="60"/>
      <c r="D981" s="65" t="str">
        <f>IF($E981="","",IFERROR(INDEX(MUSTERILER!$B$7:$B$156,MATCH($U981,MUSTERILER!$T$7:$T$156,0)),IFERROR(INDEX(MUSTERILER!$B$7:$B$156,MATCH($E981,MUSTERILER!$B$7:$B$156,0)),IFERROR(INDEX(MUSTERILER!$B$7:$B$156,MATCH($U981&amp;"*",MUSTERILER!$T$7:$T$156,0)),"TANIMSIZ MÜŞTERİ"))))</f>
        <v/>
      </c>
      <c r="E981" s="61"/>
      <c r="F981" s="61"/>
      <c r="G981" s="60"/>
      <c r="H981" s="66"/>
      <c r="I981" s="66"/>
      <c r="J981" s="60"/>
      <c r="K981" s="60"/>
      <c r="L981" s="61"/>
      <c r="M981" s="61"/>
      <c r="N981" s="61"/>
      <c r="O981" s="66"/>
      <c r="P981" s="76" t="str">
        <f t="shared" ca="1" si="61"/>
        <v/>
      </c>
      <c r="Q981" s="65" t="str">
        <f t="shared" ca="1" si="62"/>
        <v/>
      </c>
      <c r="R981" s="2"/>
      <c r="S981" s="2"/>
      <c r="T981" s="1"/>
      <c r="U981" s="1" t="str">
        <f t="shared" si="63"/>
        <v/>
      </c>
    </row>
    <row r="982" spans="1:21" ht="18" customHeight="1" x14ac:dyDescent="0.3">
      <c r="A982" s="2"/>
      <c r="B982" s="65" t="str">
        <f t="shared" si="60"/>
        <v/>
      </c>
      <c r="C982" s="60"/>
      <c r="D982" s="65" t="str">
        <f>IF($E982="","",IFERROR(INDEX(MUSTERILER!$B$7:$B$156,MATCH($U982,MUSTERILER!$T$7:$T$156,0)),IFERROR(INDEX(MUSTERILER!$B$7:$B$156,MATCH($E982,MUSTERILER!$B$7:$B$156,0)),IFERROR(INDEX(MUSTERILER!$B$7:$B$156,MATCH($U982&amp;"*",MUSTERILER!$T$7:$T$156,0)),"TANIMSIZ MÜŞTERİ"))))</f>
        <v/>
      </c>
      <c r="E982" s="61"/>
      <c r="F982" s="61"/>
      <c r="G982" s="60"/>
      <c r="H982" s="66"/>
      <c r="I982" s="66"/>
      <c r="J982" s="60"/>
      <c r="K982" s="60"/>
      <c r="L982" s="61"/>
      <c r="M982" s="61"/>
      <c r="N982" s="61"/>
      <c r="O982" s="66"/>
      <c r="P982" s="76" t="str">
        <f t="shared" ca="1" si="61"/>
        <v/>
      </c>
      <c r="Q982" s="65" t="str">
        <f t="shared" ca="1" si="62"/>
        <v/>
      </c>
      <c r="R982" s="2"/>
      <c r="S982" s="2"/>
      <c r="T982" s="1"/>
      <c r="U982" s="1" t="str">
        <f t="shared" si="63"/>
        <v/>
      </c>
    </row>
    <row r="983" spans="1:21" ht="18" customHeight="1" x14ac:dyDescent="0.3">
      <c r="A983" s="2"/>
      <c r="B983" s="65" t="str">
        <f t="shared" si="60"/>
        <v/>
      </c>
      <c r="C983" s="60"/>
      <c r="D983" s="65" t="str">
        <f>IF($E983="","",IFERROR(INDEX(MUSTERILER!$B$7:$B$156,MATCH($U983,MUSTERILER!$T$7:$T$156,0)),IFERROR(INDEX(MUSTERILER!$B$7:$B$156,MATCH($E983,MUSTERILER!$B$7:$B$156,0)),IFERROR(INDEX(MUSTERILER!$B$7:$B$156,MATCH($U983&amp;"*",MUSTERILER!$T$7:$T$156,0)),"TANIMSIZ MÜŞTERİ"))))</f>
        <v/>
      </c>
      <c r="E983" s="61"/>
      <c r="F983" s="61"/>
      <c r="G983" s="60"/>
      <c r="H983" s="66"/>
      <c r="I983" s="66"/>
      <c r="J983" s="60"/>
      <c r="K983" s="60"/>
      <c r="L983" s="61"/>
      <c r="M983" s="61"/>
      <c r="N983" s="61"/>
      <c r="O983" s="66"/>
      <c r="P983" s="76" t="str">
        <f t="shared" ca="1" si="61"/>
        <v/>
      </c>
      <c r="Q983" s="65" t="str">
        <f t="shared" ca="1" si="62"/>
        <v/>
      </c>
      <c r="R983" s="2"/>
      <c r="S983" s="2"/>
      <c r="T983" s="1"/>
      <c r="U983" s="1" t="str">
        <f t="shared" si="63"/>
        <v/>
      </c>
    </row>
    <row r="984" spans="1:21" ht="18" customHeight="1" x14ac:dyDescent="0.3">
      <c r="A984" s="2"/>
      <c r="B984" s="65" t="str">
        <f t="shared" si="60"/>
        <v/>
      </c>
      <c r="C984" s="60"/>
      <c r="D984" s="65" t="str">
        <f>IF($E984="","",IFERROR(INDEX(MUSTERILER!$B$7:$B$156,MATCH($U984,MUSTERILER!$T$7:$T$156,0)),IFERROR(INDEX(MUSTERILER!$B$7:$B$156,MATCH($E984,MUSTERILER!$B$7:$B$156,0)),IFERROR(INDEX(MUSTERILER!$B$7:$B$156,MATCH($U984&amp;"*",MUSTERILER!$T$7:$T$156,0)),"TANIMSIZ MÜŞTERİ"))))</f>
        <v/>
      </c>
      <c r="E984" s="61"/>
      <c r="F984" s="61"/>
      <c r="G984" s="60"/>
      <c r="H984" s="66"/>
      <c r="I984" s="66"/>
      <c r="J984" s="60"/>
      <c r="K984" s="60"/>
      <c r="L984" s="61"/>
      <c r="M984" s="61"/>
      <c r="N984" s="61"/>
      <c r="O984" s="66"/>
      <c r="P984" s="76" t="str">
        <f t="shared" ca="1" si="61"/>
        <v/>
      </c>
      <c r="Q984" s="65" t="str">
        <f t="shared" ca="1" si="62"/>
        <v/>
      </c>
      <c r="R984" s="2"/>
      <c r="S984" s="2"/>
      <c r="T984" s="1"/>
      <c r="U984" s="1" t="str">
        <f t="shared" si="63"/>
        <v/>
      </c>
    </row>
    <row r="985" spans="1:21" ht="18" customHeight="1" x14ac:dyDescent="0.3">
      <c r="A985" s="2"/>
      <c r="B985" s="65" t="str">
        <f t="shared" si="60"/>
        <v/>
      </c>
      <c r="C985" s="60"/>
      <c r="D985" s="65" t="str">
        <f>IF($E985="","",IFERROR(INDEX(MUSTERILER!$B$7:$B$156,MATCH($U985,MUSTERILER!$T$7:$T$156,0)),IFERROR(INDEX(MUSTERILER!$B$7:$B$156,MATCH($E985,MUSTERILER!$B$7:$B$156,0)),IFERROR(INDEX(MUSTERILER!$B$7:$B$156,MATCH($U985&amp;"*",MUSTERILER!$T$7:$T$156,0)),"TANIMSIZ MÜŞTERİ"))))</f>
        <v/>
      </c>
      <c r="E985" s="61"/>
      <c r="F985" s="61"/>
      <c r="G985" s="60"/>
      <c r="H985" s="66"/>
      <c r="I985" s="66"/>
      <c r="J985" s="60"/>
      <c r="K985" s="60"/>
      <c r="L985" s="61"/>
      <c r="M985" s="61"/>
      <c r="N985" s="61"/>
      <c r="O985" s="66"/>
      <c r="P985" s="76" t="str">
        <f t="shared" ca="1" si="61"/>
        <v/>
      </c>
      <c r="Q985" s="65" t="str">
        <f t="shared" ca="1" si="62"/>
        <v/>
      </c>
      <c r="R985" s="2"/>
      <c r="S985" s="2"/>
      <c r="T985" s="1"/>
      <c r="U985" s="1" t="str">
        <f t="shared" si="63"/>
        <v/>
      </c>
    </row>
    <row r="986" spans="1:21" ht="18" customHeight="1" x14ac:dyDescent="0.3">
      <c r="A986" s="2"/>
      <c r="B986" s="65" t="str">
        <f t="shared" si="60"/>
        <v/>
      </c>
      <c r="C986" s="60"/>
      <c r="D986" s="65" t="str">
        <f>IF($E986="","",IFERROR(INDEX(MUSTERILER!$B$7:$B$156,MATCH($U986,MUSTERILER!$T$7:$T$156,0)),IFERROR(INDEX(MUSTERILER!$B$7:$B$156,MATCH($E986,MUSTERILER!$B$7:$B$156,0)),IFERROR(INDEX(MUSTERILER!$B$7:$B$156,MATCH($U986&amp;"*",MUSTERILER!$T$7:$T$156,0)),"TANIMSIZ MÜŞTERİ"))))</f>
        <v/>
      </c>
      <c r="E986" s="61"/>
      <c r="F986" s="61"/>
      <c r="G986" s="60"/>
      <c r="H986" s="66"/>
      <c r="I986" s="66"/>
      <c r="J986" s="60"/>
      <c r="K986" s="60"/>
      <c r="L986" s="61"/>
      <c r="M986" s="61"/>
      <c r="N986" s="61"/>
      <c r="O986" s="66"/>
      <c r="P986" s="76" t="str">
        <f t="shared" ca="1" si="61"/>
        <v/>
      </c>
      <c r="Q986" s="65" t="str">
        <f t="shared" ca="1" si="62"/>
        <v/>
      </c>
      <c r="R986" s="2"/>
      <c r="S986" s="2"/>
      <c r="T986" s="1"/>
      <c r="U986" s="1" t="str">
        <f t="shared" si="63"/>
        <v/>
      </c>
    </row>
    <row r="987" spans="1:21" ht="18" customHeight="1" x14ac:dyDescent="0.3">
      <c r="A987" s="2"/>
      <c r="B987" s="65" t="str">
        <f t="shared" si="60"/>
        <v/>
      </c>
      <c r="C987" s="60"/>
      <c r="D987" s="65" t="str">
        <f>IF($E987="","",IFERROR(INDEX(MUSTERILER!$B$7:$B$156,MATCH($U987,MUSTERILER!$T$7:$T$156,0)),IFERROR(INDEX(MUSTERILER!$B$7:$B$156,MATCH($E987,MUSTERILER!$B$7:$B$156,0)),IFERROR(INDEX(MUSTERILER!$B$7:$B$156,MATCH($U987&amp;"*",MUSTERILER!$T$7:$T$156,0)),"TANIMSIZ MÜŞTERİ"))))</f>
        <v/>
      </c>
      <c r="E987" s="61"/>
      <c r="F987" s="61"/>
      <c r="G987" s="60"/>
      <c r="H987" s="66"/>
      <c r="I987" s="66"/>
      <c r="J987" s="60"/>
      <c r="K987" s="60"/>
      <c r="L987" s="61"/>
      <c r="M987" s="61"/>
      <c r="N987" s="61"/>
      <c r="O987" s="66"/>
      <c r="P987" s="76" t="str">
        <f t="shared" ca="1" si="61"/>
        <v/>
      </c>
      <c r="Q987" s="65" t="str">
        <f t="shared" ca="1" si="62"/>
        <v/>
      </c>
      <c r="R987" s="2"/>
      <c r="S987" s="2"/>
      <c r="T987" s="1"/>
      <c r="U987" s="1" t="str">
        <f t="shared" si="63"/>
        <v/>
      </c>
    </row>
    <row r="988" spans="1:21" ht="18" customHeight="1" x14ac:dyDescent="0.3">
      <c r="A988" s="2"/>
      <c r="B988" s="65" t="str">
        <f t="shared" si="60"/>
        <v/>
      </c>
      <c r="C988" s="60"/>
      <c r="D988" s="65" t="str">
        <f>IF($E988="","",IFERROR(INDEX(MUSTERILER!$B$7:$B$156,MATCH($U988,MUSTERILER!$T$7:$T$156,0)),IFERROR(INDEX(MUSTERILER!$B$7:$B$156,MATCH($E988,MUSTERILER!$B$7:$B$156,0)),IFERROR(INDEX(MUSTERILER!$B$7:$B$156,MATCH($U988&amp;"*",MUSTERILER!$T$7:$T$156,0)),"TANIMSIZ MÜŞTERİ"))))</f>
        <v/>
      </c>
      <c r="E988" s="61"/>
      <c r="F988" s="61"/>
      <c r="G988" s="60"/>
      <c r="H988" s="66"/>
      <c r="I988" s="66"/>
      <c r="J988" s="60"/>
      <c r="K988" s="60"/>
      <c r="L988" s="61"/>
      <c r="M988" s="61"/>
      <c r="N988" s="61"/>
      <c r="O988" s="66"/>
      <c r="P988" s="76" t="str">
        <f t="shared" ca="1" si="61"/>
        <v/>
      </c>
      <c r="Q988" s="65" t="str">
        <f t="shared" ca="1" si="62"/>
        <v/>
      </c>
      <c r="R988" s="2"/>
      <c r="S988" s="2"/>
      <c r="T988" s="1"/>
      <c r="U988" s="1" t="str">
        <f t="shared" si="63"/>
        <v/>
      </c>
    </row>
    <row r="989" spans="1:21" ht="18" customHeight="1" x14ac:dyDescent="0.3">
      <c r="A989" s="2"/>
      <c r="B989" s="65" t="str">
        <f t="shared" si="60"/>
        <v/>
      </c>
      <c r="C989" s="60"/>
      <c r="D989" s="65" t="str">
        <f>IF($E989="","",IFERROR(INDEX(MUSTERILER!$B$7:$B$156,MATCH($U989,MUSTERILER!$T$7:$T$156,0)),IFERROR(INDEX(MUSTERILER!$B$7:$B$156,MATCH($E989,MUSTERILER!$B$7:$B$156,0)),IFERROR(INDEX(MUSTERILER!$B$7:$B$156,MATCH($U989&amp;"*",MUSTERILER!$T$7:$T$156,0)),"TANIMSIZ MÜŞTERİ"))))</f>
        <v/>
      </c>
      <c r="E989" s="61"/>
      <c r="F989" s="61"/>
      <c r="G989" s="60"/>
      <c r="H989" s="66"/>
      <c r="I989" s="66"/>
      <c r="J989" s="60"/>
      <c r="K989" s="60"/>
      <c r="L989" s="61"/>
      <c r="M989" s="61"/>
      <c r="N989" s="61"/>
      <c r="O989" s="66"/>
      <c r="P989" s="76" t="str">
        <f t="shared" ca="1" si="61"/>
        <v/>
      </c>
      <c r="Q989" s="65" t="str">
        <f t="shared" ca="1" si="62"/>
        <v/>
      </c>
      <c r="R989" s="2"/>
      <c r="S989" s="2"/>
      <c r="T989" s="1"/>
      <c r="U989" s="1" t="str">
        <f t="shared" si="63"/>
        <v/>
      </c>
    </row>
    <row r="990" spans="1:21" ht="18" customHeight="1" x14ac:dyDescent="0.3">
      <c r="A990" s="2"/>
      <c r="B990" s="65" t="str">
        <f t="shared" si="60"/>
        <v/>
      </c>
      <c r="C990" s="60"/>
      <c r="D990" s="65" t="str">
        <f>IF($E990="","",IFERROR(INDEX(MUSTERILER!$B$7:$B$156,MATCH($U990,MUSTERILER!$T$7:$T$156,0)),IFERROR(INDEX(MUSTERILER!$B$7:$B$156,MATCH($E990,MUSTERILER!$B$7:$B$156,0)),IFERROR(INDEX(MUSTERILER!$B$7:$B$156,MATCH($U990&amp;"*",MUSTERILER!$T$7:$T$156,0)),"TANIMSIZ MÜŞTERİ"))))</f>
        <v/>
      </c>
      <c r="E990" s="61"/>
      <c r="F990" s="61"/>
      <c r="G990" s="60"/>
      <c r="H990" s="66"/>
      <c r="I990" s="66"/>
      <c r="J990" s="60"/>
      <c r="K990" s="60"/>
      <c r="L990" s="61"/>
      <c r="M990" s="61"/>
      <c r="N990" s="61"/>
      <c r="O990" s="66"/>
      <c r="P990" s="76" t="str">
        <f t="shared" ca="1" si="61"/>
        <v/>
      </c>
      <c r="Q990" s="65" t="str">
        <f t="shared" ca="1" si="62"/>
        <v/>
      </c>
      <c r="R990" s="2"/>
      <c r="S990" s="2"/>
      <c r="T990" s="1"/>
      <c r="U990" s="1" t="str">
        <f t="shared" si="63"/>
        <v/>
      </c>
    </row>
    <row r="991" spans="1:21" ht="18" customHeight="1" x14ac:dyDescent="0.3">
      <c r="A991" s="2"/>
      <c r="B991" s="65" t="str">
        <f t="shared" si="60"/>
        <v/>
      </c>
      <c r="C991" s="60"/>
      <c r="D991" s="65" t="str">
        <f>IF($E991="","",IFERROR(INDEX(MUSTERILER!$B$7:$B$156,MATCH($U991,MUSTERILER!$T$7:$T$156,0)),IFERROR(INDEX(MUSTERILER!$B$7:$B$156,MATCH($E991,MUSTERILER!$B$7:$B$156,0)),IFERROR(INDEX(MUSTERILER!$B$7:$B$156,MATCH($U991&amp;"*",MUSTERILER!$T$7:$T$156,0)),"TANIMSIZ MÜŞTERİ"))))</f>
        <v/>
      </c>
      <c r="E991" s="61"/>
      <c r="F991" s="61"/>
      <c r="G991" s="60"/>
      <c r="H991" s="66"/>
      <c r="I991" s="66"/>
      <c r="J991" s="60"/>
      <c r="K991" s="60"/>
      <c r="L991" s="61"/>
      <c r="M991" s="61"/>
      <c r="N991" s="61"/>
      <c r="O991" s="66"/>
      <c r="P991" s="76" t="str">
        <f t="shared" ca="1" si="61"/>
        <v/>
      </c>
      <c r="Q991" s="65" t="str">
        <f t="shared" ca="1" si="62"/>
        <v/>
      </c>
      <c r="R991" s="2"/>
      <c r="S991" s="2"/>
      <c r="T991" s="1"/>
      <c r="U991" s="1" t="str">
        <f t="shared" si="63"/>
        <v/>
      </c>
    </row>
    <row r="992" spans="1:21" ht="18" customHeight="1" x14ac:dyDescent="0.3">
      <c r="A992" s="2"/>
      <c r="B992" s="65" t="str">
        <f t="shared" si="60"/>
        <v/>
      </c>
      <c r="C992" s="60"/>
      <c r="D992" s="65" t="str">
        <f>IF($E992="","",IFERROR(INDEX(MUSTERILER!$B$7:$B$156,MATCH($U992,MUSTERILER!$T$7:$T$156,0)),IFERROR(INDEX(MUSTERILER!$B$7:$B$156,MATCH($E992,MUSTERILER!$B$7:$B$156,0)),IFERROR(INDEX(MUSTERILER!$B$7:$B$156,MATCH($U992&amp;"*",MUSTERILER!$T$7:$T$156,0)),"TANIMSIZ MÜŞTERİ"))))</f>
        <v/>
      </c>
      <c r="E992" s="61"/>
      <c r="F992" s="61"/>
      <c r="G992" s="60"/>
      <c r="H992" s="66"/>
      <c r="I992" s="66"/>
      <c r="J992" s="60"/>
      <c r="K992" s="60"/>
      <c r="L992" s="61"/>
      <c r="M992" s="61"/>
      <c r="N992" s="61"/>
      <c r="O992" s="66"/>
      <c r="P992" s="76" t="str">
        <f t="shared" ca="1" si="61"/>
        <v/>
      </c>
      <c r="Q992" s="65" t="str">
        <f t="shared" ca="1" si="62"/>
        <v/>
      </c>
      <c r="R992" s="2"/>
      <c r="S992" s="2"/>
      <c r="T992" s="1"/>
      <c r="U992" s="1" t="str">
        <f t="shared" si="63"/>
        <v/>
      </c>
    </row>
    <row r="993" spans="1:21" ht="18" customHeight="1" x14ac:dyDescent="0.3">
      <c r="A993" s="2"/>
      <c r="B993" s="65" t="str">
        <f t="shared" si="60"/>
        <v/>
      </c>
      <c r="C993" s="60"/>
      <c r="D993" s="65" t="str">
        <f>IF($E993="","",IFERROR(INDEX(MUSTERILER!$B$7:$B$156,MATCH($U993,MUSTERILER!$T$7:$T$156,0)),IFERROR(INDEX(MUSTERILER!$B$7:$B$156,MATCH($E993,MUSTERILER!$B$7:$B$156,0)),IFERROR(INDEX(MUSTERILER!$B$7:$B$156,MATCH($U993&amp;"*",MUSTERILER!$T$7:$T$156,0)),"TANIMSIZ MÜŞTERİ"))))</f>
        <v/>
      </c>
      <c r="E993" s="61"/>
      <c r="F993" s="61"/>
      <c r="G993" s="60"/>
      <c r="H993" s="66"/>
      <c r="I993" s="66"/>
      <c r="J993" s="60"/>
      <c r="K993" s="60"/>
      <c r="L993" s="61"/>
      <c r="M993" s="61"/>
      <c r="N993" s="61"/>
      <c r="O993" s="66"/>
      <c r="P993" s="76" t="str">
        <f t="shared" ca="1" si="61"/>
        <v/>
      </c>
      <c r="Q993" s="65" t="str">
        <f t="shared" ca="1" si="62"/>
        <v/>
      </c>
      <c r="R993" s="2"/>
      <c r="S993" s="2"/>
      <c r="T993" s="1"/>
      <c r="U993" s="1" t="str">
        <f t="shared" si="63"/>
        <v/>
      </c>
    </row>
    <row r="994" spans="1:21" ht="18" customHeight="1" x14ac:dyDescent="0.3">
      <c r="A994" s="2"/>
      <c r="B994" s="65" t="str">
        <f t="shared" si="60"/>
        <v/>
      </c>
      <c r="C994" s="60"/>
      <c r="D994" s="65" t="str">
        <f>IF($E994="","",IFERROR(INDEX(MUSTERILER!$B$7:$B$156,MATCH($U994,MUSTERILER!$T$7:$T$156,0)),IFERROR(INDEX(MUSTERILER!$B$7:$B$156,MATCH($E994,MUSTERILER!$B$7:$B$156,0)),IFERROR(INDEX(MUSTERILER!$B$7:$B$156,MATCH($U994&amp;"*",MUSTERILER!$T$7:$T$156,0)),"TANIMSIZ MÜŞTERİ"))))</f>
        <v/>
      </c>
      <c r="E994" s="61"/>
      <c r="F994" s="61"/>
      <c r="G994" s="60"/>
      <c r="H994" s="66"/>
      <c r="I994" s="66"/>
      <c r="J994" s="60"/>
      <c r="K994" s="60"/>
      <c r="L994" s="61"/>
      <c r="M994" s="61"/>
      <c r="N994" s="61"/>
      <c r="O994" s="66"/>
      <c r="P994" s="76" t="str">
        <f t="shared" ca="1" si="61"/>
        <v/>
      </c>
      <c r="Q994" s="65" t="str">
        <f t="shared" ca="1" si="62"/>
        <v/>
      </c>
      <c r="R994" s="2"/>
      <c r="S994" s="2"/>
      <c r="T994" s="1"/>
      <c r="U994" s="1" t="str">
        <f t="shared" si="63"/>
        <v/>
      </c>
    </row>
    <row r="995" spans="1:21" ht="18" customHeight="1" x14ac:dyDescent="0.3">
      <c r="A995" s="2"/>
      <c r="B995" s="65" t="str">
        <f t="shared" si="60"/>
        <v/>
      </c>
      <c r="C995" s="60"/>
      <c r="D995" s="65" t="str">
        <f>IF($E995="","",IFERROR(INDEX(MUSTERILER!$B$7:$B$156,MATCH($U995,MUSTERILER!$T$7:$T$156,0)),IFERROR(INDEX(MUSTERILER!$B$7:$B$156,MATCH($E995,MUSTERILER!$B$7:$B$156,0)),IFERROR(INDEX(MUSTERILER!$B$7:$B$156,MATCH($U995&amp;"*",MUSTERILER!$T$7:$T$156,0)),"TANIMSIZ MÜŞTERİ"))))</f>
        <v/>
      </c>
      <c r="E995" s="61"/>
      <c r="F995" s="61"/>
      <c r="G995" s="60"/>
      <c r="H995" s="66"/>
      <c r="I995" s="66"/>
      <c r="J995" s="60"/>
      <c r="K995" s="60"/>
      <c r="L995" s="61"/>
      <c r="M995" s="61"/>
      <c r="N995" s="61"/>
      <c r="O995" s="66"/>
      <c r="P995" s="76" t="str">
        <f t="shared" ca="1" si="61"/>
        <v/>
      </c>
      <c r="Q995" s="65" t="str">
        <f t="shared" ca="1" si="62"/>
        <v/>
      </c>
      <c r="R995" s="2"/>
      <c r="S995" s="2"/>
      <c r="T995" s="1"/>
      <c r="U995" s="1" t="str">
        <f t="shared" si="63"/>
        <v/>
      </c>
    </row>
    <row r="996" spans="1:21" ht="18" customHeight="1" x14ac:dyDescent="0.3">
      <c r="A996" s="2"/>
      <c r="B996" s="65" t="str">
        <f t="shared" si="60"/>
        <v/>
      </c>
      <c r="C996" s="60"/>
      <c r="D996" s="65" t="str">
        <f>IF($E996="","",IFERROR(INDEX(MUSTERILER!$B$7:$B$156,MATCH($U996,MUSTERILER!$T$7:$T$156,0)),IFERROR(INDEX(MUSTERILER!$B$7:$B$156,MATCH($E996,MUSTERILER!$B$7:$B$156,0)),IFERROR(INDEX(MUSTERILER!$B$7:$B$156,MATCH($U996&amp;"*",MUSTERILER!$T$7:$T$156,0)),"TANIMSIZ MÜŞTERİ"))))</f>
        <v/>
      </c>
      <c r="E996" s="61"/>
      <c r="F996" s="61"/>
      <c r="G996" s="60"/>
      <c r="H996" s="66"/>
      <c r="I996" s="66"/>
      <c r="J996" s="60"/>
      <c r="K996" s="60"/>
      <c r="L996" s="61"/>
      <c r="M996" s="61"/>
      <c r="N996" s="61"/>
      <c r="O996" s="66"/>
      <c r="P996" s="76" t="str">
        <f t="shared" ca="1" si="61"/>
        <v/>
      </c>
      <c r="Q996" s="65" t="str">
        <f t="shared" ca="1" si="62"/>
        <v/>
      </c>
      <c r="R996" s="2"/>
      <c r="S996" s="2"/>
      <c r="T996" s="1"/>
      <c r="U996" s="1" t="str">
        <f t="shared" si="63"/>
        <v/>
      </c>
    </row>
    <row r="997" spans="1:21" ht="18" customHeight="1" x14ac:dyDescent="0.3">
      <c r="A997" s="2"/>
      <c r="B997" s="65" t="str">
        <f t="shared" si="60"/>
        <v/>
      </c>
      <c r="C997" s="60"/>
      <c r="D997" s="65" t="str">
        <f>IF($E997="","",IFERROR(INDEX(MUSTERILER!$B$7:$B$156,MATCH($U997,MUSTERILER!$T$7:$T$156,0)),IFERROR(INDEX(MUSTERILER!$B$7:$B$156,MATCH($E997,MUSTERILER!$B$7:$B$156,0)),IFERROR(INDEX(MUSTERILER!$B$7:$B$156,MATCH($U997&amp;"*",MUSTERILER!$T$7:$T$156,0)),"TANIMSIZ MÜŞTERİ"))))</f>
        <v/>
      </c>
      <c r="E997" s="61"/>
      <c r="F997" s="61"/>
      <c r="G997" s="60"/>
      <c r="H997" s="66"/>
      <c r="I997" s="66"/>
      <c r="J997" s="60"/>
      <c r="K997" s="60"/>
      <c r="L997" s="61"/>
      <c r="M997" s="61"/>
      <c r="N997" s="61"/>
      <c r="O997" s="66"/>
      <c r="P997" s="76" t="str">
        <f t="shared" ca="1" si="61"/>
        <v/>
      </c>
      <c r="Q997" s="65" t="str">
        <f t="shared" ca="1" si="62"/>
        <v/>
      </c>
      <c r="R997" s="2"/>
      <c r="S997" s="2"/>
      <c r="T997" s="1"/>
      <c r="U997" s="1" t="str">
        <f t="shared" si="63"/>
        <v/>
      </c>
    </row>
    <row r="998" spans="1:21" ht="18" customHeight="1" x14ac:dyDescent="0.3">
      <c r="A998" s="2"/>
      <c r="B998" s="65" t="str">
        <f t="shared" si="60"/>
        <v/>
      </c>
      <c r="C998" s="60"/>
      <c r="D998" s="65" t="str">
        <f>IF($E998="","",IFERROR(INDEX(MUSTERILER!$B$7:$B$156,MATCH($U998,MUSTERILER!$T$7:$T$156,0)),IFERROR(INDEX(MUSTERILER!$B$7:$B$156,MATCH($E998,MUSTERILER!$B$7:$B$156,0)),IFERROR(INDEX(MUSTERILER!$B$7:$B$156,MATCH($U998&amp;"*",MUSTERILER!$T$7:$T$156,0)),"TANIMSIZ MÜŞTERİ"))))</f>
        <v/>
      </c>
      <c r="E998" s="61"/>
      <c r="F998" s="61"/>
      <c r="G998" s="60"/>
      <c r="H998" s="66"/>
      <c r="I998" s="66"/>
      <c r="J998" s="60"/>
      <c r="K998" s="60"/>
      <c r="L998" s="61"/>
      <c r="M998" s="61"/>
      <c r="N998" s="61"/>
      <c r="O998" s="66"/>
      <c r="P998" s="76" t="str">
        <f t="shared" ca="1" si="61"/>
        <v/>
      </c>
      <c r="Q998" s="65" t="str">
        <f t="shared" ca="1" si="62"/>
        <v/>
      </c>
      <c r="R998" s="2"/>
      <c r="S998" s="2"/>
      <c r="T998" s="1"/>
      <c r="U998" s="1" t="str">
        <f t="shared" si="63"/>
        <v/>
      </c>
    </row>
    <row r="999" spans="1:21" ht="18" customHeight="1" x14ac:dyDescent="0.3">
      <c r="A999" s="2"/>
      <c r="B999" s="65" t="str">
        <f t="shared" si="60"/>
        <v/>
      </c>
      <c r="C999" s="60"/>
      <c r="D999" s="65" t="str">
        <f>IF($E999="","",IFERROR(INDEX(MUSTERILER!$B$7:$B$156,MATCH($U999,MUSTERILER!$T$7:$T$156,0)),IFERROR(INDEX(MUSTERILER!$B$7:$B$156,MATCH($E999,MUSTERILER!$B$7:$B$156,0)),IFERROR(INDEX(MUSTERILER!$B$7:$B$156,MATCH($U999&amp;"*",MUSTERILER!$T$7:$T$156,0)),"TANIMSIZ MÜŞTERİ"))))</f>
        <v/>
      </c>
      <c r="E999" s="61"/>
      <c r="F999" s="61"/>
      <c r="G999" s="60"/>
      <c r="H999" s="66"/>
      <c r="I999" s="66"/>
      <c r="J999" s="60"/>
      <c r="K999" s="60"/>
      <c r="L999" s="61"/>
      <c r="M999" s="61"/>
      <c r="N999" s="61"/>
      <c r="O999" s="66"/>
      <c r="P999" s="76" t="str">
        <f t="shared" ca="1" si="61"/>
        <v/>
      </c>
      <c r="Q999" s="65" t="str">
        <f t="shared" ca="1" si="62"/>
        <v/>
      </c>
      <c r="R999" s="2"/>
      <c r="S999" s="2"/>
      <c r="T999" s="1"/>
      <c r="U999" s="1" t="str">
        <f t="shared" si="63"/>
        <v/>
      </c>
    </row>
    <row r="1000" spans="1:21" ht="18" customHeight="1" x14ac:dyDescent="0.3">
      <c r="A1000" s="2"/>
      <c r="B1000" s="65" t="str">
        <f t="shared" si="60"/>
        <v/>
      </c>
      <c r="C1000" s="60"/>
      <c r="D1000" s="65" t="str">
        <f>IF($E1000="","",IFERROR(INDEX(MUSTERILER!$B$7:$B$156,MATCH($U1000,MUSTERILER!$T$7:$T$156,0)),IFERROR(INDEX(MUSTERILER!$B$7:$B$156,MATCH($E1000,MUSTERILER!$B$7:$B$156,0)),IFERROR(INDEX(MUSTERILER!$B$7:$B$156,MATCH($U1000&amp;"*",MUSTERILER!$T$7:$T$156,0)),"TANIMSIZ MÜŞTERİ"))))</f>
        <v/>
      </c>
      <c r="E1000" s="61"/>
      <c r="F1000" s="61"/>
      <c r="G1000" s="60"/>
      <c r="H1000" s="66"/>
      <c r="I1000" s="66"/>
      <c r="J1000" s="60"/>
      <c r="K1000" s="60"/>
      <c r="L1000" s="61"/>
      <c r="M1000" s="61"/>
      <c r="N1000" s="61"/>
      <c r="O1000" s="66"/>
      <c r="P1000" s="76" t="str">
        <f t="shared" ca="1" si="61"/>
        <v/>
      </c>
      <c r="Q1000" s="65" t="str">
        <f t="shared" ca="1" si="62"/>
        <v/>
      </c>
      <c r="R1000" s="2"/>
      <c r="S1000" s="2"/>
      <c r="T1000" s="1"/>
      <c r="U1000" s="1" t="str">
        <f t="shared" si="63"/>
        <v/>
      </c>
    </row>
    <row r="1001" spans="1:21" ht="18" customHeight="1" x14ac:dyDescent="0.3">
      <c r="A1001" s="2"/>
      <c r="B1001" s="65" t="str">
        <f t="shared" si="60"/>
        <v/>
      </c>
      <c r="C1001" s="60"/>
      <c r="D1001" s="65" t="str">
        <f>IF($E1001="","",IFERROR(INDEX(MUSTERILER!$B$7:$B$156,MATCH($U1001,MUSTERILER!$T$7:$T$156,0)),IFERROR(INDEX(MUSTERILER!$B$7:$B$156,MATCH($E1001,MUSTERILER!$B$7:$B$156,0)),IFERROR(INDEX(MUSTERILER!$B$7:$B$156,MATCH($U1001&amp;"*",MUSTERILER!$T$7:$T$156,0)),"TANIMSIZ MÜŞTERİ"))))</f>
        <v/>
      </c>
      <c r="E1001" s="61"/>
      <c r="F1001" s="61"/>
      <c r="G1001" s="60"/>
      <c r="H1001" s="66"/>
      <c r="I1001" s="66"/>
      <c r="J1001" s="60"/>
      <c r="K1001" s="60"/>
      <c r="L1001" s="61"/>
      <c r="M1001" s="61"/>
      <c r="N1001" s="61"/>
      <c r="O1001" s="66"/>
      <c r="P1001" s="76" t="str">
        <f t="shared" ca="1" si="61"/>
        <v/>
      </c>
      <c r="Q1001" s="65" t="str">
        <f t="shared" ca="1" si="62"/>
        <v/>
      </c>
      <c r="R1001" s="2"/>
      <c r="S1001" s="2"/>
      <c r="T1001" s="1"/>
      <c r="U1001" s="1" t="str">
        <f t="shared" si="63"/>
        <v/>
      </c>
    </row>
    <row r="1002" spans="1:21" ht="18" customHeight="1" x14ac:dyDescent="0.3">
      <c r="A1002" s="2"/>
      <c r="B1002" s="65" t="str">
        <f t="shared" si="60"/>
        <v/>
      </c>
      <c r="C1002" s="60"/>
      <c r="D1002" s="65" t="str">
        <f>IF($E1002="","",IFERROR(INDEX(MUSTERILER!$B$7:$B$156,MATCH($U1002,MUSTERILER!$T$7:$T$156,0)),IFERROR(INDEX(MUSTERILER!$B$7:$B$156,MATCH($E1002,MUSTERILER!$B$7:$B$156,0)),IFERROR(INDEX(MUSTERILER!$B$7:$B$156,MATCH($U1002&amp;"*",MUSTERILER!$T$7:$T$156,0)),"TANIMSIZ MÜŞTERİ"))))</f>
        <v/>
      </c>
      <c r="E1002" s="61"/>
      <c r="F1002" s="61"/>
      <c r="G1002" s="60"/>
      <c r="H1002" s="66"/>
      <c r="I1002" s="66"/>
      <c r="J1002" s="60"/>
      <c r="K1002" s="60"/>
      <c r="L1002" s="61"/>
      <c r="M1002" s="61"/>
      <c r="N1002" s="61"/>
      <c r="O1002" s="66"/>
      <c r="P1002" s="76" t="str">
        <f t="shared" ca="1" si="61"/>
        <v/>
      </c>
      <c r="Q1002" s="65" t="str">
        <f t="shared" ca="1" si="62"/>
        <v/>
      </c>
      <c r="R1002" s="2"/>
      <c r="S1002" s="2"/>
      <c r="T1002" s="1"/>
      <c r="U1002" s="1" t="str">
        <f t="shared" si="63"/>
        <v/>
      </c>
    </row>
    <row r="1003" spans="1:21" ht="18" customHeight="1" x14ac:dyDescent="0.3">
      <c r="A1003" s="2"/>
      <c r="B1003" s="65" t="str">
        <f t="shared" si="60"/>
        <v/>
      </c>
      <c r="C1003" s="60"/>
      <c r="D1003" s="65" t="str">
        <f>IF($E1003="","",IFERROR(INDEX(MUSTERILER!$B$7:$B$156,MATCH($U1003,MUSTERILER!$T$7:$T$156,0)),IFERROR(INDEX(MUSTERILER!$B$7:$B$156,MATCH($E1003,MUSTERILER!$B$7:$B$156,0)),IFERROR(INDEX(MUSTERILER!$B$7:$B$156,MATCH($U1003&amp;"*",MUSTERILER!$T$7:$T$156,0)),"TANIMSIZ MÜŞTERİ"))))</f>
        <v/>
      </c>
      <c r="E1003" s="61"/>
      <c r="F1003" s="61"/>
      <c r="G1003" s="60"/>
      <c r="H1003" s="66"/>
      <c r="I1003" s="66"/>
      <c r="J1003" s="60"/>
      <c r="K1003" s="60"/>
      <c r="L1003" s="61"/>
      <c r="M1003" s="61"/>
      <c r="N1003" s="61"/>
      <c r="O1003" s="66"/>
      <c r="P1003" s="76" t="str">
        <f t="shared" ca="1" si="61"/>
        <v/>
      </c>
      <c r="Q1003" s="65" t="str">
        <f t="shared" ca="1" si="62"/>
        <v/>
      </c>
      <c r="R1003" s="2"/>
      <c r="S1003" s="2"/>
      <c r="T1003" s="1"/>
      <c r="U1003" s="1" t="str">
        <f t="shared" si="63"/>
        <v/>
      </c>
    </row>
    <row r="1004" spans="1:21" ht="18" customHeight="1" x14ac:dyDescent="0.3">
      <c r="A1004" s="2"/>
      <c r="B1004" s="65" t="str">
        <f t="shared" si="60"/>
        <v/>
      </c>
      <c r="C1004" s="60"/>
      <c r="D1004" s="65" t="str">
        <f>IF($E1004="","",IFERROR(INDEX(MUSTERILER!$B$7:$B$156,MATCH($U1004,MUSTERILER!$T$7:$T$156,0)),IFERROR(INDEX(MUSTERILER!$B$7:$B$156,MATCH($E1004,MUSTERILER!$B$7:$B$156,0)),IFERROR(INDEX(MUSTERILER!$B$7:$B$156,MATCH($U1004&amp;"*",MUSTERILER!$T$7:$T$156,0)),"TANIMSIZ MÜŞTERİ"))))</f>
        <v/>
      </c>
      <c r="E1004" s="61"/>
      <c r="F1004" s="61"/>
      <c r="G1004" s="60"/>
      <c r="H1004" s="66"/>
      <c r="I1004" s="66"/>
      <c r="J1004" s="60"/>
      <c r="K1004" s="60"/>
      <c r="L1004" s="61"/>
      <c r="M1004" s="61"/>
      <c r="N1004" s="61"/>
      <c r="O1004" s="66"/>
      <c r="P1004" s="76" t="str">
        <f t="shared" ca="1" si="61"/>
        <v/>
      </c>
      <c r="Q1004" s="65" t="str">
        <f t="shared" ca="1" si="62"/>
        <v/>
      </c>
      <c r="R1004" s="2"/>
      <c r="S1004" s="2"/>
      <c r="T1004" s="1"/>
      <c r="U1004" s="1" t="str">
        <f t="shared" si="63"/>
        <v/>
      </c>
    </row>
    <row r="1005" spans="1:21" ht="18" customHeight="1" x14ac:dyDescent="0.3">
      <c r="A1005" s="2"/>
      <c r="B1005" s="65" t="str">
        <f t="shared" si="60"/>
        <v/>
      </c>
      <c r="C1005" s="60"/>
      <c r="D1005" s="65" t="str">
        <f>IF($E1005="","",IFERROR(INDEX(MUSTERILER!$B$7:$B$156,MATCH($U1005,MUSTERILER!$T$7:$T$156,0)),IFERROR(INDEX(MUSTERILER!$B$7:$B$156,MATCH($E1005,MUSTERILER!$B$7:$B$156,0)),IFERROR(INDEX(MUSTERILER!$B$7:$B$156,MATCH($U1005&amp;"*",MUSTERILER!$T$7:$T$156,0)),"TANIMSIZ MÜŞTERİ"))))</f>
        <v/>
      </c>
      <c r="E1005" s="61"/>
      <c r="F1005" s="61"/>
      <c r="G1005" s="60"/>
      <c r="H1005" s="66"/>
      <c r="I1005" s="66"/>
      <c r="J1005" s="60"/>
      <c r="K1005" s="60"/>
      <c r="L1005" s="61"/>
      <c r="M1005" s="61"/>
      <c r="N1005" s="61"/>
      <c r="O1005" s="66"/>
      <c r="P1005" s="76" t="str">
        <f t="shared" ca="1" si="61"/>
        <v/>
      </c>
      <c r="Q1005" s="65" t="str">
        <f t="shared" ca="1" si="62"/>
        <v/>
      </c>
      <c r="R1005" s="2"/>
      <c r="S1005" s="2"/>
      <c r="T1005" s="1"/>
      <c r="U1005" s="1" t="str">
        <f t="shared" si="63"/>
        <v/>
      </c>
    </row>
    <row r="1006" spans="1:21" ht="18" customHeight="1" x14ac:dyDescent="0.3">
      <c r="A1006" s="2"/>
      <c r="B1006" s="65" t="str">
        <f t="shared" si="60"/>
        <v/>
      </c>
      <c r="C1006" s="60"/>
      <c r="D1006" s="65" t="str">
        <f>IF($E1006="","",IFERROR(INDEX(MUSTERILER!$B$7:$B$156,MATCH($U1006,MUSTERILER!$T$7:$T$156,0)),IFERROR(INDEX(MUSTERILER!$B$7:$B$156,MATCH($E1006,MUSTERILER!$B$7:$B$156,0)),IFERROR(INDEX(MUSTERILER!$B$7:$B$156,MATCH($U1006&amp;"*",MUSTERILER!$T$7:$T$156,0)),"TANIMSIZ MÜŞTERİ"))))</f>
        <v/>
      </c>
      <c r="E1006" s="61"/>
      <c r="F1006" s="61"/>
      <c r="G1006" s="60"/>
      <c r="H1006" s="66"/>
      <c r="I1006" s="66"/>
      <c r="J1006" s="60"/>
      <c r="K1006" s="60"/>
      <c r="L1006" s="61"/>
      <c r="M1006" s="61"/>
      <c r="N1006" s="61"/>
      <c r="O1006" s="66"/>
      <c r="P1006" s="76" t="str">
        <f t="shared" ca="1" si="61"/>
        <v/>
      </c>
      <c r="Q1006" s="65" t="str">
        <f t="shared" ca="1" si="62"/>
        <v/>
      </c>
      <c r="R1006" s="2"/>
      <c r="S1006" s="2"/>
      <c r="T1006" s="1"/>
      <c r="U1006" s="1" t="str">
        <f t="shared" si="63"/>
        <v/>
      </c>
    </row>
    <row r="1007" spans="1:21" ht="18" customHeight="1" x14ac:dyDescent="0.3">
      <c r="A1007" s="2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2"/>
      <c r="S1007" s="2"/>
      <c r="T1007" s="1"/>
      <c r="U1007" s="1"/>
    </row>
    <row r="1008" spans="1:21" ht="18" customHeight="1" x14ac:dyDescent="0.3">
      <c r="A1008" s="2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2"/>
      <c r="S1008" s="2"/>
      <c r="T1008" s="1"/>
      <c r="U1008" s="1"/>
    </row>
  </sheetData>
  <sheetProtection password="CC3D" sheet="1" formatCells="0" formatColumns="0" formatRows="0" sort="0" autoFilter="0"/>
  <autoFilter ref="B6:Q1006" xr:uid="{00000000-0009-0000-0000-000007000000}"/>
  <mergeCells count="3">
    <mergeCell ref="A1:E1"/>
    <mergeCell ref="F1:R1"/>
    <mergeCell ref="A2:R2"/>
  </mergeCells>
  <conditionalFormatting sqref="P7:P1006">
    <cfRule type="cellIs" dxfId="47" priority="10" operator="lessThan">
      <formula>0</formula>
    </cfRule>
  </conditionalFormatting>
  <conditionalFormatting sqref="Q7:Q1006">
    <cfRule type="expression" dxfId="46" priority="2">
      <formula>EXACT($Q7,"GECİKMİŞ")</formula>
    </cfRule>
    <cfRule type="expression" dxfId="45" priority="3">
      <formula>EXACT($Q7,"BUGÜN")</formula>
    </cfRule>
    <cfRule type="expression" dxfId="44" priority="4">
      <formula>EXACT($Q7,"7 GÜN İÇİNDE")</formula>
    </cfRule>
    <cfRule type="expression" dxfId="43" priority="5">
      <formula>EXACT($Q7,"PLANLI")</formula>
    </cfRule>
    <cfRule type="expression" dxfId="42" priority="6">
      <formula>EXACT($Q7,"KAPALI")</formula>
    </cfRule>
    <cfRule type="expression" dxfId="41" priority="7">
      <formula>EXACT($Q7,"HATA")</formula>
    </cfRule>
    <cfRule type="expression" dxfId="40" priority="8">
      <formula>EXACT($Q7,"TARİH EKSİK")</formula>
    </cfRule>
    <cfRule type="expression" dxfId="39" priority="9">
      <formula>EXACT($Q7,"SONRAKİ İŞLEM EKSİK")</formula>
    </cfRule>
  </conditionalFormatting>
  <dataValidations count="4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E7:E1006" xr:uid="{00000000-0002-0000-0700-000000000000}">
      <formula1>LST_MUSTERI_ADI</formula1>
      <formula2>0</formula2>
    </dataValidation>
    <dataValidation type="list" allowBlank="1" showErrorMessage="1" errorTitle="Geçersiz tür" error="İş veya Görüşme seçin." promptTitle="Geçersiz tür" prompt="İş veya Görüşme seçin." sqref="C7:C1006" xr:uid="{00000000-0002-0000-0700-000001000000}">
      <formula1>"İş,Görüşme"</formula1>
      <formula2>0</formula2>
    </dataValidation>
    <dataValidation type="list" allowBlank="1" showErrorMessage="1" errorTitle="Geçersiz durum" error="Listeden seçin." promptTitle="Geçersiz durum" prompt="Listeden seçin." sqref="J7:J1006" xr:uid="{00000000-0002-0000-0700-000002000000}">
      <formula1>"Planlandı,Devam Ediyor,Beklemede,Tamamlandı,İptal"</formula1>
      <formula2>0</formula2>
    </dataValidation>
    <dataValidation type="list" allowBlank="1" showErrorMessage="1" errorTitle="Geçersiz öncelik" error="Listeden seçin." promptTitle="Geçersiz öncelik" prompt="Listeden seçin." sqref="K7:K1006" xr:uid="{00000000-0002-0000-0700-000003000000}">
      <formula1>"Yüksek,Orta,Düşük"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369A1"/>
    <pageSetUpPr fitToPage="1"/>
  </sheetPr>
  <dimension ref="A1:AD432"/>
  <sheetViews>
    <sheetView showGridLines="0" zoomScaleNormal="100" workbookViewId="0">
      <pane ySplit="11" topLeftCell="A42" activePane="bottomLeft" state="frozen"/>
      <selection pane="bottomLeft" activeCell="F50" sqref="F50"/>
    </sheetView>
  </sheetViews>
  <sheetFormatPr defaultColWidth="8.5703125" defaultRowHeight="14.25" x14ac:dyDescent="0.25"/>
  <cols>
    <col min="1" max="1" width="2.42578125" customWidth="1"/>
    <col min="2" max="2" width="7" customWidth="1"/>
    <col min="3" max="3" width="16.140625" customWidth="1"/>
    <col min="4" max="4" width="56" customWidth="1"/>
    <col min="5" max="7" width="18" customWidth="1"/>
    <col min="8" max="8" width="20" customWidth="1"/>
    <col min="9" max="10" width="2.42578125" customWidth="1"/>
    <col min="13" max="26" width="13" hidden="1" customWidth="1"/>
    <col min="28" max="30" width="13" hidden="1" customWidth="1"/>
  </cols>
  <sheetData>
    <row r="1" spans="1:30" ht="37.5" customHeight="1" x14ac:dyDescent="0.3">
      <c r="A1" s="119" t="s">
        <v>0</v>
      </c>
      <c r="B1" s="119"/>
      <c r="C1" s="119"/>
      <c r="D1" s="119"/>
      <c r="E1" s="119"/>
      <c r="F1" s="120" t="s">
        <v>906</v>
      </c>
      <c r="G1" s="120"/>
      <c r="H1" s="120"/>
      <c r="I1" s="13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3">
      <c r="A2" s="121" t="s">
        <v>907</v>
      </c>
      <c r="B2" s="121"/>
      <c r="C2" s="121"/>
      <c r="D2" s="121"/>
      <c r="E2" s="121"/>
      <c r="F2" s="121"/>
      <c r="G2" s="121"/>
      <c r="H2" s="121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9.5" customHeight="1" x14ac:dyDescent="0.3">
      <c r="A3" s="2"/>
      <c r="B3" s="50" t="s">
        <v>908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7" t="s">
        <v>909</v>
      </c>
      <c r="E4" s="166" t="s">
        <v>585</v>
      </c>
      <c r="F4" s="166"/>
      <c r="G4" s="166"/>
      <c r="H4" s="78" t="str">
        <f>"Müşteri No:  "&amp;$AC$4</f>
        <v>Müşteri No:  M015</v>
      </c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IFERROR(MATCH($AC$4&amp;"|1",UCRETLER!$S$7:$S$606,0),0)</f>
        <v>11</v>
      </c>
      <c r="AC4" s="1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M015</v>
      </c>
      <c r="AD4" s="1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CAYIRALANLTDSTI</v>
      </c>
    </row>
    <row r="5" spans="1:30" ht="33.75" customHeight="1" x14ac:dyDescent="0.3">
      <c r="A5" s="2"/>
      <c r="B5" s="167" t="s">
        <v>910</v>
      </c>
      <c r="C5" s="167"/>
      <c r="D5" s="167"/>
      <c r="E5" s="168" t="str">
        <f>IF($E$4="","",IFERROR(INDEX(MUSTERILER!$C$7:$C$156,MATCH($AC$4,MUSTERILER!$B$7:$B$156,0)),$E$4))</f>
        <v>ÇAYIRALAN LTD.ŞTİ.</v>
      </c>
      <c r="F5" s="168"/>
      <c r="G5" s="168"/>
      <c r="H5" s="168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IFERROR(MATCH($AC$4&amp;"|2",UCRETLER!$S$7:$S$606,0),0)</f>
        <v>0</v>
      </c>
      <c r="AC5" s="1"/>
      <c r="AD5" s="1"/>
    </row>
    <row r="6" spans="1:30" ht="19.5" customHeight="1" x14ac:dyDescent="0.3">
      <c r="A6" s="2"/>
      <c r="B6" s="161" t="str">
        <f ca="1">"KILIÇ MUHASEBE   │   Düzenleme tarihi: "&amp;RIGHT("0"&amp;DAY(TODAY()),2)&amp;"."&amp;RIGHT("0"&amp;MONTH(TODAY()),2)&amp;"."&amp;YEAR(TODAY())</f>
        <v>KILIÇ MUHASEBE   │   Düzenleme tarihi: 24.08.2026</v>
      </c>
      <c r="C6" s="161"/>
      <c r="D6" s="161"/>
      <c r="E6" s="162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62"/>
      <c r="G6" s="162"/>
      <c r="H6" s="16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IFERROR(MATCH($AC$4&amp;"|3",UCRETLER!$S$7:$S$606,0),0)</f>
        <v>0</v>
      </c>
      <c r="AC6" s="1"/>
      <c r="AD6" s="1"/>
    </row>
    <row r="7" spans="1:30" ht="7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3">
      <c r="A8" s="2"/>
      <c r="B8" s="163" t="s">
        <v>911</v>
      </c>
      <c r="C8" s="163"/>
      <c r="D8" s="164" t="s">
        <v>912</v>
      </c>
      <c r="E8" s="164"/>
      <c r="F8" s="165" t="s">
        <v>913</v>
      </c>
      <c r="G8" s="165"/>
      <c r="H8" s="165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75" customHeight="1" x14ac:dyDescent="0.3">
      <c r="A9" s="2"/>
      <c r="B9" s="156">
        <f ca="1">SUM($F$12:$F$311)</f>
        <v>112550</v>
      </c>
      <c r="C9" s="156"/>
      <c r="D9" s="157">
        <f ca="1">SUM($G$12:$G$311)</f>
        <v>101500</v>
      </c>
      <c r="E9" s="157"/>
      <c r="F9" s="158">
        <f ca="1">$B$9-$D$9</f>
        <v>11050</v>
      </c>
      <c r="G9" s="158"/>
      <c r="H9" s="158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5.5" customHeight="1" x14ac:dyDescent="0.3">
      <c r="A10" s="2"/>
      <c r="B10" s="159" t="s">
        <v>914</v>
      </c>
      <c r="C10" s="159"/>
      <c r="D10" s="159"/>
      <c r="E10" s="160" t="s">
        <v>915</v>
      </c>
      <c r="F10" s="160"/>
      <c r="G10" s="160"/>
      <c r="H10" s="160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7.5" customHeight="1" x14ac:dyDescent="0.3">
      <c r="A11" s="2"/>
      <c r="B11" s="57" t="s">
        <v>916</v>
      </c>
      <c r="C11" s="57" t="s">
        <v>705</v>
      </c>
      <c r="D11" s="58" t="s">
        <v>54</v>
      </c>
      <c r="E11" s="57" t="s">
        <v>917</v>
      </c>
      <c r="F11" s="59" t="s">
        <v>918</v>
      </c>
      <c r="G11" s="59" t="s">
        <v>919</v>
      </c>
      <c r="H11" s="59" t="s">
        <v>920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5" customHeight="1" x14ac:dyDescent="0.3">
      <c r="A12" s="2"/>
      <c r="B12" s="79">
        <f t="shared" ref="B12:B75" ca="1" si="0">IF($C12="","",ROW()-11)</f>
        <v>1</v>
      </c>
      <c r="C12" s="80">
        <f t="shared" ref="C12:C75" ca="1" si="1">IF($Z12="","",IF(INDEX($N$12:$N$432,$Z12)="","",INDEX($N$12:$N$432,$Z12)))</f>
        <v>46025</v>
      </c>
      <c r="D12" s="81" t="str">
        <f t="shared" ref="D12:D75" ca="1" si="2">IF($C12="","",INDEX($O$12:$O$432,$Z12))</f>
        <v>03.01.2026 haftalık muhasebe hizmet ücreti</v>
      </c>
      <c r="E12" s="79" t="str">
        <f t="shared" ref="E12:E75" ca="1" si="3">IF($C12="","",INDEX($P$12:$P$432,$Z12))</f>
        <v>TAHAKKUK</v>
      </c>
      <c r="F12" s="82">
        <f t="shared" ref="F12:F75" ca="1" si="4">IF($C12="","",INDEX($R$12:$R$432,$Z12))</f>
        <v>3000</v>
      </c>
      <c r="G12" s="82">
        <f t="shared" ref="G12:G75" ca="1" si="5">IF($C12="","",INDEX($S$12:$S$432,$Z12))</f>
        <v>0</v>
      </c>
      <c r="H12" s="82">
        <f t="shared" ref="H12:H75" ca="1" si="6">IF($C12="","",N($H11)+$F12-$G12)</f>
        <v>3000</v>
      </c>
      <c r="I12" s="2"/>
      <c r="J12" s="2"/>
      <c r="K12" s="1"/>
      <c r="L12" s="1"/>
      <c r="M12" s="1">
        <v>1</v>
      </c>
      <c r="N12" s="1" t="str">
        <f>IF($X$12&lt;=0,"",IFERROR(IF(INDEX(MUSTERILER!$K$7:$K$156,MATCH($AC$4,MUSTERILER!$B$7:$B$156,0))="",DATE(2020,1,1),INDEX(MUSTERILER!$K$7:$K$156,MATCH($AC$4,MUSTERILER!$B$7:$B$156,0))),""))</f>
        <v/>
      </c>
      <c r="O12" s="1" t="str">
        <f>"Devir alacağı  –  açılış bakiyesi"</f>
        <v>Devir alacağı  –  açılış bakiyesi</v>
      </c>
      <c r="P12" s="1" t="str">
        <f>"DEVİR"</f>
        <v>DEVİR</v>
      </c>
      <c r="Q12" s="1"/>
      <c r="R12" s="1">
        <f>IF($N$12="",0,$X$12)</f>
        <v>0</v>
      </c>
      <c r="S12" s="1">
        <v>0</v>
      </c>
      <c r="T12" s="1">
        <f t="shared" ref="T12:T75" si="7">IF($N12="",10000000000,$N12*100000+$M12)</f>
        <v>10000000000</v>
      </c>
      <c r="U12" s="1"/>
      <c r="V12" s="1"/>
      <c r="W12" s="1"/>
      <c r="X12" s="1">
        <f>IFERROR(SUMIFS(MUSTERILER!$J$7:$J$156,MUSTERILER!$B$7:$B$156,$AC$4),0)</f>
        <v>0</v>
      </c>
      <c r="Y12" s="1">
        <f t="shared" ref="Y12:Y75" ca="1" si="8">IFERROR(SMALL($T$12:$T$432,ROW()-11),"")</f>
        <v>4602500002</v>
      </c>
      <c r="Z12" s="1">
        <f t="shared" ref="Z12:Z75" ca="1" si="9">IFERROR(MATCH($Y12,$T$12:$T$432,0),"")</f>
        <v>2</v>
      </c>
      <c r="AA12" s="1"/>
      <c r="AB12" s="1"/>
      <c r="AC12" s="1"/>
      <c r="AD12" s="1"/>
    </row>
    <row r="13" spans="1:30" ht="19.5" customHeight="1" x14ac:dyDescent="0.3">
      <c r="A13" s="2"/>
      <c r="B13" s="79">
        <f t="shared" ca="1" si="0"/>
        <v>2</v>
      </c>
      <c r="C13" s="80">
        <f t="shared" ca="1" si="1"/>
        <v>46032</v>
      </c>
      <c r="D13" s="81" t="str">
        <f t="shared" ca="1" si="2"/>
        <v>10.01.2026 haftalık muhasebe hizmet ücreti</v>
      </c>
      <c r="E13" s="79" t="str">
        <f t="shared" ca="1" si="3"/>
        <v>TAHAKKUK</v>
      </c>
      <c r="F13" s="82">
        <f t="shared" ca="1" si="4"/>
        <v>3000</v>
      </c>
      <c r="G13" s="82">
        <f t="shared" ca="1" si="5"/>
        <v>0</v>
      </c>
      <c r="H13" s="82">
        <f t="shared" ca="1" si="6"/>
        <v>6000</v>
      </c>
      <c r="I13" s="2"/>
      <c r="J13" s="2"/>
      <c r="K13" s="1"/>
      <c r="L13" s="1"/>
      <c r="M13" s="1">
        <v>2</v>
      </c>
      <c r="N13" s="83">
        <f ca="1">IF(OR($U13=0,$W13="",$X13&lt;=0),"",IF($W13&gt;TODAY(),"",IF(AND(INDEX(UCRETLER!$E$7:$E$606,$U13)&lt;&gt;"",$W13&gt;INDEX(UCRETLER!$E$7:$E$606,$U13)),"",$W13)))</f>
        <v>46025</v>
      </c>
      <c r="O13" s="1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03.01.2026 haftalık muhasebe hizmet ücreti</v>
      </c>
      <c r="P13" s="1" t="str">
        <f t="shared" ref="P13:P76" ca="1" si="10">IF($N13="","","TAHAKKUK")</f>
        <v>TAHAKKUK</v>
      </c>
      <c r="Q13" s="1"/>
      <c r="R13" s="84">
        <f t="shared" ref="R13:R76" ca="1" si="11">IF($N13="",0,$X13)</f>
        <v>3000</v>
      </c>
      <c r="S13" s="1">
        <v>0</v>
      </c>
      <c r="T13" s="1">
        <f t="shared" ca="1" si="7"/>
        <v>4602500002</v>
      </c>
      <c r="U13" s="1">
        <f t="shared" ref="U13:U44" si="12">$AB$4</f>
        <v>11</v>
      </c>
      <c r="V13" s="1">
        <v>1</v>
      </c>
      <c r="W13" s="83">
        <f>IF($U13=0,"",IF(INDEX(UCRETLER!$D$7:$D$606,$U13)="","",IF(INDEX(UCRETLER!$F$7:$F$606,$U13)="Aylık",EOMONTH(INDEX(UCRETLER!$D$7:$D$606,$U13),$V13-1),INDEX(UCRETLER!$U$7:$U$606,$U13)+7*($V13-1))))</f>
        <v>46025</v>
      </c>
      <c r="X13" s="84">
        <f>IF($U13=0,0,INDEX(UCRETLER!$G$7:$G$606,$U13))</f>
        <v>3000</v>
      </c>
      <c r="Y13" s="1">
        <f t="shared" ca="1" si="8"/>
        <v>4603200003</v>
      </c>
      <c r="Z13" s="1">
        <f t="shared" ca="1" si="9"/>
        <v>3</v>
      </c>
      <c r="AA13" s="1"/>
      <c r="AB13" s="1"/>
      <c r="AC13" s="1"/>
      <c r="AD13" s="1"/>
    </row>
    <row r="14" spans="1:30" ht="19.5" customHeight="1" x14ac:dyDescent="0.3">
      <c r="A14" s="2"/>
      <c r="B14" s="79">
        <f t="shared" ca="1" si="0"/>
        <v>3</v>
      </c>
      <c r="C14" s="80">
        <f t="shared" ca="1" si="1"/>
        <v>46034</v>
      </c>
      <c r="D14" s="81" t="str">
        <f t="shared" ca="1" si="2"/>
        <v>Ödeme  –  Nakit  (ÖMER KARTAL) / ÖMER KARTALA ÖDENEN</v>
      </c>
      <c r="E14" s="79" t="str">
        <f t="shared" ca="1" si="3"/>
        <v>ÖDEME</v>
      </c>
      <c r="F14" s="82">
        <f t="shared" ca="1" si="4"/>
        <v>0</v>
      </c>
      <c r="G14" s="82">
        <f t="shared" ca="1" si="5"/>
        <v>6000</v>
      </c>
      <c r="H14" s="82">
        <f t="shared" ca="1" si="6"/>
        <v>0</v>
      </c>
      <c r="I14" s="2"/>
      <c r="J14" s="2"/>
      <c r="K14" s="1"/>
      <c r="L14" s="1"/>
      <c r="M14" s="1">
        <v>3</v>
      </c>
      <c r="N14" s="83">
        <f ca="1">IF(OR($U14=0,$W14="",$X14&lt;=0),"",IF($W14&gt;TODAY(),"",IF(AND(INDEX(UCRETLER!$E$7:$E$606,$U14)&lt;&gt;"",$W14&gt;INDEX(UCRETLER!$E$7:$E$606,$U14)),"",$W14)))</f>
        <v>46032</v>
      </c>
      <c r="O14" s="1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10.01.2026 haftalık muhasebe hizmet ücreti</v>
      </c>
      <c r="P14" s="1" t="str">
        <f t="shared" ca="1" si="10"/>
        <v>TAHAKKUK</v>
      </c>
      <c r="Q14" s="1"/>
      <c r="R14" s="84">
        <f t="shared" ca="1" si="11"/>
        <v>3000</v>
      </c>
      <c r="S14" s="1">
        <v>0</v>
      </c>
      <c r="T14" s="1">
        <f t="shared" ca="1" si="7"/>
        <v>4603200003</v>
      </c>
      <c r="U14" s="1">
        <f t="shared" si="12"/>
        <v>11</v>
      </c>
      <c r="V14" s="1">
        <v>2</v>
      </c>
      <c r="W14" s="83">
        <f>IF($U14=0,"",IF(INDEX(UCRETLER!$D$7:$D$606,$U14)="","",IF(INDEX(UCRETLER!$F$7:$F$606,$U14)="Aylık",EOMONTH(INDEX(UCRETLER!$D$7:$D$606,$U14),$V14-1),INDEX(UCRETLER!$U$7:$U$606,$U14)+7*($V14-1))))</f>
        <v>46032</v>
      </c>
      <c r="X14" s="84">
        <f>IF($U14=0,0,INDEX(UCRETLER!$G$7:$G$606,$U14))</f>
        <v>3000</v>
      </c>
      <c r="Y14" s="1">
        <f t="shared" ca="1" si="8"/>
        <v>4603400242</v>
      </c>
      <c r="Z14" s="1">
        <f t="shared" ca="1" si="9"/>
        <v>242</v>
      </c>
      <c r="AA14" s="1"/>
      <c r="AB14" s="1"/>
      <c r="AC14" s="1"/>
      <c r="AD14" s="1"/>
    </row>
    <row r="15" spans="1:30" ht="19.5" customHeight="1" x14ac:dyDescent="0.3">
      <c r="A15" s="2"/>
      <c r="B15" s="79">
        <f t="shared" ca="1" si="0"/>
        <v>4</v>
      </c>
      <c r="C15" s="80">
        <f t="shared" ca="1" si="1"/>
        <v>46039</v>
      </c>
      <c r="D15" s="81" t="str">
        <f t="shared" ca="1" si="2"/>
        <v>17.01.2026 haftalık muhasebe hizmet ücreti</v>
      </c>
      <c r="E15" s="79" t="str">
        <f t="shared" ca="1" si="3"/>
        <v>TAHAKKUK</v>
      </c>
      <c r="F15" s="82">
        <f t="shared" ca="1" si="4"/>
        <v>3000</v>
      </c>
      <c r="G15" s="82">
        <f t="shared" ca="1" si="5"/>
        <v>0</v>
      </c>
      <c r="H15" s="82">
        <f t="shared" ca="1" si="6"/>
        <v>3000</v>
      </c>
      <c r="I15" s="2"/>
      <c r="J15" s="2"/>
      <c r="K15" s="1"/>
      <c r="L15" s="1"/>
      <c r="M15" s="1">
        <v>4</v>
      </c>
      <c r="N15" s="83">
        <f ca="1">IF(OR($U15=0,$W15="",$X15&lt;=0),"",IF($W15&gt;TODAY(),"",IF(AND(INDEX(UCRETLER!$E$7:$E$606,$U15)&lt;&gt;"",$W15&gt;INDEX(UCRETLER!$E$7:$E$606,$U15)),"",$W15)))</f>
        <v>46039</v>
      </c>
      <c r="O15" s="1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17.01.2026 haftalık muhasebe hizmet ücreti</v>
      </c>
      <c r="P15" s="1" t="str">
        <f t="shared" ca="1" si="10"/>
        <v>TAHAKKUK</v>
      </c>
      <c r="Q15" s="1"/>
      <c r="R15" s="84">
        <f t="shared" ca="1" si="11"/>
        <v>3000</v>
      </c>
      <c r="S15" s="1">
        <v>0</v>
      </c>
      <c r="T15" s="1">
        <f t="shared" ca="1" si="7"/>
        <v>4603900004</v>
      </c>
      <c r="U15" s="1">
        <f t="shared" si="12"/>
        <v>11</v>
      </c>
      <c r="V15" s="1">
        <v>3</v>
      </c>
      <c r="W15" s="83">
        <f>IF($U15=0,"",IF(INDEX(UCRETLER!$D$7:$D$606,$U15)="","",IF(INDEX(UCRETLER!$F$7:$F$606,$U15)="Aylık",EOMONTH(INDEX(UCRETLER!$D$7:$D$606,$U15),$V15-1),INDEX(UCRETLER!$U$7:$U$606,$U15)+7*($V15-1))))</f>
        <v>46039</v>
      </c>
      <c r="X15" s="84">
        <f>IF($U15=0,0,INDEX(UCRETLER!$G$7:$G$606,$U15))</f>
        <v>3000</v>
      </c>
      <c r="Y15" s="1">
        <f t="shared" ca="1" si="8"/>
        <v>4603900004</v>
      </c>
      <c r="Z15" s="1">
        <f t="shared" ca="1" si="9"/>
        <v>4</v>
      </c>
      <c r="AA15" s="1"/>
      <c r="AB15" s="1"/>
      <c r="AC15" s="1"/>
      <c r="AD15" s="1"/>
    </row>
    <row r="16" spans="1:30" ht="19.5" customHeight="1" x14ac:dyDescent="0.3">
      <c r="A16" s="2"/>
      <c r="B16" s="79">
        <f t="shared" ca="1" si="0"/>
        <v>5</v>
      </c>
      <c r="C16" s="80">
        <f t="shared" ca="1" si="1"/>
        <v>46039</v>
      </c>
      <c r="D16" s="81" t="str">
        <f t="shared" ca="1" si="2"/>
        <v>Ödeme  –  Nakit  (MERKEZ KASA) / NAKİT ÖDENEN</v>
      </c>
      <c r="E16" s="79" t="str">
        <f t="shared" ca="1" si="3"/>
        <v>ÖDEME</v>
      </c>
      <c r="F16" s="82">
        <f t="shared" ca="1" si="4"/>
        <v>0</v>
      </c>
      <c r="G16" s="82">
        <f t="shared" ca="1" si="5"/>
        <v>3000</v>
      </c>
      <c r="H16" s="82">
        <f t="shared" ca="1" si="6"/>
        <v>0</v>
      </c>
      <c r="I16" s="2"/>
      <c r="J16" s="2"/>
      <c r="K16" s="1"/>
      <c r="L16" s="1"/>
      <c r="M16" s="1">
        <v>5</v>
      </c>
      <c r="N16" s="83">
        <f ca="1">IF(OR($U16=0,$W16="",$X16&lt;=0),"",IF($W16&gt;TODAY(),"",IF(AND(INDEX(UCRETLER!$E$7:$E$606,$U16)&lt;&gt;"",$W16&gt;INDEX(UCRETLER!$E$7:$E$606,$U16)),"",$W16)))</f>
        <v>46046</v>
      </c>
      <c r="O16" s="1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24.01.2026 haftalık muhasebe hizmet ücreti</v>
      </c>
      <c r="P16" s="1" t="str">
        <f t="shared" ca="1" si="10"/>
        <v>TAHAKKUK</v>
      </c>
      <c r="Q16" s="1"/>
      <c r="R16" s="84">
        <f t="shared" ca="1" si="11"/>
        <v>3000</v>
      </c>
      <c r="S16" s="1">
        <v>0</v>
      </c>
      <c r="T16" s="1">
        <f t="shared" ca="1" si="7"/>
        <v>4604600005</v>
      </c>
      <c r="U16" s="1">
        <f t="shared" si="12"/>
        <v>11</v>
      </c>
      <c r="V16" s="1">
        <v>4</v>
      </c>
      <c r="W16" s="83">
        <f>IF($U16=0,"",IF(INDEX(UCRETLER!$D$7:$D$606,$U16)="","",IF(INDEX(UCRETLER!$F$7:$F$606,$U16)="Aylık",EOMONTH(INDEX(UCRETLER!$D$7:$D$606,$U16),$V16-1),INDEX(UCRETLER!$U$7:$U$606,$U16)+7*($V16-1))))</f>
        <v>46046</v>
      </c>
      <c r="X16" s="84">
        <f>IF($U16=0,0,INDEX(UCRETLER!$G$7:$G$606,$U16))</f>
        <v>3000</v>
      </c>
      <c r="Y16" s="1">
        <f t="shared" ca="1" si="8"/>
        <v>4603900243</v>
      </c>
      <c r="Z16" s="1">
        <f t="shared" ca="1" si="9"/>
        <v>243</v>
      </c>
      <c r="AA16" s="1"/>
      <c r="AB16" s="1"/>
      <c r="AC16" s="1"/>
      <c r="AD16" s="1"/>
    </row>
    <row r="17" spans="1:30" ht="19.5" customHeight="1" x14ac:dyDescent="0.3">
      <c r="A17" s="2"/>
      <c r="B17" s="79">
        <f t="shared" ca="1" si="0"/>
        <v>6</v>
      </c>
      <c r="C17" s="80">
        <f t="shared" ca="1" si="1"/>
        <v>46046</v>
      </c>
      <c r="D17" s="81" t="str">
        <f t="shared" ca="1" si="2"/>
        <v>24.01.2026 haftalık muhasebe hizmet ücreti</v>
      </c>
      <c r="E17" s="79" t="str">
        <f t="shared" ca="1" si="3"/>
        <v>TAHAKKUK</v>
      </c>
      <c r="F17" s="82">
        <f t="shared" ca="1" si="4"/>
        <v>3000</v>
      </c>
      <c r="G17" s="82">
        <f t="shared" ca="1" si="5"/>
        <v>0</v>
      </c>
      <c r="H17" s="82">
        <f t="shared" ca="1" si="6"/>
        <v>3000</v>
      </c>
      <c r="I17" s="2"/>
      <c r="J17" s="2"/>
      <c r="K17" s="1"/>
      <c r="L17" s="1"/>
      <c r="M17" s="1">
        <v>6</v>
      </c>
      <c r="N17" s="83">
        <f ca="1">IF(OR($U17=0,$W17="",$X17&lt;=0),"",IF($W17&gt;TODAY(),"",IF(AND(INDEX(UCRETLER!$E$7:$E$606,$U17)&lt;&gt;"",$W17&gt;INDEX(UCRETLER!$E$7:$E$606,$U17)),"",$W17)))</f>
        <v>46053</v>
      </c>
      <c r="O17" s="1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31.01.2026 haftalık muhasebe hizmet ücreti</v>
      </c>
      <c r="P17" s="1" t="str">
        <f t="shared" ca="1" si="10"/>
        <v>TAHAKKUK</v>
      </c>
      <c r="Q17" s="1"/>
      <c r="R17" s="84">
        <f t="shared" ca="1" si="11"/>
        <v>3000</v>
      </c>
      <c r="S17" s="1">
        <v>0</v>
      </c>
      <c r="T17" s="1">
        <f t="shared" ca="1" si="7"/>
        <v>4605300006</v>
      </c>
      <c r="U17" s="1">
        <f t="shared" si="12"/>
        <v>11</v>
      </c>
      <c r="V17" s="1">
        <v>5</v>
      </c>
      <c r="W17" s="83">
        <f>IF($U17=0,"",IF(INDEX(UCRETLER!$D$7:$D$606,$U17)="","",IF(INDEX(UCRETLER!$F$7:$F$606,$U17)="Aylık",EOMONTH(INDEX(UCRETLER!$D$7:$D$606,$U17),$V17-1),INDEX(UCRETLER!$U$7:$U$606,$U17)+7*($V17-1))))</f>
        <v>46053</v>
      </c>
      <c r="X17" s="84">
        <f>IF($U17=0,0,INDEX(UCRETLER!$G$7:$G$606,$U17))</f>
        <v>3000</v>
      </c>
      <c r="Y17" s="1">
        <f t="shared" ca="1" si="8"/>
        <v>4604600005</v>
      </c>
      <c r="Z17" s="1">
        <f t="shared" ca="1" si="9"/>
        <v>5</v>
      </c>
      <c r="AA17" s="1"/>
      <c r="AB17" s="1"/>
      <c r="AC17" s="1"/>
      <c r="AD17" s="1"/>
    </row>
    <row r="18" spans="1:30" ht="19.5" customHeight="1" x14ac:dyDescent="0.3">
      <c r="A18" s="2"/>
      <c r="B18" s="79">
        <f t="shared" ca="1" si="0"/>
        <v>7</v>
      </c>
      <c r="C18" s="80">
        <f t="shared" ca="1" si="1"/>
        <v>46046</v>
      </c>
      <c r="D18" s="81" t="str">
        <f t="shared" ca="1" si="2"/>
        <v>Ödeme  –  Nakit  (MERKEZ KASA) / NAKİT ÖDENEN</v>
      </c>
      <c r="E18" s="79" t="str">
        <f t="shared" ca="1" si="3"/>
        <v>ÖDEME</v>
      </c>
      <c r="F18" s="82">
        <f t="shared" ca="1" si="4"/>
        <v>0</v>
      </c>
      <c r="G18" s="82">
        <f t="shared" ca="1" si="5"/>
        <v>3000</v>
      </c>
      <c r="H18" s="82">
        <f t="shared" ca="1" si="6"/>
        <v>0</v>
      </c>
      <c r="I18" s="2"/>
      <c r="J18" s="2"/>
      <c r="K18" s="1"/>
      <c r="L18" s="1"/>
      <c r="M18" s="1">
        <v>7</v>
      </c>
      <c r="N18" s="83">
        <f ca="1">IF(OR($U18=0,$W18="",$X18&lt;=0),"",IF($W18&gt;TODAY(),"",IF(AND(INDEX(UCRETLER!$E$7:$E$606,$U18)&lt;&gt;"",$W18&gt;INDEX(UCRETLER!$E$7:$E$606,$U18)),"",$W18)))</f>
        <v>46060</v>
      </c>
      <c r="O18" s="1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07.02.2026 haftalık muhasebe hizmet ücreti</v>
      </c>
      <c r="P18" s="1" t="str">
        <f t="shared" ca="1" si="10"/>
        <v>TAHAKKUK</v>
      </c>
      <c r="Q18" s="1"/>
      <c r="R18" s="84">
        <f t="shared" ca="1" si="11"/>
        <v>3000</v>
      </c>
      <c r="S18" s="1">
        <v>0</v>
      </c>
      <c r="T18" s="1">
        <f t="shared" ca="1" si="7"/>
        <v>4606000007</v>
      </c>
      <c r="U18" s="1">
        <f t="shared" si="12"/>
        <v>11</v>
      </c>
      <c r="V18" s="1">
        <v>6</v>
      </c>
      <c r="W18" s="83">
        <f>IF($U18=0,"",IF(INDEX(UCRETLER!$D$7:$D$606,$U18)="","",IF(INDEX(UCRETLER!$F$7:$F$606,$U18)="Aylık",EOMONTH(INDEX(UCRETLER!$D$7:$D$606,$U18),$V18-1),INDEX(UCRETLER!$U$7:$U$606,$U18)+7*($V18-1))))</f>
        <v>46060</v>
      </c>
      <c r="X18" s="84">
        <f>IF($U18=0,0,INDEX(UCRETLER!$G$7:$G$606,$U18))</f>
        <v>3000</v>
      </c>
      <c r="Y18" s="1">
        <f t="shared" ca="1" si="8"/>
        <v>4604600244</v>
      </c>
      <c r="Z18" s="1">
        <f t="shared" ca="1" si="9"/>
        <v>244</v>
      </c>
      <c r="AA18" s="1"/>
      <c r="AB18" s="1"/>
      <c r="AC18" s="1"/>
      <c r="AD18" s="1"/>
    </row>
    <row r="19" spans="1:30" ht="19.5" customHeight="1" x14ac:dyDescent="0.3">
      <c r="A19" s="2"/>
      <c r="B19" s="79">
        <f t="shared" ca="1" si="0"/>
        <v>8</v>
      </c>
      <c r="C19" s="80">
        <f t="shared" ca="1" si="1"/>
        <v>46053</v>
      </c>
      <c r="D19" s="81" t="str">
        <f t="shared" ca="1" si="2"/>
        <v>31.01.2026 haftalık muhasebe hizmet ücreti</v>
      </c>
      <c r="E19" s="79" t="str">
        <f t="shared" ca="1" si="3"/>
        <v>TAHAKKUK</v>
      </c>
      <c r="F19" s="82">
        <f t="shared" ca="1" si="4"/>
        <v>3000</v>
      </c>
      <c r="G19" s="82">
        <f t="shared" ca="1" si="5"/>
        <v>0</v>
      </c>
      <c r="H19" s="82">
        <f t="shared" ca="1" si="6"/>
        <v>3000</v>
      </c>
      <c r="I19" s="2"/>
      <c r="J19" s="2"/>
      <c r="K19" s="1"/>
      <c r="L19" s="1"/>
      <c r="M19" s="1">
        <v>8</v>
      </c>
      <c r="N19" s="83">
        <f ca="1">IF(OR($U19=0,$W19="",$X19&lt;=0),"",IF($W19&gt;TODAY(),"",IF(AND(INDEX(UCRETLER!$E$7:$E$606,$U19)&lt;&gt;"",$W19&gt;INDEX(UCRETLER!$E$7:$E$606,$U19)),"",$W19)))</f>
        <v>46067</v>
      </c>
      <c r="O19" s="1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14.02.2026 haftalık muhasebe hizmet ücreti</v>
      </c>
      <c r="P19" s="1" t="str">
        <f t="shared" ca="1" si="10"/>
        <v>TAHAKKUK</v>
      </c>
      <c r="Q19" s="1"/>
      <c r="R19" s="84">
        <f t="shared" ca="1" si="11"/>
        <v>3000</v>
      </c>
      <c r="S19" s="1">
        <v>0</v>
      </c>
      <c r="T19" s="1">
        <f t="shared" ca="1" si="7"/>
        <v>4606700008</v>
      </c>
      <c r="U19" s="1">
        <f t="shared" si="12"/>
        <v>11</v>
      </c>
      <c r="V19" s="1">
        <v>7</v>
      </c>
      <c r="W19" s="83">
        <f>IF($U19=0,"",IF(INDEX(UCRETLER!$D$7:$D$606,$U19)="","",IF(INDEX(UCRETLER!$F$7:$F$606,$U19)="Aylık",EOMONTH(INDEX(UCRETLER!$D$7:$D$606,$U19),$V19-1),INDEX(UCRETLER!$U$7:$U$606,$U19)+7*($V19-1))))</f>
        <v>46067</v>
      </c>
      <c r="X19" s="84">
        <f>IF($U19=0,0,INDEX(UCRETLER!$G$7:$G$606,$U19))</f>
        <v>3000</v>
      </c>
      <c r="Y19" s="1">
        <f t="shared" ca="1" si="8"/>
        <v>4605300006</v>
      </c>
      <c r="Z19" s="1">
        <f t="shared" ca="1" si="9"/>
        <v>6</v>
      </c>
      <c r="AA19" s="1"/>
      <c r="AB19" s="1"/>
      <c r="AC19" s="1"/>
      <c r="AD19" s="1"/>
    </row>
    <row r="20" spans="1:30" ht="19.5" customHeight="1" x14ac:dyDescent="0.3">
      <c r="A20" s="2"/>
      <c r="B20" s="79">
        <f t="shared" ca="1" si="0"/>
        <v>9</v>
      </c>
      <c r="C20" s="80">
        <f t="shared" ca="1" si="1"/>
        <v>46053</v>
      </c>
      <c r="D20" s="81" t="str">
        <f t="shared" ca="1" si="2"/>
        <v>Ödeme  –  Nakit  (MERKEZ KASA) / NAKİT ÖDENEN</v>
      </c>
      <c r="E20" s="79" t="str">
        <f t="shared" ca="1" si="3"/>
        <v>ÖDEME</v>
      </c>
      <c r="F20" s="82">
        <f t="shared" ca="1" si="4"/>
        <v>0</v>
      </c>
      <c r="G20" s="82">
        <f t="shared" ca="1" si="5"/>
        <v>3000</v>
      </c>
      <c r="H20" s="82">
        <f t="shared" ca="1" si="6"/>
        <v>0</v>
      </c>
      <c r="I20" s="2"/>
      <c r="J20" s="2"/>
      <c r="K20" s="1"/>
      <c r="L20" s="1"/>
      <c r="M20" s="1">
        <v>9</v>
      </c>
      <c r="N20" s="83">
        <f ca="1">IF(OR($U20=0,$W20="",$X20&lt;=0),"",IF($W20&gt;TODAY(),"",IF(AND(INDEX(UCRETLER!$E$7:$E$606,$U20)&lt;&gt;"",$W20&gt;INDEX(UCRETLER!$E$7:$E$606,$U20)),"",$W20)))</f>
        <v>46074</v>
      </c>
      <c r="O20" s="1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>21.02.2026 haftalık muhasebe hizmet ücreti</v>
      </c>
      <c r="P20" s="1" t="str">
        <f t="shared" ca="1" si="10"/>
        <v>TAHAKKUK</v>
      </c>
      <c r="Q20" s="1"/>
      <c r="R20" s="84">
        <f t="shared" ca="1" si="11"/>
        <v>3000</v>
      </c>
      <c r="S20" s="1">
        <v>0</v>
      </c>
      <c r="T20" s="1">
        <f t="shared" ca="1" si="7"/>
        <v>4607400009</v>
      </c>
      <c r="U20" s="1">
        <f t="shared" si="12"/>
        <v>11</v>
      </c>
      <c r="V20" s="1">
        <v>8</v>
      </c>
      <c r="W20" s="83">
        <f>IF($U20=0,"",IF(INDEX(UCRETLER!$D$7:$D$606,$U20)="","",IF(INDEX(UCRETLER!$F$7:$F$606,$U20)="Aylık",EOMONTH(INDEX(UCRETLER!$D$7:$D$606,$U20),$V20-1),INDEX(UCRETLER!$U$7:$U$606,$U20)+7*($V20-1))))</f>
        <v>46074</v>
      </c>
      <c r="X20" s="84">
        <f>IF($U20=0,0,INDEX(UCRETLER!$G$7:$G$606,$U20))</f>
        <v>3000</v>
      </c>
      <c r="Y20" s="1">
        <f t="shared" ca="1" si="8"/>
        <v>4605300245</v>
      </c>
      <c r="Z20" s="1">
        <f t="shared" ca="1" si="9"/>
        <v>245</v>
      </c>
      <c r="AA20" s="1"/>
      <c r="AB20" s="1"/>
      <c r="AC20" s="1"/>
      <c r="AD20" s="1"/>
    </row>
    <row r="21" spans="1:30" ht="19.5" customHeight="1" x14ac:dyDescent="0.3">
      <c r="A21" s="2"/>
      <c r="B21" s="79">
        <f t="shared" ca="1" si="0"/>
        <v>10</v>
      </c>
      <c r="C21" s="80">
        <f t="shared" ca="1" si="1"/>
        <v>46060</v>
      </c>
      <c r="D21" s="81" t="str">
        <f t="shared" ca="1" si="2"/>
        <v>07.02.2026 haftalık muhasebe hizmet ücreti</v>
      </c>
      <c r="E21" s="79" t="str">
        <f t="shared" ca="1" si="3"/>
        <v>TAHAKKUK</v>
      </c>
      <c r="F21" s="82">
        <f t="shared" ca="1" si="4"/>
        <v>3000</v>
      </c>
      <c r="G21" s="82">
        <f t="shared" ca="1" si="5"/>
        <v>0</v>
      </c>
      <c r="H21" s="82">
        <f t="shared" ca="1" si="6"/>
        <v>3000</v>
      </c>
      <c r="I21" s="2"/>
      <c r="J21" s="2"/>
      <c r="K21" s="1"/>
      <c r="L21" s="1"/>
      <c r="M21" s="1">
        <v>10</v>
      </c>
      <c r="N21" s="83">
        <f ca="1">IF(OR($U21=0,$W21="",$X21&lt;=0),"",IF($W21&gt;TODAY(),"",IF(AND(INDEX(UCRETLER!$E$7:$E$606,$U21)&lt;&gt;"",$W21&gt;INDEX(UCRETLER!$E$7:$E$606,$U21)),"",$W21)))</f>
        <v>46081</v>
      </c>
      <c r="O21" s="1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>28.02.2026 haftalık muhasebe hizmet ücreti</v>
      </c>
      <c r="P21" s="1" t="str">
        <f t="shared" ca="1" si="10"/>
        <v>TAHAKKUK</v>
      </c>
      <c r="Q21" s="1"/>
      <c r="R21" s="84">
        <f t="shared" ca="1" si="11"/>
        <v>3000</v>
      </c>
      <c r="S21" s="1">
        <v>0</v>
      </c>
      <c r="T21" s="1">
        <f t="shared" ca="1" si="7"/>
        <v>4608100010</v>
      </c>
      <c r="U21" s="1">
        <f t="shared" si="12"/>
        <v>11</v>
      </c>
      <c r="V21" s="1">
        <v>9</v>
      </c>
      <c r="W21" s="83">
        <f>IF($U21=0,"",IF(INDEX(UCRETLER!$D$7:$D$606,$U21)="","",IF(INDEX(UCRETLER!$F$7:$F$606,$U21)="Aylık",EOMONTH(INDEX(UCRETLER!$D$7:$D$606,$U21),$V21-1),INDEX(UCRETLER!$U$7:$U$606,$U21)+7*($V21-1))))</f>
        <v>46081</v>
      </c>
      <c r="X21" s="84">
        <f>IF($U21=0,0,INDEX(UCRETLER!$G$7:$G$606,$U21))</f>
        <v>3000</v>
      </c>
      <c r="Y21" s="1">
        <f t="shared" ca="1" si="8"/>
        <v>4606000007</v>
      </c>
      <c r="Z21" s="1">
        <f t="shared" ca="1" si="9"/>
        <v>7</v>
      </c>
      <c r="AA21" s="1"/>
      <c r="AB21" s="1"/>
      <c r="AC21" s="1"/>
      <c r="AD21" s="1"/>
    </row>
    <row r="22" spans="1:30" ht="19.5" customHeight="1" x14ac:dyDescent="0.3">
      <c r="A22" s="2"/>
      <c r="B22" s="79">
        <f t="shared" ca="1" si="0"/>
        <v>11</v>
      </c>
      <c r="C22" s="80">
        <f t="shared" ca="1" si="1"/>
        <v>46060</v>
      </c>
      <c r="D22" s="81" t="str">
        <f t="shared" ca="1" si="2"/>
        <v>Ödeme  –  Nakit  (MERKEZ KASA) / NAKİT ÖDENEN</v>
      </c>
      <c r="E22" s="79" t="str">
        <f t="shared" ca="1" si="3"/>
        <v>ÖDEME</v>
      </c>
      <c r="F22" s="82">
        <f t="shared" ca="1" si="4"/>
        <v>0</v>
      </c>
      <c r="G22" s="82">
        <f t="shared" ca="1" si="5"/>
        <v>3000</v>
      </c>
      <c r="H22" s="82">
        <f t="shared" ca="1" si="6"/>
        <v>0</v>
      </c>
      <c r="I22" s="2"/>
      <c r="J22" s="2"/>
      <c r="K22" s="1"/>
      <c r="L22" s="1"/>
      <c r="M22" s="1">
        <v>11</v>
      </c>
      <c r="N22" s="83">
        <f ca="1">IF(OR($U22=0,$W22="",$X22&lt;=0),"",IF($W22&gt;TODAY(),"",IF(AND(INDEX(UCRETLER!$E$7:$E$606,$U22)&lt;&gt;"",$W22&gt;INDEX(UCRETLER!$E$7:$E$606,$U22)),"",$W22)))</f>
        <v>46088</v>
      </c>
      <c r="O22" s="1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>07.03.2026 haftalık muhasebe hizmet ücreti</v>
      </c>
      <c r="P22" s="1" t="str">
        <f t="shared" ca="1" si="10"/>
        <v>TAHAKKUK</v>
      </c>
      <c r="Q22" s="1"/>
      <c r="R22" s="84">
        <f t="shared" ca="1" si="11"/>
        <v>3000</v>
      </c>
      <c r="S22" s="1">
        <v>0</v>
      </c>
      <c r="T22" s="1">
        <f t="shared" ca="1" si="7"/>
        <v>4608800011</v>
      </c>
      <c r="U22" s="1">
        <f t="shared" si="12"/>
        <v>11</v>
      </c>
      <c r="V22" s="1">
        <v>10</v>
      </c>
      <c r="W22" s="83">
        <f>IF($U22=0,"",IF(INDEX(UCRETLER!$D$7:$D$606,$U22)="","",IF(INDEX(UCRETLER!$F$7:$F$606,$U22)="Aylık",EOMONTH(INDEX(UCRETLER!$D$7:$D$606,$U22),$V22-1),INDEX(UCRETLER!$U$7:$U$606,$U22)+7*($V22-1))))</f>
        <v>46088</v>
      </c>
      <c r="X22" s="84">
        <f>IF($U22=0,0,INDEX(UCRETLER!$G$7:$G$606,$U22))</f>
        <v>3000</v>
      </c>
      <c r="Y22" s="1">
        <f t="shared" ca="1" si="8"/>
        <v>4606000246</v>
      </c>
      <c r="Z22" s="1">
        <f t="shared" ca="1" si="9"/>
        <v>246</v>
      </c>
      <c r="AA22" s="1"/>
      <c r="AB22" s="1"/>
      <c r="AC22" s="1"/>
      <c r="AD22" s="1"/>
    </row>
    <row r="23" spans="1:30" ht="19.5" customHeight="1" x14ac:dyDescent="0.3">
      <c r="A23" s="2"/>
      <c r="B23" s="79">
        <f t="shared" ca="1" si="0"/>
        <v>12</v>
      </c>
      <c r="C23" s="80">
        <f t="shared" ca="1" si="1"/>
        <v>46067</v>
      </c>
      <c r="D23" s="81" t="str">
        <f t="shared" ca="1" si="2"/>
        <v>14.02.2026 haftalık muhasebe hizmet ücreti</v>
      </c>
      <c r="E23" s="79" t="str">
        <f t="shared" ca="1" si="3"/>
        <v>TAHAKKUK</v>
      </c>
      <c r="F23" s="82">
        <f t="shared" ca="1" si="4"/>
        <v>3000</v>
      </c>
      <c r="G23" s="82">
        <f t="shared" ca="1" si="5"/>
        <v>0</v>
      </c>
      <c r="H23" s="82">
        <f t="shared" ca="1" si="6"/>
        <v>3000</v>
      </c>
      <c r="I23" s="2"/>
      <c r="J23" s="2"/>
      <c r="K23" s="1"/>
      <c r="L23" s="1"/>
      <c r="M23" s="1">
        <v>12</v>
      </c>
      <c r="N23" s="83">
        <f ca="1">IF(OR($U23=0,$W23="",$X23&lt;=0),"",IF($W23&gt;TODAY(),"",IF(AND(INDEX(UCRETLER!$E$7:$E$606,$U23)&lt;&gt;"",$W23&gt;INDEX(UCRETLER!$E$7:$E$606,$U23)),"",$W23)))</f>
        <v>46095</v>
      </c>
      <c r="O23" s="1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>14.03.2026 haftalık muhasebe hizmet ücreti</v>
      </c>
      <c r="P23" s="1" t="str">
        <f t="shared" ca="1" si="10"/>
        <v>TAHAKKUK</v>
      </c>
      <c r="Q23" s="1"/>
      <c r="R23" s="84">
        <f t="shared" ca="1" si="11"/>
        <v>3000</v>
      </c>
      <c r="S23" s="1">
        <v>0</v>
      </c>
      <c r="T23" s="1">
        <f t="shared" ca="1" si="7"/>
        <v>4609500012</v>
      </c>
      <c r="U23" s="1">
        <f t="shared" si="12"/>
        <v>11</v>
      </c>
      <c r="V23" s="1">
        <v>11</v>
      </c>
      <c r="W23" s="83">
        <f>IF($U23=0,"",IF(INDEX(UCRETLER!$D$7:$D$606,$U23)="","",IF(INDEX(UCRETLER!$F$7:$F$606,$U23)="Aylık",EOMONTH(INDEX(UCRETLER!$D$7:$D$606,$U23),$V23-1),INDEX(UCRETLER!$U$7:$U$606,$U23)+7*($V23-1))))</f>
        <v>46095</v>
      </c>
      <c r="X23" s="84">
        <f>IF($U23=0,0,INDEX(UCRETLER!$G$7:$G$606,$U23))</f>
        <v>3000</v>
      </c>
      <c r="Y23" s="1">
        <f t="shared" ca="1" si="8"/>
        <v>4606700008</v>
      </c>
      <c r="Z23" s="1">
        <f t="shared" ca="1" si="9"/>
        <v>8</v>
      </c>
      <c r="AA23" s="1"/>
      <c r="AB23" s="1"/>
      <c r="AC23" s="1"/>
      <c r="AD23" s="1"/>
    </row>
    <row r="24" spans="1:30" ht="19.5" customHeight="1" x14ac:dyDescent="0.3">
      <c r="A24" s="2"/>
      <c r="B24" s="79">
        <f t="shared" ca="1" si="0"/>
        <v>13</v>
      </c>
      <c r="C24" s="80">
        <f t="shared" ca="1" si="1"/>
        <v>46067</v>
      </c>
      <c r="D24" s="81" t="str">
        <f t="shared" ca="1" si="2"/>
        <v>Ödeme  –  Nakit  (MERKEZ KASA) / NAKİT ÖDENEN</v>
      </c>
      <c r="E24" s="79" t="str">
        <f t="shared" ca="1" si="3"/>
        <v>ÖDEME</v>
      </c>
      <c r="F24" s="82">
        <f t="shared" ca="1" si="4"/>
        <v>0</v>
      </c>
      <c r="G24" s="82">
        <f t="shared" ca="1" si="5"/>
        <v>3000</v>
      </c>
      <c r="H24" s="82">
        <f t="shared" ca="1" si="6"/>
        <v>0</v>
      </c>
      <c r="I24" s="2"/>
      <c r="J24" s="2"/>
      <c r="K24" s="1"/>
      <c r="L24" s="1"/>
      <c r="M24" s="1">
        <v>13</v>
      </c>
      <c r="N24" s="83">
        <f ca="1">IF(OR($U24=0,$W24="",$X24&lt;=0),"",IF($W24&gt;TODAY(),"",IF(AND(INDEX(UCRETLER!$E$7:$E$606,$U24)&lt;&gt;"",$W24&gt;INDEX(UCRETLER!$E$7:$E$606,$U24)),"",$W24)))</f>
        <v>46102</v>
      </c>
      <c r="O24" s="1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>21.03.2026 haftalık muhasebe hizmet ücreti</v>
      </c>
      <c r="P24" s="1" t="str">
        <f t="shared" ca="1" si="10"/>
        <v>TAHAKKUK</v>
      </c>
      <c r="Q24" s="1"/>
      <c r="R24" s="84">
        <f t="shared" ca="1" si="11"/>
        <v>3000</v>
      </c>
      <c r="S24" s="1">
        <v>0</v>
      </c>
      <c r="T24" s="1">
        <f t="shared" ca="1" si="7"/>
        <v>4610200013</v>
      </c>
      <c r="U24" s="1">
        <f t="shared" si="12"/>
        <v>11</v>
      </c>
      <c r="V24" s="1">
        <v>12</v>
      </c>
      <c r="W24" s="83">
        <f>IF($U24=0,"",IF(INDEX(UCRETLER!$D$7:$D$606,$U24)="","",IF(INDEX(UCRETLER!$F$7:$F$606,$U24)="Aylık",EOMONTH(INDEX(UCRETLER!$D$7:$D$606,$U24),$V24-1),INDEX(UCRETLER!$U$7:$U$606,$U24)+7*($V24-1))))</f>
        <v>46102</v>
      </c>
      <c r="X24" s="84">
        <f>IF($U24=0,0,INDEX(UCRETLER!$G$7:$G$606,$U24))</f>
        <v>3000</v>
      </c>
      <c r="Y24" s="1">
        <f t="shared" ca="1" si="8"/>
        <v>4606700247</v>
      </c>
      <c r="Z24" s="1">
        <f t="shared" ca="1" si="9"/>
        <v>247</v>
      </c>
      <c r="AA24" s="1"/>
      <c r="AB24" s="1"/>
      <c r="AC24" s="1"/>
      <c r="AD24" s="1"/>
    </row>
    <row r="25" spans="1:30" ht="19.5" customHeight="1" x14ac:dyDescent="0.3">
      <c r="A25" s="2"/>
      <c r="B25" s="79">
        <f t="shared" ca="1" si="0"/>
        <v>14</v>
      </c>
      <c r="C25" s="80">
        <f t="shared" ca="1" si="1"/>
        <v>46074</v>
      </c>
      <c r="D25" s="81" t="str">
        <f t="shared" ca="1" si="2"/>
        <v>21.02.2026 haftalık muhasebe hizmet ücreti</v>
      </c>
      <c r="E25" s="79" t="str">
        <f t="shared" ca="1" si="3"/>
        <v>TAHAKKUK</v>
      </c>
      <c r="F25" s="82">
        <f t="shared" ca="1" si="4"/>
        <v>3000</v>
      </c>
      <c r="G25" s="82">
        <f t="shared" ca="1" si="5"/>
        <v>0</v>
      </c>
      <c r="H25" s="82">
        <f t="shared" ca="1" si="6"/>
        <v>3000</v>
      </c>
      <c r="I25" s="2"/>
      <c r="J25" s="2"/>
      <c r="K25" s="1"/>
      <c r="L25" s="1"/>
      <c r="M25" s="1">
        <v>14</v>
      </c>
      <c r="N25" s="83">
        <f ca="1">IF(OR($U25=0,$W25="",$X25&lt;=0),"",IF($W25&gt;TODAY(),"",IF(AND(INDEX(UCRETLER!$E$7:$E$606,$U25)&lt;&gt;"",$W25&gt;INDEX(UCRETLER!$E$7:$E$606,$U25)),"",$W25)))</f>
        <v>46109</v>
      </c>
      <c r="O25" s="1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>28.03.2026 haftalık muhasebe hizmet ücreti</v>
      </c>
      <c r="P25" s="1" t="str">
        <f t="shared" ca="1" si="10"/>
        <v>TAHAKKUK</v>
      </c>
      <c r="Q25" s="1"/>
      <c r="R25" s="84">
        <f t="shared" ca="1" si="11"/>
        <v>3000</v>
      </c>
      <c r="S25" s="1">
        <v>0</v>
      </c>
      <c r="T25" s="1">
        <f t="shared" ca="1" si="7"/>
        <v>4610900014</v>
      </c>
      <c r="U25" s="1">
        <f t="shared" si="12"/>
        <v>11</v>
      </c>
      <c r="V25" s="1">
        <v>13</v>
      </c>
      <c r="W25" s="83">
        <f>IF($U25=0,"",IF(INDEX(UCRETLER!$D$7:$D$606,$U25)="","",IF(INDEX(UCRETLER!$F$7:$F$606,$U25)="Aylık",EOMONTH(INDEX(UCRETLER!$D$7:$D$606,$U25),$V25-1),INDEX(UCRETLER!$U$7:$U$606,$U25)+7*($V25-1))))</f>
        <v>46109</v>
      </c>
      <c r="X25" s="84">
        <f>IF($U25=0,0,INDEX(UCRETLER!$G$7:$G$606,$U25))</f>
        <v>3000</v>
      </c>
      <c r="Y25" s="1">
        <f t="shared" ca="1" si="8"/>
        <v>4607400009</v>
      </c>
      <c r="Z25" s="1">
        <f t="shared" ca="1" si="9"/>
        <v>9</v>
      </c>
      <c r="AA25" s="1"/>
      <c r="AB25" s="1"/>
      <c r="AC25" s="1"/>
      <c r="AD25" s="1"/>
    </row>
    <row r="26" spans="1:30" ht="19.5" customHeight="1" x14ac:dyDescent="0.3">
      <c r="A26" s="2"/>
      <c r="B26" s="79">
        <f t="shared" ca="1" si="0"/>
        <v>15</v>
      </c>
      <c r="C26" s="80">
        <f t="shared" ca="1" si="1"/>
        <v>46081</v>
      </c>
      <c r="D26" s="81" t="str">
        <f t="shared" ca="1" si="2"/>
        <v>28.02.2026 haftalık muhasebe hizmet ücreti</v>
      </c>
      <c r="E26" s="79" t="str">
        <f t="shared" ca="1" si="3"/>
        <v>TAHAKKUK</v>
      </c>
      <c r="F26" s="82">
        <f t="shared" ca="1" si="4"/>
        <v>3000</v>
      </c>
      <c r="G26" s="82">
        <f t="shared" ca="1" si="5"/>
        <v>0</v>
      </c>
      <c r="H26" s="82">
        <f t="shared" ca="1" si="6"/>
        <v>6000</v>
      </c>
      <c r="I26" s="2"/>
      <c r="J26" s="2"/>
      <c r="K26" s="1"/>
      <c r="L26" s="1"/>
      <c r="M26" s="1">
        <v>15</v>
      </c>
      <c r="N26" s="83">
        <f ca="1">IF(OR($U26=0,$W26="",$X26&lt;=0),"",IF($W26&gt;TODAY(),"",IF(AND(INDEX(UCRETLER!$E$7:$E$606,$U26)&lt;&gt;"",$W26&gt;INDEX(UCRETLER!$E$7:$E$606,$U26)),"",$W26)))</f>
        <v>46116</v>
      </c>
      <c r="O26" s="1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>04.04.2026 haftalık muhasebe hizmet ücreti</v>
      </c>
      <c r="P26" s="1" t="str">
        <f t="shared" ca="1" si="10"/>
        <v>TAHAKKUK</v>
      </c>
      <c r="Q26" s="1"/>
      <c r="R26" s="84">
        <f t="shared" ca="1" si="11"/>
        <v>3000</v>
      </c>
      <c r="S26" s="1">
        <v>0</v>
      </c>
      <c r="T26" s="1">
        <f t="shared" ca="1" si="7"/>
        <v>4611600015</v>
      </c>
      <c r="U26" s="1">
        <f t="shared" si="12"/>
        <v>11</v>
      </c>
      <c r="V26" s="1">
        <v>14</v>
      </c>
      <c r="W26" s="83">
        <f>IF($U26=0,"",IF(INDEX(UCRETLER!$D$7:$D$606,$U26)="","",IF(INDEX(UCRETLER!$F$7:$F$606,$U26)="Aylık",EOMONTH(INDEX(UCRETLER!$D$7:$D$606,$U26),$V26-1),INDEX(UCRETLER!$U$7:$U$606,$U26)+7*($V26-1))))</f>
        <v>46116</v>
      </c>
      <c r="X26" s="84">
        <f>IF($U26=0,0,INDEX(UCRETLER!$G$7:$G$606,$U26))</f>
        <v>3000</v>
      </c>
      <c r="Y26" s="1">
        <f t="shared" ca="1" si="8"/>
        <v>4608100010</v>
      </c>
      <c r="Z26" s="1">
        <f t="shared" ca="1" si="9"/>
        <v>10</v>
      </c>
      <c r="AA26" s="1"/>
      <c r="AB26" s="1"/>
      <c r="AC26" s="1"/>
      <c r="AD26" s="1"/>
    </row>
    <row r="27" spans="1:30" ht="19.5" customHeight="1" x14ac:dyDescent="0.3">
      <c r="A27" s="2"/>
      <c r="B27" s="79">
        <f t="shared" ca="1" si="0"/>
        <v>16</v>
      </c>
      <c r="C27" s="80">
        <f t="shared" ca="1" si="1"/>
        <v>46088</v>
      </c>
      <c r="D27" s="81" t="str">
        <f t="shared" ca="1" si="2"/>
        <v>07.03.2026 haftalık muhasebe hizmet ücreti</v>
      </c>
      <c r="E27" s="79" t="str">
        <f t="shared" ca="1" si="3"/>
        <v>TAHAKKUK</v>
      </c>
      <c r="F27" s="82">
        <f t="shared" ca="1" si="4"/>
        <v>3000</v>
      </c>
      <c r="G27" s="82">
        <f t="shared" ca="1" si="5"/>
        <v>0</v>
      </c>
      <c r="H27" s="82">
        <f t="shared" ca="1" si="6"/>
        <v>9000</v>
      </c>
      <c r="I27" s="2"/>
      <c r="J27" s="2"/>
      <c r="K27" s="1"/>
      <c r="L27" s="1"/>
      <c r="M27" s="1">
        <v>16</v>
      </c>
      <c r="N27" s="83">
        <f ca="1">IF(OR($U27=0,$W27="",$X27&lt;=0),"",IF($W27&gt;TODAY(),"",IF(AND(INDEX(UCRETLER!$E$7:$E$606,$U27)&lt;&gt;"",$W27&gt;INDEX(UCRETLER!$E$7:$E$606,$U27)),"",$W27)))</f>
        <v>46123</v>
      </c>
      <c r="O27" s="1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>11.04.2026 haftalık muhasebe hizmet ücreti</v>
      </c>
      <c r="P27" s="1" t="str">
        <f t="shared" ca="1" si="10"/>
        <v>TAHAKKUK</v>
      </c>
      <c r="Q27" s="1"/>
      <c r="R27" s="84">
        <f t="shared" ca="1" si="11"/>
        <v>3000</v>
      </c>
      <c r="S27" s="1">
        <v>0</v>
      </c>
      <c r="T27" s="1">
        <f t="shared" ca="1" si="7"/>
        <v>4612300016</v>
      </c>
      <c r="U27" s="1">
        <f t="shared" si="12"/>
        <v>11</v>
      </c>
      <c r="V27" s="1">
        <v>15</v>
      </c>
      <c r="W27" s="83">
        <f>IF($U27=0,"",IF(INDEX(UCRETLER!$D$7:$D$606,$U27)="","",IF(INDEX(UCRETLER!$F$7:$F$606,$U27)="Aylık",EOMONTH(INDEX(UCRETLER!$D$7:$D$606,$U27),$V27-1),INDEX(UCRETLER!$U$7:$U$606,$U27)+7*($V27-1))))</f>
        <v>46123</v>
      </c>
      <c r="X27" s="84">
        <f>IF($U27=0,0,INDEX(UCRETLER!$G$7:$G$606,$U27))</f>
        <v>3000</v>
      </c>
      <c r="Y27" s="1">
        <f t="shared" ca="1" si="8"/>
        <v>4608800011</v>
      </c>
      <c r="Z27" s="1">
        <f t="shared" ca="1" si="9"/>
        <v>11</v>
      </c>
      <c r="AA27" s="1"/>
      <c r="AB27" s="1"/>
      <c r="AC27" s="1"/>
      <c r="AD27" s="1"/>
    </row>
    <row r="28" spans="1:30" ht="19.5" customHeight="1" x14ac:dyDescent="0.3">
      <c r="A28" s="2"/>
      <c r="B28" s="79">
        <f t="shared" ca="1" si="0"/>
        <v>17</v>
      </c>
      <c r="C28" s="80">
        <f t="shared" ca="1" si="1"/>
        <v>46095</v>
      </c>
      <c r="D28" s="81" t="str">
        <f t="shared" ca="1" si="2"/>
        <v>14.03.2026 haftalık muhasebe hizmet ücreti</v>
      </c>
      <c r="E28" s="79" t="str">
        <f t="shared" ca="1" si="3"/>
        <v>TAHAKKUK</v>
      </c>
      <c r="F28" s="82">
        <f t="shared" ca="1" si="4"/>
        <v>3000</v>
      </c>
      <c r="G28" s="82">
        <f t="shared" ca="1" si="5"/>
        <v>0</v>
      </c>
      <c r="H28" s="82">
        <f t="shared" ca="1" si="6"/>
        <v>12000</v>
      </c>
      <c r="I28" s="2"/>
      <c r="J28" s="2"/>
      <c r="K28" s="1"/>
      <c r="L28" s="1"/>
      <c r="M28" s="1">
        <v>17</v>
      </c>
      <c r="N28" s="83">
        <f ca="1">IF(OR($U28=0,$W28="",$X28&lt;=0),"",IF($W28&gt;TODAY(),"",IF(AND(INDEX(UCRETLER!$E$7:$E$606,$U28)&lt;&gt;"",$W28&gt;INDEX(UCRETLER!$E$7:$E$606,$U28)),"",$W28)))</f>
        <v>46130</v>
      </c>
      <c r="O28" s="1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>18.04.2026 haftalık muhasebe hizmet ücreti</v>
      </c>
      <c r="P28" s="1" t="str">
        <f t="shared" ca="1" si="10"/>
        <v>TAHAKKUK</v>
      </c>
      <c r="Q28" s="1"/>
      <c r="R28" s="84">
        <f t="shared" ca="1" si="11"/>
        <v>3000</v>
      </c>
      <c r="S28" s="1">
        <v>0</v>
      </c>
      <c r="T28" s="1">
        <f t="shared" ca="1" si="7"/>
        <v>4613000017</v>
      </c>
      <c r="U28" s="1">
        <f t="shared" si="12"/>
        <v>11</v>
      </c>
      <c r="V28" s="1">
        <v>16</v>
      </c>
      <c r="W28" s="83">
        <f>IF($U28=0,"",IF(INDEX(UCRETLER!$D$7:$D$606,$U28)="","",IF(INDEX(UCRETLER!$F$7:$F$606,$U28)="Aylık",EOMONTH(INDEX(UCRETLER!$D$7:$D$606,$U28),$V28-1),INDEX(UCRETLER!$U$7:$U$606,$U28)+7*($V28-1))))</f>
        <v>46130</v>
      </c>
      <c r="X28" s="84">
        <f>IF($U28=0,0,INDEX(UCRETLER!$G$7:$G$606,$U28))</f>
        <v>3000</v>
      </c>
      <c r="Y28" s="1">
        <f t="shared" ca="1" si="8"/>
        <v>4609500012</v>
      </c>
      <c r="Z28" s="1">
        <f t="shared" ca="1" si="9"/>
        <v>12</v>
      </c>
      <c r="AA28" s="1"/>
      <c r="AB28" s="1"/>
      <c r="AC28" s="1"/>
      <c r="AD28" s="1"/>
    </row>
    <row r="29" spans="1:30" ht="19.5" customHeight="1" x14ac:dyDescent="0.3">
      <c r="A29" s="2"/>
      <c r="B29" s="79">
        <f t="shared" ca="1" si="0"/>
        <v>18</v>
      </c>
      <c r="C29" s="80">
        <f t="shared" ca="1" si="1"/>
        <v>46096</v>
      </c>
      <c r="D29" s="81" t="str">
        <f t="shared" ca="1" si="2"/>
        <v>Ödeme  –  Nakit  (ÖMER KARTAL) / ÖMER KARTALA ÖDENEN</v>
      </c>
      <c r="E29" s="79" t="str">
        <f t="shared" ca="1" si="3"/>
        <v>ÖDEME</v>
      </c>
      <c r="F29" s="82">
        <f t="shared" ca="1" si="4"/>
        <v>0</v>
      </c>
      <c r="G29" s="82">
        <f t="shared" ca="1" si="5"/>
        <v>11500</v>
      </c>
      <c r="H29" s="82">
        <f t="shared" ca="1" si="6"/>
        <v>500</v>
      </c>
      <c r="I29" s="2"/>
      <c r="J29" s="2"/>
      <c r="K29" s="1"/>
      <c r="L29" s="1"/>
      <c r="M29" s="1">
        <v>18</v>
      </c>
      <c r="N29" s="83">
        <f ca="1">IF(OR($U29=0,$W29="",$X29&lt;=0),"",IF($W29&gt;TODAY(),"",IF(AND(INDEX(UCRETLER!$E$7:$E$606,$U29)&lt;&gt;"",$W29&gt;INDEX(UCRETLER!$E$7:$E$606,$U29)),"",$W29)))</f>
        <v>46137</v>
      </c>
      <c r="O29" s="1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>25.04.2026 haftalık muhasebe hizmet ücreti</v>
      </c>
      <c r="P29" s="1" t="str">
        <f t="shared" ca="1" si="10"/>
        <v>TAHAKKUK</v>
      </c>
      <c r="Q29" s="1"/>
      <c r="R29" s="84">
        <f t="shared" ca="1" si="11"/>
        <v>3000</v>
      </c>
      <c r="S29" s="1">
        <v>0</v>
      </c>
      <c r="T29" s="1">
        <f t="shared" ca="1" si="7"/>
        <v>4613700018</v>
      </c>
      <c r="U29" s="1">
        <f t="shared" si="12"/>
        <v>11</v>
      </c>
      <c r="V29" s="1">
        <v>17</v>
      </c>
      <c r="W29" s="83">
        <f>IF($U29=0,"",IF(INDEX(UCRETLER!$D$7:$D$606,$U29)="","",IF(INDEX(UCRETLER!$F$7:$F$606,$U29)="Aylık",EOMONTH(INDEX(UCRETLER!$D$7:$D$606,$U29),$V29-1),INDEX(UCRETLER!$U$7:$U$606,$U29)+7*($V29-1))))</f>
        <v>46137</v>
      </c>
      <c r="X29" s="84">
        <f>IF($U29=0,0,INDEX(UCRETLER!$G$7:$G$606,$U29))</f>
        <v>3000</v>
      </c>
      <c r="Y29" s="1">
        <f t="shared" ca="1" si="8"/>
        <v>4609600248</v>
      </c>
      <c r="Z29" s="1">
        <f t="shared" ca="1" si="9"/>
        <v>248</v>
      </c>
      <c r="AA29" s="1"/>
      <c r="AB29" s="1"/>
      <c r="AC29" s="1"/>
      <c r="AD29" s="1"/>
    </row>
    <row r="30" spans="1:30" ht="19.5" customHeight="1" x14ac:dyDescent="0.3">
      <c r="A30" s="2"/>
      <c r="B30" s="79">
        <f t="shared" ca="1" si="0"/>
        <v>19</v>
      </c>
      <c r="C30" s="80">
        <f t="shared" ca="1" si="1"/>
        <v>46102</v>
      </c>
      <c r="D30" s="81" t="str">
        <f t="shared" ca="1" si="2"/>
        <v>21.03.2026 haftalık muhasebe hizmet ücreti</v>
      </c>
      <c r="E30" s="79" t="str">
        <f t="shared" ca="1" si="3"/>
        <v>TAHAKKUK</v>
      </c>
      <c r="F30" s="82">
        <f t="shared" ca="1" si="4"/>
        <v>3000</v>
      </c>
      <c r="G30" s="82">
        <f t="shared" ca="1" si="5"/>
        <v>0</v>
      </c>
      <c r="H30" s="82">
        <f t="shared" ca="1" si="6"/>
        <v>3500</v>
      </c>
      <c r="I30" s="2"/>
      <c r="J30" s="2"/>
      <c r="K30" s="1"/>
      <c r="L30" s="1"/>
      <c r="M30" s="1">
        <v>19</v>
      </c>
      <c r="N30" s="83">
        <f ca="1">IF(OR($U30=0,$W30="",$X30&lt;=0),"",IF($W30&gt;TODAY(),"",IF(AND(INDEX(UCRETLER!$E$7:$E$606,$U30)&lt;&gt;"",$W30&gt;INDEX(UCRETLER!$E$7:$E$606,$U30)),"",$W30)))</f>
        <v>46144</v>
      </c>
      <c r="O30" s="1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>02.05.2026 haftalık muhasebe hizmet ücreti</v>
      </c>
      <c r="P30" s="1" t="str">
        <f t="shared" ca="1" si="10"/>
        <v>TAHAKKUK</v>
      </c>
      <c r="Q30" s="1"/>
      <c r="R30" s="84">
        <f t="shared" ca="1" si="11"/>
        <v>3000</v>
      </c>
      <c r="S30" s="1">
        <v>0</v>
      </c>
      <c r="T30" s="1">
        <f t="shared" ca="1" si="7"/>
        <v>4614400019</v>
      </c>
      <c r="U30" s="1">
        <f t="shared" si="12"/>
        <v>11</v>
      </c>
      <c r="V30" s="1">
        <v>18</v>
      </c>
      <c r="W30" s="83">
        <f>IF($U30=0,"",IF(INDEX(UCRETLER!$D$7:$D$606,$U30)="","",IF(INDEX(UCRETLER!$F$7:$F$606,$U30)="Aylık",EOMONTH(INDEX(UCRETLER!$D$7:$D$606,$U30),$V30-1),INDEX(UCRETLER!$U$7:$U$606,$U30)+7*($V30-1))))</f>
        <v>46144</v>
      </c>
      <c r="X30" s="84">
        <f>IF($U30=0,0,INDEX(UCRETLER!$G$7:$G$606,$U30))</f>
        <v>3000</v>
      </c>
      <c r="Y30" s="1">
        <f t="shared" ca="1" si="8"/>
        <v>4610200013</v>
      </c>
      <c r="Z30" s="1">
        <f t="shared" ca="1" si="9"/>
        <v>13</v>
      </c>
      <c r="AA30" s="1"/>
      <c r="AB30" s="1"/>
      <c r="AC30" s="1"/>
      <c r="AD30" s="1"/>
    </row>
    <row r="31" spans="1:30" ht="19.5" customHeight="1" x14ac:dyDescent="0.3">
      <c r="A31" s="2"/>
      <c r="B31" s="79">
        <f t="shared" ca="1" si="0"/>
        <v>20</v>
      </c>
      <c r="C31" s="80">
        <f t="shared" ca="1" si="1"/>
        <v>46103</v>
      </c>
      <c r="D31" s="81" t="str">
        <f t="shared" ca="1" si="2"/>
        <v>Ödeme  –  Nakit  (MERKEZ KASA) / NAKİT ÖDENEN</v>
      </c>
      <c r="E31" s="79" t="str">
        <f t="shared" ca="1" si="3"/>
        <v>ÖDEME</v>
      </c>
      <c r="F31" s="82">
        <f t="shared" ca="1" si="4"/>
        <v>0</v>
      </c>
      <c r="G31" s="82">
        <f t="shared" ca="1" si="5"/>
        <v>3000</v>
      </c>
      <c r="H31" s="82">
        <f t="shared" ca="1" si="6"/>
        <v>500</v>
      </c>
      <c r="I31" s="2"/>
      <c r="J31" s="2"/>
      <c r="K31" s="1"/>
      <c r="L31" s="1"/>
      <c r="M31" s="1">
        <v>20</v>
      </c>
      <c r="N31" s="83">
        <f ca="1">IF(OR($U31=0,$W31="",$X31&lt;=0),"",IF($W31&gt;TODAY(),"",IF(AND(INDEX(UCRETLER!$E$7:$E$606,$U31)&lt;&gt;"",$W31&gt;INDEX(UCRETLER!$E$7:$E$606,$U31)),"",$W31)))</f>
        <v>46151</v>
      </c>
      <c r="O31" s="1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>09.05.2026 haftalık muhasebe hizmet ücreti</v>
      </c>
      <c r="P31" s="1" t="str">
        <f t="shared" ca="1" si="10"/>
        <v>TAHAKKUK</v>
      </c>
      <c r="Q31" s="1"/>
      <c r="R31" s="84">
        <f t="shared" ca="1" si="11"/>
        <v>3000</v>
      </c>
      <c r="S31" s="1">
        <v>0</v>
      </c>
      <c r="T31" s="1">
        <f t="shared" ca="1" si="7"/>
        <v>4615100020</v>
      </c>
      <c r="U31" s="1">
        <f t="shared" si="12"/>
        <v>11</v>
      </c>
      <c r="V31" s="1">
        <v>19</v>
      </c>
      <c r="W31" s="83">
        <f>IF($U31=0,"",IF(INDEX(UCRETLER!$D$7:$D$606,$U31)="","",IF(INDEX(UCRETLER!$F$7:$F$606,$U31)="Aylık",EOMONTH(INDEX(UCRETLER!$D$7:$D$606,$U31),$V31-1),INDEX(UCRETLER!$U$7:$U$606,$U31)+7*($V31-1))))</f>
        <v>46151</v>
      </c>
      <c r="X31" s="84">
        <f>IF($U31=0,0,INDEX(UCRETLER!$G$7:$G$606,$U31))</f>
        <v>3000</v>
      </c>
      <c r="Y31" s="1">
        <f t="shared" ca="1" si="8"/>
        <v>4610300249</v>
      </c>
      <c r="Z31" s="1">
        <f t="shared" ca="1" si="9"/>
        <v>249</v>
      </c>
      <c r="AA31" s="1"/>
      <c r="AB31" s="1"/>
      <c r="AC31" s="1"/>
      <c r="AD31" s="1"/>
    </row>
    <row r="32" spans="1:30" ht="19.5" customHeight="1" x14ac:dyDescent="0.3">
      <c r="A32" s="2"/>
      <c r="B32" s="79">
        <f t="shared" ca="1" si="0"/>
        <v>21</v>
      </c>
      <c r="C32" s="80">
        <f t="shared" ca="1" si="1"/>
        <v>46109</v>
      </c>
      <c r="D32" s="81" t="str">
        <f t="shared" ca="1" si="2"/>
        <v>28.03.2026 haftalık muhasebe hizmet ücreti</v>
      </c>
      <c r="E32" s="79" t="str">
        <f t="shared" ca="1" si="3"/>
        <v>TAHAKKUK</v>
      </c>
      <c r="F32" s="82">
        <f t="shared" ca="1" si="4"/>
        <v>3000</v>
      </c>
      <c r="G32" s="82">
        <f t="shared" ca="1" si="5"/>
        <v>0</v>
      </c>
      <c r="H32" s="82">
        <f t="shared" ca="1" si="6"/>
        <v>3500</v>
      </c>
      <c r="I32" s="2"/>
      <c r="J32" s="2"/>
      <c r="K32" s="1"/>
      <c r="L32" s="1"/>
      <c r="M32" s="1">
        <v>21</v>
      </c>
      <c r="N32" s="83">
        <f ca="1">IF(OR($U32=0,$W32="",$X32&lt;=0),"",IF($W32&gt;TODAY(),"",IF(AND(INDEX(UCRETLER!$E$7:$E$606,$U32)&lt;&gt;"",$W32&gt;INDEX(UCRETLER!$E$7:$E$606,$U32)),"",$W32)))</f>
        <v>46158</v>
      </c>
      <c r="O32" s="1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>16.05.2026 haftalık muhasebe hizmet ücreti</v>
      </c>
      <c r="P32" s="1" t="str">
        <f t="shared" ca="1" si="10"/>
        <v>TAHAKKUK</v>
      </c>
      <c r="Q32" s="1"/>
      <c r="R32" s="84">
        <f t="shared" ca="1" si="11"/>
        <v>3000</v>
      </c>
      <c r="S32" s="1">
        <v>0</v>
      </c>
      <c r="T32" s="1">
        <f t="shared" ca="1" si="7"/>
        <v>4615800021</v>
      </c>
      <c r="U32" s="1">
        <f t="shared" si="12"/>
        <v>11</v>
      </c>
      <c r="V32" s="1">
        <v>20</v>
      </c>
      <c r="W32" s="83">
        <f>IF($U32=0,"",IF(INDEX(UCRETLER!$D$7:$D$606,$U32)="","",IF(INDEX(UCRETLER!$F$7:$F$606,$U32)="Aylık",EOMONTH(INDEX(UCRETLER!$D$7:$D$606,$U32),$V32-1),INDEX(UCRETLER!$U$7:$U$606,$U32)+7*($V32-1))))</f>
        <v>46158</v>
      </c>
      <c r="X32" s="84">
        <f>IF($U32=0,0,INDEX(UCRETLER!$G$7:$G$606,$U32))</f>
        <v>3000</v>
      </c>
      <c r="Y32" s="1">
        <f t="shared" ca="1" si="8"/>
        <v>4610900014</v>
      </c>
      <c r="Z32" s="1">
        <f t="shared" ca="1" si="9"/>
        <v>14</v>
      </c>
      <c r="AA32" s="1"/>
      <c r="AB32" s="1"/>
      <c r="AC32" s="1"/>
      <c r="AD32" s="1"/>
    </row>
    <row r="33" spans="1:30" ht="19.5" customHeight="1" x14ac:dyDescent="0.3">
      <c r="A33" s="2"/>
      <c r="B33" s="79">
        <f t="shared" ca="1" si="0"/>
        <v>22</v>
      </c>
      <c r="C33" s="80">
        <f t="shared" ca="1" si="1"/>
        <v>46109</v>
      </c>
      <c r="D33" s="81" t="str">
        <f t="shared" ca="1" si="2"/>
        <v>Ödeme  –  Nakit  (MERKEZ KASA) / NAKİT ÖDENEN</v>
      </c>
      <c r="E33" s="79" t="str">
        <f t="shared" ca="1" si="3"/>
        <v>ÖDEME</v>
      </c>
      <c r="F33" s="82">
        <f t="shared" ca="1" si="4"/>
        <v>0</v>
      </c>
      <c r="G33" s="82">
        <f t="shared" ca="1" si="5"/>
        <v>3000</v>
      </c>
      <c r="H33" s="82">
        <f t="shared" ca="1" si="6"/>
        <v>500</v>
      </c>
      <c r="I33" s="2"/>
      <c r="J33" s="2"/>
      <c r="K33" s="1"/>
      <c r="L33" s="1"/>
      <c r="M33" s="1">
        <v>22</v>
      </c>
      <c r="N33" s="83">
        <f ca="1">IF(OR($U33=0,$W33="",$X33&lt;=0),"",IF($W33&gt;TODAY(),"",IF(AND(INDEX(UCRETLER!$E$7:$E$606,$U33)&lt;&gt;"",$W33&gt;INDEX(UCRETLER!$E$7:$E$606,$U33)),"",$W33)))</f>
        <v>46165</v>
      </c>
      <c r="O33" s="1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>23.05.2026 haftalık muhasebe hizmet ücreti</v>
      </c>
      <c r="P33" s="1" t="str">
        <f t="shared" ca="1" si="10"/>
        <v>TAHAKKUK</v>
      </c>
      <c r="Q33" s="1"/>
      <c r="R33" s="84">
        <f t="shared" ca="1" si="11"/>
        <v>3000</v>
      </c>
      <c r="S33" s="1">
        <v>0</v>
      </c>
      <c r="T33" s="1">
        <f t="shared" ca="1" si="7"/>
        <v>4616500022</v>
      </c>
      <c r="U33" s="1">
        <f t="shared" si="12"/>
        <v>11</v>
      </c>
      <c r="V33" s="1">
        <v>21</v>
      </c>
      <c r="W33" s="83">
        <f>IF($U33=0,"",IF(INDEX(UCRETLER!$D$7:$D$606,$U33)="","",IF(INDEX(UCRETLER!$F$7:$F$606,$U33)="Aylık",EOMONTH(INDEX(UCRETLER!$D$7:$D$606,$U33),$V33-1),INDEX(UCRETLER!$U$7:$U$606,$U33)+7*($V33-1))))</f>
        <v>46165</v>
      </c>
      <c r="X33" s="84">
        <f>IF($U33=0,0,INDEX(UCRETLER!$G$7:$G$606,$U33))</f>
        <v>3000</v>
      </c>
      <c r="Y33" s="1">
        <f t="shared" ca="1" si="8"/>
        <v>4610900250</v>
      </c>
      <c r="Z33" s="1">
        <f t="shared" ca="1" si="9"/>
        <v>250</v>
      </c>
      <c r="AA33" s="1"/>
      <c r="AB33" s="1"/>
      <c r="AC33" s="1"/>
      <c r="AD33" s="1"/>
    </row>
    <row r="34" spans="1:30" ht="19.5" customHeight="1" x14ac:dyDescent="0.3">
      <c r="A34" s="2"/>
      <c r="B34" s="79">
        <f t="shared" ca="1" si="0"/>
        <v>23</v>
      </c>
      <c r="C34" s="80">
        <f t="shared" ca="1" si="1"/>
        <v>46116</v>
      </c>
      <c r="D34" s="81" t="str">
        <f t="shared" ca="1" si="2"/>
        <v>04.04.2026 haftalık muhasebe hizmet ücreti</v>
      </c>
      <c r="E34" s="79" t="str">
        <f t="shared" ca="1" si="3"/>
        <v>TAHAKKUK</v>
      </c>
      <c r="F34" s="82">
        <f t="shared" ca="1" si="4"/>
        <v>3000</v>
      </c>
      <c r="G34" s="82">
        <f t="shared" ca="1" si="5"/>
        <v>0</v>
      </c>
      <c r="H34" s="82">
        <f t="shared" ca="1" si="6"/>
        <v>3500</v>
      </c>
      <c r="I34" s="2"/>
      <c r="J34" s="2"/>
      <c r="K34" s="1"/>
      <c r="L34" s="1"/>
      <c r="M34" s="1">
        <v>23</v>
      </c>
      <c r="N34" s="83">
        <f ca="1">IF(OR($U34=0,$W34="",$X34&lt;=0),"",IF($W34&gt;TODAY(),"",IF(AND(INDEX(UCRETLER!$E$7:$E$606,$U34)&lt;&gt;"",$W34&gt;INDEX(UCRETLER!$E$7:$E$606,$U34)),"",$W34)))</f>
        <v>46172</v>
      </c>
      <c r="O34" s="1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>30.05.2026 haftalık muhasebe hizmet ücreti</v>
      </c>
      <c r="P34" s="1" t="str">
        <f t="shared" ca="1" si="10"/>
        <v>TAHAKKUK</v>
      </c>
      <c r="Q34" s="1"/>
      <c r="R34" s="84">
        <f t="shared" ca="1" si="11"/>
        <v>3000</v>
      </c>
      <c r="S34" s="1">
        <v>0</v>
      </c>
      <c r="T34" s="1">
        <f t="shared" ca="1" si="7"/>
        <v>4617200023</v>
      </c>
      <c r="U34" s="1">
        <f t="shared" si="12"/>
        <v>11</v>
      </c>
      <c r="V34" s="1">
        <v>22</v>
      </c>
      <c r="W34" s="83">
        <f>IF($U34=0,"",IF(INDEX(UCRETLER!$D$7:$D$606,$U34)="","",IF(INDEX(UCRETLER!$F$7:$F$606,$U34)="Aylık",EOMONTH(INDEX(UCRETLER!$D$7:$D$606,$U34),$V34-1),INDEX(UCRETLER!$U$7:$U$606,$U34)+7*($V34-1))))</f>
        <v>46172</v>
      </c>
      <c r="X34" s="84">
        <f>IF($U34=0,0,INDEX(UCRETLER!$G$7:$G$606,$U34))</f>
        <v>3000</v>
      </c>
      <c r="Y34" s="1">
        <f t="shared" ca="1" si="8"/>
        <v>4611600015</v>
      </c>
      <c r="Z34" s="1">
        <f t="shared" ca="1" si="9"/>
        <v>15</v>
      </c>
      <c r="AA34" s="1"/>
      <c r="AB34" s="1"/>
      <c r="AC34" s="1"/>
      <c r="AD34" s="1"/>
    </row>
    <row r="35" spans="1:30" ht="19.5" customHeight="1" x14ac:dyDescent="0.3">
      <c r="A35" s="2"/>
      <c r="B35" s="79">
        <f t="shared" ca="1" si="0"/>
        <v>24</v>
      </c>
      <c r="C35" s="80">
        <f t="shared" ca="1" si="1"/>
        <v>46116</v>
      </c>
      <c r="D35" s="81" t="str">
        <f t="shared" ca="1" si="2"/>
        <v>Ödeme  –  Nakit  (MERKEZ KASA) / NAKİT ÖDENEN</v>
      </c>
      <c r="E35" s="79" t="str">
        <f t="shared" ca="1" si="3"/>
        <v>ÖDEME</v>
      </c>
      <c r="F35" s="82">
        <f t="shared" ca="1" si="4"/>
        <v>0</v>
      </c>
      <c r="G35" s="82">
        <f t="shared" ca="1" si="5"/>
        <v>3000</v>
      </c>
      <c r="H35" s="82">
        <f t="shared" ca="1" si="6"/>
        <v>500</v>
      </c>
      <c r="I35" s="2"/>
      <c r="J35" s="2"/>
      <c r="K35" s="1"/>
      <c r="L35" s="1"/>
      <c r="M35" s="1">
        <v>24</v>
      </c>
      <c r="N35" s="83">
        <f ca="1">IF(OR($U35=0,$W35="",$X35&lt;=0),"",IF($W35&gt;TODAY(),"",IF(AND(INDEX(UCRETLER!$E$7:$E$606,$U35)&lt;&gt;"",$W35&gt;INDEX(UCRETLER!$E$7:$E$606,$U35)),"",$W35)))</f>
        <v>46179</v>
      </c>
      <c r="O35" s="1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>06.06.2026 haftalık muhasebe hizmet ücreti</v>
      </c>
      <c r="P35" s="1" t="str">
        <f t="shared" ca="1" si="10"/>
        <v>TAHAKKUK</v>
      </c>
      <c r="Q35" s="1"/>
      <c r="R35" s="84">
        <f t="shared" ca="1" si="11"/>
        <v>3000</v>
      </c>
      <c r="S35" s="1">
        <v>0</v>
      </c>
      <c r="T35" s="1">
        <f t="shared" ca="1" si="7"/>
        <v>4617900024</v>
      </c>
      <c r="U35" s="1">
        <f t="shared" si="12"/>
        <v>11</v>
      </c>
      <c r="V35" s="1">
        <v>23</v>
      </c>
      <c r="W35" s="83">
        <f>IF($U35=0,"",IF(INDEX(UCRETLER!$D$7:$D$606,$U35)="","",IF(INDEX(UCRETLER!$F$7:$F$606,$U35)="Aylık",EOMONTH(INDEX(UCRETLER!$D$7:$D$606,$U35),$V35-1),INDEX(UCRETLER!$U$7:$U$606,$U35)+7*($V35-1))))</f>
        <v>46179</v>
      </c>
      <c r="X35" s="84">
        <f>IF($U35=0,0,INDEX(UCRETLER!$G$7:$G$606,$U35))</f>
        <v>3000</v>
      </c>
      <c r="Y35" s="1">
        <f t="shared" ca="1" si="8"/>
        <v>4611600251</v>
      </c>
      <c r="Z35" s="1">
        <f t="shared" ca="1" si="9"/>
        <v>251</v>
      </c>
      <c r="AA35" s="1"/>
      <c r="AB35" s="1"/>
      <c r="AC35" s="1"/>
      <c r="AD35" s="1"/>
    </row>
    <row r="36" spans="1:30" ht="19.5" customHeight="1" x14ac:dyDescent="0.3">
      <c r="A36" s="2"/>
      <c r="B36" s="79">
        <f t="shared" ca="1" si="0"/>
        <v>25</v>
      </c>
      <c r="C36" s="80">
        <f t="shared" ca="1" si="1"/>
        <v>46123</v>
      </c>
      <c r="D36" s="81" t="str">
        <f t="shared" ca="1" si="2"/>
        <v>11.04.2026 haftalık muhasebe hizmet ücreti</v>
      </c>
      <c r="E36" s="79" t="str">
        <f t="shared" ca="1" si="3"/>
        <v>TAHAKKUK</v>
      </c>
      <c r="F36" s="82">
        <f t="shared" ca="1" si="4"/>
        <v>3000</v>
      </c>
      <c r="G36" s="82">
        <f t="shared" ca="1" si="5"/>
        <v>0</v>
      </c>
      <c r="H36" s="82">
        <f t="shared" ca="1" si="6"/>
        <v>3500</v>
      </c>
      <c r="I36" s="2"/>
      <c r="J36" s="2"/>
      <c r="K36" s="1"/>
      <c r="L36" s="1"/>
      <c r="M36" s="1">
        <v>25</v>
      </c>
      <c r="N36" s="83">
        <f ca="1">IF(OR($U36=0,$W36="",$X36&lt;=0),"",IF($W36&gt;TODAY(),"",IF(AND(INDEX(UCRETLER!$E$7:$E$606,$U36)&lt;&gt;"",$W36&gt;INDEX(UCRETLER!$E$7:$E$606,$U36)),"",$W36)))</f>
        <v>46186</v>
      </c>
      <c r="O36" s="1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>13.06.2026 haftalık muhasebe hizmet ücreti</v>
      </c>
      <c r="P36" s="1" t="str">
        <f t="shared" ca="1" si="10"/>
        <v>TAHAKKUK</v>
      </c>
      <c r="Q36" s="1"/>
      <c r="R36" s="84">
        <f t="shared" ca="1" si="11"/>
        <v>3000</v>
      </c>
      <c r="S36" s="1">
        <v>0</v>
      </c>
      <c r="T36" s="1">
        <f t="shared" ca="1" si="7"/>
        <v>4618600025</v>
      </c>
      <c r="U36" s="1">
        <f t="shared" si="12"/>
        <v>11</v>
      </c>
      <c r="V36" s="1">
        <v>24</v>
      </c>
      <c r="W36" s="83">
        <f>IF($U36=0,"",IF(INDEX(UCRETLER!$D$7:$D$606,$U36)="","",IF(INDEX(UCRETLER!$F$7:$F$606,$U36)="Aylık",EOMONTH(INDEX(UCRETLER!$D$7:$D$606,$U36),$V36-1),INDEX(UCRETLER!$U$7:$U$606,$U36)+7*($V36-1))))</f>
        <v>46186</v>
      </c>
      <c r="X36" s="84">
        <f>IF($U36=0,0,INDEX(UCRETLER!$G$7:$G$606,$U36))</f>
        <v>3000</v>
      </c>
      <c r="Y36" s="1">
        <f t="shared" ca="1" si="8"/>
        <v>4612300016</v>
      </c>
      <c r="Z36" s="1">
        <f t="shared" ca="1" si="9"/>
        <v>16</v>
      </c>
      <c r="AA36" s="1"/>
      <c r="AB36" s="1"/>
      <c r="AC36" s="1"/>
      <c r="AD36" s="1"/>
    </row>
    <row r="37" spans="1:30" ht="19.5" customHeight="1" x14ac:dyDescent="0.3">
      <c r="A37" s="2"/>
      <c r="B37" s="79">
        <f t="shared" ca="1" si="0"/>
        <v>26</v>
      </c>
      <c r="C37" s="80">
        <f t="shared" ca="1" si="1"/>
        <v>46123</v>
      </c>
      <c r="D37" s="81" t="str">
        <f t="shared" ca="1" si="2"/>
        <v>Ödeme  –  Nakit  (ÖMER KARTAL) / ÖMER KARTALA ÖDENEN</v>
      </c>
      <c r="E37" s="79" t="str">
        <f t="shared" ca="1" si="3"/>
        <v>ÖDEME</v>
      </c>
      <c r="F37" s="82">
        <f t="shared" ca="1" si="4"/>
        <v>0</v>
      </c>
      <c r="G37" s="82">
        <f t="shared" ca="1" si="5"/>
        <v>3000</v>
      </c>
      <c r="H37" s="82">
        <f t="shared" ca="1" si="6"/>
        <v>500</v>
      </c>
      <c r="I37" s="2"/>
      <c r="J37" s="2"/>
      <c r="K37" s="1"/>
      <c r="L37" s="1"/>
      <c r="M37" s="1">
        <v>26</v>
      </c>
      <c r="N37" s="83">
        <f ca="1">IF(OR($U37=0,$W37="",$X37&lt;=0),"",IF($W37&gt;TODAY(),"",IF(AND(INDEX(UCRETLER!$E$7:$E$606,$U37)&lt;&gt;"",$W37&gt;INDEX(UCRETLER!$E$7:$E$606,$U37)),"",$W37)))</f>
        <v>46193</v>
      </c>
      <c r="O37" s="1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>20.06.2026 haftalık muhasebe hizmet ücreti</v>
      </c>
      <c r="P37" s="1" t="str">
        <f t="shared" ca="1" si="10"/>
        <v>TAHAKKUK</v>
      </c>
      <c r="Q37" s="1"/>
      <c r="R37" s="84">
        <f t="shared" ca="1" si="11"/>
        <v>3000</v>
      </c>
      <c r="S37" s="1">
        <v>0</v>
      </c>
      <c r="T37" s="1">
        <f t="shared" ca="1" si="7"/>
        <v>4619300026</v>
      </c>
      <c r="U37" s="1">
        <f t="shared" si="12"/>
        <v>11</v>
      </c>
      <c r="V37" s="1">
        <v>25</v>
      </c>
      <c r="W37" s="83">
        <f>IF($U37=0,"",IF(INDEX(UCRETLER!$D$7:$D$606,$U37)="","",IF(INDEX(UCRETLER!$F$7:$F$606,$U37)="Aylık",EOMONTH(INDEX(UCRETLER!$D$7:$D$606,$U37),$V37-1),INDEX(UCRETLER!$U$7:$U$606,$U37)+7*($V37-1))))</f>
        <v>46193</v>
      </c>
      <c r="X37" s="84">
        <f>IF($U37=0,0,INDEX(UCRETLER!$G$7:$G$606,$U37))</f>
        <v>3000</v>
      </c>
      <c r="Y37" s="1">
        <f t="shared" ca="1" si="8"/>
        <v>4612300252</v>
      </c>
      <c r="Z37" s="1">
        <f t="shared" ca="1" si="9"/>
        <v>252</v>
      </c>
      <c r="AA37" s="1"/>
      <c r="AB37" s="1"/>
      <c r="AC37" s="1"/>
      <c r="AD37" s="1"/>
    </row>
    <row r="38" spans="1:30" ht="19.5" customHeight="1" x14ac:dyDescent="0.3">
      <c r="A38" s="2"/>
      <c r="B38" s="79">
        <f t="shared" ca="1" si="0"/>
        <v>27</v>
      </c>
      <c r="C38" s="80">
        <f t="shared" ca="1" si="1"/>
        <v>46123</v>
      </c>
      <c r="D38" s="81" t="str">
        <f t="shared" ca="1" si="2"/>
        <v>Kurumlar Vergisi Damga – 2025 KURUMLAR DAMGA</v>
      </c>
      <c r="E38" s="79" t="str">
        <f t="shared" ca="1" si="3"/>
        <v>EK HİZMET</v>
      </c>
      <c r="F38" s="82">
        <f t="shared" ca="1" si="4"/>
        <v>5200</v>
      </c>
      <c r="G38" s="82">
        <f t="shared" ca="1" si="5"/>
        <v>0</v>
      </c>
      <c r="H38" s="82">
        <f t="shared" ca="1" si="6"/>
        <v>5700</v>
      </c>
      <c r="I38" s="2"/>
      <c r="J38" s="2"/>
      <c r="K38" s="1"/>
      <c r="L38" s="1"/>
      <c r="M38" s="1">
        <v>27</v>
      </c>
      <c r="N38" s="83">
        <f ca="1">IF(OR($U38=0,$W38="",$X38&lt;=0),"",IF($W38&gt;TODAY(),"",IF(AND(INDEX(UCRETLER!$E$7:$E$606,$U38)&lt;&gt;"",$W38&gt;INDEX(UCRETLER!$E$7:$E$606,$U38)),"",$W38)))</f>
        <v>46200</v>
      </c>
      <c r="O38" s="1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>27.06.2026 haftalık muhasebe hizmet ücreti</v>
      </c>
      <c r="P38" s="1" t="str">
        <f t="shared" ca="1" si="10"/>
        <v>TAHAKKUK</v>
      </c>
      <c r="Q38" s="1"/>
      <c r="R38" s="84">
        <f t="shared" ca="1" si="11"/>
        <v>3000</v>
      </c>
      <c r="S38" s="1">
        <v>0</v>
      </c>
      <c r="T38" s="1">
        <f t="shared" ca="1" si="7"/>
        <v>4620000027</v>
      </c>
      <c r="U38" s="1">
        <f t="shared" si="12"/>
        <v>11</v>
      </c>
      <c r="V38" s="1">
        <v>26</v>
      </c>
      <c r="W38" s="83">
        <f>IF($U38=0,"",IF(INDEX(UCRETLER!$D$7:$D$606,$U38)="","",IF(INDEX(UCRETLER!$F$7:$F$606,$U38)="Aylık",EOMONTH(INDEX(UCRETLER!$D$7:$D$606,$U38),$V38-1),INDEX(UCRETLER!$U$7:$U$606,$U38)+7*($V38-1))))</f>
        <v>46200</v>
      </c>
      <c r="X38" s="84">
        <f>IF($U38=0,0,INDEX(UCRETLER!$G$7:$G$606,$U38))</f>
        <v>3000</v>
      </c>
      <c r="Y38" s="1">
        <f t="shared" ca="1" si="8"/>
        <v>4612300362</v>
      </c>
      <c r="Z38" s="1">
        <f t="shared" ca="1" si="9"/>
        <v>362</v>
      </c>
      <c r="AA38" s="1"/>
      <c r="AB38" s="1"/>
      <c r="AC38" s="1"/>
      <c r="AD38" s="1"/>
    </row>
    <row r="39" spans="1:30" ht="19.5" customHeight="1" x14ac:dyDescent="0.3">
      <c r="A39" s="2"/>
      <c r="B39" s="79">
        <f t="shared" ca="1" si="0"/>
        <v>28</v>
      </c>
      <c r="C39" s="80">
        <f t="shared" ca="1" si="1"/>
        <v>46130</v>
      </c>
      <c r="D39" s="81" t="str">
        <f t="shared" ca="1" si="2"/>
        <v>18.04.2026 haftalık muhasebe hizmet ücreti</v>
      </c>
      <c r="E39" s="79" t="str">
        <f t="shared" ca="1" si="3"/>
        <v>TAHAKKUK</v>
      </c>
      <c r="F39" s="82">
        <f t="shared" ca="1" si="4"/>
        <v>3000</v>
      </c>
      <c r="G39" s="82">
        <f t="shared" ca="1" si="5"/>
        <v>0</v>
      </c>
      <c r="H39" s="82">
        <f t="shared" ca="1" si="6"/>
        <v>8700</v>
      </c>
      <c r="I39" s="2"/>
      <c r="J39" s="2"/>
      <c r="K39" s="1"/>
      <c r="L39" s="1"/>
      <c r="M39" s="1">
        <v>28</v>
      </c>
      <c r="N39" s="83">
        <f ca="1">IF(OR($U39=0,$W39="",$X39&lt;=0),"",IF($W39&gt;TODAY(),"",IF(AND(INDEX(UCRETLER!$E$7:$E$606,$U39)&lt;&gt;"",$W39&gt;INDEX(UCRETLER!$E$7:$E$606,$U39)),"",$W39)))</f>
        <v>46207</v>
      </c>
      <c r="O39" s="1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>04.07.2026 haftalık muhasebe hizmet ücreti</v>
      </c>
      <c r="P39" s="1" t="str">
        <f t="shared" ca="1" si="10"/>
        <v>TAHAKKUK</v>
      </c>
      <c r="Q39" s="1"/>
      <c r="R39" s="84">
        <f t="shared" ca="1" si="11"/>
        <v>3000</v>
      </c>
      <c r="S39" s="1">
        <v>0</v>
      </c>
      <c r="T39" s="1">
        <f t="shared" ca="1" si="7"/>
        <v>4620700028</v>
      </c>
      <c r="U39" s="1">
        <f t="shared" si="12"/>
        <v>11</v>
      </c>
      <c r="V39" s="1">
        <v>27</v>
      </c>
      <c r="W39" s="83">
        <f>IF($U39=0,"",IF(INDEX(UCRETLER!$D$7:$D$606,$U39)="","",IF(INDEX(UCRETLER!$F$7:$F$606,$U39)="Aylık",EOMONTH(INDEX(UCRETLER!$D$7:$D$606,$U39),$V39-1),INDEX(UCRETLER!$U$7:$U$606,$U39)+7*($V39-1))))</f>
        <v>46207</v>
      </c>
      <c r="X39" s="84">
        <f>IF($U39=0,0,INDEX(UCRETLER!$G$7:$G$606,$U39))</f>
        <v>3000</v>
      </c>
      <c r="Y39" s="1">
        <f t="shared" ca="1" si="8"/>
        <v>4613000017</v>
      </c>
      <c r="Z39" s="1">
        <f t="shared" ca="1" si="9"/>
        <v>17</v>
      </c>
      <c r="AA39" s="1"/>
      <c r="AB39" s="1"/>
      <c r="AC39" s="1"/>
      <c r="AD39" s="1"/>
    </row>
    <row r="40" spans="1:30" ht="19.5" customHeight="1" x14ac:dyDescent="0.3">
      <c r="A40" s="2"/>
      <c r="B40" s="79">
        <f t="shared" ca="1" si="0"/>
        <v>29</v>
      </c>
      <c r="C40" s="80">
        <f t="shared" ca="1" si="1"/>
        <v>46130</v>
      </c>
      <c r="D40" s="81" t="str">
        <f t="shared" ca="1" si="2"/>
        <v>Ödeme  –  Nakit  (MERKEZ KASA) / NAKİT ÖDENEN</v>
      </c>
      <c r="E40" s="79" t="str">
        <f t="shared" ca="1" si="3"/>
        <v>ÖDEME</v>
      </c>
      <c r="F40" s="82">
        <f t="shared" ca="1" si="4"/>
        <v>0</v>
      </c>
      <c r="G40" s="82">
        <f t="shared" ca="1" si="5"/>
        <v>3000</v>
      </c>
      <c r="H40" s="82">
        <f t="shared" ca="1" si="6"/>
        <v>5700</v>
      </c>
      <c r="I40" s="2"/>
      <c r="J40" s="2"/>
      <c r="K40" s="1"/>
      <c r="L40" s="1"/>
      <c r="M40" s="1">
        <v>29</v>
      </c>
      <c r="N40" s="83">
        <f ca="1">IF(OR($U40=0,$W40="",$X40&lt;=0),"",IF($W40&gt;TODAY(),"",IF(AND(INDEX(UCRETLER!$E$7:$E$606,$U40)&lt;&gt;"",$W40&gt;INDEX(UCRETLER!$E$7:$E$606,$U40)),"",$W40)))</f>
        <v>46214</v>
      </c>
      <c r="O40" s="1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>11.07.2026 haftalık muhasebe hizmet ücreti</v>
      </c>
      <c r="P40" s="1" t="str">
        <f t="shared" ca="1" si="10"/>
        <v>TAHAKKUK</v>
      </c>
      <c r="Q40" s="1"/>
      <c r="R40" s="84">
        <f t="shared" ca="1" si="11"/>
        <v>3000</v>
      </c>
      <c r="S40" s="1">
        <v>0</v>
      </c>
      <c r="T40" s="1">
        <f t="shared" ca="1" si="7"/>
        <v>4621400029</v>
      </c>
      <c r="U40" s="1">
        <f t="shared" si="12"/>
        <v>11</v>
      </c>
      <c r="V40" s="1">
        <v>28</v>
      </c>
      <c r="W40" s="83">
        <f>IF($U40=0,"",IF(INDEX(UCRETLER!$D$7:$D$606,$U40)="","",IF(INDEX(UCRETLER!$F$7:$F$606,$U40)="Aylık",EOMONTH(INDEX(UCRETLER!$D$7:$D$606,$U40),$V40-1),INDEX(UCRETLER!$U$7:$U$606,$U40)+7*($V40-1))))</f>
        <v>46214</v>
      </c>
      <c r="X40" s="84">
        <f>IF($U40=0,0,INDEX(UCRETLER!$G$7:$G$606,$U40))</f>
        <v>3000</v>
      </c>
      <c r="Y40" s="1">
        <f t="shared" ca="1" si="8"/>
        <v>4613000253</v>
      </c>
      <c r="Z40" s="1">
        <f t="shared" ca="1" si="9"/>
        <v>253</v>
      </c>
      <c r="AA40" s="1"/>
      <c r="AB40" s="1"/>
      <c r="AC40" s="1"/>
      <c r="AD40" s="1"/>
    </row>
    <row r="41" spans="1:30" ht="19.5" customHeight="1" x14ac:dyDescent="0.3">
      <c r="A41" s="2"/>
      <c r="B41" s="79">
        <f t="shared" ca="1" si="0"/>
        <v>30</v>
      </c>
      <c r="C41" s="80">
        <f t="shared" ca="1" si="1"/>
        <v>46137</v>
      </c>
      <c r="D41" s="81" t="str">
        <f t="shared" ca="1" si="2"/>
        <v>25.04.2026 haftalık muhasebe hizmet ücreti</v>
      </c>
      <c r="E41" s="79" t="str">
        <f t="shared" ca="1" si="3"/>
        <v>TAHAKKUK</v>
      </c>
      <c r="F41" s="82">
        <f t="shared" ca="1" si="4"/>
        <v>3000</v>
      </c>
      <c r="G41" s="82">
        <f t="shared" ca="1" si="5"/>
        <v>0</v>
      </c>
      <c r="H41" s="82">
        <f t="shared" ca="1" si="6"/>
        <v>8700</v>
      </c>
      <c r="I41" s="2"/>
      <c r="J41" s="2"/>
      <c r="K41" s="1"/>
      <c r="L41" s="1"/>
      <c r="M41" s="1">
        <v>30</v>
      </c>
      <c r="N41" s="83">
        <f ca="1">IF(OR($U41=0,$W41="",$X41&lt;=0),"",IF($W41&gt;TODAY(),"",IF(AND(INDEX(UCRETLER!$E$7:$E$606,$U41)&lt;&gt;"",$W41&gt;INDEX(UCRETLER!$E$7:$E$606,$U41)),"",$W41)))</f>
        <v>46221</v>
      </c>
      <c r="O41" s="1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>18.07.2026 haftalık muhasebe hizmet ücreti</v>
      </c>
      <c r="P41" s="1" t="str">
        <f t="shared" ca="1" si="10"/>
        <v>TAHAKKUK</v>
      </c>
      <c r="Q41" s="1"/>
      <c r="R41" s="84">
        <f t="shared" ca="1" si="11"/>
        <v>3000</v>
      </c>
      <c r="S41" s="1">
        <v>0</v>
      </c>
      <c r="T41" s="1">
        <f t="shared" ca="1" si="7"/>
        <v>4622100030</v>
      </c>
      <c r="U41" s="1">
        <f t="shared" si="12"/>
        <v>11</v>
      </c>
      <c r="V41" s="1">
        <v>29</v>
      </c>
      <c r="W41" s="83">
        <f>IF($U41=0,"",IF(INDEX(UCRETLER!$D$7:$D$606,$U41)="","",IF(INDEX(UCRETLER!$F$7:$F$606,$U41)="Aylık",EOMONTH(INDEX(UCRETLER!$D$7:$D$606,$U41),$V41-1),INDEX(UCRETLER!$U$7:$U$606,$U41)+7*($V41-1))))</f>
        <v>46221</v>
      </c>
      <c r="X41" s="84">
        <f>IF($U41=0,0,INDEX(UCRETLER!$G$7:$G$606,$U41))</f>
        <v>3000</v>
      </c>
      <c r="Y41" s="1">
        <f t="shared" ca="1" si="8"/>
        <v>4613700018</v>
      </c>
      <c r="Z41" s="1">
        <f t="shared" ca="1" si="9"/>
        <v>18</v>
      </c>
      <c r="AA41" s="1"/>
      <c r="AB41" s="1"/>
      <c r="AC41" s="1"/>
      <c r="AD41" s="1"/>
    </row>
    <row r="42" spans="1:30" ht="19.5" customHeight="1" x14ac:dyDescent="0.3">
      <c r="A42" s="2"/>
      <c r="B42" s="79">
        <f t="shared" ca="1" si="0"/>
        <v>31</v>
      </c>
      <c r="C42" s="80">
        <f t="shared" ca="1" si="1"/>
        <v>46137</v>
      </c>
      <c r="D42" s="81" t="str">
        <f t="shared" ca="1" si="2"/>
        <v>Ödeme  –  Nakit  (MERKEZ KASA) / NAKİT ÖDENEN</v>
      </c>
      <c r="E42" s="79" t="str">
        <f t="shared" ca="1" si="3"/>
        <v>ÖDEME</v>
      </c>
      <c r="F42" s="82">
        <f t="shared" ca="1" si="4"/>
        <v>0</v>
      </c>
      <c r="G42" s="82">
        <f t="shared" ca="1" si="5"/>
        <v>3000</v>
      </c>
      <c r="H42" s="82">
        <f t="shared" ca="1" si="6"/>
        <v>5700</v>
      </c>
      <c r="I42" s="2"/>
      <c r="J42" s="2"/>
      <c r="K42" s="1"/>
      <c r="L42" s="1"/>
      <c r="M42" s="1">
        <v>31</v>
      </c>
      <c r="N42" s="83">
        <f ca="1">IF(OR($U42=0,$W42="",$X42&lt;=0),"",IF($W42&gt;TODAY(),"",IF(AND(INDEX(UCRETLER!$E$7:$E$606,$U42)&lt;&gt;"",$W42&gt;INDEX(UCRETLER!$E$7:$E$606,$U42)),"",$W42)))</f>
        <v>46228</v>
      </c>
      <c r="O42" s="1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>25.07.2026 haftalık muhasebe hizmet ücreti</v>
      </c>
      <c r="P42" s="1" t="str">
        <f t="shared" ca="1" si="10"/>
        <v>TAHAKKUK</v>
      </c>
      <c r="Q42" s="1"/>
      <c r="R42" s="84">
        <f t="shared" ca="1" si="11"/>
        <v>3000</v>
      </c>
      <c r="S42" s="1">
        <v>0</v>
      </c>
      <c r="T42" s="1">
        <f t="shared" ca="1" si="7"/>
        <v>4622800031</v>
      </c>
      <c r="U42" s="1">
        <f t="shared" si="12"/>
        <v>11</v>
      </c>
      <c r="V42" s="1">
        <v>30</v>
      </c>
      <c r="W42" s="83">
        <f>IF($U42=0,"",IF(INDEX(UCRETLER!$D$7:$D$606,$U42)="","",IF(INDEX(UCRETLER!$F$7:$F$606,$U42)="Aylık",EOMONTH(INDEX(UCRETLER!$D$7:$D$606,$U42),$V42-1),INDEX(UCRETLER!$U$7:$U$606,$U42)+7*($V42-1))))</f>
        <v>46228</v>
      </c>
      <c r="X42" s="84">
        <f>IF($U42=0,0,INDEX(UCRETLER!$G$7:$G$606,$U42))</f>
        <v>3000</v>
      </c>
      <c r="Y42" s="1">
        <f t="shared" ca="1" si="8"/>
        <v>4613700254</v>
      </c>
      <c r="Z42" s="1">
        <f t="shared" ca="1" si="9"/>
        <v>254</v>
      </c>
      <c r="AA42" s="1"/>
      <c r="AB42" s="1"/>
      <c r="AC42" s="1"/>
      <c r="AD42" s="1"/>
    </row>
    <row r="43" spans="1:30" ht="19.5" customHeight="1" x14ac:dyDescent="0.3">
      <c r="A43" s="2"/>
      <c r="B43" s="79">
        <f t="shared" ca="1" si="0"/>
        <v>32</v>
      </c>
      <c r="C43" s="80">
        <f t="shared" ca="1" si="1"/>
        <v>46144</v>
      </c>
      <c r="D43" s="81" t="str">
        <f t="shared" ca="1" si="2"/>
        <v>02.05.2026 haftalık muhasebe hizmet ücreti</v>
      </c>
      <c r="E43" s="79" t="str">
        <f t="shared" ca="1" si="3"/>
        <v>TAHAKKUK</v>
      </c>
      <c r="F43" s="82">
        <f t="shared" ca="1" si="4"/>
        <v>3000</v>
      </c>
      <c r="G43" s="82">
        <f t="shared" ca="1" si="5"/>
        <v>0</v>
      </c>
      <c r="H43" s="82">
        <f t="shared" ca="1" si="6"/>
        <v>8700</v>
      </c>
      <c r="I43" s="2"/>
      <c r="J43" s="2"/>
      <c r="K43" s="1"/>
      <c r="L43" s="1"/>
      <c r="M43" s="1">
        <v>32</v>
      </c>
      <c r="N43" s="83">
        <f ca="1">IF(OR($U43=0,$W43="",$X43&lt;=0),"",IF($W43&gt;TODAY(),"",IF(AND(INDEX(UCRETLER!$E$7:$E$606,$U43)&lt;&gt;"",$W43&gt;INDEX(UCRETLER!$E$7:$E$606,$U43)),"",$W43)))</f>
        <v>46235</v>
      </c>
      <c r="O43" s="1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>01.08.2026 haftalık muhasebe hizmet ücreti</v>
      </c>
      <c r="P43" s="1" t="str">
        <f t="shared" ca="1" si="10"/>
        <v>TAHAKKUK</v>
      </c>
      <c r="Q43" s="1"/>
      <c r="R43" s="84">
        <f t="shared" ca="1" si="11"/>
        <v>3000</v>
      </c>
      <c r="S43" s="1">
        <v>0</v>
      </c>
      <c r="T43" s="1">
        <f t="shared" ca="1" si="7"/>
        <v>4623500032</v>
      </c>
      <c r="U43" s="1">
        <f t="shared" si="12"/>
        <v>11</v>
      </c>
      <c r="V43" s="1">
        <v>31</v>
      </c>
      <c r="W43" s="83">
        <f>IF($U43=0,"",IF(INDEX(UCRETLER!$D$7:$D$606,$U43)="","",IF(INDEX(UCRETLER!$F$7:$F$606,$U43)="Aylık",EOMONTH(INDEX(UCRETLER!$D$7:$D$606,$U43),$V43-1),INDEX(UCRETLER!$U$7:$U$606,$U43)+7*($V43-1))))</f>
        <v>46235</v>
      </c>
      <c r="X43" s="84">
        <f>IF($U43=0,0,INDEX(UCRETLER!$G$7:$G$606,$U43))</f>
        <v>3000</v>
      </c>
      <c r="Y43" s="1">
        <f t="shared" ca="1" si="8"/>
        <v>4614400019</v>
      </c>
      <c r="Z43" s="1">
        <f t="shared" ca="1" si="9"/>
        <v>19</v>
      </c>
      <c r="AA43" s="1"/>
      <c r="AB43" s="1"/>
      <c r="AC43" s="1"/>
      <c r="AD43" s="1"/>
    </row>
    <row r="44" spans="1:30" ht="19.5" customHeight="1" x14ac:dyDescent="0.3">
      <c r="A44" s="2"/>
      <c r="B44" s="79">
        <f t="shared" ca="1" si="0"/>
        <v>33</v>
      </c>
      <c r="C44" s="80">
        <f t="shared" ca="1" si="1"/>
        <v>46144</v>
      </c>
      <c r="D44" s="81" t="str">
        <f t="shared" ca="1" si="2"/>
        <v>Ödeme  –  Nakit  (MERKEZ KASA) / NAKİT ÖDENEN</v>
      </c>
      <c r="E44" s="79" t="str">
        <f t="shared" ca="1" si="3"/>
        <v>ÖDEME</v>
      </c>
      <c r="F44" s="82">
        <f t="shared" ca="1" si="4"/>
        <v>0</v>
      </c>
      <c r="G44" s="82">
        <f t="shared" ca="1" si="5"/>
        <v>3000</v>
      </c>
      <c r="H44" s="82">
        <f t="shared" ca="1" si="6"/>
        <v>5700</v>
      </c>
      <c r="I44" s="2"/>
      <c r="J44" s="2"/>
      <c r="K44" s="1"/>
      <c r="L44" s="1"/>
      <c r="M44" s="1">
        <v>33</v>
      </c>
      <c r="N44" s="83">
        <f ca="1">IF(OR($U44=0,$W44="",$X44&lt;=0),"",IF($W44&gt;TODAY(),"",IF(AND(INDEX(UCRETLER!$E$7:$E$606,$U44)&lt;&gt;"",$W44&gt;INDEX(UCRETLER!$E$7:$E$606,$U44)),"",$W44)))</f>
        <v>46242</v>
      </c>
      <c r="O44" s="1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>08.08.2026 haftalık muhasebe hizmet ücreti</v>
      </c>
      <c r="P44" s="1" t="str">
        <f t="shared" ca="1" si="10"/>
        <v>TAHAKKUK</v>
      </c>
      <c r="Q44" s="1"/>
      <c r="R44" s="84">
        <f t="shared" ca="1" si="11"/>
        <v>3000</v>
      </c>
      <c r="S44" s="1">
        <v>0</v>
      </c>
      <c r="T44" s="1">
        <f t="shared" ca="1" si="7"/>
        <v>4624200033</v>
      </c>
      <c r="U44" s="1">
        <f t="shared" si="12"/>
        <v>11</v>
      </c>
      <c r="V44" s="1">
        <v>32</v>
      </c>
      <c r="W44" s="83">
        <f>IF($U44=0,"",IF(INDEX(UCRETLER!$D$7:$D$606,$U44)="","",IF(INDEX(UCRETLER!$F$7:$F$606,$U44)="Aylık",EOMONTH(INDEX(UCRETLER!$D$7:$D$606,$U44),$V44-1),INDEX(UCRETLER!$U$7:$U$606,$U44)+7*($V44-1))))</f>
        <v>46242</v>
      </c>
      <c r="X44" s="84">
        <f>IF($U44=0,0,INDEX(UCRETLER!$G$7:$G$606,$U44))</f>
        <v>3000</v>
      </c>
      <c r="Y44" s="1">
        <f t="shared" ca="1" si="8"/>
        <v>4614400255</v>
      </c>
      <c r="Z44" s="1">
        <f t="shared" ca="1" si="9"/>
        <v>255</v>
      </c>
      <c r="AA44" s="1"/>
      <c r="AB44" s="1"/>
      <c r="AC44" s="1"/>
      <c r="AD44" s="1"/>
    </row>
    <row r="45" spans="1:30" ht="19.5" customHeight="1" x14ac:dyDescent="0.3">
      <c r="A45" s="2"/>
      <c r="B45" s="79">
        <f t="shared" ca="1" si="0"/>
        <v>34</v>
      </c>
      <c r="C45" s="80">
        <f t="shared" ca="1" si="1"/>
        <v>46151</v>
      </c>
      <c r="D45" s="81" t="str">
        <f t="shared" ca="1" si="2"/>
        <v>09.05.2026 haftalık muhasebe hizmet ücreti</v>
      </c>
      <c r="E45" s="79" t="str">
        <f t="shared" ca="1" si="3"/>
        <v>TAHAKKUK</v>
      </c>
      <c r="F45" s="82">
        <f t="shared" ca="1" si="4"/>
        <v>3000</v>
      </c>
      <c r="G45" s="82">
        <f t="shared" ca="1" si="5"/>
        <v>0</v>
      </c>
      <c r="H45" s="82">
        <f t="shared" ca="1" si="6"/>
        <v>8700</v>
      </c>
      <c r="I45" s="2"/>
      <c r="J45" s="2"/>
      <c r="K45" s="1"/>
      <c r="L45" s="1"/>
      <c r="M45" s="1">
        <v>34</v>
      </c>
      <c r="N45" s="83">
        <f ca="1">IF(OR($U45=0,$W45="",$X45&lt;=0),"",IF($W45&gt;TODAY(),"",IF(AND(INDEX(UCRETLER!$E$7:$E$606,$U45)&lt;&gt;"",$W45&gt;INDEX(UCRETLER!$E$7:$E$606,$U45)),"",$W45)))</f>
        <v>46249</v>
      </c>
      <c r="O45" s="1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>15.08.2026 haftalık muhasebe hizmet ücreti</v>
      </c>
      <c r="P45" s="1" t="str">
        <f t="shared" ca="1" si="10"/>
        <v>TAHAKKUK</v>
      </c>
      <c r="Q45" s="1"/>
      <c r="R45" s="84">
        <f t="shared" ca="1" si="11"/>
        <v>3000</v>
      </c>
      <c r="S45" s="1">
        <v>0</v>
      </c>
      <c r="T45" s="1">
        <f t="shared" ca="1" si="7"/>
        <v>4624900034</v>
      </c>
      <c r="U45" s="1">
        <f t="shared" ref="U45:U76" si="13">$AB$4</f>
        <v>11</v>
      </c>
      <c r="V45" s="1">
        <v>33</v>
      </c>
      <c r="W45" s="83">
        <f>IF($U45=0,"",IF(INDEX(UCRETLER!$D$7:$D$606,$U45)="","",IF(INDEX(UCRETLER!$F$7:$F$606,$U45)="Aylık",EOMONTH(INDEX(UCRETLER!$D$7:$D$606,$U45),$V45-1),INDEX(UCRETLER!$U$7:$U$606,$U45)+7*($V45-1))))</f>
        <v>46249</v>
      </c>
      <c r="X45" s="84">
        <f>IF($U45=0,0,INDEX(UCRETLER!$G$7:$G$606,$U45))</f>
        <v>3000</v>
      </c>
      <c r="Y45" s="1">
        <f t="shared" ca="1" si="8"/>
        <v>4615100020</v>
      </c>
      <c r="Z45" s="1">
        <f t="shared" ca="1" si="9"/>
        <v>20</v>
      </c>
      <c r="AA45" s="1"/>
      <c r="AB45" s="1"/>
      <c r="AC45" s="1"/>
      <c r="AD45" s="1"/>
    </row>
    <row r="46" spans="1:30" ht="19.5" customHeight="1" x14ac:dyDescent="0.3">
      <c r="A46" s="2"/>
      <c r="B46" s="79">
        <f t="shared" ca="1" si="0"/>
        <v>35</v>
      </c>
      <c r="C46" s="80">
        <f t="shared" ca="1" si="1"/>
        <v>46151</v>
      </c>
      <c r="D46" s="81" t="str">
        <f t="shared" ca="1" si="2"/>
        <v>Ödeme  –  Nakit  (MERKEZ KASA) / NAKİT ÖDENEN</v>
      </c>
      <c r="E46" s="79" t="str">
        <f t="shared" ca="1" si="3"/>
        <v>ÖDEME</v>
      </c>
      <c r="F46" s="82">
        <f t="shared" ca="1" si="4"/>
        <v>0</v>
      </c>
      <c r="G46" s="82">
        <f t="shared" ca="1" si="5"/>
        <v>3000</v>
      </c>
      <c r="H46" s="82">
        <f t="shared" ca="1" si="6"/>
        <v>5700</v>
      </c>
      <c r="I46" s="2"/>
      <c r="J46" s="2"/>
      <c r="K46" s="1"/>
      <c r="L46" s="1"/>
      <c r="M46" s="1">
        <v>35</v>
      </c>
      <c r="N46" s="83">
        <f ca="1">IF(OR($U46=0,$W46="",$X46&lt;=0),"",IF($W46&gt;TODAY(),"",IF(AND(INDEX(UCRETLER!$E$7:$E$606,$U46)&lt;&gt;"",$W46&gt;INDEX(UCRETLER!$E$7:$E$606,$U46)),"",$W46)))</f>
        <v>46256</v>
      </c>
      <c r="O46" s="1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>22.08.2026 haftalık muhasebe hizmet ücreti</v>
      </c>
      <c r="P46" s="1" t="str">
        <f t="shared" ca="1" si="10"/>
        <v>TAHAKKUK</v>
      </c>
      <c r="Q46" s="1"/>
      <c r="R46" s="84">
        <f t="shared" ca="1" si="11"/>
        <v>3000</v>
      </c>
      <c r="S46" s="1">
        <v>0</v>
      </c>
      <c r="T46" s="1">
        <f t="shared" ca="1" si="7"/>
        <v>4625600035</v>
      </c>
      <c r="U46" s="1">
        <f t="shared" si="13"/>
        <v>11</v>
      </c>
      <c r="V46" s="1">
        <v>34</v>
      </c>
      <c r="W46" s="83">
        <f>IF($U46=0,"",IF(INDEX(UCRETLER!$D$7:$D$606,$U46)="","",IF(INDEX(UCRETLER!$F$7:$F$606,$U46)="Aylık",EOMONTH(INDEX(UCRETLER!$D$7:$D$606,$U46),$V46-1),INDEX(UCRETLER!$U$7:$U$606,$U46)+7*($V46-1))))</f>
        <v>46256</v>
      </c>
      <c r="X46" s="84">
        <f>IF($U46=0,0,INDEX(UCRETLER!$G$7:$G$606,$U46))</f>
        <v>3000</v>
      </c>
      <c r="Y46" s="1">
        <f t="shared" ca="1" si="8"/>
        <v>4615100256</v>
      </c>
      <c r="Z46" s="1">
        <f t="shared" ca="1" si="9"/>
        <v>256</v>
      </c>
      <c r="AA46" s="1"/>
      <c r="AB46" s="1"/>
      <c r="AC46" s="1"/>
      <c r="AD46" s="1"/>
    </row>
    <row r="47" spans="1:30" ht="19.5" customHeight="1" x14ac:dyDescent="0.3">
      <c r="A47" s="2"/>
      <c r="B47" s="79">
        <f t="shared" ca="1" si="0"/>
        <v>36</v>
      </c>
      <c r="C47" s="80">
        <f t="shared" ca="1" si="1"/>
        <v>46151</v>
      </c>
      <c r="D47" s="81" t="str">
        <f t="shared" ca="1" si="2"/>
        <v>Kurumlar Vergisi Damga – 2025 KURUMLAR DAMGA</v>
      </c>
      <c r="E47" s="79" t="str">
        <f t="shared" ca="1" si="3"/>
        <v>EK HİZMET</v>
      </c>
      <c r="F47" s="82">
        <f t="shared" ca="1" si="4"/>
        <v>5350</v>
      </c>
      <c r="G47" s="82">
        <f t="shared" ca="1" si="5"/>
        <v>0</v>
      </c>
      <c r="H47" s="82">
        <f t="shared" ca="1" si="6"/>
        <v>11050</v>
      </c>
      <c r="I47" s="2"/>
      <c r="J47" s="2"/>
      <c r="K47" s="1"/>
      <c r="L47" s="1"/>
      <c r="M47" s="1">
        <v>36</v>
      </c>
      <c r="N47" s="1" t="str">
        <f ca="1">IF(OR($U47=0,$W47="",$X47&lt;=0),"",IF($W47&gt;TODAY(),"",IF(AND(INDEX(UCRETLER!$E$7:$E$606,$U47)&lt;&gt;"",$W47&gt;INDEX(UCRETLER!$E$7:$E$606,$U47)),"",$W47)))</f>
        <v/>
      </c>
      <c r="O47" s="1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 t="str">
        <f t="shared" ca="1" si="10"/>
        <v/>
      </c>
      <c r="Q47" s="1"/>
      <c r="R47" s="1">
        <f t="shared" ca="1" si="11"/>
        <v>0</v>
      </c>
      <c r="S47" s="1">
        <v>0</v>
      </c>
      <c r="T47" s="1">
        <f t="shared" ca="1" si="7"/>
        <v>10000000000</v>
      </c>
      <c r="U47" s="1">
        <f t="shared" si="13"/>
        <v>11</v>
      </c>
      <c r="V47" s="1">
        <v>35</v>
      </c>
      <c r="W47" s="83">
        <f>IF($U47=0,"",IF(INDEX(UCRETLER!$D$7:$D$606,$U47)="","",IF(INDEX(UCRETLER!$F$7:$F$606,$U47)="Aylık",EOMONTH(INDEX(UCRETLER!$D$7:$D$606,$U47),$V47-1),INDEX(UCRETLER!$U$7:$U$606,$U47)+7*($V47-1))))</f>
        <v>46263</v>
      </c>
      <c r="X47" s="84">
        <f>IF($U47=0,0,INDEX(UCRETLER!$G$7:$G$606,$U47))</f>
        <v>3000</v>
      </c>
      <c r="Y47" s="1">
        <f t="shared" ca="1" si="8"/>
        <v>4615100363</v>
      </c>
      <c r="Z47" s="1">
        <f t="shared" ca="1" si="9"/>
        <v>363</v>
      </c>
      <c r="AA47" s="1"/>
      <c r="AB47" s="1"/>
      <c r="AC47" s="1"/>
      <c r="AD47" s="1"/>
    </row>
    <row r="48" spans="1:30" ht="19.5" customHeight="1" x14ac:dyDescent="0.3">
      <c r="A48" s="2"/>
      <c r="B48" s="79">
        <f t="shared" ca="1" si="0"/>
        <v>37</v>
      </c>
      <c r="C48" s="80">
        <f t="shared" ca="1" si="1"/>
        <v>46158</v>
      </c>
      <c r="D48" s="81" t="str">
        <f t="shared" ca="1" si="2"/>
        <v>16.05.2026 haftalık muhasebe hizmet ücreti</v>
      </c>
      <c r="E48" s="79" t="str">
        <f t="shared" ca="1" si="3"/>
        <v>TAHAKKUK</v>
      </c>
      <c r="F48" s="82">
        <f t="shared" ca="1" si="4"/>
        <v>3000</v>
      </c>
      <c r="G48" s="82">
        <f t="shared" ca="1" si="5"/>
        <v>0</v>
      </c>
      <c r="H48" s="82">
        <f t="shared" ca="1" si="6"/>
        <v>14050</v>
      </c>
      <c r="I48" s="2"/>
      <c r="J48" s="2"/>
      <c r="K48" s="1"/>
      <c r="L48" s="1"/>
      <c r="M48" s="1">
        <v>37</v>
      </c>
      <c r="N48" s="1" t="str">
        <f ca="1">IF(OR($U48=0,$W48="",$X48&lt;=0),"",IF($W48&gt;TODAY(),"",IF(AND(INDEX(UCRETLER!$E$7:$E$606,$U48)&lt;&gt;"",$W48&gt;INDEX(UCRETLER!$E$7:$E$606,$U48)),"",$W48)))</f>
        <v/>
      </c>
      <c r="O48" s="1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 t="str">
        <f t="shared" ca="1" si="10"/>
        <v/>
      </c>
      <c r="Q48" s="1"/>
      <c r="R48" s="1">
        <f t="shared" ca="1" si="11"/>
        <v>0</v>
      </c>
      <c r="S48" s="1">
        <v>0</v>
      </c>
      <c r="T48" s="1">
        <f t="shared" ca="1" si="7"/>
        <v>10000000000</v>
      </c>
      <c r="U48" s="1">
        <f t="shared" si="13"/>
        <v>11</v>
      </c>
      <c r="V48" s="1">
        <v>36</v>
      </c>
      <c r="W48" s="83">
        <f>IF($U48=0,"",IF(INDEX(UCRETLER!$D$7:$D$606,$U48)="","",IF(INDEX(UCRETLER!$F$7:$F$606,$U48)="Aylık",EOMONTH(INDEX(UCRETLER!$D$7:$D$606,$U48),$V48-1),INDEX(UCRETLER!$U$7:$U$606,$U48)+7*($V48-1))))</f>
        <v>46270</v>
      </c>
      <c r="X48" s="84">
        <f>IF($U48=0,0,INDEX(UCRETLER!$G$7:$G$606,$U48))</f>
        <v>3000</v>
      </c>
      <c r="Y48" s="1">
        <f t="shared" ca="1" si="8"/>
        <v>4615800021</v>
      </c>
      <c r="Z48" s="1">
        <f t="shared" ca="1" si="9"/>
        <v>21</v>
      </c>
      <c r="AA48" s="1"/>
      <c r="AB48" s="1"/>
      <c r="AC48" s="1"/>
      <c r="AD48" s="1"/>
    </row>
    <row r="49" spans="1:30" ht="19.5" customHeight="1" x14ac:dyDescent="0.3">
      <c r="A49" s="2"/>
      <c r="B49" s="79">
        <f t="shared" ca="1" si="0"/>
        <v>38</v>
      </c>
      <c r="C49" s="80">
        <f t="shared" ca="1" si="1"/>
        <v>46158</v>
      </c>
      <c r="D49" s="81" t="str">
        <f t="shared" ca="1" si="2"/>
        <v>Ödeme  –  Nakit  (MERKEZ KASA) / NAKİT ÖDENEN</v>
      </c>
      <c r="E49" s="79" t="str">
        <f t="shared" ca="1" si="3"/>
        <v>ÖDEME</v>
      </c>
      <c r="F49" s="82">
        <f t="shared" ca="1" si="4"/>
        <v>0</v>
      </c>
      <c r="G49" s="82">
        <f t="shared" ca="1" si="5"/>
        <v>4000</v>
      </c>
      <c r="H49" s="82">
        <f t="shared" ca="1" si="6"/>
        <v>10050</v>
      </c>
      <c r="I49" s="2"/>
      <c r="J49" s="2"/>
      <c r="K49" s="1"/>
      <c r="L49" s="1"/>
      <c r="M49" s="1">
        <v>38</v>
      </c>
      <c r="N49" s="1" t="str">
        <f ca="1">IF(OR($U49=0,$W49="",$X49&lt;=0),"",IF($W49&gt;TODAY(),"",IF(AND(INDEX(UCRETLER!$E$7:$E$606,$U49)&lt;&gt;"",$W49&gt;INDEX(UCRETLER!$E$7:$E$606,$U49)),"",$W49)))</f>
        <v/>
      </c>
      <c r="O49" s="1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 t="str">
        <f t="shared" ca="1" si="10"/>
        <v/>
      </c>
      <c r="Q49" s="1"/>
      <c r="R49" s="1">
        <f t="shared" ca="1" si="11"/>
        <v>0</v>
      </c>
      <c r="S49" s="1">
        <v>0</v>
      </c>
      <c r="T49" s="1">
        <f t="shared" ca="1" si="7"/>
        <v>10000000000</v>
      </c>
      <c r="U49" s="1">
        <f t="shared" si="13"/>
        <v>11</v>
      </c>
      <c r="V49" s="1">
        <v>37</v>
      </c>
      <c r="W49" s="83">
        <f>IF($U49=0,"",IF(INDEX(UCRETLER!$D$7:$D$606,$U49)="","",IF(INDEX(UCRETLER!$F$7:$F$606,$U49)="Aylık",EOMONTH(INDEX(UCRETLER!$D$7:$D$606,$U49),$V49-1),INDEX(UCRETLER!$U$7:$U$606,$U49)+7*($V49-1))))</f>
        <v>46277</v>
      </c>
      <c r="X49" s="84">
        <f>IF($U49=0,0,INDEX(UCRETLER!$G$7:$G$606,$U49))</f>
        <v>3000</v>
      </c>
      <c r="Y49" s="1">
        <f t="shared" ca="1" si="8"/>
        <v>4615800257</v>
      </c>
      <c r="Z49" s="1">
        <f t="shared" ca="1" si="9"/>
        <v>257</v>
      </c>
      <c r="AA49" s="1"/>
      <c r="AB49" s="1"/>
      <c r="AC49" s="1"/>
      <c r="AD49" s="1"/>
    </row>
    <row r="50" spans="1:30" ht="19.5" customHeight="1" x14ac:dyDescent="0.3">
      <c r="A50" s="2"/>
      <c r="B50" s="79">
        <f t="shared" ca="1" si="0"/>
        <v>39</v>
      </c>
      <c r="C50" s="80">
        <f t="shared" ca="1" si="1"/>
        <v>46165</v>
      </c>
      <c r="D50" s="81" t="str">
        <f t="shared" ca="1" si="2"/>
        <v>23.05.2026 haftalık muhasebe hizmet ücreti</v>
      </c>
      <c r="E50" s="79" t="str">
        <f t="shared" ca="1" si="3"/>
        <v>TAHAKKUK</v>
      </c>
      <c r="F50" s="82">
        <f t="shared" ca="1" si="4"/>
        <v>3000</v>
      </c>
      <c r="G50" s="82">
        <f t="shared" ca="1" si="5"/>
        <v>0</v>
      </c>
      <c r="H50" s="82">
        <f t="shared" ca="1" si="6"/>
        <v>13050</v>
      </c>
      <c r="I50" s="2"/>
      <c r="J50" s="2"/>
      <c r="K50" s="1"/>
      <c r="L50" s="1"/>
      <c r="M50" s="1">
        <v>39</v>
      </c>
      <c r="N50" s="1" t="str">
        <f ca="1">IF(OR($U50=0,$W50="",$X50&lt;=0),"",IF($W50&gt;TODAY(),"",IF(AND(INDEX(UCRETLER!$E$7:$E$606,$U50)&lt;&gt;"",$W50&gt;INDEX(UCRETLER!$E$7:$E$606,$U50)),"",$W50)))</f>
        <v/>
      </c>
      <c r="O50" s="1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 t="str">
        <f t="shared" ca="1" si="10"/>
        <v/>
      </c>
      <c r="Q50" s="1"/>
      <c r="R50" s="1">
        <f t="shared" ca="1" si="11"/>
        <v>0</v>
      </c>
      <c r="S50" s="1">
        <v>0</v>
      </c>
      <c r="T50" s="1">
        <f t="shared" ca="1" si="7"/>
        <v>10000000000</v>
      </c>
      <c r="U50" s="1">
        <f t="shared" si="13"/>
        <v>11</v>
      </c>
      <c r="V50" s="1">
        <v>38</v>
      </c>
      <c r="W50" s="83">
        <f>IF($U50=0,"",IF(INDEX(UCRETLER!$D$7:$D$606,$U50)="","",IF(INDEX(UCRETLER!$F$7:$F$606,$U50)="Aylık",EOMONTH(INDEX(UCRETLER!$D$7:$D$606,$U50),$V50-1),INDEX(UCRETLER!$U$7:$U$606,$U50)+7*($V50-1))))</f>
        <v>46284</v>
      </c>
      <c r="X50" s="84">
        <f>IF($U50=0,0,INDEX(UCRETLER!$G$7:$G$606,$U50))</f>
        <v>3000</v>
      </c>
      <c r="Y50" s="1">
        <f t="shared" ca="1" si="8"/>
        <v>4616500022</v>
      </c>
      <c r="Z50" s="1">
        <f t="shared" ca="1" si="9"/>
        <v>22</v>
      </c>
      <c r="AA50" s="1"/>
      <c r="AB50" s="1"/>
      <c r="AC50" s="1"/>
      <c r="AD50" s="1"/>
    </row>
    <row r="51" spans="1:30" ht="19.5" customHeight="1" x14ac:dyDescent="0.3">
      <c r="A51" s="2"/>
      <c r="B51" s="79">
        <f t="shared" ca="1" si="0"/>
        <v>40</v>
      </c>
      <c r="C51" s="80">
        <f t="shared" ca="1" si="1"/>
        <v>46165</v>
      </c>
      <c r="D51" s="81" t="str">
        <f t="shared" ca="1" si="2"/>
        <v>Ödeme  –  Nakit  (MERKEZ KASA) / NAKİT ÖDENEN</v>
      </c>
      <c r="E51" s="79" t="str">
        <f t="shared" ca="1" si="3"/>
        <v>ÖDEME</v>
      </c>
      <c r="F51" s="82">
        <f t="shared" ca="1" si="4"/>
        <v>0</v>
      </c>
      <c r="G51" s="82">
        <f t="shared" ca="1" si="5"/>
        <v>3000</v>
      </c>
      <c r="H51" s="82">
        <f t="shared" ca="1" si="6"/>
        <v>10050</v>
      </c>
      <c r="I51" s="2"/>
      <c r="J51" s="2"/>
      <c r="K51" s="1"/>
      <c r="L51" s="1"/>
      <c r="M51" s="1">
        <v>40</v>
      </c>
      <c r="N51" s="1" t="str">
        <f ca="1">IF(OR($U51=0,$W51="",$X51&lt;=0),"",IF($W51&gt;TODAY(),"",IF(AND(INDEX(UCRETLER!$E$7:$E$606,$U51)&lt;&gt;"",$W51&gt;INDEX(UCRETLER!$E$7:$E$606,$U51)),"",$W51)))</f>
        <v/>
      </c>
      <c r="O51" s="1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 t="str">
        <f t="shared" ca="1" si="10"/>
        <v/>
      </c>
      <c r="Q51" s="1"/>
      <c r="R51" s="1">
        <f t="shared" ca="1" si="11"/>
        <v>0</v>
      </c>
      <c r="S51" s="1">
        <v>0</v>
      </c>
      <c r="T51" s="1">
        <f t="shared" ca="1" si="7"/>
        <v>10000000000</v>
      </c>
      <c r="U51" s="1">
        <f t="shared" si="13"/>
        <v>11</v>
      </c>
      <c r="V51" s="1">
        <v>39</v>
      </c>
      <c r="W51" s="83">
        <f>IF($U51=0,"",IF(INDEX(UCRETLER!$D$7:$D$606,$U51)="","",IF(INDEX(UCRETLER!$F$7:$F$606,$U51)="Aylık",EOMONTH(INDEX(UCRETLER!$D$7:$D$606,$U51),$V51-1),INDEX(UCRETLER!$U$7:$U$606,$U51)+7*($V51-1))))</f>
        <v>46291</v>
      </c>
      <c r="X51" s="84">
        <f>IF($U51=0,0,INDEX(UCRETLER!$G$7:$G$606,$U51))</f>
        <v>3000</v>
      </c>
      <c r="Y51" s="1">
        <f t="shared" ca="1" si="8"/>
        <v>4616500258</v>
      </c>
      <c r="Z51" s="1">
        <f t="shared" ca="1" si="9"/>
        <v>258</v>
      </c>
      <c r="AA51" s="1"/>
      <c r="AB51" s="1"/>
      <c r="AC51" s="1"/>
      <c r="AD51" s="1"/>
    </row>
    <row r="52" spans="1:30" ht="19.5" customHeight="1" x14ac:dyDescent="0.3">
      <c r="A52" s="2"/>
      <c r="B52" s="79">
        <f t="shared" ca="1" si="0"/>
        <v>41</v>
      </c>
      <c r="C52" s="80">
        <f t="shared" ca="1" si="1"/>
        <v>46172</v>
      </c>
      <c r="D52" s="81" t="str">
        <f t="shared" ca="1" si="2"/>
        <v>30.05.2026 haftalık muhasebe hizmet ücreti</v>
      </c>
      <c r="E52" s="79" t="str">
        <f t="shared" ca="1" si="3"/>
        <v>TAHAKKUK</v>
      </c>
      <c r="F52" s="82">
        <f t="shared" ca="1" si="4"/>
        <v>3000</v>
      </c>
      <c r="G52" s="82">
        <f t="shared" ca="1" si="5"/>
        <v>0</v>
      </c>
      <c r="H52" s="82">
        <f t="shared" ca="1" si="6"/>
        <v>13050</v>
      </c>
      <c r="I52" s="2"/>
      <c r="J52" s="2"/>
      <c r="K52" s="1"/>
      <c r="L52" s="1"/>
      <c r="M52" s="1">
        <v>41</v>
      </c>
      <c r="N52" s="1" t="str">
        <f ca="1">IF(OR($U52=0,$W52="",$X52&lt;=0),"",IF($W52&gt;TODAY(),"",IF(AND(INDEX(UCRETLER!$E$7:$E$606,$U52)&lt;&gt;"",$W52&gt;INDEX(UCRETLER!$E$7:$E$606,$U52)),"",$W52)))</f>
        <v/>
      </c>
      <c r="O52" s="1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 t="str">
        <f t="shared" ca="1" si="10"/>
        <v/>
      </c>
      <c r="Q52" s="1"/>
      <c r="R52" s="1">
        <f t="shared" ca="1" si="11"/>
        <v>0</v>
      </c>
      <c r="S52" s="1">
        <v>0</v>
      </c>
      <c r="T52" s="1">
        <f t="shared" ca="1" si="7"/>
        <v>10000000000</v>
      </c>
      <c r="U52" s="1">
        <f t="shared" si="13"/>
        <v>11</v>
      </c>
      <c r="V52" s="1">
        <v>40</v>
      </c>
      <c r="W52" s="83">
        <f>IF($U52=0,"",IF(INDEX(UCRETLER!$D$7:$D$606,$U52)="","",IF(INDEX(UCRETLER!$F$7:$F$606,$U52)="Aylık",EOMONTH(INDEX(UCRETLER!$D$7:$D$606,$U52),$V52-1),INDEX(UCRETLER!$U$7:$U$606,$U52)+7*($V52-1))))</f>
        <v>46298</v>
      </c>
      <c r="X52" s="84">
        <f>IF($U52=0,0,INDEX(UCRETLER!$G$7:$G$606,$U52))</f>
        <v>3000</v>
      </c>
      <c r="Y52" s="1">
        <f t="shared" ca="1" si="8"/>
        <v>4617200023</v>
      </c>
      <c r="Z52" s="1">
        <f t="shared" ca="1" si="9"/>
        <v>23</v>
      </c>
      <c r="AA52" s="1"/>
      <c r="AB52" s="1"/>
      <c r="AC52" s="1"/>
      <c r="AD52" s="1"/>
    </row>
    <row r="53" spans="1:30" ht="19.5" customHeight="1" x14ac:dyDescent="0.3">
      <c r="A53" s="2"/>
      <c r="B53" s="79">
        <f t="shared" ca="1" si="0"/>
        <v>42</v>
      </c>
      <c r="C53" s="80">
        <f t="shared" ca="1" si="1"/>
        <v>46172</v>
      </c>
      <c r="D53" s="81" t="str">
        <f t="shared" ca="1" si="2"/>
        <v>Ödeme  –  Nakit  (MERKEZ KASA) / NAKİT ÖDENEN</v>
      </c>
      <c r="E53" s="79" t="str">
        <f t="shared" ca="1" si="3"/>
        <v>ÖDEME</v>
      </c>
      <c r="F53" s="82">
        <f t="shared" ca="1" si="4"/>
        <v>0</v>
      </c>
      <c r="G53" s="82">
        <f t="shared" ca="1" si="5"/>
        <v>3000</v>
      </c>
      <c r="H53" s="82">
        <f t="shared" ca="1" si="6"/>
        <v>10050</v>
      </c>
      <c r="I53" s="2"/>
      <c r="J53" s="2"/>
      <c r="K53" s="1"/>
      <c r="L53" s="1"/>
      <c r="M53" s="1">
        <v>42</v>
      </c>
      <c r="N53" s="1" t="str">
        <f ca="1">IF(OR($U53=0,$W53="",$X53&lt;=0),"",IF($W53&gt;TODAY(),"",IF(AND(INDEX(UCRETLER!$E$7:$E$606,$U53)&lt;&gt;"",$W53&gt;INDEX(UCRETLER!$E$7:$E$606,$U53)),"",$W53)))</f>
        <v/>
      </c>
      <c r="O53" s="1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 t="str">
        <f t="shared" ca="1" si="10"/>
        <v/>
      </c>
      <c r="Q53" s="1"/>
      <c r="R53" s="1">
        <f t="shared" ca="1" si="11"/>
        <v>0</v>
      </c>
      <c r="S53" s="1">
        <v>0</v>
      </c>
      <c r="T53" s="1">
        <f t="shared" ca="1" si="7"/>
        <v>10000000000</v>
      </c>
      <c r="U53" s="1">
        <f t="shared" si="13"/>
        <v>11</v>
      </c>
      <c r="V53" s="1">
        <v>41</v>
      </c>
      <c r="W53" s="83">
        <f>IF($U53=0,"",IF(INDEX(UCRETLER!$D$7:$D$606,$U53)="","",IF(INDEX(UCRETLER!$F$7:$F$606,$U53)="Aylık",EOMONTH(INDEX(UCRETLER!$D$7:$D$606,$U53),$V53-1),INDEX(UCRETLER!$U$7:$U$606,$U53)+7*($V53-1))))</f>
        <v>46305</v>
      </c>
      <c r="X53" s="84">
        <f>IF($U53=0,0,INDEX(UCRETLER!$G$7:$G$606,$U53))</f>
        <v>3000</v>
      </c>
      <c r="Y53" s="1">
        <f t="shared" ca="1" si="8"/>
        <v>4617200259</v>
      </c>
      <c r="Z53" s="1">
        <f t="shared" ca="1" si="9"/>
        <v>259</v>
      </c>
      <c r="AA53" s="1"/>
      <c r="AB53" s="1"/>
      <c r="AC53" s="1"/>
      <c r="AD53" s="1"/>
    </row>
    <row r="54" spans="1:30" ht="19.5" customHeight="1" x14ac:dyDescent="0.3">
      <c r="A54" s="2"/>
      <c r="B54" s="79">
        <f t="shared" ca="1" si="0"/>
        <v>43</v>
      </c>
      <c r="C54" s="80">
        <f t="shared" ca="1" si="1"/>
        <v>46179</v>
      </c>
      <c r="D54" s="81" t="str">
        <f t="shared" ca="1" si="2"/>
        <v>06.06.2026 haftalık muhasebe hizmet ücreti</v>
      </c>
      <c r="E54" s="79" t="str">
        <f t="shared" ca="1" si="3"/>
        <v>TAHAKKUK</v>
      </c>
      <c r="F54" s="82">
        <f t="shared" ca="1" si="4"/>
        <v>3000</v>
      </c>
      <c r="G54" s="82">
        <f t="shared" ca="1" si="5"/>
        <v>0</v>
      </c>
      <c r="H54" s="82">
        <f t="shared" ca="1" si="6"/>
        <v>13050</v>
      </c>
      <c r="I54" s="2"/>
      <c r="J54" s="2"/>
      <c r="K54" s="1"/>
      <c r="L54" s="1"/>
      <c r="M54" s="1">
        <v>43</v>
      </c>
      <c r="N54" s="1" t="str">
        <f ca="1">IF(OR($U54=0,$W54="",$X54&lt;=0),"",IF($W54&gt;TODAY(),"",IF(AND(INDEX(UCRETLER!$E$7:$E$606,$U54)&lt;&gt;"",$W54&gt;INDEX(UCRETLER!$E$7:$E$606,$U54)),"",$W54)))</f>
        <v/>
      </c>
      <c r="O54" s="1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 t="str">
        <f t="shared" ca="1" si="10"/>
        <v/>
      </c>
      <c r="Q54" s="1"/>
      <c r="R54" s="1">
        <f t="shared" ca="1" si="11"/>
        <v>0</v>
      </c>
      <c r="S54" s="1">
        <v>0</v>
      </c>
      <c r="T54" s="1">
        <f t="shared" ca="1" si="7"/>
        <v>10000000000</v>
      </c>
      <c r="U54" s="1">
        <f t="shared" si="13"/>
        <v>11</v>
      </c>
      <c r="V54" s="1">
        <v>42</v>
      </c>
      <c r="W54" s="83">
        <f>IF($U54=0,"",IF(INDEX(UCRETLER!$D$7:$D$606,$U54)="","",IF(INDEX(UCRETLER!$F$7:$F$606,$U54)="Aylık",EOMONTH(INDEX(UCRETLER!$D$7:$D$606,$U54),$V54-1),INDEX(UCRETLER!$U$7:$U$606,$U54)+7*($V54-1))))</f>
        <v>46312</v>
      </c>
      <c r="X54" s="84">
        <f>IF($U54=0,0,INDEX(UCRETLER!$G$7:$G$606,$U54))</f>
        <v>3000</v>
      </c>
      <c r="Y54" s="1">
        <f t="shared" ca="1" si="8"/>
        <v>4617900024</v>
      </c>
      <c r="Z54" s="1">
        <f t="shared" ca="1" si="9"/>
        <v>24</v>
      </c>
      <c r="AA54" s="1"/>
      <c r="AB54" s="1"/>
      <c r="AC54" s="1"/>
      <c r="AD54" s="1"/>
    </row>
    <row r="55" spans="1:30" ht="19.5" customHeight="1" x14ac:dyDescent="0.3">
      <c r="A55" s="2"/>
      <c r="B55" s="79">
        <f t="shared" ca="1" si="0"/>
        <v>44</v>
      </c>
      <c r="C55" s="80">
        <f t="shared" ca="1" si="1"/>
        <v>46179</v>
      </c>
      <c r="D55" s="81" t="str">
        <f t="shared" ca="1" si="2"/>
        <v>Ödeme  –  Nakit  (MERKEZ KASA) / NAKİT ÖDENEN</v>
      </c>
      <c r="E55" s="79" t="str">
        <f t="shared" ca="1" si="3"/>
        <v>ÖDEME</v>
      </c>
      <c r="F55" s="82">
        <f t="shared" ca="1" si="4"/>
        <v>0</v>
      </c>
      <c r="G55" s="82">
        <f t="shared" ca="1" si="5"/>
        <v>3000</v>
      </c>
      <c r="H55" s="82">
        <f t="shared" ca="1" si="6"/>
        <v>10050</v>
      </c>
      <c r="I55" s="2"/>
      <c r="J55" s="2"/>
      <c r="K55" s="1"/>
      <c r="L55" s="1"/>
      <c r="M55" s="1">
        <v>44</v>
      </c>
      <c r="N55" s="1" t="str">
        <f ca="1">IF(OR($U55=0,$W55="",$X55&lt;=0),"",IF($W55&gt;TODAY(),"",IF(AND(INDEX(UCRETLER!$E$7:$E$606,$U55)&lt;&gt;"",$W55&gt;INDEX(UCRETLER!$E$7:$E$606,$U55)),"",$W55)))</f>
        <v/>
      </c>
      <c r="O55" s="1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 t="str">
        <f t="shared" ca="1" si="10"/>
        <v/>
      </c>
      <c r="Q55" s="1"/>
      <c r="R55" s="1">
        <f t="shared" ca="1" si="11"/>
        <v>0</v>
      </c>
      <c r="S55" s="1">
        <v>0</v>
      </c>
      <c r="T55" s="1">
        <f t="shared" ca="1" si="7"/>
        <v>10000000000</v>
      </c>
      <c r="U55" s="1">
        <f t="shared" si="13"/>
        <v>11</v>
      </c>
      <c r="V55" s="1">
        <v>43</v>
      </c>
      <c r="W55" s="83">
        <f>IF($U55=0,"",IF(INDEX(UCRETLER!$D$7:$D$606,$U55)="","",IF(INDEX(UCRETLER!$F$7:$F$606,$U55)="Aylık",EOMONTH(INDEX(UCRETLER!$D$7:$D$606,$U55),$V55-1),INDEX(UCRETLER!$U$7:$U$606,$U55)+7*($V55-1))))</f>
        <v>46319</v>
      </c>
      <c r="X55" s="84">
        <f>IF($U55=0,0,INDEX(UCRETLER!$G$7:$G$606,$U55))</f>
        <v>3000</v>
      </c>
      <c r="Y55" s="1">
        <f t="shared" ca="1" si="8"/>
        <v>4617900260</v>
      </c>
      <c r="Z55" s="1">
        <f t="shared" ca="1" si="9"/>
        <v>260</v>
      </c>
      <c r="AA55" s="1"/>
      <c r="AB55" s="1"/>
      <c r="AC55" s="1"/>
      <c r="AD55" s="1"/>
    </row>
    <row r="56" spans="1:30" ht="19.5" customHeight="1" x14ac:dyDescent="0.3">
      <c r="A56" s="2"/>
      <c r="B56" s="79">
        <f t="shared" ca="1" si="0"/>
        <v>45</v>
      </c>
      <c r="C56" s="80">
        <f t="shared" ca="1" si="1"/>
        <v>46186</v>
      </c>
      <c r="D56" s="81" t="str">
        <f t="shared" ca="1" si="2"/>
        <v>13.06.2026 haftalık muhasebe hizmet ücreti</v>
      </c>
      <c r="E56" s="79" t="str">
        <f t="shared" ca="1" si="3"/>
        <v>TAHAKKUK</v>
      </c>
      <c r="F56" s="82">
        <f t="shared" ca="1" si="4"/>
        <v>3000</v>
      </c>
      <c r="G56" s="82">
        <f t="shared" ca="1" si="5"/>
        <v>0</v>
      </c>
      <c r="H56" s="82">
        <f t="shared" ca="1" si="6"/>
        <v>13050</v>
      </c>
      <c r="I56" s="2"/>
      <c r="J56" s="2"/>
      <c r="K56" s="1"/>
      <c r="L56" s="1"/>
      <c r="M56" s="1">
        <v>45</v>
      </c>
      <c r="N56" s="1" t="str">
        <f ca="1">IF(OR($U56=0,$W56="",$X56&lt;=0),"",IF($W56&gt;TODAY(),"",IF(AND(INDEX(UCRETLER!$E$7:$E$606,$U56)&lt;&gt;"",$W56&gt;INDEX(UCRETLER!$E$7:$E$606,$U56)),"",$W56)))</f>
        <v/>
      </c>
      <c r="O56" s="1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 t="str">
        <f t="shared" ca="1" si="10"/>
        <v/>
      </c>
      <c r="Q56" s="1"/>
      <c r="R56" s="1">
        <f t="shared" ca="1" si="11"/>
        <v>0</v>
      </c>
      <c r="S56" s="1">
        <v>0</v>
      </c>
      <c r="T56" s="1">
        <f t="shared" ca="1" si="7"/>
        <v>10000000000</v>
      </c>
      <c r="U56" s="1">
        <f t="shared" si="13"/>
        <v>11</v>
      </c>
      <c r="V56" s="1">
        <v>44</v>
      </c>
      <c r="W56" s="83">
        <f>IF($U56=0,"",IF(INDEX(UCRETLER!$D$7:$D$606,$U56)="","",IF(INDEX(UCRETLER!$F$7:$F$606,$U56)="Aylık",EOMONTH(INDEX(UCRETLER!$D$7:$D$606,$U56),$V56-1),INDEX(UCRETLER!$U$7:$U$606,$U56)+7*($V56-1))))</f>
        <v>46326</v>
      </c>
      <c r="X56" s="84">
        <f>IF($U56=0,0,INDEX(UCRETLER!$G$7:$G$606,$U56))</f>
        <v>3000</v>
      </c>
      <c r="Y56" s="1">
        <f t="shared" ca="1" si="8"/>
        <v>4618600025</v>
      </c>
      <c r="Z56" s="1">
        <f t="shared" ca="1" si="9"/>
        <v>25</v>
      </c>
      <c r="AA56" s="1"/>
      <c r="AB56" s="1"/>
      <c r="AC56" s="1"/>
      <c r="AD56" s="1"/>
    </row>
    <row r="57" spans="1:30" ht="19.5" customHeight="1" x14ac:dyDescent="0.3">
      <c r="A57" s="2"/>
      <c r="B57" s="79">
        <f t="shared" ca="1" si="0"/>
        <v>46</v>
      </c>
      <c r="C57" s="80">
        <f t="shared" ca="1" si="1"/>
        <v>46186</v>
      </c>
      <c r="D57" s="81" t="str">
        <f t="shared" ca="1" si="2"/>
        <v>Ödeme  –  Nakit  (MERKEZ KASA) / NAKİT ÖDENEN</v>
      </c>
      <c r="E57" s="79" t="str">
        <f t="shared" ca="1" si="3"/>
        <v>ÖDEME</v>
      </c>
      <c r="F57" s="82">
        <f t="shared" ca="1" si="4"/>
        <v>0</v>
      </c>
      <c r="G57" s="82">
        <f t="shared" ca="1" si="5"/>
        <v>3000</v>
      </c>
      <c r="H57" s="82">
        <f t="shared" ca="1" si="6"/>
        <v>10050</v>
      </c>
      <c r="I57" s="2"/>
      <c r="J57" s="2"/>
      <c r="K57" s="1"/>
      <c r="L57" s="1"/>
      <c r="M57" s="1">
        <v>46</v>
      </c>
      <c r="N57" s="1" t="str">
        <f ca="1">IF(OR($U57=0,$W57="",$X57&lt;=0),"",IF($W57&gt;TODAY(),"",IF(AND(INDEX(UCRETLER!$E$7:$E$606,$U57)&lt;&gt;"",$W57&gt;INDEX(UCRETLER!$E$7:$E$606,$U57)),"",$W57)))</f>
        <v/>
      </c>
      <c r="O57" s="1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 t="str">
        <f t="shared" ca="1" si="10"/>
        <v/>
      </c>
      <c r="Q57" s="1"/>
      <c r="R57" s="1">
        <f t="shared" ca="1" si="11"/>
        <v>0</v>
      </c>
      <c r="S57" s="1">
        <v>0</v>
      </c>
      <c r="T57" s="1">
        <f t="shared" ca="1" si="7"/>
        <v>10000000000</v>
      </c>
      <c r="U57" s="1">
        <f t="shared" si="13"/>
        <v>11</v>
      </c>
      <c r="V57" s="1">
        <v>45</v>
      </c>
      <c r="W57" s="83">
        <f>IF($U57=0,"",IF(INDEX(UCRETLER!$D$7:$D$606,$U57)="","",IF(INDEX(UCRETLER!$F$7:$F$606,$U57)="Aylık",EOMONTH(INDEX(UCRETLER!$D$7:$D$606,$U57),$V57-1),INDEX(UCRETLER!$U$7:$U$606,$U57)+7*($V57-1))))</f>
        <v>46333</v>
      </c>
      <c r="X57" s="84">
        <f>IF($U57=0,0,INDEX(UCRETLER!$G$7:$G$606,$U57))</f>
        <v>3000</v>
      </c>
      <c r="Y57" s="1">
        <f t="shared" ca="1" si="8"/>
        <v>4618600261</v>
      </c>
      <c r="Z57" s="1">
        <f t="shared" ca="1" si="9"/>
        <v>261</v>
      </c>
      <c r="AA57" s="1"/>
      <c r="AB57" s="1"/>
      <c r="AC57" s="1"/>
      <c r="AD57" s="1"/>
    </row>
    <row r="58" spans="1:30" ht="19.5" customHeight="1" x14ac:dyDescent="0.3">
      <c r="A58" s="2"/>
      <c r="B58" s="79">
        <f t="shared" ca="1" si="0"/>
        <v>47</v>
      </c>
      <c r="C58" s="80">
        <f t="shared" ca="1" si="1"/>
        <v>46193</v>
      </c>
      <c r="D58" s="81" t="str">
        <f t="shared" ca="1" si="2"/>
        <v>20.06.2026 haftalık muhasebe hizmet ücreti</v>
      </c>
      <c r="E58" s="79" t="str">
        <f t="shared" ca="1" si="3"/>
        <v>TAHAKKUK</v>
      </c>
      <c r="F58" s="82">
        <f t="shared" ca="1" si="4"/>
        <v>3000</v>
      </c>
      <c r="G58" s="82">
        <f t="shared" ca="1" si="5"/>
        <v>0</v>
      </c>
      <c r="H58" s="82">
        <f t="shared" ca="1" si="6"/>
        <v>13050</v>
      </c>
      <c r="I58" s="2"/>
      <c r="J58" s="2"/>
      <c r="K58" s="1"/>
      <c r="L58" s="1"/>
      <c r="M58" s="1">
        <v>47</v>
      </c>
      <c r="N58" s="1" t="str">
        <f ca="1">IF(OR($U58=0,$W58="",$X58&lt;=0),"",IF($W58&gt;TODAY(),"",IF(AND(INDEX(UCRETLER!$E$7:$E$606,$U58)&lt;&gt;"",$W58&gt;INDEX(UCRETLER!$E$7:$E$606,$U58)),"",$W58)))</f>
        <v/>
      </c>
      <c r="O58" s="1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 t="str">
        <f t="shared" ca="1" si="10"/>
        <v/>
      </c>
      <c r="Q58" s="1"/>
      <c r="R58" s="1">
        <f t="shared" ca="1" si="11"/>
        <v>0</v>
      </c>
      <c r="S58" s="1">
        <v>0</v>
      </c>
      <c r="T58" s="1">
        <f t="shared" ca="1" si="7"/>
        <v>10000000000</v>
      </c>
      <c r="U58" s="1">
        <f t="shared" si="13"/>
        <v>11</v>
      </c>
      <c r="V58" s="1">
        <v>46</v>
      </c>
      <c r="W58" s="83">
        <f>IF($U58=0,"",IF(INDEX(UCRETLER!$D$7:$D$606,$U58)="","",IF(INDEX(UCRETLER!$F$7:$F$606,$U58)="Aylık",EOMONTH(INDEX(UCRETLER!$D$7:$D$606,$U58),$V58-1),INDEX(UCRETLER!$U$7:$U$606,$U58)+7*($V58-1))))</f>
        <v>46340</v>
      </c>
      <c r="X58" s="84">
        <f>IF($U58=0,0,INDEX(UCRETLER!$G$7:$G$606,$U58))</f>
        <v>3000</v>
      </c>
      <c r="Y58" s="1">
        <f t="shared" ca="1" si="8"/>
        <v>4619300026</v>
      </c>
      <c r="Z58" s="1">
        <f t="shared" ca="1" si="9"/>
        <v>26</v>
      </c>
      <c r="AA58" s="1"/>
      <c r="AB58" s="1"/>
      <c r="AC58" s="1"/>
      <c r="AD58" s="1"/>
    </row>
    <row r="59" spans="1:30" ht="19.5" customHeight="1" x14ac:dyDescent="0.3">
      <c r="A59" s="2"/>
      <c r="B59" s="79">
        <f t="shared" ca="1" si="0"/>
        <v>48</v>
      </c>
      <c r="C59" s="80">
        <f t="shared" ca="1" si="1"/>
        <v>46194</v>
      </c>
      <c r="D59" s="81" t="str">
        <f t="shared" ca="1" si="2"/>
        <v>Ödeme  –  Nakit  (ÖMER KARTAL) / ÖMER KARTALA ÖDENEN</v>
      </c>
      <c r="E59" s="79" t="str">
        <f t="shared" ca="1" si="3"/>
        <v>ÖDEME</v>
      </c>
      <c r="F59" s="82">
        <f t="shared" ca="1" si="4"/>
        <v>0</v>
      </c>
      <c r="G59" s="82">
        <f t="shared" ca="1" si="5"/>
        <v>3000</v>
      </c>
      <c r="H59" s="82">
        <f t="shared" ca="1" si="6"/>
        <v>10050</v>
      </c>
      <c r="I59" s="2"/>
      <c r="J59" s="2"/>
      <c r="K59" s="1"/>
      <c r="L59" s="1"/>
      <c r="M59" s="1">
        <v>48</v>
      </c>
      <c r="N59" s="1" t="str">
        <f ca="1">IF(OR($U59=0,$W59="",$X59&lt;=0),"",IF($W59&gt;TODAY(),"",IF(AND(INDEX(UCRETLER!$E$7:$E$606,$U59)&lt;&gt;"",$W59&gt;INDEX(UCRETLER!$E$7:$E$606,$U59)),"",$W59)))</f>
        <v/>
      </c>
      <c r="O59" s="1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 t="str">
        <f t="shared" ca="1" si="10"/>
        <v/>
      </c>
      <c r="Q59" s="1"/>
      <c r="R59" s="1">
        <f t="shared" ca="1" si="11"/>
        <v>0</v>
      </c>
      <c r="S59" s="1">
        <v>0</v>
      </c>
      <c r="T59" s="1">
        <f t="shared" ca="1" si="7"/>
        <v>10000000000</v>
      </c>
      <c r="U59" s="1">
        <f t="shared" si="13"/>
        <v>11</v>
      </c>
      <c r="V59" s="1">
        <v>47</v>
      </c>
      <c r="W59" s="83">
        <f>IF($U59=0,"",IF(INDEX(UCRETLER!$D$7:$D$606,$U59)="","",IF(INDEX(UCRETLER!$F$7:$F$606,$U59)="Aylık",EOMONTH(INDEX(UCRETLER!$D$7:$D$606,$U59),$V59-1),INDEX(UCRETLER!$U$7:$U$606,$U59)+7*($V59-1))))</f>
        <v>46347</v>
      </c>
      <c r="X59" s="84">
        <f>IF($U59=0,0,INDEX(UCRETLER!$G$7:$G$606,$U59))</f>
        <v>3000</v>
      </c>
      <c r="Y59" s="1">
        <f t="shared" ca="1" si="8"/>
        <v>4619400262</v>
      </c>
      <c r="Z59" s="1">
        <f t="shared" ca="1" si="9"/>
        <v>262</v>
      </c>
      <c r="AA59" s="1"/>
      <c r="AB59" s="1"/>
      <c r="AC59" s="1"/>
      <c r="AD59" s="1"/>
    </row>
    <row r="60" spans="1:30" ht="19.5" customHeight="1" x14ac:dyDescent="0.3">
      <c r="A60" s="2"/>
      <c r="B60" s="79">
        <f t="shared" ca="1" si="0"/>
        <v>49</v>
      </c>
      <c r="C60" s="80">
        <f t="shared" ca="1" si="1"/>
        <v>46200</v>
      </c>
      <c r="D60" s="81" t="str">
        <f t="shared" ca="1" si="2"/>
        <v>27.06.2026 haftalık muhasebe hizmet ücreti</v>
      </c>
      <c r="E60" s="79" t="str">
        <f t="shared" ca="1" si="3"/>
        <v>TAHAKKUK</v>
      </c>
      <c r="F60" s="82">
        <f t="shared" ca="1" si="4"/>
        <v>3000</v>
      </c>
      <c r="G60" s="82">
        <f t="shared" ca="1" si="5"/>
        <v>0</v>
      </c>
      <c r="H60" s="82">
        <f t="shared" ca="1" si="6"/>
        <v>13050</v>
      </c>
      <c r="I60" s="2"/>
      <c r="J60" s="2"/>
      <c r="K60" s="1"/>
      <c r="L60" s="1"/>
      <c r="M60" s="1">
        <v>49</v>
      </c>
      <c r="N60" s="1" t="str">
        <f ca="1">IF(OR($U60=0,$W60="",$X60&lt;=0),"",IF($W60&gt;TODAY(),"",IF(AND(INDEX(UCRETLER!$E$7:$E$606,$U60)&lt;&gt;"",$W60&gt;INDEX(UCRETLER!$E$7:$E$606,$U60)),"",$W60)))</f>
        <v/>
      </c>
      <c r="O60" s="1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 t="str">
        <f t="shared" ca="1" si="10"/>
        <v/>
      </c>
      <c r="Q60" s="1"/>
      <c r="R60" s="1">
        <f t="shared" ca="1" si="11"/>
        <v>0</v>
      </c>
      <c r="S60" s="1">
        <v>0</v>
      </c>
      <c r="T60" s="1">
        <f t="shared" ca="1" si="7"/>
        <v>10000000000</v>
      </c>
      <c r="U60" s="1">
        <f t="shared" si="13"/>
        <v>11</v>
      </c>
      <c r="V60" s="1">
        <v>48</v>
      </c>
      <c r="W60" s="83">
        <f>IF($U60=0,"",IF(INDEX(UCRETLER!$D$7:$D$606,$U60)="","",IF(INDEX(UCRETLER!$F$7:$F$606,$U60)="Aylık",EOMONTH(INDEX(UCRETLER!$D$7:$D$606,$U60),$V60-1),INDEX(UCRETLER!$U$7:$U$606,$U60)+7*($V60-1))))</f>
        <v>46354</v>
      </c>
      <c r="X60" s="84">
        <f>IF($U60=0,0,INDEX(UCRETLER!$G$7:$G$606,$U60))</f>
        <v>3000</v>
      </c>
      <c r="Y60" s="1">
        <f t="shared" ca="1" si="8"/>
        <v>4620000027</v>
      </c>
      <c r="Z60" s="1">
        <f t="shared" ca="1" si="9"/>
        <v>27</v>
      </c>
      <c r="AA60" s="1"/>
      <c r="AB60" s="1"/>
      <c r="AC60" s="1"/>
      <c r="AD60" s="1"/>
    </row>
    <row r="61" spans="1:30" ht="19.5" customHeight="1" x14ac:dyDescent="0.3">
      <c r="A61" s="2"/>
      <c r="B61" s="79">
        <f t="shared" ca="1" si="0"/>
        <v>50</v>
      </c>
      <c r="C61" s="80">
        <f t="shared" ca="1" si="1"/>
        <v>46200</v>
      </c>
      <c r="D61" s="81" t="str">
        <f t="shared" ca="1" si="2"/>
        <v>Ödeme  –  Nakit  (MERKEZ KASA) / NAKİT ÖDENEN</v>
      </c>
      <c r="E61" s="79" t="str">
        <f t="shared" ca="1" si="3"/>
        <v>ÖDEME</v>
      </c>
      <c r="F61" s="82">
        <f t="shared" ca="1" si="4"/>
        <v>0</v>
      </c>
      <c r="G61" s="82">
        <f t="shared" ca="1" si="5"/>
        <v>3000</v>
      </c>
      <c r="H61" s="82">
        <f t="shared" ca="1" si="6"/>
        <v>10050</v>
      </c>
      <c r="I61" s="2"/>
      <c r="J61" s="2"/>
      <c r="K61" s="1"/>
      <c r="L61" s="1"/>
      <c r="M61" s="1">
        <v>50</v>
      </c>
      <c r="N61" s="1" t="str">
        <f ca="1">IF(OR($U61=0,$W61="",$X61&lt;=0),"",IF($W61&gt;TODAY(),"",IF(AND(INDEX(UCRETLER!$E$7:$E$606,$U61)&lt;&gt;"",$W61&gt;INDEX(UCRETLER!$E$7:$E$606,$U61)),"",$W61)))</f>
        <v/>
      </c>
      <c r="O61" s="1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 t="str">
        <f t="shared" ca="1" si="10"/>
        <v/>
      </c>
      <c r="Q61" s="1"/>
      <c r="R61" s="1">
        <f t="shared" ca="1" si="11"/>
        <v>0</v>
      </c>
      <c r="S61" s="1">
        <v>0</v>
      </c>
      <c r="T61" s="1">
        <f t="shared" ca="1" si="7"/>
        <v>10000000000</v>
      </c>
      <c r="U61" s="1">
        <f t="shared" si="13"/>
        <v>11</v>
      </c>
      <c r="V61" s="1">
        <v>49</v>
      </c>
      <c r="W61" s="83">
        <f>IF($U61=0,"",IF(INDEX(UCRETLER!$D$7:$D$606,$U61)="","",IF(INDEX(UCRETLER!$F$7:$F$606,$U61)="Aylık",EOMONTH(INDEX(UCRETLER!$D$7:$D$606,$U61),$V61-1),INDEX(UCRETLER!$U$7:$U$606,$U61)+7*($V61-1))))</f>
        <v>46361</v>
      </c>
      <c r="X61" s="84">
        <f>IF($U61=0,0,INDEX(UCRETLER!$G$7:$G$606,$U61))</f>
        <v>3000</v>
      </c>
      <c r="Y61" s="1">
        <f t="shared" ca="1" si="8"/>
        <v>4620000263</v>
      </c>
      <c r="Z61" s="1">
        <f t="shared" ca="1" si="9"/>
        <v>263</v>
      </c>
      <c r="AA61" s="1"/>
      <c r="AB61" s="1"/>
      <c r="AC61" s="1"/>
      <c r="AD61" s="1"/>
    </row>
    <row r="62" spans="1:30" ht="19.5" customHeight="1" x14ac:dyDescent="0.3">
      <c r="A62" s="2"/>
      <c r="B62" s="79">
        <f t="shared" ca="1" si="0"/>
        <v>51</v>
      </c>
      <c r="C62" s="80">
        <f t="shared" ca="1" si="1"/>
        <v>46207</v>
      </c>
      <c r="D62" s="81" t="str">
        <f t="shared" ca="1" si="2"/>
        <v>04.07.2026 haftalık muhasebe hizmet ücreti</v>
      </c>
      <c r="E62" s="79" t="str">
        <f t="shared" ca="1" si="3"/>
        <v>TAHAKKUK</v>
      </c>
      <c r="F62" s="82">
        <f t="shared" ca="1" si="4"/>
        <v>3000</v>
      </c>
      <c r="G62" s="82">
        <f t="shared" ca="1" si="5"/>
        <v>0</v>
      </c>
      <c r="H62" s="82">
        <f t="shared" ca="1" si="6"/>
        <v>13050</v>
      </c>
      <c r="I62" s="2"/>
      <c r="J62" s="2"/>
      <c r="K62" s="1"/>
      <c r="L62" s="1"/>
      <c r="M62" s="1">
        <v>51</v>
      </c>
      <c r="N62" s="1" t="str">
        <f ca="1">IF(OR($U62=0,$W62="",$X62&lt;=0),"",IF($W62&gt;TODAY(),"",IF(AND(INDEX(UCRETLER!$E$7:$E$606,$U62)&lt;&gt;"",$W62&gt;INDEX(UCRETLER!$E$7:$E$606,$U62)),"",$W62)))</f>
        <v/>
      </c>
      <c r="O62" s="1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 t="str">
        <f t="shared" ca="1" si="10"/>
        <v/>
      </c>
      <c r="Q62" s="1"/>
      <c r="R62" s="1">
        <f t="shared" ca="1" si="11"/>
        <v>0</v>
      </c>
      <c r="S62" s="1">
        <v>0</v>
      </c>
      <c r="T62" s="1">
        <f t="shared" ca="1" si="7"/>
        <v>10000000000</v>
      </c>
      <c r="U62" s="1">
        <f t="shared" si="13"/>
        <v>11</v>
      </c>
      <c r="V62" s="1">
        <v>50</v>
      </c>
      <c r="W62" s="83">
        <f>IF($U62=0,"",IF(INDEX(UCRETLER!$D$7:$D$606,$U62)="","",IF(INDEX(UCRETLER!$F$7:$F$606,$U62)="Aylık",EOMONTH(INDEX(UCRETLER!$D$7:$D$606,$U62),$V62-1),INDEX(UCRETLER!$U$7:$U$606,$U62)+7*($V62-1))))</f>
        <v>46368</v>
      </c>
      <c r="X62" s="84">
        <f>IF($U62=0,0,INDEX(UCRETLER!$G$7:$G$606,$U62))</f>
        <v>3000</v>
      </c>
      <c r="Y62" s="1">
        <f t="shared" ca="1" si="8"/>
        <v>4620700028</v>
      </c>
      <c r="Z62" s="1">
        <f t="shared" ca="1" si="9"/>
        <v>28</v>
      </c>
      <c r="AA62" s="1"/>
      <c r="AB62" s="1"/>
      <c r="AC62" s="1"/>
      <c r="AD62" s="1"/>
    </row>
    <row r="63" spans="1:30" ht="19.5" customHeight="1" x14ac:dyDescent="0.3">
      <c r="A63" s="2"/>
      <c r="B63" s="79">
        <f t="shared" ca="1" si="0"/>
        <v>52</v>
      </c>
      <c r="C63" s="80">
        <f t="shared" ca="1" si="1"/>
        <v>46207</v>
      </c>
      <c r="D63" s="81" t="str">
        <f t="shared" ca="1" si="2"/>
        <v>Ödeme  –  Nakit  (ÖMER KARTAL) / ÖMER KARTALA ÖDENEN</v>
      </c>
      <c r="E63" s="79" t="str">
        <f t="shared" ca="1" si="3"/>
        <v>ÖDEME</v>
      </c>
      <c r="F63" s="82">
        <f t="shared" ca="1" si="4"/>
        <v>0</v>
      </c>
      <c r="G63" s="82">
        <f t="shared" ca="1" si="5"/>
        <v>3000</v>
      </c>
      <c r="H63" s="82">
        <f t="shared" ca="1" si="6"/>
        <v>10050</v>
      </c>
      <c r="I63" s="2"/>
      <c r="J63" s="2"/>
      <c r="K63" s="1"/>
      <c r="L63" s="1"/>
      <c r="M63" s="1">
        <v>52</v>
      </c>
      <c r="N63" s="1" t="str">
        <f ca="1">IF(OR($U63=0,$W63="",$X63&lt;=0),"",IF($W63&gt;TODAY(),"",IF(AND(INDEX(UCRETLER!$E$7:$E$606,$U63)&lt;&gt;"",$W63&gt;INDEX(UCRETLER!$E$7:$E$606,$U63)),"",$W63)))</f>
        <v/>
      </c>
      <c r="O63" s="1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 t="str">
        <f t="shared" ca="1" si="10"/>
        <v/>
      </c>
      <c r="Q63" s="1"/>
      <c r="R63" s="1">
        <f t="shared" ca="1" si="11"/>
        <v>0</v>
      </c>
      <c r="S63" s="1">
        <v>0</v>
      </c>
      <c r="T63" s="1">
        <f t="shared" ca="1" si="7"/>
        <v>10000000000</v>
      </c>
      <c r="U63" s="1">
        <f t="shared" si="13"/>
        <v>11</v>
      </c>
      <c r="V63" s="1">
        <v>51</v>
      </c>
      <c r="W63" s="83">
        <f>IF($U63=0,"",IF(INDEX(UCRETLER!$D$7:$D$606,$U63)="","",IF(INDEX(UCRETLER!$F$7:$F$606,$U63)="Aylık",EOMONTH(INDEX(UCRETLER!$D$7:$D$606,$U63),$V63-1),INDEX(UCRETLER!$U$7:$U$606,$U63)+7*($V63-1))))</f>
        <v>46375</v>
      </c>
      <c r="X63" s="84">
        <f>IF($U63=0,0,INDEX(UCRETLER!$G$7:$G$606,$U63))</f>
        <v>3000</v>
      </c>
      <c r="Y63" s="1">
        <f t="shared" ca="1" si="8"/>
        <v>4620700264</v>
      </c>
      <c r="Z63" s="1">
        <f t="shared" ca="1" si="9"/>
        <v>264</v>
      </c>
      <c r="AA63" s="1"/>
      <c r="AB63" s="1"/>
      <c r="AC63" s="1"/>
      <c r="AD63" s="1"/>
    </row>
    <row r="64" spans="1:30" ht="19.5" customHeight="1" x14ac:dyDescent="0.3">
      <c r="A64" s="2"/>
      <c r="B64" s="79">
        <f t="shared" ca="1" si="0"/>
        <v>53</v>
      </c>
      <c r="C64" s="80">
        <f t="shared" ca="1" si="1"/>
        <v>46214</v>
      </c>
      <c r="D64" s="81" t="str">
        <f t="shared" ca="1" si="2"/>
        <v>11.07.2026 haftalık muhasebe hizmet ücreti</v>
      </c>
      <c r="E64" s="79" t="str">
        <f t="shared" ca="1" si="3"/>
        <v>TAHAKKUK</v>
      </c>
      <c r="F64" s="82">
        <f t="shared" ca="1" si="4"/>
        <v>3000</v>
      </c>
      <c r="G64" s="82">
        <f t="shared" ca="1" si="5"/>
        <v>0</v>
      </c>
      <c r="H64" s="82">
        <f t="shared" ca="1" si="6"/>
        <v>13050</v>
      </c>
      <c r="I64" s="2"/>
      <c r="J64" s="2"/>
      <c r="K64" s="1"/>
      <c r="L64" s="1"/>
      <c r="M64" s="1">
        <v>53</v>
      </c>
      <c r="N64" s="1" t="str">
        <f ca="1">IF(OR($U64=0,$W64="",$X64&lt;=0),"",IF($W64&gt;TODAY(),"",IF(AND(INDEX(UCRETLER!$E$7:$E$606,$U64)&lt;&gt;"",$W64&gt;INDEX(UCRETLER!$E$7:$E$606,$U64)),"",$W64)))</f>
        <v/>
      </c>
      <c r="O64" s="1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 t="str">
        <f t="shared" ca="1" si="10"/>
        <v/>
      </c>
      <c r="Q64" s="1"/>
      <c r="R64" s="1">
        <f t="shared" ca="1" si="11"/>
        <v>0</v>
      </c>
      <c r="S64" s="1">
        <v>0</v>
      </c>
      <c r="T64" s="1">
        <f t="shared" ca="1" si="7"/>
        <v>10000000000</v>
      </c>
      <c r="U64" s="1">
        <f t="shared" si="13"/>
        <v>11</v>
      </c>
      <c r="V64" s="1">
        <v>52</v>
      </c>
      <c r="W64" s="83">
        <f>IF($U64=0,"",IF(INDEX(UCRETLER!$D$7:$D$606,$U64)="","",IF(INDEX(UCRETLER!$F$7:$F$606,$U64)="Aylık",EOMONTH(INDEX(UCRETLER!$D$7:$D$606,$U64),$V64-1),INDEX(UCRETLER!$U$7:$U$606,$U64)+7*($V64-1))))</f>
        <v>46382</v>
      </c>
      <c r="X64" s="84">
        <f>IF($U64=0,0,INDEX(UCRETLER!$G$7:$G$606,$U64))</f>
        <v>3000</v>
      </c>
      <c r="Y64" s="1">
        <f t="shared" ca="1" si="8"/>
        <v>4621400029</v>
      </c>
      <c r="Z64" s="1">
        <f t="shared" ca="1" si="9"/>
        <v>29</v>
      </c>
      <c r="AA64" s="1"/>
      <c r="AB64" s="1"/>
      <c r="AC64" s="1"/>
      <c r="AD64" s="1"/>
    </row>
    <row r="65" spans="1:30" ht="19.5" customHeight="1" x14ac:dyDescent="0.3">
      <c r="A65" s="2"/>
      <c r="B65" s="79">
        <f t="shared" ca="1" si="0"/>
        <v>54</v>
      </c>
      <c r="C65" s="80">
        <f t="shared" ca="1" si="1"/>
        <v>46214</v>
      </c>
      <c r="D65" s="81" t="str">
        <f t="shared" ca="1" si="2"/>
        <v>Ödeme  –  Nakit  (ÖMER KARTAL) / ÖMER KARTALA ÖDENEN</v>
      </c>
      <c r="E65" s="79" t="str">
        <f t="shared" ca="1" si="3"/>
        <v>ÖDEME</v>
      </c>
      <c r="F65" s="82">
        <f t="shared" ca="1" si="4"/>
        <v>0</v>
      </c>
      <c r="G65" s="82">
        <f t="shared" ca="1" si="5"/>
        <v>3000</v>
      </c>
      <c r="H65" s="82">
        <f t="shared" ca="1" si="6"/>
        <v>10050</v>
      </c>
      <c r="I65" s="2"/>
      <c r="J65" s="2"/>
      <c r="K65" s="1"/>
      <c r="L65" s="1"/>
      <c r="M65" s="1">
        <v>54</v>
      </c>
      <c r="N65" s="1" t="str">
        <f ca="1">IF(OR($U65=0,$W65="",$X65&lt;=0),"",IF($W65&gt;TODAY(),"",IF(AND(INDEX(UCRETLER!$E$7:$E$606,$U65)&lt;&gt;"",$W65&gt;INDEX(UCRETLER!$E$7:$E$606,$U65)),"",$W65)))</f>
        <v/>
      </c>
      <c r="O65" s="1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 t="str">
        <f t="shared" ca="1" si="10"/>
        <v/>
      </c>
      <c r="Q65" s="1"/>
      <c r="R65" s="1">
        <f t="shared" ca="1" si="11"/>
        <v>0</v>
      </c>
      <c r="S65" s="1">
        <v>0</v>
      </c>
      <c r="T65" s="1">
        <f t="shared" ca="1" si="7"/>
        <v>10000000000</v>
      </c>
      <c r="U65" s="1">
        <f t="shared" si="13"/>
        <v>11</v>
      </c>
      <c r="V65" s="1">
        <v>53</v>
      </c>
      <c r="W65" s="83">
        <f>IF($U65=0,"",IF(INDEX(UCRETLER!$D$7:$D$606,$U65)="","",IF(INDEX(UCRETLER!$F$7:$F$606,$U65)="Aylık",EOMONTH(INDEX(UCRETLER!$D$7:$D$606,$U65),$V65-1),INDEX(UCRETLER!$U$7:$U$606,$U65)+7*($V65-1))))</f>
        <v>46389</v>
      </c>
      <c r="X65" s="84">
        <f>IF($U65=0,0,INDEX(UCRETLER!$G$7:$G$606,$U65))</f>
        <v>3000</v>
      </c>
      <c r="Y65" s="1">
        <f t="shared" ca="1" si="8"/>
        <v>4621400265</v>
      </c>
      <c r="Z65" s="1">
        <f t="shared" ca="1" si="9"/>
        <v>265</v>
      </c>
      <c r="AA65" s="1"/>
      <c r="AB65" s="1"/>
      <c r="AC65" s="1"/>
      <c r="AD65" s="1"/>
    </row>
    <row r="66" spans="1:30" ht="19.5" customHeight="1" x14ac:dyDescent="0.3">
      <c r="A66" s="2"/>
      <c r="B66" s="79">
        <f t="shared" ca="1" si="0"/>
        <v>55</v>
      </c>
      <c r="C66" s="80">
        <f t="shared" ca="1" si="1"/>
        <v>46221</v>
      </c>
      <c r="D66" s="81" t="str">
        <f t="shared" ca="1" si="2"/>
        <v>18.07.2026 haftalık muhasebe hizmet ücreti</v>
      </c>
      <c r="E66" s="79" t="str">
        <f t="shared" ca="1" si="3"/>
        <v>TAHAKKUK</v>
      </c>
      <c r="F66" s="82">
        <f t="shared" ca="1" si="4"/>
        <v>3000</v>
      </c>
      <c r="G66" s="82">
        <f t="shared" ca="1" si="5"/>
        <v>0</v>
      </c>
      <c r="H66" s="82">
        <f t="shared" ca="1" si="6"/>
        <v>13050</v>
      </c>
      <c r="I66" s="2"/>
      <c r="J66" s="2"/>
      <c r="K66" s="1"/>
      <c r="L66" s="1"/>
      <c r="M66" s="1">
        <v>55</v>
      </c>
      <c r="N66" s="1" t="str">
        <f ca="1">IF(OR($U66=0,$W66="",$X66&lt;=0),"",IF($W66&gt;TODAY(),"",IF(AND(INDEX(UCRETLER!$E$7:$E$606,$U66)&lt;&gt;"",$W66&gt;INDEX(UCRETLER!$E$7:$E$606,$U66)),"",$W66)))</f>
        <v/>
      </c>
      <c r="O66" s="1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 t="str">
        <f t="shared" ca="1" si="10"/>
        <v/>
      </c>
      <c r="Q66" s="1"/>
      <c r="R66" s="1">
        <f t="shared" ca="1" si="11"/>
        <v>0</v>
      </c>
      <c r="S66" s="1">
        <v>0</v>
      </c>
      <c r="T66" s="1">
        <f t="shared" ca="1" si="7"/>
        <v>10000000000</v>
      </c>
      <c r="U66" s="1">
        <f t="shared" si="13"/>
        <v>11</v>
      </c>
      <c r="V66" s="1">
        <v>54</v>
      </c>
      <c r="W66" s="83">
        <f>IF($U66=0,"",IF(INDEX(UCRETLER!$D$7:$D$606,$U66)="","",IF(INDEX(UCRETLER!$F$7:$F$606,$U66)="Aylık",EOMONTH(INDEX(UCRETLER!$D$7:$D$606,$U66),$V66-1),INDEX(UCRETLER!$U$7:$U$606,$U66)+7*($V66-1))))</f>
        <v>46396</v>
      </c>
      <c r="X66" s="84">
        <f>IF($U66=0,0,INDEX(UCRETLER!$G$7:$G$606,$U66))</f>
        <v>3000</v>
      </c>
      <c r="Y66" s="1">
        <f t="shared" ca="1" si="8"/>
        <v>4622100030</v>
      </c>
      <c r="Z66" s="1">
        <f t="shared" ca="1" si="9"/>
        <v>30</v>
      </c>
      <c r="AA66" s="1"/>
      <c r="AB66" s="1"/>
      <c r="AC66" s="1"/>
      <c r="AD66" s="1"/>
    </row>
    <row r="67" spans="1:30" ht="19.5" customHeight="1" x14ac:dyDescent="0.3">
      <c r="A67" s="2"/>
      <c r="B67" s="79">
        <f t="shared" ca="1" si="0"/>
        <v>56</v>
      </c>
      <c r="C67" s="80">
        <f t="shared" ca="1" si="1"/>
        <v>46221</v>
      </c>
      <c r="D67" s="81" t="str">
        <f t="shared" ca="1" si="2"/>
        <v>Ödeme  –  Nakit  (MERKEZ KASA) / NAKİT ÖDENEN</v>
      </c>
      <c r="E67" s="79" t="str">
        <f t="shared" ca="1" si="3"/>
        <v>ÖDEME</v>
      </c>
      <c r="F67" s="82">
        <f t="shared" ca="1" si="4"/>
        <v>0</v>
      </c>
      <c r="G67" s="82">
        <f t="shared" ca="1" si="5"/>
        <v>3000</v>
      </c>
      <c r="H67" s="82">
        <f t="shared" ca="1" si="6"/>
        <v>10050</v>
      </c>
      <c r="I67" s="2"/>
      <c r="J67" s="2"/>
      <c r="K67" s="1"/>
      <c r="L67" s="1"/>
      <c r="M67" s="1">
        <v>56</v>
      </c>
      <c r="N67" s="1" t="str">
        <f ca="1">IF(OR($U67=0,$W67="",$X67&lt;=0),"",IF($W67&gt;TODAY(),"",IF(AND(INDEX(UCRETLER!$E$7:$E$606,$U67)&lt;&gt;"",$W67&gt;INDEX(UCRETLER!$E$7:$E$606,$U67)),"",$W67)))</f>
        <v/>
      </c>
      <c r="O67" s="1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 t="str">
        <f t="shared" ca="1" si="10"/>
        <v/>
      </c>
      <c r="Q67" s="1"/>
      <c r="R67" s="1">
        <f t="shared" ca="1" si="11"/>
        <v>0</v>
      </c>
      <c r="S67" s="1">
        <v>0</v>
      </c>
      <c r="T67" s="1">
        <f t="shared" ca="1" si="7"/>
        <v>10000000000</v>
      </c>
      <c r="U67" s="1">
        <f t="shared" si="13"/>
        <v>11</v>
      </c>
      <c r="V67" s="1">
        <v>55</v>
      </c>
      <c r="W67" s="83">
        <f>IF($U67=0,"",IF(INDEX(UCRETLER!$D$7:$D$606,$U67)="","",IF(INDEX(UCRETLER!$F$7:$F$606,$U67)="Aylık",EOMONTH(INDEX(UCRETLER!$D$7:$D$606,$U67),$V67-1),INDEX(UCRETLER!$U$7:$U$606,$U67)+7*($V67-1))))</f>
        <v>46403</v>
      </c>
      <c r="X67" s="84">
        <f>IF($U67=0,0,INDEX(UCRETLER!$G$7:$G$606,$U67))</f>
        <v>3000</v>
      </c>
      <c r="Y67" s="1">
        <f t="shared" ca="1" si="8"/>
        <v>4622100266</v>
      </c>
      <c r="Z67" s="1">
        <f t="shared" ca="1" si="9"/>
        <v>266</v>
      </c>
      <c r="AA67" s="1"/>
      <c r="AB67" s="1"/>
      <c r="AC67" s="1"/>
      <c r="AD67" s="1"/>
    </row>
    <row r="68" spans="1:30" ht="19.5" customHeight="1" x14ac:dyDescent="0.3">
      <c r="A68" s="2"/>
      <c r="B68" s="79">
        <f t="shared" ca="1" si="0"/>
        <v>57</v>
      </c>
      <c r="C68" s="80">
        <f t="shared" ca="1" si="1"/>
        <v>46228</v>
      </c>
      <c r="D68" s="81" t="str">
        <f t="shared" ca="1" si="2"/>
        <v>25.07.2026 haftalık muhasebe hizmet ücreti</v>
      </c>
      <c r="E68" s="79" t="str">
        <f t="shared" ca="1" si="3"/>
        <v>TAHAKKUK</v>
      </c>
      <c r="F68" s="82">
        <f t="shared" ca="1" si="4"/>
        <v>3000</v>
      </c>
      <c r="G68" s="82">
        <f t="shared" ca="1" si="5"/>
        <v>0</v>
      </c>
      <c r="H68" s="82">
        <f t="shared" ca="1" si="6"/>
        <v>13050</v>
      </c>
      <c r="I68" s="2"/>
      <c r="J68" s="2"/>
      <c r="K68" s="1"/>
      <c r="L68" s="1"/>
      <c r="M68" s="1">
        <v>57</v>
      </c>
      <c r="N68" s="1" t="str">
        <f ca="1">IF(OR($U68=0,$W68="",$X68&lt;=0),"",IF($W68&gt;TODAY(),"",IF(AND(INDEX(UCRETLER!$E$7:$E$606,$U68)&lt;&gt;"",$W68&gt;INDEX(UCRETLER!$E$7:$E$606,$U68)),"",$W68)))</f>
        <v/>
      </c>
      <c r="O68" s="1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 t="str">
        <f t="shared" ca="1" si="10"/>
        <v/>
      </c>
      <c r="Q68" s="1"/>
      <c r="R68" s="1">
        <f t="shared" ca="1" si="11"/>
        <v>0</v>
      </c>
      <c r="S68" s="1">
        <v>0</v>
      </c>
      <c r="T68" s="1">
        <f t="shared" ca="1" si="7"/>
        <v>10000000000</v>
      </c>
      <c r="U68" s="1">
        <f t="shared" si="13"/>
        <v>11</v>
      </c>
      <c r="V68" s="1">
        <v>56</v>
      </c>
      <c r="W68" s="83">
        <f>IF($U68=0,"",IF(INDEX(UCRETLER!$D$7:$D$606,$U68)="","",IF(INDEX(UCRETLER!$F$7:$F$606,$U68)="Aylık",EOMONTH(INDEX(UCRETLER!$D$7:$D$606,$U68),$V68-1),INDEX(UCRETLER!$U$7:$U$606,$U68)+7*($V68-1))))</f>
        <v>46410</v>
      </c>
      <c r="X68" s="84">
        <f>IF($U68=0,0,INDEX(UCRETLER!$G$7:$G$606,$U68))</f>
        <v>3000</v>
      </c>
      <c r="Y68" s="1">
        <f t="shared" ca="1" si="8"/>
        <v>4622800031</v>
      </c>
      <c r="Z68" s="1">
        <f t="shared" ca="1" si="9"/>
        <v>31</v>
      </c>
      <c r="AA68" s="1"/>
      <c r="AB68" s="1"/>
      <c r="AC68" s="1"/>
      <c r="AD68" s="1"/>
    </row>
    <row r="69" spans="1:30" ht="19.5" customHeight="1" x14ac:dyDescent="0.3">
      <c r="A69" s="2"/>
      <c r="B69" s="79">
        <f t="shared" ca="1" si="0"/>
        <v>58</v>
      </c>
      <c r="C69" s="80">
        <f t="shared" ca="1" si="1"/>
        <v>46228</v>
      </c>
      <c r="D69" s="81" t="str">
        <f t="shared" ca="1" si="2"/>
        <v>Ödeme  –  Nakit  (MERKEZ KASA) / NAKİT ÖDENEN</v>
      </c>
      <c r="E69" s="79" t="str">
        <f t="shared" ca="1" si="3"/>
        <v>ÖDEME</v>
      </c>
      <c r="F69" s="82">
        <f t="shared" ca="1" si="4"/>
        <v>0</v>
      </c>
      <c r="G69" s="82">
        <f t="shared" ca="1" si="5"/>
        <v>3000</v>
      </c>
      <c r="H69" s="82">
        <f t="shared" ca="1" si="6"/>
        <v>10050</v>
      </c>
      <c r="I69" s="2"/>
      <c r="J69" s="2"/>
      <c r="K69" s="1"/>
      <c r="L69" s="1"/>
      <c r="M69" s="1">
        <v>58</v>
      </c>
      <c r="N69" s="1" t="str">
        <f ca="1">IF(OR($U69=0,$W69="",$X69&lt;=0),"",IF($W69&gt;TODAY(),"",IF(AND(INDEX(UCRETLER!$E$7:$E$606,$U69)&lt;&gt;"",$W69&gt;INDEX(UCRETLER!$E$7:$E$606,$U69)),"",$W69)))</f>
        <v/>
      </c>
      <c r="O69" s="1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 t="str">
        <f t="shared" ca="1" si="10"/>
        <v/>
      </c>
      <c r="Q69" s="1"/>
      <c r="R69" s="1">
        <f t="shared" ca="1" si="11"/>
        <v>0</v>
      </c>
      <c r="S69" s="1">
        <v>0</v>
      </c>
      <c r="T69" s="1">
        <f t="shared" ca="1" si="7"/>
        <v>10000000000</v>
      </c>
      <c r="U69" s="1">
        <f t="shared" si="13"/>
        <v>11</v>
      </c>
      <c r="V69" s="1">
        <v>57</v>
      </c>
      <c r="W69" s="83">
        <f>IF($U69=0,"",IF(INDEX(UCRETLER!$D$7:$D$606,$U69)="","",IF(INDEX(UCRETLER!$F$7:$F$606,$U69)="Aylık",EOMONTH(INDEX(UCRETLER!$D$7:$D$606,$U69),$V69-1),INDEX(UCRETLER!$U$7:$U$606,$U69)+7*($V69-1))))</f>
        <v>46417</v>
      </c>
      <c r="X69" s="84">
        <f>IF($U69=0,0,INDEX(UCRETLER!$G$7:$G$606,$U69))</f>
        <v>3000</v>
      </c>
      <c r="Y69" s="1">
        <f t="shared" ca="1" si="8"/>
        <v>4622800267</v>
      </c>
      <c r="Z69" s="1">
        <f t="shared" ca="1" si="9"/>
        <v>267</v>
      </c>
      <c r="AA69" s="1"/>
      <c r="AB69" s="1"/>
      <c r="AC69" s="1"/>
      <c r="AD69" s="1"/>
    </row>
    <row r="70" spans="1:30" ht="19.5" customHeight="1" x14ac:dyDescent="0.3">
      <c r="A70" s="2"/>
      <c r="B70" s="79">
        <f t="shared" ca="1" si="0"/>
        <v>59</v>
      </c>
      <c r="C70" s="80">
        <f t="shared" ca="1" si="1"/>
        <v>46235</v>
      </c>
      <c r="D70" s="81" t="str">
        <f t="shared" ca="1" si="2"/>
        <v>01.08.2026 haftalık muhasebe hizmet ücreti</v>
      </c>
      <c r="E70" s="79" t="str">
        <f t="shared" ca="1" si="3"/>
        <v>TAHAKKUK</v>
      </c>
      <c r="F70" s="82">
        <f t="shared" ca="1" si="4"/>
        <v>3000</v>
      </c>
      <c r="G70" s="82">
        <f t="shared" ca="1" si="5"/>
        <v>0</v>
      </c>
      <c r="H70" s="82">
        <f t="shared" ca="1" si="6"/>
        <v>13050</v>
      </c>
      <c r="I70" s="2"/>
      <c r="J70" s="2"/>
      <c r="K70" s="1"/>
      <c r="L70" s="1"/>
      <c r="M70" s="1">
        <v>59</v>
      </c>
      <c r="N70" s="1" t="str">
        <f ca="1">IF(OR($U70=0,$W70="",$X70&lt;=0),"",IF($W70&gt;TODAY(),"",IF(AND(INDEX(UCRETLER!$E$7:$E$606,$U70)&lt;&gt;"",$W70&gt;INDEX(UCRETLER!$E$7:$E$606,$U70)),"",$W70)))</f>
        <v/>
      </c>
      <c r="O70" s="1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 t="str">
        <f t="shared" ca="1" si="10"/>
        <v/>
      </c>
      <c r="Q70" s="1"/>
      <c r="R70" s="1">
        <f t="shared" ca="1" si="11"/>
        <v>0</v>
      </c>
      <c r="S70" s="1">
        <v>0</v>
      </c>
      <c r="T70" s="1">
        <f t="shared" ca="1" si="7"/>
        <v>10000000000</v>
      </c>
      <c r="U70" s="1">
        <f t="shared" si="13"/>
        <v>11</v>
      </c>
      <c r="V70" s="1">
        <v>58</v>
      </c>
      <c r="W70" s="83">
        <f>IF($U70=0,"",IF(INDEX(UCRETLER!$D$7:$D$606,$U70)="","",IF(INDEX(UCRETLER!$F$7:$F$606,$U70)="Aylık",EOMONTH(INDEX(UCRETLER!$D$7:$D$606,$U70),$V70-1),INDEX(UCRETLER!$U$7:$U$606,$U70)+7*($V70-1))))</f>
        <v>46424</v>
      </c>
      <c r="X70" s="84">
        <f>IF($U70=0,0,INDEX(UCRETLER!$G$7:$G$606,$U70))</f>
        <v>3000</v>
      </c>
      <c r="Y70" s="1">
        <f t="shared" ca="1" si="8"/>
        <v>4623500032</v>
      </c>
      <c r="Z70" s="1">
        <f t="shared" ca="1" si="9"/>
        <v>32</v>
      </c>
      <c r="AA70" s="1"/>
      <c r="AB70" s="1"/>
      <c r="AC70" s="1"/>
      <c r="AD70" s="1"/>
    </row>
    <row r="71" spans="1:30" ht="19.5" customHeight="1" x14ac:dyDescent="0.3">
      <c r="A71" s="2"/>
      <c r="B71" s="79">
        <f t="shared" ca="1" si="0"/>
        <v>60</v>
      </c>
      <c r="C71" s="80">
        <f t="shared" ca="1" si="1"/>
        <v>46242</v>
      </c>
      <c r="D71" s="81" t="str">
        <f t="shared" ca="1" si="2"/>
        <v>08.08.2026 haftalık muhasebe hizmet ücreti</v>
      </c>
      <c r="E71" s="79" t="str">
        <f t="shared" ca="1" si="3"/>
        <v>TAHAKKUK</v>
      </c>
      <c r="F71" s="82">
        <f t="shared" ca="1" si="4"/>
        <v>3000</v>
      </c>
      <c r="G71" s="82">
        <f t="shared" ca="1" si="5"/>
        <v>0</v>
      </c>
      <c r="H71" s="82">
        <f t="shared" ca="1" si="6"/>
        <v>16050</v>
      </c>
      <c r="I71" s="2"/>
      <c r="J71" s="2"/>
      <c r="K71" s="1"/>
      <c r="L71" s="1"/>
      <c r="M71" s="1">
        <v>60</v>
      </c>
      <c r="N71" s="1" t="str">
        <f ca="1">IF(OR($U71=0,$W71="",$X71&lt;=0),"",IF($W71&gt;TODAY(),"",IF(AND(INDEX(UCRETLER!$E$7:$E$606,$U71)&lt;&gt;"",$W71&gt;INDEX(UCRETLER!$E$7:$E$606,$U71)),"",$W71)))</f>
        <v/>
      </c>
      <c r="O71" s="1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 t="str">
        <f t="shared" ca="1" si="10"/>
        <v/>
      </c>
      <c r="Q71" s="1"/>
      <c r="R71" s="1">
        <f t="shared" ca="1" si="11"/>
        <v>0</v>
      </c>
      <c r="S71" s="1">
        <v>0</v>
      </c>
      <c r="T71" s="1">
        <f t="shared" ca="1" si="7"/>
        <v>10000000000</v>
      </c>
      <c r="U71" s="1">
        <f t="shared" si="13"/>
        <v>11</v>
      </c>
      <c r="V71" s="1">
        <v>59</v>
      </c>
      <c r="W71" s="83">
        <f>IF($U71=0,"",IF(INDEX(UCRETLER!$D$7:$D$606,$U71)="","",IF(INDEX(UCRETLER!$F$7:$F$606,$U71)="Aylık",EOMONTH(INDEX(UCRETLER!$D$7:$D$606,$U71),$V71-1),INDEX(UCRETLER!$U$7:$U$606,$U71)+7*($V71-1))))</f>
        <v>46431</v>
      </c>
      <c r="X71" s="84">
        <f>IF($U71=0,0,INDEX(UCRETLER!$G$7:$G$606,$U71))</f>
        <v>3000</v>
      </c>
      <c r="Y71" s="1">
        <f t="shared" ca="1" si="8"/>
        <v>4624200033</v>
      </c>
      <c r="Z71" s="1">
        <f t="shared" ca="1" si="9"/>
        <v>33</v>
      </c>
      <c r="AA71" s="1"/>
      <c r="AB71" s="1"/>
      <c r="AC71" s="1"/>
      <c r="AD71" s="1"/>
    </row>
    <row r="72" spans="1:30" ht="19.5" customHeight="1" x14ac:dyDescent="0.3">
      <c r="A72" s="2"/>
      <c r="B72" s="79">
        <f t="shared" ca="1" si="0"/>
        <v>61</v>
      </c>
      <c r="C72" s="80">
        <f t="shared" ca="1" si="1"/>
        <v>46243</v>
      </c>
      <c r="D72" s="81" t="str">
        <f t="shared" ca="1" si="2"/>
        <v>Ödeme  –  Nakit  (MERKEZ KASA) / NAKİT ÖDENEN</v>
      </c>
      <c r="E72" s="79" t="str">
        <f t="shared" ca="1" si="3"/>
        <v>ÖDEME</v>
      </c>
      <c r="F72" s="82">
        <f t="shared" ca="1" si="4"/>
        <v>0</v>
      </c>
      <c r="G72" s="82">
        <f t="shared" ca="1" si="5"/>
        <v>3000</v>
      </c>
      <c r="H72" s="82">
        <f t="shared" ca="1" si="6"/>
        <v>13050</v>
      </c>
      <c r="I72" s="2"/>
      <c r="J72" s="2"/>
      <c r="K72" s="1"/>
      <c r="L72" s="1"/>
      <c r="M72" s="1">
        <v>61</v>
      </c>
      <c r="N72" s="1" t="str">
        <f ca="1">IF(OR($U72=0,$W72="",$X72&lt;=0),"",IF($W72&gt;TODAY(),"",IF(AND(INDEX(UCRETLER!$E$7:$E$606,$U72)&lt;&gt;"",$W72&gt;INDEX(UCRETLER!$E$7:$E$606,$U72)),"",$W72)))</f>
        <v/>
      </c>
      <c r="O72" s="1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 t="str">
        <f t="shared" ca="1" si="10"/>
        <v/>
      </c>
      <c r="Q72" s="1"/>
      <c r="R72" s="1">
        <f t="shared" ca="1" si="11"/>
        <v>0</v>
      </c>
      <c r="S72" s="1">
        <v>0</v>
      </c>
      <c r="T72" s="1">
        <f t="shared" ca="1" si="7"/>
        <v>10000000000</v>
      </c>
      <c r="U72" s="1">
        <f t="shared" si="13"/>
        <v>11</v>
      </c>
      <c r="V72" s="1">
        <v>60</v>
      </c>
      <c r="W72" s="83">
        <f>IF($U72=0,"",IF(INDEX(UCRETLER!$D$7:$D$606,$U72)="","",IF(INDEX(UCRETLER!$F$7:$F$606,$U72)="Aylık",EOMONTH(INDEX(UCRETLER!$D$7:$D$606,$U72),$V72-1),INDEX(UCRETLER!$U$7:$U$606,$U72)+7*($V72-1))))</f>
        <v>46438</v>
      </c>
      <c r="X72" s="84">
        <f>IF($U72=0,0,INDEX(UCRETLER!$G$7:$G$606,$U72))</f>
        <v>3000</v>
      </c>
      <c r="Y72" s="1">
        <f t="shared" ca="1" si="8"/>
        <v>4624300268</v>
      </c>
      <c r="Z72" s="1">
        <f t="shared" ca="1" si="9"/>
        <v>268</v>
      </c>
      <c r="AA72" s="1"/>
      <c r="AB72" s="1"/>
      <c r="AC72" s="1"/>
      <c r="AD72" s="1"/>
    </row>
    <row r="73" spans="1:30" ht="19.5" customHeight="1" x14ac:dyDescent="0.3">
      <c r="A73" s="2"/>
      <c r="B73" s="79">
        <f t="shared" ca="1" si="0"/>
        <v>62</v>
      </c>
      <c r="C73" s="80">
        <f t="shared" ca="1" si="1"/>
        <v>46249</v>
      </c>
      <c r="D73" s="81" t="str">
        <f t="shared" ca="1" si="2"/>
        <v>15.08.2026 haftalık muhasebe hizmet ücreti</v>
      </c>
      <c r="E73" s="79" t="str">
        <f t="shared" ca="1" si="3"/>
        <v>TAHAKKUK</v>
      </c>
      <c r="F73" s="82">
        <f t="shared" ca="1" si="4"/>
        <v>3000</v>
      </c>
      <c r="G73" s="82">
        <f t="shared" ca="1" si="5"/>
        <v>0</v>
      </c>
      <c r="H73" s="82">
        <f t="shared" ca="1" si="6"/>
        <v>16050</v>
      </c>
      <c r="I73" s="2"/>
      <c r="J73" s="2"/>
      <c r="K73" s="1"/>
      <c r="L73" s="1"/>
      <c r="M73" s="1">
        <v>62</v>
      </c>
      <c r="N73" s="1" t="str">
        <f ca="1">IF(OR($U73=0,$W73="",$X73&lt;=0),"",IF($W73&gt;TODAY(),"",IF(AND(INDEX(UCRETLER!$E$7:$E$606,$U73)&lt;&gt;"",$W73&gt;INDEX(UCRETLER!$E$7:$E$606,$U73)),"",$W73)))</f>
        <v/>
      </c>
      <c r="O73" s="1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 t="str">
        <f t="shared" ca="1" si="10"/>
        <v/>
      </c>
      <c r="Q73" s="1"/>
      <c r="R73" s="1">
        <f t="shared" ca="1" si="11"/>
        <v>0</v>
      </c>
      <c r="S73" s="1">
        <v>0</v>
      </c>
      <c r="T73" s="1">
        <f t="shared" ca="1" si="7"/>
        <v>10000000000</v>
      </c>
      <c r="U73" s="1">
        <f t="shared" si="13"/>
        <v>11</v>
      </c>
      <c r="V73" s="1">
        <v>61</v>
      </c>
      <c r="W73" s="83">
        <f>IF($U73=0,"",IF(INDEX(UCRETLER!$D$7:$D$606,$U73)="","",IF(INDEX(UCRETLER!$F$7:$F$606,$U73)="Aylık",EOMONTH(INDEX(UCRETLER!$D$7:$D$606,$U73),$V73-1),INDEX(UCRETLER!$U$7:$U$606,$U73)+7*($V73-1))))</f>
        <v>46445</v>
      </c>
      <c r="X73" s="84">
        <f>IF($U73=0,0,INDEX(UCRETLER!$G$7:$G$606,$U73))</f>
        <v>3000</v>
      </c>
      <c r="Y73" s="1">
        <f t="shared" ca="1" si="8"/>
        <v>4624900034</v>
      </c>
      <c r="Z73" s="1">
        <f t="shared" ca="1" si="9"/>
        <v>34</v>
      </c>
      <c r="AA73" s="1"/>
      <c r="AB73" s="1"/>
      <c r="AC73" s="1"/>
      <c r="AD73" s="1"/>
    </row>
    <row r="74" spans="1:30" ht="19.5" customHeight="1" x14ac:dyDescent="0.3">
      <c r="A74" s="2"/>
      <c r="B74" s="79">
        <f t="shared" ca="1" si="0"/>
        <v>63</v>
      </c>
      <c r="C74" s="80">
        <f t="shared" ca="1" si="1"/>
        <v>46249</v>
      </c>
      <c r="D74" s="81" t="str">
        <f t="shared" ca="1" si="2"/>
        <v>Ödeme  –  Nakit  (MERKEZ KASA) / NAKİT ÖDENEN</v>
      </c>
      <c r="E74" s="79" t="str">
        <f t="shared" ca="1" si="3"/>
        <v>ÖDEME</v>
      </c>
      <c r="F74" s="82">
        <f t="shared" ca="1" si="4"/>
        <v>0</v>
      </c>
      <c r="G74" s="82">
        <f t="shared" ca="1" si="5"/>
        <v>5500</v>
      </c>
      <c r="H74" s="82">
        <f t="shared" ca="1" si="6"/>
        <v>10550</v>
      </c>
      <c r="I74" s="2"/>
      <c r="J74" s="2"/>
      <c r="K74" s="1"/>
      <c r="L74" s="1"/>
      <c r="M74" s="1">
        <v>63</v>
      </c>
      <c r="N74" s="1" t="str">
        <f ca="1">IF(OR($U74=0,$W74="",$X74&lt;=0),"",IF($W74&gt;TODAY(),"",IF(AND(INDEX(UCRETLER!$E$7:$E$606,$U74)&lt;&gt;"",$W74&gt;INDEX(UCRETLER!$E$7:$E$606,$U74)),"",$W74)))</f>
        <v/>
      </c>
      <c r="O74" s="1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 t="str">
        <f t="shared" ca="1" si="10"/>
        <v/>
      </c>
      <c r="Q74" s="1"/>
      <c r="R74" s="1">
        <f t="shared" ca="1" si="11"/>
        <v>0</v>
      </c>
      <c r="S74" s="1">
        <v>0</v>
      </c>
      <c r="T74" s="1">
        <f t="shared" ca="1" si="7"/>
        <v>10000000000</v>
      </c>
      <c r="U74" s="1">
        <f t="shared" si="13"/>
        <v>11</v>
      </c>
      <c r="V74" s="1">
        <v>62</v>
      </c>
      <c r="W74" s="83">
        <f>IF($U74=0,"",IF(INDEX(UCRETLER!$D$7:$D$606,$U74)="","",IF(INDEX(UCRETLER!$F$7:$F$606,$U74)="Aylık",EOMONTH(INDEX(UCRETLER!$D$7:$D$606,$U74),$V74-1),INDEX(UCRETLER!$U$7:$U$606,$U74)+7*($V74-1))))</f>
        <v>46452</v>
      </c>
      <c r="X74" s="84">
        <f>IF($U74=0,0,INDEX(UCRETLER!$G$7:$G$606,$U74))</f>
        <v>3000</v>
      </c>
      <c r="Y74" s="1">
        <f t="shared" ca="1" si="8"/>
        <v>4624900269</v>
      </c>
      <c r="Z74" s="1">
        <f t="shared" ca="1" si="9"/>
        <v>269</v>
      </c>
      <c r="AA74" s="1"/>
      <c r="AB74" s="1"/>
      <c r="AC74" s="1"/>
      <c r="AD74" s="1"/>
    </row>
    <row r="75" spans="1:30" ht="19.5" customHeight="1" x14ac:dyDescent="0.3">
      <c r="A75" s="2"/>
      <c r="B75" s="79">
        <f t="shared" ca="1" si="0"/>
        <v>64</v>
      </c>
      <c r="C75" s="80">
        <f t="shared" ca="1" si="1"/>
        <v>46254</v>
      </c>
      <c r="D75" s="81" t="str">
        <f t="shared" ca="1" si="2"/>
        <v>Ödeme  –  Nakit  (MERKEZ KASA) / NAKİT ÖDENEN</v>
      </c>
      <c r="E75" s="79" t="str">
        <f t="shared" ca="1" si="3"/>
        <v>ÖDEME</v>
      </c>
      <c r="F75" s="82">
        <f t="shared" ca="1" si="4"/>
        <v>0</v>
      </c>
      <c r="G75" s="82">
        <f t="shared" ca="1" si="5"/>
        <v>2500</v>
      </c>
      <c r="H75" s="82">
        <f t="shared" ca="1" si="6"/>
        <v>8050</v>
      </c>
      <c r="I75" s="2"/>
      <c r="J75" s="2"/>
      <c r="K75" s="1"/>
      <c r="L75" s="1"/>
      <c r="M75" s="1">
        <v>64</v>
      </c>
      <c r="N75" s="1" t="str">
        <f ca="1">IF(OR($U75=0,$W75="",$X75&lt;=0),"",IF($W75&gt;TODAY(),"",IF(AND(INDEX(UCRETLER!$E$7:$E$606,$U75)&lt;&gt;"",$W75&gt;INDEX(UCRETLER!$E$7:$E$606,$U75)),"",$W75)))</f>
        <v/>
      </c>
      <c r="O75" s="1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 t="str">
        <f t="shared" ca="1" si="10"/>
        <v/>
      </c>
      <c r="Q75" s="1"/>
      <c r="R75" s="1">
        <f t="shared" ca="1" si="11"/>
        <v>0</v>
      </c>
      <c r="S75" s="1">
        <v>0</v>
      </c>
      <c r="T75" s="1">
        <f t="shared" ca="1" si="7"/>
        <v>10000000000</v>
      </c>
      <c r="U75" s="1">
        <f t="shared" si="13"/>
        <v>11</v>
      </c>
      <c r="V75" s="1">
        <v>63</v>
      </c>
      <c r="W75" s="83">
        <f>IF($U75=0,"",IF(INDEX(UCRETLER!$D$7:$D$606,$U75)="","",IF(INDEX(UCRETLER!$F$7:$F$606,$U75)="Aylık",EOMONTH(INDEX(UCRETLER!$D$7:$D$606,$U75),$V75-1),INDEX(UCRETLER!$U$7:$U$606,$U75)+7*($V75-1))))</f>
        <v>46459</v>
      </c>
      <c r="X75" s="84">
        <f>IF($U75=0,0,INDEX(UCRETLER!$G$7:$G$606,$U75))</f>
        <v>3000</v>
      </c>
      <c r="Y75" s="1">
        <f t="shared" ca="1" si="8"/>
        <v>4625400270</v>
      </c>
      <c r="Z75" s="1">
        <f t="shared" ca="1" si="9"/>
        <v>270</v>
      </c>
      <c r="AA75" s="1"/>
      <c r="AB75" s="1"/>
      <c r="AC75" s="1"/>
      <c r="AD75" s="1"/>
    </row>
    <row r="76" spans="1:30" ht="19.5" customHeight="1" x14ac:dyDescent="0.3">
      <c r="A76" s="2"/>
      <c r="B76" s="79">
        <f t="shared" ref="B76:B139" ca="1" si="14">IF($C76="","",ROW()-11)</f>
        <v>65</v>
      </c>
      <c r="C76" s="80">
        <f t="shared" ref="C76:C139" ca="1" si="15">IF($Z76="","",IF(INDEX($N$12:$N$432,$Z76)="","",INDEX($N$12:$N$432,$Z76)))</f>
        <v>46256</v>
      </c>
      <c r="D76" s="81" t="str">
        <f t="shared" ref="D76:D139" ca="1" si="16">IF($C76="","",INDEX($O$12:$O$432,$Z76))</f>
        <v>22.08.2026 haftalık muhasebe hizmet ücreti</v>
      </c>
      <c r="E76" s="79" t="str">
        <f t="shared" ref="E76:E139" ca="1" si="17">IF($C76="","",INDEX($P$12:$P$432,$Z76))</f>
        <v>TAHAKKUK</v>
      </c>
      <c r="F76" s="82">
        <f t="shared" ref="F76:F139" ca="1" si="18">IF($C76="","",INDEX($R$12:$R$432,$Z76))</f>
        <v>3000</v>
      </c>
      <c r="G76" s="82">
        <f t="shared" ref="G76:G139" ca="1" si="19">IF($C76="","",INDEX($S$12:$S$432,$Z76))</f>
        <v>0</v>
      </c>
      <c r="H76" s="82">
        <f t="shared" ref="H76:H139" ca="1" si="20">IF($C76="","",N($H75)+$F76-$G76)</f>
        <v>11050</v>
      </c>
      <c r="I76" s="2"/>
      <c r="J76" s="2"/>
      <c r="K76" s="1"/>
      <c r="L76" s="1"/>
      <c r="M76" s="1">
        <v>65</v>
      </c>
      <c r="N76" s="1" t="str">
        <f ca="1">IF(OR($U76=0,$W76="",$X76&lt;=0),"",IF($W76&gt;TODAY(),"",IF(AND(INDEX(UCRETLER!$E$7:$E$606,$U76)&lt;&gt;"",$W76&gt;INDEX(UCRETLER!$E$7:$E$606,$U76)),"",$W76)))</f>
        <v/>
      </c>
      <c r="O76" s="1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 t="str">
        <f t="shared" ca="1" si="10"/>
        <v/>
      </c>
      <c r="Q76" s="1"/>
      <c r="R76" s="1">
        <f t="shared" ca="1" si="11"/>
        <v>0</v>
      </c>
      <c r="S76" s="1">
        <v>0</v>
      </c>
      <c r="T76" s="1">
        <f t="shared" ref="T76:T139" ca="1" si="21">IF($N76="",10000000000,$N76*100000+$M76)</f>
        <v>10000000000</v>
      </c>
      <c r="U76" s="1">
        <f t="shared" si="13"/>
        <v>11</v>
      </c>
      <c r="V76" s="1">
        <v>64</v>
      </c>
      <c r="W76" s="83">
        <f>IF($U76=0,"",IF(INDEX(UCRETLER!$D$7:$D$606,$U76)="","",IF(INDEX(UCRETLER!$F$7:$F$606,$U76)="Aylık",EOMONTH(INDEX(UCRETLER!$D$7:$D$606,$U76),$V76-1),INDEX(UCRETLER!$U$7:$U$606,$U76)+7*($V76-1))))</f>
        <v>46466</v>
      </c>
      <c r="X76" s="84">
        <f>IF($U76=0,0,INDEX(UCRETLER!$G$7:$G$606,$U76))</f>
        <v>3000</v>
      </c>
      <c r="Y76" s="1">
        <f t="shared" ref="Y76:Y139" ca="1" si="22">IFERROR(SMALL($T$12:$T$432,ROW()-11),"")</f>
        <v>4625600035</v>
      </c>
      <c r="Z76" s="1">
        <f t="shared" ref="Z76:Z139" ca="1" si="23">IFERROR(MATCH($Y76,$T$12:$T$432,0),"")</f>
        <v>35</v>
      </c>
      <c r="AA76" s="1"/>
      <c r="AB76" s="1"/>
      <c r="AC76" s="1"/>
      <c r="AD76" s="1"/>
    </row>
    <row r="77" spans="1:30" ht="19.5" customHeight="1" x14ac:dyDescent="0.3">
      <c r="A77" s="2"/>
      <c r="B77" s="79" t="str">
        <f t="shared" ca="1" si="14"/>
        <v/>
      </c>
      <c r="C77" s="80" t="str">
        <f t="shared" ca="1" si="15"/>
        <v/>
      </c>
      <c r="D77" s="81" t="str">
        <f t="shared" ca="1" si="16"/>
        <v/>
      </c>
      <c r="E77" s="79" t="str">
        <f t="shared" ca="1" si="17"/>
        <v/>
      </c>
      <c r="F77" s="82" t="str">
        <f t="shared" ca="1" si="18"/>
        <v/>
      </c>
      <c r="G77" s="82" t="str">
        <f t="shared" ca="1" si="19"/>
        <v/>
      </c>
      <c r="H77" s="82" t="str">
        <f t="shared" ca="1" si="20"/>
        <v/>
      </c>
      <c r="I77" s="2"/>
      <c r="J77" s="2"/>
      <c r="K77" s="1"/>
      <c r="L77" s="1"/>
      <c r="M77" s="1">
        <v>66</v>
      </c>
      <c r="N77" s="1" t="str">
        <f ca="1">IF(OR($U77=0,$W77="",$X77&lt;=0),"",IF($W77&gt;TODAY(),"",IF(AND(INDEX(UCRETLER!$E$7:$E$606,$U77)&lt;&gt;"",$W77&gt;INDEX(UCRETLER!$E$7:$E$606,$U77)),"",$W77)))</f>
        <v/>
      </c>
      <c r="O77" s="1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 t="str">
        <f t="shared" ref="P77:P140" ca="1" si="24">IF($N77="","","TAHAKKUK")</f>
        <v/>
      </c>
      <c r="Q77" s="1"/>
      <c r="R77" s="1">
        <f t="shared" ref="R77:R140" ca="1" si="25">IF($N77="",0,$X77)</f>
        <v>0</v>
      </c>
      <c r="S77" s="1">
        <v>0</v>
      </c>
      <c r="T77" s="1">
        <f t="shared" ca="1" si="21"/>
        <v>10000000000</v>
      </c>
      <c r="U77" s="1">
        <f t="shared" ref="U77:U92" si="26">$AB$4</f>
        <v>11</v>
      </c>
      <c r="V77" s="1">
        <v>65</v>
      </c>
      <c r="W77" s="83">
        <f>IF($U77=0,"",IF(INDEX(UCRETLER!$D$7:$D$606,$U77)="","",IF(INDEX(UCRETLER!$F$7:$F$606,$U77)="Aylık",EOMONTH(INDEX(UCRETLER!$D$7:$D$606,$U77),$V77-1),INDEX(UCRETLER!$U$7:$U$606,$U77)+7*($V77-1))))</f>
        <v>46473</v>
      </c>
      <c r="X77" s="84">
        <f>IF($U77=0,0,INDEX(UCRETLER!$G$7:$G$606,$U77))</f>
        <v>3000</v>
      </c>
      <c r="Y77" s="1">
        <f t="shared" ca="1" si="22"/>
        <v>10000000000</v>
      </c>
      <c r="Z77" s="1">
        <f t="shared" ca="1" si="23"/>
        <v>1</v>
      </c>
      <c r="AA77" s="1"/>
      <c r="AB77" s="1"/>
      <c r="AC77" s="1"/>
      <c r="AD77" s="1"/>
    </row>
    <row r="78" spans="1:30" ht="19.5" customHeight="1" x14ac:dyDescent="0.3">
      <c r="A78" s="2"/>
      <c r="B78" s="79" t="str">
        <f t="shared" ca="1" si="14"/>
        <v/>
      </c>
      <c r="C78" s="80" t="str">
        <f t="shared" ca="1" si="15"/>
        <v/>
      </c>
      <c r="D78" s="81" t="str">
        <f t="shared" ca="1" si="16"/>
        <v/>
      </c>
      <c r="E78" s="79" t="str">
        <f t="shared" ca="1" si="17"/>
        <v/>
      </c>
      <c r="F78" s="82" t="str">
        <f t="shared" ca="1" si="18"/>
        <v/>
      </c>
      <c r="G78" s="82" t="str">
        <f t="shared" ca="1" si="19"/>
        <v/>
      </c>
      <c r="H78" s="82" t="str">
        <f t="shared" ca="1" si="20"/>
        <v/>
      </c>
      <c r="I78" s="2"/>
      <c r="J78" s="2"/>
      <c r="K78" s="1"/>
      <c r="L78" s="1"/>
      <c r="M78" s="1">
        <v>67</v>
      </c>
      <c r="N78" s="1" t="str">
        <f ca="1">IF(OR($U78=0,$W78="",$X78&lt;=0),"",IF($W78&gt;TODAY(),"",IF(AND(INDEX(UCRETLER!$E$7:$E$606,$U78)&lt;&gt;"",$W78&gt;INDEX(UCRETLER!$E$7:$E$606,$U78)),"",$W78)))</f>
        <v/>
      </c>
      <c r="O78" s="1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 t="str">
        <f t="shared" ca="1" si="24"/>
        <v/>
      </c>
      <c r="Q78" s="1"/>
      <c r="R78" s="1">
        <f t="shared" ca="1" si="25"/>
        <v>0</v>
      </c>
      <c r="S78" s="1">
        <v>0</v>
      </c>
      <c r="T78" s="1">
        <f t="shared" ca="1" si="21"/>
        <v>10000000000</v>
      </c>
      <c r="U78" s="1">
        <f t="shared" si="26"/>
        <v>11</v>
      </c>
      <c r="V78" s="1">
        <v>66</v>
      </c>
      <c r="W78" s="83">
        <f>IF($U78=0,"",IF(INDEX(UCRETLER!$D$7:$D$606,$U78)="","",IF(INDEX(UCRETLER!$F$7:$F$606,$U78)="Aylık",EOMONTH(INDEX(UCRETLER!$D$7:$D$606,$U78),$V78-1),INDEX(UCRETLER!$U$7:$U$606,$U78)+7*($V78-1))))</f>
        <v>46480</v>
      </c>
      <c r="X78" s="84">
        <f>IF($U78=0,0,INDEX(UCRETLER!$G$7:$G$606,$U78))</f>
        <v>3000</v>
      </c>
      <c r="Y78" s="1">
        <f t="shared" ca="1" si="22"/>
        <v>10000000000</v>
      </c>
      <c r="Z78" s="1">
        <f t="shared" ca="1" si="23"/>
        <v>1</v>
      </c>
      <c r="AA78" s="1"/>
      <c r="AB78" s="1"/>
      <c r="AC78" s="1"/>
      <c r="AD78" s="1"/>
    </row>
    <row r="79" spans="1:30" ht="19.5" customHeight="1" x14ac:dyDescent="0.3">
      <c r="A79" s="2"/>
      <c r="B79" s="79" t="str">
        <f t="shared" ca="1" si="14"/>
        <v/>
      </c>
      <c r="C79" s="80" t="str">
        <f t="shared" ca="1" si="15"/>
        <v/>
      </c>
      <c r="D79" s="81" t="str">
        <f t="shared" ca="1" si="16"/>
        <v/>
      </c>
      <c r="E79" s="79" t="str">
        <f t="shared" ca="1" si="17"/>
        <v/>
      </c>
      <c r="F79" s="82" t="str">
        <f t="shared" ca="1" si="18"/>
        <v/>
      </c>
      <c r="G79" s="82" t="str">
        <f t="shared" ca="1" si="19"/>
        <v/>
      </c>
      <c r="H79" s="82" t="str">
        <f t="shared" ca="1" si="20"/>
        <v/>
      </c>
      <c r="I79" s="2"/>
      <c r="J79" s="2"/>
      <c r="K79" s="1"/>
      <c r="L79" s="1"/>
      <c r="M79" s="1">
        <v>68</v>
      </c>
      <c r="N79" s="1" t="str">
        <f ca="1">IF(OR($U79=0,$W79="",$X79&lt;=0),"",IF($W79&gt;TODAY(),"",IF(AND(INDEX(UCRETLER!$E$7:$E$606,$U79)&lt;&gt;"",$W79&gt;INDEX(UCRETLER!$E$7:$E$606,$U79)),"",$W79)))</f>
        <v/>
      </c>
      <c r="O79" s="1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 t="str">
        <f t="shared" ca="1" si="24"/>
        <v/>
      </c>
      <c r="Q79" s="1"/>
      <c r="R79" s="1">
        <f t="shared" ca="1" si="25"/>
        <v>0</v>
      </c>
      <c r="S79" s="1">
        <v>0</v>
      </c>
      <c r="T79" s="1">
        <f t="shared" ca="1" si="21"/>
        <v>10000000000</v>
      </c>
      <c r="U79" s="1">
        <f t="shared" si="26"/>
        <v>11</v>
      </c>
      <c r="V79" s="1">
        <v>67</v>
      </c>
      <c r="W79" s="83">
        <f>IF($U79=0,"",IF(INDEX(UCRETLER!$D$7:$D$606,$U79)="","",IF(INDEX(UCRETLER!$F$7:$F$606,$U79)="Aylık",EOMONTH(INDEX(UCRETLER!$D$7:$D$606,$U79),$V79-1),INDEX(UCRETLER!$U$7:$U$606,$U79)+7*($V79-1))))</f>
        <v>46487</v>
      </c>
      <c r="X79" s="84">
        <f>IF($U79=0,0,INDEX(UCRETLER!$G$7:$G$606,$U79))</f>
        <v>3000</v>
      </c>
      <c r="Y79" s="1">
        <f t="shared" ca="1" si="22"/>
        <v>10000000000</v>
      </c>
      <c r="Z79" s="1">
        <f t="shared" ca="1" si="23"/>
        <v>1</v>
      </c>
      <c r="AA79" s="1"/>
      <c r="AB79" s="1"/>
      <c r="AC79" s="1"/>
      <c r="AD79" s="1"/>
    </row>
    <row r="80" spans="1:30" ht="19.5" customHeight="1" x14ac:dyDescent="0.3">
      <c r="A80" s="2"/>
      <c r="B80" s="79" t="str">
        <f t="shared" ca="1" si="14"/>
        <v/>
      </c>
      <c r="C80" s="80" t="str">
        <f t="shared" ca="1" si="15"/>
        <v/>
      </c>
      <c r="D80" s="81" t="str">
        <f t="shared" ca="1" si="16"/>
        <v/>
      </c>
      <c r="E80" s="79" t="str">
        <f t="shared" ca="1" si="17"/>
        <v/>
      </c>
      <c r="F80" s="82" t="str">
        <f t="shared" ca="1" si="18"/>
        <v/>
      </c>
      <c r="G80" s="82" t="str">
        <f t="shared" ca="1" si="19"/>
        <v/>
      </c>
      <c r="H80" s="82" t="str">
        <f t="shared" ca="1" si="20"/>
        <v/>
      </c>
      <c r="I80" s="2"/>
      <c r="J80" s="2"/>
      <c r="K80" s="1"/>
      <c r="L80" s="1"/>
      <c r="M80" s="1">
        <v>69</v>
      </c>
      <c r="N80" s="1" t="str">
        <f ca="1">IF(OR($U80=0,$W80="",$X80&lt;=0),"",IF($W80&gt;TODAY(),"",IF(AND(INDEX(UCRETLER!$E$7:$E$606,$U80)&lt;&gt;"",$W80&gt;INDEX(UCRETLER!$E$7:$E$606,$U80)),"",$W80)))</f>
        <v/>
      </c>
      <c r="O80" s="1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 t="str">
        <f t="shared" ca="1" si="24"/>
        <v/>
      </c>
      <c r="Q80" s="1"/>
      <c r="R80" s="1">
        <f t="shared" ca="1" si="25"/>
        <v>0</v>
      </c>
      <c r="S80" s="1">
        <v>0</v>
      </c>
      <c r="T80" s="1">
        <f t="shared" ca="1" si="21"/>
        <v>10000000000</v>
      </c>
      <c r="U80" s="1">
        <f t="shared" si="26"/>
        <v>11</v>
      </c>
      <c r="V80" s="1">
        <v>68</v>
      </c>
      <c r="W80" s="83">
        <f>IF($U80=0,"",IF(INDEX(UCRETLER!$D$7:$D$606,$U80)="","",IF(INDEX(UCRETLER!$F$7:$F$606,$U80)="Aylık",EOMONTH(INDEX(UCRETLER!$D$7:$D$606,$U80),$V80-1),INDEX(UCRETLER!$U$7:$U$606,$U80)+7*($V80-1))))</f>
        <v>46494</v>
      </c>
      <c r="X80" s="84">
        <f>IF($U80=0,0,INDEX(UCRETLER!$G$7:$G$606,$U80))</f>
        <v>3000</v>
      </c>
      <c r="Y80" s="1">
        <f t="shared" ca="1" si="22"/>
        <v>10000000000</v>
      </c>
      <c r="Z80" s="1">
        <f t="shared" ca="1" si="23"/>
        <v>1</v>
      </c>
      <c r="AA80" s="1"/>
      <c r="AB80" s="1"/>
      <c r="AC80" s="1"/>
      <c r="AD80" s="1"/>
    </row>
    <row r="81" spans="1:30" ht="19.5" customHeight="1" x14ac:dyDescent="0.3">
      <c r="A81" s="2"/>
      <c r="B81" s="79" t="str">
        <f t="shared" ca="1" si="14"/>
        <v/>
      </c>
      <c r="C81" s="80" t="str">
        <f t="shared" ca="1" si="15"/>
        <v/>
      </c>
      <c r="D81" s="81" t="str">
        <f t="shared" ca="1" si="16"/>
        <v/>
      </c>
      <c r="E81" s="79" t="str">
        <f t="shared" ca="1" si="17"/>
        <v/>
      </c>
      <c r="F81" s="82" t="str">
        <f t="shared" ca="1" si="18"/>
        <v/>
      </c>
      <c r="G81" s="82" t="str">
        <f t="shared" ca="1" si="19"/>
        <v/>
      </c>
      <c r="H81" s="82" t="str">
        <f t="shared" ca="1" si="20"/>
        <v/>
      </c>
      <c r="I81" s="2"/>
      <c r="J81" s="2"/>
      <c r="K81" s="1"/>
      <c r="L81" s="1"/>
      <c r="M81" s="1">
        <v>70</v>
      </c>
      <c r="N81" s="1" t="str">
        <f ca="1">IF(OR($U81=0,$W81="",$X81&lt;=0),"",IF($W81&gt;TODAY(),"",IF(AND(INDEX(UCRETLER!$E$7:$E$606,$U81)&lt;&gt;"",$W81&gt;INDEX(UCRETLER!$E$7:$E$606,$U81)),"",$W81)))</f>
        <v/>
      </c>
      <c r="O81" s="1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 t="str">
        <f t="shared" ca="1" si="24"/>
        <v/>
      </c>
      <c r="Q81" s="1"/>
      <c r="R81" s="1">
        <f t="shared" ca="1" si="25"/>
        <v>0</v>
      </c>
      <c r="S81" s="1">
        <v>0</v>
      </c>
      <c r="T81" s="1">
        <f t="shared" ca="1" si="21"/>
        <v>10000000000</v>
      </c>
      <c r="U81" s="1">
        <f t="shared" si="26"/>
        <v>11</v>
      </c>
      <c r="V81" s="1">
        <v>69</v>
      </c>
      <c r="W81" s="83">
        <f>IF($U81=0,"",IF(INDEX(UCRETLER!$D$7:$D$606,$U81)="","",IF(INDEX(UCRETLER!$F$7:$F$606,$U81)="Aylık",EOMONTH(INDEX(UCRETLER!$D$7:$D$606,$U81),$V81-1),INDEX(UCRETLER!$U$7:$U$606,$U81)+7*($V81-1))))</f>
        <v>46501</v>
      </c>
      <c r="X81" s="84">
        <f>IF($U81=0,0,INDEX(UCRETLER!$G$7:$G$606,$U81))</f>
        <v>3000</v>
      </c>
      <c r="Y81" s="1">
        <f t="shared" ca="1" si="22"/>
        <v>10000000000</v>
      </c>
      <c r="Z81" s="1">
        <f t="shared" ca="1" si="23"/>
        <v>1</v>
      </c>
      <c r="AA81" s="1"/>
      <c r="AB81" s="1"/>
      <c r="AC81" s="1"/>
      <c r="AD81" s="1"/>
    </row>
    <row r="82" spans="1:30" ht="19.5" customHeight="1" x14ac:dyDescent="0.3">
      <c r="A82" s="2"/>
      <c r="B82" s="79" t="str">
        <f t="shared" ca="1" si="14"/>
        <v/>
      </c>
      <c r="C82" s="80" t="str">
        <f t="shared" ca="1" si="15"/>
        <v/>
      </c>
      <c r="D82" s="81" t="str">
        <f t="shared" ca="1" si="16"/>
        <v/>
      </c>
      <c r="E82" s="79" t="str">
        <f t="shared" ca="1" si="17"/>
        <v/>
      </c>
      <c r="F82" s="82" t="str">
        <f t="shared" ca="1" si="18"/>
        <v/>
      </c>
      <c r="G82" s="82" t="str">
        <f t="shared" ca="1" si="19"/>
        <v/>
      </c>
      <c r="H82" s="82" t="str">
        <f t="shared" ca="1" si="20"/>
        <v/>
      </c>
      <c r="I82" s="2"/>
      <c r="J82" s="2"/>
      <c r="K82" s="1"/>
      <c r="L82" s="1"/>
      <c r="M82" s="1">
        <v>71</v>
      </c>
      <c r="N82" s="1" t="str">
        <f ca="1">IF(OR($U82=0,$W82="",$X82&lt;=0),"",IF($W82&gt;TODAY(),"",IF(AND(INDEX(UCRETLER!$E$7:$E$606,$U82)&lt;&gt;"",$W82&gt;INDEX(UCRETLER!$E$7:$E$606,$U82)),"",$W82)))</f>
        <v/>
      </c>
      <c r="O82" s="1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 t="str">
        <f t="shared" ca="1" si="24"/>
        <v/>
      </c>
      <c r="Q82" s="1"/>
      <c r="R82" s="1">
        <f t="shared" ca="1" si="25"/>
        <v>0</v>
      </c>
      <c r="S82" s="1">
        <v>0</v>
      </c>
      <c r="T82" s="1">
        <f t="shared" ca="1" si="21"/>
        <v>10000000000</v>
      </c>
      <c r="U82" s="1">
        <f t="shared" si="26"/>
        <v>11</v>
      </c>
      <c r="V82" s="1">
        <v>70</v>
      </c>
      <c r="W82" s="83">
        <f>IF($U82=0,"",IF(INDEX(UCRETLER!$D$7:$D$606,$U82)="","",IF(INDEX(UCRETLER!$F$7:$F$606,$U82)="Aylık",EOMONTH(INDEX(UCRETLER!$D$7:$D$606,$U82),$V82-1),INDEX(UCRETLER!$U$7:$U$606,$U82)+7*($V82-1))))</f>
        <v>46508</v>
      </c>
      <c r="X82" s="84">
        <f>IF($U82=0,0,INDEX(UCRETLER!$G$7:$G$606,$U82))</f>
        <v>3000</v>
      </c>
      <c r="Y82" s="1">
        <f t="shared" ca="1" si="22"/>
        <v>10000000000</v>
      </c>
      <c r="Z82" s="1">
        <f t="shared" ca="1" si="23"/>
        <v>1</v>
      </c>
      <c r="AA82" s="1"/>
      <c r="AB82" s="1"/>
      <c r="AC82" s="1"/>
      <c r="AD82" s="1"/>
    </row>
    <row r="83" spans="1:30" ht="19.5" customHeight="1" x14ac:dyDescent="0.3">
      <c r="A83" s="2"/>
      <c r="B83" s="79" t="str">
        <f t="shared" ca="1" si="14"/>
        <v/>
      </c>
      <c r="C83" s="80" t="str">
        <f t="shared" ca="1" si="15"/>
        <v/>
      </c>
      <c r="D83" s="81" t="str">
        <f t="shared" ca="1" si="16"/>
        <v/>
      </c>
      <c r="E83" s="79" t="str">
        <f t="shared" ca="1" si="17"/>
        <v/>
      </c>
      <c r="F83" s="82" t="str">
        <f t="shared" ca="1" si="18"/>
        <v/>
      </c>
      <c r="G83" s="82" t="str">
        <f t="shared" ca="1" si="19"/>
        <v/>
      </c>
      <c r="H83" s="82" t="str">
        <f t="shared" ca="1" si="20"/>
        <v/>
      </c>
      <c r="I83" s="2"/>
      <c r="J83" s="2"/>
      <c r="K83" s="1"/>
      <c r="L83" s="1"/>
      <c r="M83" s="1">
        <v>72</v>
      </c>
      <c r="N83" s="1" t="str">
        <f ca="1">IF(OR($U83=0,$W83="",$X83&lt;=0),"",IF($W83&gt;TODAY(),"",IF(AND(INDEX(UCRETLER!$E$7:$E$606,$U83)&lt;&gt;"",$W83&gt;INDEX(UCRETLER!$E$7:$E$606,$U83)),"",$W83)))</f>
        <v/>
      </c>
      <c r="O83" s="1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 t="str">
        <f t="shared" ca="1" si="24"/>
        <v/>
      </c>
      <c r="Q83" s="1"/>
      <c r="R83" s="1">
        <f t="shared" ca="1" si="25"/>
        <v>0</v>
      </c>
      <c r="S83" s="1">
        <v>0</v>
      </c>
      <c r="T83" s="1">
        <f t="shared" ca="1" si="21"/>
        <v>10000000000</v>
      </c>
      <c r="U83" s="1">
        <f t="shared" si="26"/>
        <v>11</v>
      </c>
      <c r="V83" s="1">
        <v>71</v>
      </c>
      <c r="W83" s="83">
        <f>IF($U83=0,"",IF(INDEX(UCRETLER!$D$7:$D$606,$U83)="","",IF(INDEX(UCRETLER!$F$7:$F$606,$U83)="Aylık",EOMONTH(INDEX(UCRETLER!$D$7:$D$606,$U83),$V83-1),INDEX(UCRETLER!$U$7:$U$606,$U83)+7*($V83-1))))</f>
        <v>46515</v>
      </c>
      <c r="X83" s="84">
        <f>IF($U83=0,0,INDEX(UCRETLER!$G$7:$G$606,$U83))</f>
        <v>3000</v>
      </c>
      <c r="Y83" s="1">
        <f t="shared" ca="1" si="22"/>
        <v>10000000000</v>
      </c>
      <c r="Z83" s="1">
        <f t="shared" ca="1" si="23"/>
        <v>1</v>
      </c>
      <c r="AA83" s="1"/>
      <c r="AB83" s="1"/>
      <c r="AC83" s="1"/>
      <c r="AD83" s="1"/>
    </row>
    <row r="84" spans="1:30" ht="19.5" customHeight="1" x14ac:dyDescent="0.3">
      <c r="A84" s="2"/>
      <c r="B84" s="79" t="str">
        <f t="shared" ca="1" si="14"/>
        <v/>
      </c>
      <c r="C84" s="80" t="str">
        <f t="shared" ca="1" si="15"/>
        <v/>
      </c>
      <c r="D84" s="81" t="str">
        <f t="shared" ca="1" si="16"/>
        <v/>
      </c>
      <c r="E84" s="79" t="str">
        <f t="shared" ca="1" si="17"/>
        <v/>
      </c>
      <c r="F84" s="82" t="str">
        <f t="shared" ca="1" si="18"/>
        <v/>
      </c>
      <c r="G84" s="82" t="str">
        <f t="shared" ca="1" si="19"/>
        <v/>
      </c>
      <c r="H84" s="82" t="str">
        <f t="shared" ca="1" si="20"/>
        <v/>
      </c>
      <c r="I84" s="2"/>
      <c r="J84" s="2"/>
      <c r="K84" s="1"/>
      <c r="L84" s="1"/>
      <c r="M84" s="1">
        <v>73</v>
      </c>
      <c r="N84" s="1" t="str">
        <f ca="1">IF(OR($U84=0,$W84="",$X84&lt;=0),"",IF($W84&gt;TODAY(),"",IF(AND(INDEX(UCRETLER!$E$7:$E$606,$U84)&lt;&gt;"",$W84&gt;INDEX(UCRETLER!$E$7:$E$606,$U84)),"",$W84)))</f>
        <v/>
      </c>
      <c r="O84" s="1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 t="str">
        <f t="shared" ca="1" si="24"/>
        <v/>
      </c>
      <c r="Q84" s="1"/>
      <c r="R84" s="1">
        <f t="shared" ca="1" si="25"/>
        <v>0</v>
      </c>
      <c r="S84" s="1">
        <v>0</v>
      </c>
      <c r="T84" s="1">
        <f t="shared" ca="1" si="21"/>
        <v>10000000000</v>
      </c>
      <c r="U84" s="1">
        <f t="shared" si="26"/>
        <v>11</v>
      </c>
      <c r="V84" s="1">
        <v>72</v>
      </c>
      <c r="W84" s="83">
        <f>IF($U84=0,"",IF(INDEX(UCRETLER!$D$7:$D$606,$U84)="","",IF(INDEX(UCRETLER!$F$7:$F$606,$U84)="Aylık",EOMONTH(INDEX(UCRETLER!$D$7:$D$606,$U84),$V84-1),INDEX(UCRETLER!$U$7:$U$606,$U84)+7*($V84-1))))</f>
        <v>46522</v>
      </c>
      <c r="X84" s="84">
        <f>IF($U84=0,0,INDEX(UCRETLER!$G$7:$G$606,$U84))</f>
        <v>3000</v>
      </c>
      <c r="Y84" s="1">
        <f t="shared" ca="1" si="22"/>
        <v>10000000000</v>
      </c>
      <c r="Z84" s="1">
        <f t="shared" ca="1" si="23"/>
        <v>1</v>
      </c>
      <c r="AA84" s="1"/>
      <c r="AB84" s="1"/>
      <c r="AC84" s="1"/>
      <c r="AD84" s="1"/>
    </row>
    <row r="85" spans="1:30" ht="19.5" customHeight="1" x14ac:dyDescent="0.3">
      <c r="A85" s="2"/>
      <c r="B85" s="79" t="str">
        <f t="shared" ca="1" si="14"/>
        <v/>
      </c>
      <c r="C85" s="80" t="str">
        <f t="shared" ca="1" si="15"/>
        <v/>
      </c>
      <c r="D85" s="81" t="str">
        <f t="shared" ca="1" si="16"/>
        <v/>
      </c>
      <c r="E85" s="79" t="str">
        <f t="shared" ca="1" si="17"/>
        <v/>
      </c>
      <c r="F85" s="82" t="str">
        <f t="shared" ca="1" si="18"/>
        <v/>
      </c>
      <c r="G85" s="82" t="str">
        <f t="shared" ca="1" si="19"/>
        <v/>
      </c>
      <c r="H85" s="82" t="str">
        <f t="shared" ca="1" si="20"/>
        <v/>
      </c>
      <c r="I85" s="2"/>
      <c r="J85" s="2"/>
      <c r="K85" s="1"/>
      <c r="L85" s="1"/>
      <c r="M85" s="1">
        <v>74</v>
      </c>
      <c r="N85" s="1" t="str">
        <f ca="1">IF(OR($U85=0,$W85="",$X85&lt;=0),"",IF($W85&gt;TODAY(),"",IF(AND(INDEX(UCRETLER!$E$7:$E$606,$U85)&lt;&gt;"",$W85&gt;INDEX(UCRETLER!$E$7:$E$606,$U85)),"",$W85)))</f>
        <v/>
      </c>
      <c r="O85" s="1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 t="str">
        <f t="shared" ca="1" si="24"/>
        <v/>
      </c>
      <c r="Q85" s="1"/>
      <c r="R85" s="1">
        <f t="shared" ca="1" si="25"/>
        <v>0</v>
      </c>
      <c r="S85" s="1">
        <v>0</v>
      </c>
      <c r="T85" s="1">
        <f t="shared" ca="1" si="21"/>
        <v>10000000000</v>
      </c>
      <c r="U85" s="1">
        <f t="shared" si="26"/>
        <v>11</v>
      </c>
      <c r="V85" s="1">
        <v>73</v>
      </c>
      <c r="W85" s="83">
        <f>IF($U85=0,"",IF(INDEX(UCRETLER!$D$7:$D$606,$U85)="","",IF(INDEX(UCRETLER!$F$7:$F$606,$U85)="Aylık",EOMONTH(INDEX(UCRETLER!$D$7:$D$606,$U85),$V85-1),INDEX(UCRETLER!$U$7:$U$606,$U85)+7*($V85-1))))</f>
        <v>46529</v>
      </c>
      <c r="X85" s="84">
        <f>IF($U85=0,0,INDEX(UCRETLER!$G$7:$G$606,$U85))</f>
        <v>3000</v>
      </c>
      <c r="Y85" s="1">
        <f t="shared" ca="1" si="22"/>
        <v>10000000000</v>
      </c>
      <c r="Z85" s="1">
        <f t="shared" ca="1" si="23"/>
        <v>1</v>
      </c>
      <c r="AA85" s="1"/>
      <c r="AB85" s="1"/>
      <c r="AC85" s="1"/>
      <c r="AD85" s="1"/>
    </row>
    <row r="86" spans="1:30" ht="19.5" customHeight="1" x14ac:dyDescent="0.3">
      <c r="A86" s="2"/>
      <c r="B86" s="79" t="str">
        <f t="shared" ca="1" si="14"/>
        <v/>
      </c>
      <c r="C86" s="80" t="str">
        <f t="shared" ca="1" si="15"/>
        <v/>
      </c>
      <c r="D86" s="81" t="str">
        <f t="shared" ca="1" si="16"/>
        <v/>
      </c>
      <c r="E86" s="79" t="str">
        <f t="shared" ca="1" si="17"/>
        <v/>
      </c>
      <c r="F86" s="82" t="str">
        <f t="shared" ca="1" si="18"/>
        <v/>
      </c>
      <c r="G86" s="82" t="str">
        <f t="shared" ca="1" si="19"/>
        <v/>
      </c>
      <c r="H86" s="82" t="str">
        <f t="shared" ca="1" si="20"/>
        <v/>
      </c>
      <c r="I86" s="2"/>
      <c r="J86" s="2"/>
      <c r="K86" s="1"/>
      <c r="L86" s="1"/>
      <c r="M86" s="1">
        <v>75</v>
      </c>
      <c r="N86" s="1" t="str">
        <f ca="1">IF(OR($U86=0,$W86="",$X86&lt;=0),"",IF($W86&gt;TODAY(),"",IF(AND(INDEX(UCRETLER!$E$7:$E$606,$U86)&lt;&gt;"",$W86&gt;INDEX(UCRETLER!$E$7:$E$606,$U86)),"",$W86)))</f>
        <v/>
      </c>
      <c r="O86" s="1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 t="str">
        <f t="shared" ca="1" si="24"/>
        <v/>
      </c>
      <c r="Q86" s="1"/>
      <c r="R86" s="1">
        <f t="shared" ca="1" si="25"/>
        <v>0</v>
      </c>
      <c r="S86" s="1">
        <v>0</v>
      </c>
      <c r="T86" s="1">
        <f t="shared" ca="1" si="21"/>
        <v>10000000000</v>
      </c>
      <c r="U86" s="1">
        <f t="shared" si="26"/>
        <v>11</v>
      </c>
      <c r="V86" s="1">
        <v>74</v>
      </c>
      <c r="W86" s="83">
        <f>IF($U86=0,"",IF(INDEX(UCRETLER!$D$7:$D$606,$U86)="","",IF(INDEX(UCRETLER!$F$7:$F$606,$U86)="Aylık",EOMONTH(INDEX(UCRETLER!$D$7:$D$606,$U86),$V86-1),INDEX(UCRETLER!$U$7:$U$606,$U86)+7*($V86-1))))</f>
        <v>46536</v>
      </c>
      <c r="X86" s="84">
        <f>IF($U86=0,0,INDEX(UCRETLER!$G$7:$G$606,$U86))</f>
        <v>3000</v>
      </c>
      <c r="Y86" s="1">
        <f t="shared" ca="1" si="22"/>
        <v>10000000000</v>
      </c>
      <c r="Z86" s="1">
        <f t="shared" ca="1" si="23"/>
        <v>1</v>
      </c>
      <c r="AA86" s="1"/>
      <c r="AB86" s="1"/>
      <c r="AC86" s="1"/>
      <c r="AD86" s="1"/>
    </row>
    <row r="87" spans="1:30" ht="19.5" customHeight="1" x14ac:dyDescent="0.3">
      <c r="A87" s="2"/>
      <c r="B87" s="79" t="str">
        <f t="shared" ca="1" si="14"/>
        <v/>
      </c>
      <c r="C87" s="80" t="str">
        <f t="shared" ca="1" si="15"/>
        <v/>
      </c>
      <c r="D87" s="81" t="str">
        <f t="shared" ca="1" si="16"/>
        <v/>
      </c>
      <c r="E87" s="79" t="str">
        <f t="shared" ca="1" si="17"/>
        <v/>
      </c>
      <c r="F87" s="82" t="str">
        <f t="shared" ca="1" si="18"/>
        <v/>
      </c>
      <c r="G87" s="82" t="str">
        <f t="shared" ca="1" si="19"/>
        <v/>
      </c>
      <c r="H87" s="82" t="str">
        <f t="shared" ca="1" si="20"/>
        <v/>
      </c>
      <c r="I87" s="2"/>
      <c r="J87" s="2"/>
      <c r="K87" s="1"/>
      <c r="L87" s="1"/>
      <c r="M87" s="1">
        <v>76</v>
      </c>
      <c r="N87" s="1" t="str">
        <f ca="1">IF(OR($U87=0,$W87="",$X87&lt;=0),"",IF($W87&gt;TODAY(),"",IF(AND(INDEX(UCRETLER!$E$7:$E$606,$U87)&lt;&gt;"",$W87&gt;INDEX(UCRETLER!$E$7:$E$606,$U87)),"",$W87)))</f>
        <v/>
      </c>
      <c r="O87" s="1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 t="str">
        <f t="shared" ca="1" si="24"/>
        <v/>
      </c>
      <c r="Q87" s="1"/>
      <c r="R87" s="1">
        <f t="shared" ca="1" si="25"/>
        <v>0</v>
      </c>
      <c r="S87" s="1">
        <v>0</v>
      </c>
      <c r="T87" s="1">
        <f t="shared" ca="1" si="21"/>
        <v>10000000000</v>
      </c>
      <c r="U87" s="1">
        <f t="shared" si="26"/>
        <v>11</v>
      </c>
      <c r="V87" s="1">
        <v>75</v>
      </c>
      <c r="W87" s="83">
        <f>IF($U87=0,"",IF(INDEX(UCRETLER!$D$7:$D$606,$U87)="","",IF(INDEX(UCRETLER!$F$7:$F$606,$U87)="Aylık",EOMONTH(INDEX(UCRETLER!$D$7:$D$606,$U87),$V87-1),INDEX(UCRETLER!$U$7:$U$606,$U87)+7*($V87-1))))</f>
        <v>46543</v>
      </c>
      <c r="X87" s="84">
        <f>IF($U87=0,0,INDEX(UCRETLER!$G$7:$G$606,$U87))</f>
        <v>3000</v>
      </c>
      <c r="Y87" s="1">
        <f t="shared" ca="1" si="22"/>
        <v>10000000000</v>
      </c>
      <c r="Z87" s="1">
        <f t="shared" ca="1" si="23"/>
        <v>1</v>
      </c>
      <c r="AA87" s="1"/>
      <c r="AB87" s="1"/>
      <c r="AC87" s="1"/>
      <c r="AD87" s="1"/>
    </row>
    <row r="88" spans="1:30" ht="19.5" customHeight="1" x14ac:dyDescent="0.3">
      <c r="A88" s="2"/>
      <c r="B88" s="79" t="str">
        <f t="shared" ca="1" si="14"/>
        <v/>
      </c>
      <c r="C88" s="80" t="str">
        <f t="shared" ca="1" si="15"/>
        <v/>
      </c>
      <c r="D88" s="81" t="str">
        <f t="shared" ca="1" si="16"/>
        <v/>
      </c>
      <c r="E88" s="79" t="str">
        <f t="shared" ca="1" si="17"/>
        <v/>
      </c>
      <c r="F88" s="82" t="str">
        <f t="shared" ca="1" si="18"/>
        <v/>
      </c>
      <c r="G88" s="82" t="str">
        <f t="shared" ca="1" si="19"/>
        <v/>
      </c>
      <c r="H88" s="82" t="str">
        <f t="shared" ca="1" si="20"/>
        <v/>
      </c>
      <c r="I88" s="2"/>
      <c r="J88" s="2"/>
      <c r="K88" s="1"/>
      <c r="L88" s="1"/>
      <c r="M88" s="1">
        <v>77</v>
      </c>
      <c r="N88" s="1" t="str">
        <f ca="1">IF(OR($U88=0,$W88="",$X88&lt;=0),"",IF($W88&gt;TODAY(),"",IF(AND(INDEX(UCRETLER!$E$7:$E$606,$U88)&lt;&gt;"",$W88&gt;INDEX(UCRETLER!$E$7:$E$606,$U88)),"",$W88)))</f>
        <v/>
      </c>
      <c r="O88" s="1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 t="str">
        <f t="shared" ca="1" si="24"/>
        <v/>
      </c>
      <c r="Q88" s="1"/>
      <c r="R88" s="1">
        <f t="shared" ca="1" si="25"/>
        <v>0</v>
      </c>
      <c r="S88" s="1">
        <v>0</v>
      </c>
      <c r="T88" s="1">
        <f t="shared" ca="1" si="21"/>
        <v>10000000000</v>
      </c>
      <c r="U88" s="1">
        <f t="shared" si="26"/>
        <v>11</v>
      </c>
      <c r="V88" s="1">
        <v>76</v>
      </c>
      <c r="W88" s="83">
        <f>IF($U88=0,"",IF(INDEX(UCRETLER!$D$7:$D$606,$U88)="","",IF(INDEX(UCRETLER!$F$7:$F$606,$U88)="Aylık",EOMONTH(INDEX(UCRETLER!$D$7:$D$606,$U88),$V88-1),INDEX(UCRETLER!$U$7:$U$606,$U88)+7*($V88-1))))</f>
        <v>46550</v>
      </c>
      <c r="X88" s="84">
        <f>IF($U88=0,0,INDEX(UCRETLER!$G$7:$G$606,$U88))</f>
        <v>3000</v>
      </c>
      <c r="Y88" s="1">
        <f t="shared" ca="1" si="22"/>
        <v>10000000000</v>
      </c>
      <c r="Z88" s="1">
        <f t="shared" ca="1" si="23"/>
        <v>1</v>
      </c>
      <c r="AA88" s="1"/>
      <c r="AB88" s="1"/>
      <c r="AC88" s="1"/>
      <c r="AD88" s="1"/>
    </row>
    <row r="89" spans="1:30" ht="19.5" customHeight="1" x14ac:dyDescent="0.3">
      <c r="A89" s="2"/>
      <c r="B89" s="79" t="str">
        <f t="shared" ca="1" si="14"/>
        <v/>
      </c>
      <c r="C89" s="80" t="str">
        <f t="shared" ca="1" si="15"/>
        <v/>
      </c>
      <c r="D89" s="81" t="str">
        <f t="shared" ca="1" si="16"/>
        <v/>
      </c>
      <c r="E89" s="79" t="str">
        <f t="shared" ca="1" si="17"/>
        <v/>
      </c>
      <c r="F89" s="82" t="str">
        <f t="shared" ca="1" si="18"/>
        <v/>
      </c>
      <c r="G89" s="82" t="str">
        <f t="shared" ca="1" si="19"/>
        <v/>
      </c>
      <c r="H89" s="82" t="str">
        <f t="shared" ca="1" si="20"/>
        <v/>
      </c>
      <c r="I89" s="2"/>
      <c r="J89" s="2"/>
      <c r="K89" s="1"/>
      <c r="L89" s="1"/>
      <c r="M89" s="1">
        <v>78</v>
      </c>
      <c r="N89" s="1" t="str">
        <f ca="1">IF(OR($U89=0,$W89="",$X89&lt;=0),"",IF($W89&gt;TODAY(),"",IF(AND(INDEX(UCRETLER!$E$7:$E$606,$U89)&lt;&gt;"",$W89&gt;INDEX(UCRETLER!$E$7:$E$606,$U89)),"",$W89)))</f>
        <v/>
      </c>
      <c r="O89" s="1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 t="str">
        <f t="shared" ca="1" si="24"/>
        <v/>
      </c>
      <c r="Q89" s="1"/>
      <c r="R89" s="1">
        <f t="shared" ca="1" si="25"/>
        <v>0</v>
      </c>
      <c r="S89" s="1">
        <v>0</v>
      </c>
      <c r="T89" s="1">
        <f t="shared" ca="1" si="21"/>
        <v>10000000000</v>
      </c>
      <c r="U89" s="1">
        <f t="shared" si="26"/>
        <v>11</v>
      </c>
      <c r="V89" s="1">
        <v>77</v>
      </c>
      <c r="W89" s="83">
        <f>IF($U89=0,"",IF(INDEX(UCRETLER!$D$7:$D$606,$U89)="","",IF(INDEX(UCRETLER!$F$7:$F$606,$U89)="Aylık",EOMONTH(INDEX(UCRETLER!$D$7:$D$606,$U89),$V89-1),INDEX(UCRETLER!$U$7:$U$606,$U89)+7*($V89-1))))</f>
        <v>46557</v>
      </c>
      <c r="X89" s="84">
        <f>IF($U89=0,0,INDEX(UCRETLER!$G$7:$G$606,$U89))</f>
        <v>3000</v>
      </c>
      <c r="Y89" s="1">
        <f t="shared" ca="1" si="22"/>
        <v>10000000000</v>
      </c>
      <c r="Z89" s="1">
        <f t="shared" ca="1" si="23"/>
        <v>1</v>
      </c>
      <c r="AA89" s="1"/>
      <c r="AB89" s="1"/>
      <c r="AC89" s="1"/>
      <c r="AD89" s="1"/>
    </row>
    <row r="90" spans="1:30" ht="19.5" customHeight="1" x14ac:dyDescent="0.3">
      <c r="A90" s="2"/>
      <c r="B90" s="79" t="str">
        <f t="shared" ca="1" si="14"/>
        <v/>
      </c>
      <c r="C90" s="80" t="str">
        <f t="shared" ca="1" si="15"/>
        <v/>
      </c>
      <c r="D90" s="81" t="str">
        <f t="shared" ca="1" si="16"/>
        <v/>
      </c>
      <c r="E90" s="79" t="str">
        <f t="shared" ca="1" si="17"/>
        <v/>
      </c>
      <c r="F90" s="82" t="str">
        <f t="shared" ca="1" si="18"/>
        <v/>
      </c>
      <c r="G90" s="82" t="str">
        <f t="shared" ca="1" si="19"/>
        <v/>
      </c>
      <c r="H90" s="82" t="str">
        <f t="shared" ca="1" si="20"/>
        <v/>
      </c>
      <c r="I90" s="2"/>
      <c r="J90" s="2"/>
      <c r="K90" s="1"/>
      <c r="L90" s="1"/>
      <c r="M90" s="1">
        <v>79</v>
      </c>
      <c r="N90" s="1" t="str">
        <f ca="1">IF(OR($U90=0,$W90="",$X90&lt;=0),"",IF($W90&gt;TODAY(),"",IF(AND(INDEX(UCRETLER!$E$7:$E$606,$U90)&lt;&gt;"",$W90&gt;INDEX(UCRETLER!$E$7:$E$606,$U90)),"",$W90)))</f>
        <v/>
      </c>
      <c r="O90" s="1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 t="str">
        <f t="shared" ca="1" si="24"/>
        <v/>
      </c>
      <c r="Q90" s="1"/>
      <c r="R90" s="1">
        <f t="shared" ca="1" si="25"/>
        <v>0</v>
      </c>
      <c r="S90" s="1">
        <v>0</v>
      </c>
      <c r="T90" s="1">
        <f t="shared" ca="1" si="21"/>
        <v>10000000000</v>
      </c>
      <c r="U90" s="1">
        <f t="shared" si="26"/>
        <v>11</v>
      </c>
      <c r="V90" s="1">
        <v>78</v>
      </c>
      <c r="W90" s="83">
        <f>IF($U90=0,"",IF(INDEX(UCRETLER!$D$7:$D$606,$U90)="","",IF(INDEX(UCRETLER!$F$7:$F$606,$U90)="Aylık",EOMONTH(INDEX(UCRETLER!$D$7:$D$606,$U90),$V90-1),INDEX(UCRETLER!$U$7:$U$606,$U90)+7*($V90-1))))</f>
        <v>46564</v>
      </c>
      <c r="X90" s="84">
        <f>IF($U90=0,0,INDEX(UCRETLER!$G$7:$G$606,$U90))</f>
        <v>3000</v>
      </c>
      <c r="Y90" s="1">
        <f t="shared" ca="1" si="22"/>
        <v>10000000000</v>
      </c>
      <c r="Z90" s="1">
        <f t="shared" ca="1" si="23"/>
        <v>1</v>
      </c>
      <c r="AA90" s="1"/>
      <c r="AB90" s="1"/>
      <c r="AC90" s="1"/>
      <c r="AD90" s="1"/>
    </row>
    <row r="91" spans="1:30" ht="19.5" customHeight="1" x14ac:dyDescent="0.3">
      <c r="A91" s="2"/>
      <c r="B91" s="79" t="str">
        <f t="shared" ca="1" si="14"/>
        <v/>
      </c>
      <c r="C91" s="80" t="str">
        <f t="shared" ca="1" si="15"/>
        <v/>
      </c>
      <c r="D91" s="81" t="str">
        <f t="shared" ca="1" si="16"/>
        <v/>
      </c>
      <c r="E91" s="79" t="str">
        <f t="shared" ca="1" si="17"/>
        <v/>
      </c>
      <c r="F91" s="82" t="str">
        <f t="shared" ca="1" si="18"/>
        <v/>
      </c>
      <c r="G91" s="82" t="str">
        <f t="shared" ca="1" si="19"/>
        <v/>
      </c>
      <c r="H91" s="82" t="str">
        <f t="shared" ca="1" si="20"/>
        <v/>
      </c>
      <c r="I91" s="2"/>
      <c r="J91" s="2"/>
      <c r="K91" s="1"/>
      <c r="L91" s="1"/>
      <c r="M91" s="1">
        <v>80</v>
      </c>
      <c r="N91" s="1" t="str">
        <f ca="1">IF(OR($U91=0,$W91="",$X91&lt;=0),"",IF($W91&gt;TODAY(),"",IF(AND(INDEX(UCRETLER!$E$7:$E$606,$U91)&lt;&gt;"",$W91&gt;INDEX(UCRETLER!$E$7:$E$606,$U91)),"",$W91)))</f>
        <v/>
      </c>
      <c r="O91" s="1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 t="str">
        <f t="shared" ca="1" si="24"/>
        <v/>
      </c>
      <c r="Q91" s="1"/>
      <c r="R91" s="1">
        <f t="shared" ca="1" si="25"/>
        <v>0</v>
      </c>
      <c r="S91" s="1">
        <v>0</v>
      </c>
      <c r="T91" s="1">
        <f t="shared" ca="1" si="21"/>
        <v>10000000000</v>
      </c>
      <c r="U91" s="1">
        <f t="shared" si="26"/>
        <v>11</v>
      </c>
      <c r="V91" s="1">
        <v>79</v>
      </c>
      <c r="W91" s="83">
        <f>IF($U91=0,"",IF(INDEX(UCRETLER!$D$7:$D$606,$U91)="","",IF(INDEX(UCRETLER!$F$7:$F$606,$U91)="Aylık",EOMONTH(INDEX(UCRETLER!$D$7:$D$606,$U91),$V91-1),INDEX(UCRETLER!$U$7:$U$606,$U91)+7*($V91-1))))</f>
        <v>46571</v>
      </c>
      <c r="X91" s="84">
        <f>IF($U91=0,0,INDEX(UCRETLER!$G$7:$G$606,$U91))</f>
        <v>3000</v>
      </c>
      <c r="Y91" s="1">
        <f t="shared" ca="1" si="22"/>
        <v>10000000000</v>
      </c>
      <c r="Z91" s="1">
        <f t="shared" ca="1" si="23"/>
        <v>1</v>
      </c>
      <c r="AA91" s="1"/>
      <c r="AB91" s="1"/>
      <c r="AC91" s="1"/>
      <c r="AD91" s="1"/>
    </row>
    <row r="92" spans="1:30" ht="19.5" customHeight="1" x14ac:dyDescent="0.3">
      <c r="A92" s="2"/>
      <c r="B92" s="79" t="str">
        <f t="shared" ca="1" si="14"/>
        <v/>
      </c>
      <c r="C92" s="80" t="str">
        <f t="shared" ca="1" si="15"/>
        <v/>
      </c>
      <c r="D92" s="81" t="str">
        <f t="shared" ca="1" si="16"/>
        <v/>
      </c>
      <c r="E92" s="79" t="str">
        <f t="shared" ca="1" si="17"/>
        <v/>
      </c>
      <c r="F92" s="82" t="str">
        <f t="shared" ca="1" si="18"/>
        <v/>
      </c>
      <c r="G92" s="82" t="str">
        <f t="shared" ca="1" si="19"/>
        <v/>
      </c>
      <c r="H92" s="82" t="str">
        <f t="shared" ca="1" si="20"/>
        <v/>
      </c>
      <c r="I92" s="2"/>
      <c r="J92" s="2"/>
      <c r="K92" s="1"/>
      <c r="L92" s="1"/>
      <c r="M92" s="1">
        <v>81</v>
      </c>
      <c r="N92" s="1" t="str">
        <f ca="1">IF(OR($U92=0,$W92="",$X92&lt;=0),"",IF($W92&gt;TODAY(),"",IF(AND(INDEX(UCRETLER!$E$7:$E$606,$U92)&lt;&gt;"",$W92&gt;INDEX(UCRETLER!$E$7:$E$606,$U92)),"",$W92)))</f>
        <v/>
      </c>
      <c r="O92" s="1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 t="str">
        <f t="shared" ca="1" si="24"/>
        <v/>
      </c>
      <c r="Q92" s="1"/>
      <c r="R92" s="1">
        <f t="shared" ca="1" si="25"/>
        <v>0</v>
      </c>
      <c r="S92" s="1">
        <v>0</v>
      </c>
      <c r="T92" s="1">
        <f t="shared" ca="1" si="21"/>
        <v>10000000000</v>
      </c>
      <c r="U92" s="1">
        <f t="shared" si="26"/>
        <v>11</v>
      </c>
      <c r="V92" s="1">
        <v>80</v>
      </c>
      <c r="W92" s="83">
        <f>IF($U92=0,"",IF(INDEX(UCRETLER!$D$7:$D$606,$U92)="","",IF(INDEX(UCRETLER!$F$7:$F$606,$U92)="Aylık",EOMONTH(INDEX(UCRETLER!$D$7:$D$606,$U92),$V92-1),INDEX(UCRETLER!$U$7:$U$606,$U92)+7*($V92-1))))</f>
        <v>46578</v>
      </c>
      <c r="X92" s="84">
        <f>IF($U92=0,0,INDEX(UCRETLER!$G$7:$G$606,$U92))</f>
        <v>3000</v>
      </c>
      <c r="Y92" s="1">
        <f t="shared" ca="1" si="22"/>
        <v>10000000000</v>
      </c>
      <c r="Z92" s="1">
        <f t="shared" ca="1" si="23"/>
        <v>1</v>
      </c>
      <c r="AA92" s="1"/>
      <c r="AB92" s="1"/>
      <c r="AC92" s="1"/>
      <c r="AD92" s="1"/>
    </row>
    <row r="93" spans="1:30" ht="19.5" customHeight="1" x14ac:dyDescent="0.3">
      <c r="A93" s="2"/>
      <c r="B93" s="79" t="str">
        <f t="shared" ca="1" si="14"/>
        <v/>
      </c>
      <c r="C93" s="80" t="str">
        <f t="shared" ca="1" si="15"/>
        <v/>
      </c>
      <c r="D93" s="81" t="str">
        <f t="shared" ca="1" si="16"/>
        <v/>
      </c>
      <c r="E93" s="79" t="str">
        <f t="shared" ca="1" si="17"/>
        <v/>
      </c>
      <c r="F93" s="82" t="str">
        <f t="shared" ca="1" si="18"/>
        <v/>
      </c>
      <c r="G93" s="82" t="str">
        <f t="shared" ca="1" si="19"/>
        <v/>
      </c>
      <c r="H93" s="82" t="str">
        <f t="shared" ca="1" si="20"/>
        <v/>
      </c>
      <c r="I93" s="2"/>
      <c r="J93" s="2"/>
      <c r="K93" s="1"/>
      <c r="L93" s="1"/>
      <c r="M93" s="1">
        <v>82</v>
      </c>
      <c r="N93" s="1" t="str">
        <f ca="1">IF(OR($U93=0,$W93="",$X93&lt;=0),"",IF($W93&gt;TODAY(),"",IF(AND(INDEX(UCRETLER!$E$7:$E$606,$U93)&lt;&gt;"",$W93&gt;INDEX(UCRETLER!$E$7:$E$606,$U93)),"",$W93)))</f>
        <v/>
      </c>
      <c r="O93" s="1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 t="str">
        <f t="shared" ca="1" si="24"/>
        <v/>
      </c>
      <c r="Q93" s="1"/>
      <c r="R93" s="1">
        <f t="shared" ca="1" si="25"/>
        <v>0</v>
      </c>
      <c r="S93" s="1">
        <v>0</v>
      </c>
      <c r="T93" s="1">
        <f t="shared" ca="1" si="21"/>
        <v>10000000000</v>
      </c>
      <c r="U93" s="1">
        <f t="shared" ref="U93:U124" si="27">$AB$5</f>
        <v>0</v>
      </c>
      <c r="V93" s="1">
        <v>1</v>
      </c>
      <c r="W93" s="1" t="str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>0</v>
      </c>
      <c r="Y93" s="1">
        <f t="shared" ca="1" si="22"/>
        <v>10000000000</v>
      </c>
      <c r="Z93" s="1">
        <f t="shared" ca="1" si="23"/>
        <v>1</v>
      </c>
      <c r="AA93" s="1"/>
      <c r="AB93" s="1"/>
      <c r="AC93" s="1"/>
      <c r="AD93" s="1"/>
    </row>
    <row r="94" spans="1:30" ht="19.5" customHeight="1" x14ac:dyDescent="0.3">
      <c r="A94" s="2"/>
      <c r="B94" s="79" t="str">
        <f t="shared" ca="1" si="14"/>
        <v/>
      </c>
      <c r="C94" s="80" t="str">
        <f t="shared" ca="1" si="15"/>
        <v/>
      </c>
      <c r="D94" s="81" t="str">
        <f t="shared" ca="1" si="16"/>
        <v/>
      </c>
      <c r="E94" s="79" t="str">
        <f t="shared" ca="1" si="17"/>
        <v/>
      </c>
      <c r="F94" s="82" t="str">
        <f t="shared" ca="1" si="18"/>
        <v/>
      </c>
      <c r="G94" s="82" t="str">
        <f t="shared" ca="1" si="19"/>
        <v/>
      </c>
      <c r="H94" s="82" t="str">
        <f t="shared" ca="1" si="20"/>
        <v/>
      </c>
      <c r="I94" s="2"/>
      <c r="J94" s="2"/>
      <c r="K94" s="1"/>
      <c r="L94" s="1"/>
      <c r="M94" s="1">
        <v>83</v>
      </c>
      <c r="N94" s="1" t="str">
        <f ca="1">IF(OR($U94=0,$W94="",$X94&lt;=0),"",IF($W94&gt;TODAY(),"",IF(AND(INDEX(UCRETLER!$E$7:$E$606,$U94)&lt;&gt;"",$W94&gt;INDEX(UCRETLER!$E$7:$E$606,$U94)),"",$W94)))</f>
        <v/>
      </c>
      <c r="O94" s="1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 t="str">
        <f t="shared" ca="1" si="24"/>
        <v/>
      </c>
      <c r="Q94" s="1"/>
      <c r="R94" s="1">
        <f t="shared" ca="1" si="25"/>
        <v>0</v>
      </c>
      <c r="S94" s="1">
        <v>0</v>
      </c>
      <c r="T94" s="1">
        <f t="shared" ca="1" si="21"/>
        <v>10000000000</v>
      </c>
      <c r="U94" s="1">
        <f t="shared" si="27"/>
        <v>0</v>
      </c>
      <c r="V94" s="1">
        <v>2</v>
      </c>
      <c r="W94" s="1" t="str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>0</v>
      </c>
      <c r="Y94" s="1">
        <f t="shared" ca="1" si="22"/>
        <v>10000000000</v>
      </c>
      <c r="Z94" s="1">
        <f t="shared" ca="1" si="23"/>
        <v>1</v>
      </c>
      <c r="AA94" s="1"/>
      <c r="AB94" s="1"/>
      <c r="AC94" s="1"/>
      <c r="AD94" s="1"/>
    </row>
    <row r="95" spans="1:30" ht="19.5" customHeight="1" x14ac:dyDescent="0.3">
      <c r="A95" s="2"/>
      <c r="B95" s="79" t="str">
        <f t="shared" ca="1" si="14"/>
        <v/>
      </c>
      <c r="C95" s="80" t="str">
        <f t="shared" ca="1" si="15"/>
        <v/>
      </c>
      <c r="D95" s="81" t="str">
        <f t="shared" ca="1" si="16"/>
        <v/>
      </c>
      <c r="E95" s="79" t="str">
        <f t="shared" ca="1" si="17"/>
        <v/>
      </c>
      <c r="F95" s="82" t="str">
        <f t="shared" ca="1" si="18"/>
        <v/>
      </c>
      <c r="G95" s="82" t="str">
        <f t="shared" ca="1" si="19"/>
        <v/>
      </c>
      <c r="H95" s="82" t="str">
        <f t="shared" ca="1" si="20"/>
        <v/>
      </c>
      <c r="I95" s="2"/>
      <c r="J95" s="2"/>
      <c r="K95" s="1"/>
      <c r="L95" s="1"/>
      <c r="M95" s="1">
        <v>84</v>
      </c>
      <c r="N95" s="1" t="str">
        <f ca="1">IF(OR($U95=0,$W95="",$X95&lt;=0),"",IF($W95&gt;TODAY(),"",IF(AND(INDEX(UCRETLER!$E$7:$E$606,$U95)&lt;&gt;"",$W95&gt;INDEX(UCRETLER!$E$7:$E$606,$U95)),"",$W95)))</f>
        <v/>
      </c>
      <c r="O95" s="1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 t="str">
        <f t="shared" ca="1" si="24"/>
        <v/>
      </c>
      <c r="Q95" s="1"/>
      <c r="R95" s="1">
        <f t="shared" ca="1" si="25"/>
        <v>0</v>
      </c>
      <c r="S95" s="1">
        <v>0</v>
      </c>
      <c r="T95" s="1">
        <f t="shared" ca="1" si="21"/>
        <v>10000000000</v>
      </c>
      <c r="U95" s="1">
        <f t="shared" si="27"/>
        <v>0</v>
      </c>
      <c r="V95" s="1">
        <v>3</v>
      </c>
      <c r="W95" s="1" t="str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>0</v>
      </c>
      <c r="Y95" s="1">
        <f t="shared" ca="1" si="22"/>
        <v>10000000000</v>
      </c>
      <c r="Z95" s="1">
        <f t="shared" ca="1" si="23"/>
        <v>1</v>
      </c>
      <c r="AA95" s="1"/>
      <c r="AB95" s="1"/>
      <c r="AC95" s="1"/>
      <c r="AD95" s="1"/>
    </row>
    <row r="96" spans="1:30" ht="19.5" customHeight="1" x14ac:dyDescent="0.3">
      <c r="A96" s="2"/>
      <c r="B96" s="79" t="str">
        <f t="shared" ca="1" si="14"/>
        <v/>
      </c>
      <c r="C96" s="80" t="str">
        <f t="shared" ca="1" si="15"/>
        <v/>
      </c>
      <c r="D96" s="81" t="str">
        <f t="shared" ca="1" si="16"/>
        <v/>
      </c>
      <c r="E96" s="79" t="str">
        <f t="shared" ca="1" si="17"/>
        <v/>
      </c>
      <c r="F96" s="82" t="str">
        <f t="shared" ca="1" si="18"/>
        <v/>
      </c>
      <c r="G96" s="82" t="str">
        <f t="shared" ca="1" si="19"/>
        <v/>
      </c>
      <c r="H96" s="82" t="str">
        <f t="shared" ca="1" si="20"/>
        <v/>
      </c>
      <c r="I96" s="2"/>
      <c r="J96" s="2"/>
      <c r="K96" s="1"/>
      <c r="L96" s="1"/>
      <c r="M96" s="1">
        <v>85</v>
      </c>
      <c r="N96" s="1" t="str">
        <f ca="1">IF(OR($U96=0,$W96="",$X96&lt;=0),"",IF($W96&gt;TODAY(),"",IF(AND(INDEX(UCRETLER!$E$7:$E$606,$U96)&lt;&gt;"",$W96&gt;INDEX(UCRETLER!$E$7:$E$606,$U96)),"",$W96)))</f>
        <v/>
      </c>
      <c r="O96" s="1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 t="str">
        <f t="shared" ca="1" si="24"/>
        <v/>
      </c>
      <c r="Q96" s="1"/>
      <c r="R96" s="1">
        <f t="shared" ca="1" si="25"/>
        <v>0</v>
      </c>
      <c r="S96" s="1">
        <v>0</v>
      </c>
      <c r="T96" s="1">
        <f t="shared" ca="1" si="21"/>
        <v>10000000000</v>
      </c>
      <c r="U96" s="1">
        <f t="shared" si="27"/>
        <v>0</v>
      </c>
      <c r="V96" s="1">
        <v>4</v>
      </c>
      <c r="W96" s="1" t="str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>0</v>
      </c>
      <c r="Y96" s="1">
        <f t="shared" ca="1" si="22"/>
        <v>10000000000</v>
      </c>
      <c r="Z96" s="1">
        <f t="shared" ca="1" si="23"/>
        <v>1</v>
      </c>
      <c r="AA96" s="1"/>
      <c r="AB96" s="1"/>
      <c r="AC96" s="1"/>
      <c r="AD96" s="1"/>
    </row>
    <row r="97" spans="1:30" ht="19.5" customHeight="1" x14ac:dyDescent="0.3">
      <c r="A97" s="2"/>
      <c r="B97" s="79" t="str">
        <f t="shared" ca="1" si="14"/>
        <v/>
      </c>
      <c r="C97" s="80" t="str">
        <f t="shared" ca="1" si="15"/>
        <v/>
      </c>
      <c r="D97" s="81" t="str">
        <f t="shared" ca="1" si="16"/>
        <v/>
      </c>
      <c r="E97" s="79" t="str">
        <f t="shared" ca="1" si="17"/>
        <v/>
      </c>
      <c r="F97" s="82" t="str">
        <f t="shared" ca="1" si="18"/>
        <v/>
      </c>
      <c r="G97" s="82" t="str">
        <f t="shared" ca="1" si="19"/>
        <v/>
      </c>
      <c r="H97" s="82" t="str">
        <f t="shared" ca="1" si="20"/>
        <v/>
      </c>
      <c r="I97" s="2"/>
      <c r="J97" s="2"/>
      <c r="K97" s="1"/>
      <c r="L97" s="1"/>
      <c r="M97" s="1">
        <v>86</v>
      </c>
      <c r="N97" s="1" t="str">
        <f ca="1">IF(OR($U97=0,$W97="",$X97&lt;=0),"",IF($W97&gt;TODAY(),"",IF(AND(INDEX(UCRETLER!$E$7:$E$606,$U97)&lt;&gt;"",$W97&gt;INDEX(UCRETLER!$E$7:$E$606,$U97)),"",$W97)))</f>
        <v/>
      </c>
      <c r="O97" s="1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 t="str">
        <f t="shared" ca="1" si="24"/>
        <v/>
      </c>
      <c r="Q97" s="1"/>
      <c r="R97" s="1">
        <f t="shared" ca="1" si="25"/>
        <v>0</v>
      </c>
      <c r="S97" s="1">
        <v>0</v>
      </c>
      <c r="T97" s="1">
        <f t="shared" ca="1" si="21"/>
        <v>10000000000</v>
      </c>
      <c r="U97" s="1">
        <f t="shared" si="27"/>
        <v>0</v>
      </c>
      <c r="V97" s="1">
        <v>5</v>
      </c>
      <c r="W97" s="1" t="str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>0</v>
      </c>
      <c r="Y97" s="1">
        <f t="shared" ca="1" si="22"/>
        <v>10000000000</v>
      </c>
      <c r="Z97" s="1">
        <f t="shared" ca="1" si="23"/>
        <v>1</v>
      </c>
      <c r="AA97" s="1"/>
      <c r="AB97" s="1"/>
      <c r="AC97" s="1"/>
      <c r="AD97" s="1"/>
    </row>
    <row r="98" spans="1:30" ht="19.5" customHeight="1" x14ac:dyDescent="0.3">
      <c r="A98" s="2"/>
      <c r="B98" s="79" t="str">
        <f t="shared" ca="1" si="14"/>
        <v/>
      </c>
      <c r="C98" s="80" t="str">
        <f t="shared" ca="1" si="15"/>
        <v/>
      </c>
      <c r="D98" s="81" t="str">
        <f t="shared" ca="1" si="16"/>
        <v/>
      </c>
      <c r="E98" s="79" t="str">
        <f t="shared" ca="1" si="17"/>
        <v/>
      </c>
      <c r="F98" s="82" t="str">
        <f t="shared" ca="1" si="18"/>
        <v/>
      </c>
      <c r="G98" s="82" t="str">
        <f t="shared" ca="1" si="19"/>
        <v/>
      </c>
      <c r="H98" s="82" t="str">
        <f t="shared" ca="1" si="20"/>
        <v/>
      </c>
      <c r="I98" s="2"/>
      <c r="J98" s="2"/>
      <c r="K98" s="1"/>
      <c r="L98" s="1"/>
      <c r="M98" s="1">
        <v>87</v>
      </c>
      <c r="N98" s="1" t="str">
        <f ca="1">IF(OR($U98=0,$W98="",$X98&lt;=0),"",IF($W98&gt;TODAY(),"",IF(AND(INDEX(UCRETLER!$E$7:$E$606,$U98)&lt;&gt;"",$W98&gt;INDEX(UCRETLER!$E$7:$E$606,$U98)),"",$W98)))</f>
        <v/>
      </c>
      <c r="O98" s="1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 t="str">
        <f t="shared" ca="1" si="24"/>
        <v/>
      </c>
      <c r="Q98" s="1"/>
      <c r="R98" s="1">
        <f t="shared" ca="1" si="25"/>
        <v>0</v>
      </c>
      <c r="S98" s="1">
        <v>0</v>
      </c>
      <c r="T98" s="1">
        <f t="shared" ca="1" si="21"/>
        <v>10000000000</v>
      </c>
      <c r="U98" s="1">
        <f t="shared" si="27"/>
        <v>0</v>
      </c>
      <c r="V98" s="1">
        <v>6</v>
      </c>
      <c r="W98" s="1" t="str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>0</v>
      </c>
      <c r="Y98" s="1">
        <f t="shared" ca="1" si="22"/>
        <v>10000000000</v>
      </c>
      <c r="Z98" s="1">
        <f t="shared" ca="1" si="23"/>
        <v>1</v>
      </c>
      <c r="AA98" s="1"/>
      <c r="AB98" s="1"/>
      <c r="AC98" s="1"/>
      <c r="AD98" s="1"/>
    </row>
    <row r="99" spans="1:30" ht="19.5" customHeight="1" x14ac:dyDescent="0.3">
      <c r="A99" s="2"/>
      <c r="B99" s="79" t="str">
        <f t="shared" ca="1" si="14"/>
        <v/>
      </c>
      <c r="C99" s="80" t="str">
        <f t="shared" ca="1" si="15"/>
        <v/>
      </c>
      <c r="D99" s="81" t="str">
        <f t="shared" ca="1" si="16"/>
        <v/>
      </c>
      <c r="E99" s="79" t="str">
        <f t="shared" ca="1" si="17"/>
        <v/>
      </c>
      <c r="F99" s="82" t="str">
        <f t="shared" ca="1" si="18"/>
        <v/>
      </c>
      <c r="G99" s="82" t="str">
        <f t="shared" ca="1" si="19"/>
        <v/>
      </c>
      <c r="H99" s="82" t="str">
        <f t="shared" ca="1" si="20"/>
        <v/>
      </c>
      <c r="I99" s="2"/>
      <c r="J99" s="2"/>
      <c r="K99" s="1"/>
      <c r="L99" s="1"/>
      <c r="M99" s="1">
        <v>88</v>
      </c>
      <c r="N99" s="1" t="str">
        <f ca="1">IF(OR($U99=0,$W99="",$X99&lt;=0),"",IF($W99&gt;TODAY(),"",IF(AND(INDEX(UCRETLER!$E$7:$E$606,$U99)&lt;&gt;"",$W99&gt;INDEX(UCRETLER!$E$7:$E$606,$U99)),"",$W99)))</f>
        <v/>
      </c>
      <c r="O99" s="1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 t="str">
        <f t="shared" ca="1" si="24"/>
        <v/>
      </c>
      <c r="Q99" s="1"/>
      <c r="R99" s="1">
        <f t="shared" ca="1" si="25"/>
        <v>0</v>
      </c>
      <c r="S99" s="1">
        <v>0</v>
      </c>
      <c r="T99" s="1">
        <f t="shared" ca="1" si="21"/>
        <v>10000000000</v>
      </c>
      <c r="U99" s="1">
        <f t="shared" si="27"/>
        <v>0</v>
      </c>
      <c r="V99" s="1">
        <v>7</v>
      </c>
      <c r="W99" s="1" t="str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>0</v>
      </c>
      <c r="Y99" s="1">
        <f t="shared" ca="1" si="22"/>
        <v>10000000000</v>
      </c>
      <c r="Z99" s="1">
        <f t="shared" ca="1" si="23"/>
        <v>1</v>
      </c>
      <c r="AA99" s="1"/>
      <c r="AB99" s="1"/>
      <c r="AC99" s="1"/>
      <c r="AD99" s="1"/>
    </row>
    <row r="100" spans="1:30" ht="19.5" customHeight="1" x14ac:dyDescent="0.3">
      <c r="A100" s="2"/>
      <c r="B100" s="79" t="str">
        <f t="shared" ca="1" si="14"/>
        <v/>
      </c>
      <c r="C100" s="80" t="str">
        <f t="shared" ca="1" si="15"/>
        <v/>
      </c>
      <c r="D100" s="81" t="str">
        <f t="shared" ca="1" si="16"/>
        <v/>
      </c>
      <c r="E100" s="79" t="str">
        <f t="shared" ca="1" si="17"/>
        <v/>
      </c>
      <c r="F100" s="82" t="str">
        <f t="shared" ca="1" si="18"/>
        <v/>
      </c>
      <c r="G100" s="82" t="str">
        <f t="shared" ca="1" si="19"/>
        <v/>
      </c>
      <c r="H100" s="82" t="str">
        <f t="shared" ca="1" si="20"/>
        <v/>
      </c>
      <c r="I100" s="2"/>
      <c r="J100" s="2"/>
      <c r="K100" s="1"/>
      <c r="L100" s="1"/>
      <c r="M100" s="1">
        <v>89</v>
      </c>
      <c r="N100" s="1" t="str">
        <f ca="1">IF(OR($U100=0,$W100="",$X100&lt;=0),"",IF($W100&gt;TODAY(),"",IF(AND(INDEX(UCRETLER!$E$7:$E$606,$U100)&lt;&gt;"",$W100&gt;INDEX(UCRETLER!$E$7:$E$606,$U100)),"",$W100)))</f>
        <v/>
      </c>
      <c r="O100" s="1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 t="str">
        <f t="shared" ca="1" si="24"/>
        <v/>
      </c>
      <c r="Q100" s="1"/>
      <c r="R100" s="1">
        <f t="shared" ca="1" si="25"/>
        <v>0</v>
      </c>
      <c r="S100" s="1">
        <v>0</v>
      </c>
      <c r="T100" s="1">
        <f t="shared" ca="1" si="21"/>
        <v>10000000000</v>
      </c>
      <c r="U100" s="1">
        <f t="shared" si="27"/>
        <v>0</v>
      </c>
      <c r="V100" s="1">
        <v>8</v>
      </c>
      <c r="W100" s="1" t="str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>0</v>
      </c>
      <c r="Y100" s="1">
        <f t="shared" ca="1" si="22"/>
        <v>10000000000</v>
      </c>
      <c r="Z100" s="1">
        <f t="shared" ca="1" si="23"/>
        <v>1</v>
      </c>
      <c r="AA100" s="1"/>
      <c r="AB100" s="1"/>
      <c r="AC100" s="1"/>
      <c r="AD100" s="1"/>
    </row>
    <row r="101" spans="1:30" ht="19.5" customHeight="1" x14ac:dyDescent="0.3">
      <c r="A101" s="2"/>
      <c r="B101" s="79" t="str">
        <f t="shared" ca="1" si="14"/>
        <v/>
      </c>
      <c r="C101" s="80" t="str">
        <f t="shared" ca="1" si="15"/>
        <v/>
      </c>
      <c r="D101" s="81" t="str">
        <f t="shared" ca="1" si="16"/>
        <v/>
      </c>
      <c r="E101" s="79" t="str">
        <f t="shared" ca="1" si="17"/>
        <v/>
      </c>
      <c r="F101" s="82" t="str">
        <f t="shared" ca="1" si="18"/>
        <v/>
      </c>
      <c r="G101" s="82" t="str">
        <f t="shared" ca="1" si="19"/>
        <v/>
      </c>
      <c r="H101" s="82" t="str">
        <f t="shared" ca="1" si="20"/>
        <v/>
      </c>
      <c r="I101" s="2"/>
      <c r="J101" s="2"/>
      <c r="K101" s="1"/>
      <c r="L101" s="1"/>
      <c r="M101" s="1">
        <v>90</v>
      </c>
      <c r="N101" s="1" t="str">
        <f ca="1">IF(OR($U101=0,$W101="",$X101&lt;=0),"",IF($W101&gt;TODAY(),"",IF(AND(INDEX(UCRETLER!$E$7:$E$606,$U101)&lt;&gt;"",$W101&gt;INDEX(UCRETLER!$E$7:$E$606,$U101)),"",$W101)))</f>
        <v/>
      </c>
      <c r="O101" s="1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 t="str">
        <f t="shared" ca="1" si="24"/>
        <v/>
      </c>
      <c r="Q101" s="1"/>
      <c r="R101" s="1">
        <f t="shared" ca="1" si="25"/>
        <v>0</v>
      </c>
      <c r="S101" s="1">
        <v>0</v>
      </c>
      <c r="T101" s="1">
        <f t="shared" ca="1" si="21"/>
        <v>10000000000</v>
      </c>
      <c r="U101" s="1">
        <f t="shared" si="27"/>
        <v>0</v>
      </c>
      <c r="V101" s="1">
        <v>9</v>
      </c>
      <c r="W101" s="1" t="str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>0</v>
      </c>
      <c r="Y101" s="1">
        <f t="shared" ca="1" si="22"/>
        <v>10000000000</v>
      </c>
      <c r="Z101" s="1">
        <f t="shared" ca="1" si="23"/>
        <v>1</v>
      </c>
      <c r="AA101" s="1"/>
      <c r="AB101" s="1"/>
      <c r="AC101" s="1"/>
      <c r="AD101" s="1"/>
    </row>
    <row r="102" spans="1:30" ht="19.5" customHeight="1" x14ac:dyDescent="0.3">
      <c r="A102" s="2"/>
      <c r="B102" s="79" t="str">
        <f t="shared" ca="1" si="14"/>
        <v/>
      </c>
      <c r="C102" s="80" t="str">
        <f t="shared" ca="1" si="15"/>
        <v/>
      </c>
      <c r="D102" s="81" t="str">
        <f t="shared" ca="1" si="16"/>
        <v/>
      </c>
      <c r="E102" s="79" t="str">
        <f t="shared" ca="1" si="17"/>
        <v/>
      </c>
      <c r="F102" s="82" t="str">
        <f t="shared" ca="1" si="18"/>
        <v/>
      </c>
      <c r="G102" s="82" t="str">
        <f t="shared" ca="1" si="19"/>
        <v/>
      </c>
      <c r="H102" s="82" t="str">
        <f t="shared" ca="1" si="20"/>
        <v/>
      </c>
      <c r="I102" s="2"/>
      <c r="J102" s="2"/>
      <c r="K102" s="1"/>
      <c r="L102" s="1"/>
      <c r="M102" s="1">
        <v>91</v>
      </c>
      <c r="N102" s="1" t="str">
        <f ca="1">IF(OR($U102=0,$W102="",$X102&lt;=0),"",IF($W102&gt;TODAY(),"",IF(AND(INDEX(UCRETLER!$E$7:$E$606,$U102)&lt;&gt;"",$W102&gt;INDEX(UCRETLER!$E$7:$E$606,$U102)),"",$W102)))</f>
        <v/>
      </c>
      <c r="O102" s="1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 t="str">
        <f t="shared" ca="1" si="24"/>
        <v/>
      </c>
      <c r="Q102" s="1"/>
      <c r="R102" s="1">
        <f t="shared" ca="1" si="25"/>
        <v>0</v>
      </c>
      <c r="S102" s="1">
        <v>0</v>
      </c>
      <c r="T102" s="1">
        <f t="shared" ca="1" si="21"/>
        <v>10000000000</v>
      </c>
      <c r="U102" s="1">
        <f t="shared" si="27"/>
        <v>0</v>
      </c>
      <c r="V102" s="1">
        <v>10</v>
      </c>
      <c r="W102" s="1" t="str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>0</v>
      </c>
      <c r="Y102" s="1">
        <f t="shared" ca="1" si="22"/>
        <v>10000000000</v>
      </c>
      <c r="Z102" s="1">
        <f t="shared" ca="1" si="23"/>
        <v>1</v>
      </c>
      <c r="AA102" s="1"/>
      <c r="AB102" s="1"/>
      <c r="AC102" s="1"/>
      <c r="AD102" s="1"/>
    </row>
    <row r="103" spans="1:30" ht="19.5" customHeight="1" x14ac:dyDescent="0.3">
      <c r="A103" s="2"/>
      <c r="B103" s="79" t="str">
        <f t="shared" ca="1" si="14"/>
        <v/>
      </c>
      <c r="C103" s="80" t="str">
        <f t="shared" ca="1" si="15"/>
        <v/>
      </c>
      <c r="D103" s="81" t="str">
        <f t="shared" ca="1" si="16"/>
        <v/>
      </c>
      <c r="E103" s="79" t="str">
        <f t="shared" ca="1" si="17"/>
        <v/>
      </c>
      <c r="F103" s="82" t="str">
        <f t="shared" ca="1" si="18"/>
        <v/>
      </c>
      <c r="G103" s="82" t="str">
        <f t="shared" ca="1" si="19"/>
        <v/>
      </c>
      <c r="H103" s="82" t="str">
        <f t="shared" ca="1" si="20"/>
        <v/>
      </c>
      <c r="I103" s="2"/>
      <c r="J103" s="2"/>
      <c r="K103" s="1"/>
      <c r="L103" s="1"/>
      <c r="M103" s="1">
        <v>92</v>
      </c>
      <c r="N103" s="1" t="str">
        <f ca="1">IF(OR($U103=0,$W103="",$X103&lt;=0),"",IF($W103&gt;TODAY(),"",IF(AND(INDEX(UCRETLER!$E$7:$E$606,$U103)&lt;&gt;"",$W103&gt;INDEX(UCRETLER!$E$7:$E$606,$U103)),"",$W103)))</f>
        <v/>
      </c>
      <c r="O103" s="1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 t="str">
        <f t="shared" ca="1" si="24"/>
        <v/>
      </c>
      <c r="Q103" s="1"/>
      <c r="R103" s="1">
        <f t="shared" ca="1" si="25"/>
        <v>0</v>
      </c>
      <c r="S103" s="1">
        <v>0</v>
      </c>
      <c r="T103" s="1">
        <f t="shared" ca="1" si="21"/>
        <v>10000000000</v>
      </c>
      <c r="U103" s="1">
        <f t="shared" si="27"/>
        <v>0</v>
      </c>
      <c r="V103" s="1">
        <v>11</v>
      </c>
      <c r="W103" s="1" t="str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>0</v>
      </c>
      <c r="Y103" s="1">
        <f t="shared" ca="1" si="22"/>
        <v>10000000000</v>
      </c>
      <c r="Z103" s="1">
        <f t="shared" ca="1" si="23"/>
        <v>1</v>
      </c>
      <c r="AA103" s="1"/>
      <c r="AB103" s="1"/>
      <c r="AC103" s="1"/>
      <c r="AD103" s="1"/>
    </row>
    <row r="104" spans="1:30" ht="19.5" customHeight="1" x14ac:dyDescent="0.3">
      <c r="A104" s="2"/>
      <c r="B104" s="79" t="str">
        <f t="shared" ca="1" si="14"/>
        <v/>
      </c>
      <c r="C104" s="80" t="str">
        <f t="shared" ca="1" si="15"/>
        <v/>
      </c>
      <c r="D104" s="81" t="str">
        <f t="shared" ca="1" si="16"/>
        <v/>
      </c>
      <c r="E104" s="79" t="str">
        <f t="shared" ca="1" si="17"/>
        <v/>
      </c>
      <c r="F104" s="82" t="str">
        <f t="shared" ca="1" si="18"/>
        <v/>
      </c>
      <c r="G104" s="82" t="str">
        <f t="shared" ca="1" si="19"/>
        <v/>
      </c>
      <c r="H104" s="82" t="str">
        <f t="shared" ca="1" si="20"/>
        <v/>
      </c>
      <c r="I104" s="2"/>
      <c r="J104" s="2"/>
      <c r="K104" s="1"/>
      <c r="L104" s="1"/>
      <c r="M104" s="1">
        <v>93</v>
      </c>
      <c r="N104" s="1" t="str">
        <f ca="1">IF(OR($U104=0,$W104="",$X104&lt;=0),"",IF($W104&gt;TODAY(),"",IF(AND(INDEX(UCRETLER!$E$7:$E$606,$U104)&lt;&gt;"",$W104&gt;INDEX(UCRETLER!$E$7:$E$606,$U104)),"",$W104)))</f>
        <v/>
      </c>
      <c r="O104" s="1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 t="str">
        <f t="shared" ca="1" si="24"/>
        <v/>
      </c>
      <c r="Q104" s="1"/>
      <c r="R104" s="1">
        <f t="shared" ca="1" si="25"/>
        <v>0</v>
      </c>
      <c r="S104" s="1">
        <v>0</v>
      </c>
      <c r="T104" s="1">
        <f t="shared" ca="1" si="21"/>
        <v>10000000000</v>
      </c>
      <c r="U104" s="1">
        <f t="shared" si="27"/>
        <v>0</v>
      </c>
      <c r="V104" s="1">
        <v>12</v>
      </c>
      <c r="W104" s="1" t="str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>0</v>
      </c>
      <c r="Y104" s="1">
        <f t="shared" ca="1" si="22"/>
        <v>10000000000</v>
      </c>
      <c r="Z104" s="1">
        <f t="shared" ca="1" si="23"/>
        <v>1</v>
      </c>
      <c r="AA104" s="1"/>
      <c r="AB104" s="1"/>
      <c r="AC104" s="1"/>
      <c r="AD104" s="1"/>
    </row>
    <row r="105" spans="1:30" ht="19.5" customHeight="1" x14ac:dyDescent="0.3">
      <c r="A105" s="2"/>
      <c r="B105" s="79" t="str">
        <f t="shared" ca="1" si="14"/>
        <v/>
      </c>
      <c r="C105" s="80" t="str">
        <f t="shared" ca="1" si="15"/>
        <v/>
      </c>
      <c r="D105" s="81" t="str">
        <f t="shared" ca="1" si="16"/>
        <v/>
      </c>
      <c r="E105" s="79" t="str">
        <f t="shared" ca="1" si="17"/>
        <v/>
      </c>
      <c r="F105" s="82" t="str">
        <f t="shared" ca="1" si="18"/>
        <v/>
      </c>
      <c r="G105" s="82" t="str">
        <f t="shared" ca="1" si="19"/>
        <v/>
      </c>
      <c r="H105" s="82" t="str">
        <f t="shared" ca="1" si="20"/>
        <v/>
      </c>
      <c r="I105" s="2"/>
      <c r="J105" s="2"/>
      <c r="K105" s="1"/>
      <c r="L105" s="1"/>
      <c r="M105" s="1">
        <v>94</v>
      </c>
      <c r="N105" s="1" t="str">
        <f ca="1">IF(OR($U105=0,$W105="",$X105&lt;=0),"",IF($W105&gt;TODAY(),"",IF(AND(INDEX(UCRETLER!$E$7:$E$606,$U105)&lt;&gt;"",$W105&gt;INDEX(UCRETLER!$E$7:$E$606,$U105)),"",$W105)))</f>
        <v/>
      </c>
      <c r="O105" s="1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 t="str">
        <f t="shared" ca="1" si="24"/>
        <v/>
      </c>
      <c r="Q105" s="1"/>
      <c r="R105" s="1">
        <f t="shared" ca="1" si="25"/>
        <v>0</v>
      </c>
      <c r="S105" s="1">
        <v>0</v>
      </c>
      <c r="T105" s="1">
        <f t="shared" ca="1" si="21"/>
        <v>10000000000</v>
      </c>
      <c r="U105" s="1">
        <f t="shared" si="27"/>
        <v>0</v>
      </c>
      <c r="V105" s="1">
        <v>13</v>
      </c>
      <c r="W105" s="1" t="str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>0</v>
      </c>
      <c r="Y105" s="1">
        <f t="shared" ca="1" si="22"/>
        <v>10000000000</v>
      </c>
      <c r="Z105" s="1">
        <f t="shared" ca="1" si="23"/>
        <v>1</v>
      </c>
      <c r="AA105" s="1"/>
      <c r="AB105" s="1"/>
      <c r="AC105" s="1"/>
      <c r="AD105" s="1"/>
    </row>
    <row r="106" spans="1:30" ht="19.5" customHeight="1" x14ac:dyDescent="0.3">
      <c r="A106" s="2"/>
      <c r="B106" s="79" t="str">
        <f t="shared" ca="1" si="14"/>
        <v/>
      </c>
      <c r="C106" s="80" t="str">
        <f t="shared" ca="1" si="15"/>
        <v/>
      </c>
      <c r="D106" s="81" t="str">
        <f t="shared" ca="1" si="16"/>
        <v/>
      </c>
      <c r="E106" s="79" t="str">
        <f t="shared" ca="1" si="17"/>
        <v/>
      </c>
      <c r="F106" s="82" t="str">
        <f t="shared" ca="1" si="18"/>
        <v/>
      </c>
      <c r="G106" s="82" t="str">
        <f t="shared" ca="1" si="19"/>
        <v/>
      </c>
      <c r="H106" s="82" t="str">
        <f t="shared" ca="1" si="20"/>
        <v/>
      </c>
      <c r="I106" s="2"/>
      <c r="J106" s="2"/>
      <c r="K106" s="1"/>
      <c r="L106" s="1"/>
      <c r="M106" s="1">
        <v>95</v>
      </c>
      <c r="N106" s="1" t="str">
        <f ca="1">IF(OR($U106=0,$W106="",$X106&lt;=0),"",IF($W106&gt;TODAY(),"",IF(AND(INDEX(UCRETLER!$E$7:$E$606,$U106)&lt;&gt;"",$W106&gt;INDEX(UCRETLER!$E$7:$E$606,$U106)),"",$W106)))</f>
        <v/>
      </c>
      <c r="O106" s="1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 t="str">
        <f t="shared" ca="1" si="24"/>
        <v/>
      </c>
      <c r="Q106" s="1"/>
      <c r="R106" s="1">
        <f t="shared" ca="1" si="25"/>
        <v>0</v>
      </c>
      <c r="S106" s="1">
        <v>0</v>
      </c>
      <c r="T106" s="1">
        <f t="shared" ca="1" si="21"/>
        <v>10000000000</v>
      </c>
      <c r="U106" s="1">
        <f t="shared" si="27"/>
        <v>0</v>
      </c>
      <c r="V106" s="1">
        <v>14</v>
      </c>
      <c r="W106" s="1" t="str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>0</v>
      </c>
      <c r="Y106" s="1">
        <f t="shared" ca="1" si="22"/>
        <v>10000000000</v>
      </c>
      <c r="Z106" s="1">
        <f t="shared" ca="1" si="23"/>
        <v>1</v>
      </c>
      <c r="AA106" s="1"/>
      <c r="AB106" s="1"/>
      <c r="AC106" s="1"/>
      <c r="AD106" s="1"/>
    </row>
    <row r="107" spans="1:30" ht="19.5" customHeight="1" x14ac:dyDescent="0.3">
      <c r="A107" s="2"/>
      <c r="B107" s="79" t="str">
        <f t="shared" ca="1" si="14"/>
        <v/>
      </c>
      <c r="C107" s="80" t="str">
        <f t="shared" ca="1" si="15"/>
        <v/>
      </c>
      <c r="D107" s="81" t="str">
        <f t="shared" ca="1" si="16"/>
        <v/>
      </c>
      <c r="E107" s="79" t="str">
        <f t="shared" ca="1" si="17"/>
        <v/>
      </c>
      <c r="F107" s="82" t="str">
        <f t="shared" ca="1" si="18"/>
        <v/>
      </c>
      <c r="G107" s="82" t="str">
        <f t="shared" ca="1" si="19"/>
        <v/>
      </c>
      <c r="H107" s="82" t="str">
        <f t="shared" ca="1" si="20"/>
        <v/>
      </c>
      <c r="I107" s="2"/>
      <c r="J107" s="2"/>
      <c r="K107" s="1"/>
      <c r="L107" s="1"/>
      <c r="M107" s="1">
        <v>96</v>
      </c>
      <c r="N107" s="1" t="str">
        <f ca="1">IF(OR($U107=0,$W107="",$X107&lt;=0),"",IF($W107&gt;TODAY(),"",IF(AND(INDEX(UCRETLER!$E$7:$E$606,$U107)&lt;&gt;"",$W107&gt;INDEX(UCRETLER!$E$7:$E$606,$U107)),"",$W107)))</f>
        <v/>
      </c>
      <c r="O107" s="1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 t="str">
        <f t="shared" ca="1" si="24"/>
        <v/>
      </c>
      <c r="Q107" s="1"/>
      <c r="R107" s="1">
        <f t="shared" ca="1" si="25"/>
        <v>0</v>
      </c>
      <c r="S107" s="1">
        <v>0</v>
      </c>
      <c r="T107" s="1">
        <f t="shared" ca="1" si="21"/>
        <v>10000000000</v>
      </c>
      <c r="U107" s="1">
        <f t="shared" si="27"/>
        <v>0</v>
      </c>
      <c r="V107" s="1">
        <v>15</v>
      </c>
      <c r="W107" s="1" t="str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>0</v>
      </c>
      <c r="Y107" s="1">
        <f t="shared" ca="1" si="22"/>
        <v>10000000000</v>
      </c>
      <c r="Z107" s="1">
        <f t="shared" ca="1" si="23"/>
        <v>1</v>
      </c>
      <c r="AA107" s="1"/>
      <c r="AB107" s="1"/>
      <c r="AC107" s="1"/>
      <c r="AD107" s="1"/>
    </row>
    <row r="108" spans="1:30" ht="19.5" customHeight="1" x14ac:dyDescent="0.3">
      <c r="A108" s="2"/>
      <c r="B108" s="79" t="str">
        <f t="shared" ca="1" si="14"/>
        <v/>
      </c>
      <c r="C108" s="80" t="str">
        <f t="shared" ca="1" si="15"/>
        <v/>
      </c>
      <c r="D108" s="81" t="str">
        <f t="shared" ca="1" si="16"/>
        <v/>
      </c>
      <c r="E108" s="79" t="str">
        <f t="shared" ca="1" si="17"/>
        <v/>
      </c>
      <c r="F108" s="82" t="str">
        <f t="shared" ca="1" si="18"/>
        <v/>
      </c>
      <c r="G108" s="82" t="str">
        <f t="shared" ca="1" si="19"/>
        <v/>
      </c>
      <c r="H108" s="82" t="str">
        <f t="shared" ca="1" si="20"/>
        <v/>
      </c>
      <c r="I108" s="2"/>
      <c r="J108" s="2"/>
      <c r="K108" s="1"/>
      <c r="L108" s="1"/>
      <c r="M108" s="1">
        <v>97</v>
      </c>
      <c r="N108" s="1" t="str">
        <f ca="1">IF(OR($U108=0,$W108="",$X108&lt;=0),"",IF($W108&gt;TODAY(),"",IF(AND(INDEX(UCRETLER!$E$7:$E$606,$U108)&lt;&gt;"",$W108&gt;INDEX(UCRETLER!$E$7:$E$606,$U108)),"",$W108)))</f>
        <v/>
      </c>
      <c r="O108" s="1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 t="str">
        <f t="shared" ca="1" si="24"/>
        <v/>
      </c>
      <c r="Q108" s="1"/>
      <c r="R108" s="1">
        <f t="shared" ca="1" si="25"/>
        <v>0</v>
      </c>
      <c r="S108" s="1">
        <v>0</v>
      </c>
      <c r="T108" s="1">
        <f t="shared" ca="1" si="21"/>
        <v>10000000000</v>
      </c>
      <c r="U108" s="1">
        <f t="shared" si="27"/>
        <v>0</v>
      </c>
      <c r="V108" s="1">
        <v>16</v>
      </c>
      <c r="W108" s="1" t="str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>0</v>
      </c>
      <c r="Y108" s="1">
        <f t="shared" ca="1" si="22"/>
        <v>10000000000</v>
      </c>
      <c r="Z108" s="1">
        <f t="shared" ca="1" si="23"/>
        <v>1</v>
      </c>
      <c r="AA108" s="1"/>
      <c r="AB108" s="1"/>
      <c r="AC108" s="1"/>
      <c r="AD108" s="1"/>
    </row>
    <row r="109" spans="1:30" ht="19.5" customHeight="1" x14ac:dyDescent="0.3">
      <c r="A109" s="2"/>
      <c r="B109" s="79" t="str">
        <f t="shared" ca="1" si="14"/>
        <v/>
      </c>
      <c r="C109" s="80" t="str">
        <f t="shared" ca="1" si="15"/>
        <v/>
      </c>
      <c r="D109" s="81" t="str">
        <f t="shared" ca="1" si="16"/>
        <v/>
      </c>
      <c r="E109" s="79" t="str">
        <f t="shared" ca="1" si="17"/>
        <v/>
      </c>
      <c r="F109" s="82" t="str">
        <f t="shared" ca="1" si="18"/>
        <v/>
      </c>
      <c r="G109" s="82" t="str">
        <f t="shared" ca="1" si="19"/>
        <v/>
      </c>
      <c r="H109" s="82" t="str">
        <f t="shared" ca="1" si="20"/>
        <v/>
      </c>
      <c r="I109" s="2"/>
      <c r="J109" s="2"/>
      <c r="K109" s="1"/>
      <c r="L109" s="1"/>
      <c r="M109" s="1">
        <v>98</v>
      </c>
      <c r="N109" s="1" t="str">
        <f ca="1">IF(OR($U109=0,$W109="",$X109&lt;=0),"",IF($W109&gt;TODAY(),"",IF(AND(INDEX(UCRETLER!$E$7:$E$606,$U109)&lt;&gt;"",$W109&gt;INDEX(UCRETLER!$E$7:$E$606,$U109)),"",$W109)))</f>
        <v/>
      </c>
      <c r="O109" s="1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 t="str">
        <f t="shared" ca="1" si="24"/>
        <v/>
      </c>
      <c r="Q109" s="1"/>
      <c r="R109" s="1">
        <f t="shared" ca="1" si="25"/>
        <v>0</v>
      </c>
      <c r="S109" s="1">
        <v>0</v>
      </c>
      <c r="T109" s="1">
        <f t="shared" ca="1" si="21"/>
        <v>10000000000</v>
      </c>
      <c r="U109" s="1">
        <f t="shared" si="27"/>
        <v>0</v>
      </c>
      <c r="V109" s="1">
        <v>17</v>
      </c>
      <c r="W109" s="1" t="str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>0</v>
      </c>
      <c r="Y109" s="1">
        <f t="shared" ca="1" si="22"/>
        <v>10000000000</v>
      </c>
      <c r="Z109" s="1">
        <f t="shared" ca="1" si="23"/>
        <v>1</v>
      </c>
      <c r="AA109" s="1"/>
      <c r="AB109" s="1"/>
      <c r="AC109" s="1"/>
      <c r="AD109" s="1"/>
    </row>
    <row r="110" spans="1:30" ht="19.5" customHeight="1" x14ac:dyDescent="0.3">
      <c r="A110" s="2"/>
      <c r="B110" s="79" t="str">
        <f t="shared" ca="1" si="14"/>
        <v/>
      </c>
      <c r="C110" s="80" t="str">
        <f t="shared" ca="1" si="15"/>
        <v/>
      </c>
      <c r="D110" s="81" t="str">
        <f t="shared" ca="1" si="16"/>
        <v/>
      </c>
      <c r="E110" s="79" t="str">
        <f t="shared" ca="1" si="17"/>
        <v/>
      </c>
      <c r="F110" s="82" t="str">
        <f t="shared" ca="1" si="18"/>
        <v/>
      </c>
      <c r="G110" s="82" t="str">
        <f t="shared" ca="1" si="19"/>
        <v/>
      </c>
      <c r="H110" s="82" t="str">
        <f t="shared" ca="1" si="20"/>
        <v/>
      </c>
      <c r="I110" s="2"/>
      <c r="J110" s="2"/>
      <c r="K110" s="1"/>
      <c r="L110" s="1"/>
      <c r="M110" s="1">
        <v>99</v>
      </c>
      <c r="N110" s="1" t="str">
        <f ca="1">IF(OR($U110=0,$W110="",$X110&lt;=0),"",IF($W110&gt;TODAY(),"",IF(AND(INDEX(UCRETLER!$E$7:$E$606,$U110)&lt;&gt;"",$W110&gt;INDEX(UCRETLER!$E$7:$E$606,$U110)),"",$W110)))</f>
        <v/>
      </c>
      <c r="O110" s="1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 t="str">
        <f t="shared" ca="1" si="24"/>
        <v/>
      </c>
      <c r="Q110" s="1"/>
      <c r="R110" s="1">
        <f t="shared" ca="1" si="25"/>
        <v>0</v>
      </c>
      <c r="S110" s="1">
        <v>0</v>
      </c>
      <c r="T110" s="1">
        <f t="shared" ca="1" si="21"/>
        <v>10000000000</v>
      </c>
      <c r="U110" s="1">
        <f t="shared" si="27"/>
        <v>0</v>
      </c>
      <c r="V110" s="1">
        <v>18</v>
      </c>
      <c r="W110" s="1" t="str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>0</v>
      </c>
      <c r="Y110" s="1">
        <f t="shared" ca="1" si="22"/>
        <v>10000000000</v>
      </c>
      <c r="Z110" s="1">
        <f t="shared" ca="1" si="23"/>
        <v>1</v>
      </c>
      <c r="AA110" s="1"/>
      <c r="AB110" s="1"/>
      <c r="AC110" s="1"/>
      <c r="AD110" s="1"/>
    </row>
    <row r="111" spans="1:30" ht="19.5" customHeight="1" x14ac:dyDescent="0.3">
      <c r="A111" s="2"/>
      <c r="B111" s="79" t="str">
        <f t="shared" ca="1" si="14"/>
        <v/>
      </c>
      <c r="C111" s="80" t="str">
        <f t="shared" ca="1" si="15"/>
        <v/>
      </c>
      <c r="D111" s="81" t="str">
        <f t="shared" ca="1" si="16"/>
        <v/>
      </c>
      <c r="E111" s="79" t="str">
        <f t="shared" ca="1" si="17"/>
        <v/>
      </c>
      <c r="F111" s="82" t="str">
        <f t="shared" ca="1" si="18"/>
        <v/>
      </c>
      <c r="G111" s="82" t="str">
        <f t="shared" ca="1" si="19"/>
        <v/>
      </c>
      <c r="H111" s="82" t="str">
        <f t="shared" ca="1" si="20"/>
        <v/>
      </c>
      <c r="I111" s="2"/>
      <c r="J111" s="2"/>
      <c r="K111" s="1"/>
      <c r="L111" s="1"/>
      <c r="M111" s="1">
        <v>100</v>
      </c>
      <c r="N111" s="1" t="str">
        <f ca="1">IF(OR($U111=0,$W111="",$X111&lt;=0),"",IF($W111&gt;TODAY(),"",IF(AND(INDEX(UCRETLER!$E$7:$E$606,$U111)&lt;&gt;"",$W111&gt;INDEX(UCRETLER!$E$7:$E$606,$U111)),"",$W111)))</f>
        <v/>
      </c>
      <c r="O111" s="1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 t="str">
        <f t="shared" ca="1" si="24"/>
        <v/>
      </c>
      <c r="Q111" s="1"/>
      <c r="R111" s="1">
        <f t="shared" ca="1" si="25"/>
        <v>0</v>
      </c>
      <c r="S111" s="1">
        <v>0</v>
      </c>
      <c r="T111" s="1">
        <f t="shared" ca="1" si="21"/>
        <v>10000000000</v>
      </c>
      <c r="U111" s="1">
        <f t="shared" si="27"/>
        <v>0</v>
      </c>
      <c r="V111" s="1">
        <v>19</v>
      </c>
      <c r="W111" s="1" t="str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>0</v>
      </c>
      <c r="Y111" s="1">
        <f t="shared" ca="1" si="22"/>
        <v>10000000000</v>
      </c>
      <c r="Z111" s="1">
        <f t="shared" ca="1" si="23"/>
        <v>1</v>
      </c>
      <c r="AA111" s="1"/>
      <c r="AB111" s="1"/>
      <c r="AC111" s="1"/>
      <c r="AD111" s="1"/>
    </row>
    <row r="112" spans="1:30" ht="19.5" customHeight="1" x14ac:dyDescent="0.3">
      <c r="A112" s="2"/>
      <c r="B112" s="79" t="str">
        <f t="shared" ca="1" si="14"/>
        <v/>
      </c>
      <c r="C112" s="80" t="str">
        <f t="shared" ca="1" si="15"/>
        <v/>
      </c>
      <c r="D112" s="81" t="str">
        <f t="shared" ca="1" si="16"/>
        <v/>
      </c>
      <c r="E112" s="79" t="str">
        <f t="shared" ca="1" si="17"/>
        <v/>
      </c>
      <c r="F112" s="82" t="str">
        <f t="shared" ca="1" si="18"/>
        <v/>
      </c>
      <c r="G112" s="82" t="str">
        <f t="shared" ca="1" si="19"/>
        <v/>
      </c>
      <c r="H112" s="82" t="str">
        <f t="shared" ca="1" si="20"/>
        <v/>
      </c>
      <c r="I112" s="2"/>
      <c r="J112" s="2"/>
      <c r="K112" s="1"/>
      <c r="L112" s="1"/>
      <c r="M112" s="1">
        <v>101</v>
      </c>
      <c r="N112" s="1" t="str">
        <f ca="1">IF(OR($U112=0,$W112="",$X112&lt;=0),"",IF($W112&gt;TODAY(),"",IF(AND(INDEX(UCRETLER!$E$7:$E$606,$U112)&lt;&gt;"",$W112&gt;INDEX(UCRETLER!$E$7:$E$606,$U112)),"",$W112)))</f>
        <v/>
      </c>
      <c r="O112" s="1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 t="str">
        <f t="shared" ca="1" si="24"/>
        <v/>
      </c>
      <c r="Q112" s="1"/>
      <c r="R112" s="1">
        <f t="shared" ca="1" si="25"/>
        <v>0</v>
      </c>
      <c r="S112" s="1">
        <v>0</v>
      </c>
      <c r="T112" s="1">
        <f t="shared" ca="1" si="21"/>
        <v>10000000000</v>
      </c>
      <c r="U112" s="1">
        <f t="shared" si="27"/>
        <v>0</v>
      </c>
      <c r="V112" s="1">
        <v>20</v>
      </c>
      <c r="W112" s="1" t="str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>0</v>
      </c>
      <c r="Y112" s="1">
        <f t="shared" ca="1" si="22"/>
        <v>10000000000</v>
      </c>
      <c r="Z112" s="1">
        <f t="shared" ca="1" si="23"/>
        <v>1</v>
      </c>
      <c r="AA112" s="1"/>
      <c r="AB112" s="1"/>
      <c r="AC112" s="1"/>
      <c r="AD112" s="1"/>
    </row>
    <row r="113" spans="1:30" ht="19.5" customHeight="1" x14ac:dyDescent="0.3">
      <c r="A113" s="2"/>
      <c r="B113" s="79" t="str">
        <f t="shared" ca="1" si="14"/>
        <v/>
      </c>
      <c r="C113" s="80" t="str">
        <f t="shared" ca="1" si="15"/>
        <v/>
      </c>
      <c r="D113" s="81" t="str">
        <f t="shared" ca="1" si="16"/>
        <v/>
      </c>
      <c r="E113" s="79" t="str">
        <f t="shared" ca="1" si="17"/>
        <v/>
      </c>
      <c r="F113" s="82" t="str">
        <f t="shared" ca="1" si="18"/>
        <v/>
      </c>
      <c r="G113" s="82" t="str">
        <f t="shared" ca="1" si="19"/>
        <v/>
      </c>
      <c r="H113" s="82" t="str">
        <f t="shared" ca="1" si="20"/>
        <v/>
      </c>
      <c r="I113" s="2"/>
      <c r="J113" s="2"/>
      <c r="K113" s="1"/>
      <c r="L113" s="1"/>
      <c r="M113" s="1">
        <v>102</v>
      </c>
      <c r="N113" s="1" t="str">
        <f ca="1">IF(OR($U113=0,$W113="",$X113&lt;=0),"",IF($W113&gt;TODAY(),"",IF(AND(INDEX(UCRETLER!$E$7:$E$606,$U113)&lt;&gt;"",$W113&gt;INDEX(UCRETLER!$E$7:$E$606,$U113)),"",$W113)))</f>
        <v/>
      </c>
      <c r="O113" s="1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 t="str">
        <f t="shared" ca="1" si="24"/>
        <v/>
      </c>
      <c r="Q113" s="1"/>
      <c r="R113" s="1">
        <f t="shared" ca="1" si="25"/>
        <v>0</v>
      </c>
      <c r="S113" s="1">
        <v>0</v>
      </c>
      <c r="T113" s="1">
        <f t="shared" ca="1" si="21"/>
        <v>10000000000</v>
      </c>
      <c r="U113" s="1">
        <f t="shared" si="27"/>
        <v>0</v>
      </c>
      <c r="V113" s="1">
        <v>21</v>
      </c>
      <c r="W113" s="1" t="str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>0</v>
      </c>
      <c r="Y113" s="1">
        <f t="shared" ca="1" si="22"/>
        <v>10000000000</v>
      </c>
      <c r="Z113" s="1">
        <f t="shared" ca="1" si="23"/>
        <v>1</v>
      </c>
      <c r="AA113" s="1"/>
      <c r="AB113" s="1"/>
      <c r="AC113" s="1"/>
      <c r="AD113" s="1"/>
    </row>
    <row r="114" spans="1:30" ht="19.5" customHeight="1" x14ac:dyDescent="0.3">
      <c r="A114" s="2"/>
      <c r="B114" s="79" t="str">
        <f t="shared" ca="1" si="14"/>
        <v/>
      </c>
      <c r="C114" s="80" t="str">
        <f t="shared" ca="1" si="15"/>
        <v/>
      </c>
      <c r="D114" s="81" t="str">
        <f t="shared" ca="1" si="16"/>
        <v/>
      </c>
      <c r="E114" s="79" t="str">
        <f t="shared" ca="1" si="17"/>
        <v/>
      </c>
      <c r="F114" s="82" t="str">
        <f t="shared" ca="1" si="18"/>
        <v/>
      </c>
      <c r="G114" s="82" t="str">
        <f t="shared" ca="1" si="19"/>
        <v/>
      </c>
      <c r="H114" s="82" t="str">
        <f t="shared" ca="1" si="20"/>
        <v/>
      </c>
      <c r="I114" s="2"/>
      <c r="J114" s="2"/>
      <c r="K114" s="1"/>
      <c r="L114" s="1"/>
      <c r="M114" s="1">
        <v>103</v>
      </c>
      <c r="N114" s="1" t="str">
        <f ca="1">IF(OR($U114=0,$W114="",$X114&lt;=0),"",IF($W114&gt;TODAY(),"",IF(AND(INDEX(UCRETLER!$E$7:$E$606,$U114)&lt;&gt;"",$W114&gt;INDEX(UCRETLER!$E$7:$E$606,$U114)),"",$W114)))</f>
        <v/>
      </c>
      <c r="O114" s="1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 t="str">
        <f t="shared" ca="1" si="24"/>
        <v/>
      </c>
      <c r="Q114" s="1"/>
      <c r="R114" s="1">
        <f t="shared" ca="1" si="25"/>
        <v>0</v>
      </c>
      <c r="S114" s="1">
        <v>0</v>
      </c>
      <c r="T114" s="1">
        <f t="shared" ca="1" si="21"/>
        <v>10000000000</v>
      </c>
      <c r="U114" s="1">
        <f t="shared" si="27"/>
        <v>0</v>
      </c>
      <c r="V114" s="1">
        <v>22</v>
      </c>
      <c r="W114" s="1" t="str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>0</v>
      </c>
      <c r="Y114" s="1">
        <f t="shared" ca="1" si="22"/>
        <v>10000000000</v>
      </c>
      <c r="Z114" s="1">
        <f t="shared" ca="1" si="23"/>
        <v>1</v>
      </c>
      <c r="AA114" s="1"/>
      <c r="AB114" s="1"/>
      <c r="AC114" s="1"/>
      <c r="AD114" s="1"/>
    </row>
    <row r="115" spans="1:30" ht="19.5" customHeight="1" x14ac:dyDescent="0.3">
      <c r="A115" s="2"/>
      <c r="B115" s="79" t="str">
        <f t="shared" ca="1" si="14"/>
        <v/>
      </c>
      <c r="C115" s="80" t="str">
        <f t="shared" ca="1" si="15"/>
        <v/>
      </c>
      <c r="D115" s="81" t="str">
        <f t="shared" ca="1" si="16"/>
        <v/>
      </c>
      <c r="E115" s="79" t="str">
        <f t="shared" ca="1" si="17"/>
        <v/>
      </c>
      <c r="F115" s="82" t="str">
        <f t="shared" ca="1" si="18"/>
        <v/>
      </c>
      <c r="G115" s="82" t="str">
        <f t="shared" ca="1" si="19"/>
        <v/>
      </c>
      <c r="H115" s="82" t="str">
        <f t="shared" ca="1" si="20"/>
        <v/>
      </c>
      <c r="I115" s="2"/>
      <c r="J115" s="2"/>
      <c r="K115" s="1"/>
      <c r="L115" s="1"/>
      <c r="M115" s="1">
        <v>104</v>
      </c>
      <c r="N115" s="1" t="str">
        <f ca="1">IF(OR($U115=0,$W115="",$X115&lt;=0),"",IF($W115&gt;TODAY(),"",IF(AND(INDEX(UCRETLER!$E$7:$E$606,$U115)&lt;&gt;"",$W115&gt;INDEX(UCRETLER!$E$7:$E$606,$U115)),"",$W115)))</f>
        <v/>
      </c>
      <c r="O115" s="1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 t="str">
        <f t="shared" ca="1" si="24"/>
        <v/>
      </c>
      <c r="Q115" s="1"/>
      <c r="R115" s="1">
        <f t="shared" ca="1" si="25"/>
        <v>0</v>
      </c>
      <c r="S115" s="1">
        <v>0</v>
      </c>
      <c r="T115" s="1">
        <f t="shared" ca="1" si="21"/>
        <v>10000000000</v>
      </c>
      <c r="U115" s="1">
        <f t="shared" si="27"/>
        <v>0</v>
      </c>
      <c r="V115" s="1">
        <v>23</v>
      </c>
      <c r="W115" s="1" t="str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>0</v>
      </c>
      <c r="Y115" s="1">
        <f t="shared" ca="1" si="22"/>
        <v>10000000000</v>
      </c>
      <c r="Z115" s="1">
        <f t="shared" ca="1" si="23"/>
        <v>1</v>
      </c>
      <c r="AA115" s="1"/>
      <c r="AB115" s="1"/>
      <c r="AC115" s="1"/>
      <c r="AD115" s="1"/>
    </row>
    <row r="116" spans="1:30" ht="19.5" customHeight="1" x14ac:dyDescent="0.3">
      <c r="A116" s="2"/>
      <c r="B116" s="79" t="str">
        <f t="shared" ca="1" si="14"/>
        <v/>
      </c>
      <c r="C116" s="80" t="str">
        <f t="shared" ca="1" si="15"/>
        <v/>
      </c>
      <c r="D116" s="81" t="str">
        <f t="shared" ca="1" si="16"/>
        <v/>
      </c>
      <c r="E116" s="79" t="str">
        <f t="shared" ca="1" si="17"/>
        <v/>
      </c>
      <c r="F116" s="82" t="str">
        <f t="shared" ca="1" si="18"/>
        <v/>
      </c>
      <c r="G116" s="82" t="str">
        <f t="shared" ca="1" si="19"/>
        <v/>
      </c>
      <c r="H116" s="82" t="str">
        <f t="shared" ca="1" si="20"/>
        <v/>
      </c>
      <c r="I116" s="2"/>
      <c r="J116" s="2"/>
      <c r="K116" s="1"/>
      <c r="L116" s="1"/>
      <c r="M116" s="1">
        <v>105</v>
      </c>
      <c r="N116" s="1" t="str">
        <f ca="1">IF(OR($U116=0,$W116="",$X116&lt;=0),"",IF($W116&gt;TODAY(),"",IF(AND(INDEX(UCRETLER!$E$7:$E$606,$U116)&lt;&gt;"",$W116&gt;INDEX(UCRETLER!$E$7:$E$606,$U116)),"",$W116)))</f>
        <v/>
      </c>
      <c r="O116" s="1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 t="str">
        <f t="shared" ca="1" si="24"/>
        <v/>
      </c>
      <c r="Q116" s="1"/>
      <c r="R116" s="1">
        <f t="shared" ca="1" si="25"/>
        <v>0</v>
      </c>
      <c r="S116" s="1">
        <v>0</v>
      </c>
      <c r="T116" s="1">
        <f t="shared" ca="1" si="21"/>
        <v>10000000000</v>
      </c>
      <c r="U116" s="1">
        <f t="shared" si="27"/>
        <v>0</v>
      </c>
      <c r="V116" s="1">
        <v>24</v>
      </c>
      <c r="W116" s="1" t="str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>0</v>
      </c>
      <c r="Y116" s="1">
        <f t="shared" ca="1" si="22"/>
        <v>10000000000</v>
      </c>
      <c r="Z116" s="1">
        <f t="shared" ca="1" si="23"/>
        <v>1</v>
      </c>
      <c r="AA116" s="1"/>
      <c r="AB116" s="1"/>
      <c r="AC116" s="1"/>
      <c r="AD116" s="1"/>
    </row>
    <row r="117" spans="1:30" ht="19.5" customHeight="1" x14ac:dyDescent="0.3">
      <c r="A117" s="2"/>
      <c r="B117" s="79" t="str">
        <f t="shared" ca="1" si="14"/>
        <v/>
      </c>
      <c r="C117" s="80" t="str">
        <f t="shared" ca="1" si="15"/>
        <v/>
      </c>
      <c r="D117" s="81" t="str">
        <f t="shared" ca="1" si="16"/>
        <v/>
      </c>
      <c r="E117" s="79" t="str">
        <f t="shared" ca="1" si="17"/>
        <v/>
      </c>
      <c r="F117" s="82" t="str">
        <f t="shared" ca="1" si="18"/>
        <v/>
      </c>
      <c r="G117" s="82" t="str">
        <f t="shared" ca="1" si="19"/>
        <v/>
      </c>
      <c r="H117" s="82" t="str">
        <f t="shared" ca="1" si="20"/>
        <v/>
      </c>
      <c r="I117" s="2"/>
      <c r="J117" s="2"/>
      <c r="K117" s="1"/>
      <c r="L117" s="1"/>
      <c r="M117" s="1">
        <v>106</v>
      </c>
      <c r="N117" s="1" t="str">
        <f ca="1">IF(OR($U117=0,$W117="",$X117&lt;=0),"",IF($W117&gt;TODAY(),"",IF(AND(INDEX(UCRETLER!$E$7:$E$606,$U117)&lt;&gt;"",$W117&gt;INDEX(UCRETLER!$E$7:$E$606,$U117)),"",$W117)))</f>
        <v/>
      </c>
      <c r="O117" s="1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 t="str">
        <f t="shared" ca="1" si="24"/>
        <v/>
      </c>
      <c r="Q117" s="1"/>
      <c r="R117" s="1">
        <f t="shared" ca="1" si="25"/>
        <v>0</v>
      </c>
      <c r="S117" s="1">
        <v>0</v>
      </c>
      <c r="T117" s="1">
        <f t="shared" ca="1" si="21"/>
        <v>10000000000</v>
      </c>
      <c r="U117" s="1">
        <f t="shared" si="27"/>
        <v>0</v>
      </c>
      <c r="V117" s="1">
        <v>25</v>
      </c>
      <c r="W117" s="1" t="str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>0</v>
      </c>
      <c r="Y117" s="1">
        <f t="shared" ca="1" si="22"/>
        <v>10000000000</v>
      </c>
      <c r="Z117" s="1">
        <f t="shared" ca="1" si="23"/>
        <v>1</v>
      </c>
      <c r="AA117" s="1"/>
      <c r="AB117" s="1"/>
      <c r="AC117" s="1"/>
      <c r="AD117" s="1"/>
    </row>
    <row r="118" spans="1:30" ht="19.5" customHeight="1" x14ac:dyDescent="0.3">
      <c r="A118" s="2"/>
      <c r="B118" s="79" t="str">
        <f t="shared" ca="1" si="14"/>
        <v/>
      </c>
      <c r="C118" s="80" t="str">
        <f t="shared" ca="1" si="15"/>
        <v/>
      </c>
      <c r="D118" s="81" t="str">
        <f t="shared" ca="1" si="16"/>
        <v/>
      </c>
      <c r="E118" s="79" t="str">
        <f t="shared" ca="1" si="17"/>
        <v/>
      </c>
      <c r="F118" s="82" t="str">
        <f t="shared" ca="1" si="18"/>
        <v/>
      </c>
      <c r="G118" s="82" t="str">
        <f t="shared" ca="1" si="19"/>
        <v/>
      </c>
      <c r="H118" s="82" t="str">
        <f t="shared" ca="1" si="20"/>
        <v/>
      </c>
      <c r="I118" s="2"/>
      <c r="J118" s="2"/>
      <c r="K118" s="1"/>
      <c r="L118" s="1"/>
      <c r="M118" s="1">
        <v>107</v>
      </c>
      <c r="N118" s="1" t="str">
        <f ca="1">IF(OR($U118=0,$W118="",$X118&lt;=0),"",IF($W118&gt;TODAY(),"",IF(AND(INDEX(UCRETLER!$E$7:$E$606,$U118)&lt;&gt;"",$W118&gt;INDEX(UCRETLER!$E$7:$E$606,$U118)),"",$W118)))</f>
        <v/>
      </c>
      <c r="O118" s="1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 t="str">
        <f t="shared" ca="1" si="24"/>
        <v/>
      </c>
      <c r="Q118" s="1"/>
      <c r="R118" s="1">
        <f t="shared" ca="1" si="25"/>
        <v>0</v>
      </c>
      <c r="S118" s="1">
        <v>0</v>
      </c>
      <c r="T118" s="1">
        <f t="shared" ca="1" si="21"/>
        <v>10000000000</v>
      </c>
      <c r="U118" s="1">
        <f t="shared" si="27"/>
        <v>0</v>
      </c>
      <c r="V118" s="1">
        <v>26</v>
      </c>
      <c r="W118" s="1" t="str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>0</v>
      </c>
      <c r="Y118" s="1">
        <f t="shared" ca="1" si="22"/>
        <v>10000000000</v>
      </c>
      <c r="Z118" s="1">
        <f t="shared" ca="1" si="23"/>
        <v>1</v>
      </c>
      <c r="AA118" s="1"/>
      <c r="AB118" s="1"/>
      <c r="AC118" s="1"/>
      <c r="AD118" s="1"/>
    </row>
    <row r="119" spans="1:30" ht="19.5" customHeight="1" x14ac:dyDescent="0.3">
      <c r="A119" s="2"/>
      <c r="B119" s="79" t="str">
        <f t="shared" ca="1" si="14"/>
        <v/>
      </c>
      <c r="C119" s="80" t="str">
        <f t="shared" ca="1" si="15"/>
        <v/>
      </c>
      <c r="D119" s="81" t="str">
        <f t="shared" ca="1" si="16"/>
        <v/>
      </c>
      <c r="E119" s="79" t="str">
        <f t="shared" ca="1" si="17"/>
        <v/>
      </c>
      <c r="F119" s="82" t="str">
        <f t="shared" ca="1" si="18"/>
        <v/>
      </c>
      <c r="G119" s="82" t="str">
        <f t="shared" ca="1" si="19"/>
        <v/>
      </c>
      <c r="H119" s="82" t="str">
        <f t="shared" ca="1" si="20"/>
        <v/>
      </c>
      <c r="I119" s="2"/>
      <c r="J119" s="2"/>
      <c r="K119" s="1"/>
      <c r="L119" s="1"/>
      <c r="M119" s="1">
        <v>108</v>
      </c>
      <c r="N119" s="1" t="str">
        <f ca="1">IF(OR($U119=0,$W119="",$X119&lt;=0),"",IF($W119&gt;TODAY(),"",IF(AND(INDEX(UCRETLER!$E$7:$E$606,$U119)&lt;&gt;"",$W119&gt;INDEX(UCRETLER!$E$7:$E$606,$U119)),"",$W119)))</f>
        <v/>
      </c>
      <c r="O119" s="1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 t="str">
        <f t="shared" ca="1" si="24"/>
        <v/>
      </c>
      <c r="Q119" s="1"/>
      <c r="R119" s="1">
        <f t="shared" ca="1" si="25"/>
        <v>0</v>
      </c>
      <c r="S119" s="1">
        <v>0</v>
      </c>
      <c r="T119" s="1">
        <f t="shared" ca="1" si="21"/>
        <v>10000000000</v>
      </c>
      <c r="U119" s="1">
        <f t="shared" si="27"/>
        <v>0</v>
      </c>
      <c r="V119" s="1">
        <v>27</v>
      </c>
      <c r="W119" s="1" t="str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>0</v>
      </c>
      <c r="Y119" s="1">
        <f t="shared" ca="1" si="22"/>
        <v>10000000000</v>
      </c>
      <c r="Z119" s="1">
        <f t="shared" ca="1" si="23"/>
        <v>1</v>
      </c>
      <c r="AA119" s="1"/>
      <c r="AB119" s="1"/>
      <c r="AC119" s="1"/>
      <c r="AD119" s="1"/>
    </row>
    <row r="120" spans="1:30" ht="19.5" customHeight="1" x14ac:dyDescent="0.3">
      <c r="A120" s="2"/>
      <c r="B120" s="79" t="str">
        <f t="shared" ca="1" si="14"/>
        <v/>
      </c>
      <c r="C120" s="80" t="str">
        <f t="shared" ca="1" si="15"/>
        <v/>
      </c>
      <c r="D120" s="81" t="str">
        <f t="shared" ca="1" si="16"/>
        <v/>
      </c>
      <c r="E120" s="79" t="str">
        <f t="shared" ca="1" si="17"/>
        <v/>
      </c>
      <c r="F120" s="82" t="str">
        <f t="shared" ca="1" si="18"/>
        <v/>
      </c>
      <c r="G120" s="82" t="str">
        <f t="shared" ca="1" si="19"/>
        <v/>
      </c>
      <c r="H120" s="82" t="str">
        <f t="shared" ca="1" si="20"/>
        <v/>
      </c>
      <c r="I120" s="2"/>
      <c r="J120" s="2"/>
      <c r="K120" s="1"/>
      <c r="L120" s="1"/>
      <c r="M120" s="1">
        <v>109</v>
      </c>
      <c r="N120" s="1" t="str">
        <f ca="1">IF(OR($U120=0,$W120="",$X120&lt;=0),"",IF($W120&gt;TODAY(),"",IF(AND(INDEX(UCRETLER!$E$7:$E$606,$U120)&lt;&gt;"",$W120&gt;INDEX(UCRETLER!$E$7:$E$606,$U120)),"",$W120)))</f>
        <v/>
      </c>
      <c r="O120" s="1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 t="str">
        <f t="shared" ca="1" si="24"/>
        <v/>
      </c>
      <c r="Q120" s="1"/>
      <c r="R120" s="1">
        <f t="shared" ca="1" si="25"/>
        <v>0</v>
      </c>
      <c r="S120" s="1">
        <v>0</v>
      </c>
      <c r="T120" s="1">
        <f t="shared" ca="1" si="21"/>
        <v>10000000000</v>
      </c>
      <c r="U120" s="1">
        <f t="shared" si="27"/>
        <v>0</v>
      </c>
      <c r="V120" s="1">
        <v>28</v>
      </c>
      <c r="W120" s="1" t="str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>0</v>
      </c>
      <c r="Y120" s="1">
        <f t="shared" ca="1" si="22"/>
        <v>10000000000</v>
      </c>
      <c r="Z120" s="1">
        <f t="shared" ca="1" si="23"/>
        <v>1</v>
      </c>
      <c r="AA120" s="1"/>
      <c r="AB120" s="1"/>
      <c r="AC120" s="1"/>
      <c r="AD120" s="1"/>
    </row>
    <row r="121" spans="1:30" ht="19.5" customHeight="1" x14ac:dyDescent="0.3">
      <c r="A121" s="2"/>
      <c r="B121" s="79" t="str">
        <f t="shared" ca="1" si="14"/>
        <v/>
      </c>
      <c r="C121" s="80" t="str">
        <f t="shared" ca="1" si="15"/>
        <v/>
      </c>
      <c r="D121" s="81" t="str">
        <f t="shared" ca="1" si="16"/>
        <v/>
      </c>
      <c r="E121" s="79" t="str">
        <f t="shared" ca="1" si="17"/>
        <v/>
      </c>
      <c r="F121" s="82" t="str">
        <f t="shared" ca="1" si="18"/>
        <v/>
      </c>
      <c r="G121" s="82" t="str">
        <f t="shared" ca="1" si="19"/>
        <v/>
      </c>
      <c r="H121" s="82" t="str">
        <f t="shared" ca="1" si="20"/>
        <v/>
      </c>
      <c r="I121" s="2"/>
      <c r="J121" s="2"/>
      <c r="K121" s="1"/>
      <c r="L121" s="1"/>
      <c r="M121" s="1">
        <v>110</v>
      </c>
      <c r="N121" s="1" t="str">
        <f ca="1">IF(OR($U121=0,$W121="",$X121&lt;=0),"",IF($W121&gt;TODAY(),"",IF(AND(INDEX(UCRETLER!$E$7:$E$606,$U121)&lt;&gt;"",$W121&gt;INDEX(UCRETLER!$E$7:$E$606,$U121)),"",$W121)))</f>
        <v/>
      </c>
      <c r="O121" s="1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 t="str">
        <f t="shared" ca="1" si="24"/>
        <v/>
      </c>
      <c r="Q121" s="1"/>
      <c r="R121" s="1">
        <f t="shared" ca="1" si="25"/>
        <v>0</v>
      </c>
      <c r="S121" s="1">
        <v>0</v>
      </c>
      <c r="T121" s="1">
        <f t="shared" ca="1" si="21"/>
        <v>10000000000</v>
      </c>
      <c r="U121" s="1">
        <f t="shared" si="27"/>
        <v>0</v>
      </c>
      <c r="V121" s="1">
        <v>29</v>
      </c>
      <c r="W121" s="1" t="str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>0</v>
      </c>
      <c r="Y121" s="1">
        <f t="shared" ca="1" si="22"/>
        <v>10000000000</v>
      </c>
      <c r="Z121" s="1">
        <f t="shared" ca="1" si="23"/>
        <v>1</v>
      </c>
      <c r="AA121" s="1"/>
      <c r="AB121" s="1"/>
      <c r="AC121" s="1"/>
      <c r="AD121" s="1"/>
    </row>
    <row r="122" spans="1:30" ht="19.5" customHeight="1" x14ac:dyDescent="0.3">
      <c r="A122" s="2"/>
      <c r="B122" s="79" t="str">
        <f t="shared" ca="1" si="14"/>
        <v/>
      </c>
      <c r="C122" s="80" t="str">
        <f t="shared" ca="1" si="15"/>
        <v/>
      </c>
      <c r="D122" s="81" t="str">
        <f t="shared" ca="1" si="16"/>
        <v/>
      </c>
      <c r="E122" s="79" t="str">
        <f t="shared" ca="1" si="17"/>
        <v/>
      </c>
      <c r="F122" s="82" t="str">
        <f t="shared" ca="1" si="18"/>
        <v/>
      </c>
      <c r="G122" s="82" t="str">
        <f t="shared" ca="1" si="19"/>
        <v/>
      </c>
      <c r="H122" s="82" t="str">
        <f t="shared" ca="1" si="20"/>
        <v/>
      </c>
      <c r="I122" s="2"/>
      <c r="J122" s="2"/>
      <c r="K122" s="1"/>
      <c r="L122" s="1"/>
      <c r="M122" s="1">
        <v>111</v>
      </c>
      <c r="N122" s="1" t="str">
        <f ca="1">IF(OR($U122=0,$W122="",$X122&lt;=0),"",IF($W122&gt;TODAY(),"",IF(AND(INDEX(UCRETLER!$E$7:$E$606,$U122)&lt;&gt;"",$W122&gt;INDEX(UCRETLER!$E$7:$E$606,$U122)),"",$W122)))</f>
        <v/>
      </c>
      <c r="O122" s="1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 t="str">
        <f t="shared" ca="1" si="24"/>
        <v/>
      </c>
      <c r="Q122" s="1"/>
      <c r="R122" s="1">
        <f t="shared" ca="1" si="25"/>
        <v>0</v>
      </c>
      <c r="S122" s="1">
        <v>0</v>
      </c>
      <c r="T122" s="1">
        <f t="shared" ca="1" si="21"/>
        <v>10000000000</v>
      </c>
      <c r="U122" s="1">
        <f t="shared" si="27"/>
        <v>0</v>
      </c>
      <c r="V122" s="1">
        <v>30</v>
      </c>
      <c r="W122" s="1" t="str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>0</v>
      </c>
      <c r="Y122" s="1">
        <f t="shared" ca="1" si="22"/>
        <v>10000000000</v>
      </c>
      <c r="Z122" s="1">
        <f t="shared" ca="1" si="23"/>
        <v>1</v>
      </c>
      <c r="AA122" s="1"/>
      <c r="AB122" s="1"/>
      <c r="AC122" s="1"/>
      <c r="AD122" s="1"/>
    </row>
    <row r="123" spans="1:30" ht="19.5" customHeight="1" x14ac:dyDescent="0.3">
      <c r="A123" s="2"/>
      <c r="B123" s="79" t="str">
        <f t="shared" ca="1" si="14"/>
        <v/>
      </c>
      <c r="C123" s="80" t="str">
        <f t="shared" ca="1" si="15"/>
        <v/>
      </c>
      <c r="D123" s="81" t="str">
        <f t="shared" ca="1" si="16"/>
        <v/>
      </c>
      <c r="E123" s="79" t="str">
        <f t="shared" ca="1" si="17"/>
        <v/>
      </c>
      <c r="F123" s="82" t="str">
        <f t="shared" ca="1" si="18"/>
        <v/>
      </c>
      <c r="G123" s="82" t="str">
        <f t="shared" ca="1" si="19"/>
        <v/>
      </c>
      <c r="H123" s="82" t="str">
        <f t="shared" ca="1" si="20"/>
        <v/>
      </c>
      <c r="I123" s="2"/>
      <c r="J123" s="2"/>
      <c r="K123" s="1"/>
      <c r="L123" s="1"/>
      <c r="M123" s="1">
        <v>112</v>
      </c>
      <c r="N123" s="1" t="str">
        <f ca="1">IF(OR($U123=0,$W123="",$X123&lt;=0),"",IF($W123&gt;TODAY(),"",IF(AND(INDEX(UCRETLER!$E$7:$E$606,$U123)&lt;&gt;"",$W123&gt;INDEX(UCRETLER!$E$7:$E$606,$U123)),"",$W123)))</f>
        <v/>
      </c>
      <c r="O123" s="1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 t="str">
        <f t="shared" ca="1" si="24"/>
        <v/>
      </c>
      <c r="Q123" s="1"/>
      <c r="R123" s="1">
        <f t="shared" ca="1" si="25"/>
        <v>0</v>
      </c>
      <c r="S123" s="1">
        <v>0</v>
      </c>
      <c r="T123" s="1">
        <f t="shared" ca="1" si="21"/>
        <v>10000000000</v>
      </c>
      <c r="U123" s="1">
        <f t="shared" si="27"/>
        <v>0</v>
      </c>
      <c r="V123" s="1">
        <v>31</v>
      </c>
      <c r="W123" s="1" t="str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>0</v>
      </c>
      <c r="Y123" s="1">
        <f t="shared" ca="1" si="22"/>
        <v>10000000000</v>
      </c>
      <c r="Z123" s="1">
        <f t="shared" ca="1" si="23"/>
        <v>1</v>
      </c>
      <c r="AA123" s="1"/>
      <c r="AB123" s="1"/>
      <c r="AC123" s="1"/>
      <c r="AD123" s="1"/>
    </row>
    <row r="124" spans="1:30" ht="19.5" customHeight="1" x14ac:dyDescent="0.3">
      <c r="A124" s="2"/>
      <c r="B124" s="79" t="str">
        <f t="shared" ca="1" si="14"/>
        <v/>
      </c>
      <c r="C124" s="80" t="str">
        <f t="shared" ca="1" si="15"/>
        <v/>
      </c>
      <c r="D124" s="81" t="str">
        <f t="shared" ca="1" si="16"/>
        <v/>
      </c>
      <c r="E124" s="79" t="str">
        <f t="shared" ca="1" si="17"/>
        <v/>
      </c>
      <c r="F124" s="82" t="str">
        <f t="shared" ca="1" si="18"/>
        <v/>
      </c>
      <c r="G124" s="82" t="str">
        <f t="shared" ca="1" si="19"/>
        <v/>
      </c>
      <c r="H124" s="82" t="str">
        <f t="shared" ca="1" si="20"/>
        <v/>
      </c>
      <c r="I124" s="2"/>
      <c r="J124" s="2"/>
      <c r="K124" s="1"/>
      <c r="L124" s="1"/>
      <c r="M124" s="1">
        <v>113</v>
      </c>
      <c r="N124" s="1" t="str">
        <f ca="1">IF(OR($U124=0,$W124="",$X124&lt;=0),"",IF($W124&gt;TODAY(),"",IF(AND(INDEX(UCRETLER!$E$7:$E$606,$U124)&lt;&gt;"",$W124&gt;INDEX(UCRETLER!$E$7:$E$606,$U124)),"",$W124)))</f>
        <v/>
      </c>
      <c r="O124" s="1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 t="str">
        <f t="shared" ca="1" si="24"/>
        <v/>
      </c>
      <c r="Q124" s="1"/>
      <c r="R124" s="1">
        <f t="shared" ca="1" si="25"/>
        <v>0</v>
      </c>
      <c r="S124" s="1">
        <v>0</v>
      </c>
      <c r="T124" s="1">
        <f t="shared" ca="1" si="21"/>
        <v>10000000000</v>
      </c>
      <c r="U124" s="1">
        <f t="shared" si="27"/>
        <v>0</v>
      </c>
      <c r="V124" s="1">
        <v>32</v>
      </c>
      <c r="W124" s="1" t="str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>0</v>
      </c>
      <c r="Y124" s="1">
        <f t="shared" ca="1" si="22"/>
        <v>10000000000</v>
      </c>
      <c r="Z124" s="1">
        <f t="shared" ca="1" si="23"/>
        <v>1</v>
      </c>
      <c r="AA124" s="1"/>
      <c r="AB124" s="1"/>
      <c r="AC124" s="1"/>
      <c r="AD124" s="1"/>
    </row>
    <row r="125" spans="1:30" ht="19.5" customHeight="1" x14ac:dyDescent="0.3">
      <c r="A125" s="2"/>
      <c r="B125" s="79" t="str">
        <f t="shared" ca="1" si="14"/>
        <v/>
      </c>
      <c r="C125" s="80" t="str">
        <f t="shared" ca="1" si="15"/>
        <v/>
      </c>
      <c r="D125" s="81" t="str">
        <f t="shared" ca="1" si="16"/>
        <v/>
      </c>
      <c r="E125" s="79" t="str">
        <f t="shared" ca="1" si="17"/>
        <v/>
      </c>
      <c r="F125" s="82" t="str">
        <f t="shared" ca="1" si="18"/>
        <v/>
      </c>
      <c r="G125" s="82" t="str">
        <f t="shared" ca="1" si="19"/>
        <v/>
      </c>
      <c r="H125" s="82" t="str">
        <f t="shared" ca="1" si="20"/>
        <v/>
      </c>
      <c r="I125" s="2"/>
      <c r="J125" s="2"/>
      <c r="K125" s="1"/>
      <c r="L125" s="1"/>
      <c r="M125" s="1">
        <v>114</v>
      </c>
      <c r="N125" s="1" t="str">
        <f ca="1">IF(OR($U125=0,$W125="",$X125&lt;=0),"",IF($W125&gt;TODAY(),"",IF(AND(INDEX(UCRETLER!$E$7:$E$606,$U125)&lt;&gt;"",$W125&gt;INDEX(UCRETLER!$E$7:$E$606,$U125)),"",$W125)))</f>
        <v/>
      </c>
      <c r="O125" s="1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 t="str">
        <f t="shared" ca="1" si="24"/>
        <v/>
      </c>
      <c r="Q125" s="1"/>
      <c r="R125" s="1">
        <f t="shared" ca="1" si="25"/>
        <v>0</v>
      </c>
      <c r="S125" s="1">
        <v>0</v>
      </c>
      <c r="T125" s="1">
        <f t="shared" ca="1" si="21"/>
        <v>10000000000</v>
      </c>
      <c r="U125" s="1">
        <f t="shared" ref="U125:U156" si="28">$AB$5</f>
        <v>0</v>
      </c>
      <c r="V125" s="1">
        <v>33</v>
      </c>
      <c r="W125" s="1" t="str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>0</v>
      </c>
      <c r="Y125" s="1">
        <f t="shared" ca="1" si="22"/>
        <v>10000000000</v>
      </c>
      <c r="Z125" s="1">
        <f t="shared" ca="1" si="23"/>
        <v>1</v>
      </c>
      <c r="AA125" s="1"/>
      <c r="AB125" s="1"/>
      <c r="AC125" s="1"/>
      <c r="AD125" s="1"/>
    </row>
    <row r="126" spans="1:30" ht="19.5" customHeight="1" x14ac:dyDescent="0.3">
      <c r="A126" s="2"/>
      <c r="B126" s="79" t="str">
        <f t="shared" ca="1" si="14"/>
        <v/>
      </c>
      <c r="C126" s="80" t="str">
        <f t="shared" ca="1" si="15"/>
        <v/>
      </c>
      <c r="D126" s="81" t="str">
        <f t="shared" ca="1" si="16"/>
        <v/>
      </c>
      <c r="E126" s="79" t="str">
        <f t="shared" ca="1" si="17"/>
        <v/>
      </c>
      <c r="F126" s="82" t="str">
        <f t="shared" ca="1" si="18"/>
        <v/>
      </c>
      <c r="G126" s="82" t="str">
        <f t="shared" ca="1" si="19"/>
        <v/>
      </c>
      <c r="H126" s="82" t="str">
        <f t="shared" ca="1" si="20"/>
        <v/>
      </c>
      <c r="I126" s="2"/>
      <c r="J126" s="2"/>
      <c r="K126" s="1"/>
      <c r="L126" s="1"/>
      <c r="M126" s="1">
        <v>115</v>
      </c>
      <c r="N126" s="1" t="str">
        <f ca="1">IF(OR($U126=0,$W126="",$X126&lt;=0),"",IF($W126&gt;TODAY(),"",IF(AND(INDEX(UCRETLER!$E$7:$E$606,$U126)&lt;&gt;"",$W126&gt;INDEX(UCRETLER!$E$7:$E$606,$U126)),"",$W126)))</f>
        <v/>
      </c>
      <c r="O126" s="1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 t="str">
        <f t="shared" ca="1" si="24"/>
        <v/>
      </c>
      <c r="Q126" s="1"/>
      <c r="R126" s="1">
        <f t="shared" ca="1" si="25"/>
        <v>0</v>
      </c>
      <c r="S126" s="1">
        <v>0</v>
      </c>
      <c r="T126" s="1">
        <f t="shared" ca="1" si="21"/>
        <v>10000000000</v>
      </c>
      <c r="U126" s="1">
        <f t="shared" si="28"/>
        <v>0</v>
      </c>
      <c r="V126" s="1">
        <v>34</v>
      </c>
      <c r="W126" s="1" t="str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>0</v>
      </c>
      <c r="Y126" s="1">
        <f t="shared" ca="1" si="22"/>
        <v>10000000000</v>
      </c>
      <c r="Z126" s="1">
        <f t="shared" ca="1" si="23"/>
        <v>1</v>
      </c>
      <c r="AA126" s="1"/>
      <c r="AB126" s="1"/>
      <c r="AC126" s="1"/>
      <c r="AD126" s="1"/>
    </row>
    <row r="127" spans="1:30" ht="19.5" customHeight="1" x14ac:dyDescent="0.3">
      <c r="A127" s="2"/>
      <c r="B127" s="79" t="str">
        <f t="shared" ca="1" si="14"/>
        <v/>
      </c>
      <c r="C127" s="80" t="str">
        <f t="shared" ca="1" si="15"/>
        <v/>
      </c>
      <c r="D127" s="81" t="str">
        <f t="shared" ca="1" si="16"/>
        <v/>
      </c>
      <c r="E127" s="79" t="str">
        <f t="shared" ca="1" si="17"/>
        <v/>
      </c>
      <c r="F127" s="82" t="str">
        <f t="shared" ca="1" si="18"/>
        <v/>
      </c>
      <c r="G127" s="82" t="str">
        <f t="shared" ca="1" si="19"/>
        <v/>
      </c>
      <c r="H127" s="82" t="str">
        <f t="shared" ca="1" si="20"/>
        <v/>
      </c>
      <c r="I127" s="2"/>
      <c r="J127" s="2"/>
      <c r="K127" s="1"/>
      <c r="L127" s="1"/>
      <c r="M127" s="1">
        <v>116</v>
      </c>
      <c r="N127" s="1" t="str">
        <f ca="1">IF(OR($U127=0,$W127="",$X127&lt;=0),"",IF($W127&gt;TODAY(),"",IF(AND(INDEX(UCRETLER!$E$7:$E$606,$U127)&lt;&gt;"",$W127&gt;INDEX(UCRETLER!$E$7:$E$606,$U127)),"",$W127)))</f>
        <v/>
      </c>
      <c r="O127" s="1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 t="str">
        <f t="shared" ca="1" si="24"/>
        <v/>
      </c>
      <c r="Q127" s="1"/>
      <c r="R127" s="1">
        <f t="shared" ca="1" si="25"/>
        <v>0</v>
      </c>
      <c r="S127" s="1">
        <v>0</v>
      </c>
      <c r="T127" s="1">
        <f t="shared" ca="1" si="21"/>
        <v>10000000000</v>
      </c>
      <c r="U127" s="1">
        <f t="shared" si="28"/>
        <v>0</v>
      </c>
      <c r="V127" s="1">
        <v>35</v>
      </c>
      <c r="W127" s="1" t="str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>0</v>
      </c>
      <c r="Y127" s="1">
        <f t="shared" ca="1" si="22"/>
        <v>10000000000</v>
      </c>
      <c r="Z127" s="1">
        <f t="shared" ca="1" si="23"/>
        <v>1</v>
      </c>
      <c r="AA127" s="1"/>
      <c r="AB127" s="1"/>
      <c r="AC127" s="1"/>
      <c r="AD127" s="1"/>
    </row>
    <row r="128" spans="1:30" ht="19.5" customHeight="1" x14ac:dyDescent="0.3">
      <c r="A128" s="2"/>
      <c r="B128" s="79" t="str">
        <f t="shared" ca="1" si="14"/>
        <v/>
      </c>
      <c r="C128" s="80" t="str">
        <f t="shared" ca="1" si="15"/>
        <v/>
      </c>
      <c r="D128" s="81" t="str">
        <f t="shared" ca="1" si="16"/>
        <v/>
      </c>
      <c r="E128" s="79" t="str">
        <f t="shared" ca="1" si="17"/>
        <v/>
      </c>
      <c r="F128" s="82" t="str">
        <f t="shared" ca="1" si="18"/>
        <v/>
      </c>
      <c r="G128" s="82" t="str">
        <f t="shared" ca="1" si="19"/>
        <v/>
      </c>
      <c r="H128" s="82" t="str">
        <f t="shared" ca="1" si="20"/>
        <v/>
      </c>
      <c r="I128" s="2"/>
      <c r="J128" s="2"/>
      <c r="K128" s="1"/>
      <c r="L128" s="1"/>
      <c r="M128" s="1">
        <v>117</v>
      </c>
      <c r="N128" s="1" t="str">
        <f ca="1">IF(OR($U128=0,$W128="",$X128&lt;=0),"",IF($W128&gt;TODAY(),"",IF(AND(INDEX(UCRETLER!$E$7:$E$606,$U128)&lt;&gt;"",$W128&gt;INDEX(UCRETLER!$E$7:$E$606,$U128)),"",$W128)))</f>
        <v/>
      </c>
      <c r="O128" s="1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 t="str">
        <f t="shared" ca="1" si="24"/>
        <v/>
      </c>
      <c r="Q128" s="1"/>
      <c r="R128" s="1">
        <f t="shared" ca="1" si="25"/>
        <v>0</v>
      </c>
      <c r="S128" s="1">
        <v>0</v>
      </c>
      <c r="T128" s="1">
        <f t="shared" ca="1" si="21"/>
        <v>10000000000</v>
      </c>
      <c r="U128" s="1">
        <f t="shared" si="28"/>
        <v>0</v>
      </c>
      <c r="V128" s="1">
        <v>36</v>
      </c>
      <c r="W128" s="1" t="str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>0</v>
      </c>
      <c r="Y128" s="1">
        <f t="shared" ca="1" si="22"/>
        <v>10000000000</v>
      </c>
      <c r="Z128" s="1">
        <f t="shared" ca="1" si="23"/>
        <v>1</v>
      </c>
      <c r="AA128" s="1"/>
      <c r="AB128" s="1"/>
      <c r="AC128" s="1"/>
      <c r="AD128" s="1"/>
    </row>
    <row r="129" spans="1:30" ht="19.5" customHeight="1" x14ac:dyDescent="0.3">
      <c r="A129" s="2"/>
      <c r="B129" s="79" t="str">
        <f t="shared" ca="1" si="14"/>
        <v/>
      </c>
      <c r="C129" s="80" t="str">
        <f t="shared" ca="1" si="15"/>
        <v/>
      </c>
      <c r="D129" s="81" t="str">
        <f t="shared" ca="1" si="16"/>
        <v/>
      </c>
      <c r="E129" s="79" t="str">
        <f t="shared" ca="1" si="17"/>
        <v/>
      </c>
      <c r="F129" s="82" t="str">
        <f t="shared" ca="1" si="18"/>
        <v/>
      </c>
      <c r="G129" s="82" t="str">
        <f t="shared" ca="1" si="19"/>
        <v/>
      </c>
      <c r="H129" s="82" t="str">
        <f t="shared" ca="1" si="20"/>
        <v/>
      </c>
      <c r="I129" s="2"/>
      <c r="J129" s="2"/>
      <c r="K129" s="1"/>
      <c r="L129" s="1"/>
      <c r="M129" s="1">
        <v>118</v>
      </c>
      <c r="N129" s="1" t="str">
        <f ca="1">IF(OR($U129=0,$W129="",$X129&lt;=0),"",IF($W129&gt;TODAY(),"",IF(AND(INDEX(UCRETLER!$E$7:$E$606,$U129)&lt;&gt;"",$W129&gt;INDEX(UCRETLER!$E$7:$E$606,$U129)),"",$W129)))</f>
        <v/>
      </c>
      <c r="O129" s="1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 t="str">
        <f t="shared" ca="1" si="24"/>
        <v/>
      </c>
      <c r="Q129" s="1"/>
      <c r="R129" s="1">
        <f t="shared" ca="1" si="25"/>
        <v>0</v>
      </c>
      <c r="S129" s="1">
        <v>0</v>
      </c>
      <c r="T129" s="1">
        <f t="shared" ca="1" si="21"/>
        <v>10000000000</v>
      </c>
      <c r="U129" s="1">
        <f t="shared" si="28"/>
        <v>0</v>
      </c>
      <c r="V129" s="1">
        <v>37</v>
      </c>
      <c r="W129" s="1" t="str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>0</v>
      </c>
      <c r="Y129" s="1">
        <f t="shared" ca="1" si="22"/>
        <v>10000000000</v>
      </c>
      <c r="Z129" s="1">
        <f t="shared" ca="1" si="23"/>
        <v>1</v>
      </c>
      <c r="AA129" s="1"/>
      <c r="AB129" s="1"/>
      <c r="AC129" s="1"/>
      <c r="AD129" s="1"/>
    </row>
    <row r="130" spans="1:30" ht="19.5" customHeight="1" x14ac:dyDescent="0.3">
      <c r="A130" s="2"/>
      <c r="B130" s="79" t="str">
        <f t="shared" ca="1" si="14"/>
        <v/>
      </c>
      <c r="C130" s="80" t="str">
        <f t="shared" ca="1" si="15"/>
        <v/>
      </c>
      <c r="D130" s="81" t="str">
        <f t="shared" ca="1" si="16"/>
        <v/>
      </c>
      <c r="E130" s="79" t="str">
        <f t="shared" ca="1" si="17"/>
        <v/>
      </c>
      <c r="F130" s="82" t="str">
        <f t="shared" ca="1" si="18"/>
        <v/>
      </c>
      <c r="G130" s="82" t="str">
        <f t="shared" ca="1" si="19"/>
        <v/>
      </c>
      <c r="H130" s="82" t="str">
        <f t="shared" ca="1" si="20"/>
        <v/>
      </c>
      <c r="I130" s="2"/>
      <c r="J130" s="2"/>
      <c r="K130" s="1"/>
      <c r="L130" s="1"/>
      <c r="M130" s="1">
        <v>119</v>
      </c>
      <c r="N130" s="1" t="str">
        <f ca="1">IF(OR($U130=0,$W130="",$X130&lt;=0),"",IF($W130&gt;TODAY(),"",IF(AND(INDEX(UCRETLER!$E$7:$E$606,$U130)&lt;&gt;"",$W130&gt;INDEX(UCRETLER!$E$7:$E$606,$U130)),"",$W130)))</f>
        <v/>
      </c>
      <c r="O130" s="1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 t="str">
        <f t="shared" ca="1" si="24"/>
        <v/>
      </c>
      <c r="Q130" s="1"/>
      <c r="R130" s="1">
        <f t="shared" ca="1" si="25"/>
        <v>0</v>
      </c>
      <c r="S130" s="1">
        <v>0</v>
      </c>
      <c r="T130" s="1">
        <f t="shared" ca="1" si="21"/>
        <v>10000000000</v>
      </c>
      <c r="U130" s="1">
        <f t="shared" si="28"/>
        <v>0</v>
      </c>
      <c r="V130" s="1">
        <v>38</v>
      </c>
      <c r="W130" s="1" t="str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>0</v>
      </c>
      <c r="Y130" s="1">
        <f t="shared" ca="1" si="22"/>
        <v>10000000000</v>
      </c>
      <c r="Z130" s="1">
        <f t="shared" ca="1" si="23"/>
        <v>1</v>
      </c>
      <c r="AA130" s="1"/>
      <c r="AB130" s="1"/>
      <c r="AC130" s="1"/>
      <c r="AD130" s="1"/>
    </row>
    <row r="131" spans="1:30" ht="19.5" customHeight="1" x14ac:dyDescent="0.3">
      <c r="A131" s="2"/>
      <c r="B131" s="79" t="str">
        <f t="shared" ca="1" si="14"/>
        <v/>
      </c>
      <c r="C131" s="80" t="str">
        <f t="shared" ca="1" si="15"/>
        <v/>
      </c>
      <c r="D131" s="81" t="str">
        <f t="shared" ca="1" si="16"/>
        <v/>
      </c>
      <c r="E131" s="79" t="str">
        <f t="shared" ca="1" si="17"/>
        <v/>
      </c>
      <c r="F131" s="82" t="str">
        <f t="shared" ca="1" si="18"/>
        <v/>
      </c>
      <c r="G131" s="82" t="str">
        <f t="shared" ca="1" si="19"/>
        <v/>
      </c>
      <c r="H131" s="82" t="str">
        <f t="shared" ca="1" si="20"/>
        <v/>
      </c>
      <c r="I131" s="2"/>
      <c r="J131" s="2"/>
      <c r="K131" s="1"/>
      <c r="L131" s="1"/>
      <c r="M131" s="1">
        <v>120</v>
      </c>
      <c r="N131" s="1" t="str">
        <f ca="1">IF(OR($U131=0,$W131="",$X131&lt;=0),"",IF($W131&gt;TODAY(),"",IF(AND(INDEX(UCRETLER!$E$7:$E$606,$U131)&lt;&gt;"",$W131&gt;INDEX(UCRETLER!$E$7:$E$606,$U131)),"",$W131)))</f>
        <v/>
      </c>
      <c r="O131" s="1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 t="str">
        <f t="shared" ca="1" si="24"/>
        <v/>
      </c>
      <c r="Q131" s="1"/>
      <c r="R131" s="1">
        <f t="shared" ca="1" si="25"/>
        <v>0</v>
      </c>
      <c r="S131" s="1">
        <v>0</v>
      </c>
      <c r="T131" s="1">
        <f t="shared" ca="1" si="21"/>
        <v>10000000000</v>
      </c>
      <c r="U131" s="1">
        <f t="shared" si="28"/>
        <v>0</v>
      </c>
      <c r="V131" s="1">
        <v>39</v>
      </c>
      <c r="W131" s="1" t="str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>0</v>
      </c>
      <c r="Y131" s="1">
        <f t="shared" ca="1" si="22"/>
        <v>10000000000</v>
      </c>
      <c r="Z131" s="1">
        <f t="shared" ca="1" si="23"/>
        <v>1</v>
      </c>
      <c r="AA131" s="1"/>
      <c r="AB131" s="1"/>
      <c r="AC131" s="1"/>
      <c r="AD131" s="1"/>
    </row>
    <row r="132" spans="1:30" ht="19.5" customHeight="1" x14ac:dyDescent="0.3">
      <c r="A132" s="2"/>
      <c r="B132" s="79" t="str">
        <f t="shared" ca="1" si="14"/>
        <v/>
      </c>
      <c r="C132" s="80" t="str">
        <f t="shared" ca="1" si="15"/>
        <v/>
      </c>
      <c r="D132" s="81" t="str">
        <f t="shared" ca="1" si="16"/>
        <v/>
      </c>
      <c r="E132" s="79" t="str">
        <f t="shared" ca="1" si="17"/>
        <v/>
      </c>
      <c r="F132" s="82" t="str">
        <f t="shared" ca="1" si="18"/>
        <v/>
      </c>
      <c r="G132" s="82" t="str">
        <f t="shared" ca="1" si="19"/>
        <v/>
      </c>
      <c r="H132" s="82" t="str">
        <f t="shared" ca="1" si="20"/>
        <v/>
      </c>
      <c r="I132" s="2"/>
      <c r="J132" s="2"/>
      <c r="K132" s="1"/>
      <c r="L132" s="1"/>
      <c r="M132" s="1">
        <v>121</v>
      </c>
      <c r="N132" s="1" t="str">
        <f ca="1">IF(OR($U132=0,$W132="",$X132&lt;=0),"",IF($W132&gt;TODAY(),"",IF(AND(INDEX(UCRETLER!$E$7:$E$606,$U132)&lt;&gt;"",$W132&gt;INDEX(UCRETLER!$E$7:$E$606,$U132)),"",$W132)))</f>
        <v/>
      </c>
      <c r="O132" s="1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 t="str">
        <f t="shared" ca="1" si="24"/>
        <v/>
      </c>
      <c r="Q132" s="1"/>
      <c r="R132" s="1">
        <f t="shared" ca="1" si="25"/>
        <v>0</v>
      </c>
      <c r="S132" s="1">
        <v>0</v>
      </c>
      <c r="T132" s="1">
        <f t="shared" ca="1" si="21"/>
        <v>10000000000</v>
      </c>
      <c r="U132" s="1">
        <f t="shared" si="28"/>
        <v>0</v>
      </c>
      <c r="V132" s="1">
        <v>40</v>
      </c>
      <c r="W132" s="1" t="str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>0</v>
      </c>
      <c r="Y132" s="1">
        <f t="shared" ca="1" si="22"/>
        <v>10000000000</v>
      </c>
      <c r="Z132" s="1">
        <f t="shared" ca="1" si="23"/>
        <v>1</v>
      </c>
      <c r="AA132" s="1"/>
      <c r="AB132" s="1"/>
      <c r="AC132" s="1"/>
      <c r="AD132" s="1"/>
    </row>
    <row r="133" spans="1:30" ht="19.5" customHeight="1" x14ac:dyDescent="0.3">
      <c r="A133" s="2"/>
      <c r="B133" s="79" t="str">
        <f t="shared" ca="1" si="14"/>
        <v/>
      </c>
      <c r="C133" s="80" t="str">
        <f t="shared" ca="1" si="15"/>
        <v/>
      </c>
      <c r="D133" s="81" t="str">
        <f t="shared" ca="1" si="16"/>
        <v/>
      </c>
      <c r="E133" s="79" t="str">
        <f t="shared" ca="1" si="17"/>
        <v/>
      </c>
      <c r="F133" s="82" t="str">
        <f t="shared" ca="1" si="18"/>
        <v/>
      </c>
      <c r="G133" s="82" t="str">
        <f t="shared" ca="1" si="19"/>
        <v/>
      </c>
      <c r="H133" s="82" t="str">
        <f t="shared" ca="1" si="20"/>
        <v/>
      </c>
      <c r="I133" s="2"/>
      <c r="J133" s="2"/>
      <c r="K133" s="1"/>
      <c r="L133" s="1"/>
      <c r="M133" s="1">
        <v>122</v>
      </c>
      <c r="N133" s="1" t="str">
        <f ca="1">IF(OR($U133=0,$W133="",$X133&lt;=0),"",IF($W133&gt;TODAY(),"",IF(AND(INDEX(UCRETLER!$E$7:$E$606,$U133)&lt;&gt;"",$W133&gt;INDEX(UCRETLER!$E$7:$E$606,$U133)),"",$W133)))</f>
        <v/>
      </c>
      <c r="O133" s="1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 t="str">
        <f t="shared" ca="1" si="24"/>
        <v/>
      </c>
      <c r="Q133" s="1"/>
      <c r="R133" s="1">
        <f t="shared" ca="1" si="25"/>
        <v>0</v>
      </c>
      <c r="S133" s="1">
        <v>0</v>
      </c>
      <c r="T133" s="1">
        <f t="shared" ca="1" si="21"/>
        <v>10000000000</v>
      </c>
      <c r="U133" s="1">
        <f t="shared" si="28"/>
        <v>0</v>
      </c>
      <c r="V133" s="1">
        <v>41</v>
      </c>
      <c r="W133" s="1" t="str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>0</v>
      </c>
      <c r="Y133" s="1">
        <f t="shared" ca="1" si="22"/>
        <v>10000000000</v>
      </c>
      <c r="Z133" s="1">
        <f t="shared" ca="1" si="23"/>
        <v>1</v>
      </c>
      <c r="AA133" s="1"/>
      <c r="AB133" s="1"/>
      <c r="AC133" s="1"/>
      <c r="AD133" s="1"/>
    </row>
    <row r="134" spans="1:30" ht="19.5" customHeight="1" x14ac:dyDescent="0.3">
      <c r="A134" s="2"/>
      <c r="B134" s="79" t="str">
        <f t="shared" ca="1" si="14"/>
        <v/>
      </c>
      <c r="C134" s="80" t="str">
        <f t="shared" ca="1" si="15"/>
        <v/>
      </c>
      <c r="D134" s="81" t="str">
        <f t="shared" ca="1" si="16"/>
        <v/>
      </c>
      <c r="E134" s="79" t="str">
        <f t="shared" ca="1" si="17"/>
        <v/>
      </c>
      <c r="F134" s="82" t="str">
        <f t="shared" ca="1" si="18"/>
        <v/>
      </c>
      <c r="G134" s="82" t="str">
        <f t="shared" ca="1" si="19"/>
        <v/>
      </c>
      <c r="H134" s="82" t="str">
        <f t="shared" ca="1" si="20"/>
        <v/>
      </c>
      <c r="I134" s="2"/>
      <c r="J134" s="2"/>
      <c r="K134" s="1"/>
      <c r="L134" s="1"/>
      <c r="M134" s="1">
        <v>123</v>
      </c>
      <c r="N134" s="1" t="str">
        <f ca="1">IF(OR($U134=0,$W134="",$X134&lt;=0),"",IF($W134&gt;TODAY(),"",IF(AND(INDEX(UCRETLER!$E$7:$E$606,$U134)&lt;&gt;"",$W134&gt;INDEX(UCRETLER!$E$7:$E$606,$U134)),"",$W134)))</f>
        <v/>
      </c>
      <c r="O134" s="1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 t="str">
        <f t="shared" ca="1" si="24"/>
        <v/>
      </c>
      <c r="Q134" s="1"/>
      <c r="R134" s="1">
        <f t="shared" ca="1" si="25"/>
        <v>0</v>
      </c>
      <c r="S134" s="1">
        <v>0</v>
      </c>
      <c r="T134" s="1">
        <f t="shared" ca="1" si="21"/>
        <v>10000000000</v>
      </c>
      <c r="U134" s="1">
        <f t="shared" si="28"/>
        <v>0</v>
      </c>
      <c r="V134" s="1">
        <v>42</v>
      </c>
      <c r="W134" s="1" t="str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>0</v>
      </c>
      <c r="Y134" s="1">
        <f t="shared" ca="1" si="22"/>
        <v>10000000000</v>
      </c>
      <c r="Z134" s="1">
        <f t="shared" ca="1" si="23"/>
        <v>1</v>
      </c>
      <c r="AA134" s="1"/>
      <c r="AB134" s="1"/>
      <c r="AC134" s="1"/>
      <c r="AD134" s="1"/>
    </row>
    <row r="135" spans="1:30" ht="19.5" customHeight="1" x14ac:dyDescent="0.3">
      <c r="A135" s="2"/>
      <c r="B135" s="79" t="str">
        <f t="shared" ca="1" si="14"/>
        <v/>
      </c>
      <c r="C135" s="80" t="str">
        <f t="shared" ca="1" si="15"/>
        <v/>
      </c>
      <c r="D135" s="81" t="str">
        <f t="shared" ca="1" si="16"/>
        <v/>
      </c>
      <c r="E135" s="79" t="str">
        <f t="shared" ca="1" si="17"/>
        <v/>
      </c>
      <c r="F135" s="82" t="str">
        <f t="shared" ca="1" si="18"/>
        <v/>
      </c>
      <c r="G135" s="82" t="str">
        <f t="shared" ca="1" si="19"/>
        <v/>
      </c>
      <c r="H135" s="82" t="str">
        <f t="shared" ca="1" si="20"/>
        <v/>
      </c>
      <c r="I135" s="2"/>
      <c r="J135" s="2"/>
      <c r="K135" s="1"/>
      <c r="L135" s="1"/>
      <c r="M135" s="1">
        <v>124</v>
      </c>
      <c r="N135" s="1" t="str">
        <f ca="1">IF(OR($U135=0,$W135="",$X135&lt;=0),"",IF($W135&gt;TODAY(),"",IF(AND(INDEX(UCRETLER!$E$7:$E$606,$U135)&lt;&gt;"",$W135&gt;INDEX(UCRETLER!$E$7:$E$606,$U135)),"",$W135)))</f>
        <v/>
      </c>
      <c r="O135" s="1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 t="str">
        <f t="shared" ca="1" si="24"/>
        <v/>
      </c>
      <c r="Q135" s="1"/>
      <c r="R135" s="1">
        <f t="shared" ca="1" si="25"/>
        <v>0</v>
      </c>
      <c r="S135" s="1">
        <v>0</v>
      </c>
      <c r="T135" s="1">
        <f t="shared" ca="1" si="21"/>
        <v>10000000000</v>
      </c>
      <c r="U135" s="1">
        <f t="shared" si="28"/>
        <v>0</v>
      </c>
      <c r="V135" s="1">
        <v>43</v>
      </c>
      <c r="W135" s="1" t="str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>0</v>
      </c>
      <c r="Y135" s="1">
        <f t="shared" ca="1" si="22"/>
        <v>10000000000</v>
      </c>
      <c r="Z135" s="1">
        <f t="shared" ca="1" si="23"/>
        <v>1</v>
      </c>
      <c r="AA135" s="1"/>
      <c r="AB135" s="1"/>
      <c r="AC135" s="1"/>
      <c r="AD135" s="1"/>
    </row>
    <row r="136" spans="1:30" ht="19.5" customHeight="1" x14ac:dyDescent="0.3">
      <c r="A136" s="2"/>
      <c r="B136" s="79" t="str">
        <f t="shared" ca="1" si="14"/>
        <v/>
      </c>
      <c r="C136" s="80" t="str">
        <f t="shared" ca="1" si="15"/>
        <v/>
      </c>
      <c r="D136" s="81" t="str">
        <f t="shared" ca="1" si="16"/>
        <v/>
      </c>
      <c r="E136" s="79" t="str">
        <f t="shared" ca="1" si="17"/>
        <v/>
      </c>
      <c r="F136" s="82" t="str">
        <f t="shared" ca="1" si="18"/>
        <v/>
      </c>
      <c r="G136" s="82" t="str">
        <f t="shared" ca="1" si="19"/>
        <v/>
      </c>
      <c r="H136" s="82" t="str">
        <f t="shared" ca="1" si="20"/>
        <v/>
      </c>
      <c r="I136" s="2"/>
      <c r="J136" s="2"/>
      <c r="K136" s="1"/>
      <c r="L136" s="1"/>
      <c r="M136" s="1">
        <v>125</v>
      </c>
      <c r="N136" s="1" t="str">
        <f ca="1">IF(OR($U136=0,$W136="",$X136&lt;=0),"",IF($W136&gt;TODAY(),"",IF(AND(INDEX(UCRETLER!$E$7:$E$606,$U136)&lt;&gt;"",$W136&gt;INDEX(UCRETLER!$E$7:$E$606,$U136)),"",$W136)))</f>
        <v/>
      </c>
      <c r="O136" s="1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 t="str">
        <f t="shared" ca="1" si="24"/>
        <v/>
      </c>
      <c r="Q136" s="1"/>
      <c r="R136" s="1">
        <f t="shared" ca="1" si="25"/>
        <v>0</v>
      </c>
      <c r="S136" s="1">
        <v>0</v>
      </c>
      <c r="T136" s="1">
        <f t="shared" ca="1" si="21"/>
        <v>10000000000</v>
      </c>
      <c r="U136" s="1">
        <f t="shared" si="28"/>
        <v>0</v>
      </c>
      <c r="V136" s="1">
        <v>44</v>
      </c>
      <c r="W136" s="1" t="str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>0</v>
      </c>
      <c r="Y136" s="1">
        <f t="shared" ca="1" si="22"/>
        <v>10000000000</v>
      </c>
      <c r="Z136" s="1">
        <f t="shared" ca="1" si="23"/>
        <v>1</v>
      </c>
      <c r="AA136" s="1"/>
      <c r="AB136" s="1"/>
      <c r="AC136" s="1"/>
      <c r="AD136" s="1"/>
    </row>
    <row r="137" spans="1:30" ht="19.5" customHeight="1" x14ac:dyDescent="0.3">
      <c r="A137" s="2"/>
      <c r="B137" s="79" t="str">
        <f t="shared" ca="1" si="14"/>
        <v/>
      </c>
      <c r="C137" s="80" t="str">
        <f t="shared" ca="1" si="15"/>
        <v/>
      </c>
      <c r="D137" s="81" t="str">
        <f t="shared" ca="1" si="16"/>
        <v/>
      </c>
      <c r="E137" s="79" t="str">
        <f t="shared" ca="1" si="17"/>
        <v/>
      </c>
      <c r="F137" s="82" t="str">
        <f t="shared" ca="1" si="18"/>
        <v/>
      </c>
      <c r="G137" s="82" t="str">
        <f t="shared" ca="1" si="19"/>
        <v/>
      </c>
      <c r="H137" s="82" t="str">
        <f t="shared" ca="1" si="20"/>
        <v/>
      </c>
      <c r="I137" s="2"/>
      <c r="J137" s="2"/>
      <c r="K137" s="1"/>
      <c r="L137" s="1"/>
      <c r="M137" s="1">
        <v>126</v>
      </c>
      <c r="N137" s="1" t="str">
        <f ca="1">IF(OR($U137=0,$W137="",$X137&lt;=0),"",IF($W137&gt;TODAY(),"",IF(AND(INDEX(UCRETLER!$E$7:$E$606,$U137)&lt;&gt;"",$W137&gt;INDEX(UCRETLER!$E$7:$E$606,$U137)),"",$W137)))</f>
        <v/>
      </c>
      <c r="O137" s="1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 t="str">
        <f t="shared" ca="1" si="24"/>
        <v/>
      </c>
      <c r="Q137" s="1"/>
      <c r="R137" s="1">
        <f t="shared" ca="1" si="25"/>
        <v>0</v>
      </c>
      <c r="S137" s="1">
        <v>0</v>
      </c>
      <c r="T137" s="1">
        <f t="shared" ca="1" si="21"/>
        <v>10000000000</v>
      </c>
      <c r="U137" s="1">
        <f t="shared" si="28"/>
        <v>0</v>
      </c>
      <c r="V137" s="1">
        <v>45</v>
      </c>
      <c r="W137" s="1" t="str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>0</v>
      </c>
      <c r="Y137" s="1">
        <f t="shared" ca="1" si="22"/>
        <v>10000000000</v>
      </c>
      <c r="Z137" s="1">
        <f t="shared" ca="1" si="23"/>
        <v>1</v>
      </c>
      <c r="AA137" s="1"/>
      <c r="AB137" s="1"/>
      <c r="AC137" s="1"/>
      <c r="AD137" s="1"/>
    </row>
    <row r="138" spans="1:30" ht="19.5" customHeight="1" x14ac:dyDescent="0.3">
      <c r="A138" s="2"/>
      <c r="B138" s="79" t="str">
        <f t="shared" ca="1" si="14"/>
        <v/>
      </c>
      <c r="C138" s="80" t="str">
        <f t="shared" ca="1" si="15"/>
        <v/>
      </c>
      <c r="D138" s="81" t="str">
        <f t="shared" ca="1" si="16"/>
        <v/>
      </c>
      <c r="E138" s="79" t="str">
        <f t="shared" ca="1" si="17"/>
        <v/>
      </c>
      <c r="F138" s="82" t="str">
        <f t="shared" ca="1" si="18"/>
        <v/>
      </c>
      <c r="G138" s="82" t="str">
        <f t="shared" ca="1" si="19"/>
        <v/>
      </c>
      <c r="H138" s="82" t="str">
        <f t="shared" ca="1" si="20"/>
        <v/>
      </c>
      <c r="I138" s="2"/>
      <c r="J138" s="2"/>
      <c r="K138" s="1"/>
      <c r="L138" s="1"/>
      <c r="M138" s="1">
        <v>127</v>
      </c>
      <c r="N138" s="1" t="str">
        <f ca="1">IF(OR($U138=0,$W138="",$X138&lt;=0),"",IF($W138&gt;TODAY(),"",IF(AND(INDEX(UCRETLER!$E$7:$E$606,$U138)&lt;&gt;"",$W138&gt;INDEX(UCRETLER!$E$7:$E$606,$U138)),"",$W138)))</f>
        <v/>
      </c>
      <c r="O138" s="1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 t="str">
        <f t="shared" ca="1" si="24"/>
        <v/>
      </c>
      <c r="Q138" s="1"/>
      <c r="R138" s="1">
        <f t="shared" ca="1" si="25"/>
        <v>0</v>
      </c>
      <c r="S138" s="1">
        <v>0</v>
      </c>
      <c r="T138" s="1">
        <f t="shared" ca="1" si="21"/>
        <v>10000000000</v>
      </c>
      <c r="U138" s="1">
        <f t="shared" si="28"/>
        <v>0</v>
      </c>
      <c r="V138" s="1">
        <v>46</v>
      </c>
      <c r="W138" s="1" t="str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>0</v>
      </c>
      <c r="Y138" s="1">
        <f t="shared" ca="1" si="22"/>
        <v>10000000000</v>
      </c>
      <c r="Z138" s="1">
        <f t="shared" ca="1" si="23"/>
        <v>1</v>
      </c>
      <c r="AA138" s="1"/>
      <c r="AB138" s="1"/>
      <c r="AC138" s="1"/>
      <c r="AD138" s="1"/>
    </row>
    <row r="139" spans="1:30" ht="19.5" customHeight="1" x14ac:dyDescent="0.3">
      <c r="A139" s="2"/>
      <c r="B139" s="79" t="str">
        <f t="shared" ca="1" si="14"/>
        <v/>
      </c>
      <c r="C139" s="80" t="str">
        <f t="shared" ca="1" si="15"/>
        <v/>
      </c>
      <c r="D139" s="81" t="str">
        <f t="shared" ca="1" si="16"/>
        <v/>
      </c>
      <c r="E139" s="79" t="str">
        <f t="shared" ca="1" si="17"/>
        <v/>
      </c>
      <c r="F139" s="82" t="str">
        <f t="shared" ca="1" si="18"/>
        <v/>
      </c>
      <c r="G139" s="82" t="str">
        <f t="shared" ca="1" si="19"/>
        <v/>
      </c>
      <c r="H139" s="82" t="str">
        <f t="shared" ca="1" si="20"/>
        <v/>
      </c>
      <c r="I139" s="2"/>
      <c r="J139" s="2"/>
      <c r="K139" s="1"/>
      <c r="L139" s="1"/>
      <c r="M139" s="1">
        <v>128</v>
      </c>
      <c r="N139" s="1" t="str">
        <f ca="1">IF(OR($U139=0,$W139="",$X139&lt;=0),"",IF($W139&gt;TODAY(),"",IF(AND(INDEX(UCRETLER!$E$7:$E$606,$U139)&lt;&gt;"",$W139&gt;INDEX(UCRETLER!$E$7:$E$606,$U139)),"",$W139)))</f>
        <v/>
      </c>
      <c r="O139" s="1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 t="str">
        <f t="shared" ca="1" si="24"/>
        <v/>
      </c>
      <c r="Q139" s="1"/>
      <c r="R139" s="1">
        <f t="shared" ca="1" si="25"/>
        <v>0</v>
      </c>
      <c r="S139" s="1">
        <v>0</v>
      </c>
      <c r="T139" s="1">
        <f t="shared" ca="1" si="21"/>
        <v>10000000000</v>
      </c>
      <c r="U139" s="1">
        <f t="shared" si="28"/>
        <v>0</v>
      </c>
      <c r="V139" s="1">
        <v>47</v>
      </c>
      <c r="W139" s="1" t="str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>0</v>
      </c>
      <c r="Y139" s="1">
        <f t="shared" ca="1" si="22"/>
        <v>10000000000</v>
      </c>
      <c r="Z139" s="1">
        <f t="shared" ca="1" si="23"/>
        <v>1</v>
      </c>
      <c r="AA139" s="1"/>
      <c r="AB139" s="1"/>
      <c r="AC139" s="1"/>
      <c r="AD139" s="1"/>
    </row>
    <row r="140" spans="1:30" ht="19.5" customHeight="1" x14ac:dyDescent="0.3">
      <c r="A140" s="2"/>
      <c r="B140" s="79" t="str">
        <f t="shared" ref="B140:B203" ca="1" si="29">IF($C140="","",ROW()-11)</f>
        <v/>
      </c>
      <c r="C140" s="80" t="str">
        <f t="shared" ref="C140:C203" ca="1" si="30">IF($Z140="","",IF(INDEX($N$12:$N$432,$Z140)="","",INDEX($N$12:$N$432,$Z140)))</f>
        <v/>
      </c>
      <c r="D140" s="81" t="str">
        <f t="shared" ref="D140:D203" ca="1" si="31">IF($C140="","",INDEX($O$12:$O$432,$Z140))</f>
        <v/>
      </c>
      <c r="E140" s="79" t="str">
        <f t="shared" ref="E140:E203" ca="1" si="32">IF($C140="","",INDEX($P$12:$P$432,$Z140))</f>
        <v/>
      </c>
      <c r="F140" s="82" t="str">
        <f t="shared" ref="F140:F203" ca="1" si="33">IF($C140="","",INDEX($R$12:$R$432,$Z140))</f>
        <v/>
      </c>
      <c r="G140" s="82" t="str">
        <f t="shared" ref="G140:G203" ca="1" si="34">IF($C140="","",INDEX($S$12:$S$432,$Z140))</f>
        <v/>
      </c>
      <c r="H140" s="82" t="str">
        <f t="shared" ref="H140:H203" ca="1" si="35">IF($C140="","",N($H139)+$F140-$G140)</f>
        <v/>
      </c>
      <c r="I140" s="2"/>
      <c r="J140" s="2"/>
      <c r="K140" s="1"/>
      <c r="L140" s="1"/>
      <c r="M140" s="1">
        <v>129</v>
      </c>
      <c r="N140" s="1" t="str">
        <f ca="1">IF(OR($U140=0,$W140="",$X140&lt;=0),"",IF($W140&gt;TODAY(),"",IF(AND(INDEX(UCRETLER!$E$7:$E$606,$U140)&lt;&gt;"",$W140&gt;INDEX(UCRETLER!$E$7:$E$606,$U140)),"",$W140)))</f>
        <v/>
      </c>
      <c r="O140" s="1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 t="str">
        <f t="shared" ca="1" si="24"/>
        <v/>
      </c>
      <c r="Q140" s="1"/>
      <c r="R140" s="1">
        <f t="shared" ca="1" si="25"/>
        <v>0</v>
      </c>
      <c r="S140" s="1">
        <v>0</v>
      </c>
      <c r="T140" s="1">
        <f t="shared" ref="T140:T203" ca="1" si="36">IF($N140="",10000000000,$N140*100000+$M140)</f>
        <v>10000000000</v>
      </c>
      <c r="U140" s="1">
        <f t="shared" si="28"/>
        <v>0</v>
      </c>
      <c r="V140" s="1">
        <v>48</v>
      </c>
      <c r="W140" s="1" t="str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>0</v>
      </c>
      <c r="Y140" s="1">
        <f t="shared" ref="Y140:Y203" ca="1" si="37">IFERROR(SMALL($T$12:$T$432,ROW()-11),"")</f>
        <v>10000000000</v>
      </c>
      <c r="Z140" s="1">
        <f t="shared" ref="Z140:Z203" ca="1" si="38">IFERROR(MATCH($Y140,$T$12:$T$432,0),"")</f>
        <v>1</v>
      </c>
      <c r="AA140" s="1"/>
      <c r="AB140" s="1"/>
      <c r="AC140" s="1"/>
      <c r="AD140" s="1"/>
    </row>
    <row r="141" spans="1:30" ht="19.5" customHeight="1" x14ac:dyDescent="0.3">
      <c r="A141" s="2"/>
      <c r="B141" s="79" t="str">
        <f t="shared" ca="1" si="29"/>
        <v/>
      </c>
      <c r="C141" s="80" t="str">
        <f t="shared" ca="1" si="30"/>
        <v/>
      </c>
      <c r="D141" s="81" t="str">
        <f t="shared" ca="1" si="31"/>
        <v/>
      </c>
      <c r="E141" s="79" t="str">
        <f t="shared" ca="1" si="32"/>
        <v/>
      </c>
      <c r="F141" s="82" t="str">
        <f t="shared" ca="1" si="33"/>
        <v/>
      </c>
      <c r="G141" s="82" t="str">
        <f t="shared" ca="1" si="34"/>
        <v/>
      </c>
      <c r="H141" s="82" t="str">
        <f t="shared" ca="1" si="35"/>
        <v/>
      </c>
      <c r="I141" s="2"/>
      <c r="J141" s="2"/>
      <c r="K141" s="1"/>
      <c r="L141" s="1"/>
      <c r="M141" s="1">
        <v>130</v>
      </c>
      <c r="N141" s="1" t="str">
        <f ca="1">IF(OR($U141=0,$W141="",$X141&lt;=0),"",IF($W141&gt;TODAY(),"",IF(AND(INDEX(UCRETLER!$E$7:$E$606,$U141)&lt;&gt;"",$W141&gt;INDEX(UCRETLER!$E$7:$E$606,$U141)),"",$W141)))</f>
        <v/>
      </c>
      <c r="O141" s="1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 t="str">
        <f t="shared" ref="P141:P204" ca="1" si="39">IF($N141="","","TAHAKKUK")</f>
        <v/>
      </c>
      <c r="Q141" s="1"/>
      <c r="R141" s="1">
        <f t="shared" ref="R141:R204" ca="1" si="40">IF($N141="",0,$X141)</f>
        <v>0</v>
      </c>
      <c r="S141" s="1">
        <v>0</v>
      </c>
      <c r="T141" s="1">
        <f t="shared" ca="1" si="36"/>
        <v>10000000000</v>
      </c>
      <c r="U141" s="1">
        <f t="shared" si="28"/>
        <v>0</v>
      </c>
      <c r="V141" s="1">
        <v>49</v>
      </c>
      <c r="W141" s="1" t="str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>0</v>
      </c>
      <c r="Y141" s="1">
        <f t="shared" ca="1" si="37"/>
        <v>10000000000</v>
      </c>
      <c r="Z141" s="1">
        <f t="shared" ca="1" si="38"/>
        <v>1</v>
      </c>
      <c r="AA141" s="1"/>
      <c r="AB141" s="1"/>
      <c r="AC141" s="1"/>
      <c r="AD141" s="1"/>
    </row>
    <row r="142" spans="1:30" ht="19.5" customHeight="1" x14ac:dyDescent="0.3">
      <c r="A142" s="2"/>
      <c r="B142" s="79" t="str">
        <f t="shared" ca="1" si="29"/>
        <v/>
      </c>
      <c r="C142" s="80" t="str">
        <f t="shared" ca="1" si="30"/>
        <v/>
      </c>
      <c r="D142" s="81" t="str">
        <f t="shared" ca="1" si="31"/>
        <v/>
      </c>
      <c r="E142" s="79" t="str">
        <f t="shared" ca="1" si="32"/>
        <v/>
      </c>
      <c r="F142" s="82" t="str">
        <f t="shared" ca="1" si="33"/>
        <v/>
      </c>
      <c r="G142" s="82" t="str">
        <f t="shared" ca="1" si="34"/>
        <v/>
      </c>
      <c r="H142" s="82" t="str">
        <f t="shared" ca="1" si="35"/>
        <v/>
      </c>
      <c r="I142" s="2"/>
      <c r="J142" s="2"/>
      <c r="K142" s="1"/>
      <c r="L142" s="1"/>
      <c r="M142" s="1">
        <v>131</v>
      </c>
      <c r="N142" s="1" t="str">
        <f ca="1">IF(OR($U142=0,$W142="",$X142&lt;=0),"",IF($W142&gt;TODAY(),"",IF(AND(INDEX(UCRETLER!$E$7:$E$606,$U142)&lt;&gt;"",$W142&gt;INDEX(UCRETLER!$E$7:$E$606,$U142)),"",$W142)))</f>
        <v/>
      </c>
      <c r="O142" s="1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 t="str">
        <f t="shared" ca="1" si="39"/>
        <v/>
      </c>
      <c r="Q142" s="1"/>
      <c r="R142" s="1">
        <f t="shared" ca="1" si="40"/>
        <v>0</v>
      </c>
      <c r="S142" s="1">
        <v>0</v>
      </c>
      <c r="T142" s="1">
        <f t="shared" ca="1" si="36"/>
        <v>10000000000</v>
      </c>
      <c r="U142" s="1">
        <f t="shared" si="28"/>
        <v>0</v>
      </c>
      <c r="V142" s="1">
        <v>50</v>
      </c>
      <c r="W142" s="1" t="str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>0</v>
      </c>
      <c r="Y142" s="1">
        <f t="shared" ca="1" si="37"/>
        <v>10000000000</v>
      </c>
      <c r="Z142" s="1">
        <f t="shared" ca="1" si="38"/>
        <v>1</v>
      </c>
      <c r="AA142" s="1"/>
      <c r="AB142" s="1"/>
      <c r="AC142" s="1"/>
      <c r="AD142" s="1"/>
    </row>
    <row r="143" spans="1:30" ht="19.5" customHeight="1" x14ac:dyDescent="0.3">
      <c r="A143" s="2"/>
      <c r="B143" s="79" t="str">
        <f t="shared" ca="1" si="29"/>
        <v/>
      </c>
      <c r="C143" s="80" t="str">
        <f t="shared" ca="1" si="30"/>
        <v/>
      </c>
      <c r="D143" s="81" t="str">
        <f t="shared" ca="1" si="31"/>
        <v/>
      </c>
      <c r="E143" s="79" t="str">
        <f t="shared" ca="1" si="32"/>
        <v/>
      </c>
      <c r="F143" s="82" t="str">
        <f t="shared" ca="1" si="33"/>
        <v/>
      </c>
      <c r="G143" s="82" t="str">
        <f t="shared" ca="1" si="34"/>
        <v/>
      </c>
      <c r="H143" s="82" t="str">
        <f t="shared" ca="1" si="35"/>
        <v/>
      </c>
      <c r="I143" s="2"/>
      <c r="J143" s="2"/>
      <c r="K143" s="1"/>
      <c r="L143" s="1"/>
      <c r="M143" s="1">
        <v>132</v>
      </c>
      <c r="N143" s="1" t="str">
        <f ca="1">IF(OR($U143=0,$W143="",$X143&lt;=0),"",IF($W143&gt;TODAY(),"",IF(AND(INDEX(UCRETLER!$E$7:$E$606,$U143)&lt;&gt;"",$W143&gt;INDEX(UCRETLER!$E$7:$E$606,$U143)),"",$W143)))</f>
        <v/>
      </c>
      <c r="O143" s="1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 t="str">
        <f t="shared" ca="1" si="39"/>
        <v/>
      </c>
      <c r="Q143" s="1"/>
      <c r="R143" s="1">
        <f t="shared" ca="1" si="40"/>
        <v>0</v>
      </c>
      <c r="S143" s="1">
        <v>0</v>
      </c>
      <c r="T143" s="1">
        <f t="shared" ca="1" si="36"/>
        <v>10000000000</v>
      </c>
      <c r="U143" s="1">
        <f t="shared" si="28"/>
        <v>0</v>
      </c>
      <c r="V143" s="1">
        <v>51</v>
      </c>
      <c r="W143" s="1" t="str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>0</v>
      </c>
      <c r="Y143" s="1">
        <f t="shared" ca="1" si="37"/>
        <v>10000000000</v>
      </c>
      <c r="Z143" s="1">
        <f t="shared" ca="1" si="38"/>
        <v>1</v>
      </c>
      <c r="AA143" s="1"/>
      <c r="AB143" s="1"/>
      <c r="AC143" s="1"/>
      <c r="AD143" s="1"/>
    </row>
    <row r="144" spans="1:30" ht="19.5" customHeight="1" x14ac:dyDescent="0.3">
      <c r="A144" s="2"/>
      <c r="B144" s="79" t="str">
        <f t="shared" ca="1" si="29"/>
        <v/>
      </c>
      <c r="C144" s="80" t="str">
        <f t="shared" ca="1" si="30"/>
        <v/>
      </c>
      <c r="D144" s="81" t="str">
        <f t="shared" ca="1" si="31"/>
        <v/>
      </c>
      <c r="E144" s="79" t="str">
        <f t="shared" ca="1" si="32"/>
        <v/>
      </c>
      <c r="F144" s="82" t="str">
        <f t="shared" ca="1" si="33"/>
        <v/>
      </c>
      <c r="G144" s="82" t="str">
        <f t="shared" ca="1" si="34"/>
        <v/>
      </c>
      <c r="H144" s="82" t="str">
        <f t="shared" ca="1" si="35"/>
        <v/>
      </c>
      <c r="I144" s="2"/>
      <c r="J144" s="2"/>
      <c r="K144" s="1"/>
      <c r="L144" s="1"/>
      <c r="M144" s="1">
        <v>133</v>
      </c>
      <c r="N144" s="1" t="str">
        <f ca="1">IF(OR($U144=0,$W144="",$X144&lt;=0),"",IF($W144&gt;TODAY(),"",IF(AND(INDEX(UCRETLER!$E$7:$E$606,$U144)&lt;&gt;"",$W144&gt;INDEX(UCRETLER!$E$7:$E$606,$U144)),"",$W144)))</f>
        <v/>
      </c>
      <c r="O144" s="1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 t="str">
        <f t="shared" ca="1" si="39"/>
        <v/>
      </c>
      <c r="Q144" s="1"/>
      <c r="R144" s="1">
        <f t="shared" ca="1" si="40"/>
        <v>0</v>
      </c>
      <c r="S144" s="1">
        <v>0</v>
      </c>
      <c r="T144" s="1">
        <f t="shared" ca="1" si="36"/>
        <v>10000000000</v>
      </c>
      <c r="U144" s="1">
        <f t="shared" si="28"/>
        <v>0</v>
      </c>
      <c r="V144" s="1">
        <v>52</v>
      </c>
      <c r="W144" s="1" t="str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>0</v>
      </c>
      <c r="Y144" s="1">
        <f t="shared" ca="1" si="37"/>
        <v>10000000000</v>
      </c>
      <c r="Z144" s="1">
        <f t="shared" ca="1" si="38"/>
        <v>1</v>
      </c>
      <c r="AA144" s="1"/>
      <c r="AB144" s="1"/>
      <c r="AC144" s="1"/>
      <c r="AD144" s="1"/>
    </row>
    <row r="145" spans="1:30" ht="19.5" customHeight="1" x14ac:dyDescent="0.3">
      <c r="A145" s="2"/>
      <c r="B145" s="79" t="str">
        <f t="shared" ca="1" si="29"/>
        <v/>
      </c>
      <c r="C145" s="80" t="str">
        <f t="shared" ca="1" si="30"/>
        <v/>
      </c>
      <c r="D145" s="81" t="str">
        <f t="shared" ca="1" si="31"/>
        <v/>
      </c>
      <c r="E145" s="79" t="str">
        <f t="shared" ca="1" si="32"/>
        <v/>
      </c>
      <c r="F145" s="82" t="str">
        <f t="shared" ca="1" si="33"/>
        <v/>
      </c>
      <c r="G145" s="82" t="str">
        <f t="shared" ca="1" si="34"/>
        <v/>
      </c>
      <c r="H145" s="82" t="str">
        <f t="shared" ca="1" si="35"/>
        <v/>
      </c>
      <c r="I145" s="2"/>
      <c r="J145" s="2"/>
      <c r="K145" s="1"/>
      <c r="L145" s="1"/>
      <c r="M145" s="1">
        <v>134</v>
      </c>
      <c r="N145" s="1" t="str">
        <f ca="1">IF(OR($U145=0,$W145="",$X145&lt;=0),"",IF($W145&gt;TODAY(),"",IF(AND(INDEX(UCRETLER!$E$7:$E$606,$U145)&lt;&gt;"",$W145&gt;INDEX(UCRETLER!$E$7:$E$606,$U145)),"",$W145)))</f>
        <v/>
      </c>
      <c r="O145" s="1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 t="str">
        <f t="shared" ca="1" si="39"/>
        <v/>
      </c>
      <c r="Q145" s="1"/>
      <c r="R145" s="1">
        <f t="shared" ca="1" si="40"/>
        <v>0</v>
      </c>
      <c r="S145" s="1">
        <v>0</v>
      </c>
      <c r="T145" s="1">
        <f t="shared" ca="1" si="36"/>
        <v>10000000000</v>
      </c>
      <c r="U145" s="1">
        <f t="shared" si="28"/>
        <v>0</v>
      </c>
      <c r="V145" s="1">
        <v>53</v>
      </c>
      <c r="W145" s="1" t="str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>0</v>
      </c>
      <c r="Y145" s="1">
        <f t="shared" ca="1" si="37"/>
        <v>10000000000</v>
      </c>
      <c r="Z145" s="1">
        <f t="shared" ca="1" si="38"/>
        <v>1</v>
      </c>
      <c r="AA145" s="1"/>
      <c r="AB145" s="1"/>
      <c r="AC145" s="1"/>
      <c r="AD145" s="1"/>
    </row>
    <row r="146" spans="1:30" ht="19.5" customHeight="1" x14ac:dyDescent="0.3">
      <c r="A146" s="2"/>
      <c r="B146" s="79" t="str">
        <f t="shared" ca="1" si="29"/>
        <v/>
      </c>
      <c r="C146" s="80" t="str">
        <f t="shared" ca="1" si="30"/>
        <v/>
      </c>
      <c r="D146" s="81" t="str">
        <f t="shared" ca="1" si="31"/>
        <v/>
      </c>
      <c r="E146" s="79" t="str">
        <f t="shared" ca="1" si="32"/>
        <v/>
      </c>
      <c r="F146" s="82" t="str">
        <f t="shared" ca="1" si="33"/>
        <v/>
      </c>
      <c r="G146" s="82" t="str">
        <f t="shared" ca="1" si="34"/>
        <v/>
      </c>
      <c r="H146" s="82" t="str">
        <f t="shared" ca="1" si="35"/>
        <v/>
      </c>
      <c r="I146" s="2"/>
      <c r="J146" s="2"/>
      <c r="K146" s="1"/>
      <c r="L146" s="1"/>
      <c r="M146" s="1">
        <v>135</v>
      </c>
      <c r="N146" s="1" t="str">
        <f ca="1">IF(OR($U146=0,$W146="",$X146&lt;=0),"",IF($W146&gt;TODAY(),"",IF(AND(INDEX(UCRETLER!$E$7:$E$606,$U146)&lt;&gt;"",$W146&gt;INDEX(UCRETLER!$E$7:$E$606,$U146)),"",$W146)))</f>
        <v/>
      </c>
      <c r="O146" s="1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 t="str">
        <f t="shared" ca="1" si="39"/>
        <v/>
      </c>
      <c r="Q146" s="1"/>
      <c r="R146" s="1">
        <f t="shared" ca="1" si="40"/>
        <v>0</v>
      </c>
      <c r="S146" s="1">
        <v>0</v>
      </c>
      <c r="T146" s="1">
        <f t="shared" ca="1" si="36"/>
        <v>10000000000</v>
      </c>
      <c r="U146" s="1">
        <f t="shared" si="28"/>
        <v>0</v>
      </c>
      <c r="V146" s="1">
        <v>54</v>
      </c>
      <c r="W146" s="1" t="str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>0</v>
      </c>
      <c r="Y146" s="1">
        <f t="shared" ca="1" si="37"/>
        <v>10000000000</v>
      </c>
      <c r="Z146" s="1">
        <f t="shared" ca="1" si="38"/>
        <v>1</v>
      </c>
      <c r="AA146" s="1"/>
      <c r="AB146" s="1"/>
      <c r="AC146" s="1"/>
      <c r="AD146" s="1"/>
    </row>
    <row r="147" spans="1:30" ht="19.5" customHeight="1" x14ac:dyDescent="0.3">
      <c r="A147" s="2"/>
      <c r="B147" s="79" t="str">
        <f t="shared" ca="1" si="29"/>
        <v/>
      </c>
      <c r="C147" s="80" t="str">
        <f t="shared" ca="1" si="30"/>
        <v/>
      </c>
      <c r="D147" s="81" t="str">
        <f t="shared" ca="1" si="31"/>
        <v/>
      </c>
      <c r="E147" s="79" t="str">
        <f t="shared" ca="1" si="32"/>
        <v/>
      </c>
      <c r="F147" s="82" t="str">
        <f t="shared" ca="1" si="33"/>
        <v/>
      </c>
      <c r="G147" s="82" t="str">
        <f t="shared" ca="1" si="34"/>
        <v/>
      </c>
      <c r="H147" s="82" t="str">
        <f t="shared" ca="1" si="35"/>
        <v/>
      </c>
      <c r="I147" s="2"/>
      <c r="J147" s="2"/>
      <c r="K147" s="1"/>
      <c r="L147" s="1"/>
      <c r="M147" s="1">
        <v>136</v>
      </c>
      <c r="N147" s="1" t="str">
        <f ca="1">IF(OR($U147=0,$W147="",$X147&lt;=0),"",IF($W147&gt;TODAY(),"",IF(AND(INDEX(UCRETLER!$E$7:$E$606,$U147)&lt;&gt;"",$W147&gt;INDEX(UCRETLER!$E$7:$E$606,$U147)),"",$W147)))</f>
        <v/>
      </c>
      <c r="O147" s="1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 t="str">
        <f t="shared" ca="1" si="39"/>
        <v/>
      </c>
      <c r="Q147" s="1"/>
      <c r="R147" s="1">
        <f t="shared" ca="1" si="40"/>
        <v>0</v>
      </c>
      <c r="S147" s="1">
        <v>0</v>
      </c>
      <c r="T147" s="1">
        <f t="shared" ca="1" si="36"/>
        <v>10000000000</v>
      </c>
      <c r="U147" s="1">
        <f t="shared" si="28"/>
        <v>0</v>
      </c>
      <c r="V147" s="1">
        <v>55</v>
      </c>
      <c r="W147" s="1" t="str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>0</v>
      </c>
      <c r="Y147" s="1">
        <f t="shared" ca="1" si="37"/>
        <v>10000000000</v>
      </c>
      <c r="Z147" s="1">
        <f t="shared" ca="1" si="38"/>
        <v>1</v>
      </c>
      <c r="AA147" s="1"/>
      <c r="AB147" s="1"/>
      <c r="AC147" s="1"/>
      <c r="AD147" s="1"/>
    </row>
    <row r="148" spans="1:30" ht="19.5" customHeight="1" x14ac:dyDescent="0.3">
      <c r="A148" s="2"/>
      <c r="B148" s="79" t="str">
        <f t="shared" ca="1" si="29"/>
        <v/>
      </c>
      <c r="C148" s="80" t="str">
        <f t="shared" ca="1" si="30"/>
        <v/>
      </c>
      <c r="D148" s="81" t="str">
        <f t="shared" ca="1" si="31"/>
        <v/>
      </c>
      <c r="E148" s="79" t="str">
        <f t="shared" ca="1" si="32"/>
        <v/>
      </c>
      <c r="F148" s="82" t="str">
        <f t="shared" ca="1" si="33"/>
        <v/>
      </c>
      <c r="G148" s="82" t="str">
        <f t="shared" ca="1" si="34"/>
        <v/>
      </c>
      <c r="H148" s="82" t="str">
        <f t="shared" ca="1" si="35"/>
        <v/>
      </c>
      <c r="I148" s="2"/>
      <c r="J148" s="2"/>
      <c r="K148" s="1"/>
      <c r="L148" s="1"/>
      <c r="M148" s="1">
        <v>137</v>
      </c>
      <c r="N148" s="1" t="str">
        <f ca="1">IF(OR($U148=0,$W148="",$X148&lt;=0),"",IF($W148&gt;TODAY(),"",IF(AND(INDEX(UCRETLER!$E$7:$E$606,$U148)&lt;&gt;"",$W148&gt;INDEX(UCRETLER!$E$7:$E$606,$U148)),"",$W148)))</f>
        <v/>
      </c>
      <c r="O148" s="1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 t="str">
        <f t="shared" ca="1" si="39"/>
        <v/>
      </c>
      <c r="Q148" s="1"/>
      <c r="R148" s="1">
        <f t="shared" ca="1" si="40"/>
        <v>0</v>
      </c>
      <c r="S148" s="1">
        <v>0</v>
      </c>
      <c r="T148" s="1">
        <f t="shared" ca="1" si="36"/>
        <v>10000000000</v>
      </c>
      <c r="U148" s="1">
        <f t="shared" si="28"/>
        <v>0</v>
      </c>
      <c r="V148" s="1">
        <v>56</v>
      </c>
      <c r="W148" s="1" t="str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>0</v>
      </c>
      <c r="Y148" s="1">
        <f t="shared" ca="1" si="37"/>
        <v>10000000000</v>
      </c>
      <c r="Z148" s="1">
        <f t="shared" ca="1" si="38"/>
        <v>1</v>
      </c>
      <c r="AA148" s="1"/>
      <c r="AB148" s="1"/>
      <c r="AC148" s="1"/>
      <c r="AD148" s="1"/>
    </row>
    <row r="149" spans="1:30" ht="19.5" customHeight="1" x14ac:dyDescent="0.3">
      <c r="A149" s="2"/>
      <c r="B149" s="79" t="str">
        <f t="shared" ca="1" si="29"/>
        <v/>
      </c>
      <c r="C149" s="80" t="str">
        <f t="shared" ca="1" si="30"/>
        <v/>
      </c>
      <c r="D149" s="81" t="str">
        <f t="shared" ca="1" si="31"/>
        <v/>
      </c>
      <c r="E149" s="79" t="str">
        <f t="shared" ca="1" si="32"/>
        <v/>
      </c>
      <c r="F149" s="82" t="str">
        <f t="shared" ca="1" si="33"/>
        <v/>
      </c>
      <c r="G149" s="82" t="str">
        <f t="shared" ca="1" si="34"/>
        <v/>
      </c>
      <c r="H149" s="82" t="str">
        <f t="shared" ca="1" si="35"/>
        <v/>
      </c>
      <c r="I149" s="2"/>
      <c r="J149" s="2"/>
      <c r="K149" s="1"/>
      <c r="L149" s="1"/>
      <c r="M149" s="1">
        <v>138</v>
      </c>
      <c r="N149" s="1" t="str">
        <f ca="1">IF(OR($U149=0,$W149="",$X149&lt;=0),"",IF($W149&gt;TODAY(),"",IF(AND(INDEX(UCRETLER!$E$7:$E$606,$U149)&lt;&gt;"",$W149&gt;INDEX(UCRETLER!$E$7:$E$606,$U149)),"",$W149)))</f>
        <v/>
      </c>
      <c r="O149" s="1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 t="str">
        <f t="shared" ca="1" si="39"/>
        <v/>
      </c>
      <c r="Q149" s="1"/>
      <c r="R149" s="1">
        <f t="shared" ca="1" si="40"/>
        <v>0</v>
      </c>
      <c r="S149" s="1">
        <v>0</v>
      </c>
      <c r="T149" s="1">
        <f t="shared" ca="1" si="36"/>
        <v>10000000000</v>
      </c>
      <c r="U149" s="1">
        <f t="shared" si="28"/>
        <v>0</v>
      </c>
      <c r="V149" s="1">
        <v>57</v>
      </c>
      <c r="W149" s="1" t="str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>0</v>
      </c>
      <c r="Y149" s="1">
        <f t="shared" ca="1" si="37"/>
        <v>10000000000</v>
      </c>
      <c r="Z149" s="1">
        <f t="shared" ca="1" si="38"/>
        <v>1</v>
      </c>
      <c r="AA149" s="1"/>
      <c r="AB149" s="1"/>
      <c r="AC149" s="1"/>
      <c r="AD149" s="1"/>
    </row>
    <row r="150" spans="1:30" ht="19.5" customHeight="1" x14ac:dyDescent="0.3">
      <c r="A150" s="2"/>
      <c r="B150" s="79" t="str">
        <f t="shared" ca="1" si="29"/>
        <v/>
      </c>
      <c r="C150" s="80" t="str">
        <f t="shared" ca="1" si="30"/>
        <v/>
      </c>
      <c r="D150" s="81" t="str">
        <f t="shared" ca="1" si="31"/>
        <v/>
      </c>
      <c r="E150" s="79" t="str">
        <f t="shared" ca="1" si="32"/>
        <v/>
      </c>
      <c r="F150" s="82" t="str">
        <f t="shared" ca="1" si="33"/>
        <v/>
      </c>
      <c r="G150" s="82" t="str">
        <f t="shared" ca="1" si="34"/>
        <v/>
      </c>
      <c r="H150" s="82" t="str">
        <f t="shared" ca="1" si="35"/>
        <v/>
      </c>
      <c r="I150" s="2"/>
      <c r="J150" s="2"/>
      <c r="K150" s="1"/>
      <c r="L150" s="1"/>
      <c r="M150" s="1">
        <v>139</v>
      </c>
      <c r="N150" s="1" t="str">
        <f ca="1">IF(OR($U150=0,$W150="",$X150&lt;=0),"",IF($W150&gt;TODAY(),"",IF(AND(INDEX(UCRETLER!$E$7:$E$606,$U150)&lt;&gt;"",$W150&gt;INDEX(UCRETLER!$E$7:$E$606,$U150)),"",$W150)))</f>
        <v/>
      </c>
      <c r="O150" s="1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 t="str">
        <f t="shared" ca="1" si="39"/>
        <v/>
      </c>
      <c r="Q150" s="1"/>
      <c r="R150" s="1">
        <f t="shared" ca="1" si="40"/>
        <v>0</v>
      </c>
      <c r="S150" s="1">
        <v>0</v>
      </c>
      <c r="T150" s="1">
        <f t="shared" ca="1" si="36"/>
        <v>10000000000</v>
      </c>
      <c r="U150" s="1">
        <f t="shared" si="28"/>
        <v>0</v>
      </c>
      <c r="V150" s="1">
        <v>58</v>
      </c>
      <c r="W150" s="1" t="str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>0</v>
      </c>
      <c r="Y150" s="1">
        <f t="shared" ca="1" si="37"/>
        <v>10000000000</v>
      </c>
      <c r="Z150" s="1">
        <f t="shared" ca="1" si="38"/>
        <v>1</v>
      </c>
      <c r="AA150" s="1"/>
      <c r="AB150" s="1"/>
      <c r="AC150" s="1"/>
      <c r="AD150" s="1"/>
    </row>
    <row r="151" spans="1:30" ht="19.5" customHeight="1" x14ac:dyDescent="0.3">
      <c r="A151" s="2"/>
      <c r="B151" s="79" t="str">
        <f t="shared" ca="1" si="29"/>
        <v/>
      </c>
      <c r="C151" s="80" t="str">
        <f t="shared" ca="1" si="30"/>
        <v/>
      </c>
      <c r="D151" s="81" t="str">
        <f t="shared" ca="1" si="31"/>
        <v/>
      </c>
      <c r="E151" s="79" t="str">
        <f t="shared" ca="1" si="32"/>
        <v/>
      </c>
      <c r="F151" s="82" t="str">
        <f t="shared" ca="1" si="33"/>
        <v/>
      </c>
      <c r="G151" s="82" t="str">
        <f t="shared" ca="1" si="34"/>
        <v/>
      </c>
      <c r="H151" s="82" t="str">
        <f t="shared" ca="1" si="35"/>
        <v/>
      </c>
      <c r="I151" s="2"/>
      <c r="J151" s="2"/>
      <c r="K151" s="1"/>
      <c r="L151" s="1"/>
      <c r="M151" s="1">
        <v>140</v>
      </c>
      <c r="N151" s="1" t="str">
        <f ca="1">IF(OR($U151=0,$W151="",$X151&lt;=0),"",IF($W151&gt;TODAY(),"",IF(AND(INDEX(UCRETLER!$E$7:$E$606,$U151)&lt;&gt;"",$W151&gt;INDEX(UCRETLER!$E$7:$E$606,$U151)),"",$W151)))</f>
        <v/>
      </c>
      <c r="O151" s="1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 t="str">
        <f t="shared" ca="1" si="39"/>
        <v/>
      </c>
      <c r="Q151" s="1"/>
      <c r="R151" s="1">
        <f t="shared" ca="1" si="40"/>
        <v>0</v>
      </c>
      <c r="S151" s="1">
        <v>0</v>
      </c>
      <c r="T151" s="1">
        <f t="shared" ca="1" si="36"/>
        <v>10000000000</v>
      </c>
      <c r="U151" s="1">
        <f t="shared" si="28"/>
        <v>0</v>
      </c>
      <c r="V151" s="1">
        <v>59</v>
      </c>
      <c r="W151" s="1" t="str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>0</v>
      </c>
      <c r="Y151" s="1">
        <f t="shared" ca="1" si="37"/>
        <v>10000000000</v>
      </c>
      <c r="Z151" s="1">
        <f t="shared" ca="1" si="38"/>
        <v>1</v>
      </c>
      <c r="AA151" s="1"/>
      <c r="AB151" s="1"/>
      <c r="AC151" s="1"/>
      <c r="AD151" s="1"/>
    </row>
    <row r="152" spans="1:30" ht="19.5" customHeight="1" x14ac:dyDescent="0.3">
      <c r="A152" s="2"/>
      <c r="B152" s="79" t="str">
        <f t="shared" ca="1" si="29"/>
        <v/>
      </c>
      <c r="C152" s="80" t="str">
        <f t="shared" ca="1" si="30"/>
        <v/>
      </c>
      <c r="D152" s="81" t="str">
        <f t="shared" ca="1" si="31"/>
        <v/>
      </c>
      <c r="E152" s="79" t="str">
        <f t="shared" ca="1" si="32"/>
        <v/>
      </c>
      <c r="F152" s="82" t="str">
        <f t="shared" ca="1" si="33"/>
        <v/>
      </c>
      <c r="G152" s="82" t="str">
        <f t="shared" ca="1" si="34"/>
        <v/>
      </c>
      <c r="H152" s="82" t="str">
        <f t="shared" ca="1" si="35"/>
        <v/>
      </c>
      <c r="I152" s="2"/>
      <c r="J152" s="2"/>
      <c r="K152" s="1"/>
      <c r="L152" s="1"/>
      <c r="M152" s="1">
        <v>141</v>
      </c>
      <c r="N152" s="1" t="str">
        <f ca="1">IF(OR($U152=0,$W152="",$X152&lt;=0),"",IF($W152&gt;TODAY(),"",IF(AND(INDEX(UCRETLER!$E$7:$E$606,$U152)&lt;&gt;"",$W152&gt;INDEX(UCRETLER!$E$7:$E$606,$U152)),"",$W152)))</f>
        <v/>
      </c>
      <c r="O152" s="1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 t="str">
        <f t="shared" ca="1" si="39"/>
        <v/>
      </c>
      <c r="Q152" s="1"/>
      <c r="R152" s="1">
        <f t="shared" ca="1" si="40"/>
        <v>0</v>
      </c>
      <c r="S152" s="1">
        <v>0</v>
      </c>
      <c r="T152" s="1">
        <f t="shared" ca="1" si="36"/>
        <v>10000000000</v>
      </c>
      <c r="U152" s="1">
        <f t="shared" si="28"/>
        <v>0</v>
      </c>
      <c r="V152" s="1">
        <v>60</v>
      </c>
      <c r="W152" s="1" t="str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>0</v>
      </c>
      <c r="Y152" s="1">
        <f t="shared" ca="1" si="37"/>
        <v>10000000000</v>
      </c>
      <c r="Z152" s="1">
        <f t="shared" ca="1" si="38"/>
        <v>1</v>
      </c>
      <c r="AA152" s="1"/>
      <c r="AB152" s="1"/>
      <c r="AC152" s="1"/>
      <c r="AD152" s="1"/>
    </row>
    <row r="153" spans="1:30" ht="19.5" customHeight="1" x14ac:dyDescent="0.3">
      <c r="A153" s="2"/>
      <c r="B153" s="79" t="str">
        <f t="shared" ca="1" si="29"/>
        <v/>
      </c>
      <c r="C153" s="80" t="str">
        <f t="shared" ca="1" si="30"/>
        <v/>
      </c>
      <c r="D153" s="81" t="str">
        <f t="shared" ca="1" si="31"/>
        <v/>
      </c>
      <c r="E153" s="79" t="str">
        <f t="shared" ca="1" si="32"/>
        <v/>
      </c>
      <c r="F153" s="82" t="str">
        <f t="shared" ca="1" si="33"/>
        <v/>
      </c>
      <c r="G153" s="82" t="str">
        <f t="shared" ca="1" si="34"/>
        <v/>
      </c>
      <c r="H153" s="82" t="str">
        <f t="shared" ca="1" si="35"/>
        <v/>
      </c>
      <c r="I153" s="2"/>
      <c r="J153" s="2"/>
      <c r="K153" s="1"/>
      <c r="L153" s="1"/>
      <c r="M153" s="1">
        <v>142</v>
      </c>
      <c r="N153" s="1" t="str">
        <f ca="1">IF(OR($U153=0,$W153="",$X153&lt;=0),"",IF($W153&gt;TODAY(),"",IF(AND(INDEX(UCRETLER!$E$7:$E$606,$U153)&lt;&gt;"",$W153&gt;INDEX(UCRETLER!$E$7:$E$606,$U153)),"",$W153)))</f>
        <v/>
      </c>
      <c r="O153" s="1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 t="str">
        <f t="shared" ca="1" si="39"/>
        <v/>
      </c>
      <c r="Q153" s="1"/>
      <c r="R153" s="1">
        <f t="shared" ca="1" si="40"/>
        <v>0</v>
      </c>
      <c r="S153" s="1">
        <v>0</v>
      </c>
      <c r="T153" s="1">
        <f t="shared" ca="1" si="36"/>
        <v>10000000000</v>
      </c>
      <c r="U153" s="1">
        <f t="shared" si="28"/>
        <v>0</v>
      </c>
      <c r="V153" s="1">
        <v>61</v>
      </c>
      <c r="W153" s="1" t="str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>0</v>
      </c>
      <c r="Y153" s="1">
        <f t="shared" ca="1" si="37"/>
        <v>10000000000</v>
      </c>
      <c r="Z153" s="1">
        <f t="shared" ca="1" si="38"/>
        <v>1</v>
      </c>
      <c r="AA153" s="1"/>
      <c r="AB153" s="1"/>
      <c r="AC153" s="1"/>
      <c r="AD153" s="1"/>
    </row>
    <row r="154" spans="1:30" ht="19.5" customHeight="1" x14ac:dyDescent="0.3">
      <c r="A154" s="2"/>
      <c r="B154" s="79" t="str">
        <f t="shared" ca="1" si="29"/>
        <v/>
      </c>
      <c r="C154" s="80" t="str">
        <f t="shared" ca="1" si="30"/>
        <v/>
      </c>
      <c r="D154" s="81" t="str">
        <f t="shared" ca="1" si="31"/>
        <v/>
      </c>
      <c r="E154" s="79" t="str">
        <f t="shared" ca="1" si="32"/>
        <v/>
      </c>
      <c r="F154" s="82" t="str">
        <f t="shared" ca="1" si="33"/>
        <v/>
      </c>
      <c r="G154" s="82" t="str">
        <f t="shared" ca="1" si="34"/>
        <v/>
      </c>
      <c r="H154" s="82" t="str">
        <f t="shared" ca="1" si="35"/>
        <v/>
      </c>
      <c r="I154" s="2"/>
      <c r="J154" s="2"/>
      <c r="K154" s="1"/>
      <c r="L154" s="1"/>
      <c r="M154" s="1">
        <v>143</v>
      </c>
      <c r="N154" s="1" t="str">
        <f ca="1">IF(OR($U154=0,$W154="",$X154&lt;=0),"",IF($W154&gt;TODAY(),"",IF(AND(INDEX(UCRETLER!$E$7:$E$606,$U154)&lt;&gt;"",$W154&gt;INDEX(UCRETLER!$E$7:$E$606,$U154)),"",$W154)))</f>
        <v/>
      </c>
      <c r="O154" s="1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 t="str">
        <f t="shared" ca="1" si="39"/>
        <v/>
      </c>
      <c r="Q154" s="1"/>
      <c r="R154" s="1">
        <f t="shared" ca="1" si="40"/>
        <v>0</v>
      </c>
      <c r="S154" s="1">
        <v>0</v>
      </c>
      <c r="T154" s="1">
        <f t="shared" ca="1" si="36"/>
        <v>10000000000</v>
      </c>
      <c r="U154" s="1">
        <f t="shared" si="28"/>
        <v>0</v>
      </c>
      <c r="V154" s="1">
        <v>62</v>
      </c>
      <c r="W154" s="1" t="str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>0</v>
      </c>
      <c r="Y154" s="1">
        <f t="shared" ca="1" si="37"/>
        <v>10000000000</v>
      </c>
      <c r="Z154" s="1">
        <f t="shared" ca="1" si="38"/>
        <v>1</v>
      </c>
      <c r="AA154" s="1"/>
      <c r="AB154" s="1"/>
      <c r="AC154" s="1"/>
      <c r="AD154" s="1"/>
    </row>
    <row r="155" spans="1:30" ht="19.5" customHeight="1" x14ac:dyDescent="0.3">
      <c r="A155" s="2"/>
      <c r="B155" s="79" t="str">
        <f t="shared" ca="1" si="29"/>
        <v/>
      </c>
      <c r="C155" s="80" t="str">
        <f t="shared" ca="1" si="30"/>
        <v/>
      </c>
      <c r="D155" s="81" t="str">
        <f t="shared" ca="1" si="31"/>
        <v/>
      </c>
      <c r="E155" s="79" t="str">
        <f t="shared" ca="1" si="32"/>
        <v/>
      </c>
      <c r="F155" s="82" t="str">
        <f t="shared" ca="1" si="33"/>
        <v/>
      </c>
      <c r="G155" s="82" t="str">
        <f t="shared" ca="1" si="34"/>
        <v/>
      </c>
      <c r="H155" s="82" t="str">
        <f t="shared" ca="1" si="35"/>
        <v/>
      </c>
      <c r="I155" s="2"/>
      <c r="J155" s="2"/>
      <c r="K155" s="1"/>
      <c r="L155" s="1"/>
      <c r="M155" s="1">
        <v>144</v>
      </c>
      <c r="N155" s="1" t="str">
        <f ca="1">IF(OR($U155=0,$W155="",$X155&lt;=0),"",IF($W155&gt;TODAY(),"",IF(AND(INDEX(UCRETLER!$E$7:$E$606,$U155)&lt;&gt;"",$W155&gt;INDEX(UCRETLER!$E$7:$E$606,$U155)),"",$W155)))</f>
        <v/>
      </c>
      <c r="O155" s="1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 t="str">
        <f t="shared" ca="1" si="39"/>
        <v/>
      </c>
      <c r="Q155" s="1"/>
      <c r="R155" s="1">
        <f t="shared" ca="1" si="40"/>
        <v>0</v>
      </c>
      <c r="S155" s="1">
        <v>0</v>
      </c>
      <c r="T155" s="1">
        <f t="shared" ca="1" si="36"/>
        <v>10000000000</v>
      </c>
      <c r="U155" s="1">
        <f t="shared" si="28"/>
        <v>0</v>
      </c>
      <c r="V155" s="1">
        <v>63</v>
      </c>
      <c r="W155" s="1" t="str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>0</v>
      </c>
      <c r="Y155" s="1">
        <f t="shared" ca="1" si="37"/>
        <v>10000000000</v>
      </c>
      <c r="Z155" s="1">
        <f t="shared" ca="1" si="38"/>
        <v>1</v>
      </c>
      <c r="AA155" s="1"/>
      <c r="AB155" s="1"/>
      <c r="AC155" s="1"/>
      <c r="AD155" s="1"/>
    </row>
    <row r="156" spans="1:30" ht="19.5" customHeight="1" x14ac:dyDescent="0.3">
      <c r="A156" s="2"/>
      <c r="B156" s="79" t="str">
        <f t="shared" ca="1" si="29"/>
        <v/>
      </c>
      <c r="C156" s="80" t="str">
        <f t="shared" ca="1" si="30"/>
        <v/>
      </c>
      <c r="D156" s="81" t="str">
        <f t="shared" ca="1" si="31"/>
        <v/>
      </c>
      <c r="E156" s="79" t="str">
        <f t="shared" ca="1" si="32"/>
        <v/>
      </c>
      <c r="F156" s="82" t="str">
        <f t="shared" ca="1" si="33"/>
        <v/>
      </c>
      <c r="G156" s="82" t="str">
        <f t="shared" ca="1" si="34"/>
        <v/>
      </c>
      <c r="H156" s="82" t="str">
        <f t="shared" ca="1" si="35"/>
        <v/>
      </c>
      <c r="I156" s="2"/>
      <c r="J156" s="2"/>
      <c r="K156" s="1"/>
      <c r="L156" s="1"/>
      <c r="M156" s="1">
        <v>145</v>
      </c>
      <c r="N156" s="1" t="str">
        <f ca="1">IF(OR($U156=0,$W156="",$X156&lt;=0),"",IF($W156&gt;TODAY(),"",IF(AND(INDEX(UCRETLER!$E$7:$E$606,$U156)&lt;&gt;"",$W156&gt;INDEX(UCRETLER!$E$7:$E$606,$U156)),"",$W156)))</f>
        <v/>
      </c>
      <c r="O156" s="1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 t="str">
        <f t="shared" ca="1" si="39"/>
        <v/>
      </c>
      <c r="Q156" s="1"/>
      <c r="R156" s="1">
        <f t="shared" ca="1" si="40"/>
        <v>0</v>
      </c>
      <c r="S156" s="1">
        <v>0</v>
      </c>
      <c r="T156" s="1">
        <f t="shared" ca="1" si="36"/>
        <v>10000000000</v>
      </c>
      <c r="U156" s="1">
        <f t="shared" si="28"/>
        <v>0</v>
      </c>
      <c r="V156" s="1">
        <v>64</v>
      </c>
      <c r="W156" s="1" t="str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>0</v>
      </c>
      <c r="Y156" s="1">
        <f t="shared" ca="1" si="37"/>
        <v>10000000000</v>
      </c>
      <c r="Z156" s="1">
        <f t="shared" ca="1" si="38"/>
        <v>1</v>
      </c>
      <c r="AA156" s="1"/>
      <c r="AB156" s="1"/>
      <c r="AC156" s="1"/>
      <c r="AD156" s="1"/>
    </row>
    <row r="157" spans="1:30" ht="19.5" customHeight="1" x14ac:dyDescent="0.3">
      <c r="A157" s="2"/>
      <c r="B157" s="79" t="str">
        <f t="shared" ca="1" si="29"/>
        <v/>
      </c>
      <c r="C157" s="80" t="str">
        <f t="shared" ca="1" si="30"/>
        <v/>
      </c>
      <c r="D157" s="81" t="str">
        <f t="shared" ca="1" si="31"/>
        <v/>
      </c>
      <c r="E157" s="79" t="str">
        <f t="shared" ca="1" si="32"/>
        <v/>
      </c>
      <c r="F157" s="82" t="str">
        <f t="shared" ca="1" si="33"/>
        <v/>
      </c>
      <c r="G157" s="82" t="str">
        <f t="shared" ca="1" si="34"/>
        <v/>
      </c>
      <c r="H157" s="82" t="str">
        <f t="shared" ca="1" si="35"/>
        <v/>
      </c>
      <c r="I157" s="2"/>
      <c r="J157" s="2"/>
      <c r="K157" s="1"/>
      <c r="L157" s="1"/>
      <c r="M157" s="1">
        <v>146</v>
      </c>
      <c r="N157" s="1" t="str">
        <f ca="1">IF(OR($U157=0,$W157="",$X157&lt;=0),"",IF($W157&gt;TODAY(),"",IF(AND(INDEX(UCRETLER!$E$7:$E$606,$U157)&lt;&gt;"",$W157&gt;INDEX(UCRETLER!$E$7:$E$606,$U157)),"",$W157)))</f>
        <v/>
      </c>
      <c r="O157" s="1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 t="str">
        <f t="shared" ca="1" si="39"/>
        <v/>
      </c>
      <c r="Q157" s="1"/>
      <c r="R157" s="1">
        <f t="shared" ca="1" si="40"/>
        <v>0</v>
      </c>
      <c r="S157" s="1">
        <v>0</v>
      </c>
      <c r="T157" s="1">
        <f t="shared" ca="1" si="36"/>
        <v>10000000000</v>
      </c>
      <c r="U157" s="1">
        <f t="shared" ref="U157:U172" si="41">$AB$5</f>
        <v>0</v>
      </c>
      <c r="V157" s="1">
        <v>65</v>
      </c>
      <c r="W157" s="1" t="str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>0</v>
      </c>
      <c r="Y157" s="1">
        <f t="shared" ca="1" si="37"/>
        <v>10000000000</v>
      </c>
      <c r="Z157" s="1">
        <f t="shared" ca="1" si="38"/>
        <v>1</v>
      </c>
      <c r="AA157" s="1"/>
      <c r="AB157" s="1"/>
      <c r="AC157" s="1"/>
      <c r="AD157" s="1"/>
    </row>
    <row r="158" spans="1:30" ht="19.5" customHeight="1" x14ac:dyDescent="0.3">
      <c r="A158" s="2"/>
      <c r="B158" s="79" t="str">
        <f t="shared" ca="1" si="29"/>
        <v/>
      </c>
      <c r="C158" s="80" t="str">
        <f t="shared" ca="1" si="30"/>
        <v/>
      </c>
      <c r="D158" s="81" t="str">
        <f t="shared" ca="1" si="31"/>
        <v/>
      </c>
      <c r="E158" s="79" t="str">
        <f t="shared" ca="1" si="32"/>
        <v/>
      </c>
      <c r="F158" s="82" t="str">
        <f t="shared" ca="1" si="33"/>
        <v/>
      </c>
      <c r="G158" s="82" t="str">
        <f t="shared" ca="1" si="34"/>
        <v/>
      </c>
      <c r="H158" s="82" t="str">
        <f t="shared" ca="1" si="35"/>
        <v/>
      </c>
      <c r="I158" s="2"/>
      <c r="J158" s="2"/>
      <c r="K158" s="1"/>
      <c r="L158" s="1"/>
      <c r="M158" s="1">
        <v>147</v>
      </c>
      <c r="N158" s="1" t="str">
        <f ca="1">IF(OR($U158=0,$W158="",$X158&lt;=0),"",IF($W158&gt;TODAY(),"",IF(AND(INDEX(UCRETLER!$E$7:$E$606,$U158)&lt;&gt;"",$W158&gt;INDEX(UCRETLER!$E$7:$E$606,$U158)),"",$W158)))</f>
        <v/>
      </c>
      <c r="O158" s="1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 t="str">
        <f t="shared" ca="1" si="39"/>
        <v/>
      </c>
      <c r="Q158" s="1"/>
      <c r="R158" s="1">
        <f t="shared" ca="1" si="40"/>
        <v>0</v>
      </c>
      <c r="S158" s="1">
        <v>0</v>
      </c>
      <c r="T158" s="1">
        <f t="shared" ca="1" si="36"/>
        <v>10000000000</v>
      </c>
      <c r="U158" s="1">
        <f t="shared" si="41"/>
        <v>0</v>
      </c>
      <c r="V158" s="1">
        <v>66</v>
      </c>
      <c r="W158" s="1" t="str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>0</v>
      </c>
      <c r="Y158" s="1">
        <f t="shared" ca="1" si="37"/>
        <v>10000000000</v>
      </c>
      <c r="Z158" s="1">
        <f t="shared" ca="1" si="38"/>
        <v>1</v>
      </c>
      <c r="AA158" s="1"/>
      <c r="AB158" s="1"/>
      <c r="AC158" s="1"/>
      <c r="AD158" s="1"/>
    </row>
    <row r="159" spans="1:30" ht="19.5" customHeight="1" x14ac:dyDescent="0.3">
      <c r="A159" s="2"/>
      <c r="B159" s="79" t="str">
        <f t="shared" ca="1" si="29"/>
        <v/>
      </c>
      <c r="C159" s="80" t="str">
        <f t="shared" ca="1" si="30"/>
        <v/>
      </c>
      <c r="D159" s="81" t="str">
        <f t="shared" ca="1" si="31"/>
        <v/>
      </c>
      <c r="E159" s="79" t="str">
        <f t="shared" ca="1" si="32"/>
        <v/>
      </c>
      <c r="F159" s="82" t="str">
        <f t="shared" ca="1" si="33"/>
        <v/>
      </c>
      <c r="G159" s="82" t="str">
        <f t="shared" ca="1" si="34"/>
        <v/>
      </c>
      <c r="H159" s="82" t="str">
        <f t="shared" ca="1" si="35"/>
        <v/>
      </c>
      <c r="I159" s="2"/>
      <c r="J159" s="2"/>
      <c r="K159" s="1"/>
      <c r="L159" s="1"/>
      <c r="M159" s="1">
        <v>148</v>
      </c>
      <c r="N159" s="1" t="str">
        <f ca="1">IF(OR($U159=0,$W159="",$X159&lt;=0),"",IF($W159&gt;TODAY(),"",IF(AND(INDEX(UCRETLER!$E$7:$E$606,$U159)&lt;&gt;"",$W159&gt;INDEX(UCRETLER!$E$7:$E$606,$U159)),"",$W159)))</f>
        <v/>
      </c>
      <c r="O159" s="1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 t="str">
        <f t="shared" ca="1" si="39"/>
        <v/>
      </c>
      <c r="Q159" s="1"/>
      <c r="R159" s="1">
        <f t="shared" ca="1" si="40"/>
        <v>0</v>
      </c>
      <c r="S159" s="1">
        <v>0</v>
      </c>
      <c r="T159" s="1">
        <f t="shared" ca="1" si="36"/>
        <v>10000000000</v>
      </c>
      <c r="U159" s="1">
        <f t="shared" si="41"/>
        <v>0</v>
      </c>
      <c r="V159" s="1">
        <v>67</v>
      </c>
      <c r="W159" s="1" t="str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>0</v>
      </c>
      <c r="Y159" s="1">
        <f t="shared" ca="1" si="37"/>
        <v>10000000000</v>
      </c>
      <c r="Z159" s="1">
        <f t="shared" ca="1" si="38"/>
        <v>1</v>
      </c>
      <c r="AA159" s="1"/>
      <c r="AB159" s="1"/>
      <c r="AC159" s="1"/>
      <c r="AD159" s="1"/>
    </row>
    <row r="160" spans="1:30" ht="19.5" customHeight="1" x14ac:dyDescent="0.3">
      <c r="A160" s="2"/>
      <c r="B160" s="79" t="str">
        <f t="shared" ca="1" si="29"/>
        <v/>
      </c>
      <c r="C160" s="80" t="str">
        <f t="shared" ca="1" si="30"/>
        <v/>
      </c>
      <c r="D160" s="81" t="str">
        <f t="shared" ca="1" si="31"/>
        <v/>
      </c>
      <c r="E160" s="79" t="str">
        <f t="shared" ca="1" si="32"/>
        <v/>
      </c>
      <c r="F160" s="82" t="str">
        <f t="shared" ca="1" si="33"/>
        <v/>
      </c>
      <c r="G160" s="82" t="str">
        <f t="shared" ca="1" si="34"/>
        <v/>
      </c>
      <c r="H160" s="82" t="str">
        <f t="shared" ca="1" si="35"/>
        <v/>
      </c>
      <c r="I160" s="2"/>
      <c r="J160" s="2"/>
      <c r="K160" s="1"/>
      <c r="L160" s="1"/>
      <c r="M160" s="1">
        <v>149</v>
      </c>
      <c r="N160" s="1" t="str">
        <f ca="1">IF(OR($U160=0,$W160="",$X160&lt;=0),"",IF($W160&gt;TODAY(),"",IF(AND(INDEX(UCRETLER!$E$7:$E$606,$U160)&lt;&gt;"",$W160&gt;INDEX(UCRETLER!$E$7:$E$606,$U160)),"",$W160)))</f>
        <v/>
      </c>
      <c r="O160" s="1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 t="str">
        <f t="shared" ca="1" si="39"/>
        <v/>
      </c>
      <c r="Q160" s="1"/>
      <c r="R160" s="1">
        <f t="shared" ca="1" si="40"/>
        <v>0</v>
      </c>
      <c r="S160" s="1">
        <v>0</v>
      </c>
      <c r="T160" s="1">
        <f t="shared" ca="1" si="36"/>
        <v>10000000000</v>
      </c>
      <c r="U160" s="1">
        <f t="shared" si="41"/>
        <v>0</v>
      </c>
      <c r="V160" s="1">
        <v>68</v>
      </c>
      <c r="W160" s="1" t="str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>0</v>
      </c>
      <c r="Y160" s="1">
        <f t="shared" ca="1" si="37"/>
        <v>10000000000</v>
      </c>
      <c r="Z160" s="1">
        <f t="shared" ca="1" si="38"/>
        <v>1</v>
      </c>
      <c r="AA160" s="1"/>
      <c r="AB160" s="1"/>
      <c r="AC160" s="1"/>
      <c r="AD160" s="1"/>
    </row>
    <row r="161" spans="1:30" ht="19.5" customHeight="1" x14ac:dyDescent="0.3">
      <c r="A161" s="2"/>
      <c r="B161" s="79" t="str">
        <f t="shared" ca="1" si="29"/>
        <v/>
      </c>
      <c r="C161" s="80" t="str">
        <f t="shared" ca="1" si="30"/>
        <v/>
      </c>
      <c r="D161" s="81" t="str">
        <f t="shared" ca="1" si="31"/>
        <v/>
      </c>
      <c r="E161" s="79" t="str">
        <f t="shared" ca="1" si="32"/>
        <v/>
      </c>
      <c r="F161" s="82" t="str">
        <f t="shared" ca="1" si="33"/>
        <v/>
      </c>
      <c r="G161" s="82" t="str">
        <f t="shared" ca="1" si="34"/>
        <v/>
      </c>
      <c r="H161" s="82" t="str">
        <f t="shared" ca="1" si="35"/>
        <v/>
      </c>
      <c r="I161" s="2"/>
      <c r="J161" s="2"/>
      <c r="K161" s="1"/>
      <c r="L161" s="1"/>
      <c r="M161" s="1">
        <v>150</v>
      </c>
      <c r="N161" s="1" t="str">
        <f ca="1">IF(OR($U161=0,$W161="",$X161&lt;=0),"",IF($W161&gt;TODAY(),"",IF(AND(INDEX(UCRETLER!$E$7:$E$606,$U161)&lt;&gt;"",$W161&gt;INDEX(UCRETLER!$E$7:$E$606,$U161)),"",$W161)))</f>
        <v/>
      </c>
      <c r="O161" s="1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 t="str">
        <f t="shared" ca="1" si="39"/>
        <v/>
      </c>
      <c r="Q161" s="1"/>
      <c r="R161" s="1">
        <f t="shared" ca="1" si="40"/>
        <v>0</v>
      </c>
      <c r="S161" s="1">
        <v>0</v>
      </c>
      <c r="T161" s="1">
        <f t="shared" ca="1" si="36"/>
        <v>10000000000</v>
      </c>
      <c r="U161" s="1">
        <f t="shared" si="41"/>
        <v>0</v>
      </c>
      <c r="V161" s="1">
        <v>69</v>
      </c>
      <c r="W161" s="1" t="str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>0</v>
      </c>
      <c r="Y161" s="1">
        <f t="shared" ca="1" si="37"/>
        <v>10000000000</v>
      </c>
      <c r="Z161" s="1">
        <f t="shared" ca="1" si="38"/>
        <v>1</v>
      </c>
      <c r="AA161" s="1"/>
      <c r="AB161" s="1"/>
      <c r="AC161" s="1"/>
      <c r="AD161" s="1"/>
    </row>
    <row r="162" spans="1:30" ht="19.5" customHeight="1" x14ac:dyDescent="0.3">
      <c r="A162" s="2"/>
      <c r="B162" s="79" t="str">
        <f t="shared" ca="1" si="29"/>
        <v/>
      </c>
      <c r="C162" s="80" t="str">
        <f t="shared" ca="1" si="30"/>
        <v/>
      </c>
      <c r="D162" s="81" t="str">
        <f t="shared" ca="1" si="31"/>
        <v/>
      </c>
      <c r="E162" s="79" t="str">
        <f t="shared" ca="1" si="32"/>
        <v/>
      </c>
      <c r="F162" s="82" t="str">
        <f t="shared" ca="1" si="33"/>
        <v/>
      </c>
      <c r="G162" s="82" t="str">
        <f t="shared" ca="1" si="34"/>
        <v/>
      </c>
      <c r="H162" s="82" t="str">
        <f t="shared" ca="1" si="35"/>
        <v/>
      </c>
      <c r="I162" s="2"/>
      <c r="J162" s="2"/>
      <c r="K162" s="1"/>
      <c r="L162" s="1"/>
      <c r="M162" s="1">
        <v>151</v>
      </c>
      <c r="N162" s="1" t="str">
        <f ca="1">IF(OR($U162=0,$W162="",$X162&lt;=0),"",IF($W162&gt;TODAY(),"",IF(AND(INDEX(UCRETLER!$E$7:$E$606,$U162)&lt;&gt;"",$W162&gt;INDEX(UCRETLER!$E$7:$E$606,$U162)),"",$W162)))</f>
        <v/>
      </c>
      <c r="O162" s="1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 t="str">
        <f t="shared" ca="1" si="39"/>
        <v/>
      </c>
      <c r="Q162" s="1"/>
      <c r="R162" s="1">
        <f t="shared" ca="1" si="40"/>
        <v>0</v>
      </c>
      <c r="S162" s="1">
        <v>0</v>
      </c>
      <c r="T162" s="1">
        <f t="shared" ca="1" si="36"/>
        <v>10000000000</v>
      </c>
      <c r="U162" s="1">
        <f t="shared" si="41"/>
        <v>0</v>
      </c>
      <c r="V162" s="1">
        <v>70</v>
      </c>
      <c r="W162" s="1" t="str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>0</v>
      </c>
      <c r="Y162" s="1">
        <f t="shared" ca="1" si="37"/>
        <v>10000000000</v>
      </c>
      <c r="Z162" s="1">
        <f t="shared" ca="1" si="38"/>
        <v>1</v>
      </c>
      <c r="AA162" s="1"/>
      <c r="AB162" s="1"/>
      <c r="AC162" s="1"/>
      <c r="AD162" s="1"/>
    </row>
    <row r="163" spans="1:30" ht="19.5" customHeight="1" x14ac:dyDescent="0.3">
      <c r="A163" s="2"/>
      <c r="B163" s="79" t="str">
        <f t="shared" ca="1" si="29"/>
        <v/>
      </c>
      <c r="C163" s="80" t="str">
        <f t="shared" ca="1" si="30"/>
        <v/>
      </c>
      <c r="D163" s="81" t="str">
        <f t="shared" ca="1" si="31"/>
        <v/>
      </c>
      <c r="E163" s="79" t="str">
        <f t="shared" ca="1" si="32"/>
        <v/>
      </c>
      <c r="F163" s="82" t="str">
        <f t="shared" ca="1" si="33"/>
        <v/>
      </c>
      <c r="G163" s="82" t="str">
        <f t="shared" ca="1" si="34"/>
        <v/>
      </c>
      <c r="H163" s="82" t="str">
        <f t="shared" ca="1" si="35"/>
        <v/>
      </c>
      <c r="I163" s="2"/>
      <c r="J163" s="2"/>
      <c r="K163" s="1"/>
      <c r="L163" s="1"/>
      <c r="M163" s="1">
        <v>152</v>
      </c>
      <c r="N163" s="1" t="str">
        <f ca="1">IF(OR($U163=0,$W163="",$X163&lt;=0),"",IF($W163&gt;TODAY(),"",IF(AND(INDEX(UCRETLER!$E$7:$E$606,$U163)&lt;&gt;"",$W163&gt;INDEX(UCRETLER!$E$7:$E$606,$U163)),"",$W163)))</f>
        <v/>
      </c>
      <c r="O163" s="1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 t="str">
        <f t="shared" ca="1" si="39"/>
        <v/>
      </c>
      <c r="Q163" s="1"/>
      <c r="R163" s="1">
        <f t="shared" ca="1" si="40"/>
        <v>0</v>
      </c>
      <c r="S163" s="1">
        <v>0</v>
      </c>
      <c r="T163" s="1">
        <f t="shared" ca="1" si="36"/>
        <v>10000000000</v>
      </c>
      <c r="U163" s="1">
        <f t="shared" si="41"/>
        <v>0</v>
      </c>
      <c r="V163" s="1">
        <v>71</v>
      </c>
      <c r="W163" s="1" t="str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>0</v>
      </c>
      <c r="Y163" s="1">
        <f t="shared" ca="1" si="37"/>
        <v>10000000000</v>
      </c>
      <c r="Z163" s="1">
        <f t="shared" ca="1" si="38"/>
        <v>1</v>
      </c>
      <c r="AA163" s="1"/>
      <c r="AB163" s="1"/>
      <c r="AC163" s="1"/>
      <c r="AD163" s="1"/>
    </row>
    <row r="164" spans="1:30" ht="19.5" customHeight="1" x14ac:dyDescent="0.3">
      <c r="A164" s="2"/>
      <c r="B164" s="79" t="str">
        <f t="shared" ca="1" si="29"/>
        <v/>
      </c>
      <c r="C164" s="80" t="str">
        <f t="shared" ca="1" si="30"/>
        <v/>
      </c>
      <c r="D164" s="81" t="str">
        <f t="shared" ca="1" si="31"/>
        <v/>
      </c>
      <c r="E164" s="79" t="str">
        <f t="shared" ca="1" si="32"/>
        <v/>
      </c>
      <c r="F164" s="82" t="str">
        <f t="shared" ca="1" si="33"/>
        <v/>
      </c>
      <c r="G164" s="82" t="str">
        <f t="shared" ca="1" si="34"/>
        <v/>
      </c>
      <c r="H164" s="82" t="str">
        <f t="shared" ca="1" si="35"/>
        <v/>
      </c>
      <c r="I164" s="2"/>
      <c r="J164" s="2"/>
      <c r="K164" s="1"/>
      <c r="L164" s="1"/>
      <c r="M164" s="1">
        <v>153</v>
      </c>
      <c r="N164" s="1" t="str">
        <f ca="1">IF(OR($U164=0,$W164="",$X164&lt;=0),"",IF($W164&gt;TODAY(),"",IF(AND(INDEX(UCRETLER!$E$7:$E$606,$U164)&lt;&gt;"",$W164&gt;INDEX(UCRETLER!$E$7:$E$606,$U164)),"",$W164)))</f>
        <v/>
      </c>
      <c r="O164" s="1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 t="str">
        <f t="shared" ca="1" si="39"/>
        <v/>
      </c>
      <c r="Q164" s="1"/>
      <c r="R164" s="1">
        <f t="shared" ca="1" si="40"/>
        <v>0</v>
      </c>
      <c r="S164" s="1">
        <v>0</v>
      </c>
      <c r="T164" s="1">
        <f t="shared" ca="1" si="36"/>
        <v>10000000000</v>
      </c>
      <c r="U164" s="1">
        <f t="shared" si="41"/>
        <v>0</v>
      </c>
      <c r="V164" s="1">
        <v>72</v>
      </c>
      <c r="W164" s="1" t="str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>0</v>
      </c>
      <c r="Y164" s="1">
        <f t="shared" ca="1" si="37"/>
        <v>10000000000</v>
      </c>
      <c r="Z164" s="1">
        <f t="shared" ca="1" si="38"/>
        <v>1</v>
      </c>
      <c r="AA164" s="1"/>
      <c r="AB164" s="1"/>
      <c r="AC164" s="1"/>
      <c r="AD164" s="1"/>
    </row>
    <row r="165" spans="1:30" ht="19.5" customHeight="1" x14ac:dyDescent="0.3">
      <c r="A165" s="2"/>
      <c r="B165" s="79" t="str">
        <f t="shared" ca="1" si="29"/>
        <v/>
      </c>
      <c r="C165" s="80" t="str">
        <f t="shared" ca="1" si="30"/>
        <v/>
      </c>
      <c r="D165" s="81" t="str">
        <f t="shared" ca="1" si="31"/>
        <v/>
      </c>
      <c r="E165" s="79" t="str">
        <f t="shared" ca="1" si="32"/>
        <v/>
      </c>
      <c r="F165" s="82" t="str">
        <f t="shared" ca="1" si="33"/>
        <v/>
      </c>
      <c r="G165" s="82" t="str">
        <f t="shared" ca="1" si="34"/>
        <v/>
      </c>
      <c r="H165" s="82" t="str">
        <f t="shared" ca="1" si="35"/>
        <v/>
      </c>
      <c r="I165" s="2"/>
      <c r="J165" s="2"/>
      <c r="K165" s="1"/>
      <c r="L165" s="1"/>
      <c r="M165" s="1">
        <v>154</v>
      </c>
      <c r="N165" s="1" t="str">
        <f ca="1">IF(OR($U165=0,$W165="",$X165&lt;=0),"",IF($W165&gt;TODAY(),"",IF(AND(INDEX(UCRETLER!$E$7:$E$606,$U165)&lt;&gt;"",$W165&gt;INDEX(UCRETLER!$E$7:$E$606,$U165)),"",$W165)))</f>
        <v/>
      </c>
      <c r="O165" s="1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 t="str">
        <f t="shared" ca="1" si="39"/>
        <v/>
      </c>
      <c r="Q165" s="1"/>
      <c r="R165" s="1">
        <f t="shared" ca="1" si="40"/>
        <v>0</v>
      </c>
      <c r="S165" s="1">
        <v>0</v>
      </c>
      <c r="T165" s="1">
        <f t="shared" ca="1" si="36"/>
        <v>10000000000</v>
      </c>
      <c r="U165" s="1">
        <f t="shared" si="41"/>
        <v>0</v>
      </c>
      <c r="V165" s="1">
        <v>73</v>
      </c>
      <c r="W165" s="1" t="str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>0</v>
      </c>
      <c r="Y165" s="1">
        <f t="shared" ca="1" si="37"/>
        <v>10000000000</v>
      </c>
      <c r="Z165" s="1">
        <f t="shared" ca="1" si="38"/>
        <v>1</v>
      </c>
      <c r="AA165" s="1"/>
      <c r="AB165" s="1"/>
      <c r="AC165" s="1"/>
      <c r="AD165" s="1"/>
    </row>
    <row r="166" spans="1:30" ht="19.5" customHeight="1" x14ac:dyDescent="0.3">
      <c r="A166" s="2"/>
      <c r="B166" s="79" t="str">
        <f t="shared" ca="1" si="29"/>
        <v/>
      </c>
      <c r="C166" s="80" t="str">
        <f t="shared" ca="1" si="30"/>
        <v/>
      </c>
      <c r="D166" s="81" t="str">
        <f t="shared" ca="1" si="31"/>
        <v/>
      </c>
      <c r="E166" s="79" t="str">
        <f t="shared" ca="1" si="32"/>
        <v/>
      </c>
      <c r="F166" s="82" t="str">
        <f t="shared" ca="1" si="33"/>
        <v/>
      </c>
      <c r="G166" s="82" t="str">
        <f t="shared" ca="1" si="34"/>
        <v/>
      </c>
      <c r="H166" s="82" t="str">
        <f t="shared" ca="1" si="35"/>
        <v/>
      </c>
      <c r="I166" s="2"/>
      <c r="J166" s="2"/>
      <c r="K166" s="1"/>
      <c r="L166" s="1"/>
      <c r="M166" s="1">
        <v>155</v>
      </c>
      <c r="N166" s="1" t="str">
        <f ca="1">IF(OR($U166=0,$W166="",$X166&lt;=0),"",IF($W166&gt;TODAY(),"",IF(AND(INDEX(UCRETLER!$E$7:$E$606,$U166)&lt;&gt;"",$W166&gt;INDEX(UCRETLER!$E$7:$E$606,$U166)),"",$W166)))</f>
        <v/>
      </c>
      <c r="O166" s="1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 t="str">
        <f t="shared" ca="1" si="39"/>
        <v/>
      </c>
      <c r="Q166" s="1"/>
      <c r="R166" s="1">
        <f t="shared" ca="1" si="40"/>
        <v>0</v>
      </c>
      <c r="S166" s="1">
        <v>0</v>
      </c>
      <c r="T166" s="1">
        <f t="shared" ca="1" si="36"/>
        <v>10000000000</v>
      </c>
      <c r="U166" s="1">
        <f t="shared" si="41"/>
        <v>0</v>
      </c>
      <c r="V166" s="1">
        <v>74</v>
      </c>
      <c r="W166" s="1" t="str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>0</v>
      </c>
      <c r="Y166" s="1">
        <f t="shared" ca="1" si="37"/>
        <v>10000000000</v>
      </c>
      <c r="Z166" s="1">
        <f t="shared" ca="1" si="38"/>
        <v>1</v>
      </c>
      <c r="AA166" s="1"/>
      <c r="AB166" s="1"/>
      <c r="AC166" s="1"/>
      <c r="AD166" s="1"/>
    </row>
    <row r="167" spans="1:30" ht="19.5" customHeight="1" x14ac:dyDescent="0.3">
      <c r="A167" s="2"/>
      <c r="B167" s="79" t="str">
        <f t="shared" ca="1" si="29"/>
        <v/>
      </c>
      <c r="C167" s="80" t="str">
        <f t="shared" ca="1" si="30"/>
        <v/>
      </c>
      <c r="D167" s="81" t="str">
        <f t="shared" ca="1" si="31"/>
        <v/>
      </c>
      <c r="E167" s="79" t="str">
        <f t="shared" ca="1" si="32"/>
        <v/>
      </c>
      <c r="F167" s="82" t="str">
        <f t="shared" ca="1" si="33"/>
        <v/>
      </c>
      <c r="G167" s="82" t="str">
        <f t="shared" ca="1" si="34"/>
        <v/>
      </c>
      <c r="H167" s="82" t="str">
        <f t="shared" ca="1" si="35"/>
        <v/>
      </c>
      <c r="I167" s="2"/>
      <c r="J167" s="2"/>
      <c r="K167" s="1"/>
      <c r="L167" s="1"/>
      <c r="M167" s="1">
        <v>156</v>
      </c>
      <c r="N167" s="1" t="str">
        <f ca="1">IF(OR($U167=0,$W167="",$X167&lt;=0),"",IF($W167&gt;TODAY(),"",IF(AND(INDEX(UCRETLER!$E$7:$E$606,$U167)&lt;&gt;"",$W167&gt;INDEX(UCRETLER!$E$7:$E$606,$U167)),"",$W167)))</f>
        <v/>
      </c>
      <c r="O167" s="1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 t="str">
        <f t="shared" ca="1" si="39"/>
        <v/>
      </c>
      <c r="Q167" s="1"/>
      <c r="R167" s="1">
        <f t="shared" ca="1" si="40"/>
        <v>0</v>
      </c>
      <c r="S167" s="1">
        <v>0</v>
      </c>
      <c r="T167" s="1">
        <f t="shared" ca="1" si="36"/>
        <v>10000000000</v>
      </c>
      <c r="U167" s="1">
        <f t="shared" si="41"/>
        <v>0</v>
      </c>
      <c r="V167" s="1">
        <v>75</v>
      </c>
      <c r="W167" s="1" t="str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>0</v>
      </c>
      <c r="Y167" s="1">
        <f t="shared" ca="1" si="37"/>
        <v>10000000000</v>
      </c>
      <c r="Z167" s="1">
        <f t="shared" ca="1" si="38"/>
        <v>1</v>
      </c>
      <c r="AA167" s="1"/>
      <c r="AB167" s="1"/>
      <c r="AC167" s="1"/>
      <c r="AD167" s="1"/>
    </row>
    <row r="168" spans="1:30" ht="19.5" customHeight="1" x14ac:dyDescent="0.3">
      <c r="A168" s="2"/>
      <c r="B168" s="79" t="str">
        <f t="shared" ca="1" si="29"/>
        <v/>
      </c>
      <c r="C168" s="80" t="str">
        <f t="shared" ca="1" si="30"/>
        <v/>
      </c>
      <c r="D168" s="81" t="str">
        <f t="shared" ca="1" si="31"/>
        <v/>
      </c>
      <c r="E168" s="79" t="str">
        <f t="shared" ca="1" si="32"/>
        <v/>
      </c>
      <c r="F168" s="82" t="str">
        <f t="shared" ca="1" si="33"/>
        <v/>
      </c>
      <c r="G168" s="82" t="str">
        <f t="shared" ca="1" si="34"/>
        <v/>
      </c>
      <c r="H168" s="82" t="str">
        <f t="shared" ca="1" si="35"/>
        <v/>
      </c>
      <c r="I168" s="2"/>
      <c r="J168" s="2"/>
      <c r="K168" s="1"/>
      <c r="L168" s="1"/>
      <c r="M168" s="1">
        <v>157</v>
      </c>
      <c r="N168" s="1" t="str">
        <f ca="1">IF(OR($U168=0,$W168="",$X168&lt;=0),"",IF($W168&gt;TODAY(),"",IF(AND(INDEX(UCRETLER!$E$7:$E$606,$U168)&lt;&gt;"",$W168&gt;INDEX(UCRETLER!$E$7:$E$606,$U168)),"",$W168)))</f>
        <v/>
      </c>
      <c r="O168" s="1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 t="str">
        <f t="shared" ca="1" si="39"/>
        <v/>
      </c>
      <c r="Q168" s="1"/>
      <c r="R168" s="1">
        <f t="shared" ca="1" si="40"/>
        <v>0</v>
      </c>
      <c r="S168" s="1">
        <v>0</v>
      </c>
      <c r="T168" s="1">
        <f t="shared" ca="1" si="36"/>
        <v>10000000000</v>
      </c>
      <c r="U168" s="1">
        <f t="shared" si="41"/>
        <v>0</v>
      </c>
      <c r="V168" s="1">
        <v>76</v>
      </c>
      <c r="W168" s="1" t="str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>0</v>
      </c>
      <c r="Y168" s="1">
        <f t="shared" ca="1" si="37"/>
        <v>10000000000</v>
      </c>
      <c r="Z168" s="1">
        <f t="shared" ca="1" si="38"/>
        <v>1</v>
      </c>
      <c r="AA168" s="1"/>
      <c r="AB168" s="1"/>
      <c r="AC168" s="1"/>
      <c r="AD168" s="1"/>
    </row>
    <row r="169" spans="1:30" ht="19.5" customHeight="1" x14ac:dyDescent="0.3">
      <c r="A169" s="2"/>
      <c r="B169" s="79" t="str">
        <f t="shared" ca="1" si="29"/>
        <v/>
      </c>
      <c r="C169" s="80" t="str">
        <f t="shared" ca="1" si="30"/>
        <v/>
      </c>
      <c r="D169" s="81" t="str">
        <f t="shared" ca="1" si="31"/>
        <v/>
      </c>
      <c r="E169" s="79" t="str">
        <f t="shared" ca="1" si="32"/>
        <v/>
      </c>
      <c r="F169" s="82" t="str">
        <f t="shared" ca="1" si="33"/>
        <v/>
      </c>
      <c r="G169" s="82" t="str">
        <f t="shared" ca="1" si="34"/>
        <v/>
      </c>
      <c r="H169" s="82" t="str">
        <f t="shared" ca="1" si="35"/>
        <v/>
      </c>
      <c r="I169" s="2"/>
      <c r="J169" s="2"/>
      <c r="K169" s="1"/>
      <c r="L169" s="1"/>
      <c r="M169" s="1">
        <v>158</v>
      </c>
      <c r="N169" s="1" t="str">
        <f ca="1">IF(OR($U169=0,$W169="",$X169&lt;=0),"",IF($W169&gt;TODAY(),"",IF(AND(INDEX(UCRETLER!$E$7:$E$606,$U169)&lt;&gt;"",$W169&gt;INDEX(UCRETLER!$E$7:$E$606,$U169)),"",$W169)))</f>
        <v/>
      </c>
      <c r="O169" s="1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 t="str">
        <f t="shared" ca="1" si="39"/>
        <v/>
      </c>
      <c r="Q169" s="1"/>
      <c r="R169" s="1">
        <f t="shared" ca="1" si="40"/>
        <v>0</v>
      </c>
      <c r="S169" s="1">
        <v>0</v>
      </c>
      <c r="T169" s="1">
        <f t="shared" ca="1" si="36"/>
        <v>10000000000</v>
      </c>
      <c r="U169" s="1">
        <f t="shared" si="41"/>
        <v>0</v>
      </c>
      <c r="V169" s="1">
        <v>77</v>
      </c>
      <c r="W169" s="1" t="str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>0</v>
      </c>
      <c r="Y169" s="1">
        <f t="shared" ca="1" si="37"/>
        <v>10000000000</v>
      </c>
      <c r="Z169" s="1">
        <f t="shared" ca="1" si="38"/>
        <v>1</v>
      </c>
      <c r="AA169" s="1"/>
      <c r="AB169" s="1"/>
      <c r="AC169" s="1"/>
      <c r="AD169" s="1"/>
    </row>
    <row r="170" spans="1:30" ht="19.5" customHeight="1" x14ac:dyDescent="0.3">
      <c r="A170" s="2"/>
      <c r="B170" s="79" t="str">
        <f t="shared" ca="1" si="29"/>
        <v/>
      </c>
      <c r="C170" s="80" t="str">
        <f t="shared" ca="1" si="30"/>
        <v/>
      </c>
      <c r="D170" s="81" t="str">
        <f t="shared" ca="1" si="31"/>
        <v/>
      </c>
      <c r="E170" s="79" t="str">
        <f t="shared" ca="1" si="32"/>
        <v/>
      </c>
      <c r="F170" s="82" t="str">
        <f t="shared" ca="1" si="33"/>
        <v/>
      </c>
      <c r="G170" s="82" t="str">
        <f t="shared" ca="1" si="34"/>
        <v/>
      </c>
      <c r="H170" s="82" t="str">
        <f t="shared" ca="1" si="35"/>
        <v/>
      </c>
      <c r="I170" s="2"/>
      <c r="J170" s="2"/>
      <c r="K170" s="1"/>
      <c r="L170" s="1"/>
      <c r="M170" s="1">
        <v>159</v>
      </c>
      <c r="N170" s="1" t="str">
        <f ca="1">IF(OR($U170=0,$W170="",$X170&lt;=0),"",IF($W170&gt;TODAY(),"",IF(AND(INDEX(UCRETLER!$E$7:$E$606,$U170)&lt;&gt;"",$W170&gt;INDEX(UCRETLER!$E$7:$E$606,$U170)),"",$W170)))</f>
        <v/>
      </c>
      <c r="O170" s="1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 t="str">
        <f t="shared" ca="1" si="39"/>
        <v/>
      </c>
      <c r="Q170" s="1"/>
      <c r="R170" s="1">
        <f t="shared" ca="1" si="40"/>
        <v>0</v>
      </c>
      <c r="S170" s="1">
        <v>0</v>
      </c>
      <c r="T170" s="1">
        <f t="shared" ca="1" si="36"/>
        <v>10000000000</v>
      </c>
      <c r="U170" s="1">
        <f t="shared" si="41"/>
        <v>0</v>
      </c>
      <c r="V170" s="1">
        <v>78</v>
      </c>
      <c r="W170" s="1" t="str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>0</v>
      </c>
      <c r="Y170" s="1">
        <f t="shared" ca="1" si="37"/>
        <v>10000000000</v>
      </c>
      <c r="Z170" s="1">
        <f t="shared" ca="1" si="38"/>
        <v>1</v>
      </c>
      <c r="AA170" s="1"/>
      <c r="AB170" s="1"/>
      <c r="AC170" s="1"/>
      <c r="AD170" s="1"/>
    </row>
    <row r="171" spans="1:30" ht="19.5" customHeight="1" x14ac:dyDescent="0.3">
      <c r="A171" s="2"/>
      <c r="B171" s="79" t="str">
        <f t="shared" ca="1" si="29"/>
        <v/>
      </c>
      <c r="C171" s="80" t="str">
        <f t="shared" ca="1" si="30"/>
        <v/>
      </c>
      <c r="D171" s="81" t="str">
        <f t="shared" ca="1" si="31"/>
        <v/>
      </c>
      <c r="E171" s="79" t="str">
        <f t="shared" ca="1" si="32"/>
        <v/>
      </c>
      <c r="F171" s="82" t="str">
        <f t="shared" ca="1" si="33"/>
        <v/>
      </c>
      <c r="G171" s="82" t="str">
        <f t="shared" ca="1" si="34"/>
        <v/>
      </c>
      <c r="H171" s="82" t="str">
        <f t="shared" ca="1" si="35"/>
        <v/>
      </c>
      <c r="I171" s="2"/>
      <c r="J171" s="2"/>
      <c r="K171" s="1"/>
      <c r="L171" s="1"/>
      <c r="M171" s="1">
        <v>160</v>
      </c>
      <c r="N171" s="1" t="str">
        <f ca="1">IF(OR($U171=0,$W171="",$X171&lt;=0),"",IF($W171&gt;TODAY(),"",IF(AND(INDEX(UCRETLER!$E$7:$E$606,$U171)&lt;&gt;"",$W171&gt;INDEX(UCRETLER!$E$7:$E$606,$U171)),"",$W171)))</f>
        <v/>
      </c>
      <c r="O171" s="1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 t="str">
        <f t="shared" ca="1" si="39"/>
        <v/>
      </c>
      <c r="Q171" s="1"/>
      <c r="R171" s="1">
        <f t="shared" ca="1" si="40"/>
        <v>0</v>
      </c>
      <c r="S171" s="1">
        <v>0</v>
      </c>
      <c r="T171" s="1">
        <f t="shared" ca="1" si="36"/>
        <v>10000000000</v>
      </c>
      <c r="U171" s="1">
        <f t="shared" si="41"/>
        <v>0</v>
      </c>
      <c r="V171" s="1">
        <v>79</v>
      </c>
      <c r="W171" s="1" t="str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>0</v>
      </c>
      <c r="Y171" s="1">
        <f t="shared" ca="1" si="37"/>
        <v>10000000000</v>
      </c>
      <c r="Z171" s="1">
        <f t="shared" ca="1" si="38"/>
        <v>1</v>
      </c>
      <c r="AA171" s="1"/>
      <c r="AB171" s="1"/>
      <c r="AC171" s="1"/>
      <c r="AD171" s="1"/>
    </row>
    <row r="172" spans="1:30" ht="19.5" customHeight="1" x14ac:dyDescent="0.3">
      <c r="A172" s="2"/>
      <c r="B172" s="79" t="str">
        <f t="shared" ca="1" si="29"/>
        <v/>
      </c>
      <c r="C172" s="80" t="str">
        <f t="shared" ca="1" si="30"/>
        <v/>
      </c>
      <c r="D172" s="81" t="str">
        <f t="shared" ca="1" si="31"/>
        <v/>
      </c>
      <c r="E172" s="79" t="str">
        <f t="shared" ca="1" si="32"/>
        <v/>
      </c>
      <c r="F172" s="82" t="str">
        <f t="shared" ca="1" si="33"/>
        <v/>
      </c>
      <c r="G172" s="82" t="str">
        <f t="shared" ca="1" si="34"/>
        <v/>
      </c>
      <c r="H172" s="82" t="str">
        <f t="shared" ca="1" si="35"/>
        <v/>
      </c>
      <c r="I172" s="2"/>
      <c r="J172" s="2"/>
      <c r="K172" s="1"/>
      <c r="L172" s="1"/>
      <c r="M172" s="1">
        <v>161</v>
      </c>
      <c r="N172" s="1" t="str">
        <f ca="1">IF(OR($U172=0,$W172="",$X172&lt;=0),"",IF($W172&gt;TODAY(),"",IF(AND(INDEX(UCRETLER!$E$7:$E$606,$U172)&lt;&gt;"",$W172&gt;INDEX(UCRETLER!$E$7:$E$606,$U172)),"",$W172)))</f>
        <v/>
      </c>
      <c r="O172" s="1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 t="str">
        <f t="shared" ca="1" si="39"/>
        <v/>
      </c>
      <c r="Q172" s="1"/>
      <c r="R172" s="1">
        <f t="shared" ca="1" si="40"/>
        <v>0</v>
      </c>
      <c r="S172" s="1">
        <v>0</v>
      </c>
      <c r="T172" s="1">
        <f t="shared" ca="1" si="36"/>
        <v>10000000000</v>
      </c>
      <c r="U172" s="1">
        <f t="shared" si="41"/>
        <v>0</v>
      </c>
      <c r="V172" s="1">
        <v>80</v>
      </c>
      <c r="W172" s="1" t="str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>0</v>
      </c>
      <c r="Y172" s="1">
        <f t="shared" ca="1" si="37"/>
        <v>10000000000</v>
      </c>
      <c r="Z172" s="1">
        <f t="shared" ca="1" si="38"/>
        <v>1</v>
      </c>
      <c r="AA172" s="1"/>
      <c r="AB172" s="1"/>
      <c r="AC172" s="1"/>
      <c r="AD172" s="1"/>
    </row>
    <row r="173" spans="1:30" ht="19.5" customHeight="1" x14ac:dyDescent="0.3">
      <c r="A173" s="2"/>
      <c r="B173" s="79" t="str">
        <f t="shared" ca="1" si="29"/>
        <v/>
      </c>
      <c r="C173" s="80" t="str">
        <f t="shared" ca="1" si="30"/>
        <v/>
      </c>
      <c r="D173" s="81" t="str">
        <f t="shared" ca="1" si="31"/>
        <v/>
      </c>
      <c r="E173" s="79" t="str">
        <f t="shared" ca="1" si="32"/>
        <v/>
      </c>
      <c r="F173" s="82" t="str">
        <f t="shared" ca="1" si="33"/>
        <v/>
      </c>
      <c r="G173" s="82" t="str">
        <f t="shared" ca="1" si="34"/>
        <v/>
      </c>
      <c r="H173" s="82" t="str">
        <f t="shared" ca="1" si="35"/>
        <v/>
      </c>
      <c r="I173" s="2"/>
      <c r="J173" s="2"/>
      <c r="K173" s="1"/>
      <c r="L173" s="1"/>
      <c r="M173" s="1">
        <v>162</v>
      </c>
      <c r="N173" s="1" t="str">
        <f ca="1">IF(OR($U173=0,$W173="",$X173&lt;=0),"",IF($W173&gt;TODAY(),"",IF(AND(INDEX(UCRETLER!$E$7:$E$606,$U173)&lt;&gt;"",$W173&gt;INDEX(UCRETLER!$E$7:$E$606,$U173)),"",$W173)))</f>
        <v/>
      </c>
      <c r="O173" s="1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 t="str">
        <f t="shared" ca="1" si="39"/>
        <v/>
      </c>
      <c r="Q173" s="1"/>
      <c r="R173" s="1">
        <f t="shared" ca="1" si="40"/>
        <v>0</v>
      </c>
      <c r="S173" s="1">
        <v>0</v>
      </c>
      <c r="T173" s="1">
        <f t="shared" ca="1" si="36"/>
        <v>10000000000</v>
      </c>
      <c r="U173" s="1">
        <f t="shared" ref="U173:U204" si="42">$AB$6</f>
        <v>0</v>
      </c>
      <c r="V173" s="1">
        <v>1</v>
      </c>
      <c r="W173" s="1" t="str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>0</v>
      </c>
      <c r="Y173" s="1">
        <f t="shared" ca="1" si="37"/>
        <v>10000000000</v>
      </c>
      <c r="Z173" s="1">
        <f t="shared" ca="1" si="38"/>
        <v>1</v>
      </c>
      <c r="AA173" s="1"/>
      <c r="AB173" s="1"/>
      <c r="AC173" s="1"/>
      <c r="AD173" s="1"/>
    </row>
    <row r="174" spans="1:30" ht="19.5" customHeight="1" x14ac:dyDescent="0.3">
      <c r="A174" s="2"/>
      <c r="B174" s="79" t="str">
        <f t="shared" ca="1" si="29"/>
        <v/>
      </c>
      <c r="C174" s="80" t="str">
        <f t="shared" ca="1" si="30"/>
        <v/>
      </c>
      <c r="D174" s="81" t="str">
        <f t="shared" ca="1" si="31"/>
        <v/>
      </c>
      <c r="E174" s="79" t="str">
        <f t="shared" ca="1" si="32"/>
        <v/>
      </c>
      <c r="F174" s="82" t="str">
        <f t="shared" ca="1" si="33"/>
        <v/>
      </c>
      <c r="G174" s="82" t="str">
        <f t="shared" ca="1" si="34"/>
        <v/>
      </c>
      <c r="H174" s="82" t="str">
        <f t="shared" ca="1" si="35"/>
        <v/>
      </c>
      <c r="I174" s="2"/>
      <c r="J174" s="2"/>
      <c r="K174" s="1"/>
      <c r="L174" s="1"/>
      <c r="M174" s="1">
        <v>163</v>
      </c>
      <c r="N174" s="1" t="str">
        <f ca="1">IF(OR($U174=0,$W174="",$X174&lt;=0),"",IF($W174&gt;TODAY(),"",IF(AND(INDEX(UCRETLER!$E$7:$E$606,$U174)&lt;&gt;"",$W174&gt;INDEX(UCRETLER!$E$7:$E$606,$U174)),"",$W174)))</f>
        <v/>
      </c>
      <c r="O174" s="1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 t="str">
        <f t="shared" ca="1" si="39"/>
        <v/>
      </c>
      <c r="Q174" s="1"/>
      <c r="R174" s="1">
        <f t="shared" ca="1" si="40"/>
        <v>0</v>
      </c>
      <c r="S174" s="1">
        <v>0</v>
      </c>
      <c r="T174" s="1">
        <f t="shared" ca="1" si="36"/>
        <v>10000000000</v>
      </c>
      <c r="U174" s="1">
        <f t="shared" si="42"/>
        <v>0</v>
      </c>
      <c r="V174" s="1">
        <v>2</v>
      </c>
      <c r="W174" s="1" t="str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>0</v>
      </c>
      <c r="Y174" s="1">
        <f t="shared" ca="1" si="37"/>
        <v>10000000000</v>
      </c>
      <c r="Z174" s="1">
        <f t="shared" ca="1" si="38"/>
        <v>1</v>
      </c>
      <c r="AA174" s="1"/>
      <c r="AB174" s="1"/>
      <c r="AC174" s="1"/>
      <c r="AD174" s="1"/>
    </row>
    <row r="175" spans="1:30" ht="19.5" customHeight="1" x14ac:dyDescent="0.3">
      <c r="A175" s="2"/>
      <c r="B175" s="79" t="str">
        <f t="shared" ca="1" si="29"/>
        <v/>
      </c>
      <c r="C175" s="80" t="str">
        <f t="shared" ca="1" si="30"/>
        <v/>
      </c>
      <c r="D175" s="81" t="str">
        <f t="shared" ca="1" si="31"/>
        <v/>
      </c>
      <c r="E175" s="79" t="str">
        <f t="shared" ca="1" si="32"/>
        <v/>
      </c>
      <c r="F175" s="82" t="str">
        <f t="shared" ca="1" si="33"/>
        <v/>
      </c>
      <c r="G175" s="82" t="str">
        <f t="shared" ca="1" si="34"/>
        <v/>
      </c>
      <c r="H175" s="82" t="str">
        <f t="shared" ca="1" si="35"/>
        <v/>
      </c>
      <c r="I175" s="2"/>
      <c r="J175" s="2"/>
      <c r="K175" s="1"/>
      <c r="L175" s="1"/>
      <c r="M175" s="1">
        <v>164</v>
      </c>
      <c r="N175" s="1" t="str">
        <f ca="1">IF(OR($U175=0,$W175="",$X175&lt;=0),"",IF($W175&gt;TODAY(),"",IF(AND(INDEX(UCRETLER!$E$7:$E$606,$U175)&lt;&gt;"",$W175&gt;INDEX(UCRETLER!$E$7:$E$606,$U175)),"",$W175)))</f>
        <v/>
      </c>
      <c r="O175" s="1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 t="str">
        <f t="shared" ca="1" si="39"/>
        <v/>
      </c>
      <c r="Q175" s="1"/>
      <c r="R175" s="1">
        <f t="shared" ca="1" si="40"/>
        <v>0</v>
      </c>
      <c r="S175" s="1">
        <v>0</v>
      </c>
      <c r="T175" s="1">
        <f t="shared" ca="1" si="36"/>
        <v>10000000000</v>
      </c>
      <c r="U175" s="1">
        <f t="shared" si="42"/>
        <v>0</v>
      </c>
      <c r="V175" s="1">
        <v>3</v>
      </c>
      <c r="W175" s="1" t="str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>0</v>
      </c>
      <c r="Y175" s="1">
        <f t="shared" ca="1" si="37"/>
        <v>10000000000</v>
      </c>
      <c r="Z175" s="1">
        <f t="shared" ca="1" si="38"/>
        <v>1</v>
      </c>
      <c r="AA175" s="1"/>
      <c r="AB175" s="1"/>
      <c r="AC175" s="1"/>
      <c r="AD175" s="1"/>
    </row>
    <row r="176" spans="1:30" ht="19.5" customHeight="1" x14ac:dyDescent="0.3">
      <c r="A176" s="2"/>
      <c r="B176" s="79" t="str">
        <f t="shared" ca="1" si="29"/>
        <v/>
      </c>
      <c r="C176" s="80" t="str">
        <f t="shared" ca="1" si="30"/>
        <v/>
      </c>
      <c r="D176" s="81" t="str">
        <f t="shared" ca="1" si="31"/>
        <v/>
      </c>
      <c r="E176" s="79" t="str">
        <f t="shared" ca="1" si="32"/>
        <v/>
      </c>
      <c r="F176" s="82" t="str">
        <f t="shared" ca="1" si="33"/>
        <v/>
      </c>
      <c r="G176" s="82" t="str">
        <f t="shared" ca="1" si="34"/>
        <v/>
      </c>
      <c r="H176" s="82" t="str">
        <f t="shared" ca="1" si="35"/>
        <v/>
      </c>
      <c r="I176" s="2"/>
      <c r="J176" s="2"/>
      <c r="K176" s="1"/>
      <c r="L176" s="1"/>
      <c r="M176" s="1">
        <v>165</v>
      </c>
      <c r="N176" s="1" t="str">
        <f ca="1">IF(OR($U176=0,$W176="",$X176&lt;=0),"",IF($W176&gt;TODAY(),"",IF(AND(INDEX(UCRETLER!$E$7:$E$606,$U176)&lt;&gt;"",$W176&gt;INDEX(UCRETLER!$E$7:$E$606,$U176)),"",$W176)))</f>
        <v/>
      </c>
      <c r="O176" s="1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 t="str">
        <f t="shared" ca="1" si="39"/>
        <v/>
      </c>
      <c r="Q176" s="1"/>
      <c r="R176" s="1">
        <f t="shared" ca="1" si="40"/>
        <v>0</v>
      </c>
      <c r="S176" s="1">
        <v>0</v>
      </c>
      <c r="T176" s="1">
        <f t="shared" ca="1" si="36"/>
        <v>10000000000</v>
      </c>
      <c r="U176" s="1">
        <f t="shared" si="42"/>
        <v>0</v>
      </c>
      <c r="V176" s="1">
        <v>4</v>
      </c>
      <c r="W176" s="1" t="str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>0</v>
      </c>
      <c r="Y176" s="1">
        <f t="shared" ca="1" si="37"/>
        <v>10000000000</v>
      </c>
      <c r="Z176" s="1">
        <f t="shared" ca="1" si="38"/>
        <v>1</v>
      </c>
      <c r="AA176" s="1"/>
      <c r="AB176" s="1"/>
      <c r="AC176" s="1"/>
      <c r="AD176" s="1"/>
    </row>
    <row r="177" spans="1:30" ht="19.5" customHeight="1" x14ac:dyDescent="0.3">
      <c r="A177" s="2"/>
      <c r="B177" s="79" t="str">
        <f t="shared" ca="1" si="29"/>
        <v/>
      </c>
      <c r="C177" s="80" t="str">
        <f t="shared" ca="1" si="30"/>
        <v/>
      </c>
      <c r="D177" s="81" t="str">
        <f t="shared" ca="1" si="31"/>
        <v/>
      </c>
      <c r="E177" s="79" t="str">
        <f t="shared" ca="1" si="32"/>
        <v/>
      </c>
      <c r="F177" s="82" t="str">
        <f t="shared" ca="1" si="33"/>
        <v/>
      </c>
      <c r="G177" s="82" t="str">
        <f t="shared" ca="1" si="34"/>
        <v/>
      </c>
      <c r="H177" s="82" t="str">
        <f t="shared" ca="1" si="35"/>
        <v/>
      </c>
      <c r="I177" s="2"/>
      <c r="J177" s="2"/>
      <c r="K177" s="1"/>
      <c r="L177" s="1"/>
      <c r="M177" s="1">
        <v>166</v>
      </c>
      <c r="N177" s="1" t="str">
        <f ca="1">IF(OR($U177=0,$W177="",$X177&lt;=0),"",IF($W177&gt;TODAY(),"",IF(AND(INDEX(UCRETLER!$E$7:$E$606,$U177)&lt;&gt;"",$W177&gt;INDEX(UCRETLER!$E$7:$E$606,$U177)),"",$W177)))</f>
        <v/>
      </c>
      <c r="O177" s="1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 t="str">
        <f t="shared" ca="1" si="39"/>
        <v/>
      </c>
      <c r="Q177" s="1"/>
      <c r="R177" s="1">
        <f t="shared" ca="1" si="40"/>
        <v>0</v>
      </c>
      <c r="S177" s="1">
        <v>0</v>
      </c>
      <c r="T177" s="1">
        <f t="shared" ca="1" si="36"/>
        <v>10000000000</v>
      </c>
      <c r="U177" s="1">
        <f t="shared" si="42"/>
        <v>0</v>
      </c>
      <c r="V177" s="1">
        <v>5</v>
      </c>
      <c r="W177" s="1" t="str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>0</v>
      </c>
      <c r="Y177" s="1">
        <f t="shared" ca="1" si="37"/>
        <v>10000000000</v>
      </c>
      <c r="Z177" s="1">
        <f t="shared" ca="1" si="38"/>
        <v>1</v>
      </c>
      <c r="AA177" s="1"/>
      <c r="AB177" s="1"/>
      <c r="AC177" s="1"/>
      <c r="AD177" s="1"/>
    </row>
    <row r="178" spans="1:30" ht="19.5" customHeight="1" x14ac:dyDescent="0.3">
      <c r="A178" s="2"/>
      <c r="B178" s="79" t="str">
        <f t="shared" ca="1" si="29"/>
        <v/>
      </c>
      <c r="C178" s="80" t="str">
        <f t="shared" ca="1" si="30"/>
        <v/>
      </c>
      <c r="D178" s="81" t="str">
        <f t="shared" ca="1" si="31"/>
        <v/>
      </c>
      <c r="E178" s="79" t="str">
        <f t="shared" ca="1" si="32"/>
        <v/>
      </c>
      <c r="F178" s="82" t="str">
        <f t="shared" ca="1" si="33"/>
        <v/>
      </c>
      <c r="G178" s="82" t="str">
        <f t="shared" ca="1" si="34"/>
        <v/>
      </c>
      <c r="H178" s="82" t="str">
        <f t="shared" ca="1" si="35"/>
        <v/>
      </c>
      <c r="I178" s="2"/>
      <c r="J178" s="2"/>
      <c r="K178" s="1"/>
      <c r="L178" s="1"/>
      <c r="M178" s="1">
        <v>167</v>
      </c>
      <c r="N178" s="1" t="str">
        <f ca="1">IF(OR($U178=0,$W178="",$X178&lt;=0),"",IF($W178&gt;TODAY(),"",IF(AND(INDEX(UCRETLER!$E$7:$E$606,$U178)&lt;&gt;"",$W178&gt;INDEX(UCRETLER!$E$7:$E$606,$U178)),"",$W178)))</f>
        <v/>
      </c>
      <c r="O178" s="1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 t="str">
        <f t="shared" ca="1" si="39"/>
        <v/>
      </c>
      <c r="Q178" s="1"/>
      <c r="R178" s="1">
        <f t="shared" ca="1" si="40"/>
        <v>0</v>
      </c>
      <c r="S178" s="1">
        <v>0</v>
      </c>
      <c r="T178" s="1">
        <f t="shared" ca="1" si="36"/>
        <v>10000000000</v>
      </c>
      <c r="U178" s="1">
        <f t="shared" si="42"/>
        <v>0</v>
      </c>
      <c r="V178" s="1">
        <v>6</v>
      </c>
      <c r="W178" s="1" t="str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>0</v>
      </c>
      <c r="Y178" s="1">
        <f t="shared" ca="1" si="37"/>
        <v>10000000000</v>
      </c>
      <c r="Z178" s="1">
        <f t="shared" ca="1" si="38"/>
        <v>1</v>
      </c>
      <c r="AA178" s="1"/>
      <c r="AB178" s="1"/>
      <c r="AC178" s="1"/>
      <c r="AD178" s="1"/>
    </row>
    <row r="179" spans="1:30" ht="19.5" customHeight="1" x14ac:dyDescent="0.3">
      <c r="A179" s="2"/>
      <c r="B179" s="79" t="str">
        <f t="shared" ca="1" si="29"/>
        <v/>
      </c>
      <c r="C179" s="80" t="str">
        <f t="shared" ca="1" si="30"/>
        <v/>
      </c>
      <c r="D179" s="81" t="str">
        <f t="shared" ca="1" si="31"/>
        <v/>
      </c>
      <c r="E179" s="79" t="str">
        <f t="shared" ca="1" si="32"/>
        <v/>
      </c>
      <c r="F179" s="82" t="str">
        <f t="shared" ca="1" si="33"/>
        <v/>
      </c>
      <c r="G179" s="82" t="str">
        <f t="shared" ca="1" si="34"/>
        <v/>
      </c>
      <c r="H179" s="82" t="str">
        <f t="shared" ca="1" si="35"/>
        <v/>
      </c>
      <c r="I179" s="2"/>
      <c r="J179" s="2"/>
      <c r="K179" s="1"/>
      <c r="L179" s="1"/>
      <c r="M179" s="1">
        <v>168</v>
      </c>
      <c r="N179" s="1" t="str">
        <f ca="1">IF(OR($U179=0,$W179="",$X179&lt;=0),"",IF($W179&gt;TODAY(),"",IF(AND(INDEX(UCRETLER!$E$7:$E$606,$U179)&lt;&gt;"",$W179&gt;INDEX(UCRETLER!$E$7:$E$606,$U179)),"",$W179)))</f>
        <v/>
      </c>
      <c r="O179" s="1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 t="str">
        <f t="shared" ca="1" si="39"/>
        <v/>
      </c>
      <c r="Q179" s="1"/>
      <c r="R179" s="1">
        <f t="shared" ca="1" si="40"/>
        <v>0</v>
      </c>
      <c r="S179" s="1">
        <v>0</v>
      </c>
      <c r="T179" s="1">
        <f t="shared" ca="1" si="36"/>
        <v>10000000000</v>
      </c>
      <c r="U179" s="1">
        <f t="shared" si="42"/>
        <v>0</v>
      </c>
      <c r="V179" s="1">
        <v>7</v>
      </c>
      <c r="W179" s="1" t="str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>0</v>
      </c>
      <c r="Y179" s="1">
        <f t="shared" ca="1" si="37"/>
        <v>10000000000</v>
      </c>
      <c r="Z179" s="1">
        <f t="shared" ca="1" si="38"/>
        <v>1</v>
      </c>
      <c r="AA179" s="1"/>
      <c r="AB179" s="1"/>
      <c r="AC179" s="1"/>
      <c r="AD179" s="1"/>
    </row>
    <row r="180" spans="1:30" ht="19.5" customHeight="1" x14ac:dyDescent="0.3">
      <c r="A180" s="2"/>
      <c r="B180" s="79" t="str">
        <f t="shared" ca="1" si="29"/>
        <v/>
      </c>
      <c r="C180" s="80" t="str">
        <f t="shared" ca="1" si="30"/>
        <v/>
      </c>
      <c r="D180" s="81" t="str">
        <f t="shared" ca="1" si="31"/>
        <v/>
      </c>
      <c r="E180" s="79" t="str">
        <f t="shared" ca="1" si="32"/>
        <v/>
      </c>
      <c r="F180" s="82" t="str">
        <f t="shared" ca="1" si="33"/>
        <v/>
      </c>
      <c r="G180" s="82" t="str">
        <f t="shared" ca="1" si="34"/>
        <v/>
      </c>
      <c r="H180" s="82" t="str">
        <f t="shared" ca="1" si="35"/>
        <v/>
      </c>
      <c r="I180" s="2"/>
      <c r="J180" s="2"/>
      <c r="K180" s="1"/>
      <c r="L180" s="1"/>
      <c r="M180" s="1">
        <v>169</v>
      </c>
      <c r="N180" s="1" t="str">
        <f ca="1">IF(OR($U180=0,$W180="",$X180&lt;=0),"",IF($W180&gt;TODAY(),"",IF(AND(INDEX(UCRETLER!$E$7:$E$606,$U180)&lt;&gt;"",$W180&gt;INDEX(UCRETLER!$E$7:$E$606,$U180)),"",$W180)))</f>
        <v/>
      </c>
      <c r="O180" s="1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 t="str">
        <f t="shared" ca="1" si="39"/>
        <v/>
      </c>
      <c r="Q180" s="1"/>
      <c r="R180" s="1">
        <f t="shared" ca="1" si="40"/>
        <v>0</v>
      </c>
      <c r="S180" s="1">
        <v>0</v>
      </c>
      <c r="T180" s="1">
        <f t="shared" ca="1" si="36"/>
        <v>10000000000</v>
      </c>
      <c r="U180" s="1">
        <f t="shared" si="42"/>
        <v>0</v>
      </c>
      <c r="V180" s="1">
        <v>8</v>
      </c>
      <c r="W180" s="1" t="str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>0</v>
      </c>
      <c r="Y180" s="1">
        <f t="shared" ca="1" si="37"/>
        <v>10000000000</v>
      </c>
      <c r="Z180" s="1">
        <f t="shared" ca="1" si="38"/>
        <v>1</v>
      </c>
      <c r="AA180" s="1"/>
      <c r="AB180" s="1"/>
      <c r="AC180" s="1"/>
      <c r="AD180" s="1"/>
    </row>
    <row r="181" spans="1:30" ht="19.5" customHeight="1" x14ac:dyDescent="0.3">
      <c r="A181" s="2"/>
      <c r="B181" s="79" t="str">
        <f t="shared" ca="1" si="29"/>
        <v/>
      </c>
      <c r="C181" s="80" t="str">
        <f t="shared" ca="1" si="30"/>
        <v/>
      </c>
      <c r="D181" s="81" t="str">
        <f t="shared" ca="1" si="31"/>
        <v/>
      </c>
      <c r="E181" s="79" t="str">
        <f t="shared" ca="1" si="32"/>
        <v/>
      </c>
      <c r="F181" s="82" t="str">
        <f t="shared" ca="1" si="33"/>
        <v/>
      </c>
      <c r="G181" s="82" t="str">
        <f t="shared" ca="1" si="34"/>
        <v/>
      </c>
      <c r="H181" s="82" t="str">
        <f t="shared" ca="1" si="35"/>
        <v/>
      </c>
      <c r="I181" s="2"/>
      <c r="J181" s="2"/>
      <c r="K181" s="1"/>
      <c r="L181" s="1"/>
      <c r="M181" s="1">
        <v>170</v>
      </c>
      <c r="N181" s="1" t="str">
        <f ca="1">IF(OR($U181=0,$W181="",$X181&lt;=0),"",IF($W181&gt;TODAY(),"",IF(AND(INDEX(UCRETLER!$E$7:$E$606,$U181)&lt;&gt;"",$W181&gt;INDEX(UCRETLER!$E$7:$E$606,$U181)),"",$W181)))</f>
        <v/>
      </c>
      <c r="O181" s="1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 t="str">
        <f t="shared" ca="1" si="39"/>
        <v/>
      </c>
      <c r="Q181" s="1"/>
      <c r="R181" s="1">
        <f t="shared" ca="1" si="40"/>
        <v>0</v>
      </c>
      <c r="S181" s="1">
        <v>0</v>
      </c>
      <c r="T181" s="1">
        <f t="shared" ca="1" si="36"/>
        <v>10000000000</v>
      </c>
      <c r="U181" s="1">
        <f t="shared" si="42"/>
        <v>0</v>
      </c>
      <c r="V181" s="1">
        <v>9</v>
      </c>
      <c r="W181" s="1" t="str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>0</v>
      </c>
      <c r="Y181" s="1">
        <f t="shared" ca="1" si="37"/>
        <v>10000000000</v>
      </c>
      <c r="Z181" s="1">
        <f t="shared" ca="1" si="38"/>
        <v>1</v>
      </c>
      <c r="AA181" s="1"/>
      <c r="AB181" s="1"/>
      <c r="AC181" s="1"/>
      <c r="AD181" s="1"/>
    </row>
    <row r="182" spans="1:30" ht="19.5" customHeight="1" x14ac:dyDescent="0.3">
      <c r="A182" s="2"/>
      <c r="B182" s="79" t="str">
        <f t="shared" ca="1" si="29"/>
        <v/>
      </c>
      <c r="C182" s="80" t="str">
        <f t="shared" ca="1" si="30"/>
        <v/>
      </c>
      <c r="D182" s="81" t="str">
        <f t="shared" ca="1" si="31"/>
        <v/>
      </c>
      <c r="E182" s="79" t="str">
        <f t="shared" ca="1" si="32"/>
        <v/>
      </c>
      <c r="F182" s="82" t="str">
        <f t="shared" ca="1" si="33"/>
        <v/>
      </c>
      <c r="G182" s="82" t="str">
        <f t="shared" ca="1" si="34"/>
        <v/>
      </c>
      <c r="H182" s="82" t="str">
        <f t="shared" ca="1" si="35"/>
        <v/>
      </c>
      <c r="I182" s="2"/>
      <c r="J182" s="2"/>
      <c r="K182" s="1"/>
      <c r="L182" s="1"/>
      <c r="M182" s="1">
        <v>171</v>
      </c>
      <c r="N182" s="1" t="str">
        <f ca="1">IF(OR($U182=0,$W182="",$X182&lt;=0),"",IF($W182&gt;TODAY(),"",IF(AND(INDEX(UCRETLER!$E$7:$E$606,$U182)&lt;&gt;"",$W182&gt;INDEX(UCRETLER!$E$7:$E$606,$U182)),"",$W182)))</f>
        <v/>
      </c>
      <c r="O182" s="1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 t="str">
        <f t="shared" ca="1" si="39"/>
        <v/>
      </c>
      <c r="Q182" s="1"/>
      <c r="R182" s="1">
        <f t="shared" ca="1" si="40"/>
        <v>0</v>
      </c>
      <c r="S182" s="1">
        <v>0</v>
      </c>
      <c r="T182" s="1">
        <f t="shared" ca="1" si="36"/>
        <v>10000000000</v>
      </c>
      <c r="U182" s="1">
        <f t="shared" si="42"/>
        <v>0</v>
      </c>
      <c r="V182" s="1">
        <v>10</v>
      </c>
      <c r="W182" s="1" t="str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>0</v>
      </c>
      <c r="Y182" s="1">
        <f t="shared" ca="1" si="37"/>
        <v>10000000000</v>
      </c>
      <c r="Z182" s="1">
        <f t="shared" ca="1" si="38"/>
        <v>1</v>
      </c>
      <c r="AA182" s="1"/>
      <c r="AB182" s="1"/>
      <c r="AC182" s="1"/>
      <c r="AD182" s="1"/>
    </row>
    <row r="183" spans="1:30" ht="19.5" customHeight="1" x14ac:dyDescent="0.3">
      <c r="A183" s="2"/>
      <c r="B183" s="79" t="str">
        <f t="shared" ca="1" si="29"/>
        <v/>
      </c>
      <c r="C183" s="80" t="str">
        <f t="shared" ca="1" si="30"/>
        <v/>
      </c>
      <c r="D183" s="81" t="str">
        <f t="shared" ca="1" si="31"/>
        <v/>
      </c>
      <c r="E183" s="79" t="str">
        <f t="shared" ca="1" si="32"/>
        <v/>
      </c>
      <c r="F183" s="82" t="str">
        <f t="shared" ca="1" si="33"/>
        <v/>
      </c>
      <c r="G183" s="82" t="str">
        <f t="shared" ca="1" si="34"/>
        <v/>
      </c>
      <c r="H183" s="82" t="str">
        <f t="shared" ca="1" si="35"/>
        <v/>
      </c>
      <c r="I183" s="2"/>
      <c r="J183" s="2"/>
      <c r="K183" s="1"/>
      <c r="L183" s="1"/>
      <c r="M183" s="1">
        <v>172</v>
      </c>
      <c r="N183" s="1" t="str">
        <f ca="1">IF(OR($U183=0,$W183="",$X183&lt;=0),"",IF($W183&gt;TODAY(),"",IF(AND(INDEX(UCRETLER!$E$7:$E$606,$U183)&lt;&gt;"",$W183&gt;INDEX(UCRETLER!$E$7:$E$606,$U183)),"",$W183)))</f>
        <v/>
      </c>
      <c r="O183" s="1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 t="str">
        <f t="shared" ca="1" si="39"/>
        <v/>
      </c>
      <c r="Q183" s="1"/>
      <c r="R183" s="1">
        <f t="shared" ca="1" si="40"/>
        <v>0</v>
      </c>
      <c r="S183" s="1">
        <v>0</v>
      </c>
      <c r="T183" s="1">
        <f t="shared" ca="1" si="36"/>
        <v>10000000000</v>
      </c>
      <c r="U183" s="1">
        <f t="shared" si="42"/>
        <v>0</v>
      </c>
      <c r="V183" s="1">
        <v>11</v>
      </c>
      <c r="W183" s="1" t="str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>0</v>
      </c>
      <c r="Y183" s="1">
        <f t="shared" ca="1" si="37"/>
        <v>10000000000</v>
      </c>
      <c r="Z183" s="1">
        <f t="shared" ca="1" si="38"/>
        <v>1</v>
      </c>
      <c r="AA183" s="1"/>
      <c r="AB183" s="1"/>
      <c r="AC183" s="1"/>
      <c r="AD183" s="1"/>
    </row>
    <row r="184" spans="1:30" ht="19.5" customHeight="1" x14ac:dyDescent="0.3">
      <c r="A184" s="2"/>
      <c r="B184" s="79" t="str">
        <f t="shared" ca="1" si="29"/>
        <v/>
      </c>
      <c r="C184" s="80" t="str">
        <f t="shared" ca="1" si="30"/>
        <v/>
      </c>
      <c r="D184" s="81" t="str">
        <f t="shared" ca="1" si="31"/>
        <v/>
      </c>
      <c r="E184" s="79" t="str">
        <f t="shared" ca="1" si="32"/>
        <v/>
      </c>
      <c r="F184" s="82" t="str">
        <f t="shared" ca="1" si="33"/>
        <v/>
      </c>
      <c r="G184" s="82" t="str">
        <f t="shared" ca="1" si="34"/>
        <v/>
      </c>
      <c r="H184" s="82" t="str">
        <f t="shared" ca="1" si="35"/>
        <v/>
      </c>
      <c r="I184" s="2"/>
      <c r="J184" s="2"/>
      <c r="K184" s="1"/>
      <c r="L184" s="1"/>
      <c r="M184" s="1">
        <v>173</v>
      </c>
      <c r="N184" s="1" t="str">
        <f ca="1">IF(OR($U184=0,$W184="",$X184&lt;=0),"",IF($W184&gt;TODAY(),"",IF(AND(INDEX(UCRETLER!$E$7:$E$606,$U184)&lt;&gt;"",$W184&gt;INDEX(UCRETLER!$E$7:$E$606,$U184)),"",$W184)))</f>
        <v/>
      </c>
      <c r="O184" s="1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 t="str">
        <f t="shared" ca="1" si="39"/>
        <v/>
      </c>
      <c r="Q184" s="1"/>
      <c r="R184" s="1">
        <f t="shared" ca="1" si="40"/>
        <v>0</v>
      </c>
      <c r="S184" s="1">
        <v>0</v>
      </c>
      <c r="T184" s="1">
        <f t="shared" ca="1" si="36"/>
        <v>10000000000</v>
      </c>
      <c r="U184" s="1">
        <f t="shared" si="42"/>
        <v>0</v>
      </c>
      <c r="V184" s="1">
        <v>12</v>
      </c>
      <c r="W184" s="1" t="str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>0</v>
      </c>
      <c r="Y184" s="1">
        <f t="shared" ca="1" si="37"/>
        <v>10000000000</v>
      </c>
      <c r="Z184" s="1">
        <f t="shared" ca="1" si="38"/>
        <v>1</v>
      </c>
      <c r="AA184" s="1"/>
      <c r="AB184" s="1"/>
      <c r="AC184" s="1"/>
      <c r="AD184" s="1"/>
    </row>
    <row r="185" spans="1:30" ht="19.5" customHeight="1" x14ac:dyDescent="0.3">
      <c r="A185" s="2"/>
      <c r="B185" s="79" t="str">
        <f t="shared" ca="1" si="29"/>
        <v/>
      </c>
      <c r="C185" s="80" t="str">
        <f t="shared" ca="1" si="30"/>
        <v/>
      </c>
      <c r="D185" s="81" t="str">
        <f t="shared" ca="1" si="31"/>
        <v/>
      </c>
      <c r="E185" s="79" t="str">
        <f t="shared" ca="1" si="32"/>
        <v/>
      </c>
      <c r="F185" s="82" t="str">
        <f t="shared" ca="1" si="33"/>
        <v/>
      </c>
      <c r="G185" s="82" t="str">
        <f t="shared" ca="1" si="34"/>
        <v/>
      </c>
      <c r="H185" s="82" t="str">
        <f t="shared" ca="1" si="35"/>
        <v/>
      </c>
      <c r="I185" s="2"/>
      <c r="J185" s="2"/>
      <c r="K185" s="1"/>
      <c r="L185" s="1"/>
      <c r="M185" s="1">
        <v>174</v>
      </c>
      <c r="N185" s="1" t="str">
        <f ca="1">IF(OR($U185=0,$W185="",$X185&lt;=0),"",IF($W185&gt;TODAY(),"",IF(AND(INDEX(UCRETLER!$E$7:$E$606,$U185)&lt;&gt;"",$W185&gt;INDEX(UCRETLER!$E$7:$E$606,$U185)),"",$W185)))</f>
        <v/>
      </c>
      <c r="O185" s="1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 t="str">
        <f t="shared" ca="1" si="39"/>
        <v/>
      </c>
      <c r="Q185" s="1"/>
      <c r="R185" s="1">
        <f t="shared" ca="1" si="40"/>
        <v>0</v>
      </c>
      <c r="S185" s="1">
        <v>0</v>
      </c>
      <c r="T185" s="1">
        <f t="shared" ca="1" si="36"/>
        <v>10000000000</v>
      </c>
      <c r="U185" s="1">
        <f t="shared" si="42"/>
        <v>0</v>
      </c>
      <c r="V185" s="1">
        <v>13</v>
      </c>
      <c r="W185" s="1" t="str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>0</v>
      </c>
      <c r="Y185" s="1">
        <f t="shared" ca="1" si="37"/>
        <v>10000000000</v>
      </c>
      <c r="Z185" s="1">
        <f t="shared" ca="1" si="38"/>
        <v>1</v>
      </c>
      <c r="AA185" s="1"/>
      <c r="AB185" s="1"/>
      <c r="AC185" s="1"/>
      <c r="AD185" s="1"/>
    </row>
    <row r="186" spans="1:30" ht="19.5" customHeight="1" x14ac:dyDescent="0.3">
      <c r="A186" s="2"/>
      <c r="B186" s="79" t="str">
        <f t="shared" ca="1" si="29"/>
        <v/>
      </c>
      <c r="C186" s="80" t="str">
        <f t="shared" ca="1" si="30"/>
        <v/>
      </c>
      <c r="D186" s="81" t="str">
        <f t="shared" ca="1" si="31"/>
        <v/>
      </c>
      <c r="E186" s="79" t="str">
        <f t="shared" ca="1" si="32"/>
        <v/>
      </c>
      <c r="F186" s="82" t="str">
        <f t="shared" ca="1" si="33"/>
        <v/>
      </c>
      <c r="G186" s="82" t="str">
        <f t="shared" ca="1" si="34"/>
        <v/>
      </c>
      <c r="H186" s="82" t="str">
        <f t="shared" ca="1" si="35"/>
        <v/>
      </c>
      <c r="I186" s="2"/>
      <c r="J186" s="2"/>
      <c r="K186" s="1"/>
      <c r="L186" s="1"/>
      <c r="M186" s="1">
        <v>175</v>
      </c>
      <c r="N186" s="1" t="str">
        <f ca="1">IF(OR($U186=0,$W186="",$X186&lt;=0),"",IF($W186&gt;TODAY(),"",IF(AND(INDEX(UCRETLER!$E$7:$E$606,$U186)&lt;&gt;"",$W186&gt;INDEX(UCRETLER!$E$7:$E$606,$U186)),"",$W186)))</f>
        <v/>
      </c>
      <c r="O186" s="1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 t="str">
        <f t="shared" ca="1" si="39"/>
        <v/>
      </c>
      <c r="Q186" s="1"/>
      <c r="R186" s="1">
        <f t="shared" ca="1" si="40"/>
        <v>0</v>
      </c>
      <c r="S186" s="1">
        <v>0</v>
      </c>
      <c r="T186" s="1">
        <f t="shared" ca="1" si="36"/>
        <v>10000000000</v>
      </c>
      <c r="U186" s="1">
        <f t="shared" si="42"/>
        <v>0</v>
      </c>
      <c r="V186" s="1">
        <v>14</v>
      </c>
      <c r="W186" s="1" t="str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>0</v>
      </c>
      <c r="Y186" s="1">
        <f t="shared" ca="1" si="37"/>
        <v>10000000000</v>
      </c>
      <c r="Z186" s="1">
        <f t="shared" ca="1" si="38"/>
        <v>1</v>
      </c>
      <c r="AA186" s="1"/>
      <c r="AB186" s="1"/>
      <c r="AC186" s="1"/>
      <c r="AD186" s="1"/>
    </row>
    <row r="187" spans="1:30" ht="19.5" customHeight="1" x14ac:dyDescent="0.3">
      <c r="A187" s="2"/>
      <c r="B187" s="79" t="str">
        <f t="shared" ca="1" si="29"/>
        <v/>
      </c>
      <c r="C187" s="80" t="str">
        <f t="shared" ca="1" si="30"/>
        <v/>
      </c>
      <c r="D187" s="81" t="str">
        <f t="shared" ca="1" si="31"/>
        <v/>
      </c>
      <c r="E187" s="79" t="str">
        <f t="shared" ca="1" si="32"/>
        <v/>
      </c>
      <c r="F187" s="82" t="str">
        <f t="shared" ca="1" si="33"/>
        <v/>
      </c>
      <c r="G187" s="82" t="str">
        <f t="shared" ca="1" si="34"/>
        <v/>
      </c>
      <c r="H187" s="82" t="str">
        <f t="shared" ca="1" si="35"/>
        <v/>
      </c>
      <c r="I187" s="2"/>
      <c r="J187" s="2"/>
      <c r="K187" s="1"/>
      <c r="L187" s="1"/>
      <c r="M187" s="1">
        <v>176</v>
      </c>
      <c r="N187" s="1" t="str">
        <f ca="1">IF(OR($U187=0,$W187="",$X187&lt;=0),"",IF($W187&gt;TODAY(),"",IF(AND(INDEX(UCRETLER!$E$7:$E$606,$U187)&lt;&gt;"",$W187&gt;INDEX(UCRETLER!$E$7:$E$606,$U187)),"",$W187)))</f>
        <v/>
      </c>
      <c r="O187" s="1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 t="str">
        <f t="shared" ca="1" si="39"/>
        <v/>
      </c>
      <c r="Q187" s="1"/>
      <c r="R187" s="1">
        <f t="shared" ca="1" si="40"/>
        <v>0</v>
      </c>
      <c r="S187" s="1">
        <v>0</v>
      </c>
      <c r="T187" s="1">
        <f t="shared" ca="1" si="36"/>
        <v>10000000000</v>
      </c>
      <c r="U187" s="1">
        <f t="shared" si="42"/>
        <v>0</v>
      </c>
      <c r="V187" s="1">
        <v>15</v>
      </c>
      <c r="W187" s="1" t="str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>0</v>
      </c>
      <c r="Y187" s="1">
        <f t="shared" ca="1" si="37"/>
        <v>10000000000</v>
      </c>
      <c r="Z187" s="1">
        <f t="shared" ca="1" si="38"/>
        <v>1</v>
      </c>
      <c r="AA187" s="1"/>
      <c r="AB187" s="1"/>
      <c r="AC187" s="1"/>
      <c r="AD187" s="1"/>
    </row>
    <row r="188" spans="1:30" ht="19.5" customHeight="1" x14ac:dyDescent="0.3">
      <c r="A188" s="2"/>
      <c r="B188" s="79" t="str">
        <f t="shared" ca="1" si="29"/>
        <v/>
      </c>
      <c r="C188" s="80" t="str">
        <f t="shared" ca="1" si="30"/>
        <v/>
      </c>
      <c r="D188" s="81" t="str">
        <f t="shared" ca="1" si="31"/>
        <v/>
      </c>
      <c r="E188" s="79" t="str">
        <f t="shared" ca="1" si="32"/>
        <v/>
      </c>
      <c r="F188" s="82" t="str">
        <f t="shared" ca="1" si="33"/>
        <v/>
      </c>
      <c r="G188" s="82" t="str">
        <f t="shared" ca="1" si="34"/>
        <v/>
      </c>
      <c r="H188" s="82" t="str">
        <f t="shared" ca="1" si="35"/>
        <v/>
      </c>
      <c r="I188" s="2"/>
      <c r="J188" s="2"/>
      <c r="K188" s="1"/>
      <c r="L188" s="1"/>
      <c r="M188" s="1">
        <v>177</v>
      </c>
      <c r="N188" s="1" t="str">
        <f ca="1">IF(OR($U188=0,$W188="",$X188&lt;=0),"",IF($W188&gt;TODAY(),"",IF(AND(INDEX(UCRETLER!$E$7:$E$606,$U188)&lt;&gt;"",$W188&gt;INDEX(UCRETLER!$E$7:$E$606,$U188)),"",$W188)))</f>
        <v/>
      </c>
      <c r="O188" s="1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 t="str">
        <f t="shared" ca="1" si="39"/>
        <v/>
      </c>
      <c r="Q188" s="1"/>
      <c r="R188" s="1">
        <f t="shared" ca="1" si="40"/>
        <v>0</v>
      </c>
      <c r="S188" s="1">
        <v>0</v>
      </c>
      <c r="T188" s="1">
        <f t="shared" ca="1" si="36"/>
        <v>10000000000</v>
      </c>
      <c r="U188" s="1">
        <f t="shared" si="42"/>
        <v>0</v>
      </c>
      <c r="V188" s="1">
        <v>16</v>
      </c>
      <c r="W188" s="1" t="str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>0</v>
      </c>
      <c r="Y188" s="1">
        <f t="shared" ca="1" si="37"/>
        <v>10000000000</v>
      </c>
      <c r="Z188" s="1">
        <f t="shared" ca="1" si="38"/>
        <v>1</v>
      </c>
      <c r="AA188" s="1"/>
      <c r="AB188" s="1"/>
      <c r="AC188" s="1"/>
      <c r="AD188" s="1"/>
    </row>
    <row r="189" spans="1:30" ht="19.5" customHeight="1" x14ac:dyDescent="0.3">
      <c r="A189" s="2"/>
      <c r="B189" s="79" t="str">
        <f t="shared" ca="1" si="29"/>
        <v/>
      </c>
      <c r="C189" s="80" t="str">
        <f t="shared" ca="1" si="30"/>
        <v/>
      </c>
      <c r="D189" s="81" t="str">
        <f t="shared" ca="1" si="31"/>
        <v/>
      </c>
      <c r="E189" s="79" t="str">
        <f t="shared" ca="1" si="32"/>
        <v/>
      </c>
      <c r="F189" s="82" t="str">
        <f t="shared" ca="1" si="33"/>
        <v/>
      </c>
      <c r="G189" s="82" t="str">
        <f t="shared" ca="1" si="34"/>
        <v/>
      </c>
      <c r="H189" s="82" t="str">
        <f t="shared" ca="1" si="35"/>
        <v/>
      </c>
      <c r="I189" s="2"/>
      <c r="J189" s="2"/>
      <c r="K189" s="1"/>
      <c r="L189" s="1"/>
      <c r="M189" s="1">
        <v>178</v>
      </c>
      <c r="N189" s="1" t="str">
        <f ca="1">IF(OR($U189=0,$W189="",$X189&lt;=0),"",IF($W189&gt;TODAY(),"",IF(AND(INDEX(UCRETLER!$E$7:$E$606,$U189)&lt;&gt;"",$W189&gt;INDEX(UCRETLER!$E$7:$E$606,$U189)),"",$W189)))</f>
        <v/>
      </c>
      <c r="O189" s="1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 t="str">
        <f t="shared" ca="1" si="39"/>
        <v/>
      </c>
      <c r="Q189" s="1"/>
      <c r="R189" s="1">
        <f t="shared" ca="1" si="40"/>
        <v>0</v>
      </c>
      <c r="S189" s="1">
        <v>0</v>
      </c>
      <c r="T189" s="1">
        <f t="shared" ca="1" si="36"/>
        <v>10000000000</v>
      </c>
      <c r="U189" s="1">
        <f t="shared" si="42"/>
        <v>0</v>
      </c>
      <c r="V189" s="1">
        <v>17</v>
      </c>
      <c r="W189" s="1" t="str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>0</v>
      </c>
      <c r="Y189" s="1">
        <f t="shared" ca="1" si="37"/>
        <v>10000000000</v>
      </c>
      <c r="Z189" s="1">
        <f t="shared" ca="1" si="38"/>
        <v>1</v>
      </c>
      <c r="AA189" s="1"/>
      <c r="AB189" s="1"/>
      <c r="AC189" s="1"/>
      <c r="AD189" s="1"/>
    </row>
    <row r="190" spans="1:30" ht="19.5" customHeight="1" x14ac:dyDescent="0.3">
      <c r="A190" s="2"/>
      <c r="B190" s="79" t="str">
        <f t="shared" ca="1" si="29"/>
        <v/>
      </c>
      <c r="C190" s="80" t="str">
        <f t="shared" ca="1" si="30"/>
        <v/>
      </c>
      <c r="D190" s="81" t="str">
        <f t="shared" ca="1" si="31"/>
        <v/>
      </c>
      <c r="E190" s="79" t="str">
        <f t="shared" ca="1" si="32"/>
        <v/>
      </c>
      <c r="F190" s="82" t="str">
        <f t="shared" ca="1" si="33"/>
        <v/>
      </c>
      <c r="G190" s="82" t="str">
        <f t="shared" ca="1" si="34"/>
        <v/>
      </c>
      <c r="H190" s="82" t="str">
        <f t="shared" ca="1" si="35"/>
        <v/>
      </c>
      <c r="I190" s="2"/>
      <c r="J190" s="2"/>
      <c r="K190" s="1"/>
      <c r="L190" s="1"/>
      <c r="M190" s="1">
        <v>179</v>
      </c>
      <c r="N190" s="1" t="str">
        <f ca="1">IF(OR($U190=0,$W190="",$X190&lt;=0),"",IF($W190&gt;TODAY(),"",IF(AND(INDEX(UCRETLER!$E$7:$E$606,$U190)&lt;&gt;"",$W190&gt;INDEX(UCRETLER!$E$7:$E$606,$U190)),"",$W190)))</f>
        <v/>
      </c>
      <c r="O190" s="1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 t="str">
        <f t="shared" ca="1" si="39"/>
        <v/>
      </c>
      <c r="Q190" s="1"/>
      <c r="R190" s="1">
        <f t="shared" ca="1" si="40"/>
        <v>0</v>
      </c>
      <c r="S190" s="1">
        <v>0</v>
      </c>
      <c r="T190" s="1">
        <f t="shared" ca="1" si="36"/>
        <v>10000000000</v>
      </c>
      <c r="U190" s="1">
        <f t="shared" si="42"/>
        <v>0</v>
      </c>
      <c r="V190" s="1">
        <v>18</v>
      </c>
      <c r="W190" s="1" t="str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>0</v>
      </c>
      <c r="Y190" s="1">
        <f t="shared" ca="1" si="37"/>
        <v>10000000000</v>
      </c>
      <c r="Z190" s="1">
        <f t="shared" ca="1" si="38"/>
        <v>1</v>
      </c>
      <c r="AA190" s="1"/>
      <c r="AB190" s="1"/>
      <c r="AC190" s="1"/>
      <c r="AD190" s="1"/>
    </row>
    <row r="191" spans="1:30" ht="19.5" customHeight="1" x14ac:dyDescent="0.3">
      <c r="A191" s="2"/>
      <c r="B191" s="79" t="str">
        <f t="shared" ca="1" si="29"/>
        <v/>
      </c>
      <c r="C191" s="80" t="str">
        <f t="shared" ca="1" si="30"/>
        <v/>
      </c>
      <c r="D191" s="81" t="str">
        <f t="shared" ca="1" si="31"/>
        <v/>
      </c>
      <c r="E191" s="79" t="str">
        <f t="shared" ca="1" si="32"/>
        <v/>
      </c>
      <c r="F191" s="82" t="str">
        <f t="shared" ca="1" si="33"/>
        <v/>
      </c>
      <c r="G191" s="82" t="str">
        <f t="shared" ca="1" si="34"/>
        <v/>
      </c>
      <c r="H191" s="82" t="str">
        <f t="shared" ca="1" si="35"/>
        <v/>
      </c>
      <c r="I191" s="2"/>
      <c r="J191" s="2"/>
      <c r="K191" s="1"/>
      <c r="L191" s="1"/>
      <c r="M191" s="1">
        <v>180</v>
      </c>
      <c r="N191" s="1" t="str">
        <f ca="1">IF(OR($U191=0,$W191="",$X191&lt;=0),"",IF($W191&gt;TODAY(),"",IF(AND(INDEX(UCRETLER!$E$7:$E$606,$U191)&lt;&gt;"",$W191&gt;INDEX(UCRETLER!$E$7:$E$606,$U191)),"",$W191)))</f>
        <v/>
      </c>
      <c r="O191" s="1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 t="str">
        <f t="shared" ca="1" si="39"/>
        <v/>
      </c>
      <c r="Q191" s="1"/>
      <c r="R191" s="1">
        <f t="shared" ca="1" si="40"/>
        <v>0</v>
      </c>
      <c r="S191" s="1">
        <v>0</v>
      </c>
      <c r="T191" s="1">
        <f t="shared" ca="1" si="36"/>
        <v>10000000000</v>
      </c>
      <c r="U191" s="1">
        <f t="shared" si="42"/>
        <v>0</v>
      </c>
      <c r="V191" s="1">
        <v>19</v>
      </c>
      <c r="W191" s="1" t="str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>0</v>
      </c>
      <c r="Y191" s="1">
        <f t="shared" ca="1" si="37"/>
        <v>10000000000</v>
      </c>
      <c r="Z191" s="1">
        <f t="shared" ca="1" si="38"/>
        <v>1</v>
      </c>
      <c r="AA191" s="1"/>
      <c r="AB191" s="1"/>
      <c r="AC191" s="1"/>
      <c r="AD191" s="1"/>
    </row>
    <row r="192" spans="1:30" ht="19.5" customHeight="1" x14ac:dyDescent="0.3">
      <c r="A192" s="2"/>
      <c r="B192" s="79" t="str">
        <f t="shared" ca="1" si="29"/>
        <v/>
      </c>
      <c r="C192" s="80" t="str">
        <f t="shared" ca="1" si="30"/>
        <v/>
      </c>
      <c r="D192" s="81" t="str">
        <f t="shared" ca="1" si="31"/>
        <v/>
      </c>
      <c r="E192" s="79" t="str">
        <f t="shared" ca="1" si="32"/>
        <v/>
      </c>
      <c r="F192" s="82" t="str">
        <f t="shared" ca="1" si="33"/>
        <v/>
      </c>
      <c r="G192" s="82" t="str">
        <f t="shared" ca="1" si="34"/>
        <v/>
      </c>
      <c r="H192" s="82" t="str">
        <f t="shared" ca="1" si="35"/>
        <v/>
      </c>
      <c r="I192" s="2"/>
      <c r="J192" s="2"/>
      <c r="K192" s="1"/>
      <c r="L192" s="1"/>
      <c r="M192" s="1">
        <v>181</v>
      </c>
      <c r="N192" s="1" t="str">
        <f ca="1">IF(OR($U192=0,$W192="",$X192&lt;=0),"",IF($W192&gt;TODAY(),"",IF(AND(INDEX(UCRETLER!$E$7:$E$606,$U192)&lt;&gt;"",$W192&gt;INDEX(UCRETLER!$E$7:$E$606,$U192)),"",$W192)))</f>
        <v/>
      </c>
      <c r="O192" s="1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 t="str">
        <f t="shared" ca="1" si="39"/>
        <v/>
      </c>
      <c r="Q192" s="1"/>
      <c r="R192" s="1">
        <f t="shared" ca="1" si="40"/>
        <v>0</v>
      </c>
      <c r="S192" s="1">
        <v>0</v>
      </c>
      <c r="T192" s="1">
        <f t="shared" ca="1" si="36"/>
        <v>10000000000</v>
      </c>
      <c r="U192" s="1">
        <f t="shared" si="42"/>
        <v>0</v>
      </c>
      <c r="V192" s="1">
        <v>20</v>
      </c>
      <c r="W192" s="1" t="str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>0</v>
      </c>
      <c r="Y192" s="1">
        <f t="shared" ca="1" si="37"/>
        <v>10000000000</v>
      </c>
      <c r="Z192" s="1">
        <f t="shared" ca="1" si="38"/>
        <v>1</v>
      </c>
      <c r="AA192" s="1"/>
      <c r="AB192" s="1"/>
      <c r="AC192" s="1"/>
      <c r="AD192" s="1"/>
    </row>
    <row r="193" spans="1:30" ht="19.5" customHeight="1" x14ac:dyDescent="0.3">
      <c r="A193" s="2"/>
      <c r="B193" s="79" t="str">
        <f t="shared" ca="1" si="29"/>
        <v/>
      </c>
      <c r="C193" s="80" t="str">
        <f t="shared" ca="1" si="30"/>
        <v/>
      </c>
      <c r="D193" s="81" t="str">
        <f t="shared" ca="1" si="31"/>
        <v/>
      </c>
      <c r="E193" s="79" t="str">
        <f t="shared" ca="1" si="32"/>
        <v/>
      </c>
      <c r="F193" s="82" t="str">
        <f t="shared" ca="1" si="33"/>
        <v/>
      </c>
      <c r="G193" s="82" t="str">
        <f t="shared" ca="1" si="34"/>
        <v/>
      </c>
      <c r="H193" s="82" t="str">
        <f t="shared" ca="1" si="35"/>
        <v/>
      </c>
      <c r="I193" s="2"/>
      <c r="J193" s="2"/>
      <c r="K193" s="1"/>
      <c r="L193" s="1"/>
      <c r="M193" s="1">
        <v>182</v>
      </c>
      <c r="N193" s="1" t="str">
        <f ca="1">IF(OR($U193=0,$W193="",$X193&lt;=0),"",IF($W193&gt;TODAY(),"",IF(AND(INDEX(UCRETLER!$E$7:$E$606,$U193)&lt;&gt;"",$W193&gt;INDEX(UCRETLER!$E$7:$E$606,$U193)),"",$W193)))</f>
        <v/>
      </c>
      <c r="O193" s="1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 t="str">
        <f t="shared" ca="1" si="39"/>
        <v/>
      </c>
      <c r="Q193" s="1"/>
      <c r="R193" s="1">
        <f t="shared" ca="1" si="40"/>
        <v>0</v>
      </c>
      <c r="S193" s="1">
        <v>0</v>
      </c>
      <c r="T193" s="1">
        <f t="shared" ca="1" si="36"/>
        <v>10000000000</v>
      </c>
      <c r="U193" s="1">
        <f t="shared" si="42"/>
        <v>0</v>
      </c>
      <c r="V193" s="1">
        <v>21</v>
      </c>
      <c r="W193" s="1" t="str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>0</v>
      </c>
      <c r="Y193" s="1">
        <f t="shared" ca="1" si="37"/>
        <v>10000000000</v>
      </c>
      <c r="Z193" s="1">
        <f t="shared" ca="1" si="38"/>
        <v>1</v>
      </c>
      <c r="AA193" s="1"/>
      <c r="AB193" s="1"/>
      <c r="AC193" s="1"/>
      <c r="AD193" s="1"/>
    </row>
    <row r="194" spans="1:30" ht="19.5" customHeight="1" x14ac:dyDescent="0.3">
      <c r="A194" s="2"/>
      <c r="B194" s="79" t="str">
        <f t="shared" ca="1" si="29"/>
        <v/>
      </c>
      <c r="C194" s="80" t="str">
        <f t="shared" ca="1" si="30"/>
        <v/>
      </c>
      <c r="D194" s="81" t="str">
        <f t="shared" ca="1" si="31"/>
        <v/>
      </c>
      <c r="E194" s="79" t="str">
        <f t="shared" ca="1" si="32"/>
        <v/>
      </c>
      <c r="F194" s="82" t="str">
        <f t="shared" ca="1" si="33"/>
        <v/>
      </c>
      <c r="G194" s="82" t="str">
        <f t="shared" ca="1" si="34"/>
        <v/>
      </c>
      <c r="H194" s="82" t="str">
        <f t="shared" ca="1" si="35"/>
        <v/>
      </c>
      <c r="I194" s="2"/>
      <c r="J194" s="2"/>
      <c r="K194" s="1"/>
      <c r="L194" s="1"/>
      <c r="M194" s="1">
        <v>183</v>
      </c>
      <c r="N194" s="1" t="str">
        <f ca="1">IF(OR($U194=0,$W194="",$X194&lt;=0),"",IF($W194&gt;TODAY(),"",IF(AND(INDEX(UCRETLER!$E$7:$E$606,$U194)&lt;&gt;"",$W194&gt;INDEX(UCRETLER!$E$7:$E$606,$U194)),"",$W194)))</f>
        <v/>
      </c>
      <c r="O194" s="1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 t="str">
        <f t="shared" ca="1" si="39"/>
        <v/>
      </c>
      <c r="Q194" s="1"/>
      <c r="R194" s="1">
        <f t="shared" ca="1" si="40"/>
        <v>0</v>
      </c>
      <c r="S194" s="1">
        <v>0</v>
      </c>
      <c r="T194" s="1">
        <f t="shared" ca="1" si="36"/>
        <v>10000000000</v>
      </c>
      <c r="U194" s="1">
        <f t="shared" si="42"/>
        <v>0</v>
      </c>
      <c r="V194" s="1">
        <v>22</v>
      </c>
      <c r="W194" s="1" t="str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>0</v>
      </c>
      <c r="Y194" s="1">
        <f t="shared" ca="1" si="37"/>
        <v>10000000000</v>
      </c>
      <c r="Z194" s="1">
        <f t="shared" ca="1" si="38"/>
        <v>1</v>
      </c>
      <c r="AA194" s="1"/>
      <c r="AB194" s="1"/>
      <c r="AC194" s="1"/>
      <c r="AD194" s="1"/>
    </row>
    <row r="195" spans="1:30" ht="19.5" customHeight="1" x14ac:dyDescent="0.3">
      <c r="A195" s="2"/>
      <c r="B195" s="79" t="str">
        <f t="shared" ca="1" si="29"/>
        <v/>
      </c>
      <c r="C195" s="80" t="str">
        <f t="shared" ca="1" si="30"/>
        <v/>
      </c>
      <c r="D195" s="81" t="str">
        <f t="shared" ca="1" si="31"/>
        <v/>
      </c>
      <c r="E195" s="79" t="str">
        <f t="shared" ca="1" si="32"/>
        <v/>
      </c>
      <c r="F195" s="82" t="str">
        <f t="shared" ca="1" si="33"/>
        <v/>
      </c>
      <c r="G195" s="82" t="str">
        <f t="shared" ca="1" si="34"/>
        <v/>
      </c>
      <c r="H195" s="82" t="str">
        <f t="shared" ca="1" si="35"/>
        <v/>
      </c>
      <c r="I195" s="2"/>
      <c r="J195" s="2"/>
      <c r="K195" s="1"/>
      <c r="L195" s="1"/>
      <c r="M195" s="1">
        <v>184</v>
      </c>
      <c r="N195" s="1" t="str">
        <f ca="1">IF(OR($U195=0,$W195="",$X195&lt;=0),"",IF($W195&gt;TODAY(),"",IF(AND(INDEX(UCRETLER!$E$7:$E$606,$U195)&lt;&gt;"",$W195&gt;INDEX(UCRETLER!$E$7:$E$606,$U195)),"",$W195)))</f>
        <v/>
      </c>
      <c r="O195" s="1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 t="str">
        <f t="shared" ca="1" si="39"/>
        <v/>
      </c>
      <c r="Q195" s="1"/>
      <c r="R195" s="1">
        <f t="shared" ca="1" si="40"/>
        <v>0</v>
      </c>
      <c r="S195" s="1">
        <v>0</v>
      </c>
      <c r="T195" s="1">
        <f t="shared" ca="1" si="36"/>
        <v>10000000000</v>
      </c>
      <c r="U195" s="1">
        <f t="shared" si="42"/>
        <v>0</v>
      </c>
      <c r="V195" s="1">
        <v>23</v>
      </c>
      <c r="W195" s="1" t="str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>0</v>
      </c>
      <c r="Y195" s="1">
        <f t="shared" ca="1" si="37"/>
        <v>10000000000</v>
      </c>
      <c r="Z195" s="1">
        <f t="shared" ca="1" si="38"/>
        <v>1</v>
      </c>
      <c r="AA195" s="1"/>
      <c r="AB195" s="1"/>
      <c r="AC195" s="1"/>
      <c r="AD195" s="1"/>
    </row>
    <row r="196" spans="1:30" ht="19.5" customHeight="1" x14ac:dyDescent="0.3">
      <c r="A196" s="2"/>
      <c r="B196" s="79" t="str">
        <f t="shared" ca="1" si="29"/>
        <v/>
      </c>
      <c r="C196" s="80" t="str">
        <f t="shared" ca="1" si="30"/>
        <v/>
      </c>
      <c r="D196" s="81" t="str">
        <f t="shared" ca="1" si="31"/>
        <v/>
      </c>
      <c r="E196" s="79" t="str">
        <f t="shared" ca="1" si="32"/>
        <v/>
      </c>
      <c r="F196" s="82" t="str">
        <f t="shared" ca="1" si="33"/>
        <v/>
      </c>
      <c r="G196" s="82" t="str">
        <f t="shared" ca="1" si="34"/>
        <v/>
      </c>
      <c r="H196" s="82" t="str">
        <f t="shared" ca="1" si="35"/>
        <v/>
      </c>
      <c r="I196" s="2"/>
      <c r="J196" s="2"/>
      <c r="K196" s="1"/>
      <c r="L196" s="1"/>
      <c r="M196" s="1">
        <v>185</v>
      </c>
      <c r="N196" s="1" t="str">
        <f ca="1">IF(OR($U196=0,$W196="",$X196&lt;=0),"",IF($W196&gt;TODAY(),"",IF(AND(INDEX(UCRETLER!$E$7:$E$606,$U196)&lt;&gt;"",$W196&gt;INDEX(UCRETLER!$E$7:$E$606,$U196)),"",$W196)))</f>
        <v/>
      </c>
      <c r="O196" s="1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 t="str">
        <f t="shared" ca="1" si="39"/>
        <v/>
      </c>
      <c r="Q196" s="1"/>
      <c r="R196" s="1">
        <f t="shared" ca="1" si="40"/>
        <v>0</v>
      </c>
      <c r="S196" s="1">
        <v>0</v>
      </c>
      <c r="T196" s="1">
        <f t="shared" ca="1" si="36"/>
        <v>10000000000</v>
      </c>
      <c r="U196" s="1">
        <f t="shared" si="42"/>
        <v>0</v>
      </c>
      <c r="V196" s="1">
        <v>24</v>
      </c>
      <c r="W196" s="1" t="str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>0</v>
      </c>
      <c r="Y196" s="1">
        <f t="shared" ca="1" si="37"/>
        <v>10000000000</v>
      </c>
      <c r="Z196" s="1">
        <f t="shared" ca="1" si="38"/>
        <v>1</v>
      </c>
      <c r="AA196" s="1"/>
      <c r="AB196" s="1"/>
      <c r="AC196" s="1"/>
      <c r="AD196" s="1"/>
    </row>
    <row r="197" spans="1:30" ht="19.5" customHeight="1" x14ac:dyDescent="0.3">
      <c r="A197" s="2"/>
      <c r="B197" s="79" t="str">
        <f t="shared" ca="1" si="29"/>
        <v/>
      </c>
      <c r="C197" s="80" t="str">
        <f t="shared" ca="1" si="30"/>
        <v/>
      </c>
      <c r="D197" s="81" t="str">
        <f t="shared" ca="1" si="31"/>
        <v/>
      </c>
      <c r="E197" s="79" t="str">
        <f t="shared" ca="1" si="32"/>
        <v/>
      </c>
      <c r="F197" s="82" t="str">
        <f t="shared" ca="1" si="33"/>
        <v/>
      </c>
      <c r="G197" s="82" t="str">
        <f t="shared" ca="1" si="34"/>
        <v/>
      </c>
      <c r="H197" s="82" t="str">
        <f t="shared" ca="1" si="35"/>
        <v/>
      </c>
      <c r="I197" s="2"/>
      <c r="J197" s="2"/>
      <c r="K197" s="1"/>
      <c r="L197" s="1"/>
      <c r="M197" s="1">
        <v>186</v>
      </c>
      <c r="N197" s="1" t="str">
        <f ca="1">IF(OR($U197=0,$W197="",$X197&lt;=0),"",IF($W197&gt;TODAY(),"",IF(AND(INDEX(UCRETLER!$E$7:$E$606,$U197)&lt;&gt;"",$W197&gt;INDEX(UCRETLER!$E$7:$E$606,$U197)),"",$W197)))</f>
        <v/>
      </c>
      <c r="O197" s="1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 t="str">
        <f t="shared" ca="1" si="39"/>
        <v/>
      </c>
      <c r="Q197" s="1"/>
      <c r="R197" s="1">
        <f t="shared" ca="1" si="40"/>
        <v>0</v>
      </c>
      <c r="S197" s="1">
        <v>0</v>
      </c>
      <c r="T197" s="1">
        <f t="shared" ca="1" si="36"/>
        <v>10000000000</v>
      </c>
      <c r="U197" s="1">
        <f t="shared" si="42"/>
        <v>0</v>
      </c>
      <c r="V197" s="1">
        <v>25</v>
      </c>
      <c r="W197" s="1" t="str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>0</v>
      </c>
      <c r="Y197" s="1">
        <f t="shared" ca="1" si="37"/>
        <v>10000000000</v>
      </c>
      <c r="Z197" s="1">
        <f t="shared" ca="1" si="38"/>
        <v>1</v>
      </c>
      <c r="AA197" s="1"/>
      <c r="AB197" s="1"/>
      <c r="AC197" s="1"/>
      <c r="AD197" s="1"/>
    </row>
    <row r="198" spans="1:30" ht="19.5" customHeight="1" x14ac:dyDescent="0.3">
      <c r="A198" s="2"/>
      <c r="B198" s="79" t="str">
        <f t="shared" ca="1" si="29"/>
        <v/>
      </c>
      <c r="C198" s="80" t="str">
        <f t="shared" ca="1" si="30"/>
        <v/>
      </c>
      <c r="D198" s="81" t="str">
        <f t="shared" ca="1" si="31"/>
        <v/>
      </c>
      <c r="E198" s="79" t="str">
        <f t="shared" ca="1" si="32"/>
        <v/>
      </c>
      <c r="F198" s="82" t="str">
        <f t="shared" ca="1" si="33"/>
        <v/>
      </c>
      <c r="G198" s="82" t="str">
        <f t="shared" ca="1" si="34"/>
        <v/>
      </c>
      <c r="H198" s="82" t="str">
        <f t="shared" ca="1" si="35"/>
        <v/>
      </c>
      <c r="I198" s="2"/>
      <c r="J198" s="2"/>
      <c r="K198" s="1"/>
      <c r="L198" s="1"/>
      <c r="M198" s="1">
        <v>187</v>
      </c>
      <c r="N198" s="1" t="str">
        <f ca="1">IF(OR($U198=0,$W198="",$X198&lt;=0),"",IF($W198&gt;TODAY(),"",IF(AND(INDEX(UCRETLER!$E$7:$E$606,$U198)&lt;&gt;"",$W198&gt;INDEX(UCRETLER!$E$7:$E$606,$U198)),"",$W198)))</f>
        <v/>
      </c>
      <c r="O198" s="1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 t="str">
        <f t="shared" ca="1" si="39"/>
        <v/>
      </c>
      <c r="Q198" s="1"/>
      <c r="R198" s="1">
        <f t="shared" ca="1" si="40"/>
        <v>0</v>
      </c>
      <c r="S198" s="1">
        <v>0</v>
      </c>
      <c r="T198" s="1">
        <f t="shared" ca="1" si="36"/>
        <v>10000000000</v>
      </c>
      <c r="U198" s="1">
        <f t="shared" si="42"/>
        <v>0</v>
      </c>
      <c r="V198" s="1">
        <v>26</v>
      </c>
      <c r="W198" s="1" t="str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>0</v>
      </c>
      <c r="Y198" s="1">
        <f t="shared" ca="1" si="37"/>
        <v>10000000000</v>
      </c>
      <c r="Z198" s="1">
        <f t="shared" ca="1" si="38"/>
        <v>1</v>
      </c>
      <c r="AA198" s="1"/>
      <c r="AB198" s="1"/>
      <c r="AC198" s="1"/>
      <c r="AD198" s="1"/>
    </row>
    <row r="199" spans="1:30" ht="19.5" customHeight="1" x14ac:dyDescent="0.3">
      <c r="A199" s="2"/>
      <c r="B199" s="79" t="str">
        <f t="shared" ca="1" si="29"/>
        <v/>
      </c>
      <c r="C199" s="80" t="str">
        <f t="shared" ca="1" si="30"/>
        <v/>
      </c>
      <c r="D199" s="81" t="str">
        <f t="shared" ca="1" si="31"/>
        <v/>
      </c>
      <c r="E199" s="79" t="str">
        <f t="shared" ca="1" si="32"/>
        <v/>
      </c>
      <c r="F199" s="82" t="str">
        <f t="shared" ca="1" si="33"/>
        <v/>
      </c>
      <c r="G199" s="82" t="str">
        <f t="shared" ca="1" si="34"/>
        <v/>
      </c>
      <c r="H199" s="82" t="str">
        <f t="shared" ca="1" si="35"/>
        <v/>
      </c>
      <c r="I199" s="2"/>
      <c r="J199" s="2"/>
      <c r="K199" s="1"/>
      <c r="L199" s="1"/>
      <c r="M199" s="1">
        <v>188</v>
      </c>
      <c r="N199" s="1" t="str">
        <f ca="1">IF(OR($U199=0,$W199="",$X199&lt;=0),"",IF($W199&gt;TODAY(),"",IF(AND(INDEX(UCRETLER!$E$7:$E$606,$U199)&lt;&gt;"",$W199&gt;INDEX(UCRETLER!$E$7:$E$606,$U199)),"",$W199)))</f>
        <v/>
      </c>
      <c r="O199" s="1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 t="str">
        <f t="shared" ca="1" si="39"/>
        <v/>
      </c>
      <c r="Q199" s="1"/>
      <c r="R199" s="1">
        <f t="shared" ca="1" si="40"/>
        <v>0</v>
      </c>
      <c r="S199" s="1">
        <v>0</v>
      </c>
      <c r="T199" s="1">
        <f t="shared" ca="1" si="36"/>
        <v>10000000000</v>
      </c>
      <c r="U199" s="1">
        <f t="shared" si="42"/>
        <v>0</v>
      </c>
      <c r="V199" s="1">
        <v>27</v>
      </c>
      <c r="W199" s="1" t="str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>0</v>
      </c>
      <c r="Y199" s="1">
        <f t="shared" ca="1" si="37"/>
        <v>10000000000</v>
      </c>
      <c r="Z199" s="1">
        <f t="shared" ca="1" si="38"/>
        <v>1</v>
      </c>
      <c r="AA199" s="1"/>
      <c r="AB199" s="1"/>
      <c r="AC199" s="1"/>
      <c r="AD199" s="1"/>
    </row>
    <row r="200" spans="1:30" ht="19.5" customHeight="1" x14ac:dyDescent="0.3">
      <c r="A200" s="2"/>
      <c r="B200" s="79" t="str">
        <f t="shared" ca="1" si="29"/>
        <v/>
      </c>
      <c r="C200" s="80" t="str">
        <f t="shared" ca="1" si="30"/>
        <v/>
      </c>
      <c r="D200" s="81" t="str">
        <f t="shared" ca="1" si="31"/>
        <v/>
      </c>
      <c r="E200" s="79" t="str">
        <f t="shared" ca="1" si="32"/>
        <v/>
      </c>
      <c r="F200" s="82" t="str">
        <f t="shared" ca="1" si="33"/>
        <v/>
      </c>
      <c r="G200" s="82" t="str">
        <f t="shared" ca="1" si="34"/>
        <v/>
      </c>
      <c r="H200" s="82" t="str">
        <f t="shared" ca="1" si="35"/>
        <v/>
      </c>
      <c r="I200" s="2"/>
      <c r="J200" s="2"/>
      <c r="K200" s="1"/>
      <c r="L200" s="1"/>
      <c r="M200" s="1">
        <v>189</v>
      </c>
      <c r="N200" s="1" t="str">
        <f ca="1">IF(OR($U200=0,$W200="",$X200&lt;=0),"",IF($W200&gt;TODAY(),"",IF(AND(INDEX(UCRETLER!$E$7:$E$606,$U200)&lt;&gt;"",$W200&gt;INDEX(UCRETLER!$E$7:$E$606,$U200)),"",$W200)))</f>
        <v/>
      </c>
      <c r="O200" s="1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 t="str">
        <f t="shared" ca="1" si="39"/>
        <v/>
      </c>
      <c r="Q200" s="1"/>
      <c r="R200" s="1">
        <f t="shared" ca="1" si="40"/>
        <v>0</v>
      </c>
      <c r="S200" s="1">
        <v>0</v>
      </c>
      <c r="T200" s="1">
        <f t="shared" ca="1" si="36"/>
        <v>10000000000</v>
      </c>
      <c r="U200" s="1">
        <f t="shared" si="42"/>
        <v>0</v>
      </c>
      <c r="V200" s="1">
        <v>28</v>
      </c>
      <c r="W200" s="1" t="str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>0</v>
      </c>
      <c r="Y200" s="1">
        <f t="shared" ca="1" si="37"/>
        <v>10000000000</v>
      </c>
      <c r="Z200" s="1">
        <f t="shared" ca="1" si="38"/>
        <v>1</v>
      </c>
      <c r="AA200" s="1"/>
      <c r="AB200" s="1"/>
      <c r="AC200" s="1"/>
      <c r="AD200" s="1"/>
    </row>
    <row r="201" spans="1:30" ht="19.5" customHeight="1" x14ac:dyDescent="0.3">
      <c r="A201" s="2"/>
      <c r="B201" s="79" t="str">
        <f t="shared" ca="1" si="29"/>
        <v/>
      </c>
      <c r="C201" s="80" t="str">
        <f t="shared" ca="1" si="30"/>
        <v/>
      </c>
      <c r="D201" s="81" t="str">
        <f t="shared" ca="1" si="31"/>
        <v/>
      </c>
      <c r="E201" s="79" t="str">
        <f t="shared" ca="1" si="32"/>
        <v/>
      </c>
      <c r="F201" s="82" t="str">
        <f t="shared" ca="1" si="33"/>
        <v/>
      </c>
      <c r="G201" s="82" t="str">
        <f t="shared" ca="1" si="34"/>
        <v/>
      </c>
      <c r="H201" s="82" t="str">
        <f t="shared" ca="1" si="35"/>
        <v/>
      </c>
      <c r="I201" s="2"/>
      <c r="J201" s="2"/>
      <c r="K201" s="1"/>
      <c r="L201" s="1"/>
      <c r="M201" s="1">
        <v>190</v>
      </c>
      <c r="N201" s="1" t="str">
        <f ca="1">IF(OR($U201=0,$W201="",$X201&lt;=0),"",IF($W201&gt;TODAY(),"",IF(AND(INDEX(UCRETLER!$E$7:$E$606,$U201)&lt;&gt;"",$W201&gt;INDEX(UCRETLER!$E$7:$E$606,$U201)),"",$W201)))</f>
        <v/>
      </c>
      <c r="O201" s="1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 t="str">
        <f t="shared" ca="1" si="39"/>
        <v/>
      </c>
      <c r="Q201" s="1"/>
      <c r="R201" s="1">
        <f t="shared" ca="1" si="40"/>
        <v>0</v>
      </c>
      <c r="S201" s="1">
        <v>0</v>
      </c>
      <c r="T201" s="1">
        <f t="shared" ca="1" si="36"/>
        <v>10000000000</v>
      </c>
      <c r="U201" s="1">
        <f t="shared" si="42"/>
        <v>0</v>
      </c>
      <c r="V201" s="1">
        <v>29</v>
      </c>
      <c r="W201" s="1" t="str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>0</v>
      </c>
      <c r="Y201" s="1">
        <f t="shared" ca="1" si="37"/>
        <v>10000000000</v>
      </c>
      <c r="Z201" s="1">
        <f t="shared" ca="1" si="38"/>
        <v>1</v>
      </c>
      <c r="AA201" s="1"/>
      <c r="AB201" s="1"/>
      <c r="AC201" s="1"/>
      <c r="AD201" s="1"/>
    </row>
    <row r="202" spans="1:30" ht="19.5" customHeight="1" x14ac:dyDescent="0.3">
      <c r="A202" s="2"/>
      <c r="B202" s="79" t="str">
        <f t="shared" ca="1" si="29"/>
        <v/>
      </c>
      <c r="C202" s="80" t="str">
        <f t="shared" ca="1" si="30"/>
        <v/>
      </c>
      <c r="D202" s="81" t="str">
        <f t="shared" ca="1" si="31"/>
        <v/>
      </c>
      <c r="E202" s="79" t="str">
        <f t="shared" ca="1" si="32"/>
        <v/>
      </c>
      <c r="F202" s="82" t="str">
        <f t="shared" ca="1" si="33"/>
        <v/>
      </c>
      <c r="G202" s="82" t="str">
        <f t="shared" ca="1" si="34"/>
        <v/>
      </c>
      <c r="H202" s="82" t="str">
        <f t="shared" ca="1" si="35"/>
        <v/>
      </c>
      <c r="I202" s="2"/>
      <c r="J202" s="2"/>
      <c r="K202" s="1"/>
      <c r="L202" s="1"/>
      <c r="M202" s="1">
        <v>191</v>
      </c>
      <c r="N202" s="1" t="str">
        <f ca="1">IF(OR($U202=0,$W202="",$X202&lt;=0),"",IF($W202&gt;TODAY(),"",IF(AND(INDEX(UCRETLER!$E$7:$E$606,$U202)&lt;&gt;"",$W202&gt;INDEX(UCRETLER!$E$7:$E$606,$U202)),"",$W202)))</f>
        <v/>
      </c>
      <c r="O202" s="1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 t="str">
        <f t="shared" ca="1" si="39"/>
        <v/>
      </c>
      <c r="Q202" s="1"/>
      <c r="R202" s="1">
        <f t="shared" ca="1" si="40"/>
        <v>0</v>
      </c>
      <c r="S202" s="1">
        <v>0</v>
      </c>
      <c r="T202" s="1">
        <f t="shared" ca="1" si="36"/>
        <v>10000000000</v>
      </c>
      <c r="U202" s="1">
        <f t="shared" si="42"/>
        <v>0</v>
      </c>
      <c r="V202" s="1">
        <v>30</v>
      </c>
      <c r="W202" s="1" t="str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>0</v>
      </c>
      <c r="Y202" s="1">
        <f t="shared" ca="1" si="37"/>
        <v>10000000000</v>
      </c>
      <c r="Z202" s="1">
        <f t="shared" ca="1" si="38"/>
        <v>1</v>
      </c>
      <c r="AA202" s="1"/>
      <c r="AB202" s="1"/>
      <c r="AC202" s="1"/>
      <c r="AD202" s="1"/>
    </row>
    <row r="203" spans="1:30" ht="19.5" customHeight="1" x14ac:dyDescent="0.3">
      <c r="A203" s="2"/>
      <c r="B203" s="79" t="str">
        <f t="shared" ca="1" si="29"/>
        <v/>
      </c>
      <c r="C203" s="80" t="str">
        <f t="shared" ca="1" si="30"/>
        <v/>
      </c>
      <c r="D203" s="81" t="str">
        <f t="shared" ca="1" si="31"/>
        <v/>
      </c>
      <c r="E203" s="79" t="str">
        <f t="shared" ca="1" si="32"/>
        <v/>
      </c>
      <c r="F203" s="82" t="str">
        <f t="shared" ca="1" si="33"/>
        <v/>
      </c>
      <c r="G203" s="82" t="str">
        <f t="shared" ca="1" si="34"/>
        <v/>
      </c>
      <c r="H203" s="82" t="str">
        <f t="shared" ca="1" si="35"/>
        <v/>
      </c>
      <c r="I203" s="2"/>
      <c r="J203" s="2"/>
      <c r="K203" s="1"/>
      <c r="L203" s="1"/>
      <c r="M203" s="1">
        <v>192</v>
      </c>
      <c r="N203" s="1" t="str">
        <f ca="1">IF(OR($U203=0,$W203="",$X203&lt;=0),"",IF($W203&gt;TODAY(),"",IF(AND(INDEX(UCRETLER!$E$7:$E$606,$U203)&lt;&gt;"",$W203&gt;INDEX(UCRETLER!$E$7:$E$606,$U203)),"",$W203)))</f>
        <v/>
      </c>
      <c r="O203" s="1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 t="str">
        <f t="shared" ca="1" si="39"/>
        <v/>
      </c>
      <c r="Q203" s="1"/>
      <c r="R203" s="1">
        <f t="shared" ca="1" si="40"/>
        <v>0</v>
      </c>
      <c r="S203" s="1">
        <v>0</v>
      </c>
      <c r="T203" s="1">
        <f t="shared" ca="1" si="36"/>
        <v>10000000000</v>
      </c>
      <c r="U203" s="1">
        <f t="shared" si="42"/>
        <v>0</v>
      </c>
      <c r="V203" s="1">
        <v>31</v>
      </c>
      <c r="W203" s="1" t="str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>0</v>
      </c>
      <c r="Y203" s="1">
        <f t="shared" ca="1" si="37"/>
        <v>10000000000</v>
      </c>
      <c r="Z203" s="1">
        <f t="shared" ca="1" si="38"/>
        <v>1</v>
      </c>
      <c r="AA203" s="1"/>
      <c r="AB203" s="1"/>
      <c r="AC203" s="1"/>
      <c r="AD203" s="1"/>
    </row>
    <row r="204" spans="1:30" ht="19.5" customHeight="1" x14ac:dyDescent="0.3">
      <c r="A204" s="2"/>
      <c r="B204" s="79" t="str">
        <f t="shared" ref="B204:B267" ca="1" si="43">IF($C204="","",ROW()-11)</f>
        <v/>
      </c>
      <c r="C204" s="80" t="str">
        <f t="shared" ref="C204:C267" ca="1" si="44">IF($Z204="","",IF(INDEX($N$12:$N$432,$Z204)="","",INDEX($N$12:$N$432,$Z204)))</f>
        <v/>
      </c>
      <c r="D204" s="81" t="str">
        <f t="shared" ref="D204:D267" ca="1" si="45">IF($C204="","",INDEX($O$12:$O$432,$Z204))</f>
        <v/>
      </c>
      <c r="E204" s="79" t="str">
        <f t="shared" ref="E204:E267" ca="1" si="46">IF($C204="","",INDEX($P$12:$P$432,$Z204))</f>
        <v/>
      </c>
      <c r="F204" s="82" t="str">
        <f t="shared" ref="F204:F267" ca="1" si="47">IF($C204="","",INDEX($R$12:$R$432,$Z204))</f>
        <v/>
      </c>
      <c r="G204" s="82" t="str">
        <f t="shared" ref="G204:G267" ca="1" si="48">IF($C204="","",INDEX($S$12:$S$432,$Z204))</f>
        <v/>
      </c>
      <c r="H204" s="82" t="str">
        <f t="shared" ref="H204:H267" ca="1" si="49">IF($C204="","",N($H203)+$F204-$G204)</f>
        <v/>
      </c>
      <c r="I204" s="2"/>
      <c r="J204" s="2"/>
      <c r="K204" s="1"/>
      <c r="L204" s="1"/>
      <c r="M204" s="1">
        <v>193</v>
      </c>
      <c r="N204" s="1" t="str">
        <f ca="1">IF(OR($U204=0,$W204="",$X204&lt;=0),"",IF($W204&gt;TODAY(),"",IF(AND(INDEX(UCRETLER!$E$7:$E$606,$U204)&lt;&gt;"",$W204&gt;INDEX(UCRETLER!$E$7:$E$606,$U204)),"",$W204)))</f>
        <v/>
      </c>
      <c r="O204" s="1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 t="str">
        <f t="shared" ca="1" si="39"/>
        <v/>
      </c>
      <c r="Q204" s="1"/>
      <c r="R204" s="1">
        <f t="shared" ca="1" si="40"/>
        <v>0</v>
      </c>
      <c r="S204" s="1">
        <v>0</v>
      </c>
      <c r="T204" s="1">
        <f t="shared" ref="T204:T267" ca="1" si="50">IF($N204="",10000000000,$N204*100000+$M204)</f>
        <v>10000000000</v>
      </c>
      <c r="U204" s="1">
        <f t="shared" si="42"/>
        <v>0</v>
      </c>
      <c r="V204" s="1">
        <v>32</v>
      </c>
      <c r="W204" s="1" t="str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>0</v>
      </c>
      <c r="Y204" s="1">
        <f t="shared" ref="Y204:Y267" ca="1" si="51">IFERROR(SMALL($T$12:$T$432,ROW()-11),"")</f>
        <v>10000000000</v>
      </c>
      <c r="Z204" s="1">
        <f t="shared" ref="Z204:Z267" ca="1" si="52">IFERROR(MATCH($Y204,$T$12:$T$432,0),"")</f>
        <v>1</v>
      </c>
      <c r="AA204" s="1"/>
      <c r="AB204" s="1"/>
      <c r="AC204" s="1"/>
      <c r="AD204" s="1"/>
    </row>
    <row r="205" spans="1:30" ht="19.5" customHeight="1" x14ac:dyDescent="0.3">
      <c r="A205" s="2"/>
      <c r="B205" s="79" t="str">
        <f t="shared" ca="1" si="43"/>
        <v/>
      </c>
      <c r="C205" s="80" t="str">
        <f t="shared" ca="1" si="44"/>
        <v/>
      </c>
      <c r="D205" s="81" t="str">
        <f t="shared" ca="1" si="45"/>
        <v/>
      </c>
      <c r="E205" s="79" t="str">
        <f t="shared" ca="1" si="46"/>
        <v/>
      </c>
      <c r="F205" s="82" t="str">
        <f t="shared" ca="1" si="47"/>
        <v/>
      </c>
      <c r="G205" s="82" t="str">
        <f t="shared" ca="1" si="48"/>
        <v/>
      </c>
      <c r="H205" s="82" t="str">
        <f t="shared" ca="1" si="49"/>
        <v/>
      </c>
      <c r="I205" s="2"/>
      <c r="J205" s="2"/>
      <c r="K205" s="1"/>
      <c r="L205" s="1"/>
      <c r="M205" s="1">
        <v>194</v>
      </c>
      <c r="N205" s="1" t="str">
        <f ca="1">IF(OR($U205=0,$W205="",$X205&lt;=0),"",IF($W205&gt;TODAY(),"",IF(AND(INDEX(UCRETLER!$E$7:$E$606,$U205)&lt;&gt;"",$W205&gt;INDEX(UCRETLER!$E$7:$E$606,$U205)),"",$W205)))</f>
        <v/>
      </c>
      <c r="O205" s="1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 t="str">
        <f t="shared" ref="P205:P252" ca="1" si="53">IF($N205="","","TAHAKKUK")</f>
        <v/>
      </c>
      <c r="Q205" s="1"/>
      <c r="R205" s="1">
        <f t="shared" ref="R205:R252" ca="1" si="54">IF($N205="",0,$X205)</f>
        <v>0</v>
      </c>
      <c r="S205" s="1">
        <v>0</v>
      </c>
      <c r="T205" s="1">
        <f t="shared" ca="1" si="50"/>
        <v>10000000000</v>
      </c>
      <c r="U205" s="1">
        <f t="shared" ref="U205:U236" si="55">$AB$6</f>
        <v>0</v>
      </c>
      <c r="V205" s="1">
        <v>33</v>
      </c>
      <c r="W205" s="1" t="str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>0</v>
      </c>
      <c r="Y205" s="1">
        <f t="shared" ca="1" si="51"/>
        <v>10000000000</v>
      </c>
      <c r="Z205" s="1">
        <f t="shared" ca="1" si="52"/>
        <v>1</v>
      </c>
      <c r="AA205" s="1"/>
      <c r="AB205" s="1"/>
      <c r="AC205" s="1"/>
      <c r="AD205" s="1"/>
    </row>
    <row r="206" spans="1:30" ht="19.5" customHeight="1" x14ac:dyDescent="0.3">
      <c r="A206" s="2"/>
      <c r="B206" s="79" t="str">
        <f t="shared" ca="1" si="43"/>
        <v/>
      </c>
      <c r="C206" s="80" t="str">
        <f t="shared" ca="1" si="44"/>
        <v/>
      </c>
      <c r="D206" s="81" t="str">
        <f t="shared" ca="1" si="45"/>
        <v/>
      </c>
      <c r="E206" s="79" t="str">
        <f t="shared" ca="1" si="46"/>
        <v/>
      </c>
      <c r="F206" s="82" t="str">
        <f t="shared" ca="1" si="47"/>
        <v/>
      </c>
      <c r="G206" s="82" t="str">
        <f t="shared" ca="1" si="48"/>
        <v/>
      </c>
      <c r="H206" s="82" t="str">
        <f t="shared" ca="1" si="49"/>
        <v/>
      </c>
      <c r="I206" s="2"/>
      <c r="J206" s="2"/>
      <c r="K206" s="1"/>
      <c r="L206" s="1"/>
      <c r="M206" s="1">
        <v>195</v>
      </c>
      <c r="N206" s="1" t="str">
        <f ca="1">IF(OR($U206=0,$W206="",$X206&lt;=0),"",IF($W206&gt;TODAY(),"",IF(AND(INDEX(UCRETLER!$E$7:$E$606,$U206)&lt;&gt;"",$W206&gt;INDEX(UCRETLER!$E$7:$E$606,$U206)),"",$W206)))</f>
        <v/>
      </c>
      <c r="O206" s="1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 t="str">
        <f t="shared" ca="1" si="53"/>
        <v/>
      </c>
      <c r="Q206" s="1"/>
      <c r="R206" s="1">
        <f t="shared" ca="1" si="54"/>
        <v>0</v>
      </c>
      <c r="S206" s="1">
        <v>0</v>
      </c>
      <c r="T206" s="1">
        <f t="shared" ca="1" si="50"/>
        <v>10000000000</v>
      </c>
      <c r="U206" s="1">
        <f t="shared" si="55"/>
        <v>0</v>
      </c>
      <c r="V206" s="1">
        <v>34</v>
      </c>
      <c r="W206" s="1" t="str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>0</v>
      </c>
      <c r="Y206" s="1">
        <f t="shared" ca="1" si="51"/>
        <v>10000000000</v>
      </c>
      <c r="Z206" s="1">
        <f t="shared" ca="1" si="52"/>
        <v>1</v>
      </c>
      <c r="AA206" s="1"/>
      <c r="AB206" s="1"/>
      <c r="AC206" s="1"/>
      <c r="AD206" s="1"/>
    </row>
    <row r="207" spans="1:30" ht="19.5" customHeight="1" x14ac:dyDescent="0.3">
      <c r="A207" s="2"/>
      <c r="B207" s="79" t="str">
        <f t="shared" ca="1" si="43"/>
        <v/>
      </c>
      <c r="C207" s="80" t="str">
        <f t="shared" ca="1" si="44"/>
        <v/>
      </c>
      <c r="D207" s="81" t="str">
        <f t="shared" ca="1" si="45"/>
        <v/>
      </c>
      <c r="E207" s="79" t="str">
        <f t="shared" ca="1" si="46"/>
        <v/>
      </c>
      <c r="F207" s="82" t="str">
        <f t="shared" ca="1" si="47"/>
        <v/>
      </c>
      <c r="G207" s="82" t="str">
        <f t="shared" ca="1" si="48"/>
        <v/>
      </c>
      <c r="H207" s="82" t="str">
        <f t="shared" ca="1" si="49"/>
        <v/>
      </c>
      <c r="I207" s="2"/>
      <c r="J207" s="2"/>
      <c r="K207" s="1"/>
      <c r="L207" s="1"/>
      <c r="M207" s="1">
        <v>196</v>
      </c>
      <c r="N207" s="1" t="str">
        <f ca="1">IF(OR($U207=0,$W207="",$X207&lt;=0),"",IF($W207&gt;TODAY(),"",IF(AND(INDEX(UCRETLER!$E$7:$E$606,$U207)&lt;&gt;"",$W207&gt;INDEX(UCRETLER!$E$7:$E$606,$U207)),"",$W207)))</f>
        <v/>
      </c>
      <c r="O207" s="1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 t="str">
        <f t="shared" ca="1" si="53"/>
        <v/>
      </c>
      <c r="Q207" s="1"/>
      <c r="R207" s="1">
        <f t="shared" ca="1" si="54"/>
        <v>0</v>
      </c>
      <c r="S207" s="1">
        <v>0</v>
      </c>
      <c r="T207" s="1">
        <f t="shared" ca="1" si="50"/>
        <v>10000000000</v>
      </c>
      <c r="U207" s="1">
        <f t="shared" si="55"/>
        <v>0</v>
      </c>
      <c r="V207" s="1">
        <v>35</v>
      </c>
      <c r="W207" s="1" t="str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>0</v>
      </c>
      <c r="Y207" s="1">
        <f t="shared" ca="1" si="51"/>
        <v>10000000000</v>
      </c>
      <c r="Z207" s="1">
        <f t="shared" ca="1" si="52"/>
        <v>1</v>
      </c>
      <c r="AA207" s="1"/>
      <c r="AB207" s="1"/>
      <c r="AC207" s="1"/>
      <c r="AD207" s="1"/>
    </row>
    <row r="208" spans="1:30" ht="19.5" customHeight="1" x14ac:dyDescent="0.3">
      <c r="A208" s="2"/>
      <c r="B208" s="79" t="str">
        <f t="shared" ca="1" si="43"/>
        <v/>
      </c>
      <c r="C208" s="80" t="str">
        <f t="shared" ca="1" si="44"/>
        <v/>
      </c>
      <c r="D208" s="81" t="str">
        <f t="shared" ca="1" si="45"/>
        <v/>
      </c>
      <c r="E208" s="79" t="str">
        <f t="shared" ca="1" si="46"/>
        <v/>
      </c>
      <c r="F208" s="82" t="str">
        <f t="shared" ca="1" si="47"/>
        <v/>
      </c>
      <c r="G208" s="82" t="str">
        <f t="shared" ca="1" si="48"/>
        <v/>
      </c>
      <c r="H208" s="82" t="str">
        <f t="shared" ca="1" si="49"/>
        <v/>
      </c>
      <c r="I208" s="2"/>
      <c r="J208" s="2"/>
      <c r="K208" s="1"/>
      <c r="L208" s="1"/>
      <c r="M208" s="1">
        <v>197</v>
      </c>
      <c r="N208" s="1" t="str">
        <f ca="1">IF(OR($U208=0,$W208="",$X208&lt;=0),"",IF($W208&gt;TODAY(),"",IF(AND(INDEX(UCRETLER!$E$7:$E$606,$U208)&lt;&gt;"",$W208&gt;INDEX(UCRETLER!$E$7:$E$606,$U208)),"",$W208)))</f>
        <v/>
      </c>
      <c r="O208" s="1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 t="str">
        <f t="shared" ca="1" si="53"/>
        <v/>
      </c>
      <c r="Q208" s="1"/>
      <c r="R208" s="1">
        <f t="shared" ca="1" si="54"/>
        <v>0</v>
      </c>
      <c r="S208" s="1">
        <v>0</v>
      </c>
      <c r="T208" s="1">
        <f t="shared" ca="1" si="50"/>
        <v>10000000000</v>
      </c>
      <c r="U208" s="1">
        <f t="shared" si="55"/>
        <v>0</v>
      </c>
      <c r="V208" s="1">
        <v>36</v>
      </c>
      <c r="W208" s="1" t="str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>0</v>
      </c>
      <c r="Y208" s="1">
        <f t="shared" ca="1" si="51"/>
        <v>10000000000</v>
      </c>
      <c r="Z208" s="1">
        <f t="shared" ca="1" si="52"/>
        <v>1</v>
      </c>
      <c r="AA208" s="1"/>
      <c r="AB208" s="1"/>
      <c r="AC208" s="1"/>
      <c r="AD208" s="1"/>
    </row>
    <row r="209" spans="1:30" ht="19.5" customHeight="1" x14ac:dyDescent="0.3">
      <c r="A209" s="2"/>
      <c r="B209" s="79" t="str">
        <f t="shared" ca="1" si="43"/>
        <v/>
      </c>
      <c r="C209" s="80" t="str">
        <f t="shared" ca="1" si="44"/>
        <v/>
      </c>
      <c r="D209" s="81" t="str">
        <f t="shared" ca="1" si="45"/>
        <v/>
      </c>
      <c r="E209" s="79" t="str">
        <f t="shared" ca="1" si="46"/>
        <v/>
      </c>
      <c r="F209" s="82" t="str">
        <f t="shared" ca="1" si="47"/>
        <v/>
      </c>
      <c r="G209" s="82" t="str">
        <f t="shared" ca="1" si="48"/>
        <v/>
      </c>
      <c r="H209" s="82" t="str">
        <f t="shared" ca="1" si="49"/>
        <v/>
      </c>
      <c r="I209" s="2"/>
      <c r="J209" s="2"/>
      <c r="K209" s="1"/>
      <c r="L209" s="1"/>
      <c r="M209" s="1">
        <v>198</v>
      </c>
      <c r="N209" s="1" t="str">
        <f ca="1">IF(OR($U209=0,$W209="",$X209&lt;=0),"",IF($W209&gt;TODAY(),"",IF(AND(INDEX(UCRETLER!$E$7:$E$606,$U209)&lt;&gt;"",$W209&gt;INDEX(UCRETLER!$E$7:$E$606,$U209)),"",$W209)))</f>
        <v/>
      </c>
      <c r="O209" s="1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 t="str">
        <f t="shared" ca="1" si="53"/>
        <v/>
      </c>
      <c r="Q209" s="1"/>
      <c r="R209" s="1">
        <f t="shared" ca="1" si="54"/>
        <v>0</v>
      </c>
      <c r="S209" s="1">
        <v>0</v>
      </c>
      <c r="T209" s="1">
        <f t="shared" ca="1" si="50"/>
        <v>10000000000</v>
      </c>
      <c r="U209" s="1">
        <f t="shared" si="55"/>
        <v>0</v>
      </c>
      <c r="V209" s="1">
        <v>37</v>
      </c>
      <c r="W209" s="1" t="str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>0</v>
      </c>
      <c r="Y209" s="1">
        <f t="shared" ca="1" si="51"/>
        <v>10000000000</v>
      </c>
      <c r="Z209" s="1">
        <f t="shared" ca="1" si="52"/>
        <v>1</v>
      </c>
      <c r="AA209" s="1"/>
      <c r="AB209" s="1"/>
      <c r="AC209" s="1"/>
      <c r="AD209" s="1"/>
    </row>
    <row r="210" spans="1:30" ht="19.5" customHeight="1" x14ac:dyDescent="0.3">
      <c r="A210" s="2"/>
      <c r="B210" s="79" t="str">
        <f t="shared" ca="1" si="43"/>
        <v/>
      </c>
      <c r="C210" s="80" t="str">
        <f t="shared" ca="1" si="44"/>
        <v/>
      </c>
      <c r="D210" s="81" t="str">
        <f t="shared" ca="1" si="45"/>
        <v/>
      </c>
      <c r="E210" s="79" t="str">
        <f t="shared" ca="1" si="46"/>
        <v/>
      </c>
      <c r="F210" s="82" t="str">
        <f t="shared" ca="1" si="47"/>
        <v/>
      </c>
      <c r="G210" s="82" t="str">
        <f t="shared" ca="1" si="48"/>
        <v/>
      </c>
      <c r="H210" s="82" t="str">
        <f t="shared" ca="1" si="49"/>
        <v/>
      </c>
      <c r="I210" s="2"/>
      <c r="J210" s="2"/>
      <c r="K210" s="1"/>
      <c r="L210" s="1"/>
      <c r="M210" s="1">
        <v>199</v>
      </c>
      <c r="N210" s="1" t="str">
        <f ca="1">IF(OR($U210=0,$W210="",$X210&lt;=0),"",IF($W210&gt;TODAY(),"",IF(AND(INDEX(UCRETLER!$E$7:$E$606,$U210)&lt;&gt;"",$W210&gt;INDEX(UCRETLER!$E$7:$E$606,$U210)),"",$W210)))</f>
        <v/>
      </c>
      <c r="O210" s="1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 t="str">
        <f t="shared" ca="1" si="53"/>
        <v/>
      </c>
      <c r="Q210" s="1"/>
      <c r="R210" s="1">
        <f t="shared" ca="1" si="54"/>
        <v>0</v>
      </c>
      <c r="S210" s="1">
        <v>0</v>
      </c>
      <c r="T210" s="1">
        <f t="shared" ca="1" si="50"/>
        <v>10000000000</v>
      </c>
      <c r="U210" s="1">
        <f t="shared" si="55"/>
        <v>0</v>
      </c>
      <c r="V210" s="1">
        <v>38</v>
      </c>
      <c r="W210" s="1" t="str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>0</v>
      </c>
      <c r="Y210" s="1">
        <f t="shared" ca="1" si="51"/>
        <v>10000000000</v>
      </c>
      <c r="Z210" s="1">
        <f t="shared" ca="1" si="52"/>
        <v>1</v>
      </c>
      <c r="AA210" s="1"/>
      <c r="AB210" s="1"/>
      <c r="AC210" s="1"/>
      <c r="AD210" s="1"/>
    </row>
    <row r="211" spans="1:30" ht="19.5" customHeight="1" x14ac:dyDescent="0.3">
      <c r="A211" s="2"/>
      <c r="B211" s="79" t="str">
        <f t="shared" ca="1" si="43"/>
        <v/>
      </c>
      <c r="C211" s="80" t="str">
        <f t="shared" ca="1" si="44"/>
        <v/>
      </c>
      <c r="D211" s="81" t="str">
        <f t="shared" ca="1" si="45"/>
        <v/>
      </c>
      <c r="E211" s="79" t="str">
        <f t="shared" ca="1" si="46"/>
        <v/>
      </c>
      <c r="F211" s="82" t="str">
        <f t="shared" ca="1" si="47"/>
        <v/>
      </c>
      <c r="G211" s="82" t="str">
        <f t="shared" ca="1" si="48"/>
        <v/>
      </c>
      <c r="H211" s="82" t="str">
        <f t="shared" ca="1" si="49"/>
        <v/>
      </c>
      <c r="I211" s="2"/>
      <c r="J211" s="2"/>
      <c r="K211" s="1"/>
      <c r="L211" s="1"/>
      <c r="M211" s="1">
        <v>200</v>
      </c>
      <c r="N211" s="1" t="str">
        <f ca="1">IF(OR($U211=0,$W211="",$X211&lt;=0),"",IF($W211&gt;TODAY(),"",IF(AND(INDEX(UCRETLER!$E$7:$E$606,$U211)&lt;&gt;"",$W211&gt;INDEX(UCRETLER!$E$7:$E$606,$U211)),"",$W211)))</f>
        <v/>
      </c>
      <c r="O211" s="1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 t="str">
        <f t="shared" ca="1" si="53"/>
        <v/>
      </c>
      <c r="Q211" s="1"/>
      <c r="R211" s="1">
        <f t="shared" ca="1" si="54"/>
        <v>0</v>
      </c>
      <c r="S211" s="1">
        <v>0</v>
      </c>
      <c r="T211" s="1">
        <f t="shared" ca="1" si="50"/>
        <v>10000000000</v>
      </c>
      <c r="U211" s="1">
        <f t="shared" si="55"/>
        <v>0</v>
      </c>
      <c r="V211" s="1">
        <v>39</v>
      </c>
      <c r="W211" s="1" t="str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>0</v>
      </c>
      <c r="Y211" s="1">
        <f t="shared" ca="1" si="51"/>
        <v>10000000000</v>
      </c>
      <c r="Z211" s="1">
        <f t="shared" ca="1" si="52"/>
        <v>1</v>
      </c>
      <c r="AA211" s="1"/>
      <c r="AB211" s="1"/>
      <c r="AC211" s="1"/>
      <c r="AD211" s="1"/>
    </row>
    <row r="212" spans="1:30" ht="19.5" customHeight="1" x14ac:dyDescent="0.3">
      <c r="A212" s="2"/>
      <c r="B212" s="79" t="str">
        <f t="shared" ca="1" si="43"/>
        <v/>
      </c>
      <c r="C212" s="80" t="str">
        <f t="shared" ca="1" si="44"/>
        <v/>
      </c>
      <c r="D212" s="81" t="str">
        <f t="shared" ca="1" si="45"/>
        <v/>
      </c>
      <c r="E212" s="79" t="str">
        <f t="shared" ca="1" si="46"/>
        <v/>
      </c>
      <c r="F212" s="82" t="str">
        <f t="shared" ca="1" si="47"/>
        <v/>
      </c>
      <c r="G212" s="82" t="str">
        <f t="shared" ca="1" si="48"/>
        <v/>
      </c>
      <c r="H212" s="82" t="str">
        <f t="shared" ca="1" si="49"/>
        <v/>
      </c>
      <c r="I212" s="2"/>
      <c r="J212" s="2"/>
      <c r="K212" s="1"/>
      <c r="L212" s="1"/>
      <c r="M212" s="1">
        <v>201</v>
      </c>
      <c r="N212" s="1" t="str">
        <f ca="1">IF(OR($U212=0,$W212="",$X212&lt;=0),"",IF($W212&gt;TODAY(),"",IF(AND(INDEX(UCRETLER!$E$7:$E$606,$U212)&lt;&gt;"",$W212&gt;INDEX(UCRETLER!$E$7:$E$606,$U212)),"",$W212)))</f>
        <v/>
      </c>
      <c r="O212" s="1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 t="str">
        <f t="shared" ca="1" si="53"/>
        <v/>
      </c>
      <c r="Q212" s="1"/>
      <c r="R212" s="1">
        <f t="shared" ca="1" si="54"/>
        <v>0</v>
      </c>
      <c r="S212" s="1">
        <v>0</v>
      </c>
      <c r="T212" s="1">
        <f t="shared" ca="1" si="50"/>
        <v>10000000000</v>
      </c>
      <c r="U212" s="1">
        <f t="shared" si="55"/>
        <v>0</v>
      </c>
      <c r="V212" s="1">
        <v>40</v>
      </c>
      <c r="W212" s="1" t="str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>0</v>
      </c>
      <c r="Y212" s="1">
        <f t="shared" ca="1" si="51"/>
        <v>10000000000</v>
      </c>
      <c r="Z212" s="1">
        <f t="shared" ca="1" si="52"/>
        <v>1</v>
      </c>
      <c r="AA212" s="1"/>
      <c r="AB212" s="1"/>
      <c r="AC212" s="1"/>
      <c r="AD212" s="1"/>
    </row>
    <row r="213" spans="1:30" ht="19.5" customHeight="1" x14ac:dyDescent="0.3">
      <c r="A213" s="2"/>
      <c r="B213" s="79" t="str">
        <f t="shared" ca="1" si="43"/>
        <v/>
      </c>
      <c r="C213" s="80" t="str">
        <f t="shared" ca="1" si="44"/>
        <v/>
      </c>
      <c r="D213" s="81" t="str">
        <f t="shared" ca="1" si="45"/>
        <v/>
      </c>
      <c r="E213" s="79" t="str">
        <f t="shared" ca="1" si="46"/>
        <v/>
      </c>
      <c r="F213" s="82" t="str">
        <f t="shared" ca="1" si="47"/>
        <v/>
      </c>
      <c r="G213" s="82" t="str">
        <f t="shared" ca="1" si="48"/>
        <v/>
      </c>
      <c r="H213" s="82" t="str">
        <f t="shared" ca="1" si="49"/>
        <v/>
      </c>
      <c r="I213" s="2"/>
      <c r="J213" s="2"/>
      <c r="K213" s="1"/>
      <c r="L213" s="1"/>
      <c r="M213" s="1">
        <v>202</v>
      </c>
      <c r="N213" s="1" t="str">
        <f ca="1">IF(OR($U213=0,$W213="",$X213&lt;=0),"",IF($W213&gt;TODAY(),"",IF(AND(INDEX(UCRETLER!$E$7:$E$606,$U213)&lt;&gt;"",$W213&gt;INDEX(UCRETLER!$E$7:$E$606,$U213)),"",$W213)))</f>
        <v/>
      </c>
      <c r="O213" s="1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 t="str">
        <f t="shared" ca="1" si="53"/>
        <v/>
      </c>
      <c r="Q213" s="1"/>
      <c r="R213" s="1">
        <f t="shared" ca="1" si="54"/>
        <v>0</v>
      </c>
      <c r="S213" s="1">
        <v>0</v>
      </c>
      <c r="T213" s="1">
        <f t="shared" ca="1" si="50"/>
        <v>10000000000</v>
      </c>
      <c r="U213" s="1">
        <f t="shared" si="55"/>
        <v>0</v>
      </c>
      <c r="V213" s="1">
        <v>41</v>
      </c>
      <c r="W213" s="1" t="str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>0</v>
      </c>
      <c r="Y213" s="1">
        <f t="shared" ca="1" si="51"/>
        <v>10000000000</v>
      </c>
      <c r="Z213" s="1">
        <f t="shared" ca="1" si="52"/>
        <v>1</v>
      </c>
      <c r="AA213" s="1"/>
      <c r="AB213" s="1"/>
      <c r="AC213" s="1"/>
      <c r="AD213" s="1"/>
    </row>
    <row r="214" spans="1:30" ht="19.5" customHeight="1" x14ac:dyDescent="0.3">
      <c r="A214" s="2"/>
      <c r="B214" s="79" t="str">
        <f t="shared" ca="1" si="43"/>
        <v/>
      </c>
      <c r="C214" s="80" t="str">
        <f t="shared" ca="1" si="44"/>
        <v/>
      </c>
      <c r="D214" s="81" t="str">
        <f t="shared" ca="1" si="45"/>
        <v/>
      </c>
      <c r="E214" s="79" t="str">
        <f t="shared" ca="1" si="46"/>
        <v/>
      </c>
      <c r="F214" s="82" t="str">
        <f t="shared" ca="1" si="47"/>
        <v/>
      </c>
      <c r="G214" s="82" t="str">
        <f t="shared" ca="1" si="48"/>
        <v/>
      </c>
      <c r="H214" s="82" t="str">
        <f t="shared" ca="1" si="49"/>
        <v/>
      </c>
      <c r="I214" s="2"/>
      <c r="J214" s="2"/>
      <c r="K214" s="1"/>
      <c r="L214" s="1"/>
      <c r="M214" s="1">
        <v>203</v>
      </c>
      <c r="N214" s="1" t="str">
        <f ca="1">IF(OR($U214=0,$W214="",$X214&lt;=0),"",IF($W214&gt;TODAY(),"",IF(AND(INDEX(UCRETLER!$E$7:$E$606,$U214)&lt;&gt;"",$W214&gt;INDEX(UCRETLER!$E$7:$E$606,$U214)),"",$W214)))</f>
        <v/>
      </c>
      <c r="O214" s="1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 t="str">
        <f t="shared" ca="1" si="53"/>
        <v/>
      </c>
      <c r="Q214" s="1"/>
      <c r="R214" s="1">
        <f t="shared" ca="1" si="54"/>
        <v>0</v>
      </c>
      <c r="S214" s="1">
        <v>0</v>
      </c>
      <c r="T214" s="1">
        <f t="shared" ca="1" si="50"/>
        <v>10000000000</v>
      </c>
      <c r="U214" s="1">
        <f t="shared" si="55"/>
        <v>0</v>
      </c>
      <c r="V214" s="1">
        <v>42</v>
      </c>
      <c r="W214" s="1" t="str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>0</v>
      </c>
      <c r="Y214" s="1">
        <f t="shared" ca="1" si="51"/>
        <v>10000000000</v>
      </c>
      <c r="Z214" s="1">
        <f t="shared" ca="1" si="52"/>
        <v>1</v>
      </c>
      <c r="AA214" s="1"/>
      <c r="AB214" s="1"/>
      <c r="AC214" s="1"/>
      <c r="AD214" s="1"/>
    </row>
    <row r="215" spans="1:30" ht="19.5" customHeight="1" x14ac:dyDescent="0.3">
      <c r="A215" s="2"/>
      <c r="B215" s="79" t="str">
        <f t="shared" ca="1" si="43"/>
        <v/>
      </c>
      <c r="C215" s="80" t="str">
        <f t="shared" ca="1" si="44"/>
        <v/>
      </c>
      <c r="D215" s="81" t="str">
        <f t="shared" ca="1" si="45"/>
        <v/>
      </c>
      <c r="E215" s="79" t="str">
        <f t="shared" ca="1" si="46"/>
        <v/>
      </c>
      <c r="F215" s="82" t="str">
        <f t="shared" ca="1" si="47"/>
        <v/>
      </c>
      <c r="G215" s="82" t="str">
        <f t="shared" ca="1" si="48"/>
        <v/>
      </c>
      <c r="H215" s="82" t="str">
        <f t="shared" ca="1" si="49"/>
        <v/>
      </c>
      <c r="I215" s="2"/>
      <c r="J215" s="2"/>
      <c r="K215" s="1"/>
      <c r="L215" s="1"/>
      <c r="M215" s="1">
        <v>204</v>
      </c>
      <c r="N215" s="1" t="str">
        <f ca="1">IF(OR($U215=0,$W215="",$X215&lt;=0),"",IF($W215&gt;TODAY(),"",IF(AND(INDEX(UCRETLER!$E$7:$E$606,$U215)&lt;&gt;"",$W215&gt;INDEX(UCRETLER!$E$7:$E$606,$U215)),"",$W215)))</f>
        <v/>
      </c>
      <c r="O215" s="1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 t="str">
        <f t="shared" ca="1" si="53"/>
        <v/>
      </c>
      <c r="Q215" s="1"/>
      <c r="R215" s="1">
        <f t="shared" ca="1" si="54"/>
        <v>0</v>
      </c>
      <c r="S215" s="1">
        <v>0</v>
      </c>
      <c r="T215" s="1">
        <f t="shared" ca="1" si="50"/>
        <v>10000000000</v>
      </c>
      <c r="U215" s="1">
        <f t="shared" si="55"/>
        <v>0</v>
      </c>
      <c r="V215" s="1">
        <v>43</v>
      </c>
      <c r="W215" s="1" t="str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>0</v>
      </c>
      <c r="Y215" s="1">
        <f t="shared" ca="1" si="51"/>
        <v>10000000000</v>
      </c>
      <c r="Z215" s="1">
        <f t="shared" ca="1" si="52"/>
        <v>1</v>
      </c>
      <c r="AA215" s="1"/>
      <c r="AB215" s="1"/>
      <c r="AC215" s="1"/>
      <c r="AD215" s="1"/>
    </row>
    <row r="216" spans="1:30" ht="19.5" customHeight="1" x14ac:dyDescent="0.3">
      <c r="A216" s="2"/>
      <c r="B216" s="79" t="str">
        <f t="shared" ca="1" si="43"/>
        <v/>
      </c>
      <c r="C216" s="80" t="str">
        <f t="shared" ca="1" si="44"/>
        <v/>
      </c>
      <c r="D216" s="81" t="str">
        <f t="shared" ca="1" si="45"/>
        <v/>
      </c>
      <c r="E216" s="79" t="str">
        <f t="shared" ca="1" si="46"/>
        <v/>
      </c>
      <c r="F216" s="82" t="str">
        <f t="shared" ca="1" si="47"/>
        <v/>
      </c>
      <c r="G216" s="82" t="str">
        <f t="shared" ca="1" si="48"/>
        <v/>
      </c>
      <c r="H216" s="82" t="str">
        <f t="shared" ca="1" si="49"/>
        <v/>
      </c>
      <c r="I216" s="2"/>
      <c r="J216" s="2"/>
      <c r="K216" s="1"/>
      <c r="L216" s="1"/>
      <c r="M216" s="1">
        <v>205</v>
      </c>
      <c r="N216" s="1" t="str">
        <f ca="1">IF(OR($U216=0,$W216="",$X216&lt;=0),"",IF($W216&gt;TODAY(),"",IF(AND(INDEX(UCRETLER!$E$7:$E$606,$U216)&lt;&gt;"",$W216&gt;INDEX(UCRETLER!$E$7:$E$606,$U216)),"",$W216)))</f>
        <v/>
      </c>
      <c r="O216" s="1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 t="str">
        <f t="shared" ca="1" si="53"/>
        <v/>
      </c>
      <c r="Q216" s="1"/>
      <c r="R216" s="1">
        <f t="shared" ca="1" si="54"/>
        <v>0</v>
      </c>
      <c r="S216" s="1">
        <v>0</v>
      </c>
      <c r="T216" s="1">
        <f t="shared" ca="1" si="50"/>
        <v>10000000000</v>
      </c>
      <c r="U216" s="1">
        <f t="shared" si="55"/>
        <v>0</v>
      </c>
      <c r="V216" s="1">
        <v>44</v>
      </c>
      <c r="W216" s="1" t="str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>0</v>
      </c>
      <c r="Y216" s="1">
        <f t="shared" ca="1" si="51"/>
        <v>10000000000</v>
      </c>
      <c r="Z216" s="1">
        <f t="shared" ca="1" si="52"/>
        <v>1</v>
      </c>
      <c r="AA216" s="1"/>
      <c r="AB216" s="1"/>
      <c r="AC216" s="1"/>
      <c r="AD216" s="1"/>
    </row>
    <row r="217" spans="1:30" ht="19.5" customHeight="1" x14ac:dyDescent="0.3">
      <c r="A217" s="2"/>
      <c r="B217" s="79" t="str">
        <f t="shared" ca="1" si="43"/>
        <v/>
      </c>
      <c r="C217" s="80" t="str">
        <f t="shared" ca="1" si="44"/>
        <v/>
      </c>
      <c r="D217" s="81" t="str">
        <f t="shared" ca="1" si="45"/>
        <v/>
      </c>
      <c r="E217" s="79" t="str">
        <f t="shared" ca="1" si="46"/>
        <v/>
      </c>
      <c r="F217" s="82" t="str">
        <f t="shared" ca="1" si="47"/>
        <v/>
      </c>
      <c r="G217" s="82" t="str">
        <f t="shared" ca="1" si="48"/>
        <v/>
      </c>
      <c r="H217" s="82" t="str">
        <f t="shared" ca="1" si="49"/>
        <v/>
      </c>
      <c r="I217" s="2"/>
      <c r="J217" s="2"/>
      <c r="K217" s="1"/>
      <c r="L217" s="1"/>
      <c r="M217" s="1">
        <v>206</v>
      </c>
      <c r="N217" s="1" t="str">
        <f ca="1">IF(OR($U217=0,$W217="",$X217&lt;=0),"",IF($W217&gt;TODAY(),"",IF(AND(INDEX(UCRETLER!$E$7:$E$606,$U217)&lt;&gt;"",$W217&gt;INDEX(UCRETLER!$E$7:$E$606,$U217)),"",$W217)))</f>
        <v/>
      </c>
      <c r="O217" s="1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 t="str">
        <f t="shared" ca="1" si="53"/>
        <v/>
      </c>
      <c r="Q217" s="1"/>
      <c r="R217" s="1">
        <f t="shared" ca="1" si="54"/>
        <v>0</v>
      </c>
      <c r="S217" s="1">
        <v>0</v>
      </c>
      <c r="T217" s="1">
        <f t="shared" ca="1" si="50"/>
        <v>10000000000</v>
      </c>
      <c r="U217" s="1">
        <f t="shared" si="55"/>
        <v>0</v>
      </c>
      <c r="V217" s="1">
        <v>45</v>
      </c>
      <c r="W217" s="1" t="str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>0</v>
      </c>
      <c r="Y217" s="1">
        <f t="shared" ca="1" si="51"/>
        <v>10000000000</v>
      </c>
      <c r="Z217" s="1">
        <f t="shared" ca="1" si="52"/>
        <v>1</v>
      </c>
      <c r="AA217" s="1"/>
      <c r="AB217" s="1"/>
      <c r="AC217" s="1"/>
      <c r="AD217" s="1"/>
    </row>
    <row r="218" spans="1:30" ht="19.5" customHeight="1" x14ac:dyDescent="0.3">
      <c r="A218" s="2"/>
      <c r="B218" s="79" t="str">
        <f t="shared" ca="1" si="43"/>
        <v/>
      </c>
      <c r="C218" s="80" t="str">
        <f t="shared" ca="1" si="44"/>
        <v/>
      </c>
      <c r="D218" s="81" t="str">
        <f t="shared" ca="1" si="45"/>
        <v/>
      </c>
      <c r="E218" s="79" t="str">
        <f t="shared" ca="1" si="46"/>
        <v/>
      </c>
      <c r="F218" s="82" t="str">
        <f t="shared" ca="1" si="47"/>
        <v/>
      </c>
      <c r="G218" s="82" t="str">
        <f t="shared" ca="1" si="48"/>
        <v/>
      </c>
      <c r="H218" s="82" t="str">
        <f t="shared" ca="1" si="49"/>
        <v/>
      </c>
      <c r="I218" s="2"/>
      <c r="J218" s="2"/>
      <c r="K218" s="1"/>
      <c r="L218" s="1"/>
      <c r="M218" s="1">
        <v>207</v>
      </c>
      <c r="N218" s="1" t="str">
        <f ca="1">IF(OR($U218=0,$W218="",$X218&lt;=0),"",IF($W218&gt;TODAY(),"",IF(AND(INDEX(UCRETLER!$E$7:$E$606,$U218)&lt;&gt;"",$W218&gt;INDEX(UCRETLER!$E$7:$E$606,$U218)),"",$W218)))</f>
        <v/>
      </c>
      <c r="O218" s="1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 t="str">
        <f t="shared" ca="1" si="53"/>
        <v/>
      </c>
      <c r="Q218" s="1"/>
      <c r="R218" s="1">
        <f t="shared" ca="1" si="54"/>
        <v>0</v>
      </c>
      <c r="S218" s="1">
        <v>0</v>
      </c>
      <c r="T218" s="1">
        <f t="shared" ca="1" si="50"/>
        <v>10000000000</v>
      </c>
      <c r="U218" s="1">
        <f t="shared" si="55"/>
        <v>0</v>
      </c>
      <c r="V218" s="1">
        <v>46</v>
      </c>
      <c r="W218" s="1" t="str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>0</v>
      </c>
      <c r="Y218" s="1">
        <f t="shared" ca="1" si="51"/>
        <v>10000000000</v>
      </c>
      <c r="Z218" s="1">
        <f t="shared" ca="1" si="52"/>
        <v>1</v>
      </c>
      <c r="AA218" s="1"/>
      <c r="AB218" s="1"/>
      <c r="AC218" s="1"/>
      <c r="AD218" s="1"/>
    </row>
    <row r="219" spans="1:30" ht="19.5" customHeight="1" x14ac:dyDescent="0.3">
      <c r="A219" s="2"/>
      <c r="B219" s="79" t="str">
        <f t="shared" ca="1" si="43"/>
        <v/>
      </c>
      <c r="C219" s="80" t="str">
        <f t="shared" ca="1" si="44"/>
        <v/>
      </c>
      <c r="D219" s="81" t="str">
        <f t="shared" ca="1" si="45"/>
        <v/>
      </c>
      <c r="E219" s="79" t="str">
        <f t="shared" ca="1" si="46"/>
        <v/>
      </c>
      <c r="F219" s="82" t="str">
        <f t="shared" ca="1" si="47"/>
        <v/>
      </c>
      <c r="G219" s="82" t="str">
        <f t="shared" ca="1" si="48"/>
        <v/>
      </c>
      <c r="H219" s="82" t="str">
        <f t="shared" ca="1" si="49"/>
        <v/>
      </c>
      <c r="I219" s="2"/>
      <c r="J219" s="2"/>
      <c r="K219" s="1"/>
      <c r="L219" s="1"/>
      <c r="M219" s="1">
        <v>208</v>
      </c>
      <c r="N219" s="1" t="str">
        <f ca="1">IF(OR($U219=0,$W219="",$X219&lt;=0),"",IF($W219&gt;TODAY(),"",IF(AND(INDEX(UCRETLER!$E$7:$E$606,$U219)&lt;&gt;"",$W219&gt;INDEX(UCRETLER!$E$7:$E$606,$U219)),"",$W219)))</f>
        <v/>
      </c>
      <c r="O219" s="1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 t="str">
        <f t="shared" ca="1" si="53"/>
        <v/>
      </c>
      <c r="Q219" s="1"/>
      <c r="R219" s="1">
        <f t="shared" ca="1" si="54"/>
        <v>0</v>
      </c>
      <c r="S219" s="1">
        <v>0</v>
      </c>
      <c r="T219" s="1">
        <f t="shared" ca="1" si="50"/>
        <v>10000000000</v>
      </c>
      <c r="U219" s="1">
        <f t="shared" si="55"/>
        <v>0</v>
      </c>
      <c r="V219" s="1">
        <v>47</v>
      </c>
      <c r="W219" s="1" t="str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>0</v>
      </c>
      <c r="Y219" s="1">
        <f t="shared" ca="1" si="51"/>
        <v>10000000000</v>
      </c>
      <c r="Z219" s="1">
        <f t="shared" ca="1" si="52"/>
        <v>1</v>
      </c>
      <c r="AA219" s="1"/>
      <c r="AB219" s="1"/>
      <c r="AC219" s="1"/>
      <c r="AD219" s="1"/>
    </row>
    <row r="220" spans="1:30" ht="19.5" customHeight="1" x14ac:dyDescent="0.3">
      <c r="A220" s="2"/>
      <c r="B220" s="79" t="str">
        <f t="shared" ca="1" si="43"/>
        <v/>
      </c>
      <c r="C220" s="80" t="str">
        <f t="shared" ca="1" si="44"/>
        <v/>
      </c>
      <c r="D220" s="81" t="str">
        <f t="shared" ca="1" si="45"/>
        <v/>
      </c>
      <c r="E220" s="79" t="str">
        <f t="shared" ca="1" si="46"/>
        <v/>
      </c>
      <c r="F220" s="82" t="str">
        <f t="shared" ca="1" si="47"/>
        <v/>
      </c>
      <c r="G220" s="82" t="str">
        <f t="shared" ca="1" si="48"/>
        <v/>
      </c>
      <c r="H220" s="82" t="str">
        <f t="shared" ca="1" si="49"/>
        <v/>
      </c>
      <c r="I220" s="2"/>
      <c r="J220" s="2"/>
      <c r="K220" s="1"/>
      <c r="L220" s="1"/>
      <c r="M220" s="1">
        <v>209</v>
      </c>
      <c r="N220" s="1" t="str">
        <f ca="1">IF(OR($U220=0,$W220="",$X220&lt;=0),"",IF($W220&gt;TODAY(),"",IF(AND(INDEX(UCRETLER!$E$7:$E$606,$U220)&lt;&gt;"",$W220&gt;INDEX(UCRETLER!$E$7:$E$606,$U220)),"",$W220)))</f>
        <v/>
      </c>
      <c r="O220" s="1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 t="str">
        <f t="shared" ca="1" si="53"/>
        <v/>
      </c>
      <c r="Q220" s="1"/>
      <c r="R220" s="1">
        <f t="shared" ca="1" si="54"/>
        <v>0</v>
      </c>
      <c r="S220" s="1">
        <v>0</v>
      </c>
      <c r="T220" s="1">
        <f t="shared" ca="1" si="50"/>
        <v>10000000000</v>
      </c>
      <c r="U220" s="1">
        <f t="shared" si="55"/>
        <v>0</v>
      </c>
      <c r="V220" s="1">
        <v>48</v>
      </c>
      <c r="W220" s="1" t="str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>0</v>
      </c>
      <c r="Y220" s="1">
        <f t="shared" ca="1" si="51"/>
        <v>10000000000</v>
      </c>
      <c r="Z220" s="1">
        <f t="shared" ca="1" si="52"/>
        <v>1</v>
      </c>
      <c r="AA220" s="1"/>
      <c r="AB220" s="1"/>
      <c r="AC220" s="1"/>
      <c r="AD220" s="1"/>
    </row>
    <row r="221" spans="1:30" ht="19.5" customHeight="1" x14ac:dyDescent="0.3">
      <c r="A221" s="2"/>
      <c r="B221" s="79" t="str">
        <f t="shared" ca="1" si="43"/>
        <v/>
      </c>
      <c r="C221" s="80" t="str">
        <f t="shared" ca="1" si="44"/>
        <v/>
      </c>
      <c r="D221" s="81" t="str">
        <f t="shared" ca="1" si="45"/>
        <v/>
      </c>
      <c r="E221" s="79" t="str">
        <f t="shared" ca="1" si="46"/>
        <v/>
      </c>
      <c r="F221" s="82" t="str">
        <f t="shared" ca="1" si="47"/>
        <v/>
      </c>
      <c r="G221" s="82" t="str">
        <f t="shared" ca="1" si="48"/>
        <v/>
      </c>
      <c r="H221" s="82" t="str">
        <f t="shared" ca="1" si="49"/>
        <v/>
      </c>
      <c r="I221" s="2"/>
      <c r="J221" s="2"/>
      <c r="K221" s="1"/>
      <c r="L221" s="1"/>
      <c r="M221" s="1">
        <v>210</v>
      </c>
      <c r="N221" s="1" t="str">
        <f ca="1">IF(OR($U221=0,$W221="",$X221&lt;=0),"",IF($W221&gt;TODAY(),"",IF(AND(INDEX(UCRETLER!$E$7:$E$606,$U221)&lt;&gt;"",$W221&gt;INDEX(UCRETLER!$E$7:$E$606,$U221)),"",$W221)))</f>
        <v/>
      </c>
      <c r="O221" s="1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 t="str">
        <f t="shared" ca="1" si="53"/>
        <v/>
      </c>
      <c r="Q221" s="1"/>
      <c r="R221" s="1">
        <f t="shared" ca="1" si="54"/>
        <v>0</v>
      </c>
      <c r="S221" s="1">
        <v>0</v>
      </c>
      <c r="T221" s="1">
        <f t="shared" ca="1" si="50"/>
        <v>10000000000</v>
      </c>
      <c r="U221" s="1">
        <f t="shared" si="55"/>
        <v>0</v>
      </c>
      <c r="V221" s="1">
        <v>49</v>
      </c>
      <c r="W221" s="1" t="str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>0</v>
      </c>
      <c r="Y221" s="1">
        <f t="shared" ca="1" si="51"/>
        <v>10000000000</v>
      </c>
      <c r="Z221" s="1">
        <f t="shared" ca="1" si="52"/>
        <v>1</v>
      </c>
      <c r="AA221" s="1"/>
      <c r="AB221" s="1"/>
      <c r="AC221" s="1"/>
      <c r="AD221" s="1"/>
    </row>
    <row r="222" spans="1:30" ht="19.5" customHeight="1" x14ac:dyDescent="0.3">
      <c r="A222" s="2"/>
      <c r="B222" s="79" t="str">
        <f t="shared" ca="1" si="43"/>
        <v/>
      </c>
      <c r="C222" s="80" t="str">
        <f t="shared" ca="1" si="44"/>
        <v/>
      </c>
      <c r="D222" s="81" t="str">
        <f t="shared" ca="1" si="45"/>
        <v/>
      </c>
      <c r="E222" s="79" t="str">
        <f t="shared" ca="1" si="46"/>
        <v/>
      </c>
      <c r="F222" s="82" t="str">
        <f t="shared" ca="1" si="47"/>
        <v/>
      </c>
      <c r="G222" s="82" t="str">
        <f t="shared" ca="1" si="48"/>
        <v/>
      </c>
      <c r="H222" s="82" t="str">
        <f t="shared" ca="1" si="49"/>
        <v/>
      </c>
      <c r="I222" s="2"/>
      <c r="J222" s="2"/>
      <c r="K222" s="1"/>
      <c r="L222" s="1"/>
      <c r="M222" s="1">
        <v>211</v>
      </c>
      <c r="N222" s="1" t="str">
        <f ca="1">IF(OR($U222=0,$W222="",$X222&lt;=0),"",IF($W222&gt;TODAY(),"",IF(AND(INDEX(UCRETLER!$E$7:$E$606,$U222)&lt;&gt;"",$W222&gt;INDEX(UCRETLER!$E$7:$E$606,$U222)),"",$W222)))</f>
        <v/>
      </c>
      <c r="O222" s="1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 t="str">
        <f t="shared" ca="1" si="53"/>
        <v/>
      </c>
      <c r="Q222" s="1"/>
      <c r="R222" s="1">
        <f t="shared" ca="1" si="54"/>
        <v>0</v>
      </c>
      <c r="S222" s="1">
        <v>0</v>
      </c>
      <c r="T222" s="1">
        <f t="shared" ca="1" si="50"/>
        <v>10000000000</v>
      </c>
      <c r="U222" s="1">
        <f t="shared" si="55"/>
        <v>0</v>
      </c>
      <c r="V222" s="1">
        <v>50</v>
      </c>
      <c r="W222" s="1" t="str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>0</v>
      </c>
      <c r="Y222" s="1">
        <f t="shared" ca="1" si="51"/>
        <v>10000000000</v>
      </c>
      <c r="Z222" s="1">
        <f t="shared" ca="1" si="52"/>
        <v>1</v>
      </c>
      <c r="AA222" s="1"/>
      <c r="AB222" s="1"/>
      <c r="AC222" s="1"/>
      <c r="AD222" s="1"/>
    </row>
    <row r="223" spans="1:30" ht="19.5" customHeight="1" x14ac:dyDescent="0.3">
      <c r="A223" s="2"/>
      <c r="B223" s="79" t="str">
        <f t="shared" ca="1" si="43"/>
        <v/>
      </c>
      <c r="C223" s="80" t="str">
        <f t="shared" ca="1" si="44"/>
        <v/>
      </c>
      <c r="D223" s="81" t="str">
        <f t="shared" ca="1" si="45"/>
        <v/>
      </c>
      <c r="E223" s="79" t="str">
        <f t="shared" ca="1" si="46"/>
        <v/>
      </c>
      <c r="F223" s="82" t="str">
        <f t="shared" ca="1" si="47"/>
        <v/>
      </c>
      <c r="G223" s="82" t="str">
        <f t="shared" ca="1" si="48"/>
        <v/>
      </c>
      <c r="H223" s="82" t="str">
        <f t="shared" ca="1" si="49"/>
        <v/>
      </c>
      <c r="I223" s="2"/>
      <c r="J223" s="2"/>
      <c r="K223" s="1"/>
      <c r="L223" s="1"/>
      <c r="M223" s="1">
        <v>212</v>
      </c>
      <c r="N223" s="1" t="str">
        <f ca="1">IF(OR($U223=0,$W223="",$X223&lt;=0),"",IF($W223&gt;TODAY(),"",IF(AND(INDEX(UCRETLER!$E$7:$E$606,$U223)&lt;&gt;"",$W223&gt;INDEX(UCRETLER!$E$7:$E$606,$U223)),"",$W223)))</f>
        <v/>
      </c>
      <c r="O223" s="1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 t="str">
        <f t="shared" ca="1" si="53"/>
        <v/>
      </c>
      <c r="Q223" s="1"/>
      <c r="R223" s="1">
        <f t="shared" ca="1" si="54"/>
        <v>0</v>
      </c>
      <c r="S223" s="1">
        <v>0</v>
      </c>
      <c r="T223" s="1">
        <f t="shared" ca="1" si="50"/>
        <v>10000000000</v>
      </c>
      <c r="U223" s="1">
        <f t="shared" si="55"/>
        <v>0</v>
      </c>
      <c r="V223" s="1">
        <v>51</v>
      </c>
      <c r="W223" s="1" t="str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>0</v>
      </c>
      <c r="Y223" s="1">
        <f t="shared" ca="1" si="51"/>
        <v>10000000000</v>
      </c>
      <c r="Z223" s="1">
        <f t="shared" ca="1" si="52"/>
        <v>1</v>
      </c>
      <c r="AA223" s="1"/>
      <c r="AB223" s="1"/>
      <c r="AC223" s="1"/>
      <c r="AD223" s="1"/>
    </row>
    <row r="224" spans="1:30" ht="19.5" customHeight="1" x14ac:dyDescent="0.3">
      <c r="A224" s="2"/>
      <c r="B224" s="79" t="str">
        <f t="shared" ca="1" si="43"/>
        <v/>
      </c>
      <c r="C224" s="80" t="str">
        <f t="shared" ca="1" si="44"/>
        <v/>
      </c>
      <c r="D224" s="81" t="str">
        <f t="shared" ca="1" si="45"/>
        <v/>
      </c>
      <c r="E224" s="79" t="str">
        <f t="shared" ca="1" si="46"/>
        <v/>
      </c>
      <c r="F224" s="82" t="str">
        <f t="shared" ca="1" si="47"/>
        <v/>
      </c>
      <c r="G224" s="82" t="str">
        <f t="shared" ca="1" si="48"/>
        <v/>
      </c>
      <c r="H224" s="82" t="str">
        <f t="shared" ca="1" si="49"/>
        <v/>
      </c>
      <c r="I224" s="2"/>
      <c r="J224" s="2"/>
      <c r="K224" s="1"/>
      <c r="L224" s="1"/>
      <c r="M224" s="1">
        <v>213</v>
      </c>
      <c r="N224" s="1" t="str">
        <f ca="1">IF(OR($U224=0,$W224="",$X224&lt;=0),"",IF($W224&gt;TODAY(),"",IF(AND(INDEX(UCRETLER!$E$7:$E$606,$U224)&lt;&gt;"",$W224&gt;INDEX(UCRETLER!$E$7:$E$606,$U224)),"",$W224)))</f>
        <v/>
      </c>
      <c r="O224" s="1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 t="str">
        <f t="shared" ca="1" si="53"/>
        <v/>
      </c>
      <c r="Q224" s="1"/>
      <c r="R224" s="1">
        <f t="shared" ca="1" si="54"/>
        <v>0</v>
      </c>
      <c r="S224" s="1">
        <v>0</v>
      </c>
      <c r="T224" s="1">
        <f t="shared" ca="1" si="50"/>
        <v>10000000000</v>
      </c>
      <c r="U224" s="1">
        <f t="shared" si="55"/>
        <v>0</v>
      </c>
      <c r="V224" s="1">
        <v>52</v>
      </c>
      <c r="W224" s="1" t="str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>0</v>
      </c>
      <c r="Y224" s="1">
        <f t="shared" ca="1" si="51"/>
        <v>10000000000</v>
      </c>
      <c r="Z224" s="1">
        <f t="shared" ca="1" si="52"/>
        <v>1</v>
      </c>
      <c r="AA224" s="1"/>
      <c r="AB224" s="1"/>
      <c r="AC224" s="1"/>
      <c r="AD224" s="1"/>
    </row>
    <row r="225" spans="1:30" ht="19.5" customHeight="1" x14ac:dyDescent="0.3">
      <c r="A225" s="2"/>
      <c r="B225" s="79" t="str">
        <f t="shared" ca="1" si="43"/>
        <v/>
      </c>
      <c r="C225" s="80" t="str">
        <f t="shared" ca="1" si="44"/>
        <v/>
      </c>
      <c r="D225" s="81" t="str">
        <f t="shared" ca="1" si="45"/>
        <v/>
      </c>
      <c r="E225" s="79" t="str">
        <f t="shared" ca="1" si="46"/>
        <v/>
      </c>
      <c r="F225" s="82" t="str">
        <f t="shared" ca="1" si="47"/>
        <v/>
      </c>
      <c r="G225" s="82" t="str">
        <f t="shared" ca="1" si="48"/>
        <v/>
      </c>
      <c r="H225" s="82" t="str">
        <f t="shared" ca="1" si="49"/>
        <v/>
      </c>
      <c r="I225" s="2"/>
      <c r="J225" s="2"/>
      <c r="K225" s="1"/>
      <c r="L225" s="1"/>
      <c r="M225" s="1">
        <v>214</v>
      </c>
      <c r="N225" s="1" t="str">
        <f ca="1">IF(OR($U225=0,$W225="",$X225&lt;=0),"",IF($W225&gt;TODAY(),"",IF(AND(INDEX(UCRETLER!$E$7:$E$606,$U225)&lt;&gt;"",$W225&gt;INDEX(UCRETLER!$E$7:$E$606,$U225)),"",$W225)))</f>
        <v/>
      </c>
      <c r="O225" s="1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 t="str">
        <f t="shared" ca="1" si="53"/>
        <v/>
      </c>
      <c r="Q225" s="1"/>
      <c r="R225" s="1">
        <f t="shared" ca="1" si="54"/>
        <v>0</v>
      </c>
      <c r="S225" s="1">
        <v>0</v>
      </c>
      <c r="T225" s="1">
        <f t="shared" ca="1" si="50"/>
        <v>10000000000</v>
      </c>
      <c r="U225" s="1">
        <f t="shared" si="55"/>
        <v>0</v>
      </c>
      <c r="V225" s="1">
        <v>53</v>
      </c>
      <c r="W225" s="1" t="str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>0</v>
      </c>
      <c r="Y225" s="1">
        <f t="shared" ca="1" si="51"/>
        <v>10000000000</v>
      </c>
      <c r="Z225" s="1">
        <f t="shared" ca="1" si="52"/>
        <v>1</v>
      </c>
      <c r="AA225" s="1"/>
      <c r="AB225" s="1"/>
      <c r="AC225" s="1"/>
      <c r="AD225" s="1"/>
    </row>
    <row r="226" spans="1:30" ht="19.5" customHeight="1" x14ac:dyDescent="0.3">
      <c r="A226" s="2"/>
      <c r="B226" s="79" t="str">
        <f t="shared" ca="1" si="43"/>
        <v/>
      </c>
      <c r="C226" s="80" t="str">
        <f t="shared" ca="1" si="44"/>
        <v/>
      </c>
      <c r="D226" s="81" t="str">
        <f t="shared" ca="1" si="45"/>
        <v/>
      </c>
      <c r="E226" s="79" t="str">
        <f t="shared" ca="1" si="46"/>
        <v/>
      </c>
      <c r="F226" s="82" t="str">
        <f t="shared" ca="1" si="47"/>
        <v/>
      </c>
      <c r="G226" s="82" t="str">
        <f t="shared" ca="1" si="48"/>
        <v/>
      </c>
      <c r="H226" s="82" t="str">
        <f t="shared" ca="1" si="49"/>
        <v/>
      </c>
      <c r="I226" s="2"/>
      <c r="J226" s="2"/>
      <c r="K226" s="1"/>
      <c r="L226" s="1"/>
      <c r="M226" s="1">
        <v>215</v>
      </c>
      <c r="N226" s="1" t="str">
        <f ca="1">IF(OR($U226=0,$W226="",$X226&lt;=0),"",IF($W226&gt;TODAY(),"",IF(AND(INDEX(UCRETLER!$E$7:$E$606,$U226)&lt;&gt;"",$W226&gt;INDEX(UCRETLER!$E$7:$E$606,$U226)),"",$W226)))</f>
        <v/>
      </c>
      <c r="O226" s="1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 t="str">
        <f t="shared" ca="1" si="53"/>
        <v/>
      </c>
      <c r="Q226" s="1"/>
      <c r="R226" s="1">
        <f t="shared" ca="1" si="54"/>
        <v>0</v>
      </c>
      <c r="S226" s="1">
        <v>0</v>
      </c>
      <c r="T226" s="1">
        <f t="shared" ca="1" si="50"/>
        <v>10000000000</v>
      </c>
      <c r="U226" s="1">
        <f t="shared" si="55"/>
        <v>0</v>
      </c>
      <c r="V226" s="1">
        <v>54</v>
      </c>
      <c r="W226" s="1" t="str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>0</v>
      </c>
      <c r="Y226" s="1">
        <f t="shared" ca="1" si="51"/>
        <v>10000000000</v>
      </c>
      <c r="Z226" s="1">
        <f t="shared" ca="1" si="52"/>
        <v>1</v>
      </c>
      <c r="AA226" s="1"/>
      <c r="AB226" s="1"/>
      <c r="AC226" s="1"/>
      <c r="AD226" s="1"/>
    </row>
    <row r="227" spans="1:30" ht="19.5" customHeight="1" x14ac:dyDescent="0.3">
      <c r="A227" s="2"/>
      <c r="B227" s="79" t="str">
        <f t="shared" ca="1" si="43"/>
        <v/>
      </c>
      <c r="C227" s="80" t="str">
        <f t="shared" ca="1" si="44"/>
        <v/>
      </c>
      <c r="D227" s="81" t="str">
        <f t="shared" ca="1" si="45"/>
        <v/>
      </c>
      <c r="E227" s="79" t="str">
        <f t="shared" ca="1" si="46"/>
        <v/>
      </c>
      <c r="F227" s="82" t="str">
        <f t="shared" ca="1" si="47"/>
        <v/>
      </c>
      <c r="G227" s="82" t="str">
        <f t="shared" ca="1" si="48"/>
        <v/>
      </c>
      <c r="H227" s="82" t="str">
        <f t="shared" ca="1" si="49"/>
        <v/>
      </c>
      <c r="I227" s="2"/>
      <c r="J227" s="2"/>
      <c r="K227" s="1"/>
      <c r="L227" s="1"/>
      <c r="M227" s="1">
        <v>216</v>
      </c>
      <c r="N227" s="1" t="str">
        <f ca="1">IF(OR($U227=0,$W227="",$X227&lt;=0),"",IF($W227&gt;TODAY(),"",IF(AND(INDEX(UCRETLER!$E$7:$E$606,$U227)&lt;&gt;"",$W227&gt;INDEX(UCRETLER!$E$7:$E$606,$U227)),"",$W227)))</f>
        <v/>
      </c>
      <c r="O227" s="1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 t="str">
        <f t="shared" ca="1" si="53"/>
        <v/>
      </c>
      <c r="Q227" s="1"/>
      <c r="R227" s="1">
        <f t="shared" ca="1" si="54"/>
        <v>0</v>
      </c>
      <c r="S227" s="1">
        <v>0</v>
      </c>
      <c r="T227" s="1">
        <f t="shared" ca="1" si="50"/>
        <v>10000000000</v>
      </c>
      <c r="U227" s="1">
        <f t="shared" si="55"/>
        <v>0</v>
      </c>
      <c r="V227" s="1">
        <v>55</v>
      </c>
      <c r="W227" s="1" t="str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>0</v>
      </c>
      <c r="Y227" s="1">
        <f t="shared" ca="1" si="51"/>
        <v>10000000000</v>
      </c>
      <c r="Z227" s="1">
        <f t="shared" ca="1" si="52"/>
        <v>1</v>
      </c>
      <c r="AA227" s="1"/>
      <c r="AB227" s="1"/>
      <c r="AC227" s="1"/>
      <c r="AD227" s="1"/>
    </row>
    <row r="228" spans="1:30" ht="19.5" customHeight="1" x14ac:dyDescent="0.3">
      <c r="A228" s="2"/>
      <c r="B228" s="79" t="str">
        <f t="shared" ca="1" si="43"/>
        <v/>
      </c>
      <c r="C228" s="80" t="str">
        <f t="shared" ca="1" si="44"/>
        <v/>
      </c>
      <c r="D228" s="81" t="str">
        <f t="shared" ca="1" si="45"/>
        <v/>
      </c>
      <c r="E228" s="79" t="str">
        <f t="shared" ca="1" si="46"/>
        <v/>
      </c>
      <c r="F228" s="82" t="str">
        <f t="shared" ca="1" si="47"/>
        <v/>
      </c>
      <c r="G228" s="82" t="str">
        <f t="shared" ca="1" si="48"/>
        <v/>
      </c>
      <c r="H228" s="82" t="str">
        <f t="shared" ca="1" si="49"/>
        <v/>
      </c>
      <c r="I228" s="2"/>
      <c r="J228" s="2"/>
      <c r="K228" s="1"/>
      <c r="L228" s="1"/>
      <c r="M228" s="1">
        <v>217</v>
      </c>
      <c r="N228" s="1" t="str">
        <f ca="1">IF(OR($U228=0,$W228="",$X228&lt;=0),"",IF($W228&gt;TODAY(),"",IF(AND(INDEX(UCRETLER!$E$7:$E$606,$U228)&lt;&gt;"",$W228&gt;INDEX(UCRETLER!$E$7:$E$606,$U228)),"",$W228)))</f>
        <v/>
      </c>
      <c r="O228" s="1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 t="str">
        <f t="shared" ca="1" si="53"/>
        <v/>
      </c>
      <c r="Q228" s="1"/>
      <c r="R228" s="1">
        <f t="shared" ca="1" si="54"/>
        <v>0</v>
      </c>
      <c r="S228" s="1">
        <v>0</v>
      </c>
      <c r="T228" s="1">
        <f t="shared" ca="1" si="50"/>
        <v>10000000000</v>
      </c>
      <c r="U228" s="1">
        <f t="shared" si="55"/>
        <v>0</v>
      </c>
      <c r="V228" s="1">
        <v>56</v>
      </c>
      <c r="W228" s="1" t="str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>0</v>
      </c>
      <c r="Y228" s="1">
        <f t="shared" ca="1" si="51"/>
        <v>10000000000</v>
      </c>
      <c r="Z228" s="1">
        <f t="shared" ca="1" si="52"/>
        <v>1</v>
      </c>
      <c r="AA228" s="1"/>
      <c r="AB228" s="1"/>
      <c r="AC228" s="1"/>
      <c r="AD228" s="1"/>
    </row>
    <row r="229" spans="1:30" ht="19.5" customHeight="1" x14ac:dyDescent="0.3">
      <c r="A229" s="2"/>
      <c r="B229" s="79" t="str">
        <f t="shared" ca="1" si="43"/>
        <v/>
      </c>
      <c r="C229" s="80" t="str">
        <f t="shared" ca="1" si="44"/>
        <v/>
      </c>
      <c r="D229" s="81" t="str">
        <f t="shared" ca="1" si="45"/>
        <v/>
      </c>
      <c r="E229" s="79" t="str">
        <f t="shared" ca="1" si="46"/>
        <v/>
      </c>
      <c r="F229" s="82" t="str">
        <f t="shared" ca="1" si="47"/>
        <v/>
      </c>
      <c r="G229" s="82" t="str">
        <f t="shared" ca="1" si="48"/>
        <v/>
      </c>
      <c r="H229" s="82" t="str">
        <f t="shared" ca="1" si="49"/>
        <v/>
      </c>
      <c r="I229" s="2"/>
      <c r="J229" s="2"/>
      <c r="K229" s="1"/>
      <c r="L229" s="1"/>
      <c r="M229" s="1">
        <v>218</v>
      </c>
      <c r="N229" s="1" t="str">
        <f ca="1">IF(OR($U229=0,$W229="",$X229&lt;=0),"",IF($W229&gt;TODAY(),"",IF(AND(INDEX(UCRETLER!$E$7:$E$606,$U229)&lt;&gt;"",$W229&gt;INDEX(UCRETLER!$E$7:$E$606,$U229)),"",$W229)))</f>
        <v/>
      </c>
      <c r="O229" s="1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 t="str">
        <f t="shared" ca="1" si="53"/>
        <v/>
      </c>
      <c r="Q229" s="1"/>
      <c r="R229" s="1">
        <f t="shared" ca="1" si="54"/>
        <v>0</v>
      </c>
      <c r="S229" s="1">
        <v>0</v>
      </c>
      <c r="T229" s="1">
        <f t="shared" ca="1" si="50"/>
        <v>10000000000</v>
      </c>
      <c r="U229" s="1">
        <f t="shared" si="55"/>
        <v>0</v>
      </c>
      <c r="V229" s="1">
        <v>57</v>
      </c>
      <c r="W229" s="1" t="str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>0</v>
      </c>
      <c r="Y229" s="1">
        <f t="shared" ca="1" si="51"/>
        <v>10000000000</v>
      </c>
      <c r="Z229" s="1">
        <f t="shared" ca="1" si="52"/>
        <v>1</v>
      </c>
      <c r="AA229" s="1"/>
      <c r="AB229" s="1"/>
      <c r="AC229" s="1"/>
      <c r="AD229" s="1"/>
    </row>
    <row r="230" spans="1:30" ht="19.5" customHeight="1" x14ac:dyDescent="0.3">
      <c r="A230" s="2"/>
      <c r="B230" s="79" t="str">
        <f t="shared" ca="1" si="43"/>
        <v/>
      </c>
      <c r="C230" s="80" t="str">
        <f t="shared" ca="1" si="44"/>
        <v/>
      </c>
      <c r="D230" s="81" t="str">
        <f t="shared" ca="1" si="45"/>
        <v/>
      </c>
      <c r="E230" s="79" t="str">
        <f t="shared" ca="1" si="46"/>
        <v/>
      </c>
      <c r="F230" s="82" t="str">
        <f t="shared" ca="1" si="47"/>
        <v/>
      </c>
      <c r="G230" s="82" t="str">
        <f t="shared" ca="1" si="48"/>
        <v/>
      </c>
      <c r="H230" s="82" t="str">
        <f t="shared" ca="1" si="49"/>
        <v/>
      </c>
      <c r="I230" s="2"/>
      <c r="J230" s="2"/>
      <c r="K230" s="1"/>
      <c r="L230" s="1"/>
      <c r="M230" s="1">
        <v>219</v>
      </c>
      <c r="N230" s="1" t="str">
        <f ca="1">IF(OR($U230=0,$W230="",$X230&lt;=0),"",IF($W230&gt;TODAY(),"",IF(AND(INDEX(UCRETLER!$E$7:$E$606,$U230)&lt;&gt;"",$W230&gt;INDEX(UCRETLER!$E$7:$E$606,$U230)),"",$W230)))</f>
        <v/>
      </c>
      <c r="O230" s="1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 t="str">
        <f t="shared" ca="1" si="53"/>
        <v/>
      </c>
      <c r="Q230" s="1"/>
      <c r="R230" s="1">
        <f t="shared" ca="1" si="54"/>
        <v>0</v>
      </c>
      <c r="S230" s="1">
        <v>0</v>
      </c>
      <c r="T230" s="1">
        <f t="shared" ca="1" si="50"/>
        <v>10000000000</v>
      </c>
      <c r="U230" s="1">
        <f t="shared" si="55"/>
        <v>0</v>
      </c>
      <c r="V230" s="1">
        <v>58</v>
      </c>
      <c r="W230" s="1" t="str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>0</v>
      </c>
      <c r="Y230" s="1">
        <f t="shared" ca="1" si="51"/>
        <v>10000000000</v>
      </c>
      <c r="Z230" s="1">
        <f t="shared" ca="1" si="52"/>
        <v>1</v>
      </c>
      <c r="AA230" s="1"/>
      <c r="AB230" s="1"/>
      <c r="AC230" s="1"/>
      <c r="AD230" s="1"/>
    </row>
    <row r="231" spans="1:30" ht="19.5" customHeight="1" x14ac:dyDescent="0.3">
      <c r="A231" s="2"/>
      <c r="B231" s="79" t="str">
        <f t="shared" ca="1" si="43"/>
        <v/>
      </c>
      <c r="C231" s="80" t="str">
        <f t="shared" ca="1" si="44"/>
        <v/>
      </c>
      <c r="D231" s="81" t="str">
        <f t="shared" ca="1" si="45"/>
        <v/>
      </c>
      <c r="E231" s="79" t="str">
        <f t="shared" ca="1" si="46"/>
        <v/>
      </c>
      <c r="F231" s="82" t="str">
        <f t="shared" ca="1" si="47"/>
        <v/>
      </c>
      <c r="G231" s="82" t="str">
        <f t="shared" ca="1" si="48"/>
        <v/>
      </c>
      <c r="H231" s="82" t="str">
        <f t="shared" ca="1" si="49"/>
        <v/>
      </c>
      <c r="I231" s="2"/>
      <c r="J231" s="2"/>
      <c r="K231" s="1"/>
      <c r="L231" s="1"/>
      <c r="M231" s="1">
        <v>220</v>
      </c>
      <c r="N231" s="1" t="str">
        <f ca="1">IF(OR($U231=0,$W231="",$X231&lt;=0),"",IF($W231&gt;TODAY(),"",IF(AND(INDEX(UCRETLER!$E$7:$E$606,$U231)&lt;&gt;"",$W231&gt;INDEX(UCRETLER!$E$7:$E$606,$U231)),"",$W231)))</f>
        <v/>
      </c>
      <c r="O231" s="1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 t="str">
        <f t="shared" ca="1" si="53"/>
        <v/>
      </c>
      <c r="Q231" s="1"/>
      <c r="R231" s="1">
        <f t="shared" ca="1" si="54"/>
        <v>0</v>
      </c>
      <c r="S231" s="1">
        <v>0</v>
      </c>
      <c r="T231" s="1">
        <f t="shared" ca="1" si="50"/>
        <v>10000000000</v>
      </c>
      <c r="U231" s="1">
        <f t="shared" si="55"/>
        <v>0</v>
      </c>
      <c r="V231" s="1">
        <v>59</v>
      </c>
      <c r="W231" s="1" t="str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>0</v>
      </c>
      <c r="Y231" s="1">
        <f t="shared" ca="1" si="51"/>
        <v>10000000000</v>
      </c>
      <c r="Z231" s="1">
        <f t="shared" ca="1" si="52"/>
        <v>1</v>
      </c>
      <c r="AA231" s="1"/>
      <c r="AB231" s="1"/>
      <c r="AC231" s="1"/>
      <c r="AD231" s="1"/>
    </row>
    <row r="232" spans="1:30" ht="19.5" customHeight="1" x14ac:dyDescent="0.3">
      <c r="A232" s="2"/>
      <c r="B232" s="79" t="str">
        <f t="shared" ca="1" si="43"/>
        <v/>
      </c>
      <c r="C232" s="80" t="str">
        <f t="shared" ca="1" si="44"/>
        <v/>
      </c>
      <c r="D232" s="81" t="str">
        <f t="shared" ca="1" si="45"/>
        <v/>
      </c>
      <c r="E232" s="79" t="str">
        <f t="shared" ca="1" si="46"/>
        <v/>
      </c>
      <c r="F232" s="82" t="str">
        <f t="shared" ca="1" si="47"/>
        <v/>
      </c>
      <c r="G232" s="82" t="str">
        <f t="shared" ca="1" si="48"/>
        <v/>
      </c>
      <c r="H232" s="82" t="str">
        <f t="shared" ca="1" si="49"/>
        <v/>
      </c>
      <c r="I232" s="2"/>
      <c r="J232" s="2"/>
      <c r="K232" s="1"/>
      <c r="L232" s="1"/>
      <c r="M232" s="1">
        <v>221</v>
      </c>
      <c r="N232" s="1" t="str">
        <f ca="1">IF(OR($U232=0,$W232="",$X232&lt;=0),"",IF($W232&gt;TODAY(),"",IF(AND(INDEX(UCRETLER!$E$7:$E$606,$U232)&lt;&gt;"",$W232&gt;INDEX(UCRETLER!$E$7:$E$606,$U232)),"",$W232)))</f>
        <v/>
      </c>
      <c r="O232" s="1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 t="str">
        <f t="shared" ca="1" si="53"/>
        <v/>
      </c>
      <c r="Q232" s="1"/>
      <c r="R232" s="1">
        <f t="shared" ca="1" si="54"/>
        <v>0</v>
      </c>
      <c r="S232" s="1">
        <v>0</v>
      </c>
      <c r="T232" s="1">
        <f t="shared" ca="1" si="50"/>
        <v>10000000000</v>
      </c>
      <c r="U232" s="1">
        <f t="shared" si="55"/>
        <v>0</v>
      </c>
      <c r="V232" s="1">
        <v>60</v>
      </c>
      <c r="W232" s="1" t="str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>0</v>
      </c>
      <c r="Y232" s="1">
        <f t="shared" ca="1" si="51"/>
        <v>10000000000</v>
      </c>
      <c r="Z232" s="1">
        <f t="shared" ca="1" si="52"/>
        <v>1</v>
      </c>
      <c r="AA232" s="1"/>
      <c r="AB232" s="1"/>
      <c r="AC232" s="1"/>
      <c r="AD232" s="1"/>
    </row>
    <row r="233" spans="1:30" ht="19.5" customHeight="1" x14ac:dyDescent="0.3">
      <c r="A233" s="2"/>
      <c r="B233" s="79" t="str">
        <f t="shared" ca="1" si="43"/>
        <v/>
      </c>
      <c r="C233" s="80" t="str">
        <f t="shared" ca="1" si="44"/>
        <v/>
      </c>
      <c r="D233" s="81" t="str">
        <f t="shared" ca="1" si="45"/>
        <v/>
      </c>
      <c r="E233" s="79" t="str">
        <f t="shared" ca="1" si="46"/>
        <v/>
      </c>
      <c r="F233" s="82" t="str">
        <f t="shared" ca="1" si="47"/>
        <v/>
      </c>
      <c r="G233" s="82" t="str">
        <f t="shared" ca="1" si="48"/>
        <v/>
      </c>
      <c r="H233" s="82" t="str">
        <f t="shared" ca="1" si="49"/>
        <v/>
      </c>
      <c r="I233" s="2"/>
      <c r="J233" s="2"/>
      <c r="K233" s="1"/>
      <c r="L233" s="1"/>
      <c r="M233" s="1">
        <v>222</v>
      </c>
      <c r="N233" s="1" t="str">
        <f ca="1">IF(OR($U233=0,$W233="",$X233&lt;=0),"",IF($W233&gt;TODAY(),"",IF(AND(INDEX(UCRETLER!$E$7:$E$606,$U233)&lt;&gt;"",$W233&gt;INDEX(UCRETLER!$E$7:$E$606,$U233)),"",$W233)))</f>
        <v/>
      </c>
      <c r="O233" s="1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 t="str">
        <f t="shared" ca="1" si="53"/>
        <v/>
      </c>
      <c r="Q233" s="1"/>
      <c r="R233" s="1">
        <f t="shared" ca="1" si="54"/>
        <v>0</v>
      </c>
      <c r="S233" s="1">
        <v>0</v>
      </c>
      <c r="T233" s="1">
        <f t="shared" ca="1" si="50"/>
        <v>10000000000</v>
      </c>
      <c r="U233" s="1">
        <f t="shared" si="55"/>
        <v>0</v>
      </c>
      <c r="V233" s="1">
        <v>61</v>
      </c>
      <c r="W233" s="1" t="str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>0</v>
      </c>
      <c r="Y233" s="1">
        <f t="shared" ca="1" si="51"/>
        <v>10000000000</v>
      </c>
      <c r="Z233" s="1">
        <f t="shared" ca="1" si="52"/>
        <v>1</v>
      </c>
      <c r="AA233" s="1"/>
      <c r="AB233" s="1"/>
      <c r="AC233" s="1"/>
      <c r="AD233" s="1"/>
    </row>
    <row r="234" spans="1:30" ht="19.5" customHeight="1" x14ac:dyDescent="0.3">
      <c r="A234" s="2"/>
      <c r="B234" s="79" t="str">
        <f t="shared" ca="1" si="43"/>
        <v/>
      </c>
      <c r="C234" s="80" t="str">
        <f t="shared" ca="1" si="44"/>
        <v/>
      </c>
      <c r="D234" s="81" t="str">
        <f t="shared" ca="1" si="45"/>
        <v/>
      </c>
      <c r="E234" s="79" t="str">
        <f t="shared" ca="1" si="46"/>
        <v/>
      </c>
      <c r="F234" s="82" t="str">
        <f t="shared" ca="1" si="47"/>
        <v/>
      </c>
      <c r="G234" s="82" t="str">
        <f t="shared" ca="1" si="48"/>
        <v/>
      </c>
      <c r="H234" s="82" t="str">
        <f t="shared" ca="1" si="49"/>
        <v/>
      </c>
      <c r="I234" s="2"/>
      <c r="J234" s="2"/>
      <c r="K234" s="1"/>
      <c r="L234" s="1"/>
      <c r="M234" s="1">
        <v>223</v>
      </c>
      <c r="N234" s="1" t="str">
        <f ca="1">IF(OR($U234=0,$W234="",$X234&lt;=0),"",IF($W234&gt;TODAY(),"",IF(AND(INDEX(UCRETLER!$E$7:$E$606,$U234)&lt;&gt;"",$W234&gt;INDEX(UCRETLER!$E$7:$E$606,$U234)),"",$W234)))</f>
        <v/>
      </c>
      <c r="O234" s="1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 t="str">
        <f t="shared" ca="1" si="53"/>
        <v/>
      </c>
      <c r="Q234" s="1"/>
      <c r="R234" s="1">
        <f t="shared" ca="1" si="54"/>
        <v>0</v>
      </c>
      <c r="S234" s="1">
        <v>0</v>
      </c>
      <c r="T234" s="1">
        <f t="shared" ca="1" si="50"/>
        <v>10000000000</v>
      </c>
      <c r="U234" s="1">
        <f t="shared" si="55"/>
        <v>0</v>
      </c>
      <c r="V234" s="1">
        <v>62</v>
      </c>
      <c r="W234" s="1" t="str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>0</v>
      </c>
      <c r="Y234" s="1">
        <f t="shared" ca="1" si="51"/>
        <v>10000000000</v>
      </c>
      <c r="Z234" s="1">
        <f t="shared" ca="1" si="52"/>
        <v>1</v>
      </c>
      <c r="AA234" s="1"/>
      <c r="AB234" s="1"/>
      <c r="AC234" s="1"/>
      <c r="AD234" s="1"/>
    </row>
    <row r="235" spans="1:30" ht="19.5" customHeight="1" x14ac:dyDescent="0.3">
      <c r="A235" s="2"/>
      <c r="B235" s="79" t="str">
        <f t="shared" ca="1" si="43"/>
        <v/>
      </c>
      <c r="C235" s="80" t="str">
        <f t="shared" ca="1" si="44"/>
        <v/>
      </c>
      <c r="D235" s="81" t="str">
        <f t="shared" ca="1" si="45"/>
        <v/>
      </c>
      <c r="E235" s="79" t="str">
        <f t="shared" ca="1" si="46"/>
        <v/>
      </c>
      <c r="F235" s="82" t="str">
        <f t="shared" ca="1" si="47"/>
        <v/>
      </c>
      <c r="G235" s="82" t="str">
        <f t="shared" ca="1" si="48"/>
        <v/>
      </c>
      <c r="H235" s="82" t="str">
        <f t="shared" ca="1" si="49"/>
        <v/>
      </c>
      <c r="I235" s="2"/>
      <c r="J235" s="2"/>
      <c r="K235" s="1"/>
      <c r="L235" s="1"/>
      <c r="M235" s="1">
        <v>224</v>
      </c>
      <c r="N235" s="1" t="str">
        <f ca="1">IF(OR($U235=0,$W235="",$X235&lt;=0),"",IF($W235&gt;TODAY(),"",IF(AND(INDEX(UCRETLER!$E$7:$E$606,$U235)&lt;&gt;"",$W235&gt;INDEX(UCRETLER!$E$7:$E$606,$U235)),"",$W235)))</f>
        <v/>
      </c>
      <c r="O235" s="1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 t="str">
        <f t="shared" ca="1" si="53"/>
        <v/>
      </c>
      <c r="Q235" s="1"/>
      <c r="R235" s="1">
        <f t="shared" ca="1" si="54"/>
        <v>0</v>
      </c>
      <c r="S235" s="1">
        <v>0</v>
      </c>
      <c r="T235" s="1">
        <f t="shared" ca="1" si="50"/>
        <v>10000000000</v>
      </c>
      <c r="U235" s="1">
        <f t="shared" si="55"/>
        <v>0</v>
      </c>
      <c r="V235" s="1">
        <v>63</v>
      </c>
      <c r="W235" s="1" t="str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>0</v>
      </c>
      <c r="Y235" s="1">
        <f t="shared" ca="1" si="51"/>
        <v>10000000000</v>
      </c>
      <c r="Z235" s="1">
        <f t="shared" ca="1" si="52"/>
        <v>1</v>
      </c>
      <c r="AA235" s="1"/>
      <c r="AB235" s="1"/>
      <c r="AC235" s="1"/>
      <c r="AD235" s="1"/>
    </row>
    <row r="236" spans="1:30" ht="19.5" customHeight="1" x14ac:dyDescent="0.3">
      <c r="A236" s="2"/>
      <c r="B236" s="79" t="str">
        <f t="shared" ca="1" si="43"/>
        <v/>
      </c>
      <c r="C236" s="80" t="str">
        <f t="shared" ca="1" si="44"/>
        <v/>
      </c>
      <c r="D236" s="81" t="str">
        <f t="shared" ca="1" si="45"/>
        <v/>
      </c>
      <c r="E236" s="79" t="str">
        <f t="shared" ca="1" si="46"/>
        <v/>
      </c>
      <c r="F236" s="82" t="str">
        <f t="shared" ca="1" si="47"/>
        <v/>
      </c>
      <c r="G236" s="82" t="str">
        <f t="shared" ca="1" si="48"/>
        <v/>
      </c>
      <c r="H236" s="82" t="str">
        <f t="shared" ca="1" si="49"/>
        <v/>
      </c>
      <c r="I236" s="2"/>
      <c r="J236" s="2"/>
      <c r="K236" s="1"/>
      <c r="L236" s="1"/>
      <c r="M236" s="1">
        <v>225</v>
      </c>
      <c r="N236" s="1" t="str">
        <f ca="1">IF(OR($U236=0,$W236="",$X236&lt;=0),"",IF($W236&gt;TODAY(),"",IF(AND(INDEX(UCRETLER!$E$7:$E$606,$U236)&lt;&gt;"",$W236&gt;INDEX(UCRETLER!$E$7:$E$606,$U236)),"",$W236)))</f>
        <v/>
      </c>
      <c r="O236" s="1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 t="str">
        <f t="shared" ca="1" si="53"/>
        <v/>
      </c>
      <c r="Q236" s="1"/>
      <c r="R236" s="1">
        <f t="shared" ca="1" si="54"/>
        <v>0</v>
      </c>
      <c r="S236" s="1">
        <v>0</v>
      </c>
      <c r="T236" s="1">
        <f t="shared" ca="1" si="50"/>
        <v>10000000000</v>
      </c>
      <c r="U236" s="1">
        <f t="shared" si="55"/>
        <v>0</v>
      </c>
      <c r="V236" s="1">
        <v>64</v>
      </c>
      <c r="W236" s="1" t="str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>0</v>
      </c>
      <c r="Y236" s="1">
        <f t="shared" ca="1" si="51"/>
        <v>10000000000</v>
      </c>
      <c r="Z236" s="1">
        <f t="shared" ca="1" si="52"/>
        <v>1</v>
      </c>
      <c r="AA236" s="1"/>
      <c r="AB236" s="1"/>
      <c r="AC236" s="1"/>
      <c r="AD236" s="1"/>
    </row>
    <row r="237" spans="1:30" ht="19.5" customHeight="1" x14ac:dyDescent="0.3">
      <c r="A237" s="2"/>
      <c r="B237" s="79" t="str">
        <f t="shared" ca="1" si="43"/>
        <v/>
      </c>
      <c r="C237" s="80" t="str">
        <f t="shared" ca="1" si="44"/>
        <v/>
      </c>
      <c r="D237" s="81" t="str">
        <f t="shared" ca="1" si="45"/>
        <v/>
      </c>
      <c r="E237" s="79" t="str">
        <f t="shared" ca="1" si="46"/>
        <v/>
      </c>
      <c r="F237" s="82" t="str">
        <f t="shared" ca="1" si="47"/>
        <v/>
      </c>
      <c r="G237" s="82" t="str">
        <f t="shared" ca="1" si="48"/>
        <v/>
      </c>
      <c r="H237" s="82" t="str">
        <f t="shared" ca="1" si="49"/>
        <v/>
      </c>
      <c r="I237" s="2"/>
      <c r="J237" s="2"/>
      <c r="K237" s="1"/>
      <c r="L237" s="1"/>
      <c r="M237" s="1">
        <v>226</v>
      </c>
      <c r="N237" s="1" t="str">
        <f ca="1">IF(OR($U237=0,$W237="",$X237&lt;=0),"",IF($W237&gt;TODAY(),"",IF(AND(INDEX(UCRETLER!$E$7:$E$606,$U237)&lt;&gt;"",$W237&gt;INDEX(UCRETLER!$E$7:$E$606,$U237)),"",$W237)))</f>
        <v/>
      </c>
      <c r="O237" s="1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 t="str">
        <f t="shared" ca="1" si="53"/>
        <v/>
      </c>
      <c r="Q237" s="1"/>
      <c r="R237" s="1">
        <f t="shared" ca="1" si="54"/>
        <v>0</v>
      </c>
      <c r="S237" s="1">
        <v>0</v>
      </c>
      <c r="T237" s="1">
        <f t="shared" ca="1" si="50"/>
        <v>10000000000</v>
      </c>
      <c r="U237" s="1">
        <f t="shared" ref="U237:U252" si="56">$AB$6</f>
        <v>0</v>
      </c>
      <c r="V237" s="1">
        <v>65</v>
      </c>
      <c r="W237" s="1" t="str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>0</v>
      </c>
      <c r="Y237" s="1">
        <f t="shared" ca="1" si="51"/>
        <v>10000000000</v>
      </c>
      <c r="Z237" s="1">
        <f t="shared" ca="1" si="52"/>
        <v>1</v>
      </c>
      <c r="AA237" s="1"/>
      <c r="AB237" s="1"/>
      <c r="AC237" s="1"/>
      <c r="AD237" s="1"/>
    </row>
    <row r="238" spans="1:30" ht="19.5" customHeight="1" x14ac:dyDescent="0.3">
      <c r="A238" s="2"/>
      <c r="B238" s="79" t="str">
        <f t="shared" ca="1" si="43"/>
        <v/>
      </c>
      <c r="C238" s="80" t="str">
        <f t="shared" ca="1" si="44"/>
        <v/>
      </c>
      <c r="D238" s="81" t="str">
        <f t="shared" ca="1" si="45"/>
        <v/>
      </c>
      <c r="E238" s="79" t="str">
        <f t="shared" ca="1" si="46"/>
        <v/>
      </c>
      <c r="F238" s="82" t="str">
        <f t="shared" ca="1" si="47"/>
        <v/>
      </c>
      <c r="G238" s="82" t="str">
        <f t="shared" ca="1" si="48"/>
        <v/>
      </c>
      <c r="H238" s="82" t="str">
        <f t="shared" ca="1" si="49"/>
        <v/>
      </c>
      <c r="I238" s="2"/>
      <c r="J238" s="2"/>
      <c r="K238" s="1"/>
      <c r="L238" s="1"/>
      <c r="M238" s="1">
        <v>227</v>
      </c>
      <c r="N238" s="1" t="str">
        <f ca="1">IF(OR($U238=0,$W238="",$X238&lt;=0),"",IF($W238&gt;TODAY(),"",IF(AND(INDEX(UCRETLER!$E$7:$E$606,$U238)&lt;&gt;"",$W238&gt;INDEX(UCRETLER!$E$7:$E$606,$U238)),"",$W238)))</f>
        <v/>
      </c>
      <c r="O238" s="1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 t="str">
        <f t="shared" ca="1" si="53"/>
        <v/>
      </c>
      <c r="Q238" s="1"/>
      <c r="R238" s="1">
        <f t="shared" ca="1" si="54"/>
        <v>0</v>
      </c>
      <c r="S238" s="1">
        <v>0</v>
      </c>
      <c r="T238" s="1">
        <f t="shared" ca="1" si="50"/>
        <v>10000000000</v>
      </c>
      <c r="U238" s="1">
        <f t="shared" si="56"/>
        <v>0</v>
      </c>
      <c r="V238" s="1">
        <v>66</v>
      </c>
      <c r="W238" s="1" t="str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>0</v>
      </c>
      <c r="Y238" s="1">
        <f t="shared" ca="1" si="51"/>
        <v>10000000000</v>
      </c>
      <c r="Z238" s="1">
        <f t="shared" ca="1" si="52"/>
        <v>1</v>
      </c>
      <c r="AA238" s="1"/>
      <c r="AB238" s="1"/>
      <c r="AC238" s="1"/>
      <c r="AD238" s="1"/>
    </row>
    <row r="239" spans="1:30" ht="19.5" customHeight="1" x14ac:dyDescent="0.3">
      <c r="A239" s="2"/>
      <c r="B239" s="79" t="str">
        <f t="shared" ca="1" si="43"/>
        <v/>
      </c>
      <c r="C239" s="80" t="str">
        <f t="shared" ca="1" si="44"/>
        <v/>
      </c>
      <c r="D239" s="81" t="str">
        <f t="shared" ca="1" si="45"/>
        <v/>
      </c>
      <c r="E239" s="79" t="str">
        <f t="shared" ca="1" si="46"/>
        <v/>
      </c>
      <c r="F239" s="82" t="str">
        <f t="shared" ca="1" si="47"/>
        <v/>
      </c>
      <c r="G239" s="82" t="str">
        <f t="shared" ca="1" si="48"/>
        <v/>
      </c>
      <c r="H239" s="82" t="str">
        <f t="shared" ca="1" si="49"/>
        <v/>
      </c>
      <c r="I239" s="2"/>
      <c r="J239" s="2"/>
      <c r="K239" s="1"/>
      <c r="L239" s="1"/>
      <c r="M239" s="1">
        <v>228</v>
      </c>
      <c r="N239" s="1" t="str">
        <f ca="1">IF(OR($U239=0,$W239="",$X239&lt;=0),"",IF($W239&gt;TODAY(),"",IF(AND(INDEX(UCRETLER!$E$7:$E$606,$U239)&lt;&gt;"",$W239&gt;INDEX(UCRETLER!$E$7:$E$606,$U239)),"",$W239)))</f>
        <v/>
      </c>
      <c r="O239" s="1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 t="str">
        <f t="shared" ca="1" si="53"/>
        <v/>
      </c>
      <c r="Q239" s="1"/>
      <c r="R239" s="1">
        <f t="shared" ca="1" si="54"/>
        <v>0</v>
      </c>
      <c r="S239" s="1">
        <v>0</v>
      </c>
      <c r="T239" s="1">
        <f t="shared" ca="1" si="50"/>
        <v>10000000000</v>
      </c>
      <c r="U239" s="1">
        <f t="shared" si="56"/>
        <v>0</v>
      </c>
      <c r="V239" s="1">
        <v>67</v>
      </c>
      <c r="W239" s="1" t="str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>0</v>
      </c>
      <c r="Y239" s="1">
        <f t="shared" ca="1" si="51"/>
        <v>10000000000</v>
      </c>
      <c r="Z239" s="1">
        <f t="shared" ca="1" si="52"/>
        <v>1</v>
      </c>
      <c r="AA239" s="1"/>
      <c r="AB239" s="1"/>
      <c r="AC239" s="1"/>
      <c r="AD239" s="1"/>
    </row>
    <row r="240" spans="1:30" ht="19.5" customHeight="1" x14ac:dyDescent="0.3">
      <c r="A240" s="2"/>
      <c r="B240" s="79" t="str">
        <f t="shared" ca="1" si="43"/>
        <v/>
      </c>
      <c r="C240" s="80" t="str">
        <f t="shared" ca="1" si="44"/>
        <v/>
      </c>
      <c r="D240" s="81" t="str">
        <f t="shared" ca="1" si="45"/>
        <v/>
      </c>
      <c r="E240" s="79" t="str">
        <f t="shared" ca="1" si="46"/>
        <v/>
      </c>
      <c r="F240" s="82" t="str">
        <f t="shared" ca="1" si="47"/>
        <v/>
      </c>
      <c r="G240" s="82" t="str">
        <f t="shared" ca="1" si="48"/>
        <v/>
      </c>
      <c r="H240" s="82" t="str">
        <f t="shared" ca="1" si="49"/>
        <v/>
      </c>
      <c r="I240" s="2"/>
      <c r="J240" s="2"/>
      <c r="K240" s="1"/>
      <c r="L240" s="1"/>
      <c r="M240" s="1">
        <v>229</v>
      </c>
      <c r="N240" s="1" t="str">
        <f ca="1">IF(OR($U240=0,$W240="",$X240&lt;=0),"",IF($W240&gt;TODAY(),"",IF(AND(INDEX(UCRETLER!$E$7:$E$606,$U240)&lt;&gt;"",$W240&gt;INDEX(UCRETLER!$E$7:$E$606,$U240)),"",$W240)))</f>
        <v/>
      </c>
      <c r="O240" s="1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 t="str">
        <f t="shared" ca="1" si="53"/>
        <v/>
      </c>
      <c r="Q240" s="1"/>
      <c r="R240" s="1">
        <f t="shared" ca="1" si="54"/>
        <v>0</v>
      </c>
      <c r="S240" s="1">
        <v>0</v>
      </c>
      <c r="T240" s="1">
        <f t="shared" ca="1" si="50"/>
        <v>10000000000</v>
      </c>
      <c r="U240" s="1">
        <f t="shared" si="56"/>
        <v>0</v>
      </c>
      <c r="V240" s="1">
        <v>68</v>
      </c>
      <c r="W240" s="1" t="str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>0</v>
      </c>
      <c r="Y240" s="1">
        <f t="shared" ca="1" si="51"/>
        <v>10000000000</v>
      </c>
      <c r="Z240" s="1">
        <f t="shared" ca="1" si="52"/>
        <v>1</v>
      </c>
      <c r="AA240" s="1"/>
      <c r="AB240" s="1"/>
      <c r="AC240" s="1"/>
      <c r="AD240" s="1"/>
    </row>
    <row r="241" spans="1:30" ht="19.5" customHeight="1" x14ac:dyDescent="0.3">
      <c r="A241" s="2"/>
      <c r="B241" s="79" t="str">
        <f t="shared" ca="1" si="43"/>
        <v/>
      </c>
      <c r="C241" s="80" t="str">
        <f t="shared" ca="1" si="44"/>
        <v/>
      </c>
      <c r="D241" s="81" t="str">
        <f t="shared" ca="1" si="45"/>
        <v/>
      </c>
      <c r="E241" s="79" t="str">
        <f t="shared" ca="1" si="46"/>
        <v/>
      </c>
      <c r="F241" s="82" t="str">
        <f t="shared" ca="1" si="47"/>
        <v/>
      </c>
      <c r="G241" s="82" t="str">
        <f t="shared" ca="1" si="48"/>
        <v/>
      </c>
      <c r="H241" s="82" t="str">
        <f t="shared" ca="1" si="49"/>
        <v/>
      </c>
      <c r="I241" s="2"/>
      <c r="J241" s="2"/>
      <c r="K241" s="1"/>
      <c r="L241" s="1"/>
      <c r="M241" s="1">
        <v>230</v>
      </c>
      <c r="N241" s="1" t="str">
        <f ca="1">IF(OR($U241=0,$W241="",$X241&lt;=0),"",IF($W241&gt;TODAY(),"",IF(AND(INDEX(UCRETLER!$E$7:$E$606,$U241)&lt;&gt;"",$W241&gt;INDEX(UCRETLER!$E$7:$E$606,$U241)),"",$W241)))</f>
        <v/>
      </c>
      <c r="O241" s="1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 t="str">
        <f t="shared" ca="1" si="53"/>
        <v/>
      </c>
      <c r="Q241" s="1"/>
      <c r="R241" s="1">
        <f t="shared" ca="1" si="54"/>
        <v>0</v>
      </c>
      <c r="S241" s="1">
        <v>0</v>
      </c>
      <c r="T241" s="1">
        <f t="shared" ca="1" si="50"/>
        <v>10000000000</v>
      </c>
      <c r="U241" s="1">
        <f t="shared" si="56"/>
        <v>0</v>
      </c>
      <c r="V241" s="1">
        <v>69</v>
      </c>
      <c r="W241" s="1" t="str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>0</v>
      </c>
      <c r="Y241" s="1">
        <f t="shared" ca="1" si="51"/>
        <v>10000000000</v>
      </c>
      <c r="Z241" s="1">
        <f t="shared" ca="1" si="52"/>
        <v>1</v>
      </c>
      <c r="AA241" s="1"/>
      <c r="AB241" s="1"/>
      <c r="AC241" s="1"/>
      <c r="AD241" s="1"/>
    </row>
    <row r="242" spans="1:30" ht="19.5" customHeight="1" x14ac:dyDescent="0.3">
      <c r="A242" s="2"/>
      <c r="B242" s="79" t="str">
        <f t="shared" ca="1" si="43"/>
        <v/>
      </c>
      <c r="C242" s="80" t="str">
        <f t="shared" ca="1" si="44"/>
        <v/>
      </c>
      <c r="D242" s="81" t="str">
        <f t="shared" ca="1" si="45"/>
        <v/>
      </c>
      <c r="E242" s="79" t="str">
        <f t="shared" ca="1" si="46"/>
        <v/>
      </c>
      <c r="F242" s="82" t="str">
        <f t="shared" ca="1" si="47"/>
        <v/>
      </c>
      <c r="G242" s="82" t="str">
        <f t="shared" ca="1" si="48"/>
        <v/>
      </c>
      <c r="H242" s="82" t="str">
        <f t="shared" ca="1" si="49"/>
        <v/>
      </c>
      <c r="I242" s="2"/>
      <c r="J242" s="2"/>
      <c r="K242" s="1"/>
      <c r="L242" s="1"/>
      <c r="M242" s="1">
        <v>231</v>
      </c>
      <c r="N242" s="1" t="str">
        <f ca="1">IF(OR($U242=0,$W242="",$X242&lt;=0),"",IF($W242&gt;TODAY(),"",IF(AND(INDEX(UCRETLER!$E$7:$E$606,$U242)&lt;&gt;"",$W242&gt;INDEX(UCRETLER!$E$7:$E$606,$U242)),"",$W242)))</f>
        <v/>
      </c>
      <c r="O242" s="1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 t="str">
        <f t="shared" ca="1" si="53"/>
        <v/>
      </c>
      <c r="Q242" s="1"/>
      <c r="R242" s="1">
        <f t="shared" ca="1" si="54"/>
        <v>0</v>
      </c>
      <c r="S242" s="1">
        <v>0</v>
      </c>
      <c r="T242" s="1">
        <f t="shared" ca="1" si="50"/>
        <v>10000000000</v>
      </c>
      <c r="U242" s="1">
        <f t="shared" si="56"/>
        <v>0</v>
      </c>
      <c r="V242" s="1">
        <v>70</v>
      </c>
      <c r="W242" s="1" t="str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>0</v>
      </c>
      <c r="Y242" s="1">
        <f t="shared" ca="1" si="51"/>
        <v>10000000000</v>
      </c>
      <c r="Z242" s="1">
        <f t="shared" ca="1" si="52"/>
        <v>1</v>
      </c>
      <c r="AA242" s="1"/>
      <c r="AB242" s="1"/>
      <c r="AC242" s="1"/>
      <c r="AD242" s="1"/>
    </row>
    <row r="243" spans="1:30" ht="19.5" customHeight="1" x14ac:dyDescent="0.3">
      <c r="A243" s="2"/>
      <c r="B243" s="79" t="str">
        <f t="shared" ca="1" si="43"/>
        <v/>
      </c>
      <c r="C243" s="80" t="str">
        <f t="shared" ca="1" si="44"/>
        <v/>
      </c>
      <c r="D243" s="81" t="str">
        <f t="shared" ca="1" si="45"/>
        <v/>
      </c>
      <c r="E243" s="79" t="str">
        <f t="shared" ca="1" si="46"/>
        <v/>
      </c>
      <c r="F243" s="82" t="str">
        <f t="shared" ca="1" si="47"/>
        <v/>
      </c>
      <c r="G243" s="82" t="str">
        <f t="shared" ca="1" si="48"/>
        <v/>
      </c>
      <c r="H243" s="82" t="str">
        <f t="shared" ca="1" si="49"/>
        <v/>
      </c>
      <c r="I243" s="2"/>
      <c r="J243" s="2"/>
      <c r="K243" s="1"/>
      <c r="L243" s="1"/>
      <c r="M243" s="1">
        <v>232</v>
      </c>
      <c r="N243" s="1" t="str">
        <f ca="1">IF(OR($U243=0,$W243="",$X243&lt;=0),"",IF($W243&gt;TODAY(),"",IF(AND(INDEX(UCRETLER!$E$7:$E$606,$U243)&lt;&gt;"",$W243&gt;INDEX(UCRETLER!$E$7:$E$606,$U243)),"",$W243)))</f>
        <v/>
      </c>
      <c r="O243" s="1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 t="str">
        <f t="shared" ca="1" si="53"/>
        <v/>
      </c>
      <c r="Q243" s="1"/>
      <c r="R243" s="1">
        <f t="shared" ca="1" si="54"/>
        <v>0</v>
      </c>
      <c r="S243" s="1">
        <v>0</v>
      </c>
      <c r="T243" s="1">
        <f t="shared" ca="1" si="50"/>
        <v>10000000000</v>
      </c>
      <c r="U243" s="1">
        <f t="shared" si="56"/>
        <v>0</v>
      </c>
      <c r="V243" s="1">
        <v>71</v>
      </c>
      <c r="W243" s="1" t="str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>0</v>
      </c>
      <c r="Y243" s="1">
        <f t="shared" ca="1" si="51"/>
        <v>10000000000</v>
      </c>
      <c r="Z243" s="1">
        <f t="shared" ca="1" si="52"/>
        <v>1</v>
      </c>
      <c r="AA243" s="1"/>
      <c r="AB243" s="1"/>
      <c r="AC243" s="1"/>
      <c r="AD243" s="1"/>
    </row>
    <row r="244" spans="1:30" ht="19.5" customHeight="1" x14ac:dyDescent="0.3">
      <c r="A244" s="2"/>
      <c r="B244" s="79" t="str">
        <f t="shared" ca="1" si="43"/>
        <v/>
      </c>
      <c r="C244" s="80" t="str">
        <f t="shared" ca="1" si="44"/>
        <v/>
      </c>
      <c r="D244" s="81" t="str">
        <f t="shared" ca="1" si="45"/>
        <v/>
      </c>
      <c r="E244" s="79" t="str">
        <f t="shared" ca="1" si="46"/>
        <v/>
      </c>
      <c r="F244" s="82" t="str">
        <f t="shared" ca="1" si="47"/>
        <v/>
      </c>
      <c r="G244" s="82" t="str">
        <f t="shared" ca="1" si="48"/>
        <v/>
      </c>
      <c r="H244" s="82" t="str">
        <f t="shared" ca="1" si="49"/>
        <v/>
      </c>
      <c r="I244" s="2"/>
      <c r="J244" s="2"/>
      <c r="K244" s="1"/>
      <c r="L244" s="1"/>
      <c r="M244" s="1">
        <v>233</v>
      </c>
      <c r="N244" s="1" t="str">
        <f ca="1">IF(OR($U244=0,$W244="",$X244&lt;=0),"",IF($W244&gt;TODAY(),"",IF(AND(INDEX(UCRETLER!$E$7:$E$606,$U244)&lt;&gt;"",$W244&gt;INDEX(UCRETLER!$E$7:$E$606,$U244)),"",$W244)))</f>
        <v/>
      </c>
      <c r="O244" s="1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 t="str">
        <f t="shared" ca="1" si="53"/>
        <v/>
      </c>
      <c r="Q244" s="1"/>
      <c r="R244" s="1">
        <f t="shared" ca="1" si="54"/>
        <v>0</v>
      </c>
      <c r="S244" s="1">
        <v>0</v>
      </c>
      <c r="T244" s="1">
        <f t="shared" ca="1" si="50"/>
        <v>10000000000</v>
      </c>
      <c r="U244" s="1">
        <f t="shared" si="56"/>
        <v>0</v>
      </c>
      <c r="V244" s="1">
        <v>72</v>
      </c>
      <c r="W244" s="1" t="str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>0</v>
      </c>
      <c r="Y244" s="1">
        <f t="shared" ca="1" si="51"/>
        <v>10000000000</v>
      </c>
      <c r="Z244" s="1">
        <f t="shared" ca="1" si="52"/>
        <v>1</v>
      </c>
      <c r="AA244" s="1"/>
      <c r="AB244" s="1"/>
      <c r="AC244" s="1"/>
      <c r="AD244" s="1"/>
    </row>
    <row r="245" spans="1:30" ht="19.5" customHeight="1" x14ac:dyDescent="0.3">
      <c r="A245" s="2"/>
      <c r="B245" s="79" t="str">
        <f t="shared" ca="1" si="43"/>
        <v/>
      </c>
      <c r="C245" s="80" t="str">
        <f t="shared" ca="1" si="44"/>
        <v/>
      </c>
      <c r="D245" s="81" t="str">
        <f t="shared" ca="1" si="45"/>
        <v/>
      </c>
      <c r="E245" s="79" t="str">
        <f t="shared" ca="1" si="46"/>
        <v/>
      </c>
      <c r="F245" s="82" t="str">
        <f t="shared" ca="1" si="47"/>
        <v/>
      </c>
      <c r="G245" s="82" t="str">
        <f t="shared" ca="1" si="48"/>
        <v/>
      </c>
      <c r="H245" s="82" t="str">
        <f t="shared" ca="1" si="49"/>
        <v/>
      </c>
      <c r="I245" s="2"/>
      <c r="J245" s="2"/>
      <c r="K245" s="1"/>
      <c r="L245" s="1"/>
      <c r="M245" s="1">
        <v>234</v>
      </c>
      <c r="N245" s="1" t="str">
        <f ca="1">IF(OR($U245=0,$W245="",$X245&lt;=0),"",IF($W245&gt;TODAY(),"",IF(AND(INDEX(UCRETLER!$E$7:$E$606,$U245)&lt;&gt;"",$W245&gt;INDEX(UCRETLER!$E$7:$E$606,$U245)),"",$W245)))</f>
        <v/>
      </c>
      <c r="O245" s="1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 t="str">
        <f t="shared" ca="1" si="53"/>
        <v/>
      </c>
      <c r="Q245" s="1"/>
      <c r="R245" s="1">
        <f t="shared" ca="1" si="54"/>
        <v>0</v>
      </c>
      <c r="S245" s="1">
        <v>0</v>
      </c>
      <c r="T245" s="1">
        <f t="shared" ca="1" si="50"/>
        <v>10000000000</v>
      </c>
      <c r="U245" s="1">
        <f t="shared" si="56"/>
        <v>0</v>
      </c>
      <c r="V245" s="1">
        <v>73</v>
      </c>
      <c r="W245" s="1" t="str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>0</v>
      </c>
      <c r="Y245" s="1">
        <f t="shared" ca="1" si="51"/>
        <v>10000000000</v>
      </c>
      <c r="Z245" s="1">
        <f t="shared" ca="1" si="52"/>
        <v>1</v>
      </c>
      <c r="AA245" s="1"/>
      <c r="AB245" s="1"/>
      <c r="AC245" s="1"/>
      <c r="AD245" s="1"/>
    </row>
    <row r="246" spans="1:30" ht="19.5" customHeight="1" x14ac:dyDescent="0.3">
      <c r="A246" s="2"/>
      <c r="B246" s="79" t="str">
        <f t="shared" ca="1" si="43"/>
        <v/>
      </c>
      <c r="C246" s="80" t="str">
        <f t="shared" ca="1" si="44"/>
        <v/>
      </c>
      <c r="D246" s="81" t="str">
        <f t="shared" ca="1" si="45"/>
        <v/>
      </c>
      <c r="E246" s="79" t="str">
        <f t="shared" ca="1" si="46"/>
        <v/>
      </c>
      <c r="F246" s="82" t="str">
        <f t="shared" ca="1" si="47"/>
        <v/>
      </c>
      <c r="G246" s="82" t="str">
        <f t="shared" ca="1" si="48"/>
        <v/>
      </c>
      <c r="H246" s="82" t="str">
        <f t="shared" ca="1" si="49"/>
        <v/>
      </c>
      <c r="I246" s="2"/>
      <c r="J246" s="2"/>
      <c r="K246" s="1"/>
      <c r="L246" s="1"/>
      <c r="M246" s="1">
        <v>235</v>
      </c>
      <c r="N246" s="1" t="str">
        <f ca="1">IF(OR($U246=0,$W246="",$X246&lt;=0),"",IF($W246&gt;TODAY(),"",IF(AND(INDEX(UCRETLER!$E$7:$E$606,$U246)&lt;&gt;"",$W246&gt;INDEX(UCRETLER!$E$7:$E$606,$U246)),"",$W246)))</f>
        <v/>
      </c>
      <c r="O246" s="1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 t="str">
        <f t="shared" ca="1" si="53"/>
        <v/>
      </c>
      <c r="Q246" s="1"/>
      <c r="R246" s="1">
        <f t="shared" ca="1" si="54"/>
        <v>0</v>
      </c>
      <c r="S246" s="1">
        <v>0</v>
      </c>
      <c r="T246" s="1">
        <f t="shared" ca="1" si="50"/>
        <v>10000000000</v>
      </c>
      <c r="U246" s="1">
        <f t="shared" si="56"/>
        <v>0</v>
      </c>
      <c r="V246" s="1">
        <v>74</v>
      </c>
      <c r="W246" s="1" t="str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>0</v>
      </c>
      <c r="Y246" s="1">
        <f t="shared" ca="1" si="51"/>
        <v>10000000000</v>
      </c>
      <c r="Z246" s="1">
        <f t="shared" ca="1" si="52"/>
        <v>1</v>
      </c>
      <c r="AA246" s="1"/>
      <c r="AB246" s="1"/>
      <c r="AC246" s="1"/>
      <c r="AD246" s="1"/>
    </row>
    <row r="247" spans="1:30" ht="19.5" customHeight="1" x14ac:dyDescent="0.3">
      <c r="A247" s="2"/>
      <c r="B247" s="79" t="str">
        <f t="shared" ca="1" si="43"/>
        <v/>
      </c>
      <c r="C247" s="80" t="str">
        <f t="shared" ca="1" si="44"/>
        <v/>
      </c>
      <c r="D247" s="81" t="str">
        <f t="shared" ca="1" si="45"/>
        <v/>
      </c>
      <c r="E247" s="79" t="str">
        <f t="shared" ca="1" si="46"/>
        <v/>
      </c>
      <c r="F247" s="82" t="str">
        <f t="shared" ca="1" si="47"/>
        <v/>
      </c>
      <c r="G247" s="82" t="str">
        <f t="shared" ca="1" si="48"/>
        <v/>
      </c>
      <c r="H247" s="82" t="str">
        <f t="shared" ca="1" si="49"/>
        <v/>
      </c>
      <c r="I247" s="2"/>
      <c r="J247" s="2"/>
      <c r="K247" s="1"/>
      <c r="L247" s="1"/>
      <c r="M247" s="1">
        <v>236</v>
      </c>
      <c r="N247" s="1" t="str">
        <f ca="1">IF(OR($U247=0,$W247="",$X247&lt;=0),"",IF($W247&gt;TODAY(),"",IF(AND(INDEX(UCRETLER!$E$7:$E$606,$U247)&lt;&gt;"",$W247&gt;INDEX(UCRETLER!$E$7:$E$606,$U247)),"",$W247)))</f>
        <v/>
      </c>
      <c r="O247" s="1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 t="str">
        <f t="shared" ca="1" si="53"/>
        <v/>
      </c>
      <c r="Q247" s="1"/>
      <c r="R247" s="1">
        <f t="shared" ca="1" si="54"/>
        <v>0</v>
      </c>
      <c r="S247" s="1">
        <v>0</v>
      </c>
      <c r="T247" s="1">
        <f t="shared" ca="1" si="50"/>
        <v>10000000000</v>
      </c>
      <c r="U247" s="1">
        <f t="shared" si="56"/>
        <v>0</v>
      </c>
      <c r="V247" s="1">
        <v>75</v>
      </c>
      <c r="W247" s="1" t="str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>0</v>
      </c>
      <c r="Y247" s="1">
        <f t="shared" ca="1" si="51"/>
        <v>10000000000</v>
      </c>
      <c r="Z247" s="1">
        <f t="shared" ca="1" si="52"/>
        <v>1</v>
      </c>
      <c r="AA247" s="1"/>
      <c r="AB247" s="1"/>
      <c r="AC247" s="1"/>
      <c r="AD247" s="1"/>
    </row>
    <row r="248" spans="1:30" ht="19.5" customHeight="1" x14ac:dyDescent="0.3">
      <c r="A248" s="2"/>
      <c r="B248" s="79" t="str">
        <f t="shared" ca="1" si="43"/>
        <v/>
      </c>
      <c r="C248" s="80" t="str">
        <f t="shared" ca="1" si="44"/>
        <v/>
      </c>
      <c r="D248" s="81" t="str">
        <f t="shared" ca="1" si="45"/>
        <v/>
      </c>
      <c r="E248" s="79" t="str">
        <f t="shared" ca="1" si="46"/>
        <v/>
      </c>
      <c r="F248" s="82" t="str">
        <f t="shared" ca="1" si="47"/>
        <v/>
      </c>
      <c r="G248" s="82" t="str">
        <f t="shared" ca="1" si="48"/>
        <v/>
      </c>
      <c r="H248" s="82" t="str">
        <f t="shared" ca="1" si="49"/>
        <v/>
      </c>
      <c r="I248" s="2"/>
      <c r="J248" s="2"/>
      <c r="K248" s="1"/>
      <c r="L248" s="1"/>
      <c r="M248" s="1">
        <v>237</v>
      </c>
      <c r="N248" s="1" t="str">
        <f ca="1">IF(OR($U248=0,$W248="",$X248&lt;=0),"",IF($W248&gt;TODAY(),"",IF(AND(INDEX(UCRETLER!$E$7:$E$606,$U248)&lt;&gt;"",$W248&gt;INDEX(UCRETLER!$E$7:$E$606,$U248)),"",$W248)))</f>
        <v/>
      </c>
      <c r="O248" s="1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 t="str">
        <f t="shared" ca="1" si="53"/>
        <v/>
      </c>
      <c r="Q248" s="1"/>
      <c r="R248" s="1">
        <f t="shared" ca="1" si="54"/>
        <v>0</v>
      </c>
      <c r="S248" s="1">
        <v>0</v>
      </c>
      <c r="T248" s="1">
        <f t="shared" ca="1" si="50"/>
        <v>10000000000</v>
      </c>
      <c r="U248" s="1">
        <f t="shared" si="56"/>
        <v>0</v>
      </c>
      <c r="V248" s="1">
        <v>76</v>
      </c>
      <c r="W248" s="1" t="str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>0</v>
      </c>
      <c r="Y248" s="1">
        <f t="shared" ca="1" si="51"/>
        <v>10000000000</v>
      </c>
      <c r="Z248" s="1">
        <f t="shared" ca="1" si="52"/>
        <v>1</v>
      </c>
      <c r="AA248" s="1"/>
      <c r="AB248" s="1"/>
      <c r="AC248" s="1"/>
      <c r="AD248" s="1"/>
    </row>
    <row r="249" spans="1:30" ht="19.5" customHeight="1" x14ac:dyDescent="0.3">
      <c r="A249" s="2"/>
      <c r="B249" s="79" t="str">
        <f t="shared" ca="1" si="43"/>
        <v/>
      </c>
      <c r="C249" s="80" t="str">
        <f t="shared" ca="1" si="44"/>
        <v/>
      </c>
      <c r="D249" s="81" t="str">
        <f t="shared" ca="1" si="45"/>
        <v/>
      </c>
      <c r="E249" s="79" t="str">
        <f t="shared" ca="1" si="46"/>
        <v/>
      </c>
      <c r="F249" s="82" t="str">
        <f t="shared" ca="1" si="47"/>
        <v/>
      </c>
      <c r="G249" s="82" t="str">
        <f t="shared" ca="1" si="48"/>
        <v/>
      </c>
      <c r="H249" s="82" t="str">
        <f t="shared" ca="1" si="49"/>
        <v/>
      </c>
      <c r="I249" s="2"/>
      <c r="J249" s="2"/>
      <c r="K249" s="1"/>
      <c r="L249" s="1"/>
      <c r="M249" s="1">
        <v>238</v>
      </c>
      <c r="N249" s="1" t="str">
        <f ca="1">IF(OR($U249=0,$W249="",$X249&lt;=0),"",IF($W249&gt;TODAY(),"",IF(AND(INDEX(UCRETLER!$E$7:$E$606,$U249)&lt;&gt;"",$W249&gt;INDEX(UCRETLER!$E$7:$E$606,$U249)),"",$W249)))</f>
        <v/>
      </c>
      <c r="O249" s="1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 t="str">
        <f t="shared" ca="1" si="53"/>
        <v/>
      </c>
      <c r="Q249" s="1"/>
      <c r="R249" s="1">
        <f t="shared" ca="1" si="54"/>
        <v>0</v>
      </c>
      <c r="S249" s="1">
        <v>0</v>
      </c>
      <c r="T249" s="1">
        <f t="shared" ca="1" si="50"/>
        <v>10000000000</v>
      </c>
      <c r="U249" s="1">
        <f t="shared" si="56"/>
        <v>0</v>
      </c>
      <c r="V249" s="1">
        <v>77</v>
      </c>
      <c r="W249" s="1" t="str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>0</v>
      </c>
      <c r="Y249" s="1">
        <f t="shared" ca="1" si="51"/>
        <v>10000000000</v>
      </c>
      <c r="Z249" s="1">
        <f t="shared" ca="1" si="52"/>
        <v>1</v>
      </c>
      <c r="AA249" s="1"/>
      <c r="AB249" s="1"/>
      <c r="AC249" s="1"/>
      <c r="AD249" s="1"/>
    </row>
    <row r="250" spans="1:30" ht="19.5" customHeight="1" x14ac:dyDescent="0.3">
      <c r="A250" s="2"/>
      <c r="B250" s="79" t="str">
        <f t="shared" ca="1" si="43"/>
        <v/>
      </c>
      <c r="C250" s="80" t="str">
        <f t="shared" ca="1" si="44"/>
        <v/>
      </c>
      <c r="D250" s="81" t="str">
        <f t="shared" ca="1" si="45"/>
        <v/>
      </c>
      <c r="E250" s="79" t="str">
        <f t="shared" ca="1" si="46"/>
        <v/>
      </c>
      <c r="F250" s="82" t="str">
        <f t="shared" ca="1" si="47"/>
        <v/>
      </c>
      <c r="G250" s="82" t="str">
        <f t="shared" ca="1" si="48"/>
        <v/>
      </c>
      <c r="H250" s="82" t="str">
        <f t="shared" ca="1" si="49"/>
        <v/>
      </c>
      <c r="I250" s="2"/>
      <c r="J250" s="2"/>
      <c r="K250" s="1"/>
      <c r="L250" s="1"/>
      <c r="M250" s="1">
        <v>239</v>
      </c>
      <c r="N250" s="1" t="str">
        <f ca="1">IF(OR($U250=0,$W250="",$X250&lt;=0),"",IF($W250&gt;TODAY(),"",IF(AND(INDEX(UCRETLER!$E$7:$E$606,$U250)&lt;&gt;"",$W250&gt;INDEX(UCRETLER!$E$7:$E$606,$U250)),"",$W250)))</f>
        <v/>
      </c>
      <c r="O250" s="1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 t="str">
        <f t="shared" ca="1" si="53"/>
        <v/>
      </c>
      <c r="Q250" s="1"/>
      <c r="R250" s="1">
        <f t="shared" ca="1" si="54"/>
        <v>0</v>
      </c>
      <c r="S250" s="1">
        <v>0</v>
      </c>
      <c r="T250" s="1">
        <f t="shared" ca="1" si="50"/>
        <v>10000000000</v>
      </c>
      <c r="U250" s="1">
        <f t="shared" si="56"/>
        <v>0</v>
      </c>
      <c r="V250" s="1">
        <v>78</v>
      </c>
      <c r="W250" s="1" t="str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>0</v>
      </c>
      <c r="Y250" s="1">
        <f t="shared" ca="1" si="51"/>
        <v>10000000000</v>
      </c>
      <c r="Z250" s="1">
        <f t="shared" ca="1" si="52"/>
        <v>1</v>
      </c>
      <c r="AA250" s="1"/>
      <c r="AB250" s="1"/>
      <c r="AC250" s="1"/>
      <c r="AD250" s="1"/>
    </row>
    <row r="251" spans="1:30" ht="19.5" customHeight="1" x14ac:dyDescent="0.3">
      <c r="A251" s="2"/>
      <c r="B251" s="79" t="str">
        <f t="shared" ca="1" si="43"/>
        <v/>
      </c>
      <c r="C251" s="80" t="str">
        <f t="shared" ca="1" si="44"/>
        <v/>
      </c>
      <c r="D251" s="81" t="str">
        <f t="shared" ca="1" si="45"/>
        <v/>
      </c>
      <c r="E251" s="79" t="str">
        <f t="shared" ca="1" si="46"/>
        <v/>
      </c>
      <c r="F251" s="82" t="str">
        <f t="shared" ca="1" si="47"/>
        <v/>
      </c>
      <c r="G251" s="82" t="str">
        <f t="shared" ca="1" si="48"/>
        <v/>
      </c>
      <c r="H251" s="82" t="str">
        <f t="shared" ca="1" si="49"/>
        <v/>
      </c>
      <c r="I251" s="2"/>
      <c r="J251" s="2"/>
      <c r="K251" s="1"/>
      <c r="L251" s="1"/>
      <c r="M251" s="1">
        <v>240</v>
      </c>
      <c r="N251" s="1" t="str">
        <f ca="1">IF(OR($U251=0,$W251="",$X251&lt;=0),"",IF($W251&gt;TODAY(),"",IF(AND(INDEX(UCRETLER!$E$7:$E$606,$U251)&lt;&gt;"",$W251&gt;INDEX(UCRETLER!$E$7:$E$606,$U251)),"",$W251)))</f>
        <v/>
      </c>
      <c r="O251" s="1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 t="str">
        <f t="shared" ca="1" si="53"/>
        <v/>
      </c>
      <c r="Q251" s="1"/>
      <c r="R251" s="1">
        <f t="shared" ca="1" si="54"/>
        <v>0</v>
      </c>
      <c r="S251" s="1">
        <v>0</v>
      </c>
      <c r="T251" s="1">
        <f t="shared" ca="1" si="50"/>
        <v>10000000000</v>
      </c>
      <c r="U251" s="1">
        <f t="shared" si="56"/>
        <v>0</v>
      </c>
      <c r="V251" s="1">
        <v>79</v>
      </c>
      <c r="W251" s="1" t="str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>0</v>
      </c>
      <c r="Y251" s="1">
        <f t="shared" ca="1" si="51"/>
        <v>10000000000</v>
      </c>
      <c r="Z251" s="1">
        <f t="shared" ca="1" si="52"/>
        <v>1</v>
      </c>
      <c r="AA251" s="1"/>
      <c r="AB251" s="1"/>
      <c r="AC251" s="1"/>
      <c r="AD251" s="1"/>
    </row>
    <row r="252" spans="1:30" ht="19.5" customHeight="1" x14ac:dyDescent="0.3">
      <c r="A252" s="2"/>
      <c r="B252" s="79" t="str">
        <f t="shared" ca="1" si="43"/>
        <v/>
      </c>
      <c r="C252" s="80" t="str">
        <f t="shared" ca="1" si="44"/>
        <v/>
      </c>
      <c r="D252" s="81" t="str">
        <f t="shared" ca="1" si="45"/>
        <v/>
      </c>
      <c r="E252" s="79" t="str">
        <f t="shared" ca="1" si="46"/>
        <v/>
      </c>
      <c r="F252" s="82" t="str">
        <f t="shared" ca="1" si="47"/>
        <v/>
      </c>
      <c r="G252" s="82" t="str">
        <f t="shared" ca="1" si="48"/>
        <v/>
      </c>
      <c r="H252" s="82" t="str">
        <f t="shared" ca="1" si="49"/>
        <v/>
      </c>
      <c r="I252" s="2"/>
      <c r="J252" s="2"/>
      <c r="K252" s="1"/>
      <c r="L252" s="1"/>
      <c r="M252" s="1">
        <v>241</v>
      </c>
      <c r="N252" s="1" t="str">
        <f ca="1">IF(OR($U252=0,$W252="",$X252&lt;=0),"",IF($W252&gt;TODAY(),"",IF(AND(INDEX(UCRETLER!$E$7:$E$606,$U252)&lt;&gt;"",$W252&gt;INDEX(UCRETLER!$E$7:$E$606,$U252)),"",$W252)))</f>
        <v/>
      </c>
      <c r="O252" s="1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 t="str">
        <f t="shared" ca="1" si="53"/>
        <v/>
      </c>
      <c r="Q252" s="1"/>
      <c r="R252" s="1">
        <f t="shared" ca="1" si="54"/>
        <v>0</v>
      </c>
      <c r="S252" s="1">
        <v>0</v>
      </c>
      <c r="T252" s="1">
        <f t="shared" ca="1" si="50"/>
        <v>10000000000</v>
      </c>
      <c r="U252" s="1">
        <f t="shared" si="56"/>
        <v>0</v>
      </c>
      <c r="V252" s="1">
        <v>80</v>
      </c>
      <c r="W252" s="1" t="str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>0</v>
      </c>
      <c r="Y252" s="1">
        <f t="shared" ca="1" si="51"/>
        <v>10000000000</v>
      </c>
      <c r="Z252" s="1">
        <f t="shared" ca="1" si="52"/>
        <v>1</v>
      </c>
      <c r="AA252" s="1"/>
      <c r="AB252" s="1"/>
      <c r="AC252" s="1"/>
      <c r="AD252" s="1"/>
    </row>
    <row r="253" spans="1:30" ht="19.5" customHeight="1" x14ac:dyDescent="0.3">
      <c r="A253" s="2"/>
      <c r="B253" s="79" t="str">
        <f t="shared" ca="1" si="43"/>
        <v/>
      </c>
      <c r="C253" s="80" t="str">
        <f t="shared" ca="1" si="44"/>
        <v/>
      </c>
      <c r="D253" s="81" t="str">
        <f t="shared" ca="1" si="45"/>
        <v/>
      </c>
      <c r="E253" s="79" t="str">
        <f t="shared" ca="1" si="46"/>
        <v/>
      </c>
      <c r="F253" s="82" t="str">
        <f t="shared" ca="1" si="47"/>
        <v/>
      </c>
      <c r="G253" s="82" t="str">
        <f t="shared" ca="1" si="48"/>
        <v/>
      </c>
      <c r="H253" s="82" t="str">
        <f t="shared" ca="1" si="49"/>
        <v/>
      </c>
      <c r="I253" s="2"/>
      <c r="J253" s="2"/>
      <c r="K253" s="1"/>
      <c r="L253" s="1"/>
      <c r="M253" s="1">
        <v>242</v>
      </c>
      <c r="N253" s="71">
        <f>IF($U253=0,"",INDEX(TAHSILAT!$E$7:$E$2506,$U253))</f>
        <v>46034</v>
      </c>
      <c r="O253" s="1" t="str">
        <f>IF($N253="","","Ödeme  –  "&amp;INDEX(TAHSILAT!$H$7:$H$2506,$U253)&amp;"  ("&amp;INDEX(TAHSILAT!$G$7:$G$2506,$U253)&amp;")"&amp;IF(INDEX(TAHSILAT!$J$7:$J$2506,$U253)="",""," / "&amp;INDEX(TAHSILAT!$J$7:$J$2506,$U253)))</f>
        <v>Ödeme  –  Nakit  (ÖMER KARTAL) / ÖMER KARTALA ÖDENEN</v>
      </c>
      <c r="P253" s="1" t="str">
        <f t="shared" ref="P253:P284" si="57">IF($N253="","","ÖDEME")</f>
        <v>ÖDEME</v>
      </c>
      <c r="Q253" s="1"/>
      <c r="R253" s="1">
        <v>0</v>
      </c>
      <c r="S253" s="84">
        <f>IF($N253="",0,INDEX(TAHSILAT!$F$7:$F$2506,$U253))</f>
        <v>6000</v>
      </c>
      <c r="T253" s="1">
        <f t="shared" si="50"/>
        <v>4603400242</v>
      </c>
      <c r="U253" s="1">
        <f>IFERROR(MATCH($AC$4&amp;"|1",TAHSILAT!$Q$7:$Q$2506,0),0)</f>
        <v>15</v>
      </c>
      <c r="V253" s="1"/>
      <c r="W253" s="1"/>
      <c r="X253" s="1"/>
      <c r="Y253" s="1">
        <f t="shared" ca="1" si="51"/>
        <v>10000000000</v>
      </c>
      <c r="Z253" s="1">
        <f t="shared" ca="1" si="52"/>
        <v>1</v>
      </c>
      <c r="AA253" s="1"/>
      <c r="AB253" s="1"/>
      <c r="AC253" s="1"/>
      <c r="AD253" s="1"/>
    </row>
    <row r="254" spans="1:30" ht="19.5" customHeight="1" x14ac:dyDescent="0.3">
      <c r="A254" s="2"/>
      <c r="B254" s="79" t="str">
        <f t="shared" ca="1" si="43"/>
        <v/>
      </c>
      <c r="C254" s="80" t="str">
        <f t="shared" ca="1" si="44"/>
        <v/>
      </c>
      <c r="D254" s="81" t="str">
        <f t="shared" ca="1" si="45"/>
        <v/>
      </c>
      <c r="E254" s="79" t="str">
        <f t="shared" ca="1" si="46"/>
        <v/>
      </c>
      <c r="F254" s="82" t="str">
        <f t="shared" ca="1" si="47"/>
        <v/>
      </c>
      <c r="G254" s="82" t="str">
        <f t="shared" ca="1" si="48"/>
        <v/>
      </c>
      <c r="H254" s="82" t="str">
        <f t="shared" ca="1" si="49"/>
        <v/>
      </c>
      <c r="I254" s="2"/>
      <c r="J254" s="2"/>
      <c r="K254" s="1"/>
      <c r="L254" s="1"/>
      <c r="M254" s="1">
        <v>243</v>
      </c>
      <c r="N254" s="71">
        <f>IF($U254=0,"",INDEX(TAHSILAT!$E$7:$E$2506,$U254))</f>
        <v>46039</v>
      </c>
      <c r="O254" s="1" t="str">
        <f>IF($N254="","","Ödeme  –  "&amp;INDEX(TAHSILAT!$H$7:$H$2506,$U254)&amp;"  ("&amp;INDEX(TAHSILAT!$G$7:$G$2506,$U254)&amp;")"&amp;IF(INDEX(TAHSILAT!$J$7:$J$2506,$U254)="",""," / "&amp;INDEX(TAHSILAT!$J$7:$J$2506,$U254)))</f>
        <v>Ödeme  –  Nakit  (MERKEZ KASA) / NAKİT ÖDENEN</v>
      </c>
      <c r="P254" s="1" t="str">
        <f t="shared" si="57"/>
        <v>ÖDEME</v>
      </c>
      <c r="Q254" s="1"/>
      <c r="R254" s="1">
        <v>0</v>
      </c>
      <c r="S254" s="84">
        <f>IF($N254="",0,INDEX(TAHSILAT!$F$7:$F$2506,$U254))</f>
        <v>3000</v>
      </c>
      <c r="T254" s="1">
        <f t="shared" si="50"/>
        <v>4603900243</v>
      </c>
      <c r="U254" s="1">
        <f>IFERROR(MATCH($AC$4&amp;"|2",TAHSILAT!$Q$7:$Q$2506,0),0)</f>
        <v>21</v>
      </c>
      <c r="V254" s="1"/>
      <c r="W254" s="1"/>
      <c r="X254" s="1"/>
      <c r="Y254" s="1">
        <f t="shared" ca="1" si="51"/>
        <v>10000000000</v>
      </c>
      <c r="Z254" s="1">
        <f t="shared" ca="1" si="52"/>
        <v>1</v>
      </c>
      <c r="AA254" s="1"/>
      <c r="AB254" s="1"/>
      <c r="AC254" s="1"/>
      <c r="AD254" s="1"/>
    </row>
    <row r="255" spans="1:30" ht="19.5" customHeight="1" x14ac:dyDescent="0.3">
      <c r="A255" s="2"/>
      <c r="B255" s="79" t="str">
        <f t="shared" ca="1" si="43"/>
        <v/>
      </c>
      <c r="C255" s="80" t="str">
        <f t="shared" ca="1" si="44"/>
        <v/>
      </c>
      <c r="D255" s="81" t="str">
        <f t="shared" ca="1" si="45"/>
        <v/>
      </c>
      <c r="E255" s="79" t="str">
        <f t="shared" ca="1" si="46"/>
        <v/>
      </c>
      <c r="F255" s="82" t="str">
        <f t="shared" ca="1" si="47"/>
        <v/>
      </c>
      <c r="G255" s="82" t="str">
        <f t="shared" ca="1" si="48"/>
        <v/>
      </c>
      <c r="H255" s="82" t="str">
        <f t="shared" ca="1" si="49"/>
        <v/>
      </c>
      <c r="I255" s="2"/>
      <c r="J255" s="2"/>
      <c r="K255" s="1"/>
      <c r="L255" s="1"/>
      <c r="M255" s="1">
        <v>244</v>
      </c>
      <c r="N255" s="71">
        <f>IF($U255=0,"",INDEX(TAHSILAT!$E$7:$E$2506,$U255))</f>
        <v>46046</v>
      </c>
      <c r="O255" s="1" t="str">
        <f>IF($N255="","","Ödeme  –  "&amp;INDEX(TAHSILAT!$H$7:$H$2506,$U255)&amp;"  ("&amp;INDEX(TAHSILAT!$G$7:$G$2506,$U255)&amp;")"&amp;IF(INDEX(TAHSILAT!$J$7:$J$2506,$U255)="",""," / "&amp;INDEX(TAHSILAT!$J$7:$J$2506,$U255)))</f>
        <v>Ödeme  –  Nakit  (MERKEZ KASA) / NAKİT ÖDENEN</v>
      </c>
      <c r="P255" s="1" t="str">
        <f t="shared" si="57"/>
        <v>ÖDEME</v>
      </c>
      <c r="Q255" s="1"/>
      <c r="R255" s="1">
        <v>0</v>
      </c>
      <c r="S255" s="84">
        <f>IF($N255="",0,INDEX(TAHSILAT!$F$7:$F$2506,$U255))</f>
        <v>3000</v>
      </c>
      <c r="T255" s="1">
        <f t="shared" si="50"/>
        <v>4604600244</v>
      </c>
      <c r="U255" s="1">
        <f>IFERROR(MATCH($AC$4&amp;"|3",TAHSILAT!$Q$7:$Q$2506,0),0)</f>
        <v>40</v>
      </c>
      <c r="V255" s="1"/>
      <c r="W255" s="1"/>
      <c r="X255" s="1"/>
      <c r="Y255" s="1">
        <f t="shared" ca="1" si="51"/>
        <v>10000000000</v>
      </c>
      <c r="Z255" s="1">
        <f t="shared" ca="1" si="52"/>
        <v>1</v>
      </c>
      <c r="AA255" s="1"/>
      <c r="AB255" s="1"/>
      <c r="AC255" s="1"/>
      <c r="AD255" s="1"/>
    </row>
    <row r="256" spans="1:30" ht="19.5" customHeight="1" x14ac:dyDescent="0.3">
      <c r="A256" s="2"/>
      <c r="B256" s="79" t="str">
        <f t="shared" ca="1" si="43"/>
        <v/>
      </c>
      <c r="C256" s="80" t="str">
        <f t="shared" ca="1" si="44"/>
        <v/>
      </c>
      <c r="D256" s="81" t="str">
        <f t="shared" ca="1" si="45"/>
        <v/>
      </c>
      <c r="E256" s="79" t="str">
        <f t="shared" ca="1" si="46"/>
        <v/>
      </c>
      <c r="F256" s="82" t="str">
        <f t="shared" ca="1" si="47"/>
        <v/>
      </c>
      <c r="G256" s="82" t="str">
        <f t="shared" ca="1" si="48"/>
        <v/>
      </c>
      <c r="H256" s="82" t="str">
        <f t="shared" ca="1" si="49"/>
        <v/>
      </c>
      <c r="I256" s="2"/>
      <c r="J256" s="2"/>
      <c r="K256" s="1"/>
      <c r="L256" s="1"/>
      <c r="M256" s="1">
        <v>245</v>
      </c>
      <c r="N256" s="71">
        <f>IF($U256=0,"",INDEX(TAHSILAT!$E$7:$E$2506,$U256))</f>
        <v>46053</v>
      </c>
      <c r="O256" s="1" t="str">
        <f>IF($N256="","","Ödeme  –  "&amp;INDEX(TAHSILAT!$H$7:$H$2506,$U256)&amp;"  ("&amp;INDEX(TAHSILAT!$G$7:$G$2506,$U256)&amp;")"&amp;IF(INDEX(TAHSILAT!$J$7:$J$2506,$U256)="",""," / "&amp;INDEX(TAHSILAT!$J$7:$J$2506,$U256)))</f>
        <v>Ödeme  –  Nakit  (MERKEZ KASA) / NAKİT ÖDENEN</v>
      </c>
      <c r="P256" s="1" t="str">
        <f t="shared" si="57"/>
        <v>ÖDEME</v>
      </c>
      <c r="Q256" s="1"/>
      <c r="R256" s="1">
        <v>0</v>
      </c>
      <c r="S256" s="84">
        <f>IF($N256="",0,INDEX(TAHSILAT!$F$7:$F$2506,$U256))</f>
        <v>3000</v>
      </c>
      <c r="T256" s="1">
        <f t="shared" si="50"/>
        <v>4605300245</v>
      </c>
      <c r="U256" s="1">
        <f>IFERROR(MATCH($AC$4&amp;"|4",TAHSILAT!$Q$7:$Q$2506,0),0)</f>
        <v>61</v>
      </c>
      <c r="V256" s="1"/>
      <c r="W256" s="1"/>
      <c r="X256" s="1"/>
      <c r="Y256" s="1">
        <f t="shared" ca="1" si="51"/>
        <v>10000000000</v>
      </c>
      <c r="Z256" s="1">
        <f t="shared" ca="1" si="52"/>
        <v>1</v>
      </c>
      <c r="AA256" s="1"/>
      <c r="AB256" s="1"/>
      <c r="AC256" s="1"/>
      <c r="AD256" s="1"/>
    </row>
    <row r="257" spans="1:30" ht="19.5" customHeight="1" x14ac:dyDescent="0.3">
      <c r="A257" s="2"/>
      <c r="B257" s="79" t="str">
        <f t="shared" ca="1" si="43"/>
        <v/>
      </c>
      <c r="C257" s="80" t="str">
        <f t="shared" ca="1" si="44"/>
        <v/>
      </c>
      <c r="D257" s="81" t="str">
        <f t="shared" ca="1" si="45"/>
        <v/>
      </c>
      <c r="E257" s="79" t="str">
        <f t="shared" ca="1" si="46"/>
        <v/>
      </c>
      <c r="F257" s="82" t="str">
        <f t="shared" ca="1" si="47"/>
        <v/>
      </c>
      <c r="G257" s="82" t="str">
        <f t="shared" ca="1" si="48"/>
        <v/>
      </c>
      <c r="H257" s="82" t="str">
        <f t="shared" ca="1" si="49"/>
        <v/>
      </c>
      <c r="I257" s="2"/>
      <c r="J257" s="2"/>
      <c r="K257" s="1"/>
      <c r="L257" s="1"/>
      <c r="M257" s="1">
        <v>246</v>
      </c>
      <c r="N257" s="71">
        <f>IF($U257=0,"",INDEX(TAHSILAT!$E$7:$E$2506,$U257))</f>
        <v>46060</v>
      </c>
      <c r="O257" s="1" t="str">
        <f>IF($N257="","","Ödeme  –  "&amp;INDEX(TAHSILAT!$H$7:$H$2506,$U257)&amp;"  ("&amp;INDEX(TAHSILAT!$G$7:$G$2506,$U257)&amp;")"&amp;IF(INDEX(TAHSILAT!$J$7:$J$2506,$U257)="",""," / "&amp;INDEX(TAHSILAT!$J$7:$J$2506,$U257)))</f>
        <v>Ödeme  –  Nakit  (MERKEZ KASA) / NAKİT ÖDENEN</v>
      </c>
      <c r="P257" s="1" t="str">
        <f t="shared" si="57"/>
        <v>ÖDEME</v>
      </c>
      <c r="Q257" s="1"/>
      <c r="R257" s="1">
        <v>0</v>
      </c>
      <c r="S257" s="84">
        <f>IF($N257="",0,INDEX(TAHSILAT!$F$7:$F$2506,$U257))</f>
        <v>3000</v>
      </c>
      <c r="T257" s="1">
        <f t="shared" si="50"/>
        <v>4606000246</v>
      </c>
      <c r="U257" s="1">
        <f>IFERROR(MATCH($AC$4&amp;"|5",TAHSILAT!$Q$7:$Q$2506,0),0)</f>
        <v>81</v>
      </c>
      <c r="V257" s="1"/>
      <c r="W257" s="1"/>
      <c r="X257" s="1"/>
      <c r="Y257" s="1">
        <f t="shared" ca="1" si="51"/>
        <v>10000000000</v>
      </c>
      <c r="Z257" s="1">
        <f t="shared" ca="1" si="52"/>
        <v>1</v>
      </c>
      <c r="AA257" s="1"/>
      <c r="AB257" s="1"/>
      <c r="AC257" s="1"/>
      <c r="AD257" s="1"/>
    </row>
    <row r="258" spans="1:30" ht="19.5" customHeight="1" x14ac:dyDescent="0.3">
      <c r="A258" s="2"/>
      <c r="B258" s="79" t="str">
        <f t="shared" ca="1" si="43"/>
        <v/>
      </c>
      <c r="C258" s="80" t="str">
        <f t="shared" ca="1" si="44"/>
        <v/>
      </c>
      <c r="D258" s="81" t="str">
        <f t="shared" ca="1" si="45"/>
        <v/>
      </c>
      <c r="E258" s="79" t="str">
        <f t="shared" ca="1" si="46"/>
        <v/>
      </c>
      <c r="F258" s="82" t="str">
        <f t="shared" ca="1" si="47"/>
        <v/>
      </c>
      <c r="G258" s="82" t="str">
        <f t="shared" ca="1" si="48"/>
        <v/>
      </c>
      <c r="H258" s="82" t="str">
        <f t="shared" ca="1" si="49"/>
        <v/>
      </c>
      <c r="I258" s="2"/>
      <c r="J258" s="2"/>
      <c r="K258" s="1"/>
      <c r="L258" s="1"/>
      <c r="M258" s="1">
        <v>247</v>
      </c>
      <c r="N258" s="71">
        <f>IF($U258=0,"",INDEX(TAHSILAT!$E$7:$E$2506,$U258))</f>
        <v>46067</v>
      </c>
      <c r="O258" s="1" t="str">
        <f>IF($N258="","","Ödeme  –  "&amp;INDEX(TAHSILAT!$H$7:$H$2506,$U258)&amp;"  ("&amp;INDEX(TAHSILAT!$G$7:$G$2506,$U258)&amp;")"&amp;IF(INDEX(TAHSILAT!$J$7:$J$2506,$U258)="",""," / "&amp;INDEX(TAHSILAT!$J$7:$J$2506,$U258)))</f>
        <v>Ödeme  –  Nakit  (MERKEZ KASA) / NAKİT ÖDENEN</v>
      </c>
      <c r="P258" s="1" t="str">
        <f t="shared" si="57"/>
        <v>ÖDEME</v>
      </c>
      <c r="Q258" s="1"/>
      <c r="R258" s="1">
        <v>0</v>
      </c>
      <c r="S258" s="84">
        <f>IF($N258="",0,INDEX(TAHSILAT!$F$7:$F$2506,$U258))</f>
        <v>3000</v>
      </c>
      <c r="T258" s="1">
        <f t="shared" si="50"/>
        <v>4606700247</v>
      </c>
      <c r="U258" s="1">
        <f>IFERROR(MATCH($AC$4&amp;"|6",TAHSILAT!$Q$7:$Q$2506,0),0)</f>
        <v>98</v>
      </c>
      <c r="V258" s="1"/>
      <c r="W258" s="1"/>
      <c r="X258" s="1"/>
      <c r="Y258" s="1">
        <f t="shared" ca="1" si="51"/>
        <v>10000000000</v>
      </c>
      <c r="Z258" s="1">
        <f t="shared" ca="1" si="52"/>
        <v>1</v>
      </c>
      <c r="AA258" s="1"/>
      <c r="AB258" s="1"/>
      <c r="AC258" s="1"/>
      <c r="AD258" s="1"/>
    </row>
    <row r="259" spans="1:30" ht="19.5" customHeight="1" x14ac:dyDescent="0.3">
      <c r="A259" s="2"/>
      <c r="B259" s="79" t="str">
        <f t="shared" ca="1" si="43"/>
        <v/>
      </c>
      <c r="C259" s="80" t="str">
        <f t="shared" ca="1" si="44"/>
        <v/>
      </c>
      <c r="D259" s="81" t="str">
        <f t="shared" ca="1" si="45"/>
        <v/>
      </c>
      <c r="E259" s="79" t="str">
        <f t="shared" ca="1" si="46"/>
        <v/>
      </c>
      <c r="F259" s="82" t="str">
        <f t="shared" ca="1" si="47"/>
        <v/>
      </c>
      <c r="G259" s="82" t="str">
        <f t="shared" ca="1" si="48"/>
        <v/>
      </c>
      <c r="H259" s="82" t="str">
        <f t="shared" ca="1" si="49"/>
        <v/>
      </c>
      <c r="I259" s="2"/>
      <c r="J259" s="2"/>
      <c r="K259" s="1"/>
      <c r="L259" s="1"/>
      <c r="M259" s="1">
        <v>248</v>
      </c>
      <c r="N259" s="71">
        <f>IF($U259=0,"",INDEX(TAHSILAT!$E$7:$E$2506,$U259))</f>
        <v>46096</v>
      </c>
      <c r="O259" s="1" t="str">
        <f>IF($N259="","","Ödeme  –  "&amp;INDEX(TAHSILAT!$H$7:$H$2506,$U259)&amp;"  ("&amp;INDEX(TAHSILAT!$G$7:$G$2506,$U259)&amp;")"&amp;IF(INDEX(TAHSILAT!$J$7:$J$2506,$U259)="",""," / "&amp;INDEX(TAHSILAT!$J$7:$J$2506,$U259)))</f>
        <v>Ödeme  –  Nakit  (ÖMER KARTAL) / ÖMER KARTALA ÖDENEN</v>
      </c>
      <c r="P259" s="1" t="str">
        <f t="shared" si="57"/>
        <v>ÖDEME</v>
      </c>
      <c r="Q259" s="1"/>
      <c r="R259" s="1">
        <v>0</v>
      </c>
      <c r="S259" s="84">
        <f>IF($N259="",0,INDEX(TAHSILAT!$F$7:$F$2506,$U259))</f>
        <v>11500</v>
      </c>
      <c r="T259" s="1">
        <f t="shared" si="50"/>
        <v>4609600248</v>
      </c>
      <c r="U259" s="1">
        <f>IFERROR(MATCH($AC$4&amp;"|7",TAHSILAT!$Q$7:$Q$2506,0),0)</f>
        <v>143</v>
      </c>
      <c r="V259" s="1"/>
      <c r="W259" s="1"/>
      <c r="X259" s="1"/>
      <c r="Y259" s="1">
        <f t="shared" ca="1" si="51"/>
        <v>10000000000</v>
      </c>
      <c r="Z259" s="1">
        <f t="shared" ca="1" si="52"/>
        <v>1</v>
      </c>
      <c r="AA259" s="1"/>
      <c r="AB259" s="1"/>
      <c r="AC259" s="1"/>
      <c r="AD259" s="1"/>
    </row>
    <row r="260" spans="1:30" ht="19.5" customHeight="1" x14ac:dyDescent="0.3">
      <c r="A260" s="2"/>
      <c r="B260" s="79" t="str">
        <f t="shared" ca="1" si="43"/>
        <v/>
      </c>
      <c r="C260" s="80" t="str">
        <f t="shared" ca="1" si="44"/>
        <v/>
      </c>
      <c r="D260" s="81" t="str">
        <f t="shared" ca="1" si="45"/>
        <v/>
      </c>
      <c r="E260" s="79" t="str">
        <f t="shared" ca="1" si="46"/>
        <v/>
      </c>
      <c r="F260" s="82" t="str">
        <f t="shared" ca="1" si="47"/>
        <v/>
      </c>
      <c r="G260" s="82" t="str">
        <f t="shared" ca="1" si="48"/>
        <v/>
      </c>
      <c r="H260" s="82" t="str">
        <f t="shared" ca="1" si="49"/>
        <v/>
      </c>
      <c r="I260" s="2"/>
      <c r="J260" s="2"/>
      <c r="K260" s="1"/>
      <c r="L260" s="1"/>
      <c r="M260" s="1">
        <v>249</v>
      </c>
      <c r="N260" s="71">
        <f>IF($U260=0,"",INDEX(TAHSILAT!$E$7:$E$2506,$U260))</f>
        <v>46103</v>
      </c>
      <c r="O260" s="1" t="str">
        <f>IF($N260="","","Ödeme  –  "&amp;INDEX(TAHSILAT!$H$7:$H$2506,$U260)&amp;"  ("&amp;INDEX(TAHSILAT!$G$7:$G$2506,$U260)&amp;")"&amp;IF(INDEX(TAHSILAT!$J$7:$J$2506,$U260)="",""," / "&amp;INDEX(TAHSILAT!$J$7:$J$2506,$U260)))</f>
        <v>Ödeme  –  Nakit  (MERKEZ KASA) / NAKİT ÖDENEN</v>
      </c>
      <c r="P260" s="1" t="str">
        <f t="shared" si="57"/>
        <v>ÖDEME</v>
      </c>
      <c r="Q260" s="1"/>
      <c r="R260" s="1">
        <v>0</v>
      </c>
      <c r="S260" s="84">
        <f>IF($N260="",0,INDEX(TAHSILAT!$F$7:$F$2506,$U260))</f>
        <v>3000</v>
      </c>
      <c r="T260" s="1">
        <f t="shared" si="50"/>
        <v>4610300249</v>
      </c>
      <c r="U260" s="1">
        <f>IFERROR(MATCH($AC$4&amp;"|8",TAHSILAT!$Q$7:$Q$2506,0),0)</f>
        <v>160</v>
      </c>
      <c r="V260" s="1"/>
      <c r="W260" s="1"/>
      <c r="X260" s="1"/>
      <c r="Y260" s="1">
        <f t="shared" ca="1" si="51"/>
        <v>10000000000</v>
      </c>
      <c r="Z260" s="1">
        <f t="shared" ca="1" si="52"/>
        <v>1</v>
      </c>
      <c r="AA260" s="1"/>
      <c r="AB260" s="1"/>
      <c r="AC260" s="1"/>
      <c r="AD260" s="1"/>
    </row>
    <row r="261" spans="1:30" ht="19.5" customHeight="1" x14ac:dyDescent="0.3">
      <c r="A261" s="2"/>
      <c r="B261" s="79" t="str">
        <f t="shared" ca="1" si="43"/>
        <v/>
      </c>
      <c r="C261" s="80" t="str">
        <f t="shared" ca="1" si="44"/>
        <v/>
      </c>
      <c r="D261" s="81" t="str">
        <f t="shared" ca="1" si="45"/>
        <v/>
      </c>
      <c r="E261" s="79" t="str">
        <f t="shared" ca="1" si="46"/>
        <v/>
      </c>
      <c r="F261" s="82" t="str">
        <f t="shared" ca="1" si="47"/>
        <v/>
      </c>
      <c r="G261" s="82" t="str">
        <f t="shared" ca="1" si="48"/>
        <v/>
      </c>
      <c r="H261" s="82" t="str">
        <f t="shared" ca="1" si="49"/>
        <v/>
      </c>
      <c r="I261" s="2"/>
      <c r="J261" s="2"/>
      <c r="K261" s="1"/>
      <c r="L261" s="1"/>
      <c r="M261" s="1">
        <v>250</v>
      </c>
      <c r="N261" s="71">
        <f>IF($U261=0,"",INDEX(TAHSILAT!$E$7:$E$2506,$U261))</f>
        <v>46109</v>
      </c>
      <c r="O261" s="1" t="str">
        <f>IF($N261="","","Ödeme  –  "&amp;INDEX(TAHSILAT!$H$7:$H$2506,$U261)&amp;"  ("&amp;INDEX(TAHSILAT!$G$7:$G$2506,$U261)&amp;")"&amp;IF(INDEX(TAHSILAT!$J$7:$J$2506,$U261)="",""," / "&amp;INDEX(TAHSILAT!$J$7:$J$2506,$U261)))</f>
        <v>Ödeme  –  Nakit  (MERKEZ KASA) / NAKİT ÖDENEN</v>
      </c>
      <c r="P261" s="1" t="str">
        <f t="shared" si="57"/>
        <v>ÖDEME</v>
      </c>
      <c r="Q261" s="1"/>
      <c r="R261" s="1">
        <v>0</v>
      </c>
      <c r="S261" s="84">
        <f>IF($N261="",0,INDEX(TAHSILAT!$F$7:$F$2506,$U261))</f>
        <v>3000</v>
      </c>
      <c r="T261" s="1">
        <f t="shared" si="50"/>
        <v>4610900250</v>
      </c>
      <c r="U261" s="1">
        <f>IFERROR(MATCH($AC$4&amp;"|9",TAHSILAT!$Q$7:$Q$2506,0),0)</f>
        <v>172</v>
      </c>
      <c r="V261" s="1"/>
      <c r="W261" s="1"/>
      <c r="X261" s="1"/>
      <c r="Y261" s="1">
        <f t="shared" ca="1" si="51"/>
        <v>10000000000</v>
      </c>
      <c r="Z261" s="1">
        <f t="shared" ca="1" si="52"/>
        <v>1</v>
      </c>
      <c r="AA261" s="1"/>
      <c r="AB261" s="1"/>
      <c r="AC261" s="1"/>
      <c r="AD261" s="1"/>
    </row>
    <row r="262" spans="1:30" ht="19.5" customHeight="1" x14ac:dyDescent="0.3">
      <c r="A262" s="2"/>
      <c r="B262" s="79" t="str">
        <f t="shared" ca="1" si="43"/>
        <v/>
      </c>
      <c r="C262" s="80" t="str">
        <f t="shared" ca="1" si="44"/>
        <v/>
      </c>
      <c r="D262" s="81" t="str">
        <f t="shared" ca="1" si="45"/>
        <v/>
      </c>
      <c r="E262" s="79" t="str">
        <f t="shared" ca="1" si="46"/>
        <v/>
      </c>
      <c r="F262" s="82" t="str">
        <f t="shared" ca="1" si="47"/>
        <v/>
      </c>
      <c r="G262" s="82" t="str">
        <f t="shared" ca="1" si="48"/>
        <v/>
      </c>
      <c r="H262" s="82" t="str">
        <f t="shared" ca="1" si="49"/>
        <v/>
      </c>
      <c r="I262" s="2"/>
      <c r="J262" s="2"/>
      <c r="K262" s="1"/>
      <c r="L262" s="1"/>
      <c r="M262" s="1">
        <v>251</v>
      </c>
      <c r="N262" s="71">
        <f>IF($U262=0,"",INDEX(TAHSILAT!$E$7:$E$2506,$U262))</f>
        <v>46116</v>
      </c>
      <c r="O262" s="1" t="str">
        <f>IF($N262="","","Ödeme  –  "&amp;INDEX(TAHSILAT!$H$7:$H$2506,$U262)&amp;"  ("&amp;INDEX(TAHSILAT!$G$7:$G$2506,$U262)&amp;")"&amp;IF(INDEX(TAHSILAT!$J$7:$J$2506,$U262)="",""," / "&amp;INDEX(TAHSILAT!$J$7:$J$2506,$U262)))</f>
        <v>Ödeme  –  Nakit  (MERKEZ KASA) / NAKİT ÖDENEN</v>
      </c>
      <c r="P262" s="1" t="str">
        <f t="shared" si="57"/>
        <v>ÖDEME</v>
      </c>
      <c r="Q262" s="1"/>
      <c r="R262" s="1">
        <v>0</v>
      </c>
      <c r="S262" s="84">
        <f>IF($N262="",0,INDEX(TAHSILAT!$F$7:$F$2506,$U262))</f>
        <v>3000</v>
      </c>
      <c r="T262" s="1">
        <f t="shared" si="50"/>
        <v>4611600251</v>
      </c>
      <c r="U262" s="1">
        <f>IFERROR(MATCH($AC$4&amp;"|10",TAHSILAT!$Q$7:$Q$2506,0),0)</f>
        <v>191</v>
      </c>
      <c r="V262" s="1"/>
      <c r="W262" s="1"/>
      <c r="X262" s="1"/>
      <c r="Y262" s="1">
        <f t="shared" ca="1" si="51"/>
        <v>10000000000</v>
      </c>
      <c r="Z262" s="1">
        <f t="shared" ca="1" si="52"/>
        <v>1</v>
      </c>
      <c r="AA262" s="1"/>
      <c r="AB262" s="1"/>
      <c r="AC262" s="1"/>
      <c r="AD262" s="1"/>
    </row>
    <row r="263" spans="1:30" ht="19.5" customHeight="1" x14ac:dyDescent="0.3">
      <c r="A263" s="2"/>
      <c r="B263" s="79" t="str">
        <f t="shared" ca="1" si="43"/>
        <v/>
      </c>
      <c r="C263" s="80" t="str">
        <f t="shared" ca="1" si="44"/>
        <v/>
      </c>
      <c r="D263" s="81" t="str">
        <f t="shared" ca="1" si="45"/>
        <v/>
      </c>
      <c r="E263" s="79" t="str">
        <f t="shared" ca="1" si="46"/>
        <v/>
      </c>
      <c r="F263" s="82" t="str">
        <f t="shared" ca="1" si="47"/>
        <v/>
      </c>
      <c r="G263" s="82" t="str">
        <f t="shared" ca="1" si="48"/>
        <v/>
      </c>
      <c r="H263" s="82" t="str">
        <f t="shared" ca="1" si="49"/>
        <v/>
      </c>
      <c r="I263" s="2"/>
      <c r="J263" s="2"/>
      <c r="K263" s="1"/>
      <c r="L263" s="1"/>
      <c r="M263" s="1">
        <v>252</v>
      </c>
      <c r="N263" s="71">
        <f>IF($U263=0,"",INDEX(TAHSILAT!$E$7:$E$2506,$U263))</f>
        <v>46123</v>
      </c>
      <c r="O263" s="1" t="str">
        <f>IF($N263="","","Ödeme  –  "&amp;INDEX(TAHSILAT!$H$7:$H$2506,$U263)&amp;"  ("&amp;INDEX(TAHSILAT!$G$7:$G$2506,$U263)&amp;")"&amp;IF(INDEX(TAHSILAT!$J$7:$J$2506,$U263)="",""," / "&amp;INDEX(TAHSILAT!$J$7:$J$2506,$U263)))</f>
        <v>Ödeme  –  Nakit  (ÖMER KARTAL) / ÖMER KARTALA ÖDENEN</v>
      </c>
      <c r="P263" s="1" t="str">
        <f t="shared" si="57"/>
        <v>ÖDEME</v>
      </c>
      <c r="Q263" s="1"/>
      <c r="R263" s="1">
        <v>0</v>
      </c>
      <c r="S263" s="84">
        <f>IF($N263="",0,INDEX(TAHSILAT!$F$7:$F$2506,$U263))</f>
        <v>3000</v>
      </c>
      <c r="T263" s="1">
        <f t="shared" si="50"/>
        <v>4612300252</v>
      </c>
      <c r="U263" s="1">
        <f>IFERROR(MATCH($AC$4&amp;"|11",TAHSILAT!$Q$7:$Q$2506,0),0)</f>
        <v>208</v>
      </c>
      <c r="V263" s="1"/>
      <c r="W263" s="1"/>
      <c r="X263" s="1"/>
      <c r="Y263" s="1">
        <f t="shared" ca="1" si="51"/>
        <v>10000000000</v>
      </c>
      <c r="Z263" s="1">
        <f t="shared" ca="1" si="52"/>
        <v>1</v>
      </c>
      <c r="AA263" s="1"/>
      <c r="AB263" s="1"/>
      <c r="AC263" s="1"/>
      <c r="AD263" s="1"/>
    </row>
    <row r="264" spans="1:30" ht="19.5" customHeight="1" x14ac:dyDescent="0.3">
      <c r="A264" s="2"/>
      <c r="B264" s="79" t="str">
        <f t="shared" ca="1" si="43"/>
        <v/>
      </c>
      <c r="C264" s="80" t="str">
        <f t="shared" ca="1" si="44"/>
        <v/>
      </c>
      <c r="D264" s="81" t="str">
        <f t="shared" ca="1" si="45"/>
        <v/>
      </c>
      <c r="E264" s="79" t="str">
        <f t="shared" ca="1" si="46"/>
        <v/>
      </c>
      <c r="F264" s="82" t="str">
        <f t="shared" ca="1" si="47"/>
        <v/>
      </c>
      <c r="G264" s="82" t="str">
        <f t="shared" ca="1" si="48"/>
        <v/>
      </c>
      <c r="H264" s="82" t="str">
        <f t="shared" ca="1" si="49"/>
        <v/>
      </c>
      <c r="I264" s="2"/>
      <c r="J264" s="2"/>
      <c r="K264" s="1"/>
      <c r="L264" s="1"/>
      <c r="M264" s="1">
        <v>253</v>
      </c>
      <c r="N264" s="71">
        <f>IF($U264=0,"",INDEX(TAHSILAT!$E$7:$E$2506,$U264))</f>
        <v>46130</v>
      </c>
      <c r="O264" s="1" t="str">
        <f>IF($N264="","","Ödeme  –  "&amp;INDEX(TAHSILAT!$H$7:$H$2506,$U264)&amp;"  ("&amp;INDEX(TAHSILAT!$G$7:$G$2506,$U264)&amp;")"&amp;IF(INDEX(TAHSILAT!$J$7:$J$2506,$U264)="",""," / "&amp;INDEX(TAHSILAT!$J$7:$J$2506,$U264)))</f>
        <v>Ödeme  –  Nakit  (MERKEZ KASA) / NAKİT ÖDENEN</v>
      </c>
      <c r="P264" s="1" t="str">
        <f t="shared" si="57"/>
        <v>ÖDEME</v>
      </c>
      <c r="Q264" s="1"/>
      <c r="R264" s="1">
        <v>0</v>
      </c>
      <c r="S264" s="84">
        <f>IF($N264="",0,INDEX(TAHSILAT!$F$7:$F$2506,$U264))</f>
        <v>3000</v>
      </c>
      <c r="T264" s="1">
        <f t="shared" si="50"/>
        <v>4613000253</v>
      </c>
      <c r="U264" s="1">
        <f>IFERROR(MATCH($AC$4&amp;"|12",TAHSILAT!$Q$7:$Q$2506,0),0)</f>
        <v>222</v>
      </c>
      <c r="V264" s="1"/>
      <c r="W264" s="1"/>
      <c r="X264" s="1"/>
      <c r="Y264" s="1">
        <f t="shared" ca="1" si="51"/>
        <v>10000000000</v>
      </c>
      <c r="Z264" s="1">
        <f t="shared" ca="1" si="52"/>
        <v>1</v>
      </c>
      <c r="AA264" s="1"/>
      <c r="AB264" s="1"/>
      <c r="AC264" s="1"/>
      <c r="AD264" s="1"/>
    </row>
    <row r="265" spans="1:30" ht="19.5" customHeight="1" x14ac:dyDescent="0.3">
      <c r="A265" s="2"/>
      <c r="B265" s="79" t="str">
        <f t="shared" ca="1" si="43"/>
        <v/>
      </c>
      <c r="C265" s="80" t="str">
        <f t="shared" ca="1" si="44"/>
        <v/>
      </c>
      <c r="D265" s="81" t="str">
        <f t="shared" ca="1" si="45"/>
        <v/>
      </c>
      <c r="E265" s="79" t="str">
        <f t="shared" ca="1" si="46"/>
        <v/>
      </c>
      <c r="F265" s="82" t="str">
        <f t="shared" ca="1" si="47"/>
        <v/>
      </c>
      <c r="G265" s="82" t="str">
        <f t="shared" ca="1" si="48"/>
        <v/>
      </c>
      <c r="H265" s="82" t="str">
        <f t="shared" ca="1" si="49"/>
        <v/>
      </c>
      <c r="I265" s="2"/>
      <c r="J265" s="2"/>
      <c r="K265" s="1"/>
      <c r="L265" s="1"/>
      <c r="M265" s="1">
        <v>254</v>
      </c>
      <c r="N265" s="71">
        <f>IF($U265=0,"",INDEX(TAHSILAT!$E$7:$E$2506,$U265))</f>
        <v>46137</v>
      </c>
      <c r="O265" s="1" t="str">
        <f>IF($N265="","","Ödeme  –  "&amp;INDEX(TAHSILAT!$H$7:$H$2506,$U265)&amp;"  ("&amp;INDEX(TAHSILAT!$G$7:$G$2506,$U265)&amp;")"&amp;IF(INDEX(TAHSILAT!$J$7:$J$2506,$U265)="",""," / "&amp;INDEX(TAHSILAT!$J$7:$J$2506,$U265)))</f>
        <v>Ödeme  –  Nakit  (MERKEZ KASA) / NAKİT ÖDENEN</v>
      </c>
      <c r="P265" s="1" t="str">
        <f t="shared" si="57"/>
        <v>ÖDEME</v>
      </c>
      <c r="Q265" s="1"/>
      <c r="R265" s="1">
        <v>0</v>
      </c>
      <c r="S265" s="84">
        <f>IF($N265="",0,INDEX(TAHSILAT!$F$7:$F$2506,$U265))</f>
        <v>3000</v>
      </c>
      <c r="T265" s="1">
        <f t="shared" si="50"/>
        <v>4613700254</v>
      </c>
      <c r="U265" s="1">
        <f>IFERROR(MATCH($AC$4&amp;"|13",TAHSILAT!$Q$7:$Q$2506,0),0)</f>
        <v>241</v>
      </c>
      <c r="V265" s="1"/>
      <c r="W265" s="1"/>
      <c r="X265" s="1"/>
      <c r="Y265" s="1">
        <f t="shared" ca="1" si="51"/>
        <v>10000000000</v>
      </c>
      <c r="Z265" s="1">
        <f t="shared" ca="1" si="52"/>
        <v>1</v>
      </c>
      <c r="AA265" s="1"/>
      <c r="AB265" s="1"/>
      <c r="AC265" s="1"/>
      <c r="AD265" s="1"/>
    </row>
    <row r="266" spans="1:30" ht="19.5" customHeight="1" x14ac:dyDescent="0.3">
      <c r="A266" s="2"/>
      <c r="B266" s="79" t="str">
        <f t="shared" ca="1" si="43"/>
        <v/>
      </c>
      <c r="C266" s="80" t="str">
        <f t="shared" ca="1" si="44"/>
        <v/>
      </c>
      <c r="D266" s="81" t="str">
        <f t="shared" ca="1" si="45"/>
        <v/>
      </c>
      <c r="E266" s="79" t="str">
        <f t="shared" ca="1" si="46"/>
        <v/>
      </c>
      <c r="F266" s="82" t="str">
        <f t="shared" ca="1" si="47"/>
        <v/>
      </c>
      <c r="G266" s="82" t="str">
        <f t="shared" ca="1" si="48"/>
        <v/>
      </c>
      <c r="H266" s="82" t="str">
        <f t="shared" ca="1" si="49"/>
        <v/>
      </c>
      <c r="I266" s="2"/>
      <c r="J266" s="2"/>
      <c r="K266" s="1"/>
      <c r="L266" s="1"/>
      <c r="M266" s="1">
        <v>255</v>
      </c>
      <c r="N266" s="71">
        <f>IF($U266=0,"",INDEX(TAHSILAT!$E$7:$E$2506,$U266))</f>
        <v>46144</v>
      </c>
      <c r="O266" s="1" t="str">
        <f>IF($N266="","","Ödeme  –  "&amp;INDEX(TAHSILAT!$H$7:$H$2506,$U266)&amp;"  ("&amp;INDEX(TAHSILAT!$G$7:$G$2506,$U266)&amp;")"&amp;IF(INDEX(TAHSILAT!$J$7:$J$2506,$U266)="",""," / "&amp;INDEX(TAHSILAT!$J$7:$J$2506,$U266)))</f>
        <v>Ödeme  –  Nakit  (MERKEZ KASA) / NAKİT ÖDENEN</v>
      </c>
      <c r="P266" s="1" t="str">
        <f t="shared" si="57"/>
        <v>ÖDEME</v>
      </c>
      <c r="Q266" s="1"/>
      <c r="R266" s="1">
        <v>0</v>
      </c>
      <c r="S266" s="84">
        <f>IF($N266="",0,INDEX(TAHSILAT!$F$7:$F$2506,$U266))</f>
        <v>3000</v>
      </c>
      <c r="T266" s="1">
        <f t="shared" si="50"/>
        <v>4614400255</v>
      </c>
      <c r="U266" s="1">
        <f>IFERROR(MATCH($AC$4&amp;"|14",TAHSILAT!$Q$7:$Q$2506,0),0)</f>
        <v>263</v>
      </c>
      <c r="V266" s="1"/>
      <c r="W266" s="1"/>
      <c r="X266" s="1"/>
      <c r="Y266" s="1">
        <f t="shared" ca="1" si="51"/>
        <v>10000000000</v>
      </c>
      <c r="Z266" s="1">
        <f t="shared" ca="1" si="52"/>
        <v>1</v>
      </c>
      <c r="AA266" s="1"/>
      <c r="AB266" s="1"/>
      <c r="AC266" s="1"/>
      <c r="AD266" s="1"/>
    </row>
    <row r="267" spans="1:30" ht="19.5" customHeight="1" x14ac:dyDescent="0.3">
      <c r="A267" s="2"/>
      <c r="B267" s="79" t="str">
        <f t="shared" ca="1" si="43"/>
        <v/>
      </c>
      <c r="C267" s="80" t="str">
        <f t="shared" ca="1" si="44"/>
        <v/>
      </c>
      <c r="D267" s="81" t="str">
        <f t="shared" ca="1" si="45"/>
        <v/>
      </c>
      <c r="E267" s="79" t="str">
        <f t="shared" ca="1" si="46"/>
        <v/>
      </c>
      <c r="F267" s="82" t="str">
        <f t="shared" ca="1" si="47"/>
        <v/>
      </c>
      <c r="G267" s="82" t="str">
        <f t="shared" ca="1" si="48"/>
        <v/>
      </c>
      <c r="H267" s="82" t="str">
        <f t="shared" ca="1" si="49"/>
        <v/>
      </c>
      <c r="I267" s="2"/>
      <c r="J267" s="2"/>
      <c r="K267" s="1"/>
      <c r="L267" s="1"/>
      <c r="M267" s="1">
        <v>256</v>
      </c>
      <c r="N267" s="71">
        <f>IF($U267=0,"",INDEX(TAHSILAT!$E$7:$E$2506,$U267))</f>
        <v>46151</v>
      </c>
      <c r="O267" s="1" t="str">
        <f>IF($N267="","","Ödeme  –  "&amp;INDEX(TAHSILAT!$H$7:$H$2506,$U267)&amp;"  ("&amp;INDEX(TAHSILAT!$G$7:$G$2506,$U267)&amp;")"&amp;IF(INDEX(TAHSILAT!$J$7:$J$2506,$U267)="",""," / "&amp;INDEX(TAHSILAT!$J$7:$J$2506,$U267)))</f>
        <v>Ödeme  –  Nakit  (MERKEZ KASA) / NAKİT ÖDENEN</v>
      </c>
      <c r="P267" s="1" t="str">
        <f t="shared" si="57"/>
        <v>ÖDEME</v>
      </c>
      <c r="Q267" s="1"/>
      <c r="R267" s="1">
        <v>0</v>
      </c>
      <c r="S267" s="84">
        <f>IF($N267="",0,INDEX(TAHSILAT!$F$7:$F$2506,$U267))</f>
        <v>3000</v>
      </c>
      <c r="T267" s="1">
        <f t="shared" si="50"/>
        <v>4615100256</v>
      </c>
      <c r="U267" s="1">
        <f>IFERROR(MATCH($AC$4&amp;"|15",TAHSILAT!$Q$7:$Q$2506,0),0)</f>
        <v>278</v>
      </c>
      <c r="V267" s="1"/>
      <c r="W267" s="1"/>
      <c r="X267" s="1"/>
      <c r="Y267" s="1">
        <f t="shared" ca="1" si="51"/>
        <v>10000000000</v>
      </c>
      <c r="Z267" s="1">
        <f t="shared" ca="1" si="52"/>
        <v>1</v>
      </c>
      <c r="AA267" s="1"/>
      <c r="AB267" s="1"/>
      <c r="AC267" s="1"/>
      <c r="AD267" s="1"/>
    </row>
    <row r="268" spans="1:30" ht="19.5" customHeight="1" x14ac:dyDescent="0.3">
      <c r="A268" s="2"/>
      <c r="B268" s="79" t="str">
        <f t="shared" ref="B268:B311" ca="1" si="58">IF($C268="","",ROW()-11)</f>
        <v/>
      </c>
      <c r="C268" s="80" t="str">
        <f t="shared" ref="C268:C311" ca="1" si="59">IF($Z268="","",IF(INDEX($N$12:$N$432,$Z268)="","",INDEX($N$12:$N$432,$Z268)))</f>
        <v/>
      </c>
      <c r="D268" s="81" t="str">
        <f t="shared" ref="D268:D311" ca="1" si="60">IF($C268="","",INDEX($O$12:$O$432,$Z268))</f>
        <v/>
      </c>
      <c r="E268" s="79" t="str">
        <f t="shared" ref="E268:E311" ca="1" si="61">IF($C268="","",INDEX($P$12:$P$432,$Z268))</f>
        <v/>
      </c>
      <c r="F268" s="82" t="str">
        <f t="shared" ref="F268:F311" ca="1" si="62">IF($C268="","",INDEX($R$12:$R$432,$Z268))</f>
        <v/>
      </c>
      <c r="G268" s="82" t="str">
        <f t="shared" ref="G268:G311" ca="1" si="63">IF($C268="","",INDEX($S$12:$S$432,$Z268))</f>
        <v/>
      </c>
      <c r="H268" s="82" t="str">
        <f t="shared" ref="H268:H311" ca="1" si="64">IF($C268="","",N($H267)+$F268-$G268)</f>
        <v/>
      </c>
      <c r="I268" s="2"/>
      <c r="J268" s="2"/>
      <c r="K268" s="1"/>
      <c r="L268" s="1"/>
      <c r="M268" s="1">
        <v>257</v>
      </c>
      <c r="N268" s="71">
        <f>IF($U268=0,"",INDEX(TAHSILAT!$E$7:$E$2506,$U268))</f>
        <v>46158</v>
      </c>
      <c r="O268" s="1" t="str">
        <f>IF($N268="","","Ödeme  –  "&amp;INDEX(TAHSILAT!$H$7:$H$2506,$U268)&amp;"  ("&amp;INDEX(TAHSILAT!$G$7:$G$2506,$U268)&amp;")"&amp;IF(INDEX(TAHSILAT!$J$7:$J$2506,$U268)="",""," / "&amp;INDEX(TAHSILAT!$J$7:$J$2506,$U268)))</f>
        <v>Ödeme  –  Nakit  (MERKEZ KASA) / NAKİT ÖDENEN</v>
      </c>
      <c r="P268" s="1" t="str">
        <f t="shared" si="57"/>
        <v>ÖDEME</v>
      </c>
      <c r="Q268" s="1"/>
      <c r="R268" s="1">
        <v>0</v>
      </c>
      <c r="S268" s="84">
        <f>IF($N268="",0,INDEX(TAHSILAT!$F$7:$F$2506,$U268))</f>
        <v>4000</v>
      </c>
      <c r="T268" s="1">
        <f t="shared" ref="T268:T331" si="65">IF($N268="",10000000000,$N268*100000+$M268)</f>
        <v>4615800257</v>
      </c>
      <c r="U268" s="1">
        <f>IFERROR(MATCH($AC$4&amp;"|16",TAHSILAT!$Q$7:$Q$2506,0),0)</f>
        <v>295</v>
      </c>
      <c r="V268" s="1"/>
      <c r="W268" s="1"/>
      <c r="X268" s="1"/>
      <c r="Y268" s="1">
        <f t="shared" ref="Y268:Y311" ca="1" si="66">IFERROR(SMALL($T$12:$T$432,ROW()-11),"")</f>
        <v>10000000000</v>
      </c>
      <c r="Z268" s="1">
        <f t="shared" ref="Z268:Z311" ca="1" si="67">IFERROR(MATCH($Y268,$T$12:$T$432,0),"")</f>
        <v>1</v>
      </c>
      <c r="AA268" s="1"/>
      <c r="AB268" s="1"/>
      <c r="AC268" s="1"/>
      <c r="AD268" s="1"/>
    </row>
    <row r="269" spans="1:30" ht="19.5" customHeight="1" x14ac:dyDescent="0.3">
      <c r="A269" s="2"/>
      <c r="B269" s="79" t="str">
        <f t="shared" ca="1" si="58"/>
        <v/>
      </c>
      <c r="C269" s="80" t="str">
        <f t="shared" ca="1" si="59"/>
        <v/>
      </c>
      <c r="D269" s="81" t="str">
        <f t="shared" ca="1" si="60"/>
        <v/>
      </c>
      <c r="E269" s="79" t="str">
        <f t="shared" ca="1" si="61"/>
        <v/>
      </c>
      <c r="F269" s="82" t="str">
        <f t="shared" ca="1" si="62"/>
        <v/>
      </c>
      <c r="G269" s="82" t="str">
        <f t="shared" ca="1" si="63"/>
        <v/>
      </c>
      <c r="H269" s="82" t="str">
        <f t="shared" ca="1" si="64"/>
        <v/>
      </c>
      <c r="I269" s="2"/>
      <c r="J269" s="2"/>
      <c r="K269" s="1"/>
      <c r="L269" s="1"/>
      <c r="M269" s="1">
        <v>258</v>
      </c>
      <c r="N269" s="1">
        <f>IF($U269=0,"",INDEX(TAHSILAT!$E$7:$E$2506,$U269))</f>
        <v>46165</v>
      </c>
      <c r="O269" s="1" t="str">
        <f>IF($N269="","","Ödeme  –  "&amp;INDEX(TAHSILAT!$H$7:$H$2506,$U269)&amp;"  ("&amp;INDEX(TAHSILAT!$G$7:$G$2506,$U269)&amp;")"&amp;IF(INDEX(TAHSILAT!$J$7:$J$2506,$U269)="",""," / "&amp;INDEX(TAHSILAT!$J$7:$J$2506,$U269)))</f>
        <v>Ödeme  –  Nakit  (MERKEZ KASA) / NAKİT ÖDENEN</v>
      </c>
      <c r="P269" s="1" t="str">
        <f t="shared" si="57"/>
        <v>ÖDEME</v>
      </c>
      <c r="Q269" s="1"/>
      <c r="R269" s="1">
        <v>0</v>
      </c>
      <c r="S269" s="1">
        <f>IF($N269="",0,INDEX(TAHSILAT!$F$7:$F$2506,$U269))</f>
        <v>3000</v>
      </c>
      <c r="T269" s="1">
        <f t="shared" si="65"/>
        <v>4616500258</v>
      </c>
      <c r="U269" s="1">
        <f>IFERROR(MATCH($AC$4&amp;"|17",TAHSILAT!$Q$7:$Q$2506,0),0)</f>
        <v>311</v>
      </c>
      <c r="V269" s="1"/>
      <c r="W269" s="1"/>
      <c r="X269" s="1"/>
      <c r="Y269" s="1">
        <f t="shared" ca="1" si="66"/>
        <v>10000000000</v>
      </c>
      <c r="Z269" s="1">
        <f t="shared" ca="1" si="67"/>
        <v>1</v>
      </c>
      <c r="AA269" s="1"/>
      <c r="AB269" s="1"/>
      <c r="AC269" s="1"/>
      <c r="AD269" s="1"/>
    </row>
    <row r="270" spans="1:30" ht="19.5" customHeight="1" x14ac:dyDescent="0.3">
      <c r="A270" s="2"/>
      <c r="B270" s="79" t="str">
        <f t="shared" ca="1" si="58"/>
        <v/>
      </c>
      <c r="C270" s="80" t="str">
        <f t="shared" ca="1" si="59"/>
        <v/>
      </c>
      <c r="D270" s="81" t="str">
        <f t="shared" ca="1" si="60"/>
        <v/>
      </c>
      <c r="E270" s="79" t="str">
        <f t="shared" ca="1" si="61"/>
        <v/>
      </c>
      <c r="F270" s="82" t="str">
        <f t="shared" ca="1" si="62"/>
        <v/>
      </c>
      <c r="G270" s="82" t="str">
        <f t="shared" ca="1" si="63"/>
        <v/>
      </c>
      <c r="H270" s="82" t="str">
        <f t="shared" ca="1" si="64"/>
        <v/>
      </c>
      <c r="I270" s="2"/>
      <c r="J270" s="2"/>
      <c r="K270" s="1"/>
      <c r="L270" s="1"/>
      <c r="M270" s="1">
        <v>259</v>
      </c>
      <c r="N270" s="1">
        <f>IF($U270=0,"",INDEX(TAHSILAT!$E$7:$E$2506,$U270))</f>
        <v>46172</v>
      </c>
      <c r="O270" s="1" t="str">
        <f>IF($N270="","","Ödeme  –  "&amp;INDEX(TAHSILAT!$H$7:$H$2506,$U270)&amp;"  ("&amp;INDEX(TAHSILAT!$G$7:$G$2506,$U270)&amp;")"&amp;IF(INDEX(TAHSILAT!$J$7:$J$2506,$U270)="",""," / "&amp;INDEX(TAHSILAT!$J$7:$J$2506,$U270)))</f>
        <v>Ödeme  –  Nakit  (MERKEZ KASA) / NAKİT ÖDENEN</v>
      </c>
      <c r="P270" s="1" t="str">
        <f t="shared" si="57"/>
        <v>ÖDEME</v>
      </c>
      <c r="Q270" s="1"/>
      <c r="R270" s="1">
        <v>0</v>
      </c>
      <c r="S270" s="1">
        <f>IF($N270="",0,INDEX(TAHSILAT!$F$7:$F$2506,$U270))</f>
        <v>3000</v>
      </c>
      <c r="T270" s="1">
        <f t="shared" si="65"/>
        <v>4617200259</v>
      </c>
      <c r="U270" s="1">
        <f>IFERROR(MATCH($AC$4&amp;"|18",TAHSILAT!$Q$7:$Q$2506,0),0)</f>
        <v>326</v>
      </c>
      <c r="V270" s="1"/>
      <c r="W270" s="1"/>
      <c r="X270" s="1"/>
      <c r="Y270" s="1">
        <f t="shared" ca="1" si="66"/>
        <v>10000000000</v>
      </c>
      <c r="Z270" s="1">
        <f t="shared" ca="1" si="67"/>
        <v>1</v>
      </c>
      <c r="AA270" s="1"/>
      <c r="AB270" s="1"/>
      <c r="AC270" s="1"/>
      <c r="AD270" s="1"/>
    </row>
    <row r="271" spans="1:30" ht="19.5" customHeight="1" x14ac:dyDescent="0.3">
      <c r="A271" s="2"/>
      <c r="B271" s="79" t="str">
        <f t="shared" ca="1" si="58"/>
        <v/>
      </c>
      <c r="C271" s="80" t="str">
        <f t="shared" ca="1" si="59"/>
        <v/>
      </c>
      <c r="D271" s="81" t="str">
        <f t="shared" ca="1" si="60"/>
        <v/>
      </c>
      <c r="E271" s="79" t="str">
        <f t="shared" ca="1" si="61"/>
        <v/>
      </c>
      <c r="F271" s="82" t="str">
        <f t="shared" ca="1" si="62"/>
        <v/>
      </c>
      <c r="G271" s="82" t="str">
        <f t="shared" ca="1" si="63"/>
        <v/>
      </c>
      <c r="H271" s="82" t="str">
        <f t="shared" ca="1" si="64"/>
        <v/>
      </c>
      <c r="I271" s="2"/>
      <c r="J271" s="2"/>
      <c r="K271" s="1"/>
      <c r="L271" s="1"/>
      <c r="M271" s="1">
        <v>260</v>
      </c>
      <c r="N271" s="1">
        <f>IF($U271=0,"",INDEX(TAHSILAT!$E$7:$E$2506,$U271))</f>
        <v>46179</v>
      </c>
      <c r="O271" s="1" t="str">
        <f>IF($N271="","","Ödeme  –  "&amp;INDEX(TAHSILAT!$H$7:$H$2506,$U271)&amp;"  ("&amp;INDEX(TAHSILAT!$G$7:$G$2506,$U271)&amp;")"&amp;IF(INDEX(TAHSILAT!$J$7:$J$2506,$U271)="",""," / "&amp;INDEX(TAHSILAT!$J$7:$J$2506,$U271)))</f>
        <v>Ödeme  –  Nakit  (MERKEZ KASA) / NAKİT ÖDENEN</v>
      </c>
      <c r="P271" s="1" t="str">
        <f t="shared" si="57"/>
        <v>ÖDEME</v>
      </c>
      <c r="Q271" s="1"/>
      <c r="R271" s="1">
        <v>0</v>
      </c>
      <c r="S271" s="1">
        <f>IF($N271="",0,INDEX(TAHSILAT!$F$7:$F$2506,$U271))</f>
        <v>3000</v>
      </c>
      <c r="T271" s="1">
        <f t="shared" si="65"/>
        <v>4617900260</v>
      </c>
      <c r="U271" s="1">
        <f>IFERROR(MATCH($AC$4&amp;"|19",TAHSILAT!$Q$7:$Q$2506,0),0)</f>
        <v>342</v>
      </c>
      <c r="V271" s="1"/>
      <c r="W271" s="1"/>
      <c r="X271" s="1"/>
      <c r="Y271" s="1">
        <f t="shared" ca="1" si="66"/>
        <v>10000000000</v>
      </c>
      <c r="Z271" s="1">
        <f t="shared" ca="1" si="67"/>
        <v>1</v>
      </c>
      <c r="AA271" s="1"/>
      <c r="AB271" s="1"/>
      <c r="AC271" s="1"/>
      <c r="AD271" s="1"/>
    </row>
    <row r="272" spans="1:30" ht="19.5" customHeight="1" x14ac:dyDescent="0.3">
      <c r="A272" s="2"/>
      <c r="B272" s="79" t="str">
        <f t="shared" ca="1" si="58"/>
        <v/>
      </c>
      <c r="C272" s="80" t="str">
        <f t="shared" ca="1" si="59"/>
        <v/>
      </c>
      <c r="D272" s="81" t="str">
        <f t="shared" ca="1" si="60"/>
        <v/>
      </c>
      <c r="E272" s="79" t="str">
        <f t="shared" ca="1" si="61"/>
        <v/>
      </c>
      <c r="F272" s="82" t="str">
        <f t="shared" ca="1" si="62"/>
        <v/>
      </c>
      <c r="G272" s="82" t="str">
        <f t="shared" ca="1" si="63"/>
        <v/>
      </c>
      <c r="H272" s="82" t="str">
        <f t="shared" ca="1" si="64"/>
        <v/>
      </c>
      <c r="I272" s="2"/>
      <c r="J272" s="2"/>
      <c r="K272" s="1"/>
      <c r="L272" s="1"/>
      <c r="M272" s="1">
        <v>261</v>
      </c>
      <c r="N272" s="1">
        <f>IF($U272=0,"",INDEX(TAHSILAT!$E$7:$E$2506,$U272))</f>
        <v>46186</v>
      </c>
      <c r="O272" s="1" t="str">
        <f>IF($N272="","","Ödeme  –  "&amp;INDEX(TAHSILAT!$H$7:$H$2506,$U272)&amp;"  ("&amp;INDEX(TAHSILAT!$G$7:$G$2506,$U272)&amp;")"&amp;IF(INDEX(TAHSILAT!$J$7:$J$2506,$U272)="",""," / "&amp;INDEX(TAHSILAT!$J$7:$J$2506,$U272)))</f>
        <v>Ödeme  –  Nakit  (MERKEZ KASA) / NAKİT ÖDENEN</v>
      </c>
      <c r="P272" s="1" t="str">
        <f t="shared" si="57"/>
        <v>ÖDEME</v>
      </c>
      <c r="Q272" s="1"/>
      <c r="R272" s="1">
        <v>0</v>
      </c>
      <c r="S272" s="1">
        <f>IF($N272="",0,INDEX(TAHSILAT!$F$7:$F$2506,$U272))</f>
        <v>3000</v>
      </c>
      <c r="T272" s="1">
        <f t="shared" si="65"/>
        <v>4618600261</v>
      </c>
      <c r="U272" s="1">
        <f>IFERROR(MATCH($AC$4&amp;"|20",TAHSILAT!$Q$7:$Q$2506,0),0)</f>
        <v>358</v>
      </c>
      <c r="V272" s="1"/>
      <c r="W272" s="1"/>
      <c r="X272" s="1"/>
      <c r="Y272" s="1">
        <f t="shared" ca="1" si="66"/>
        <v>10000000000</v>
      </c>
      <c r="Z272" s="1">
        <f t="shared" ca="1" si="67"/>
        <v>1</v>
      </c>
      <c r="AA272" s="1"/>
      <c r="AB272" s="1"/>
      <c r="AC272" s="1"/>
      <c r="AD272" s="1"/>
    </row>
    <row r="273" spans="1:30" ht="19.5" customHeight="1" x14ac:dyDescent="0.3">
      <c r="A273" s="2"/>
      <c r="B273" s="79" t="str">
        <f t="shared" ca="1" si="58"/>
        <v/>
      </c>
      <c r="C273" s="80" t="str">
        <f t="shared" ca="1" si="59"/>
        <v/>
      </c>
      <c r="D273" s="81" t="str">
        <f t="shared" ca="1" si="60"/>
        <v/>
      </c>
      <c r="E273" s="79" t="str">
        <f t="shared" ca="1" si="61"/>
        <v/>
      </c>
      <c r="F273" s="82" t="str">
        <f t="shared" ca="1" si="62"/>
        <v/>
      </c>
      <c r="G273" s="82" t="str">
        <f t="shared" ca="1" si="63"/>
        <v/>
      </c>
      <c r="H273" s="82" t="str">
        <f t="shared" ca="1" si="64"/>
        <v/>
      </c>
      <c r="I273" s="2"/>
      <c r="J273" s="2"/>
      <c r="K273" s="1"/>
      <c r="L273" s="1"/>
      <c r="M273" s="1">
        <v>262</v>
      </c>
      <c r="N273" s="1">
        <f>IF($U273=0,"",INDEX(TAHSILAT!$E$7:$E$2506,$U273))</f>
        <v>46194</v>
      </c>
      <c r="O273" s="1" t="str">
        <f>IF($N273="","","Ödeme  –  "&amp;INDEX(TAHSILAT!$H$7:$H$2506,$U273)&amp;"  ("&amp;INDEX(TAHSILAT!$G$7:$G$2506,$U273)&amp;")"&amp;IF(INDEX(TAHSILAT!$J$7:$J$2506,$U273)="",""," / "&amp;INDEX(TAHSILAT!$J$7:$J$2506,$U273)))</f>
        <v>Ödeme  –  Nakit  (ÖMER KARTAL) / ÖMER KARTALA ÖDENEN</v>
      </c>
      <c r="P273" s="1" t="str">
        <f t="shared" si="57"/>
        <v>ÖDEME</v>
      </c>
      <c r="Q273" s="1"/>
      <c r="R273" s="1">
        <v>0</v>
      </c>
      <c r="S273" s="1">
        <f>IF($N273="",0,INDEX(TAHSILAT!$F$7:$F$2506,$U273))</f>
        <v>3000</v>
      </c>
      <c r="T273" s="1">
        <f t="shared" si="65"/>
        <v>4619400262</v>
      </c>
      <c r="U273" s="1">
        <f>IFERROR(MATCH($AC$4&amp;"|21",TAHSILAT!$Q$7:$Q$2506,0),0)</f>
        <v>374</v>
      </c>
      <c r="V273" s="1"/>
      <c r="W273" s="1"/>
      <c r="X273" s="1"/>
      <c r="Y273" s="1">
        <f t="shared" ca="1" si="66"/>
        <v>10000000000</v>
      </c>
      <c r="Z273" s="1">
        <f t="shared" ca="1" si="67"/>
        <v>1</v>
      </c>
      <c r="AA273" s="1"/>
      <c r="AB273" s="1"/>
      <c r="AC273" s="1"/>
      <c r="AD273" s="1"/>
    </row>
    <row r="274" spans="1:30" ht="19.5" customHeight="1" x14ac:dyDescent="0.3">
      <c r="A274" s="2"/>
      <c r="B274" s="79" t="str">
        <f t="shared" ca="1" si="58"/>
        <v/>
      </c>
      <c r="C274" s="80" t="str">
        <f t="shared" ca="1" si="59"/>
        <v/>
      </c>
      <c r="D274" s="81" t="str">
        <f t="shared" ca="1" si="60"/>
        <v/>
      </c>
      <c r="E274" s="79" t="str">
        <f t="shared" ca="1" si="61"/>
        <v/>
      </c>
      <c r="F274" s="82" t="str">
        <f t="shared" ca="1" si="62"/>
        <v/>
      </c>
      <c r="G274" s="82" t="str">
        <f t="shared" ca="1" si="63"/>
        <v/>
      </c>
      <c r="H274" s="82" t="str">
        <f t="shared" ca="1" si="64"/>
        <v/>
      </c>
      <c r="I274" s="2"/>
      <c r="J274" s="2"/>
      <c r="K274" s="1"/>
      <c r="L274" s="1"/>
      <c r="M274" s="1">
        <v>263</v>
      </c>
      <c r="N274" s="1">
        <f>IF($U274=0,"",INDEX(TAHSILAT!$E$7:$E$2506,$U274))</f>
        <v>46200</v>
      </c>
      <c r="O274" s="1" t="str">
        <f>IF($N274="","","Ödeme  –  "&amp;INDEX(TAHSILAT!$H$7:$H$2506,$U274)&amp;"  ("&amp;INDEX(TAHSILAT!$G$7:$G$2506,$U274)&amp;")"&amp;IF(INDEX(TAHSILAT!$J$7:$J$2506,$U274)="",""," / "&amp;INDEX(TAHSILAT!$J$7:$J$2506,$U274)))</f>
        <v>Ödeme  –  Nakit  (MERKEZ KASA) / NAKİT ÖDENEN</v>
      </c>
      <c r="P274" s="1" t="str">
        <f t="shared" si="57"/>
        <v>ÖDEME</v>
      </c>
      <c r="Q274" s="1"/>
      <c r="R274" s="1">
        <v>0</v>
      </c>
      <c r="S274" s="1">
        <f>IF($N274="",0,INDEX(TAHSILAT!$F$7:$F$2506,$U274))</f>
        <v>3000</v>
      </c>
      <c r="T274" s="1">
        <f t="shared" si="65"/>
        <v>4620000263</v>
      </c>
      <c r="U274" s="1">
        <f>IFERROR(MATCH($AC$4&amp;"|22",TAHSILAT!$Q$7:$Q$2506,0),0)</f>
        <v>393</v>
      </c>
      <c r="V274" s="1"/>
      <c r="W274" s="1"/>
      <c r="X274" s="1"/>
      <c r="Y274" s="1">
        <f t="shared" ca="1" si="66"/>
        <v>10000000000</v>
      </c>
      <c r="Z274" s="1">
        <f t="shared" ca="1" si="67"/>
        <v>1</v>
      </c>
      <c r="AA274" s="1"/>
      <c r="AB274" s="1"/>
      <c r="AC274" s="1"/>
      <c r="AD274" s="1"/>
    </row>
    <row r="275" spans="1:30" ht="19.5" customHeight="1" x14ac:dyDescent="0.3">
      <c r="A275" s="2"/>
      <c r="B275" s="79" t="str">
        <f t="shared" ca="1" si="58"/>
        <v/>
      </c>
      <c r="C275" s="80" t="str">
        <f t="shared" ca="1" si="59"/>
        <v/>
      </c>
      <c r="D275" s="81" t="str">
        <f t="shared" ca="1" si="60"/>
        <v/>
      </c>
      <c r="E275" s="79" t="str">
        <f t="shared" ca="1" si="61"/>
        <v/>
      </c>
      <c r="F275" s="82" t="str">
        <f t="shared" ca="1" si="62"/>
        <v/>
      </c>
      <c r="G275" s="82" t="str">
        <f t="shared" ca="1" si="63"/>
        <v/>
      </c>
      <c r="H275" s="82" t="str">
        <f t="shared" ca="1" si="64"/>
        <v/>
      </c>
      <c r="I275" s="2"/>
      <c r="J275" s="2"/>
      <c r="K275" s="1"/>
      <c r="L275" s="1"/>
      <c r="M275" s="1">
        <v>264</v>
      </c>
      <c r="N275" s="1">
        <f>IF($U275=0,"",INDEX(TAHSILAT!$E$7:$E$2506,$U275))</f>
        <v>46207</v>
      </c>
      <c r="O275" s="1" t="str">
        <f>IF($N275="","","Ödeme  –  "&amp;INDEX(TAHSILAT!$H$7:$H$2506,$U275)&amp;"  ("&amp;INDEX(TAHSILAT!$G$7:$G$2506,$U275)&amp;")"&amp;IF(INDEX(TAHSILAT!$J$7:$J$2506,$U275)="",""," / "&amp;INDEX(TAHSILAT!$J$7:$J$2506,$U275)))</f>
        <v>Ödeme  –  Nakit  (ÖMER KARTAL) / ÖMER KARTALA ÖDENEN</v>
      </c>
      <c r="P275" s="1" t="str">
        <f t="shared" si="57"/>
        <v>ÖDEME</v>
      </c>
      <c r="Q275" s="1"/>
      <c r="R275" s="1">
        <v>0</v>
      </c>
      <c r="S275" s="1">
        <f>IF($N275="",0,INDEX(TAHSILAT!$F$7:$F$2506,$U275))</f>
        <v>3000</v>
      </c>
      <c r="T275" s="1">
        <f t="shared" si="65"/>
        <v>4620700264</v>
      </c>
      <c r="U275" s="1">
        <f>IFERROR(MATCH($AC$4&amp;"|23",TAHSILAT!$Q$7:$Q$2506,0),0)</f>
        <v>409</v>
      </c>
      <c r="V275" s="1"/>
      <c r="W275" s="1"/>
      <c r="X275" s="1"/>
      <c r="Y275" s="1">
        <f t="shared" ca="1" si="66"/>
        <v>10000000000</v>
      </c>
      <c r="Z275" s="1">
        <f t="shared" ca="1" si="67"/>
        <v>1</v>
      </c>
      <c r="AA275" s="1"/>
      <c r="AB275" s="1"/>
      <c r="AC275" s="1"/>
      <c r="AD275" s="1"/>
    </row>
    <row r="276" spans="1:30" ht="19.5" customHeight="1" x14ac:dyDescent="0.3">
      <c r="A276" s="2"/>
      <c r="B276" s="79" t="str">
        <f t="shared" ca="1" si="58"/>
        <v/>
      </c>
      <c r="C276" s="80" t="str">
        <f t="shared" ca="1" si="59"/>
        <v/>
      </c>
      <c r="D276" s="81" t="str">
        <f t="shared" ca="1" si="60"/>
        <v/>
      </c>
      <c r="E276" s="79" t="str">
        <f t="shared" ca="1" si="61"/>
        <v/>
      </c>
      <c r="F276" s="82" t="str">
        <f t="shared" ca="1" si="62"/>
        <v/>
      </c>
      <c r="G276" s="82" t="str">
        <f t="shared" ca="1" si="63"/>
        <v/>
      </c>
      <c r="H276" s="82" t="str">
        <f t="shared" ca="1" si="64"/>
        <v/>
      </c>
      <c r="I276" s="2"/>
      <c r="J276" s="2"/>
      <c r="K276" s="1"/>
      <c r="L276" s="1"/>
      <c r="M276" s="1">
        <v>265</v>
      </c>
      <c r="N276" s="1">
        <f>IF($U276=0,"",INDEX(TAHSILAT!$E$7:$E$2506,$U276))</f>
        <v>46214</v>
      </c>
      <c r="O276" s="1" t="str">
        <f>IF($N276="","","Ödeme  –  "&amp;INDEX(TAHSILAT!$H$7:$H$2506,$U276)&amp;"  ("&amp;INDEX(TAHSILAT!$G$7:$G$2506,$U276)&amp;")"&amp;IF(INDEX(TAHSILAT!$J$7:$J$2506,$U276)="",""," / "&amp;INDEX(TAHSILAT!$J$7:$J$2506,$U276)))</f>
        <v>Ödeme  –  Nakit  (ÖMER KARTAL) / ÖMER KARTALA ÖDENEN</v>
      </c>
      <c r="P276" s="1" t="str">
        <f t="shared" si="57"/>
        <v>ÖDEME</v>
      </c>
      <c r="Q276" s="1"/>
      <c r="R276" s="1">
        <v>0</v>
      </c>
      <c r="S276" s="1">
        <f>IF($N276="",0,INDEX(TAHSILAT!$F$7:$F$2506,$U276))</f>
        <v>3000</v>
      </c>
      <c r="T276" s="1">
        <f t="shared" si="65"/>
        <v>4621400265</v>
      </c>
      <c r="U276" s="1">
        <f>IFERROR(MATCH($AC$4&amp;"|24",TAHSILAT!$Q$7:$Q$2506,0),0)</f>
        <v>420</v>
      </c>
      <c r="V276" s="1"/>
      <c r="W276" s="1"/>
      <c r="X276" s="1"/>
      <c r="Y276" s="1">
        <f t="shared" ca="1" si="66"/>
        <v>10000000000</v>
      </c>
      <c r="Z276" s="1">
        <f t="shared" ca="1" si="67"/>
        <v>1</v>
      </c>
      <c r="AA276" s="1"/>
      <c r="AB276" s="1"/>
      <c r="AC276" s="1"/>
      <c r="AD276" s="1"/>
    </row>
    <row r="277" spans="1:30" ht="19.5" customHeight="1" x14ac:dyDescent="0.3">
      <c r="A277" s="2"/>
      <c r="B277" s="79" t="str">
        <f t="shared" ca="1" si="58"/>
        <v/>
      </c>
      <c r="C277" s="80" t="str">
        <f t="shared" ca="1" si="59"/>
        <v/>
      </c>
      <c r="D277" s="81" t="str">
        <f t="shared" ca="1" si="60"/>
        <v/>
      </c>
      <c r="E277" s="79" t="str">
        <f t="shared" ca="1" si="61"/>
        <v/>
      </c>
      <c r="F277" s="82" t="str">
        <f t="shared" ca="1" si="62"/>
        <v/>
      </c>
      <c r="G277" s="82" t="str">
        <f t="shared" ca="1" si="63"/>
        <v/>
      </c>
      <c r="H277" s="82" t="str">
        <f t="shared" ca="1" si="64"/>
        <v/>
      </c>
      <c r="I277" s="2"/>
      <c r="J277" s="2"/>
      <c r="K277" s="1"/>
      <c r="L277" s="1"/>
      <c r="M277" s="1">
        <v>266</v>
      </c>
      <c r="N277" s="1">
        <f>IF($U277=0,"",INDEX(TAHSILAT!$E$7:$E$2506,$U277))</f>
        <v>46221</v>
      </c>
      <c r="O277" s="1" t="str">
        <f>IF($N277="","","Ödeme  –  "&amp;INDEX(TAHSILAT!$H$7:$H$2506,$U277)&amp;"  ("&amp;INDEX(TAHSILAT!$G$7:$G$2506,$U277)&amp;")"&amp;IF(INDEX(TAHSILAT!$J$7:$J$2506,$U277)="",""," / "&amp;INDEX(TAHSILAT!$J$7:$J$2506,$U277)))</f>
        <v>Ödeme  –  Nakit  (MERKEZ KASA) / NAKİT ÖDENEN</v>
      </c>
      <c r="P277" s="1" t="str">
        <f t="shared" si="57"/>
        <v>ÖDEME</v>
      </c>
      <c r="Q277" s="1"/>
      <c r="R277" s="1">
        <v>0</v>
      </c>
      <c r="S277" s="1">
        <f>IF($N277="",0,INDEX(TAHSILAT!$F$7:$F$2506,$U277))</f>
        <v>3000</v>
      </c>
      <c r="T277" s="1">
        <f t="shared" si="65"/>
        <v>4622100266</v>
      </c>
      <c r="U277" s="1">
        <f>IFERROR(MATCH($AC$4&amp;"|25",TAHSILAT!$Q$7:$Q$2506,0),0)</f>
        <v>430</v>
      </c>
      <c r="V277" s="1"/>
      <c r="W277" s="1"/>
      <c r="X277" s="1"/>
      <c r="Y277" s="1">
        <f t="shared" ca="1" si="66"/>
        <v>10000000000</v>
      </c>
      <c r="Z277" s="1">
        <f t="shared" ca="1" si="67"/>
        <v>1</v>
      </c>
      <c r="AA277" s="1"/>
      <c r="AB277" s="1"/>
      <c r="AC277" s="1"/>
      <c r="AD277" s="1"/>
    </row>
    <row r="278" spans="1:30" ht="19.5" customHeight="1" x14ac:dyDescent="0.3">
      <c r="A278" s="2"/>
      <c r="B278" s="79" t="str">
        <f t="shared" ca="1" si="58"/>
        <v/>
      </c>
      <c r="C278" s="80" t="str">
        <f t="shared" ca="1" si="59"/>
        <v/>
      </c>
      <c r="D278" s="81" t="str">
        <f t="shared" ca="1" si="60"/>
        <v/>
      </c>
      <c r="E278" s="79" t="str">
        <f t="shared" ca="1" si="61"/>
        <v/>
      </c>
      <c r="F278" s="82" t="str">
        <f t="shared" ca="1" si="62"/>
        <v/>
      </c>
      <c r="G278" s="82" t="str">
        <f t="shared" ca="1" si="63"/>
        <v/>
      </c>
      <c r="H278" s="82" t="str">
        <f t="shared" ca="1" si="64"/>
        <v/>
      </c>
      <c r="I278" s="2"/>
      <c r="J278" s="2"/>
      <c r="K278" s="1"/>
      <c r="L278" s="1"/>
      <c r="M278" s="1">
        <v>267</v>
      </c>
      <c r="N278" s="1">
        <f>IF($U278=0,"",INDEX(TAHSILAT!$E$7:$E$2506,$U278))</f>
        <v>46228</v>
      </c>
      <c r="O278" s="1" t="str">
        <f>IF($N278="","","Ödeme  –  "&amp;INDEX(TAHSILAT!$H$7:$H$2506,$U278)&amp;"  ("&amp;INDEX(TAHSILAT!$G$7:$G$2506,$U278)&amp;")"&amp;IF(INDEX(TAHSILAT!$J$7:$J$2506,$U278)="",""," / "&amp;INDEX(TAHSILAT!$J$7:$J$2506,$U278)))</f>
        <v>Ödeme  –  Nakit  (MERKEZ KASA) / NAKİT ÖDENEN</v>
      </c>
      <c r="P278" s="1" t="str">
        <f t="shared" si="57"/>
        <v>ÖDEME</v>
      </c>
      <c r="Q278" s="1"/>
      <c r="R278" s="1">
        <v>0</v>
      </c>
      <c r="S278" s="1">
        <f>IF($N278="",0,INDEX(TAHSILAT!$F$7:$F$2506,$U278))</f>
        <v>3000</v>
      </c>
      <c r="T278" s="1">
        <f t="shared" si="65"/>
        <v>4622800267</v>
      </c>
      <c r="U278" s="1">
        <f>IFERROR(MATCH($AC$4&amp;"|26",TAHSILAT!$Q$7:$Q$2506,0),0)</f>
        <v>449</v>
      </c>
      <c r="V278" s="1"/>
      <c r="W278" s="1"/>
      <c r="X278" s="1"/>
      <c r="Y278" s="1">
        <f t="shared" ca="1" si="66"/>
        <v>10000000000</v>
      </c>
      <c r="Z278" s="1">
        <f t="shared" ca="1" si="67"/>
        <v>1</v>
      </c>
      <c r="AA278" s="1"/>
      <c r="AB278" s="1"/>
      <c r="AC278" s="1"/>
      <c r="AD278" s="1"/>
    </row>
    <row r="279" spans="1:30" ht="19.5" customHeight="1" x14ac:dyDescent="0.3">
      <c r="A279" s="2"/>
      <c r="B279" s="79" t="str">
        <f t="shared" ca="1" si="58"/>
        <v/>
      </c>
      <c r="C279" s="80" t="str">
        <f t="shared" ca="1" si="59"/>
        <v/>
      </c>
      <c r="D279" s="81" t="str">
        <f t="shared" ca="1" si="60"/>
        <v/>
      </c>
      <c r="E279" s="79" t="str">
        <f t="shared" ca="1" si="61"/>
        <v/>
      </c>
      <c r="F279" s="82" t="str">
        <f t="shared" ca="1" si="62"/>
        <v/>
      </c>
      <c r="G279" s="82" t="str">
        <f t="shared" ca="1" si="63"/>
        <v/>
      </c>
      <c r="H279" s="82" t="str">
        <f t="shared" ca="1" si="64"/>
        <v/>
      </c>
      <c r="I279" s="2"/>
      <c r="J279" s="2"/>
      <c r="K279" s="1"/>
      <c r="L279" s="1"/>
      <c r="M279" s="1">
        <v>268</v>
      </c>
      <c r="N279" s="1">
        <f>IF($U279=0,"",INDEX(TAHSILAT!$E$7:$E$2506,$U279))</f>
        <v>46243</v>
      </c>
      <c r="O279" s="1" t="str">
        <f>IF($N279="","","Ödeme  –  "&amp;INDEX(TAHSILAT!$H$7:$H$2506,$U279)&amp;"  ("&amp;INDEX(TAHSILAT!$G$7:$G$2506,$U279)&amp;")"&amp;IF(INDEX(TAHSILAT!$J$7:$J$2506,$U279)="",""," / "&amp;INDEX(TAHSILAT!$J$7:$J$2506,$U279)))</f>
        <v>Ödeme  –  Nakit  (MERKEZ KASA) / NAKİT ÖDENEN</v>
      </c>
      <c r="P279" s="1" t="str">
        <f t="shared" si="57"/>
        <v>ÖDEME</v>
      </c>
      <c r="Q279" s="1"/>
      <c r="R279" s="1">
        <v>0</v>
      </c>
      <c r="S279" s="1">
        <f>IF($N279="",0,INDEX(TAHSILAT!$F$7:$F$2506,$U279))</f>
        <v>3000</v>
      </c>
      <c r="T279" s="1">
        <f t="shared" si="65"/>
        <v>4624300268</v>
      </c>
      <c r="U279" s="1">
        <f>IFERROR(MATCH($AC$4&amp;"|27",TAHSILAT!$Q$7:$Q$2506,0),0)</f>
        <v>475</v>
      </c>
      <c r="V279" s="1"/>
      <c r="W279" s="1"/>
      <c r="X279" s="1"/>
      <c r="Y279" s="1">
        <f t="shared" ca="1" si="66"/>
        <v>10000000000</v>
      </c>
      <c r="Z279" s="1">
        <f t="shared" ca="1" si="67"/>
        <v>1</v>
      </c>
      <c r="AA279" s="1"/>
      <c r="AB279" s="1"/>
      <c r="AC279" s="1"/>
      <c r="AD279" s="1"/>
    </row>
    <row r="280" spans="1:30" ht="19.5" customHeight="1" x14ac:dyDescent="0.3">
      <c r="A280" s="2"/>
      <c r="B280" s="79" t="str">
        <f t="shared" ca="1" si="58"/>
        <v/>
      </c>
      <c r="C280" s="80" t="str">
        <f t="shared" ca="1" si="59"/>
        <v/>
      </c>
      <c r="D280" s="81" t="str">
        <f t="shared" ca="1" si="60"/>
        <v/>
      </c>
      <c r="E280" s="79" t="str">
        <f t="shared" ca="1" si="61"/>
        <v/>
      </c>
      <c r="F280" s="82" t="str">
        <f t="shared" ca="1" si="62"/>
        <v/>
      </c>
      <c r="G280" s="82" t="str">
        <f t="shared" ca="1" si="63"/>
        <v/>
      </c>
      <c r="H280" s="82" t="str">
        <f t="shared" ca="1" si="64"/>
        <v/>
      </c>
      <c r="I280" s="2"/>
      <c r="J280" s="2"/>
      <c r="K280" s="1"/>
      <c r="L280" s="1"/>
      <c r="M280" s="1">
        <v>269</v>
      </c>
      <c r="N280" s="1">
        <f>IF($U280=0,"",INDEX(TAHSILAT!$E$7:$E$2506,$U280))</f>
        <v>46249</v>
      </c>
      <c r="O280" s="1" t="str">
        <f>IF($N280="","","Ödeme  –  "&amp;INDEX(TAHSILAT!$H$7:$H$2506,$U280)&amp;"  ("&amp;INDEX(TAHSILAT!$G$7:$G$2506,$U280)&amp;")"&amp;IF(INDEX(TAHSILAT!$J$7:$J$2506,$U280)="",""," / "&amp;INDEX(TAHSILAT!$J$7:$J$2506,$U280)))</f>
        <v>Ödeme  –  Nakit  (MERKEZ KASA) / NAKİT ÖDENEN</v>
      </c>
      <c r="P280" s="1" t="str">
        <f t="shared" si="57"/>
        <v>ÖDEME</v>
      </c>
      <c r="Q280" s="1"/>
      <c r="R280" s="1">
        <v>0</v>
      </c>
      <c r="S280" s="1">
        <f>IF($N280="",0,INDEX(TAHSILAT!$F$7:$F$2506,$U280))</f>
        <v>5500</v>
      </c>
      <c r="T280" s="1">
        <f t="shared" si="65"/>
        <v>4624900269</v>
      </c>
      <c r="U280" s="1">
        <f>IFERROR(MATCH($AC$4&amp;"|28",TAHSILAT!$Q$7:$Q$2506,0),0)</f>
        <v>489</v>
      </c>
      <c r="V280" s="1"/>
      <c r="W280" s="1"/>
      <c r="X280" s="1"/>
      <c r="Y280" s="1">
        <f t="shared" ca="1" si="66"/>
        <v>10000000000</v>
      </c>
      <c r="Z280" s="1">
        <f t="shared" ca="1" si="67"/>
        <v>1</v>
      </c>
      <c r="AA280" s="1"/>
      <c r="AB280" s="1"/>
      <c r="AC280" s="1"/>
      <c r="AD280" s="1"/>
    </row>
    <row r="281" spans="1:30" ht="19.5" customHeight="1" x14ac:dyDescent="0.3">
      <c r="A281" s="2"/>
      <c r="B281" s="79" t="str">
        <f t="shared" ca="1" si="58"/>
        <v/>
      </c>
      <c r="C281" s="80" t="str">
        <f t="shared" ca="1" si="59"/>
        <v/>
      </c>
      <c r="D281" s="81" t="str">
        <f t="shared" ca="1" si="60"/>
        <v/>
      </c>
      <c r="E281" s="79" t="str">
        <f t="shared" ca="1" si="61"/>
        <v/>
      </c>
      <c r="F281" s="82" t="str">
        <f t="shared" ca="1" si="62"/>
        <v/>
      </c>
      <c r="G281" s="82" t="str">
        <f t="shared" ca="1" si="63"/>
        <v/>
      </c>
      <c r="H281" s="82" t="str">
        <f t="shared" ca="1" si="64"/>
        <v/>
      </c>
      <c r="I281" s="2"/>
      <c r="J281" s="2"/>
      <c r="K281" s="1"/>
      <c r="L281" s="1"/>
      <c r="M281" s="1">
        <v>270</v>
      </c>
      <c r="N281" s="1">
        <f>IF($U281=0,"",INDEX(TAHSILAT!$E$7:$E$2506,$U281))</f>
        <v>46254</v>
      </c>
      <c r="O281" s="1" t="str">
        <f>IF($N281="","","Ödeme  –  "&amp;INDEX(TAHSILAT!$H$7:$H$2506,$U281)&amp;"  ("&amp;INDEX(TAHSILAT!$G$7:$G$2506,$U281)&amp;")"&amp;IF(INDEX(TAHSILAT!$J$7:$J$2506,$U281)="",""," / "&amp;INDEX(TAHSILAT!$J$7:$J$2506,$U281)))</f>
        <v>Ödeme  –  Nakit  (MERKEZ KASA) / NAKİT ÖDENEN</v>
      </c>
      <c r="P281" s="1" t="str">
        <f t="shared" si="57"/>
        <v>ÖDEME</v>
      </c>
      <c r="Q281" s="1"/>
      <c r="R281" s="1">
        <v>0</v>
      </c>
      <c r="S281" s="1">
        <f>IF($N281="",0,INDEX(TAHSILAT!$F$7:$F$2506,$U281))</f>
        <v>2500</v>
      </c>
      <c r="T281" s="1">
        <f t="shared" si="65"/>
        <v>4625400270</v>
      </c>
      <c r="U281" s="1">
        <f>IFERROR(MATCH($AC$4&amp;"|29",TAHSILAT!$Q$7:$Q$2506,0),0)</f>
        <v>509</v>
      </c>
      <c r="V281" s="1"/>
      <c r="W281" s="1"/>
      <c r="X281" s="1"/>
      <c r="Y281" s="1">
        <f t="shared" ca="1" si="66"/>
        <v>10000000000</v>
      </c>
      <c r="Z281" s="1">
        <f t="shared" ca="1" si="67"/>
        <v>1</v>
      </c>
      <c r="AA281" s="1"/>
      <c r="AB281" s="1"/>
      <c r="AC281" s="1"/>
      <c r="AD281" s="1"/>
    </row>
    <row r="282" spans="1:30" ht="19.5" customHeight="1" x14ac:dyDescent="0.3">
      <c r="A282" s="2"/>
      <c r="B282" s="79" t="str">
        <f t="shared" ca="1" si="58"/>
        <v/>
      </c>
      <c r="C282" s="80" t="str">
        <f t="shared" ca="1" si="59"/>
        <v/>
      </c>
      <c r="D282" s="81" t="str">
        <f t="shared" ca="1" si="60"/>
        <v/>
      </c>
      <c r="E282" s="79" t="str">
        <f t="shared" ca="1" si="61"/>
        <v/>
      </c>
      <c r="F282" s="82" t="str">
        <f t="shared" ca="1" si="62"/>
        <v/>
      </c>
      <c r="G282" s="82" t="str">
        <f t="shared" ca="1" si="63"/>
        <v/>
      </c>
      <c r="H282" s="82" t="str">
        <f t="shared" ca="1" si="64"/>
        <v/>
      </c>
      <c r="I282" s="2"/>
      <c r="J282" s="2"/>
      <c r="K282" s="1"/>
      <c r="L282" s="1"/>
      <c r="M282" s="1">
        <v>271</v>
      </c>
      <c r="N282" s="1" t="str">
        <f>IF($U282=0,"",INDEX(TAHSILAT!$E$7:$E$2506,$U282))</f>
        <v/>
      </c>
      <c r="O282" s="1" t="str">
        <f>IF($N282="","","Ödeme  –  "&amp;INDEX(TAHSILAT!$H$7:$H$2506,$U282)&amp;"  ("&amp;INDEX(TAHSILAT!$G$7:$G$2506,$U282)&amp;")"&amp;IF(INDEX(TAHSILAT!$J$7:$J$2506,$U282)="",""," / "&amp;INDEX(TAHSILAT!$J$7:$J$2506,$U282)))</f>
        <v/>
      </c>
      <c r="P282" s="1" t="str">
        <f t="shared" si="57"/>
        <v/>
      </c>
      <c r="Q282" s="1"/>
      <c r="R282" s="1">
        <v>0</v>
      </c>
      <c r="S282" s="1">
        <f>IF($N282="",0,INDEX(TAHSILAT!$F$7:$F$2506,$U282))</f>
        <v>0</v>
      </c>
      <c r="T282" s="1">
        <f t="shared" si="65"/>
        <v>10000000000</v>
      </c>
      <c r="U282" s="1">
        <f>IFERROR(MATCH($AC$4&amp;"|30",TAHSILAT!$Q$7:$Q$2506,0),0)</f>
        <v>0</v>
      </c>
      <c r="V282" s="1"/>
      <c r="W282" s="1"/>
      <c r="X282" s="1"/>
      <c r="Y282" s="1">
        <f t="shared" ca="1" si="66"/>
        <v>10000000000</v>
      </c>
      <c r="Z282" s="1">
        <f t="shared" ca="1" si="67"/>
        <v>1</v>
      </c>
      <c r="AA282" s="1"/>
      <c r="AB282" s="1"/>
      <c r="AC282" s="1"/>
      <c r="AD282" s="1"/>
    </row>
    <row r="283" spans="1:30" ht="19.5" customHeight="1" x14ac:dyDescent="0.3">
      <c r="A283" s="2"/>
      <c r="B283" s="79" t="str">
        <f t="shared" ca="1" si="58"/>
        <v/>
      </c>
      <c r="C283" s="80" t="str">
        <f t="shared" ca="1" si="59"/>
        <v/>
      </c>
      <c r="D283" s="81" t="str">
        <f t="shared" ca="1" si="60"/>
        <v/>
      </c>
      <c r="E283" s="79" t="str">
        <f t="shared" ca="1" si="61"/>
        <v/>
      </c>
      <c r="F283" s="82" t="str">
        <f t="shared" ca="1" si="62"/>
        <v/>
      </c>
      <c r="G283" s="82" t="str">
        <f t="shared" ca="1" si="63"/>
        <v/>
      </c>
      <c r="H283" s="82" t="str">
        <f t="shared" ca="1" si="64"/>
        <v/>
      </c>
      <c r="I283" s="2"/>
      <c r="J283" s="2"/>
      <c r="K283" s="1"/>
      <c r="L283" s="1"/>
      <c r="M283" s="1">
        <v>272</v>
      </c>
      <c r="N283" s="1" t="str">
        <f>IF($U283=0,"",INDEX(TAHSILAT!$E$7:$E$2506,$U283))</f>
        <v/>
      </c>
      <c r="O283" s="1" t="str">
        <f>IF($N283="","","Ödeme  –  "&amp;INDEX(TAHSILAT!$H$7:$H$2506,$U283)&amp;"  ("&amp;INDEX(TAHSILAT!$G$7:$G$2506,$U283)&amp;")"&amp;IF(INDEX(TAHSILAT!$J$7:$J$2506,$U283)="",""," / "&amp;INDEX(TAHSILAT!$J$7:$J$2506,$U283)))</f>
        <v/>
      </c>
      <c r="P283" s="1" t="str">
        <f t="shared" si="57"/>
        <v/>
      </c>
      <c r="Q283" s="1"/>
      <c r="R283" s="1">
        <v>0</v>
      </c>
      <c r="S283" s="1">
        <f>IF($N283="",0,INDEX(TAHSILAT!$F$7:$F$2506,$U283))</f>
        <v>0</v>
      </c>
      <c r="T283" s="1">
        <f t="shared" si="65"/>
        <v>10000000000</v>
      </c>
      <c r="U283" s="1">
        <f>IFERROR(MATCH($AC$4&amp;"|31",TAHSILAT!$Q$7:$Q$2506,0),0)</f>
        <v>0</v>
      </c>
      <c r="V283" s="1"/>
      <c r="W283" s="1"/>
      <c r="X283" s="1"/>
      <c r="Y283" s="1">
        <f t="shared" ca="1" si="66"/>
        <v>10000000000</v>
      </c>
      <c r="Z283" s="1">
        <f t="shared" ca="1" si="67"/>
        <v>1</v>
      </c>
      <c r="AA283" s="1"/>
      <c r="AB283" s="1"/>
      <c r="AC283" s="1"/>
      <c r="AD283" s="1"/>
    </row>
    <row r="284" spans="1:30" ht="19.5" customHeight="1" x14ac:dyDescent="0.3">
      <c r="A284" s="2"/>
      <c r="B284" s="79" t="str">
        <f t="shared" ca="1" si="58"/>
        <v/>
      </c>
      <c r="C284" s="80" t="str">
        <f t="shared" ca="1" si="59"/>
        <v/>
      </c>
      <c r="D284" s="81" t="str">
        <f t="shared" ca="1" si="60"/>
        <v/>
      </c>
      <c r="E284" s="79" t="str">
        <f t="shared" ca="1" si="61"/>
        <v/>
      </c>
      <c r="F284" s="82" t="str">
        <f t="shared" ca="1" si="62"/>
        <v/>
      </c>
      <c r="G284" s="82" t="str">
        <f t="shared" ca="1" si="63"/>
        <v/>
      </c>
      <c r="H284" s="82" t="str">
        <f t="shared" ca="1" si="64"/>
        <v/>
      </c>
      <c r="I284" s="2"/>
      <c r="J284" s="2"/>
      <c r="K284" s="1"/>
      <c r="L284" s="1"/>
      <c r="M284" s="1">
        <v>273</v>
      </c>
      <c r="N284" s="1" t="str">
        <f>IF($U284=0,"",INDEX(TAHSILAT!$E$7:$E$2506,$U284))</f>
        <v/>
      </c>
      <c r="O284" s="1" t="str">
        <f>IF($N284="","","Ödeme  –  "&amp;INDEX(TAHSILAT!$H$7:$H$2506,$U284)&amp;"  ("&amp;INDEX(TAHSILAT!$G$7:$G$2506,$U284)&amp;")"&amp;IF(INDEX(TAHSILAT!$J$7:$J$2506,$U284)="",""," / "&amp;INDEX(TAHSILAT!$J$7:$J$2506,$U284)))</f>
        <v/>
      </c>
      <c r="P284" s="1" t="str">
        <f t="shared" si="57"/>
        <v/>
      </c>
      <c r="Q284" s="1"/>
      <c r="R284" s="1">
        <v>0</v>
      </c>
      <c r="S284" s="1">
        <f>IF($N284="",0,INDEX(TAHSILAT!$F$7:$F$2506,$U284))</f>
        <v>0</v>
      </c>
      <c r="T284" s="1">
        <f t="shared" si="65"/>
        <v>10000000000</v>
      </c>
      <c r="U284" s="1">
        <f>IFERROR(MATCH($AC$4&amp;"|32",TAHSILAT!$Q$7:$Q$2506,0),0)</f>
        <v>0</v>
      </c>
      <c r="V284" s="1"/>
      <c r="W284" s="1"/>
      <c r="X284" s="1"/>
      <c r="Y284" s="1">
        <f t="shared" ca="1" si="66"/>
        <v>10000000000</v>
      </c>
      <c r="Z284" s="1">
        <f t="shared" ca="1" si="67"/>
        <v>1</v>
      </c>
      <c r="AA284" s="1"/>
      <c r="AB284" s="1"/>
      <c r="AC284" s="1"/>
      <c r="AD284" s="1"/>
    </row>
    <row r="285" spans="1:30" ht="19.5" customHeight="1" x14ac:dyDescent="0.3">
      <c r="A285" s="2"/>
      <c r="B285" s="79" t="str">
        <f t="shared" ca="1" si="58"/>
        <v/>
      </c>
      <c r="C285" s="80" t="str">
        <f t="shared" ca="1" si="59"/>
        <v/>
      </c>
      <c r="D285" s="81" t="str">
        <f t="shared" ca="1" si="60"/>
        <v/>
      </c>
      <c r="E285" s="79" t="str">
        <f t="shared" ca="1" si="61"/>
        <v/>
      </c>
      <c r="F285" s="82" t="str">
        <f t="shared" ca="1" si="62"/>
        <v/>
      </c>
      <c r="G285" s="82" t="str">
        <f t="shared" ca="1" si="63"/>
        <v/>
      </c>
      <c r="H285" s="82" t="str">
        <f t="shared" ca="1" si="64"/>
        <v/>
      </c>
      <c r="I285" s="2"/>
      <c r="J285" s="2"/>
      <c r="K285" s="1"/>
      <c r="L285" s="1"/>
      <c r="M285" s="1">
        <v>274</v>
      </c>
      <c r="N285" s="1" t="str">
        <f>IF($U285=0,"",INDEX(TAHSILAT!$E$7:$E$2506,$U285))</f>
        <v/>
      </c>
      <c r="O285" s="1" t="str">
        <f>IF($N285="","","Ödeme  –  "&amp;INDEX(TAHSILAT!$H$7:$H$2506,$U285)&amp;"  ("&amp;INDEX(TAHSILAT!$G$7:$G$2506,$U285)&amp;")"&amp;IF(INDEX(TAHSILAT!$J$7:$J$2506,$U285)="",""," / "&amp;INDEX(TAHSILAT!$J$7:$J$2506,$U285)))</f>
        <v/>
      </c>
      <c r="P285" s="1" t="str">
        <f t="shared" ref="P285:P316" si="68">IF($N285="","","ÖDEME")</f>
        <v/>
      </c>
      <c r="Q285" s="1"/>
      <c r="R285" s="1">
        <v>0</v>
      </c>
      <c r="S285" s="1">
        <f>IF($N285="",0,INDEX(TAHSILAT!$F$7:$F$2506,$U285))</f>
        <v>0</v>
      </c>
      <c r="T285" s="1">
        <f t="shared" si="65"/>
        <v>10000000000</v>
      </c>
      <c r="U285" s="1">
        <f>IFERROR(MATCH($AC$4&amp;"|33",TAHSILAT!$Q$7:$Q$2506,0),0)</f>
        <v>0</v>
      </c>
      <c r="V285" s="1"/>
      <c r="W285" s="1"/>
      <c r="X285" s="1"/>
      <c r="Y285" s="1">
        <f t="shared" ca="1" si="66"/>
        <v>10000000000</v>
      </c>
      <c r="Z285" s="1">
        <f t="shared" ca="1" si="67"/>
        <v>1</v>
      </c>
      <c r="AA285" s="1"/>
      <c r="AB285" s="1"/>
      <c r="AC285" s="1"/>
      <c r="AD285" s="1"/>
    </row>
    <row r="286" spans="1:30" ht="19.5" customHeight="1" x14ac:dyDescent="0.3">
      <c r="A286" s="2"/>
      <c r="B286" s="79" t="str">
        <f t="shared" ca="1" si="58"/>
        <v/>
      </c>
      <c r="C286" s="80" t="str">
        <f t="shared" ca="1" si="59"/>
        <v/>
      </c>
      <c r="D286" s="81" t="str">
        <f t="shared" ca="1" si="60"/>
        <v/>
      </c>
      <c r="E286" s="79" t="str">
        <f t="shared" ca="1" si="61"/>
        <v/>
      </c>
      <c r="F286" s="82" t="str">
        <f t="shared" ca="1" si="62"/>
        <v/>
      </c>
      <c r="G286" s="82" t="str">
        <f t="shared" ca="1" si="63"/>
        <v/>
      </c>
      <c r="H286" s="82" t="str">
        <f t="shared" ca="1" si="64"/>
        <v/>
      </c>
      <c r="I286" s="2"/>
      <c r="J286" s="2"/>
      <c r="K286" s="1"/>
      <c r="L286" s="1"/>
      <c r="M286" s="1">
        <v>275</v>
      </c>
      <c r="N286" s="1" t="str">
        <f>IF($U286=0,"",INDEX(TAHSILAT!$E$7:$E$2506,$U286))</f>
        <v/>
      </c>
      <c r="O286" s="1" t="str">
        <f>IF($N286="","","Ödeme  –  "&amp;INDEX(TAHSILAT!$H$7:$H$2506,$U286)&amp;"  ("&amp;INDEX(TAHSILAT!$G$7:$G$2506,$U286)&amp;")"&amp;IF(INDEX(TAHSILAT!$J$7:$J$2506,$U286)="",""," / "&amp;INDEX(TAHSILAT!$J$7:$J$2506,$U286)))</f>
        <v/>
      </c>
      <c r="P286" s="1" t="str">
        <f t="shared" si="68"/>
        <v/>
      </c>
      <c r="Q286" s="1"/>
      <c r="R286" s="1">
        <v>0</v>
      </c>
      <c r="S286" s="1">
        <f>IF($N286="",0,INDEX(TAHSILAT!$F$7:$F$2506,$U286))</f>
        <v>0</v>
      </c>
      <c r="T286" s="1">
        <f t="shared" si="65"/>
        <v>10000000000</v>
      </c>
      <c r="U286" s="1">
        <f>IFERROR(MATCH($AC$4&amp;"|34",TAHSILAT!$Q$7:$Q$2506,0),0)</f>
        <v>0</v>
      </c>
      <c r="V286" s="1"/>
      <c r="W286" s="1"/>
      <c r="X286" s="1"/>
      <c r="Y286" s="1">
        <f t="shared" ca="1" si="66"/>
        <v>10000000000</v>
      </c>
      <c r="Z286" s="1">
        <f t="shared" ca="1" si="67"/>
        <v>1</v>
      </c>
      <c r="AA286" s="1"/>
      <c r="AB286" s="1"/>
      <c r="AC286" s="1"/>
      <c r="AD286" s="1"/>
    </row>
    <row r="287" spans="1:30" ht="19.5" customHeight="1" x14ac:dyDescent="0.3">
      <c r="A287" s="2"/>
      <c r="B287" s="79" t="str">
        <f t="shared" ca="1" si="58"/>
        <v/>
      </c>
      <c r="C287" s="80" t="str">
        <f t="shared" ca="1" si="59"/>
        <v/>
      </c>
      <c r="D287" s="81" t="str">
        <f t="shared" ca="1" si="60"/>
        <v/>
      </c>
      <c r="E287" s="79" t="str">
        <f t="shared" ca="1" si="61"/>
        <v/>
      </c>
      <c r="F287" s="82" t="str">
        <f t="shared" ca="1" si="62"/>
        <v/>
      </c>
      <c r="G287" s="82" t="str">
        <f t="shared" ca="1" si="63"/>
        <v/>
      </c>
      <c r="H287" s="82" t="str">
        <f t="shared" ca="1" si="64"/>
        <v/>
      </c>
      <c r="I287" s="2"/>
      <c r="J287" s="2"/>
      <c r="K287" s="1"/>
      <c r="L287" s="1"/>
      <c r="M287" s="1">
        <v>276</v>
      </c>
      <c r="N287" s="1" t="str">
        <f>IF($U287=0,"",INDEX(TAHSILAT!$E$7:$E$2506,$U287))</f>
        <v/>
      </c>
      <c r="O287" s="1" t="str">
        <f>IF($N287="","","Ödeme  –  "&amp;INDEX(TAHSILAT!$H$7:$H$2506,$U287)&amp;"  ("&amp;INDEX(TAHSILAT!$G$7:$G$2506,$U287)&amp;")"&amp;IF(INDEX(TAHSILAT!$J$7:$J$2506,$U287)="",""," / "&amp;INDEX(TAHSILAT!$J$7:$J$2506,$U287)))</f>
        <v/>
      </c>
      <c r="P287" s="1" t="str">
        <f t="shared" si="68"/>
        <v/>
      </c>
      <c r="Q287" s="1"/>
      <c r="R287" s="1">
        <v>0</v>
      </c>
      <c r="S287" s="1">
        <f>IF($N287="",0,INDEX(TAHSILAT!$F$7:$F$2506,$U287))</f>
        <v>0</v>
      </c>
      <c r="T287" s="1">
        <f t="shared" si="65"/>
        <v>10000000000</v>
      </c>
      <c r="U287" s="1">
        <f>IFERROR(MATCH($AC$4&amp;"|35",TAHSILAT!$Q$7:$Q$2506,0),0)</f>
        <v>0</v>
      </c>
      <c r="V287" s="1"/>
      <c r="W287" s="1"/>
      <c r="X287" s="1"/>
      <c r="Y287" s="1">
        <f t="shared" ca="1" si="66"/>
        <v>10000000000</v>
      </c>
      <c r="Z287" s="1">
        <f t="shared" ca="1" si="67"/>
        <v>1</v>
      </c>
      <c r="AA287" s="1"/>
      <c r="AB287" s="1"/>
      <c r="AC287" s="1"/>
      <c r="AD287" s="1"/>
    </row>
    <row r="288" spans="1:30" ht="19.5" customHeight="1" x14ac:dyDescent="0.3">
      <c r="A288" s="2"/>
      <c r="B288" s="79" t="str">
        <f t="shared" ca="1" si="58"/>
        <v/>
      </c>
      <c r="C288" s="80" t="str">
        <f t="shared" ca="1" si="59"/>
        <v/>
      </c>
      <c r="D288" s="81" t="str">
        <f t="shared" ca="1" si="60"/>
        <v/>
      </c>
      <c r="E288" s="79" t="str">
        <f t="shared" ca="1" si="61"/>
        <v/>
      </c>
      <c r="F288" s="82" t="str">
        <f t="shared" ca="1" si="62"/>
        <v/>
      </c>
      <c r="G288" s="82" t="str">
        <f t="shared" ca="1" si="63"/>
        <v/>
      </c>
      <c r="H288" s="82" t="str">
        <f t="shared" ca="1" si="64"/>
        <v/>
      </c>
      <c r="I288" s="2"/>
      <c r="J288" s="2"/>
      <c r="K288" s="1"/>
      <c r="L288" s="1"/>
      <c r="M288" s="1">
        <v>277</v>
      </c>
      <c r="N288" s="1" t="str">
        <f>IF($U288=0,"",INDEX(TAHSILAT!$E$7:$E$2506,$U288))</f>
        <v/>
      </c>
      <c r="O288" s="1" t="str">
        <f>IF($N288="","","Ödeme  –  "&amp;INDEX(TAHSILAT!$H$7:$H$2506,$U288)&amp;"  ("&amp;INDEX(TAHSILAT!$G$7:$G$2506,$U288)&amp;")"&amp;IF(INDEX(TAHSILAT!$J$7:$J$2506,$U288)="",""," / "&amp;INDEX(TAHSILAT!$J$7:$J$2506,$U288)))</f>
        <v/>
      </c>
      <c r="P288" s="1" t="str">
        <f t="shared" si="68"/>
        <v/>
      </c>
      <c r="Q288" s="1"/>
      <c r="R288" s="1">
        <v>0</v>
      </c>
      <c r="S288" s="1">
        <f>IF($N288="",0,INDEX(TAHSILAT!$F$7:$F$2506,$U288))</f>
        <v>0</v>
      </c>
      <c r="T288" s="1">
        <f t="shared" si="65"/>
        <v>10000000000</v>
      </c>
      <c r="U288" s="1">
        <f>IFERROR(MATCH($AC$4&amp;"|36",TAHSILAT!$Q$7:$Q$2506,0),0)</f>
        <v>0</v>
      </c>
      <c r="V288" s="1"/>
      <c r="W288" s="1"/>
      <c r="X288" s="1"/>
      <c r="Y288" s="1">
        <f t="shared" ca="1" si="66"/>
        <v>10000000000</v>
      </c>
      <c r="Z288" s="1">
        <f t="shared" ca="1" si="67"/>
        <v>1</v>
      </c>
      <c r="AA288" s="1"/>
      <c r="AB288" s="1"/>
      <c r="AC288" s="1"/>
      <c r="AD288" s="1"/>
    </row>
    <row r="289" spans="1:30" ht="19.5" customHeight="1" x14ac:dyDescent="0.3">
      <c r="A289" s="2"/>
      <c r="B289" s="79" t="str">
        <f t="shared" ca="1" si="58"/>
        <v/>
      </c>
      <c r="C289" s="80" t="str">
        <f t="shared" ca="1" si="59"/>
        <v/>
      </c>
      <c r="D289" s="81" t="str">
        <f t="shared" ca="1" si="60"/>
        <v/>
      </c>
      <c r="E289" s="79" t="str">
        <f t="shared" ca="1" si="61"/>
        <v/>
      </c>
      <c r="F289" s="82" t="str">
        <f t="shared" ca="1" si="62"/>
        <v/>
      </c>
      <c r="G289" s="82" t="str">
        <f t="shared" ca="1" si="63"/>
        <v/>
      </c>
      <c r="H289" s="82" t="str">
        <f t="shared" ca="1" si="64"/>
        <v/>
      </c>
      <c r="I289" s="2"/>
      <c r="J289" s="2"/>
      <c r="K289" s="1"/>
      <c r="L289" s="1"/>
      <c r="M289" s="1">
        <v>278</v>
      </c>
      <c r="N289" s="1" t="str">
        <f>IF($U289=0,"",INDEX(TAHSILAT!$E$7:$E$2506,$U289))</f>
        <v/>
      </c>
      <c r="O289" s="1" t="str">
        <f>IF($N289="","","Ödeme  –  "&amp;INDEX(TAHSILAT!$H$7:$H$2506,$U289)&amp;"  ("&amp;INDEX(TAHSILAT!$G$7:$G$2506,$U289)&amp;")"&amp;IF(INDEX(TAHSILAT!$J$7:$J$2506,$U289)="",""," / "&amp;INDEX(TAHSILAT!$J$7:$J$2506,$U289)))</f>
        <v/>
      </c>
      <c r="P289" s="1" t="str">
        <f t="shared" si="68"/>
        <v/>
      </c>
      <c r="Q289" s="1"/>
      <c r="R289" s="1">
        <v>0</v>
      </c>
      <c r="S289" s="1">
        <f>IF($N289="",0,INDEX(TAHSILAT!$F$7:$F$2506,$U289))</f>
        <v>0</v>
      </c>
      <c r="T289" s="1">
        <f t="shared" si="65"/>
        <v>10000000000</v>
      </c>
      <c r="U289" s="1">
        <f>IFERROR(MATCH($AC$4&amp;"|37",TAHSILAT!$Q$7:$Q$2506,0),0)</f>
        <v>0</v>
      </c>
      <c r="V289" s="1"/>
      <c r="W289" s="1"/>
      <c r="X289" s="1"/>
      <c r="Y289" s="1">
        <f t="shared" ca="1" si="66"/>
        <v>10000000000</v>
      </c>
      <c r="Z289" s="1">
        <f t="shared" ca="1" si="67"/>
        <v>1</v>
      </c>
      <c r="AA289" s="1"/>
      <c r="AB289" s="1"/>
      <c r="AC289" s="1"/>
      <c r="AD289" s="1"/>
    </row>
    <row r="290" spans="1:30" ht="19.5" customHeight="1" x14ac:dyDescent="0.3">
      <c r="A290" s="2"/>
      <c r="B290" s="79" t="str">
        <f t="shared" ca="1" si="58"/>
        <v/>
      </c>
      <c r="C290" s="80" t="str">
        <f t="shared" ca="1" si="59"/>
        <v/>
      </c>
      <c r="D290" s="81" t="str">
        <f t="shared" ca="1" si="60"/>
        <v/>
      </c>
      <c r="E290" s="79" t="str">
        <f t="shared" ca="1" si="61"/>
        <v/>
      </c>
      <c r="F290" s="82" t="str">
        <f t="shared" ca="1" si="62"/>
        <v/>
      </c>
      <c r="G290" s="82" t="str">
        <f t="shared" ca="1" si="63"/>
        <v/>
      </c>
      <c r="H290" s="82" t="str">
        <f t="shared" ca="1" si="64"/>
        <v/>
      </c>
      <c r="I290" s="2"/>
      <c r="J290" s="2"/>
      <c r="K290" s="1"/>
      <c r="L290" s="1"/>
      <c r="M290" s="1">
        <v>279</v>
      </c>
      <c r="N290" s="1" t="str">
        <f>IF($U290=0,"",INDEX(TAHSILAT!$E$7:$E$2506,$U290))</f>
        <v/>
      </c>
      <c r="O290" s="1" t="str">
        <f>IF($N290="","","Ödeme  –  "&amp;INDEX(TAHSILAT!$H$7:$H$2506,$U290)&amp;"  ("&amp;INDEX(TAHSILAT!$G$7:$G$2506,$U290)&amp;")"&amp;IF(INDEX(TAHSILAT!$J$7:$J$2506,$U290)="",""," / "&amp;INDEX(TAHSILAT!$J$7:$J$2506,$U290)))</f>
        <v/>
      </c>
      <c r="P290" s="1" t="str">
        <f t="shared" si="68"/>
        <v/>
      </c>
      <c r="Q290" s="1"/>
      <c r="R290" s="1">
        <v>0</v>
      </c>
      <c r="S290" s="1">
        <f>IF($N290="",0,INDEX(TAHSILAT!$F$7:$F$2506,$U290))</f>
        <v>0</v>
      </c>
      <c r="T290" s="1">
        <f t="shared" si="65"/>
        <v>10000000000</v>
      </c>
      <c r="U290" s="1">
        <f>IFERROR(MATCH($AC$4&amp;"|38",TAHSILAT!$Q$7:$Q$2506,0),0)</f>
        <v>0</v>
      </c>
      <c r="V290" s="1"/>
      <c r="W290" s="1"/>
      <c r="X290" s="1"/>
      <c r="Y290" s="1">
        <f t="shared" ca="1" si="66"/>
        <v>10000000000</v>
      </c>
      <c r="Z290" s="1">
        <f t="shared" ca="1" si="67"/>
        <v>1</v>
      </c>
      <c r="AA290" s="1"/>
      <c r="AB290" s="1"/>
      <c r="AC290" s="1"/>
      <c r="AD290" s="1"/>
    </row>
    <row r="291" spans="1:30" ht="19.5" customHeight="1" x14ac:dyDescent="0.3">
      <c r="A291" s="2"/>
      <c r="B291" s="79" t="str">
        <f t="shared" ca="1" si="58"/>
        <v/>
      </c>
      <c r="C291" s="80" t="str">
        <f t="shared" ca="1" si="59"/>
        <v/>
      </c>
      <c r="D291" s="81" t="str">
        <f t="shared" ca="1" si="60"/>
        <v/>
      </c>
      <c r="E291" s="79" t="str">
        <f t="shared" ca="1" si="61"/>
        <v/>
      </c>
      <c r="F291" s="82" t="str">
        <f t="shared" ca="1" si="62"/>
        <v/>
      </c>
      <c r="G291" s="82" t="str">
        <f t="shared" ca="1" si="63"/>
        <v/>
      </c>
      <c r="H291" s="82" t="str">
        <f t="shared" ca="1" si="64"/>
        <v/>
      </c>
      <c r="I291" s="2"/>
      <c r="J291" s="2"/>
      <c r="K291" s="1"/>
      <c r="L291" s="1"/>
      <c r="M291" s="1">
        <v>280</v>
      </c>
      <c r="N291" s="1" t="str">
        <f>IF($U291=0,"",INDEX(TAHSILAT!$E$7:$E$2506,$U291))</f>
        <v/>
      </c>
      <c r="O291" s="1" t="str">
        <f>IF($N291="","","Ödeme  –  "&amp;INDEX(TAHSILAT!$H$7:$H$2506,$U291)&amp;"  ("&amp;INDEX(TAHSILAT!$G$7:$G$2506,$U291)&amp;")"&amp;IF(INDEX(TAHSILAT!$J$7:$J$2506,$U291)="",""," / "&amp;INDEX(TAHSILAT!$J$7:$J$2506,$U291)))</f>
        <v/>
      </c>
      <c r="P291" s="1" t="str">
        <f t="shared" si="68"/>
        <v/>
      </c>
      <c r="Q291" s="1"/>
      <c r="R291" s="1">
        <v>0</v>
      </c>
      <c r="S291" s="1">
        <f>IF($N291="",0,INDEX(TAHSILAT!$F$7:$F$2506,$U291))</f>
        <v>0</v>
      </c>
      <c r="T291" s="1">
        <f t="shared" si="65"/>
        <v>10000000000</v>
      </c>
      <c r="U291" s="1">
        <f>IFERROR(MATCH($AC$4&amp;"|39",TAHSILAT!$Q$7:$Q$2506,0),0)</f>
        <v>0</v>
      </c>
      <c r="V291" s="1"/>
      <c r="W291" s="1"/>
      <c r="X291" s="1"/>
      <c r="Y291" s="1">
        <f t="shared" ca="1" si="66"/>
        <v>10000000000</v>
      </c>
      <c r="Z291" s="1">
        <f t="shared" ca="1" si="67"/>
        <v>1</v>
      </c>
      <c r="AA291" s="1"/>
      <c r="AB291" s="1"/>
      <c r="AC291" s="1"/>
      <c r="AD291" s="1"/>
    </row>
    <row r="292" spans="1:30" ht="19.5" customHeight="1" x14ac:dyDescent="0.3">
      <c r="A292" s="2"/>
      <c r="B292" s="79" t="str">
        <f t="shared" ca="1" si="58"/>
        <v/>
      </c>
      <c r="C292" s="80" t="str">
        <f t="shared" ca="1" si="59"/>
        <v/>
      </c>
      <c r="D292" s="81" t="str">
        <f t="shared" ca="1" si="60"/>
        <v/>
      </c>
      <c r="E292" s="79" t="str">
        <f t="shared" ca="1" si="61"/>
        <v/>
      </c>
      <c r="F292" s="82" t="str">
        <f t="shared" ca="1" si="62"/>
        <v/>
      </c>
      <c r="G292" s="82" t="str">
        <f t="shared" ca="1" si="63"/>
        <v/>
      </c>
      <c r="H292" s="82" t="str">
        <f t="shared" ca="1" si="64"/>
        <v/>
      </c>
      <c r="I292" s="2"/>
      <c r="J292" s="2"/>
      <c r="K292" s="1"/>
      <c r="L292" s="1"/>
      <c r="M292" s="1">
        <v>281</v>
      </c>
      <c r="N292" s="1" t="str">
        <f>IF($U292=0,"",INDEX(TAHSILAT!$E$7:$E$2506,$U292))</f>
        <v/>
      </c>
      <c r="O292" s="1" t="str">
        <f>IF($N292="","","Ödeme  –  "&amp;INDEX(TAHSILAT!$H$7:$H$2506,$U292)&amp;"  ("&amp;INDEX(TAHSILAT!$G$7:$G$2506,$U292)&amp;")"&amp;IF(INDEX(TAHSILAT!$J$7:$J$2506,$U292)="",""," / "&amp;INDEX(TAHSILAT!$J$7:$J$2506,$U292)))</f>
        <v/>
      </c>
      <c r="P292" s="1" t="str">
        <f t="shared" si="68"/>
        <v/>
      </c>
      <c r="Q292" s="1"/>
      <c r="R292" s="1">
        <v>0</v>
      </c>
      <c r="S292" s="1">
        <f>IF($N292="",0,INDEX(TAHSILAT!$F$7:$F$2506,$U292))</f>
        <v>0</v>
      </c>
      <c r="T292" s="1">
        <f t="shared" si="65"/>
        <v>10000000000</v>
      </c>
      <c r="U292" s="1">
        <f>IFERROR(MATCH($AC$4&amp;"|40",TAHSILAT!$Q$7:$Q$2506,0),0)</f>
        <v>0</v>
      </c>
      <c r="V292" s="1"/>
      <c r="W292" s="1"/>
      <c r="X292" s="1"/>
      <c r="Y292" s="1">
        <f t="shared" ca="1" si="66"/>
        <v>10000000000</v>
      </c>
      <c r="Z292" s="1">
        <f t="shared" ca="1" si="67"/>
        <v>1</v>
      </c>
      <c r="AA292" s="1"/>
      <c r="AB292" s="1"/>
      <c r="AC292" s="1"/>
      <c r="AD292" s="1"/>
    </row>
    <row r="293" spans="1:30" ht="19.5" customHeight="1" x14ac:dyDescent="0.3">
      <c r="A293" s="2"/>
      <c r="B293" s="79" t="str">
        <f t="shared" ca="1" si="58"/>
        <v/>
      </c>
      <c r="C293" s="80" t="str">
        <f t="shared" ca="1" si="59"/>
        <v/>
      </c>
      <c r="D293" s="81" t="str">
        <f t="shared" ca="1" si="60"/>
        <v/>
      </c>
      <c r="E293" s="79" t="str">
        <f t="shared" ca="1" si="61"/>
        <v/>
      </c>
      <c r="F293" s="82" t="str">
        <f t="shared" ca="1" si="62"/>
        <v/>
      </c>
      <c r="G293" s="82" t="str">
        <f t="shared" ca="1" si="63"/>
        <v/>
      </c>
      <c r="H293" s="82" t="str">
        <f t="shared" ca="1" si="64"/>
        <v/>
      </c>
      <c r="I293" s="2"/>
      <c r="J293" s="2"/>
      <c r="K293" s="1"/>
      <c r="L293" s="1"/>
      <c r="M293" s="1">
        <v>282</v>
      </c>
      <c r="N293" s="1" t="str">
        <f>IF($U293=0,"",INDEX(TAHSILAT!$E$7:$E$2506,$U293))</f>
        <v/>
      </c>
      <c r="O293" s="1" t="str">
        <f>IF($N293="","","Ödeme  –  "&amp;INDEX(TAHSILAT!$H$7:$H$2506,$U293)&amp;"  ("&amp;INDEX(TAHSILAT!$G$7:$G$2506,$U293)&amp;")"&amp;IF(INDEX(TAHSILAT!$J$7:$J$2506,$U293)="",""," / "&amp;INDEX(TAHSILAT!$J$7:$J$2506,$U293)))</f>
        <v/>
      </c>
      <c r="P293" s="1" t="str">
        <f t="shared" si="68"/>
        <v/>
      </c>
      <c r="Q293" s="1"/>
      <c r="R293" s="1">
        <v>0</v>
      </c>
      <c r="S293" s="1">
        <f>IF($N293="",0,INDEX(TAHSILAT!$F$7:$F$2506,$U293))</f>
        <v>0</v>
      </c>
      <c r="T293" s="1">
        <f t="shared" si="65"/>
        <v>10000000000</v>
      </c>
      <c r="U293" s="1">
        <f>IFERROR(MATCH($AC$4&amp;"|41",TAHSILAT!$Q$7:$Q$2506,0),0)</f>
        <v>0</v>
      </c>
      <c r="V293" s="1"/>
      <c r="W293" s="1"/>
      <c r="X293" s="1"/>
      <c r="Y293" s="1">
        <f t="shared" ca="1" si="66"/>
        <v>10000000000</v>
      </c>
      <c r="Z293" s="1">
        <f t="shared" ca="1" si="67"/>
        <v>1</v>
      </c>
      <c r="AA293" s="1"/>
      <c r="AB293" s="1"/>
      <c r="AC293" s="1"/>
      <c r="AD293" s="1"/>
    </row>
    <row r="294" spans="1:30" ht="19.5" customHeight="1" x14ac:dyDescent="0.3">
      <c r="A294" s="2"/>
      <c r="B294" s="79" t="str">
        <f t="shared" ca="1" si="58"/>
        <v/>
      </c>
      <c r="C294" s="80" t="str">
        <f t="shared" ca="1" si="59"/>
        <v/>
      </c>
      <c r="D294" s="81" t="str">
        <f t="shared" ca="1" si="60"/>
        <v/>
      </c>
      <c r="E294" s="79" t="str">
        <f t="shared" ca="1" si="61"/>
        <v/>
      </c>
      <c r="F294" s="82" t="str">
        <f t="shared" ca="1" si="62"/>
        <v/>
      </c>
      <c r="G294" s="82" t="str">
        <f t="shared" ca="1" si="63"/>
        <v/>
      </c>
      <c r="H294" s="82" t="str">
        <f t="shared" ca="1" si="64"/>
        <v/>
      </c>
      <c r="I294" s="2"/>
      <c r="J294" s="2"/>
      <c r="K294" s="1"/>
      <c r="L294" s="1"/>
      <c r="M294" s="1">
        <v>283</v>
      </c>
      <c r="N294" s="1" t="str">
        <f>IF($U294=0,"",INDEX(TAHSILAT!$E$7:$E$2506,$U294))</f>
        <v/>
      </c>
      <c r="O294" s="1" t="str">
        <f>IF($N294="","","Ödeme  –  "&amp;INDEX(TAHSILAT!$H$7:$H$2506,$U294)&amp;"  ("&amp;INDEX(TAHSILAT!$G$7:$G$2506,$U294)&amp;")"&amp;IF(INDEX(TAHSILAT!$J$7:$J$2506,$U294)="",""," / "&amp;INDEX(TAHSILAT!$J$7:$J$2506,$U294)))</f>
        <v/>
      </c>
      <c r="P294" s="1" t="str">
        <f t="shared" si="68"/>
        <v/>
      </c>
      <c r="Q294" s="1"/>
      <c r="R294" s="1">
        <v>0</v>
      </c>
      <c r="S294" s="1">
        <f>IF($N294="",0,INDEX(TAHSILAT!$F$7:$F$2506,$U294))</f>
        <v>0</v>
      </c>
      <c r="T294" s="1">
        <f t="shared" si="65"/>
        <v>10000000000</v>
      </c>
      <c r="U294" s="1">
        <f>IFERROR(MATCH($AC$4&amp;"|42",TAHSILAT!$Q$7:$Q$2506,0),0)</f>
        <v>0</v>
      </c>
      <c r="V294" s="1"/>
      <c r="W294" s="1"/>
      <c r="X294" s="1"/>
      <c r="Y294" s="1">
        <f t="shared" ca="1" si="66"/>
        <v>10000000000</v>
      </c>
      <c r="Z294" s="1">
        <f t="shared" ca="1" si="67"/>
        <v>1</v>
      </c>
      <c r="AA294" s="1"/>
      <c r="AB294" s="1"/>
      <c r="AC294" s="1"/>
      <c r="AD294" s="1"/>
    </row>
    <row r="295" spans="1:30" ht="19.5" customHeight="1" x14ac:dyDescent="0.3">
      <c r="A295" s="2"/>
      <c r="B295" s="79" t="str">
        <f t="shared" ca="1" si="58"/>
        <v/>
      </c>
      <c r="C295" s="80" t="str">
        <f t="shared" ca="1" si="59"/>
        <v/>
      </c>
      <c r="D295" s="81" t="str">
        <f t="shared" ca="1" si="60"/>
        <v/>
      </c>
      <c r="E295" s="79" t="str">
        <f t="shared" ca="1" si="61"/>
        <v/>
      </c>
      <c r="F295" s="82" t="str">
        <f t="shared" ca="1" si="62"/>
        <v/>
      </c>
      <c r="G295" s="82" t="str">
        <f t="shared" ca="1" si="63"/>
        <v/>
      </c>
      <c r="H295" s="82" t="str">
        <f t="shared" ca="1" si="64"/>
        <v/>
      </c>
      <c r="I295" s="2"/>
      <c r="J295" s="2"/>
      <c r="K295" s="1"/>
      <c r="L295" s="1"/>
      <c r="M295" s="1">
        <v>284</v>
      </c>
      <c r="N295" s="1" t="str">
        <f>IF($U295=0,"",INDEX(TAHSILAT!$E$7:$E$2506,$U295))</f>
        <v/>
      </c>
      <c r="O295" s="1" t="str">
        <f>IF($N295="","","Ödeme  –  "&amp;INDEX(TAHSILAT!$H$7:$H$2506,$U295)&amp;"  ("&amp;INDEX(TAHSILAT!$G$7:$G$2506,$U295)&amp;")"&amp;IF(INDEX(TAHSILAT!$J$7:$J$2506,$U295)="",""," / "&amp;INDEX(TAHSILAT!$J$7:$J$2506,$U295)))</f>
        <v/>
      </c>
      <c r="P295" s="1" t="str">
        <f t="shared" si="68"/>
        <v/>
      </c>
      <c r="Q295" s="1"/>
      <c r="R295" s="1">
        <v>0</v>
      </c>
      <c r="S295" s="1">
        <f>IF($N295="",0,INDEX(TAHSILAT!$F$7:$F$2506,$U295))</f>
        <v>0</v>
      </c>
      <c r="T295" s="1">
        <f t="shared" si="65"/>
        <v>10000000000</v>
      </c>
      <c r="U295" s="1">
        <f>IFERROR(MATCH($AC$4&amp;"|43",TAHSILAT!$Q$7:$Q$2506,0),0)</f>
        <v>0</v>
      </c>
      <c r="V295" s="1"/>
      <c r="W295" s="1"/>
      <c r="X295" s="1"/>
      <c r="Y295" s="1">
        <f t="shared" ca="1" si="66"/>
        <v>10000000000</v>
      </c>
      <c r="Z295" s="1">
        <f t="shared" ca="1" si="67"/>
        <v>1</v>
      </c>
      <c r="AA295" s="1"/>
      <c r="AB295" s="1"/>
      <c r="AC295" s="1"/>
      <c r="AD295" s="1"/>
    </row>
    <row r="296" spans="1:30" ht="19.5" customHeight="1" x14ac:dyDescent="0.3">
      <c r="A296" s="2"/>
      <c r="B296" s="79" t="str">
        <f t="shared" ca="1" si="58"/>
        <v/>
      </c>
      <c r="C296" s="80" t="str">
        <f t="shared" ca="1" si="59"/>
        <v/>
      </c>
      <c r="D296" s="81" t="str">
        <f t="shared" ca="1" si="60"/>
        <v/>
      </c>
      <c r="E296" s="79" t="str">
        <f t="shared" ca="1" si="61"/>
        <v/>
      </c>
      <c r="F296" s="82" t="str">
        <f t="shared" ca="1" si="62"/>
        <v/>
      </c>
      <c r="G296" s="82" t="str">
        <f t="shared" ca="1" si="63"/>
        <v/>
      </c>
      <c r="H296" s="82" t="str">
        <f t="shared" ca="1" si="64"/>
        <v/>
      </c>
      <c r="I296" s="2"/>
      <c r="J296" s="2"/>
      <c r="K296" s="1"/>
      <c r="L296" s="1"/>
      <c r="M296" s="1">
        <v>285</v>
      </c>
      <c r="N296" s="1" t="str">
        <f>IF($U296=0,"",INDEX(TAHSILAT!$E$7:$E$2506,$U296))</f>
        <v/>
      </c>
      <c r="O296" s="1" t="str">
        <f>IF($N296="","","Ödeme  –  "&amp;INDEX(TAHSILAT!$H$7:$H$2506,$U296)&amp;"  ("&amp;INDEX(TAHSILAT!$G$7:$G$2506,$U296)&amp;")"&amp;IF(INDEX(TAHSILAT!$J$7:$J$2506,$U296)="",""," / "&amp;INDEX(TAHSILAT!$J$7:$J$2506,$U296)))</f>
        <v/>
      </c>
      <c r="P296" s="1" t="str">
        <f t="shared" si="68"/>
        <v/>
      </c>
      <c r="Q296" s="1"/>
      <c r="R296" s="1">
        <v>0</v>
      </c>
      <c r="S296" s="1">
        <f>IF($N296="",0,INDEX(TAHSILAT!$F$7:$F$2506,$U296))</f>
        <v>0</v>
      </c>
      <c r="T296" s="1">
        <f t="shared" si="65"/>
        <v>10000000000</v>
      </c>
      <c r="U296" s="1">
        <f>IFERROR(MATCH($AC$4&amp;"|44",TAHSILAT!$Q$7:$Q$2506,0),0)</f>
        <v>0</v>
      </c>
      <c r="V296" s="1"/>
      <c r="W296" s="1"/>
      <c r="X296" s="1"/>
      <c r="Y296" s="1">
        <f t="shared" ca="1" si="66"/>
        <v>10000000000</v>
      </c>
      <c r="Z296" s="1">
        <f t="shared" ca="1" si="67"/>
        <v>1</v>
      </c>
      <c r="AA296" s="1"/>
      <c r="AB296" s="1"/>
      <c r="AC296" s="1"/>
      <c r="AD296" s="1"/>
    </row>
    <row r="297" spans="1:30" ht="19.5" customHeight="1" x14ac:dyDescent="0.3">
      <c r="A297" s="2"/>
      <c r="B297" s="79" t="str">
        <f t="shared" ca="1" si="58"/>
        <v/>
      </c>
      <c r="C297" s="80" t="str">
        <f t="shared" ca="1" si="59"/>
        <v/>
      </c>
      <c r="D297" s="81" t="str">
        <f t="shared" ca="1" si="60"/>
        <v/>
      </c>
      <c r="E297" s="79" t="str">
        <f t="shared" ca="1" si="61"/>
        <v/>
      </c>
      <c r="F297" s="82" t="str">
        <f t="shared" ca="1" si="62"/>
        <v/>
      </c>
      <c r="G297" s="82" t="str">
        <f t="shared" ca="1" si="63"/>
        <v/>
      </c>
      <c r="H297" s="82" t="str">
        <f t="shared" ca="1" si="64"/>
        <v/>
      </c>
      <c r="I297" s="2"/>
      <c r="J297" s="2"/>
      <c r="K297" s="1"/>
      <c r="L297" s="1"/>
      <c r="M297" s="1">
        <v>286</v>
      </c>
      <c r="N297" s="1" t="str">
        <f>IF($U297=0,"",INDEX(TAHSILAT!$E$7:$E$2506,$U297))</f>
        <v/>
      </c>
      <c r="O297" s="1" t="str">
        <f>IF($N297="","","Ödeme  –  "&amp;INDEX(TAHSILAT!$H$7:$H$2506,$U297)&amp;"  ("&amp;INDEX(TAHSILAT!$G$7:$G$2506,$U297)&amp;")"&amp;IF(INDEX(TAHSILAT!$J$7:$J$2506,$U297)="",""," / "&amp;INDEX(TAHSILAT!$J$7:$J$2506,$U297)))</f>
        <v/>
      </c>
      <c r="P297" s="1" t="str">
        <f t="shared" si="68"/>
        <v/>
      </c>
      <c r="Q297" s="1"/>
      <c r="R297" s="1">
        <v>0</v>
      </c>
      <c r="S297" s="1">
        <f>IF($N297="",0,INDEX(TAHSILAT!$F$7:$F$2506,$U297))</f>
        <v>0</v>
      </c>
      <c r="T297" s="1">
        <f t="shared" si="65"/>
        <v>10000000000</v>
      </c>
      <c r="U297" s="1">
        <f>IFERROR(MATCH($AC$4&amp;"|45",TAHSILAT!$Q$7:$Q$2506,0),0)</f>
        <v>0</v>
      </c>
      <c r="V297" s="1"/>
      <c r="W297" s="1"/>
      <c r="X297" s="1"/>
      <c r="Y297" s="1">
        <f t="shared" ca="1" si="66"/>
        <v>10000000000</v>
      </c>
      <c r="Z297" s="1">
        <f t="shared" ca="1" si="67"/>
        <v>1</v>
      </c>
      <c r="AA297" s="1"/>
      <c r="AB297" s="1"/>
      <c r="AC297" s="1"/>
      <c r="AD297" s="1"/>
    </row>
    <row r="298" spans="1:30" ht="19.5" customHeight="1" x14ac:dyDescent="0.3">
      <c r="A298" s="2"/>
      <c r="B298" s="79" t="str">
        <f t="shared" ca="1" si="58"/>
        <v/>
      </c>
      <c r="C298" s="80" t="str">
        <f t="shared" ca="1" si="59"/>
        <v/>
      </c>
      <c r="D298" s="81" t="str">
        <f t="shared" ca="1" si="60"/>
        <v/>
      </c>
      <c r="E298" s="79" t="str">
        <f t="shared" ca="1" si="61"/>
        <v/>
      </c>
      <c r="F298" s="82" t="str">
        <f t="shared" ca="1" si="62"/>
        <v/>
      </c>
      <c r="G298" s="82" t="str">
        <f t="shared" ca="1" si="63"/>
        <v/>
      </c>
      <c r="H298" s="82" t="str">
        <f t="shared" ca="1" si="64"/>
        <v/>
      </c>
      <c r="I298" s="2"/>
      <c r="J298" s="2"/>
      <c r="K298" s="1"/>
      <c r="L298" s="1"/>
      <c r="M298" s="1">
        <v>287</v>
      </c>
      <c r="N298" s="1" t="str">
        <f>IF($U298=0,"",INDEX(TAHSILAT!$E$7:$E$2506,$U298))</f>
        <v/>
      </c>
      <c r="O298" s="1" t="str">
        <f>IF($N298="","","Ödeme  –  "&amp;INDEX(TAHSILAT!$H$7:$H$2506,$U298)&amp;"  ("&amp;INDEX(TAHSILAT!$G$7:$G$2506,$U298)&amp;")"&amp;IF(INDEX(TAHSILAT!$J$7:$J$2506,$U298)="",""," / "&amp;INDEX(TAHSILAT!$J$7:$J$2506,$U298)))</f>
        <v/>
      </c>
      <c r="P298" s="1" t="str">
        <f t="shared" si="68"/>
        <v/>
      </c>
      <c r="Q298" s="1"/>
      <c r="R298" s="1">
        <v>0</v>
      </c>
      <c r="S298" s="1">
        <f>IF($N298="",0,INDEX(TAHSILAT!$F$7:$F$2506,$U298))</f>
        <v>0</v>
      </c>
      <c r="T298" s="1">
        <f t="shared" si="65"/>
        <v>10000000000</v>
      </c>
      <c r="U298" s="1">
        <f>IFERROR(MATCH($AC$4&amp;"|46",TAHSILAT!$Q$7:$Q$2506,0),0)</f>
        <v>0</v>
      </c>
      <c r="V298" s="1"/>
      <c r="W298" s="1"/>
      <c r="X298" s="1"/>
      <c r="Y298" s="1">
        <f t="shared" ca="1" si="66"/>
        <v>10000000000</v>
      </c>
      <c r="Z298" s="1">
        <f t="shared" ca="1" si="67"/>
        <v>1</v>
      </c>
      <c r="AA298" s="1"/>
      <c r="AB298" s="1"/>
      <c r="AC298" s="1"/>
      <c r="AD298" s="1"/>
    </row>
    <row r="299" spans="1:30" ht="19.5" customHeight="1" x14ac:dyDescent="0.3">
      <c r="A299" s="2"/>
      <c r="B299" s="79" t="str">
        <f t="shared" ca="1" si="58"/>
        <v/>
      </c>
      <c r="C299" s="80" t="str">
        <f t="shared" ca="1" si="59"/>
        <v/>
      </c>
      <c r="D299" s="81" t="str">
        <f t="shared" ca="1" si="60"/>
        <v/>
      </c>
      <c r="E299" s="79" t="str">
        <f t="shared" ca="1" si="61"/>
        <v/>
      </c>
      <c r="F299" s="82" t="str">
        <f t="shared" ca="1" si="62"/>
        <v/>
      </c>
      <c r="G299" s="82" t="str">
        <f t="shared" ca="1" si="63"/>
        <v/>
      </c>
      <c r="H299" s="82" t="str">
        <f t="shared" ca="1" si="64"/>
        <v/>
      </c>
      <c r="I299" s="2"/>
      <c r="J299" s="2"/>
      <c r="K299" s="1"/>
      <c r="L299" s="1"/>
      <c r="M299" s="1">
        <v>288</v>
      </c>
      <c r="N299" s="1" t="str">
        <f>IF($U299=0,"",INDEX(TAHSILAT!$E$7:$E$2506,$U299))</f>
        <v/>
      </c>
      <c r="O299" s="1" t="str">
        <f>IF($N299="","","Ödeme  –  "&amp;INDEX(TAHSILAT!$H$7:$H$2506,$U299)&amp;"  ("&amp;INDEX(TAHSILAT!$G$7:$G$2506,$U299)&amp;")"&amp;IF(INDEX(TAHSILAT!$J$7:$J$2506,$U299)="",""," / "&amp;INDEX(TAHSILAT!$J$7:$J$2506,$U299)))</f>
        <v/>
      </c>
      <c r="P299" s="1" t="str">
        <f t="shared" si="68"/>
        <v/>
      </c>
      <c r="Q299" s="1"/>
      <c r="R299" s="1">
        <v>0</v>
      </c>
      <c r="S299" s="1">
        <f>IF($N299="",0,INDEX(TAHSILAT!$F$7:$F$2506,$U299))</f>
        <v>0</v>
      </c>
      <c r="T299" s="1">
        <f t="shared" si="65"/>
        <v>10000000000</v>
      </c>
      <c r="U299" s="1">
        <f>IFERROR(MATCH($AC$4&amp;"|47",TAHSILAT!$Q$7:$Q$2506,0),0)</f>
        <v>0</v>
      </c>
      <c r="V299" s="1"/>
      <c r="W299" s="1"/>
      <c r="X299" s="1"/>
      <c r="Y299" s="1">
        <f t="shared" ca="1" si="66"/>
        <v>10000000000</v>
      </c>
      <c r="Z299" s="1">
        <f t="shared" ca="1" si="67"/>
        <v>1</v>
      </c>
      <c r="AA299" s="1"/>
      <c r="AB299" s="1"/>
      <c r="AC299" s="1"/>
      <c r="AD299" s="1"/>
    </row>
    <row r="300" spans="1:30" ht="19.5" customHeight="1" x14ac:dyDescent="0.3">
      <c r="A300" s="2"/>
      <c r="B300" s="79" t="str">
        <f t="shared" ca="1" si="58"/>
        <v/>
      </c>
      <c r="C300" s="80" t="str">
        <f t="shared" ca="1" si="59"/>
        <v/>
      </c>
      <c r="D300" s="81" t="str">
        <f t="shared" ca="1" si="60"/>
        <v/>
      </c>
      <c r="E300" s="79" t="str">
        <f t="shared" ca="1" si="61"/>
        <v/>
      </c>
      <c r="F300" s="82" t="str">
        <f t="shared" ca="1" si="62"/>
        <v/>
      </c>
      <c r="G300" s="82" t="str">
        <f t="shared" ca="1" si="63"/>
        <v/>
      </c>
      <c r="H300" s="82" t="str">
        <f t="shared" ca="1" si="64"/>
        <v/>
      </c>
      <c r="I300" s="2"/>
      <c r="J300" s="2"/>
      <c r="K300" s="1"/>
      <c r="L300" s="1"/>
      <c r="M300" s="1">
        <v>289</v>
      </c>
      <c r="N300" s="1" t="str">
        <f>IF($U300=0,"",INDEX(TAHSILAT!$E$7:$E$2506,$U300))</f>
        <v/>
      </c>
      <c r="O300" s="1" t="str">
        <f>IF($N300="","","Ödeme  –  "&amp;INDEX(TAHSILAT!$H$7:$H$2506,$U300)&amp;"  ("&amp;INDEX(TAHSILAT!$G$7:$G$2506,$U300)&amp;")"&amp;IF(INDEX(TAHSILAT!$J$7:$J$2506,$U300)="",""," / "&amp;INDEX(TAHSILAT!$J$7:$J$2506,$U300)))</f>
        <v/>
      </c>
      <c r="P300" s="1" t="str">
        <f t="shared" si="68"/>
        <v/>
      </c>
      <c r="Q300" s="1"/>
      <c r="R300" s="1">
        <v>0</v>
      </c>
      <c r="S300" s="1">
        <f>IF($N300="",0,INDEX(TAHSILAT!$F$7:$F$2506,$U300))</f>
        <v>0</v>
      </c>
      <c r="T300" s="1">
        <f t="shared" si="65"/>
        <v>10000000000</v>
      </c>
      <c r="U300" s="1">
        <f>IFERROR(MATCH($AC$4&amp;"|48",TAHSILAT!$Q$7:$Q$2506,0),0)</f>
        <v>0</v>
      </c>
      <c r="V300" s="1"/>
      <c r="W300" s="1"/>
      <c r="X300" s="1"/>
      <c r="Y300" s="1">
        <f t="shared" ca="1" si="66"/>
        <v>10000000000</v>
      </c>
      <c r="Z300" s="1">
        <f t="shared" ca="1" si="67"/>
        <v>1</v>
      </c>
      <c r="AA300" s="1"/>
      <c r="AB300" s="1"/>
      <c r="AC300" s="1"/>
      <c r="AD300" s="1"/>
    </row>
    <row r="301" spans="1:30" ht="19.5" customHeight="1" x14ac:dyDescent="0.3">
      <c r="A301" s="2"/>
      <c r="B301" s="79" t="str">
        <f t="shared" ca="1" si="58"/>
        <v/>
      </c>
      <c r="C301" s="80" t="str">
        <f t="shared" ca="1" si="59"/>
        <v/>
      </c>
      <c r="D301" s="81" t="str">
        <f t="shared" ca="1" si="60"/>
        <v/>
      </c>
      <c r="E301" s="79" t="str">
        <f t="shared" ca="1" si="61"/>
        <v/>
      </c>
      <c r="F301" s="82" t="str">
        <f t="shared" ca="1" si="62"/>
        <v/>
      </c>
      <c r="G301" s="82" t="str">
        <f t="shared" ca="1" si="63"/>
        <v/>
      </c>
      <c r="H301" s="82" t="str">
        <f t="shared" ca="1" si="64"/>
        <v/>
      </c>
      <c r="I301" s="2"/>
      <c r="J301" s="2"/>
      <c r="K301" s="1"/>
      <c r="L301" s="1"/>
      <c r="M301" s="1">
        <v>290</v>
      </c>
      <c r="N301" s="1" t="str">
        <f>IF($U301=0,"",INDEX(TAHSILAT!$E$7:$E$2506,$U301))</f>
        <v/>
      </c>
      <c r="O301" s="1" t="str">
        <f>IF($N301="","","Ödeme  –  "&amp;INDEX(TAHSILAT!$H$7:$H$2506,$U301)&amp;"  ("&amp;INDEX(TAHSILAT!$G$7:$G$2506,$U301)&amp;")"&amp;IF(INDEX(TAHSILAT!$J$7:$J$2506,$U301)="",""," / "&amp;INDEX(TAHSILAT!$J$7:$J$2506,$U301)))</f>
        <v/>
      </c>
      <c r="P301" s="1" t="str">
        <f t="shared" si="68"/>
        <v/>
      </c>
      <c r="Q301" s="1"/>
      <c r="R301" s="1">
        <v>0</v>
      </c>
      <c r="S301" s="1">
        <f>IF($N301="",0,INDEX(TAHSILAT!$F$7:$F$2506,$U301))</f>
        <v>0</v>
      </c>
      <c r="T301" s="1">
        <f t="shared" si="65"/>
        <v>10000000000</v>
      </c>
      <c r="U301" s="1">
        <f>IFERROR(MATCH($AC$4&amp;"|49",TAHSILAT!$Q$7:$Q$2506,0),0)</f>
        <v>0</v>
      </c>
      <c r="V301" s="1"/>
      <c r="W301" s="1"/>
      <c r="X301" s="1"/>
      <c r="Y301" s="1">
        <f t="shared" ca="1" si="66"/>
        <v>10000000000</v>
      </c>
      <c r="Z301" s="1">
        <f t="shared" ca="1" si="67"/>
        <v>1</v>
      </c>
      <c r="AA301" s="1"/>
      <c r="AB301" s="1"/>
      <c r="AC301" s="1"/>
      <c r="AD301" s="1"/>
    </row>
    <row r="302" spans="1:30" ht="19.5" customHeight="1" x14ac:dyDescent="0.3">
      <c r="A302" s="2"/>
      <c r="B302" s="79" t="str">
        <f t="shared" ca="1" si="58"/>
        <v/>
      </c>
      <c r="C302" s="80" t="str">
        <f t="shared" ca="1" si="59"/>
        <v/>
      </c>
      <c r="D302" s="81" t="str">
        <f t="shared" ca="1" si="60"/>
        <v/>
      </c>
      <c r="E302" s="79" t="str">
        <f t="shared" ca="1" si="61"/>
        <v/>
      </c>
      <c r="F302" s="82" t="str">
        <f t="shared" ca="1" si="62"/>
        <v/>
      </c>
      <c r="G302" s="82" t="str">
        <f t="shared" ca="1" si="63"/>
        <v/>
      </c>
      <c r="H302" s="82" t="str">
        <f t="shared" ca="1" si="64"/>
        <v/>
      </c>
      <c r="I302" s="2"/>
      <c r="J302" s="2"/>
      <c r="K302" s="1"/>
      <c r="L302" s="1"/>
      <c r="M302" s="1">
        <v>291</v>
      </c>
      <c r="N302" s="1" t="str">
        <f>IF($U302=0,"",INDEX(TAHSILAT!$E$7:$E$2506,$U302))</f>
        <v/>
      </c>
      <c r="O302" s="1" t="str">
        <f>IF($N302="","","Ödeme  –  "&amp;INDEX(TAHSILAT!$H$7:$H$2506,$U302)&amp;"  ("&amp;INDEX(TAHSILAT!$G$7:$G$2506,$U302)&amp;")"&amp;IF(INDEX(TAHSILAT!$J$7:$J$2506,$U302)="",""," / "&amp;INDEX(TAHSILAT!$J$7:$J$2506,$U302)))</f>
        <v/>
      </c>
      <c r="P302" s="1" t="str">
        <f t="shared" si="68"/>
        <v/>
      </c>
      <c r="Q302" s="1"/>
      <c r="R302" s="1">
        <v>0</v>
      </c>
      <c r="S302" s="1">
        <f>IF($N302="",0,INDEX(TAHSILAT!$F$7:$F$2506,$U302))</f>
        <v>0</v>
      </c>
      <c r="T302" s="1">
        <f t="shared" si="65"/>
        <v>10000000000</v>
      </c>
      <c r="U302" s="1">
        <f>IFERROR(MATCH($AC$4&amp;"|50",TAHSILAT!$Q$7:$Q$2506,0),0)</f>
        <v>0</v>
      </c>
      <c r="V302" s="1"/>
      <c r="W302" s="1"/>
      <c r="X302" s="1"/>
      <c r="Y302" s="1">
        <f t="shared" ca="1" si="66"/>
        <v>10000000000</v>
      </c>
      <c r="Z302" s="1">
        <f t="shared" ca="1" si="67"/>
        <v>1</v>
      </c>
      <c r="AA302" s="1"/>
      <c r="AB302" s="1"/>
      <c r="AC302" s="1"/>
      <c r="AD302" s="1"/>
    </row>
    <row r="303" spans="1:30" ht="19.5" customHeight="1" x14ac:dyDescent="0.3">
      <c r="A303" s="2"/>
      <c r="B303" s="79" t="str">
        <f t="shared" ca="1" si="58"/>
        <v/>
      </c>
      <c r="C303" s="80" t="str">
        <f t="shared" ca="1" si="59"/>
        <v/>
      </c>
      <c r="D303" s="81" t="str">
        <f t="shared" ca="1" si="60"/>
        <v/>
      </c>
      <c r="E303" s="79" t="str">
        <f t="shared" ca="1" si="61"/>
        <v/>
      </c>
      <c r="F303" s="82" t="str">
        <f t="shared" ca="1" si="62"/>
        <v/>
      </c>
      <c r="G303" s="82" t="str">
        <f t="shared" ca="1" si="63"/>
        <v/>
      </c>
      <c r="H303" s="82" t="str">
        <f t="shared" ca="1" si="64"/>
        <v/>
      </c>
      <c r="I303" s="2"/>
      <c r="J303" s="2"/>
      <c r="K303" s="1"/>
      <c r="L303" s="1"/>
      <c r="M303" s="1">
        <v>292</v>
      </c>
      <c r="N303" s="1" t="str">
        <f>IF($U303=0,"",INDEX(TAHSILAT!$E$7:$E$2506,$U303))</f>
        <v/>
      </c>
      <c r="O303" s="1" t="str">
        <f>IF($N303="","","Ödeme  –  "&amp;INDEX(TAHSILAT!$H$7:$H$2506,$U303)&amp;"  ("&amp;INDEX(TAHSILAT!$G$7:$G$2506,$U303)&amp;")"&amp;IF(INDEX(TAHSILAT!$J$7:$J$2506,$U303)="",""," / "&amp;INDEX(TAHSILAT!$J$7:$J$2506,$U303)))</f>
        <v/>
      </c>
      <c r="P303" s="1" t="str">
        <f t="shared" si="68"/>
        <v/>
      </c>
      <c r="Q303" s="1"/>
      <c r="R303" s="1">
        <v>0</v>
      </c>
      <c r="S303" s="1">
        <f>IF($N303="",0,INDEX(TAHSILAT!$F$7:$F$2506,$U303))</f>
        <v>0</v>
      </c>
      <c r="T303" s="1">
        <f t="shared" si="65"/>
        <v>10000000000</v>
      </c>
      <c r="U303" s="1">
        <f>IFERROR(MATCH($AC$4&amp;"|51",TAHSILAT!$Q$7:$Q$2506,0),0)</f>
        <v>0</v>
      </c>
      <c r="V303" s="1"/>
      <c r="W303" s="1"/>
      <c r="X303" s="1"/>
      <c r="Y303" s="1">
        <f t="shared" ca="1" si="66"/>
        <v>10000000000</v>
      </c>
      <c r="Z303" s="1">
        <f t="shared" ca="1" si="67"/>
        <v>1</v>
      </c>
      <c r="AA303" s="1"/>
      <c r="AB303" s="1"/>
      <c r="AC303" s="1"/>
      <c r="AD303" s="1"/>
    </row>
    <row r="304" spans="1:30" ht="19.5" customHeight="1" x14ac:dyDescent="0.3">
      <c r="A304" s="2"/>
      <c r="B304" s="79" t="str">
        <f t="shared" ca="1" si="58"/>
        <v/>
      </c>
      <c r="C304" s="80" t="str">
        <f t="shared" ca="1" si="59"/>
        <v/>
      </c>
      <c r="D304" s="81" t="str">
        <f t="shared" ca="1" si="60"/>
        <v/>
      </c>
      <c r="E304" s="79" t="str">
        <f t="shared" ca="1" si="61"/>
        <v/>
      </c>
      <c r="F304" s="82" t="str">
        <f t="shared" ca="1" si="62"/>
        <v/>
      </c>
      <c r="G304" s="82" t="str">
        <f t="shared" ca="1" si="63"/>
        <v/>
      </c>
      <c r="H304" s="82" t="str">
        <f t="shared" ca="1" si="64"/>
        <v/>
      </c>
      <c r="I304" s="2"/>
      <c r="J304" s="2"/>
      <c r="K304" s="1"/>
      <c r="L304" s="1"/>
      <c r="M304" s="1">
        <v>293</v>
      </c>
      <c r="N304" s="1" t="str">
        <f>IF($U304=0,"",INDEX(TAHSILAT!$E$7:$E$2506,$U304))</f>
        <v/>
      </c>
      <c r="O304" s="1" t="str">
        <f>IF($N304="","","Ödeme  –  "&amp;INDEX(TAHSILAT!$H$7:$H$2506,$U304)&amp;"  ("&amp;INDEX(TAHSILAT!$G$7:$G$2506,$U304)&amp;")"&amp;IF(INDEX(TAHSILAT!$J$7:$J$2506,$U304)="",""," / "&amp;INDEX(TAHSILAT!$J$7:$J$2506,$U304)))</f>
        <v/>
      </c>
      <c r="P304" s="1" t="str">
        <f t="shared" si="68"/>
        <v/>
      </c>
      <c r="Q304" s="1"/>
      <c r="R304" s="1">
        <v>0</v>
      </c>
      <c r="S304" s="1">
        <f>IF($N304="",0,INDEX(TAHSILAT!$F$7:$F$2506,$U304))</f>
        <v>0</v>
      </c>
      <c r="T304" s="1">
        <f t="shared" si="65"/>
        <v>10000000000</v>
      </c>
      <c r="U304" s="1">
        <f>IFERROR(MATCH($AC$4&amp;"|52",TAHSILAT!$Q$7:$Q$2506,0),0)</f>
        <v>0</v>
      </c>
      <c r="V304" s="1"/>
      <c r="W304" s="1"/>
      <c r="X304" s="1"/>
      <c r="Y304" s="1">
        <f t="shared" ca="1" si="66"/>
        <v>10000000000</v>
      </c>
      <c r="Z304" s="1">
        <f t="shared" ca="1" si="67"/>
        <v>1</v>
      </c>
      <c r="AA304" s="1"/>
      <c r="AB304" s="1"/>
      <c r="AC304" s="1"/>
      <c r="AD304" s="1"/>
    </row>
    <row r="305" spans="1:30" ht="19.5" customHeight="1" x14ac:dyDescent="0.3">
      <c r="A305" s="2"/>
      <c r="B305" s="79" t="str">
        <f t="shared" ca="1" si="58"/>
        <v/>
      </c>
      <c r="C305" s="80" t="str">
        <f t="shared" ca="1" si="59"/>
        <v/>
      </c>
      <c r="D305" s="81" t="str">
        <f t="shared" ca="1" si="60"/>
        <v/>
      </c>
      <c r="E305" s="79" t="str">
        <f t="shared" ca="1" si="61"/>
        <v/>
      </c>
      <c r="F305" s="82" t="str">
        <f t="shared" ca="1" si="62"/>
        <v/>
      </c>
      <c r="G305" s="82" t="str">
        <f t="shared" ca="1" si="63"/>
        <v/>
      </c>
      <c r="H305" s="82" t="str">
        <f t="shared" ca="1" si="64"/>
        <v/>
      </c>
      <c r="I305" s="2"/>
      <c r="J305" s="2"/>
      <c r="K305" s="1"/>
      <c r="L305" s="1"/>
      <c r="M305" s="1">
        <v>294</v>
      </c>
      <c r="N305" s="1" t="str">
        <f>IF($U305=0,"",INDEX(TAHSILAT!$E$7:$E$2506,$U305))</f>
        <v/>
      </c>
      <c r="O305" s="1" t="str">
        <f>IF($N305="","","Ödeme  –  "&amp;INDEX(TAHSILAT!$H$7:$H$2506,$U305)&amp;"  ("&amp;INDEX(TAHSILAT!$G$7:$G$2506,$U305)&amp;")"&amp;IF(INDEX(TAHSILAT!$J$7:$J$2506,$U305)="",""," / "&amp;INDEX(TAHSILAT!$J$7:$J$2506,$U305)))</f>
        <v/>
      </c>
      <c r="P305" s="1" t="str">
        <f t="shared" si="68"/>
        <v/>
      </c>
      <c r="Q305" s="1"/>
      <c r="R305" s="1">
        <v>0</v>
      </c>
      <c r="S305" s="1">
        <f>IF($N305="",0,INDEX(TAHSILAT!$F$7:$F$2506,$U305))</f>
        <v>0</v>
      </c>
      <c r="T305" s="1">
        <f t="shared" si="65"/>
        <v>10000000000</v>
      </c>
      <c r="U305" s="1">
        <f>IFERROR(MATCH($AC$4&amp;"|53",TAHSILAT!$Q$7:$Q$2506,0),0)</f>
        <v>0</v>
      </c>
      <c r="V305" s="1"/>
      <c r="W305" s="1"/>
      <c r="X305" s="1"/>
      <c r="Y305" s="1">
        <f t="shared" ca="1" si="66"/>
        <v>10000000000</v>
      </c>
      <c r="Z305" s="1">
        <f t="shared" ca="1" si="67"/>
        <v>1</v>
      </c>
      <c r="AA305" s="1"/>
      <c r="AB305" s="1"/>
      <c r="AC305" s="1"/>
      <c r="AD305" s="1"/>
    </row>
    <row r="306" spans="1:30" ht="19.5" customHeight="1" x14ac:dyDescent="0.3">
      <c r="A306" s="2"/>
      <c r="B306" s="79" t="str">
        <f t="shared" ca="1" si="58"/>
        <v/>
      </c>
      <c r="C306" s="80" t="str">
        <f t="shared" ca="1" si="59"/>
        <v/>
      </c>
      <c r="D306" s="81" t="str">
        <f t="shared" ca="1" si="60"/>
        <v/>
      </c>
      <c r="E306" s="79" t="str">
        <f t="shared" ca="1" si="61"/>
        <v/>
      </c>
      <c r="F306" s="82" t="str">
        <f t="shared" ca="1" si="62"/>
        <v/>
      </c>
      <c r="G306" s="82" t="str">
        <f t="shared" ca="1" si="63"/>
        <v/>
      </c>
      <c r="H306" s="82" t="str">
        <f t="shared" ca="1" si="64"/>
        <v/>
      </c>
      <c r="I306" s="2"/>
      <c r="J306" s="2"/>
      <c r="K306" s="1"/>
      <c r="L306" s="1"/>
      <c r="M306" s="1">
        <v>295</v>
      </c>
      <c r="N306" s="1" t="str">
        <f>IF($U306=0,"",INDEX(TAHSILAT!$E$7:$E$2506,$U306))</f>
        <v/>
      </c>
      <c r="O306" s="1" t="str">
        <f>IF($N306="","","Ödeme  –  "&amp;INDEX(TAHSILAT!$H$7:$H$2506,$U306)&amp;"  ("&amp;INDEX(TAHSILAT!$G$7:$G$2506,$U306)&amp;")"&amp;IF(INDEX(TAHSILAT!$J$7:$J$2506,$U306)="",""," / "&amp;INDEX(TAHSILAT!$J$7:$J$2506,$U306)))</f>
        <v/>
      </c>
      <c r="P306" s="1" t="str">
        <f t="shared" si="68"/>
        <v/>
      </c>
      <c r="Q306" s="1"/>
      <c r="R306" s="1">
        <v>0</v>
      </c>
      <c r="S306" s="1">
        <f>IF($N306="",0,INDEX(TAHSILAT!$F$7:$F$2506,$U306))</f>
        <v>0</v>
      </c>
      <c r="T306" s="1">
        <f t="shared" si="65"/>
        <v>10000000000</v>
      </c>
      <c r="U306" s="1">
        <f>IFERROR(MATCH($AC$4&amp;"|54",TAHSILAT!$Q$7:$Q$2506,0),0)</f>
        <v>0</v>
      </c>
      <c r="V306" s="1"/>
      <c r="W306" s="1"/>
      <c r="X306" s="1"/>
      <c r="Y306" s="1">
        <f t="shared" ca="1" si="66"/>
        <v>10000000000</v>
      </c>
      <c r="Z306" s="1">
        <f t="shared" ca="1" si="67"/>
        <v>1</v>
      </c>
      <c r="AA306" s="1"/>
      <c r="AB306" s="1"/>
      <c r="AC306" s="1"/>
      <c r="AD306" s="1"/>
    </row>
    <row r="307" spans="1:30" ht="19.5" customHeight="1" x14ac:dyDescent="0.3">
      <c r="A307" s="2"/>
      <c r="B307" s="79" t="str">
        <f t="shared" ca="1" si="58"/>
        <v/>
      </c>
      <c r="C307" s="80" t="str">
        <f t="shared" ca="1" si="59"/>
        <v/>
      </c>
      <c r="D307" s="81" t="str">
        <f t="shared" ca="1" si="60"/>
        <v/>
      </c>
      <c r="E307" s="79" t="str">
        <f t="shared" ca="1" si="61"/>
        <v/>
      </c>
      <c r="F307" s="82" t="str">
        <f t="shared" ca="1" si="62"/>
        <v/>
      </c>
      <c r="G307" s="82" t="str">
        <f t="shared" ca="1" si="63"/>
        <v/>
      </c>
      <c r="H307" s="82" t="str">
        <f t="shared" ca="1" si="64"/>
        <v/>
      </c>
      <c r="I307" s="2"/>
      <c r="J307" s="2"/>
      <c r="K307" s="1"/>
      <c r="L307" s="1"/>
      <c r="M307" s="1">
        <v>296</v>
      </c>
      <c r="N307" s="1" t="str">
        <f>IF($U307=0,"",INDEX(TAHSILAT!$E$7:$E$2506,$U307))</f>
        <v/>
      </c>
      <c r="O307" s="1" t="str">
        <f>IF($N307="","","Ödeme  –  "&amp;INDEX(TAHSILAT!$H$7:$H$2506,$U307)&amp;"  ("&amp;INDEX(TAHSILAT!$G$7:$G$2506,$U307)&amp;")"&amp;IF(INDEX(TAHSILAT!$J$7:$J$2506,$U307)="",""," / "&amp;INDEX(TAHSILAT!$J$7:$J$2506,$U307)))</f>
        <v/>
      </c>
      <c r="P307" s="1" t="str">
        <f t="shared" si="68"/>
        <v/>
      </c>
      <c r="Q307" s="1"/>
      <c r="R307" s="1">
        <v>0</v>
      </c>
      <c r="S307" s="1">
        <f>IF($N307="",0,INDEX(TAHSILAT!$F$7:$F$2506,$U307))</f>
        <v>0</v>
      </c>
      <c r="T307" s="1">
        <f t="shared" si="65"/>
        <v>10000000000</v>
      </c>
      <c r="U307" s="1">
        <f>IFERROR(MATCH($AC$4&amp;"|55",TAHSILAT!$Q$7:$Q$2506,0),0)</f>
        <v>0</v>
      </c>
      <c r="V307" s="1"/>
      <c r="W307" s="1"/>
      <c r="X307" s="1"/>
      <c r="Y307" s="1">
        <f t="shared" ca="1" si="66"/>
        <v>10000000000</v>
      </c>
      <c r="Z307" s="1">
        <f t="shared" ca="1" si="67"/>
        <v>1</v>
      </c>
      <c r="AA307" s="1"/>
      <c r="AB307" s="1"/>
      <c r="AC307" s="1"/>
      <c r="AD307" s="1"/>
    </row>
    <row r="308" spans="1:30" ht="19.5" customHeight="1" x14ac:dyDescent="0.3">
      <c r="A308" s="2"/>
      <c r="B308" s="79" t="str">
        <f t="shared" ca="1" si="58"/>
        <v/>
      </c>
      <c r="C308" s="80" t="str">
        <f t="shared" ca="1" si="59"/>
        <v/>
      </c>
      <c r="D308" s="81" t="str">
        <f t="shared" ca="1" si="60"/>
        <v/>
      </c>
      <c r="E308" s="79" t="str">
        <f t="shared" ca="1" si="61"/>
        <v/>
      </c>
      <c r="F308" s="82" t="str">
        <f t="shared" ca="1" si="62"/>
        <v/>
      </c>
      <c r="G308" s="82" t="str">
        <f t="shared" ca="1" si="63"/>
        <v/>
      </c>
      <c r="H308" s="82" t="str">
        <f t="shared" ca="1" si="64"/>
        <v/>
      </c>
      <c r="I308" s="2"/>
      <c r="J308" s="2"/>
      <c r="K308" s="1"/>
      <c r="L308" s="1"/>
      <c r="M308" s="1">
        <v>297</v>
      </c>
      <c r="N308" s="1" t="str">
        <f>IF($U308=0,"",INDEX(TAHSILAT!$E$7:$E$2506,$U308))</f>
        <v/>
      </c>
      <c r="O308" s="1" t="str">
        <f>IF($N308="","","Ödeme  –  "&amp;INDEX(TAHSILAT!$H$7:$H$2506,$U308)&amp;"  ("&amp;INDEX(TAHSILAT!$G$7:$G$2506,$U308)&amp;")"&amp;IF(INDEX(TAHSILAT!$J$7:$J$2506,$U308)="",""," / "&amp;INDEX(TAHSILAT!$J$7:$J$2506,$U308)))</f>
        <v/>
      </c>
      <c r="P308" s="1" t="str">
        <f t="shared" si="68"/>
        <v/>
      </c>
      <c r="Q308" s="1"/>
      <c r="R308" s="1">
        <v>0</v>
      </c>
      <c r="S308" s="1">
        <f>IF($N308="",0,INDEX(TAHSILAT!$F$7:$F$2506,$U308))</f>
        <v>0</v>
      </c>
      <c r="T308" s="1">
        <f t="shared" si="65"/>
        <v>10000000000</v>
      </c>
      <c r="U308" s="1">
        <f>IFERROR(MATCH($AC$4&amp;"|56",TAHSILAT!$Q$7:$Q$2506,0),0)</f>
        <v>0</v>
      </c>
      <c r="V308" s="1"/>
      <c r="W308" s="1"/>
      <c r="X308" s="1"/>
      <c r="Y308" s="1">
        <f t="shared" ca="1" si="66"/>
        <v>10000000000</v>
      </c>
      <c r="Z308" s="1">
        <f t="shared" ca="1" si="67"/>
        <v>1</v>
      </c>
      <c r="AA308" s="1"/>
      <c r="AB308" s="1"/>
      <c r="AC308" s="1"/>
      <c r="AD308" s="1"/>
    </row>
    <row r="309" spans="1:30" ht="19.5" customHeight="1" x14ac:dyDescent="0.3">
      <c r="A309" s="2"/>
      <c r="B309" s="79" t="str">
        <f t="shared" ca="1" si="58"/>
        <v/>
      </c>
      <c r="C309" s="80" t="str">
        <f t="shared" ca="1" si="59"/>
        <v/>
      </c>
      <c r="D309" s="81" t="str">
        <f t="shared" ca="1" si="60"/>
        <v/>
      </c>
      <c r="E309" s="79" t="str">
        <f t="shared" ca="1" si="61"/>
        <v/>
      </c>
      <c r="F309" s="82" t="str">
        <f t="shared" ca="1" si="62"/>
        <v/>
      </c>
      <c r="G309" s="82" t="str">
        <f t="shared" ca="1" si="63"/>
        <v/>
      </c>
      <c r="H309" s="82" t="str">
        <f t="shared" ca="1" si="64"/>
        <v/>
      </c>
      <c r="I309" s="2"/>
      <c r="J309" s="2"/>
      <c r="K309" s="1"/>
      <c r="L309" s="1"/>
      <c r="M309" s="1">
        <v>298</v>
      </c>
      <c r="N309" s="1" t="str">
        <f>IF($U309=0,"",INDEX(TAHSILAT!$E$7:$E$2506,$U309))</f>
        <v/>
      </c>
      <c r="O309" s="1" t="str">
        <f>IF($N309="","","Ödeme  –  "&amp;INDEX(TAHSILAT!$H$7:$H$2506,$U309)&amp;"  ("&amp;INDEX(TAHSILAT!$G$7:$G$2506,$U309)&amp;")"&amp;IF(INDEX(TAHSILAT!$J$7:$J$2506,$U309)="",""," / "&amp;INDEX(TAHSILAT!$J$7:$J$2506,$U309)))</f>
        <v/>
      </c>
      <c r="P309" s="1" t="str">
        <f t="shared" si="68"/>
        <v/>
      </c>
      <c r="Q309" s="1"/>
      <c r="R309" s="1">
        <v>0</v>
      </c>
      <c r="S309" s="1">
        <f>IF($N309="",0,INDEX(TAHSILAT!$F$7:$F$2506,$U309))</f>
        <v>0</v>
      </c>
      <c r="T309" s="1">
        <f t="shared" si="65"/>
        <v>10000000000</v>
      </c>
      <c r="U309" s="1">
        <f>IFERROR(MATCH($AC$4&amp;"|57",TAHSILAT!$Q$7:$Q$2506,0),0)</f>
        <v>0</v>
      </c>
      <c r="V309" s="1"/>
      <c r="W309" s="1"/>
      <c r="X309" s="1"/>
      <c r="Y309" s="1">
        <f t="shared" ca="1" si="66"/>
        <v>10000000000</v>
      </c>
      <c r="Z309" s="1">
        <f t="shared" ca="1" si="67"/>
        <v>1</v>
      </c>
      <c r="AA309" s="1"/>
      <c r="AB309" s="1"/>
      <c r="AC309" s="1"/>
      <c r="AD309" s="1"/>
    </row>
    <row r="310" spans="1:30" ht="19.5" customHeight="1" x14ac:dyDescent="0.3">
      <c r="A310" s="2"/>
      <c r="B310" s="79" t="str">
        <f t="shared" ca="1" si="58"/>
        <v/>
      </c>
      <c r="C310" s="80" t="str">
        <f t="shared" ca="1" si="59"/>
        <v/>
      </c>
      <c r="D310" s="81" t="str">
        <f t="shared" ca="1" si="60"/>
        <v/>
      </c>
      <c r="E310" s="79" t="str">
        <f t="shared" ca="1" si="61"/>
        <v/>
      </c>
      <c r="F310" s="82" t="str">
        <f t="shared" ca="1" si="62"/>
        <v/>
      </c>
      <c r="G310" s="82" t="str">
        <f t="shared" ca="1" si="63"/>
        <v/>
      </c>
      <c r="H310" s="82" t="str">
        <f t="shared" ca="1" si="64"/>
        <v/>
      </c>
      <c r="I310" s="2"/>
      <c r="J310" s="2"/>
      <c r="K310" s="1"/>
      <c r="L310" s="1"/>
      <c r="M310" s="1">
        <v>299</v>
      </c>
      <c r="N310" s="1" t="str">
        <f>IF($U310=0,"",INDEX(TAHSILAT!$E$7:$E$2506,$U310))</f>
        <v/>
      </c>
      <c r="O310" s="1" t="str">
        <f>IF($N310="","","Ödeme  –  "&amp;INDEX(TAHSILAT!$H$7:$H$2506,$U310)&amp;"  ("&amp;INDEX(TAHSILAT!$G$7:$G$2506,$U310)&amp;")"&amp;IF(INDEX(TAHSILAT!$J$7:$J$2506,$U310)="",""," / "&amp;INDEX(TAHSILAT!$J$7:$J$2506,$U310)))</f>
        <v/>
      </c>
      <c r="P310" s="1" t="str">
        <f t="shared" si="68"/>
        <v/>
      </c>
      <c r="Q310" s="1"/>
      <c r="R310" s="1">
        <v>0</v>
      </c>
      <c r="S310" s="1">
        <f>IF($N310="",0,INDEX(TAHSILAT!$F$7:$F$2506,$U310))</f>
        <v>0</v>
      </c>
      <c r="T310" s="1">
        <f t="shared" si="65"/>
        <v>10000000000</v>
      </c>
      <c r="U310" s="1">
        <f>IFERROR(MATCH($AC$4&amp;"|58",TAHSILAT!$Q$7:$Q$2506,0),0)</f>
        <v>0</v>
      </c>
      <c r="V310" s="1"/>
      <c r="W310" s="1"/>
      <c r="X310" s="1"/>
      <c r="Y310" s="1">
        <f t="shared" ca="1" si="66"/>
        <v>10000000000</v>
      </c>
      <c r="Z310" s="1">
        <f t="shared" ca="1" si="67"/>
        <v>1</v>
      </c>
      <c r="AA310" s="1"/>
      <c r="AB310" s="1"/>
      <c r="AC310" s="1"/>
      <c r="AD310" s="1"/>
    </row>
    <row r="311" spans="1:30" ht="19.5" customHeight="1" x14ac:dyDescent="0.3">
      <c r="A311" s="2"/>
      <c r="B311" s="79" t="str">
        <f t="shared" ca="1" si="58"/>
        <v/>
      </c>
      <c r="C311" s="80" t="str">
        <f t="shared" ca="1" si="59"/>
        <v/>
      </c>
      <c r="D311" s="81" t="str">
        <f t="shared" ca="1" si="60"/>
        <v/>
      </c>
      <c r="E311" s="79" t="str">
        <f t="shared" ca="1" si="61"/>
        <v/>
      </c>
      <c r="F311" s="82" t="str">
        <f t="shared" ca="1" si="62"/>
        <v/>
      </c>
      <c r="G311" s="82" t="str">
        <f t="shared" ca="1" si="63"/>
        <v/>
      </c>
      <c r="H311" s="82" t="str">
        <f t="shared" ca="1" si="64"/>
        <v/>
      </c>
      <c r="I311" s="2"/>
      <c r="J311" s="2"/>
      <c r="K311" s="1"/>
      <c r="L311" s="1"/>
      <c r="M311" s="1">
        <v>300</v>
      </c>
      <c r="N311" s="1" t="str">
        <f>IF($U311=0,"",INDEX(TAHSILAT!$E$7:$E$2506,$U311))</f>
        <v/>
      </c>
      <c r="O311" s="1" t="str">
        <f>IF($N311="","","Ödeme  –  "&amp;INDEX(TAHSILAT!$H$7:$H$2506,$U311)&amp;"  ("&amp;INDEX(TAHSILAT!$G$7:$G$2506,$U311)&amp;")"&amp;IF(INDEX(TAHSILAT!$J$7:$J$2506,$U311)="",""," / "&amp;INDEX(TAHSILAT!$J$7:$J$2506,$U311)))</f>
        <v/>
      </c>
      <c r="P311" s="1" t="str">
        <f t="shared" si="68"/>
        <v/>
      </c>
      <c r="Q311" s="1"/>
      <c r="R311" s="1">
        <v>0</v>
      </c>
      <c r="S311" s="1">
        <f>IF($N311="",0,INDEX(TAHSILAT!$F$7:$F$2506,$U311))</f>
        <v>0</v>
      </c>
      <c r="T311" s="1">
        <f t="shared" si="65"/>
        <v>10000000000</v>
      </c>
      <c r="U311" s="1">
        <f>IFERROR(MATCH($AC$4&amp;"|59",TAHSILAT!$Q$7:$Q$2506,0),0)</f>
        <v>0</v>
      </c>
      <c r="V311" s="1"/>
      <c r="W311" s="1"/>
      <c r="X311" s="1"/>
      <c r="Y311" s="1">
        <f t="shared" ca="1" si="66"/>
        <v>10000000000</v>
      </c>
      <c r="Z311" s="1">
        <f t="shared" ca="1" si="67"/>
        <v>1</v>
      </c>
      <c r="AA311" s="1"/>
      <c r="AB311" s="1"/>
      <c r="AC311" s="1"/>
      <c r="AD311" s="1"/>
    </row>
    <row r="312" spans="1:30" ht="19.5" customHeight="1" x14ac:dyDescent="0.3">
      <c r="A312" s="2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>
        <v>301</v>
      </c>
      <c r="N312" s="1" t="str">
        <f>IF($U312=0,"",INDEX(TAHSILAT!$E$7:$E$2506,$U312))</f>
        <v/>
      </c>
      <c r="O312" s="1" t="str">
        <f>IF($N312="","","Ödeme  –  "&amp;INDEX(TAHSILAT!$H$7:$H$2506,$U312)&amp;"  ("&amp;INDEX(TAHSILAT!$G$7:$G$2506,$U312)&amp;")"&amp;IF(INDEX(TAHSILAT!$J$7:$J$2506,$U312)="",""," / "&amp;INDEX(TAHSILAT!$J$7:$J$2506,$U312)))</f>
        <v/>
      </c>
      <c r="P312" s="1" t="str">
        <f t="shared" si="68"/>
        <v/>
      </c>
      <c r="Q312" s="1"/>
      <c r="R312" s="1">
        <v>0</v>
      </c>
      <c r="S312" s="1">
        <f>IF($N312="",0,INDEX(TAHSILAT!$F$7:$F$2506,$U312))</f>
        <v>0</v>
      </c>
      <c r="T312" s="1">
        <f t="shared" si="65"/>
        <v>10000000000</v>
      </c>
      <c r="U312" s="1">
        <f>IFERROR(MATCH($AC$4&amp;"|60",TAHSILAT!$Q$7:$Q$2506,0),0)</f>
        <v>0</v>
      </c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30" customHeight="1" x14ac:dyDescent="0.3">
      <c r="A313" s="2"/>
      <c r="B313" s="154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24.08.2026 tarihi itibarıyla KILIÇ MUHASEBE kayıtlarından otomatik olarak üretilmiştir. Mutabakatsızlık halinde 7 gün içinde yazılı bildirilmesi rica olunur.</v>
      </c>
      <c r="C313" s="154"/>
      <c r="D313" s="154"/>
      <c r="E313" s="154"/>
      <c r="F313" s="154"/>
      <c r="G313" s="154"/>
      <c r="H313" s="154"/>
      <c r="I313" s="2"/>
      <c r="J313" s="2"/>
      <c r="K313" s="1"/>
      <c r="L313" s="1"/>
      <c r="M313" s="1">
        <v>302</v>
      </c>
      <c r="N313" s="1" t="str">
        <f>IF($U313=0,"",INDEX(TAHSILAT!$E$7:$E$2506,$U313))</f>
        <v/>
      </c>
      <c r="O313" s="1" t="str">
        <f>IF($N313="","","Ödeme  –  "&amp;INDEX(TAHSILAT!$H$7:$H$2506,$U313)&amp;"  ("&amp;INDEX(TAHSILAT!$G$7:$G$2506,$U313)&amp;")"&amp;IF(INDEX(TAHSILAT!$J$7:$J$2506,$U313)="",""," / "&amp;INDEX(TAHSILAT!$J$7:$J$2506,$U313)))</f>
        <v/>
      </c>
      <c r="P313" s="1" t="str">
        <f t="shared" si="68"/>
        <v/>
      </c>
      <c r="Q313" s="1"/>
      <c r="R313" s="1">
        <v>0</v>
      </c>
      <c r="S313" s="1">
        <f>IF($N313="",0,INDEX(TAHSILAT!$F$7:$F$2506,$U313))</f>
        <v>0</v>
      </c>
      <c r="T313" s="1">
        <f t="shared" si="65"/>
        <v>10000000000</v>
      </c>
      <c r="U313" s="1">
        <f>IFERROR(MATCH($AC$4&amp;"|61",TAHSILAT!$Q$7:$Q$2506,0),0)</f>
        <v>0</v>
      </c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4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>
        <v>303</v>
      </c>
      <c r="N314" s="1" t="str">
        <f>IF($U314=0,"",INDEX(TAHSILAT!$E$7:$E$2506,$U314))</f>
        <v/>
      </c>
      <c r="O314" s="1" t="str">
        <f>IF($N314="","","Ödeme  –  "&amp;INDEX(TAHSILAT!$H$7:$H$2506,$U314)&amp;"  ("&amp;INDEX(TAHSILAT!$G$7:$G$2506,$U314)&amp;")"&amp;IF(INDEX(TAHSILAT!$J$7:$J$2506,$U314)="",""," / "&amp;INDEX(TAHSILAT!$J$7:$J$2506,$U314)))</f>
        <v/>
      </c>
      <c r="P314" s="1" t="str">
        <f t="shared" si="68"/>
        <v/>
      </c>
      <c r="Q314" s="1"/>
      <c r="R314" s="1">
        <v>0</v>
      </c>
      <c r="S314" s="1">
        <f>IF($N314="",0,INDEX(TAHSILAT!$F$7:$F$2506,$U314))</f>
        <v>0</v>
      </c>
      <c r="T314" s="1">
        <f t="shared" si="65"/>
        <v>10000000000</v>
      </c>
      <c r="U314" s="1">
        <f>IFERROR(MATCH($AC$4&amp;"|62",TAHSILAT!$Q$7:$Q$2506,0),0)</f>
        <v>0</v>
      </c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 x14ac:dyDescent="0.3">
      <c r="A315" s="2"/>
      <c r="B315" s="155" t="s">
        <v>921</v>
      </c>
      <c r="C315" s="155"/>
      <c r="D315" s="155"/>
      <c r="E315" s="1"/>
      <c r="F315" s="155" t="s">
        <v>922</v>
      </c>
      <c r="G315" s="155"/>
      <c r="H315" s="155"/>
      <c r="I315" s="2"/>
      <c r="J315" s="2"/>
      <c r="K315" s="1"/>
      <c r="L315" s="1"/>
      <c r="M315" s="1">
        <v>304</v>
      </c>
      <c r="N315" s="1" t="str">
        <f>IF($U315=0,"",INDEX(TAHSILAT!$E$7:$E$2506,$U315))</f>
        <v/>
      </c>
      <c r="O315" s="1" t="str">
        <f>IF($N315="","","Ödeme  –  "&amp;INDEX(TAHSILAT!$H$7:$H$2506,$U315)&amp;"  ("&amp;INDEX(TAHSILAT!$G$7:$G$2506,$U315)&amp;")"&amp;IF(INDEX(TAHSILAT!$J$7:$J$2506,$U315)="",""," / "&amp;INDEX(TAHSILAT!$J$7:$J$2506,$U315)))</f>
        <v/>
      </c>
      <c r="P315" s="1" t="str">
        <f t="shared" si="68"/>
        <v/>
      </c>
      <c r="Q315" s="1"/>
      <c r="R315" s="1">
        <v>0</v>
      </c>
      <c r="S315" s="1">
        <f>IF($N315="",0,INDEX(TAHSILAT!$F$7:$F$2506,$U315))</f>
        <v>0</v>
      </c>
      <c r="T315" s="1">
        <f t="shared" si="65"/>
        <v>10000000000</v>
      </c>
      <c r="U315" s="1">
        <f>IFERROR(MATCH($AC$4&amp;"|63",TAHSILAT!$Q$7:$Q$2506,0),0)</f>
        <v>0</v>
      </c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 x14ac:dyDescent="0.3">
      <c r="A316" s="2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>
        <v>305</v>
      </c>
      <c r="N316" s="1" t="str">
        <f>IF($U316=0,"",INDEX(TAHSILAT!$E$7:$E$2506,$U316))</f>
        <v/>
      </c>
      <c r="O316" s="1" t="str">
        <f>IF($N316="","","Ödeme  –  "&amp;INDEX(TAHSILAT!$H$7:$H$2506,$U316)&amp;"  ("&amp;INDEX(TAHSILAT!$G$7:$G$2506,$U316)&amp;")"&amp;IF(INDEX(TAHSILAT!$J$7:$J$2506,$U316)="",""," / "&amp;INDEX(TAHSILAT!$J$7:$J$2506,$U316)))</f>
        <v/>
      </c>
      <c r="P316" s="1" t="str">
        <f t="shared" si="68"/>
        <v/>
      </c>
      <c r="Q316" s="1"/>
      <c r="R316" s="1">
        <v>0</v>
      </c>
      <c r="S316" s="1">
        <f>IF($N316="",0,INDEX(TAHSILAT!$F$7:$F$2506,$U316))</f>
        <v>0</v>
      </c>
      <c r="T316" s="1">
        <f t="shared" si="65"/>
        <v>10000000000</v>
      </c>
      <c r="U316" s="1">
        <f>IFERROR(MATCH($AC$4&amp;"|64",TAHSILAT!$Q$7:$Q$2506,0),0)</f>
        <v>0</v>
      </c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>
        <v>306</v>
      </c>
      <c r="N317" s="1" t="str">
        <f>IF($U317=0,"",INDEX(TAHSILAT!$E$7:$E$2506,$U317))</f>
        <v/>
      </c>
      <c r="O317" s="1" t="str">
        <f>IF($N317="","","Ödeme  –  "&amp;INDEX(TAHSILAT!$H$7:$H$2506,$U317)&amp;"  ("&amp;INDEX(TAHSILAT!$G$7:$G$2506,$U317)&amp;")"&amp;IF(INDEX(TAHSILAT!$J$7:$J$2506,$U317)="",""," / "&amp;INDEX(TAHSILAT!$J$7:$J$2506,$U317)))</f>
        <v/>
      </c>
      <c r="P317" s="1" t="str">
        <f t="shared" ref="P317:P348" si="69">IF($N317="","","ÖDEME")</f>
        <v/>
      </c>
      <c r="Q317" s="1"/>
      <c r="R317" s="1">
        <v>0</v>
      </c>
      <c r="S317" s="1">
        <f>IF($N317="",0,INDEX(TAHSILAT!$F$7:$F$2506,$U317))</f>
        <v>0</v>
      </c>
      <c r="T317" s="1">
        <f t="shared" si="65"/>
        <v>10000000000</v>
      </c>
      <c r="U317" s="1">
        <f>IFERROR(MATCH($AC$4&amp;"|65",TAHSILAT!$Q$7:$Q$2506,0),0)</f>
        <v>0</v>
      </c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>
        <v>307</v>
      </c>
      <c r="N318" s="1" t="str">
        <f>IF($U318=0,"",INDEX(TAHSILAT!$E$7:$E$2506,$U318))</f>
        <v/>
      </c>
      <c r="O318" s="1" t="str">
        <f>IF($N318="","","Ödeme  –  "&amp;INDEX(TAHSILAT!$H$7:$H$2506,$U318)&amp;"  ("&amp;INDEX(TAHSILAT!$G$7:$G$2506,$U318)&amp;")"&amp;IF(INDEX(TAHSILAT!$J$7:$J$2506,$U318)="",""," / "&amp;INDEX(TAHSILAT!$J$7:$J$2506,$U318)))</f>
        <v/>
      </c>
      <c r="P318" s="1" t="str">
        <f t="shared" si="69"/>
        <v/>
      </c>
      <c r="Q318" s="1"/>
      <c r="R318" s="1">
        <v>0</v>
      </c>
      <c r="S318" s="1">
        <f>IF($N318="",0,INDEX(TAHSILAT!$F$7:$F$2506,$U318))</f>
        <v>0</v>
      </c>
      <c r="T318" s="1">
        <f t="shared" si="65"/>
        <v>10000000000</v>
      </c>
      <c r="U318" s="1">
        <f>IFERROR(MATCH($AC$4&amp;"|66",TAHSILAT!$Q$7:$Q$2506,0),0)</f>
        <v>0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>
        <v>308</v>
      </c>
      <c r="N319" s="1" t="str">
        <f>IF($U319=0,"",INDEX(TAHSILAT!$E$7:$E$2506,$U319))</f>
        <v/>
      </c>
      <c r="O319" s="1" t="str">
        <f>IF($N319="","","Ödeme  –  "&amp;INDEX(TAHSILAT!$H$7:$H$2506,$U319)&amp;"  ("&amp;INDEX(TAHSILAT!$G$7:$G$2506,$U319)&amp;")"&amp;IF(INDEX(TAHSILAT!$J$7:$J$2506,$U319)="",""," / "&amp;INDEX(TAHSILAT!$J$7:$J$2506,$U319)))</f>
        <v/>
      </c>
      <c r="P319" s="1" t="str">
        <f t="shared" si="69"/>
        <v/>
      </c>
      <c r="Q319" s="1"/>
      <c r="R319" s="1">
        <v>0</v>
      </c>
      <c r="S319" s="1">
        <f>IF($N319="",0,INDEX(TAHSILAT!$F$7:$F$2506,$U319))</f>
        <v>0</v>
      </c>
      <c r="T319" s="1">
        <f t="shared" si="65"/>
        <v>10000000000</v>
      </c>
      <c r="U319" s="1">
        <f>IFERROR(MATCH($AC$4&amp;"|67",TAHSILAT!$Q$7:$Q$2506,0),0)</f>
        <v>0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>
        <v>309</v>
      </c>
      <c r="N320" s="1" t="str">
        <f>IF($U320=0,"",INDEX(TAHSILAT!$E$7:$E$2506,$U320))</f>
        <v/>
      </c>
      <c r="O320" s="1" t="str">
        <f>IF($N320="","","Ödeme  –  "&amp;INDEX(TAHSILAT!$H$7:$H$2506,$U320)&amp;"  ("&amp;INDEX(TAHSILAT!$G$7:$G$2506,$U320)&amp;")"&amp;IF(INDEX(TAHSILAT!$J$7:$J$2506,$U320)="",""," / "&amp;INDEX(TAHSILAT!$J$7:$J$2506,$U320)))</f>
        <v/>
      </c>
      <c r="P320" s="1" t="str">
        <f t="shared" si="69"/>
        <v/>
      </c>
      <c r="Q320" s="1"/>
      <c r="R320" s="1">
        <v>0</v>
      </c>
      <c r="S320" s="1">
        <f>IF($N320="",0,INDEX(TAHSILAT!$F$7:$F$2506,$U320))</f>
        <v>0</v>
      </c>
      <c r="T320" s="1">
        <f t="shared" si="65"/>
        <v>10000000000</v>
      </c>
      <c r="U320" s="1">
        <f>IFERROR(MATCH($AC$4&amp;"|68",TAHSILAT!$Q$7:$Q$2506,0),0)</f>
        <v>0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>
        <v>310</v>
      </c>
      <c r="N321" s="1" t="str">
        <f>IF($U321=0,"",INDEX(TAHSILAT!$E$7:$E$2506,$U321))</f>
        <v/>
      </c>
      <c r="O321" s="1" t="str">
        <f>IF($N321="","","Ödeme  –  "&amp;INDEX(TAHSILAT!$H$7:$H$2506,$U321)&amp;"  ("&amp;INDEX(TAHSILAT!$G$7:$G$2506,$U321)&amp;")"&amp;IF(INDEX(TAHSILAT!$J$7:$J$2506,$U321)="",""," / "&amp;INDEX(TAHSILAT!$J$7:$J$2506,$U321)))</f>
        <v/>
      </c>
      <c r="P321" s="1" t="str">
        <f t="shared" si="69"/>
        <v/>
      </c>
      <c r="Q321" s="1"/>
      <c r="R321" s="1">
        <v>0</v>
      </c>
      <c r="S321" s="1">
        <f>IF($N321="",0,INDEX(TAHSILAT!$F$7:$F$2506,$U321))</f>
        <v>0</v>
      </c>
      <c r="T321" s="1">
        <f t="shared" si="65"/>
        <v>10000000000</v>
      </c>
      <c r="U321" s="1">
        <f>IFERROR(MATCH($AC$4&amp;"|69",TAHSILAT!$Q$7:$Q$2506,0),0)</f>
        <v>0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>
        <v>311</v>
      </c>
      <c r="N322" s="1" t="str">
        <f>IF($U322=0,"",INDEX(TAHSILAT!$E$7:$E$2506,$U322))</f>
        <v/>
      </c>
      <c r="O322" s="1" t="str">
        <f>IF($N322="","","Ödeme  –  "&amp;INDEX(TAHSILAT!$H$7:$H$2506,$U322)&amp;"  ("&amp;INDEX(TAHSILAT!$G$7:$G$2506,$U322)&amp;")"&amp;IF(INDEX(TAHSILAT!$J$7:$J$2506,$U322)="",""," / "&amp;INDEX(TAHSILAT!$J$7:$J$2506,$U322)))</f>
        <v/>
      </c>
      <c r="P322" s="1" t="str">
        <f t="shared" si="69"/>
        <v/>
      </c>
      <c r="Q322" s="1"/>
      <c r="R322" s="1">
        <v>0</v>
      </c>
      <c r="S322" s="1">
        <f>IF($N322="",0,INDEX(TAHSILAT!$F$7:$F$2506,$U322))</f>
        <v>0</v>
      </c>
      <c r="T322" s="1">
        <f t="shared" si="65"/>
        <v>10000000000</v>
      </c>
      <c r="U322" s="1">
        <f>IFERROR(MATCH($AC$4&amp;"|70",TAHSILAT!$Q$7:$Q$2506,0),0)</f>
        <v>0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>
        <v>312</v>
      </c>
      <c r="N323" s="1" t="str">
        <f>IF($U323=0,"",INDEX(TAHSILAT!$E$7:$E$2506,$U323))</f>
        <v/>
      </c>
      <c r="O323" s="1" t="str">
        <f>IF($N323="","","Ödeme  –  "&amp;INDEX(TAHSILAT!$H$7:$H$2506,$U323)&amp;"  ("&amp;INDEX(TAHSILAT!$G$7:$G$2506,$U323)&amp;")"&amp;IF(INDEX(TAHSILAT!$J$7:$J$2506,$U323)="",""," / "&amp;INDEX(TAHSILAT!$J$7:$J$2506,$U323)))</f>
        <v/>
      </c>
      <c r="P323" s="1" t="str">
        <f t="shared" si="69"/>
        <v/>
      </c>
      <c r="Q323" s="1"/>
      <c r="R323" s="1">
        <v>0</v>
      </c>
      <c r="S323" s="1">
        <f>IF($N323="",0,INDEX(TAHSILAT!$F$7:$F$2506,$U323))</f>
        <v>0</v>
      </c>
      <c r="T323" s="1">
        <f t="shared" si="65"/>
        <v>10000000000</v>
      </c>
      <c r="U323" s="1">
        <f>IFERROR(MATCH($AC$4&amp;"|71",TAHSILAT!$Q$7:$Q$2506,0),0)</f>
        <v>0</v>
      </c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>
        <v>313</v>
      </c>
      <c r="N324" s="1" t="str">
        <f>IF($U324=0,"",INDEX(TAHSILAT!$E$7:$E$2506,$U324))</f>
        <v/>
      </c>
      <c r="O324" s="1" t="str">
        <f>IF($N324="","","Ödeme  –  "&amp;INDEX(TAHSILAT!$H$7:$H$2506,$U324)&amp;"  ("&amp;INDEX(TAHSILAT!$G$7:$G$2506,$U324)&amp;")"&amp;IF(INDEX(TAHSILAT!$J$7:$J$2506,$U324)="",""," / "&amp;INDEX(TAHSILAT!$J$7:$J$2506,$U324)))</f>
        <v/>
      </c>
      <c r="P324" s="1" t="str">
        <f t="shared" si="69"/>
        <v/>
      </c>
      <c r="Q324" s="1"/>
      <c r="R324" s="1">
        <v>0</v>
      </c>
      <c r="S324" s="1">
        <f>IF($N324="",0,INDEX(TAHSILAT!$F$7:$F$2506,$U324))</f>
        <v>0</v>
      </c>
      <c r="T324" s="1">
        <f t="shared" si="65"/>
        <v>10000000000</v>
      </c>
      <c r="U324" s="1">
        <f>IFERROR(MATCH($AC$4&amp;"|72",TAHSILAT!$Q$7:$Q$2506,0),0)</f>
        <v>0</v>
      </c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>
        <v>314</v>
      </c>
      <c r="N325" s="1" t="str">
        <f>IF($U325=0,"",INDEX(TAHSILAT!$E$7:$E$2506,$U325))</f>
        <v/>
      </c>
      <c r="O325" s="1" t="str">
        <f>IF($N325="","","Ödeme  –  "&amp;INDEX(TAHSILAT!$H$7:$H$2506,$U325)&amp;"  ("&amp;INDEX(TAHSILAT!$G$7:$G$2506,$U325)&amp;")"&amp;IF(INDEX(TAHSILAT!$J$7:$J$2506,$U325)="",""," / "&amp;INDEX(TAHSILAT!$J$7:$J$2506,$U325)))</f>
        <v/>
      </c>
      <c r="P325" s="1" t="str">
        <f t="shared" si="69"/>
        <v/>
      </c>
      <c r="Q325" s="1"/>
      <c r="R325" s="1">
        <v>0</v>
      </c>
      <c r="S325" s="1">
        <f>IF($N325="",0,INDEX(TAHSILAT!$F$7:$F$2506,$U325))</f>
        <v>0</v>
      </c>
      <c r="T325" s="1">
        <f t="shared" si="65"/>
        <v>10000000000</v>
      </c>
      <c r="U325" s="1">
        <f>IFERROR(MATCH($AC$4&amp;"|73",TAHSILAT!$Q$7:$Q$2506,0),0)</f>
        <v>0</v>
      </c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315</v>
      </c>
      <c r="N326" s="1" t="str">
        <f>IF($U326=0,"",INDEX(TAHSILAT!$E$7:$E$2506,$U326))</f>
        <v/>
      </c>
      <c r="O326" s="1" t="str">
        <f>IF($N326="","","Ödeme  –  "&amp;INDEX(TAHSILAT!$H$7:$H$2506,$U326)&amp;"  ("&amp;INDEX(TAHSILAT!$G$7:$G$2506,$U326)&amp;")"&amp;IF(INDEX(TAHSILAT!$J$7:$J$2506,$U326)="",""," / "&amp;INDEX(TAHSILAT!$J$7:$J$2506,$U326)))</f>
        <v/>
      </c>
      <c r="P326" s="1" t="str">
        <f t="shared" si="69"/>
        <v/>
      </c>
      <c r="Q326" s="1"/>
      <c r="R326" s="1">
        <v>0</v>
      </c>
      <c r="S326" s="1">
        <f>IF($N326="",0,INDEX(TAHSILAT!$F$7:$F$2506,$U326))</f>
        <v>0</v>
      </c>
      <c r="T326" s="1">
        <f t="shared" si="65"/>
        <v>10000000000</v>
      </c>
      <c r="U326" s="1">
        <f>IFERROR(MATCH($AC$4&amp;"|74",TAHSILAT!$Q$7:$Q$2506,0),0)</f>
        <v>0</v>
      </c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>
        <v>316</v>
      </c>
      <c r="N327" s="1" t="str">
        <f>IF($U327=0,"",INDEX(TAHSILAT!$E$7:$E$2506,$U327))</f>
        <v/>
      </c>
      <c r="O327" s="1" t="str">
        <f>IF($N327="","","Ödeme  –  "&amp;INDEX(TAHSILAT!$H$7:$H$2506,$U327)&amp;"  ("&amp;INDEX(TAHSILAT!$G$7:$G$2506,$U327)&amp;")"&amp;IF(INDEX(TAHSILAT!$J$7:$J$2506,$U327)="",""," / "&amp;INDEX(TAHSILAT!$J$7:$J$2506,$U327)))</f>
        <v/>
      </c>
      <c r="P327" s="1" t="str">
        <f t="shared" si="69"/>
        <v/>
      </c>
      <c r="Q327" s="1"/>
      <c r="R327" s="1">
        <v>0</v>
      </c>
      <c r="S327" s="1">
        <f>IF($N327="",0,INDEX(TAHSILAT!$F$7:$F$2506,$U327))</f>
        <v>0</v>
      </c>
      <c r="T327" s="1">
        <f t="shared" si="65"/>
        <v>10000000000</v>
      </c>
      <c r="U327" s="1">
        <f>IFERROR(MATCH($AC$4&amp;"|75",TAHSILAT!$Q$7:$Q$2506,0),0)</f>
        <v>0</v>
      </c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>
        <v>317</v>
      </c>
      <c r="N328" s="1" t="str">
        <f>IF($U328=0,"",INDEX(TAHSILAT!$E$7:$E$2506,$U328))</f>
        <v/>
      </c>
      <c r="O328" s="1" t="str">
        <f>IF($N328="","","Ödeme  –  "&amp;INDEX(TAHSILAT!$H$7:$H$2506,$U328)&amp;"  ("&amp;INDEX(TAHSILAT!$G$7:$G$2506,$U328)&amp;")"&amp;IF(INDEX(TAHSILAT!$J$7:$J$2506,$U328)="",""," / "&amp;INDEX(TAHSILAT!$J$7:$J$2506,$U328)))</f>
        <v/>
      </c>
      <c r="P328" s="1" t="str">
        <f t="shared" si="69"/>
        <v/>
      </c>
      <c r="Q328" s="1"/>
      <c r="R328" s="1">
        <v>0</v>
      </c>
      <c r="S328" s="1">
        <f>IF($N328="",0,INDEX(TAHSILAT!$F$7:$F$2506,$U328))</f>
        <v>0</v>
      </c>
      <c r="T328" s="1">
        <f t="shared" si="65"/>
        <v>10000000000</v>
      </c>
      <c r="U328" s="1">
        <f>IFERROR(MATCH($AC$4&amp;"|76",TAHSILAT!$Q$7:$Q$2506,0),0)</f>
        <v>0</v>
      </c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>
        <v>318</v>
      </c>
      <c r="N329" s="1" t="str">
        <f>IF($U329=0,"",INDEX(TAHSILAT!$E$7:$E$2506,$U329))</f>
        <v/>
      </c>
      <c r="O329" s="1" t="str">
        <f>IF($N329="","","Ödeme  –  "&amp;INDEX(TAHSILAT!$H$7:$H$2506,$U329)&amp;"  ("&amp;INDEX(TAHSILAT!$G$7:$G$2506,$U329)&amp;")"&amp;IF(INDEX(TAHSILAT!$J$7:$J$2506,$U329)="",""," / "&amp;INDEX(TAHSILAT!$J$7:$J$2506,$U329)))</f>
        <v/>
      </c>
      <c r="P329" s="1" t="str">
        <f t="shared" si="69"/>
        <v/>
      </c>
      <c r="Q329" s="1"/>
      <c r="R329" s="1">
        <v>0</v>
      </c>
      <c r="S329" s="1">
        <f>IF($N329="",0,INDEX(TAHSILAT!$F$7:$F$2506,$U329))</f>
        <v>0</v>
      </c>
      <c r="T329" s="1">
        <f t="shared" si="65"/>
        <v>10000000000</v>
      </c>
      <c r="U329" s="1">
        <f>IFERROR(MATCH($AC$4&amp;"|77",TAHSILAT!$Q$7:$Q$2506,0),0)</f>
        <v>0</v>
      </c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>
        <v>319</v>
      </c>
      <c r="N330" s="1" t="str">
        <f>IF($U330=0,"",INDEX(TAHSILAT!$E$7:$E$2506,$U330))</f>
        <v/>
      </c>
      <c r="O330" s="1" t="str">
        <f>IF($N330="","","Ödeme  –  "&amp;INDEX(TAHSILAT!$H$7:$H$2506,$U330)&amp;"  ("&amp;INDEX(TAHSILAT!$G$7:$G$2506,$U330)&amp;")"&amp;IF(INDEX(TAHSILAT!$J$7:$J$2506,$U330)="",""," / "&amp;INDEX(TAHSILAT!$J$7:$J$2506,$U330)))</f>
        <v/>
      </c>
      <c r="P330" s="1" t="str">
        <f t="shared" si="69"/>
        <v/>
      </c>
      <c r="Q330" s="1"/>
      <c r="R330" s="1">
        <v>0</v>
      </c>
      <c r="S330" s="1">
        <f>IF($N330="",0,INDEX(TAHSILAT!$F$7:$F$2506,$U330))</f>
        <v>0</v>
      </c>
      <c r="T330" s="1">
        <f t="shared" si="65"/>
        <v>10000000000</v>
      </c>
      <c r="U330" s="1">
        <f>IFERROR(MATCH($AC$4&amp;"|78",TAHSILAT!$Q$7:$Q$2506,0),0)</f>
        <v>0</v>
      </c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>
        <v>320</v>
      </c>
      <c r="N331" s="1" t="str">
        <f>IF($U331=0,"",INDEX(TAHSILAT!$E$7:$E$2506,$U331))</f>
        <v/>
      </c>
      <c r="O331" s="1" t="str">
        <f>IF($N331="","","Ödeme  –  "&amp;INDEX(TAHSILAT!$H$7:$H$2506,$U331)&amp;"  ("&amp;INDEX(TAHSILAT!$G$7:$G$2506,$U331)&amp;")"&amp;IF(INDEX(TAHSILAT!$J$7:$J$2506,$U331)="",""," / "&amp;INDEX(TAHSILAT!$J$7:$J$2506,$U331)))</f>
        <v/>
      </c>
      <c r="P331" s="1" t="str">
        <f t="shared" si="69"/>
        <v/>
      </c>
      <c r="Q331" s="1"/>
      <c r="R331" s="1">
        <v>0</v>
      </c>
      <c r="S331" s="1">
        <f>IF($N331="",0,INDEX(TAHSILAT!$F$7:$F$2506,$U331))</f>
        <v>0</v>
      </c>
      <c r="T331" s="1">
        <f t="shared" si="65"/>
        <v>10000000000</v>
      </c>
      <c r="U331" s="1">
        <f>IFERROR(MATCH($AC$4&amp;"|79",TAHSILAT!$Q$7:$Q$2506,0),0)</f>
        <v>0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>
        <v>321</v>
      </c>
      <c r="N332" s="1" t="str">
        <f>IF($U332=0,"",INDEX(TAHSILAT!$E$7:$E$2506,$U332))</f>
        <v/>
      </c>
      <c r="O332" s="1" t="str">
        <f>IF($N332="","","Ödeme  –  "&amp;INDEX(TAHSILAT!$H$7:$H$2506,$U332)&amp;"  ("&amp;INDEX(TAHSILAT!$G$7:$G$2506,$U332)&amp;")"&amp;IF(INDEX(TAHSILAT!$J$7:$J$2506,$U332)="",""," / "&amp;INDEX(TAHSILAT!$J$7:$J$2506,$U332)))</f>
        <v/>
      </c>
      <c r="P332" s="1" t="str">
        <f t="shared" si="69"/>
        <v/>
      </c>
      <c r="Q332" s="1"/>
      <c r="R332" s="1">
        <v>0</v>
      </c>
      <c r="S332" s="1">
        <f>IF($N332="",0,INDEX(TAHSILAT!$F$7:$F$2506,$U332))</f>
        <v>0</v>
      </c>
      <c r="T332" s="1">
        <f t="shared" ref="T332:T395" si="70">IF($N332="",10000000000,$N332*100000+$M332)</f>
        <v>10000000000</v>
      </c>
      <c r="U332" s="1">
        <f>IFERROR(MATCH($AC$4&amp;"|80",TAHSILAT!$Q$7:$Q$2506,0),0)</f>
        <v>0</v>
      </c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>
        <v>322</v>
      </c>
      <c r="N333" s="1" t="str">
        <f>IF($U333=0,"",INDEX(TAHSILAT!$E$7:$E$2506,$U333))</f>
        <v/>
      </c>
      <c r="O333" s="1" t="str">
        <f>IF($N333="","","Ödeme  –  "&amp;INDEX(TAHSILAT!$H$7:$H$2506,$U333)&amp;"  ("&amp;INDEX(TAHSILAT!$G$7:$G$2506,$U333)&amp;")"&amp;IF(INDEX(TAHSILAT!$J$7:$J$2506,$U333)="",""," / "&amp;INDEX(TAHSILAT!$J$7:$J$2506,$U333)))</f>
        <v/>
      </c>
      <c r="P333" s="1" t="str">
        <f t="shared" si="69"/>
        <v/>
      </c>
      <c r="Q333" s="1"/>
      <c r="R333" s="1">
        <v>0</v>
      </c>
      <c r="S333" s="1">
        <f>IF($N333="",0,INDEX(TAHSILAT!$F$7:$F$2506,$U333))</f>
        <v>0</v>
      </c>
      <c r="T333" s="1">
        <f t="shared" si="70"/>
        <v>10000000000</v>
      </c>
      <c r="U333" s="1">
        <f>IFERROR(MATCH($AC$4&amp;"|81",TAHSILAT!$Q$7:$Q$2506,0),0)</f>
        <v>0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>
        <v>323</v>
      </c>
      <c r="N334" s="1" t="str">
        <f>IF($U334=0,"",INDEX(TAHSILAT!$E$7:$E$2506,$U334))</f>
        <v/>
      </c>
      <c r="O334" s="1" t="str">
        <f>IF($N334="","","Ödeme  –  "&amp;INDEX(TAHSILAT!$H$7:$H$2506,$U334)&amp;"  ("&amp;INDEX(TAHSILAT!$G$7:$G$2506,$U334)&amp;")"&amp;IF(INDEX(TAHSILAT!$J$7:$J$2506,$U334)="",""," / "&amp;INDEX(TAHSILAT!$J$7:$J$2506,$U334)))</f>
        <v/>
      </c>
      <c r="P334" s="1" t="str">
        <f t="shared" si="69"/>
        <v/>
      </c>
      <c r="Q334" s="1"/>
      <c r="R334" s="1">
        <v>0</v>
      </c>
      <c r="S334" s="1">
        <f>IF($N334="",0,INDEX(TAHSILAT!$F$7:$F$2506,$U334))</f>
        <v>0</v>
      </c>
      <c r="T334" s="1">
        <f t="shared" si="70"/>
        <v>10000000000</v>
      </c>
      <c r="U334" s="1">
        <f>IFERROR(MATCH($AC$4&amp;"|82",TAHSILAT!$Q$7:$Q$2506,0),0)</f>
        <v>0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>
        <v>324</v>
      </c>
      <c r="N335" s="1" t="str">
        <f>IF($U335=0,"",INDEX(TAHSILAT!$E$7:$E$2506,$U335))</f>
        <v/>
      </c>
      <c r="O335" s="1" t="str">
        <f>IF($N335="","","Ödeme  –  "&amp;INDEX(TAHSILAT!$H$7:$H$2506,$U335)&amp;"  ("&amp;INDEX(TAHSILAT!$G$7:$G$2506,$U335)&amp;")"&amp;IF(INDEX(TAHSILAT!$J$7:$J$2506,$U335)="",""," / "&amp;INDEX(TAHSILAT!$J$7:$J$2506,$U335)))</f>
        <v/>
      </c>
      <c r="P335" s="1" t="str">
        <f t="shared" si="69"/>
        <v/>
      </c>
      <c r="Q335" s="1"/>
      <c r="R335" s="1">
        <v>0</v>
      </c>
      <c r="S335" s="1">
        <f>IF($N335="",0,INDEX(TAHSILAT!$F$7:$F$2506,$U335))</f>
        <v>0</v>
      </c>
      <c r="T335" s="1">
        <f t="shared" si="70"/>
        <v>10000000000</v>
      </c>
      <c r="U335" s="1">
        <f>IFERROR(MATCH($AC$4&amp;"|83",TAHSILAT!$Q$7:$Q$2506,0),0)</f>
        <v>0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>
        <v>325</v>
      </c>
      <c r="N336" s="1" t="str">
        <f>IF($U336=0,"",INDEX(TAHSILAT!$E$7:$E$2506,$U336))</f>
        <v/>
      </c>
      <c r="O336" s="1" t="str">
        <f>IF($N336="","","Ödeme  –  "&amp;INDEX(TAHSILAT!$H$7:$H$2506,$U336)&amp;"  ("&amp;INDEX(TAHSILAT!$G$7:$G$2506,$U336)&amp;")"&amp;IF(INDEX(TAHSILAT!$J$7:$J$2506,$U336)="",""," / "&amp;INDEX(TAHSILAT!$J$7:$J$2506,$U336)))</f>
        <v/>
      </c>
      <c r="P336" s="1" t="str">
        <f t="shared" si="69"/>
        <v/>
      </c>
      <c r="Q336" s="1"/>
      <c r="R336" s="1">
        <v>0</v>
      </c>
      <c r="S336" s="1">
        <f>IF($N336="",0,INDEX(TAHSILAT!$F$7:$F$2506,$U336))</f>
        <v>0</v>
      </c>
      <c r="T336" s="1">
        <f t="shared" si="70"/>
        <v>10000000000</v>
      </c>
      <c r="U336" s="1">
        <f>IFERROR(MATCH($AC$4&amp;"|84",TAHSILAT!$Q$7:$Q$2506,0),0)</f>
        <v>0</v>
      </c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>
        <v>326</v>
      </c>
      <c r="N337" s="1" t="str">
        <f>IF($U337=0,"",INDEX(TAHSILAT!$E$7:$E$2506,$U337))</f>
        <v/>
      </c>
      <c r="O337" s="1" t="str">
        <f>IF($N337="","","Ödeme  –  "&amp;INDEX(TAHSILAT!$H$7:$H$2506,$U337)&amp;"  ("&amp;INDEX(TAHSILAT!$G$7:$G$2506,$U337)&amp;")"&amp;IF(INDEX(TAHSILAT!$J$7:$J$2506,$U337)="",""," / "&amp;INDEX(TAHSILAT!$J$7:$J$2506,$U337)))</f>
        <v/>
      </c>
      <c r="P337" s="1" t="str">
        <f t="shared" si="69"/>
        <v/>
      </c>
      <c r="Q337" s="1"/>
      <c r="R337" s="1">
        <v>0</v>
      </c>
      <c r="S337" s="1">
        <f>IF($N337="",0,INDEX(TAHSILAT!$F$7:$F$2506,$U337))</f>
        <v>0</v>
      </c>
      <c r="T337" s="1">
        <f t="shared" si="70"/>
        <v>10000000000</v>
      </c>
      <c r="U337" s="1">
        <f>IFERROR(MATCH($AC$4&amp;"|85",TAHSILAT!$Q$7:$Q$2506,0),0)</f>
        <v>0</v>
      </c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327</v>
      </c>
      <c r="N338" s="1" t="str">
        <f>IF($U338=0,"",INDEX(TAHSILAT!$E$7:$E$2506,$U338))</f>
        <v/>
      </c>
      <c r="O338" s="1" t="str">
        <f>IF($N338="","","Ödeme  –  "&amp;INDEX(TAHSILAT!$H$7:$H$2506,$U338)&amp;"  ("&amp;INDEX(TAHSILAT!$G$7:$G$2506,$U338)&amp;")"&amp;IF(INDEX(TAHSILAT!$J$7:$J$2506,$U338)="",""," / "&amp;INDEX(TAHSILAT!$J$7:$J$2506,$U338)))</f>
        <v/>
      </c>
      <c r="P338" s="1" t="str">
        <f t="shared" si="69"/>
        <v/>
      </c>
      <c r="Q338" s="1"/>
      <c r="R338" s="1">
        <v>0</v>
      </c>
      <c r="S338" s="1">
        <f>IF($N338="",0,INDEX(TAHSILAT!$F$7:$F$2506,$U338))</f>
        <v>0</v>
      </c>
      <c r="T338" s="1">
        <f t="shared" si="70"/>
        <v>10000000000</v>
      </c>
      <c r="U338" s="1">
        <f>IFERROR(MATCH($AC$4&amp;"|86",TAHSILAT!$Q$7:$Q$2506,0),0)</f>
        <v>0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>
        <v>328</v>
      </c>
      <c r="N339" s="1" t="str">
        <f>IF($U339=0,"",INDEX(TAHSILAT!$E$7:$E$2506,$U339))</f>
        <v/>
      </c>
      <c r="O339" s="1" t="str">
        <f>IF($N339="","","Ödeme  –  "&amp;INDEX(TAHSILAT!$H$7:$H$2506,$U339)&amp;"  ("&amp;INDEX(TAHSILAT!$G$7:$G$2506,$U339)&amp;")"&amp;IF(INDEX(TAHSILAT!$J$7:$J$2506,$U339)="",""," / "&amp;INDEX(TAHSILAT!$J$7:$J$2506,$U339)))</f>
        <v/>
      </c>
      <c r="P339" s="1" t="str">
        <f t="shared" si="69"/>
        <v/>
      </c>
      <c r="Q339" s="1"/>
      <c r="R339" s="1">
        <v>0</v>
      </c>
      <c r="S339" s="1">
        <f>IF($N339="",0,INDEX(TAHSILAT!$F$7:$F$2506,$U339))</f>
        <v>0</v>
      </c>
      <c r="T339" s="1">
        <f t="shared" si="70"/>
        <v>10000000000</v>
      </c>
      <c r="U339" s="1">
        <f>IFERROR(MATCH($AC$4&amp;"|87",TAHSILAT!$Q$7:$Q$2506,0),0)</f>
        <v>0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329</v>
      </c>
      <c r="N340" s="1" t="str">
        <f>IF($U340=0,"",INDEX(TAHSILAT!$E$7:$E$2506,$U340))</f>
        <v/>
      </c>
      <c r="O340" s="1" t="str">
        <f>IF($N340="","","Ödeme  –  "&amp;INDEX(TAHSILAT!$H$7:$H$2506,$U340)&amp;"  ("&amp;INDEX(TAHSILAT!$G$7:$G$2506,$U340)&amp;")"&amp;IF(INDEX(TAHSILAT!$J$7:$J$2506,$U340)="",""," / "&amp;INDEX(TAHSILAT!$J$7:$J$2506,$U340)))</f>
        <v/>
      </c>
      <c r="P340" s="1" t="str">
        <f t="shared" si="69"/>
        <v/>
      </c>
      <c r="Q340" s="1"/>
      <c r="R340" s="1">
        <v>0</v>
      </c>
      <c r="S340" s="1">
        <f>IF($N340="",0,INDEX(TAHSILAT!$F$7:$F$2506,$U340))</f>
        <v>0</v>
      </c>
      <c r="T340" s="1">
        <f t="shared" si="70"/>
        <v>10000000000</v>
      </c>
      <c r="U340" s="1">
        <f>IFERROR(MATCH($AC$4&amp;"|88",TAHSILAT!$Q$7:$Q$2506,0),0)</f>
        <v>0</v>
      </c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>
        <v>330</v>
      </c>
      <c r="N341" s="1" t="str">
        <f>IF($U341=0,"",INDEX(TAHSILAT!$E$7:$E$2506,$U341))</f>
        <v/>
      </c>
      <c r="O341" s="1" t="str">
        <f>IF($N341="","","Ödeme  –  "&amp;INDEX(TAHSILAT!$H$7:$H$2506,$U341)&amp;"  ("&amp;INDEX(TAHSILAT!$G$7:$G$2506,$U341)&amp;")"&amp;IF(INDEX(TAHSILAT!$J$7:$J$2506,$U341)="",""," / "&amp;INDEX(TAHSILAT!$J$7:$J$2506,$U341)))</f>
        <v/>
      </c>
      <c r="P341" s="1" t="str">
        <f t="shared" si="69"/>
        <v/>
      </c>
      <c r="Q341" s="1"/>
      <c r="R341" s="1">
        <v>0</v>
      </c>
      <c r="S341" s="1">
        <f>IF($N341="",0,INDEX(TAHSILAT!$F$7:$F$2506,$U341))</f>
        <v>0</v>
      </c>
      <c r="T341" s="1">
        <f t="shared" si="70"/>
        <v>10000000000</v>
      </c>
      <c r="U341" s="1">
        <f>IFERROR(MATCH($AC$4&amp;"|89",TAHSILAT!$Q$7:$Q$2506,0),0)</f>
        <v>0</v>
      </c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>
        <v>331</v>
      </c>
      <c r="N342" s="1" t="str">
        <f>IF($U342=0,"",INDEX(TAHSILAT!$E$7:$E$2506,$U342))</f>
        <v/>
      </c>
      <c r="O342" s="1" t="str">
        <f>IF($N342="","","Ödeme  –  "&amp;INDEX(TAHSILAT!$H$7:$H$2506,$U342)&amp;"  ("&amp;INDEX(TAHSILAT!$G$7:$G$2506,$U342)&amp;")"&amp;IF(INDEX(TAHSILAT!$J$7:$J$2506,$U342)="",""," / "&amp;INDEX(TAHSILAT!$J$7:$J$2506,$U342)))</f>
        <v/>
      </c>
      <c r="P342" s="1" t="str">
        <f t="shared" si="69"/>
        <v/>
      </c>
      <c r="Q342" s="1"/>
      <c r="R342" s="1">
        <v>0</v>
      </c>
      <c r="S342" s="1">
        <f>IF($N342="",0,INDEX(TAHSILAT!$F$7:$F$2506,$U342))</f>
        <v>0</v>
      </c>
      <c r="T342" s="1">
        <f t="shared" si="70"/>
        <v>10000000000</v>
      </c>
      <c r="U342" s="1">
        <f>IFERROR(MATCH($AC$4&amp;"|90",TAHSILAT!$Q$7:$Q$2506,0),0)</f>
        <v>0</v>
      </c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>
        <v>332</v>
      </c>
      <c r="N343" s="1" t="str">
        <f>IF($U343=0,"",INDEX(TAHSILAT!$E$7:$E$2506,$U343))</f>
        <v/>
      </c>
      <c r="O343" s="1" t="str">
        <f>IF($N343="","","Ödeme  –  "&amp;INDEX(TAHSILAT!$H$7:$H$2506,$U343)&amp;"  ("&amp;INDEX(TAHSILAT!$G$7:$G$2506,$U343)&amp;")"&amp;IF(INDEX(TAHSILAT!$J$7:$J$2506,$U343)="",""," / "&amp;INDEX(TAHSILAT!$J$7:$J$2506,$U343)))</f>
        <v/>
      </c>
      <c r="P343" s="1" t="str">
        <f t="shared" si="69"/>
        <v/>
      </c>
      <c r="Q343" s="1"/>
      <c r="R343" s="1">
        <v>0</v>
      </c>
      <c r="S343" s="1">
        <f>IF($N343="",0,INDEX(TAHSILAT!$F$7:$F$2506,$U343))</f>
        <v>0</v>
      </c>
      <c r="T343" s="1">
        <f t="shared" si="70"/>
        <v>10000000000</v>
      </c>
      <c r="U343" s="1">
        <f>IFERROR(MATCH($AC$4&amp;"|91",TAHSILAT!$Q$7:$Q$2506,0),0)</f>
        <v>0</v>
      </c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>
        <v>333</v>
      </c>
      <c r="N344" s="1" t="str">
        <f>IF($U344=0,"",INDEX(TAHSILAT!$E$7:$E$2506,$U344))</f>
        <v/>
      </c>
      <c r="O344" s="1" t="str">
        <f>IF($N344="","","Ödeme  –  "&amp;INDEX(TAHSILAT!$H$7:$H$2506,$U344)&amp;"  ("&amp;INDEX(TAHSILAT!$G$7:$G$2506,$U344)&amp;")"&amp;IF(INDEX(TAHSILAT!$J$7:$J$2506,$U344)="",""," / "&amp;INDEX(TAHSILAT!$J$7:$J$2506,$U344)))</f>
        <v/>
      </c>
      <c r="P344" s="1" t="str">
        <f t="shared" si="69"/>
        <v/>
      </c>
      <c r="Q344" s="1"/>
      <c r="R344" s="1">
        <v>0</v>
      </c>
      <c r="S344" s="1">
        <f>IF($N344="",0,INDEX(TAHSILAT!$F$7:$F$2506,$U344))</f>
        <v>0</v>
      </c>
      <c r="T344" s="1">
        <f t="shared" si="70"/>
        <v>10000000000</v>
      </c>
      <c r="U344" s="1">
        <f>IFERROR(MATCH($AC$4&amp;"|92",TAHSILAT!$Q$7:$Q$2506,0),0)</f>
        <v>0</v>
      </c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334</v>
      </c>
      <c r="N345" s="1" t="str">
        <f>IF($U345=0,"",INDEX(TAHSILAT!$E$7:$E$2506,$U345))</f>
        <v/>
      </c>
      <c r="O345" s="1" t="str">
        <f>IF($N345="","","Ödeme  –  "&amp;INDEX(TAHSILAT!$H$7:$H$2506,$U345)&amp;"  ("&amp;INDEX(TAHSILAT!$G$7:$G$2506,$U345)&amp;")"&amp;IF(INDEX(TAHSILAT!$J$7:$J$2506,$U345)="",""," / "&amp;INDEX(TAHSILAT!$J$7:$J$2506,$U345)))</f>
        <v/>
      </c>
      <c r="P345" s="1" t="str">
        <f t="shared" si="69"/>
        <v/>
      </c>
      <c r="Q345" s="1"/>
      <c r="R345" s="1">
        <v>0</v>
      </c>
      <c r="S345" s="1">
        <f>IF($N345="",0,INDEX(TAHSILAT!$F$7:$F$2506,$U345))</f>
        <v>0</v>
      </c>
      <c r="T345" s="1">
        <f t="shared" si="70"/>
        <v>10000000000</v>
      </c>
      <c r="U345" s="1">
        <f>IFERROR(MATCH($AC$4&amp;"|93",TAHSILAT!$Q$7:$Q$2506,0),0)</f>
        <v>0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>
        <v>335</v>
      </c>
      <c r="N346" s="1" t="str">
        <f>IF($U346=0,"",INDEX(TAHSILAT!$E$7:$E$2506,$U346))</f>
        <v/>
      </c>
      <c r="O346" s="1" t="str">
        <f>IF($N346="","","Ödeme  –  "&amp;INDEX(TAHSILAT!$H$7:$H$2506,$U346)&amp;"  ("&amp;INDEX(TAHSILAT!$G$7:$G$2506,$U346)&amp;")"&amp;IF(INDEX(TAHSILAT!$J$7:$J$2506,$U346)="",""," / "&amp;INDEX(TAHSILAT!$J$7:$J$2506,$U346)))</f>
        <v/>
      </c>
      <c r="P346" s="1" t="str">
        <f t="shared" si="69"/>
        <v/>
      </c>
      <c r="Q346" s="1"/>
      <c r="R346" s="1">
        <v>0</v>
      </c>
      <c r="S346" s="1">
        <f>IF($N346="",0,INDEX(TAHSILAT!$F$7:$F$2506,$U346))</f>
        <v>0</v>
      </c>
      <c r="T346" s="1">
        <f t="shared" si="70"/>
        <v>10000000000</v>
      </c>
      <c r="U346" s="1">
        <f>IFERROR(MATCH($AC$4&amp;"|94",TAHSILAT!$Q$7:$Q$2506,0),0)</f>
        <v>0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>
        <v>336</v>
      </c>
      <c r="N347" s="1" t="str">
        <f>IF($U347=0,"",INDEX(TAHSILAT!$E$7:$E$2506,$U347))</f>
        <v/>
      </c>
      <c r="O347" s="1" t="str">
        <f>IF($N347="","","Ödeme  –  "&amp;INDEX(TAHSILAT!$H$7:$H$2506,$U347)&amp;"  ("&amp;INDEX(TAHSILAT!$G$7:$G$2506,$U347)&amp;")"&amp;IF(INDEX(TAHSILAT!$J$7:$J$2506,$U347)="",""," / "&amp;INDEX(TAHSILAT!$J$7:$J$2506,$U347)))</f>
        <v/>
      </c>
      <c r="P347" s="1" t="str">
        <f t="shared" si="69"/>
        <v/>
      </c>
      <c r="Q347" s="1"/>
      <c r="R347" s="1">
        <v>0</v>
      </c>
      <c r="S347" s="1">
        <f>IF($N347="",0,INDEX(TAHSILAT!$F$7:$F$2506,$U347))</f>
        <v>0</v>
      </c>
      <c r="T347" s="1">
        <f t="shared" si="70"/>
        <v>10000000000</v>
      </c>
      <c r="U347" s="1">
        <f>IFERROR(MATCH($AC$4&amp;"|95",TAHSILAT!$Q$7:$Q$2506,0),0)</f>
        <v>0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>
        <v>337</v>
      </c>
      <c r="N348" s="1" t="str">
        <f>IF($U348=0,"",INDEX(TAHSILAT!$E$7:$E$2506,$U348))</f>
        <v/>
      </c>
      <c r="O348" s="1" t="str">
        <f>IF($N348="","","Ödeme  –  "&amp;INDEX(TAHSILAT!$H$7:$H$2506,$U348)&amp;"  ("&amp;INDEX(TAHSILAT!$G$7:$G$2506,$U348)&amp;")"&amp;IF(INDEX(TAHSILAT!$J$7:$J$2506,$U348)="",""," / "&amp;INDEX(TAHSILAT!$J$7:$J$2506,$U348)))</f>
        <v/>
      </c>
      <c r="P348" s="1" t="str">
        <f t="shared" si="69"/>
        <v/>
      </c>
      <c r="Q348" s="1"/>
      <c r="R348" s="1">
        <v>0</v>
      </c>
      <c r="S348" s="1">
        <f>IF($N348="",0,INDEX(TAHSILAT!$F$7:$F$2506,$U348))</f>
        <v>0</v>
      </c>
      <c r="T348" s="1">
        <f t="shared" si="70"/>
        <v>10000000000</v>
      </c>
      <c r="U348" s="1">
        <f>IFERROR(MATCH($AC$4&amp;"|96",TAHSILAT!$Q$7:$Q$2506,0),0)</f>
        <v>0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338</v>
      </c>
      <c r="N349" s="1" t="str">
        <f>IF($U349=0,"",INDEX(TAHSILAT!$E$7:$E$2506,$U349))</f>
        <v/>
      </c>
      <c r="O349" s="1" t="str">
        <f>IF($N349="","","Ödeme  –  "&amp;INDEX(TAHSILAT!$H$7:$H$2506,$U349)&amp;"  ("&amp;INDEX(TAHSILAT!$G$7:$G$2506,$U349)&amp;")"&amp;IF(INDEX(TAHSILAT!$J$7:$J$2506,$U349)="",""," / "&amp;INDEX(TAHSILAT!$J$7:$J$2506,$U349)))</f>
        <v/>
      </c>
      <c r="P349" s="1" t="str">
        <f t="shared" ref="P349:P372" si="71">IF($N349="","","ÖDEME")</f>
        <v/>
      </c>
      <c r="Q349" s="1"/>
      <c r="R349" s="1">
        <v>0</v>
      </c>
      <c r="S349" s="1">
        <f>IF($N349="",0,INDEX(TAHSILAT!$F$7:$F$2506,$U349))</f>
        <v>0</v>
      </c>
      <c r="T349" s="1">
        <f t="shared" si="70"/>
        <v>10000000000</v>
      </c>
      <c r="U349" s="1">
        <f>IFERROR(MATCH($AC$4&amp;"|97",TAHSILAT!$Q$7:$Q$2506,0),0)</f>
        <v>0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339</v>
      </c>
      <c r="N350" s="1" t="str">
        <f>IF($U350=0,"",INDEX(TAHSILAT!$E$7:$E$2506,$U350))</f>
        <v/>
      </c>
      <c r="O350" s="1" t="str">
        <f>IF($N350="","","Ödeme  –  "&amp;INDEX(TAHSILAT!$H$7:$H$2506,$U350)&amp;"  ("&amp;INDEX(TAHSILAT!$G$7:$G$2506,$U350)&amp;")"&amp;IF(INDEX(TAHSILAT!$J$7:$J$2506,$U350)="",""," / "&amp;INDEX(TAHSILAT!$J$7:$J$2506,$U350)))</f>
        <v/>
      </c>
      <c r="P350" s="1" t="str">
        <f t="shared" si="71"/>
        <v/>
      </c>
      <c r="Q350" s="1"/>
      <c r="R350" s="1">
        <v>0</v>
      </c>
      <c r="S350" s="1">
        <f>IF($N350="",0,INDEX(TAHSILAT!$F$7:$F$2506,$U350))</f>
        <v>0</v>
      </c>
      <c r="T350" s="1">
        <f t="shared" si="70"/>
        <v>10000000000</v>
      </c>
      <c r="U350" s="1">
        <f>IFERROR(MATCH($AC$4&amp;"|98",TAHSILAT!$Q$7:$Q$2506,0),0)</f>
        <v>0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>
        <v>340</v>
      </c>
      <c r="N351" s="1" t="str">
        <f>IF($U351=0,"",INDEX(TAHSILAT!$E$7:$E$2506,$U351))</f>
        <v/>
      </c>
      <c r="O351" s="1" t="str">
        <f>IF($N351="","","Ödeme  –  "&amp;INDEX(TAHSILAT!$H$7:$H$2506,$U351)&amp;"  ("&amp;INDEX(TAHSILAT!$G$7:$G$2506,$U351)&amp;")"&amp;IF(INDEX(TAHSILAT!$J$7:$J$2506,$U351)="",""," / "&amp;INDEX(TAHSILAT!$J$7:$J$2506,$U351)))</f>
        <v/>
      </c>
      <c r="P351" s="1" t="str">
        <f t="shared" si="71"/>
        <v/>
      </c>
      <c r="Q351" s="1"/>
      <c r="R351" s="1">
        <v>0</v>
      </c>
      <c r="S351" s="1">
        <f>IF($N351="",0,INDEX(TAHSILAT!$F$7:$F$2506,$U351))</f>
        <v>0</v>
      </c>
      <c r="T351" s="1">
        <f t="shared" si="70"/>
        <v>10000000000</v>
      </c>
      <c r="U351" s="1">
        <f>IFERROR(MATCH($AC$4&amp;"|99",TAHSILAT!$Q$7:$Q$2506,0),0)</f>
        <v>0</v>
      </c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>
        <v>341</v>
      </c>
      <c r="N352" s="1" t="str">
        <f>IF($U352=0,"",INDEX(TAHSILAT!$E$7:$E$2506,$U352))</f>
        <v/>
      </c>
      <c r="O352" s="1" t="str">
        <f>IF($N352="","","Ödeme  –  "&amp;INDEX(TAHSILAT!$H$7:$H$2506,$U352)&amp;"  ("&amp;INDEX(TAHSILAT!$G$7:$G$2506,$U352)&amp;")"&amp;IF(INDEX(TAHSILAT!$J$7:$J$2506,$U352)="",""," / "&amp;INDEX(TAHSILAT!$J$7:$J$2506,$U352)))</f>
        <v/>
      </c>
      <c r="P352" s="1" t="str">
        <f t="shared" si="71"/>
        <v/>
      </c>
      <c r="Q352" s="1"/>
      <c r="R352" s="1">
        <v>0</v>
      </c>
      <c r="S352" s="1">
        <f>IF($N352="",0,INDEX(TAHSILAT!$F$7:$F$2506,$U352))</f>
        <v>0</v>
      </c>
      <c r="T352" s="1">
        <f t="shared" si="70"/>
        <v>10000000000</v>
      </c>
      <c r="U352" s="1">
        <f>IFERROR(MATCH($AC$4&amp;"|100",TAHSILAT!$Q$7:$Q$2506,0),0)</f>
        <v>0</v>
      </c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>
        <v>342</v>
      </c>
      <c r="N353" s="1" t="str">
        <f>IF($U353=0,"",INDEX(TAHSILAT!$E$7:$E$2506,$U353))</f>
        <v/>
      </c>
      <c r="O353" s="1" t="str">
        <f>IF($N353="","","Ödeme  –  "&amp;INDEX(TAHSILAT!$H$7:$H$2506,$U353)&amp;"  ("&amp;INDEX(TAHSILAT!$G$7:$G$2506,$U353)&amp;")"&amp;IF(INDEX(TAHSILAT!$J$7:$J$2506,$U353)="",""," / "&amp;INDEX(TAHSILAT!$J$7:$J$2506,$U353)))</f>
        <v/>
      </c>
      <c r="P353" s="1" t="str">
        <f t="shared" si="71"/>
        <v/>
      </c>
      <c r="Q353" s="1"/>
      <c r="R353" s="1">
        <v>0</v>
      </c>
      <c r="S353" s="1">
        <f>IF($N353="",0,INDEX(TAHSILAT!$F$7:$F$2506,$U353))</f>
        <v>0</v>
      </c>
      <c r="T353" s="1">
        <f t="shared" si="70"/>
        <v>10000000000</v>
      </c>
      <c r="U353" s="1">
        <f>IFERROR(MATCH($AC$4&amp;"|101",TAHSILAT!$Q$7:$Q$2506,0),0)</f>
        <v>0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>
        <v>343</v>
      </c>
      <c r="N354" s="1" t="str">
        <f>IF($U354=0,"",INDEX(TAHSILAT!$E$7:$E$2506,$U354))</f>
        <v/>
      </c>
      <c r="O354" s="1" t="str">
        <f>IF($N354="","","Ödeme  –  "&amp;INDEX(TAHSILAT!$H$7:$H$2506,$U354)&amp;"  ("&amp;INDEX(TAHSILAT!$G$7:$G$2506,$U354)&amp;")"&amp;IF(INDEX(TAHSILAT!$J$7:$J$2506,$U354)="",""," / "&amp;INDEX(TAHSILAT!$J$7:$J$2506,$U354)))</f>
        <v/>
      </c>
      <c r="P354" s="1" t="str">
        <f t="shared" si="71"/>
        <v/>
      </c>
      <c r="Q354" s="1"/>
      <c r="R354" s="1">
        <v>0</v>
      </c>
      <c r="S354" s="1">
        <f>IF($N354="",0,INDEX(TAHSILAT!$F$7:$F$2506,$U354))</f>
        <v>0</v>
      </c>
      <c r="T354" s="1">
        <f t="shared" si="70"/>
        <v>10000000000</v>
      </c>
      <c r="U354" s="1">
        <f>IFERROR(MATCH($AC$4&amp;"|102",TAHSILAT!$Q$7:$Q$2506,0),0)</f>
        <v>0</v>
      </c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>
        <v>344</v>
      </c>
      <c r="N355" s="1" t="str">
        <f>IF($U355=0,"",INDEX(TAHSILAT!$E$7:$E$2506,$U355))</f>
        <v/>
      </c>
      <c r="O355" s="1" t="str">
        <f>IF($N355="","","Ödeme  –  "&amp;INDEX(TAHSILAT!$H$7:$H$2506,$U355)&amp;"  ("&amp;INDEX(TAHSILAT!$G$7:$G$2506,$U355)&amp;")"&amp;IF(INDEX(TAHSILAT!$J$7:$J$2506,$U355)="",""," / "&amp;INDEX(TAHSILAT!$J$7:$J$2506,$U355)))</f>
        <v/>
      </c>
      <c r="P355" s="1" t="str">
        <f t="shared" si="71"/>
        <v/>
      </c>
      <c r="Q355" s="1"/>
      <c r="R355" s="1">
        <v>0</v>
      </c>
      <c r="S355" s="1">
        <f>IF($N355="",0,INDEX(TAHSILAT!$F$7:$F$2506,$U355))</f>
        <v>0</v>
      </c>
      <c r="T355" s="1">
        <f t="shared" si="70"/>
        <v>10000000000</v>
      </c>
      <c r="U355" s="1">
        <f>IFERROR(MATCH($AC$4&amp;"|103",TAHSILAT!$Q$7:$Q$2506,0),0)</f>
        <v>0</v>
      </c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>
        <v>345</v>
      </c>
      <c r="N356" s="1" t="str">
        <f>IF($U356=0,"",INDEX(TAHSILAT!$E$7:$E$2506,$U356))</f>
        <v/>
      </c>
      <c r="O356" s="1" t="str">
        <f>IF($N356="","","Ödeme  –  "&amp;INDEX(TAHSILAT!$H$7:$H$2506,$U356)&amp;"  ("&amp;INDEX(TAHSILAT!$G$7:$G$2506,$U356)&amp;")"&amp;IF(INDEX(TAHSILAT!$J$7:$J$2506,$U356)="",""," / "&amp;INDEX(TAHSILAT!$J$7:$J$2506,$U356)))</f>
        <v/>
      </c>
      <c r="P356" s="1" t="str">
        <f t="shared" si="71"/>
        <v/>
      </c>
      <c r="Q356" s="1"/>
      <c r="R356" s="1">
        <v>0</v>
      </c>
      <c r="S356" s="1">
        <f>IF($N356="",0,INDEX(TAHSILAT!$F$7:$F$2506,$U356))</f>
        <v>0</v>
      </c>
      <c r="T356" s="1">
        <f t="shared" si="70"/>
        <v>10000000000</v>
      </c>
      <c r="U356" s="1">
        <f>IFERROR(MATCH($AC$4&amp;"|104",TAHSILAT!$Q$7:$Q$2506,0),0)</f>
        <v>0</v>
      </c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346</v>
      </c>
      <c r="N357" s="1" t="str">
        <f>IF($U357=0,"",INDEX(TAHSILAT!$E$7:$E$2506,$U357))</f>
        <v/>
      </c>
      <c r="O357" s="1" t="str">
        <f>IF($N357="","","Ödeme  –  "&amp;INDEX(TAHSILAT!$H$7:$H$2506,$U357)&amp;"  ("&amp;INDEX(TAHSILAT!$G$7:$G$2506,$U357)&amp;")"&amp;IF(INDEX(TAHSILAT!$J$7:$J$2506,$U357)="",""," / "&amp;INDEX(TAHSILAT!$J$7:$J$2506,$U357)))</f>
        <v/>
      </c>
      <c r="P357" s="1" t="str">
        <f t="shared" si="71"/>
        <v/>
      </c>
      <c r="Q357" s="1"/>
      <c r="R357" s="1">
        <v>0</v>
      </c>
      <c r="S357" s="1">
        <f>IF($N357="",0,INDEX(TAHSILAT!$F$7:$F$2506,$U357))</f>
        <v>0</v>
      </c>
      <c r="T357" s="1">
        <f t="shared" si="70"/>
        <v>10000000000</v>
      </c>
      <c r="U357" s="1">
        <f>IFERROR(MATCH($AC$4&amp;"|105",TAHSILAT!$Q$7:$Q$2506,0),0)</f>
        <v>0</v>
      </c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347</v>
      </c>
      <c r="N358" s="1" t="str">
        <f>IF($U358=0,"",INDEX(TAHSILAT!$E$7:$E$2506,$U358))</f>
        <v/>
      </c>
      <c r="O358" s="1" t="str">
        <f>IF($N358="","","Ödeme  –  "&amp;INDEX(TAHSILAT!$H$7:$H$2506,$U358)&amp;"  ("&amp;INDEX(TAHSILAT!$G$7:$G$2506,$U358)&amp;")"&amp;IF(INDEX(TAHSILAT!$J$7:$J$2506,$U358)="",""," / "&amp;INDEX(TAHSILAT!$J$7:$J$2506,$U358)))</f>
        <v/>
      </c>
      <c r="P358" s="1" t="str">
        <f t="shared" si="71"/>
        <v/>
      </c>
      <c r="Q358" s="1"/>
      <c r="R358" s="1">
        <v>0</v>
      </c>
      <c r="S358" s="1">
        <f>IF($N358="",0,INDEX(TAHSILAT!$F$7:$F$2506,$U358))</f>
        <v>0</v>
      </c>
      <c r="T358" s="1">
        <f t="shared" si="70"/>
        <v>10000000000</v>
      </c>
      <c r="U358" s="1">
        <f>IFERROR(MATCH($AC$4&amp;"|106",TAHSILAT!$Q$7:$Q$2506,0),0)</f>
        <v>0</v>
      </c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348</v>
      </c>
      <c r="N359" s="1" t="str">
        <f>IF($U359=0,"",INDEX(TAHSILAT!$E$7:$E$2506,$U359))</f>
        <v/>
      </c>
      <c r="O359" s="1" t="str">
        <f>IF($N359="","","Ödeme  –  "&amp;INDEX(TAHSILAT!$H$7:$H$2506,$U359)&amp;"  ("&amp;INDEX(TAHSILAT!$G$7:$G$2506,$U359)&amp;")"&amp;IF(INDEX(TAHSILAT!$J$7:$J$2506,$U359)="",""," / "&amp;INDEX(TAHSILAT!$J$7:$J$2506,$U359)))</f>
        <v/>
      </c>
      <c r="P359" s="1" t="str">
        <f t="shared" si="71"/>
        <v/>
      </c>
      <c r="Q359" s="1"/>
      <c r="R359" s="1">
        <v>0</v>
      </c>
      <c r="S359" s="1">
        <f>IF($N359="",0,INDEX(TAHSILAT!$F$7:$F$2506,$U359))</f>
        <v>0</v>
      </c>
      <c r="T359" s="1">
        <f t="shared" si="70"/>
        <v>10000000000</v>
      </c>
      <c r="U359" s="1">
        <f>IFERROR(MATCH($AC$4&amp;"|107",TAHSILAT!$Q$7:$Q$2506,0),0)</f>
        <v>0</v>
      </c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>
        <v>349</v>
      </c>
      <c r="N360" s="1" t="str">
        <f>IF($U360=0,"",INDEX(TAHSILAT!$E$7:$E$2506,$U360))</f>
        <v/>
      </c>
      <c r="O360" s="1" t="str">
        <f>IF($N360="","","Ödeme  –  "&amp;INDEX(TAHSILAT!$H$7:$H$2506,$U360)&amp;"  ("&amp;INDEX(TAHSILAT!$G$7:$G$2506,$U360)&amp;")"&amp;IF(INDEX(TAHSILAT!$J$7:$J$2506,$U360)="",""," / "&amp;INDEX(TAHSILAT!$J$7:$J$2506,$U360)))</f>
        <v/>
      </c>
      <c r="P360" s="1" t="str">
        <f t="shared" si="71"/>
        <v/>
      </c>
      <c r="Q360" s="1"/>
      <c r="R360" s="1">
        <v>0</v>
      </c>
      <c r="S360" s="1">
        <f>IF($N360="",0,INDEX(TAHSILAT!$F$7:$F$2506,$U360))</f>
        <v>0</v>
      </c>
      <c r="T360" s="1">
        <f t="shared" si="70"/>
        <v>10000000000</v>
      </c>
      <c r="U360" s="1">
        <f>IFERROR(MATCH($AC$4&amp;"|108",TAHSILAT!$Q$7:$Q$2506,0),0)</f>
        <v>0</v>
      </c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>
        <v>350</v>
      </c>
      <c r="N361" s="1" t="str">
        <f>IF($U361=0,"",INDEX(TAHSILAT!$E$7:$E$2506,$U361))</f>
        <v/>
      </c>
      <c r="O361" s="1" t="str">
        <f>IF($N361="","","Ödeme  –  "&amp;INDEX(TAHSILAT!$H$7:$H$2506,$U361)&amp;"  ("&amp;INDEX(TAHSILAT!$G$7:$G$2506,$U361)&amp;")"&amp;IF(INDEX(TAHSILAT!$J$7:$J$2506,$U361)="",""," / "&amp;INDEX(TAHSILAT!$J$7:$J$2506,$U361)))</f>
        <v/>
      </c>
      <c r="P361" s="1" t="str">
        <f t="shared" si="71"/>
        <v/>
      </c>
      <c r="Q361" s="1"/>
      <c r="R361" s="1">
        <v>0</v>
      </c>
      <c r="S361" s="1">
        <f>IF($N361="",0,INDEX(TAHSILAT!$F$7:$F$2506,$U361))</f>
        <v>0</v>
      </c>
      <c r="T361" s="1">
        <f t="shared" si="70"/>
        <v>10000000000</v>
      </c>
      <c r="U361" s="1">
        <f>IFERROR(MATCH($AC$4&amp;"|109",TAHSILAT!$Q$7:$Q$2506,0),0)</f>
        <v>0</v>
      </c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>
        <v>351</v>
      </c>
      <c r="N362" s="1" t="str">
        <f>IF($U362=0,"",INDEX(TAHSILAT!$E$7:$E$2506,$U362))</f>
        <v/>
      </c>
      <c r="O362" s="1" t="str">
        <f>IF($N362="","","Ödeme  –  "&amp;INDEX(TAHSILAT!$H$7:$H$2506,$U362)&amp;"  ("&amp;INDEX(TAHSILAT!$G$7:$G$2506,$U362)&amp;")"&amp;IF(INDEX(TAHSILAT!$J$7:$J$2506,$U362)="",""," / "&amp;INDEX(TAHSILAT!$J$7:$J$2506,$U362)))</f>
        <v/>
      </c>
      <c r="P362" s="1" t="str">
        <f t="shared" si="71"/>
        <v/>
      </c>
      <c r="Q362" s="1"/>
      <c r="R362" s="1">
        <v>0</v>
      </c>
      <c r="S362" s="1">
        <f>IF($N362="",0,INDEX(TAHSILAT!$F$7:$F$2506,$U362))</f>
        <v>0</v>
      </c>
      <c r="T362" s="1">
        <f t="shared" si="70"/>
        <v>10000000000</v>
      </c>
      <c r="U362" s="1">
        <f>IFERROR(MATCH($AC$4&amp;"|110",TAHSILAT!$Q$7:$Q$2506,0),0)</f>
        <v>0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>
        <v>352</v>
      </c>
      <c r="N363" s="1" t="str">
        <f>IF($U363=0,"",INDEX(TAHSILAT!$E$7:$E$2506,$U363))</f>
        <v/>
      </c>
      <c r="O363" s="1" t="str">
        <f>IF($N363="","","Ödeme  –  "&amp;INDEX(TAHSILAT!$H$7:$H$2506,$U363)&amp;"  ("&amp;INDEX(TAHSILAT!$G$7:$G$2506,$U363)&amp;")"&amp;IF(INDEX(TAHSILAT!$J$7:$J$2506,$U363)="",""," / "&amp;INDEX(TAHSILAT!$J$7:$J$2506,$U363)))</f>
        <v/>
      </c>
      <c r="P363" s="1" t="str">
        <f t="shared" si="71"/>
        <v/>
      </c>
      <c r="Q363" s="1"/>
      <c r="R363" s="1">
        <v>0</v>
      </c>
      <c r="S363" s="1">
        <f>IF($N363="",0,INDEX(TAHSILAT!$F$7:$F$2506,$U363))</f>
        <v>0</v>
      </c>
      <c r="T363" s="1">
        <f t="shared" si="70"/>
        <v>10000000000</v>
      </c>
      <c r="U363" s="1">
        <f>IFERROR(MATCH($AC$4&amp;"|111",TAHSILAT!$Q$7:$Q$2506,0),0)</f>
        <v>0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>
        <v>353</v>
      </c>
      <c r="N364" s="1" t="str">
        <f>IF($U364=0,"",INDEX(TAHSILAT!$E$7:$E$2506,$U364))</f>
        <v/>
      </c>
      <c r="O364" s="1" t="str">
        <f>IF($N364="","","Ödeme  –  "&amp;INDEX(TAHSILAT!$H$7:$H$2506,$U364)&amp;"  ("&amp;INDEX(TAHSILAT!$G$7:$G$2506,$U364)&amp;")"&amp;IF(INDEX(TAHSILAT!$J$7:$J$2506,$U364)="",""," / "&amp;INDEX(TAHSILAT!$J$7:$J$2506,$U364)))</f>
        <v/>
      </c>
      <c r="P364" s="1" t="str">
        <f t="shared" si="71"/>
        <v/>
      </c>
      <c r="Q364" s="1"/>
      <c r="R364" s="1">
        <v>0</v>
      </c>
      <c r="S364" s="1">
        <f>IF($N364="",0,INDEX(TAHSILAT!$F$7:$F$2506,$U364))</f>
        <v>0</v>
      </c>
      <c r="T364" s="1">
        <f t="shared" si="70"/>
        <v>10000000000</v>
      </c>
      <c r="U364" s="1">
        <f>IFERROR(MATCH($AC$4&amp;"|112",TAHSILAT!$Q$7:$Q$2506,0),0)</f>
        <v>0</v>
      </c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354</v>
      </c>
      <c r="N365" s="1" t="str">
        <f>IF($U365=0,"",INDEX(TAHSILAT!$E$7:$E$2506,$U365))</f>
        <v/>
      </c>
      <c r="O365" s="1" t="str">
        <f>IF($N365="","","Ödeme  –  "&amp;INDEX(TAHSILAT!$H$7:$H$2506,$U365)&amp;"  ("&amp;INDEX(TAHSILAT!$G$7:$G$2506,$U365)&amp;")"&amp;IF(INDEX(TAHSILAT!$J$7:$J$2506,$U365)="",""," / "&amp;INDEX(TAHSILAT!$J$7:$J$2506,$U365)))</f>
        <v/>
      </c>
      <c r="P365" s="1" t="str">
        <f t="shared" si="71"/>
        <v/>
      </c>
      <c r="Q365" s="1"/>
      <c r="R365" s="1">
        <v>0</v>
      </c>
      <c r="S365" s="1">
        <f>IF($N365="",0,INDEX(TAHSILAT!$F$7:$F$2506,$U365))</f>
        <v>0</v>
      </c>
      <c r="T365" s="1">
        <f t="shared" si="70"/>
        <v>10000000000</v>
      </c>
      <c r="U365" s="1">
        <f>IFERROR(MATCH($AC$4&amp;"|113",TAHSILAT!$Q$7:$Q$2506,0),0)</f>
        <v>0</v>
      </c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>
        <v>355</v>
      </c>
      <c r="N366" s="1" t="str">
        <f>IF($U366=0,"",INDEX(TAHSILAT!$E$7:$E$2506,$U366))</f>
        <v/>
      </c>
      <c r="O366" s="1" t="str">
        <f>IF($N366="","","Ödeme  –  "&amp;INDEX(TAHSILAT!$H$7:$H$2506,$U366)&amp;"  ("&amp;INDEX(TAHSILAT!$G$7:$G$2506,$U366)&amp;")"&amp;IF(INDEX(TAHSILAT!$J$7:$J$2506,$U366)="",""," / "&amp;INDEX(TAHSILAT!$J$7:$J$2506,$U366)))</f>
        <v/>
      </c>
      <c r="P366" s="1" t="str">
        <f t="shared" si="71"/>
        <v/>
      </c>
      <c r="Q366" s="1"/>
      <c r="R366" s="1">
        <v>0</v>
      </c>
      <c r="S366" s="1">
        <f>IF($N366="",0,INDEX(TAHSILAT!$F$7:$F$2506,$U366))</f>
        <v>0</v>
      </c>
      <c r="T366" s="1">
        <f t="shared" si="70"/>
        <v>10000000000</v>
      </c>
      <c r="U366" s="1">
        <f>IFERROR(MATCH($AC$4&amp;"|114",TAHSILAT!$Q$7:$Q$2506,0),0)</f>
        <v>0</v>
      </c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>
        <v>356</v>
      </c>
      <c r="N367" s="1" t="str">
        <f>IF($U367=0,"",INDEX(TAHSILAT!$E$7:$E$2506,$U367))</f>
        <v/>
      </c>
      <c r="O367" s="1" t="str">
        <f>IF($N367="","","Ödeme  –  "&amp;INDEX(TAHSILAT!$H$7:$H$2506,$U367)&amp;"  ("&amp;INDEX(TAHSILAT!$G$7:$G$2506,$U367)&amp;")"&amp;IF(INDEX(TAHSILAT!$J$7:$J$2506,$U367)="",""," / "&amp;INDEX(TAHSILAT!$J$7:$J$2506,$U367)))</f>
        <v/>
      </c>
      <c r="P367" s="1" t="str">
        <f t="shared" si="71"/>
        <v/>
      </c>
      <c r="Q367" s="1"/>
      <c r="R367" s="1">
        <v>0</v>
      </c>
      <c r="S367" s="1">
        <f>IF($N367="",0,INDEX(TAHSILAT!$F$7:$F$2506,$U367))</f>
        <v>0</v>
      </c>
      <c r="T367" s="1">
        <f t="shared" si="70"/>
        <v>10000000000</v>
      </c>
      <c r="U367" s="1">
        <f>IFERROR(MATCH($AC$4&amp;"|115",TAHSILAT!$Q$7:$Q$2506,0),0)</f>
        <v>0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>
        <v>357</v>
      </c>
      <c r="N368" s="1" t="str">
        <f>IF($U368=0,"",INDEX(TAHSILAT!$E$7:$E$2506,$U368))</f>
        <v/>
      </c>
      <c r="O368" s="1" t="str">
        <f>IF($N368="","","Ödeme  –  "&amp;INDEX(TAHSILAT!$H$7:$H$2506,$U368)&amp;"  ("&amp;INDEX(TAHSILAT!$G$7:$G$2506,$U368)&amp;")"&amp;IF(INDEX(TAHSILAT!$J$7:$J$2506,$U368)="",""," / "&amp;INDEX(TAHSILAT!$J$7:$J$2506,$U368)))</f>
        <v/>
      </c>
      <c r="P368" s="1" t="str">
        <f t="shared" si="71"/>
        <v/>
      </c>
      <c r="Q368" s="1"/>
      <c r="R368" s="1">
        <v>0</v>
      </c>
      <c r="S368" s="1">
        <f>IF($N368="",0,INDEX(TAHSILAT!$F$7:$F$2506,$U368))</f>
        <v>0</v>
      </c>
      <c r="T368" s="1">
        <f t="shared" si="70"/>
        <v>10000000000</v>
      </c>
      <c r="U368" s="1">
        <f>IFERROR(MATCH($AC$4&amp;"|116",TAHSILAT!$Q$7:$Q$2506,0),0)</f>
        <v>0</v>
      </c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>
        <v>358</v>
      </c>
      <c r="N369" s="1" t="str">
        <f>IF($U369=0,"",INDEX(TAHSILAT!$E$7:$E$2506,$U369))</f>
        <v/>
      </c>
      <c r="O369" s="1" t="str">
        <f>IF($N369="","","Ödeme  –  "&amp;INDEX(TAHSILAT!$H$7:$H$2506,$U369)&amp;"  ("&amp;INDEX(TAHSILAT!$G$7:$G$2506,$U369)&amp;")"&amp;IF(INDEX(TAHSILAT!$J$7:$J$2506,$U369)="",""," / "&amp;INDEX(TAHSILAT!$J$7:$J$2506,$U369)))</f>
        <v/>
      </c>
      <c r="P369" s="1" t="str">
        <f t="shared" si="71"/>
        <v/>
      </c>
      <c r="Q369" s="1"/>
      <c r="R369" s="1">
        <v>0</v>
      </c>
      <c r="S369" s="1">
        <f>IF($N369="",0,INDEX(TAHSILAT!$F$7:$F$2506,$U369))</f>
        <v>0</v>
      </c>
      <c r="T369" s="1">
        <f t="shared" si="70"/>
        <v>10000000000</v>
      </c>
      <c r="U369" s="1">
        <f>IFERROR(MATCH($AC$4&amp;"|117",TAHSILAT!$Q$7:$Q$2506,0),0)</f>
        <v>0</v>
      </c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>
        <v>359</v>
      </c>
      <c r="N370" s="1" t="str">
        <f>IF($U370=0,"",INDEX(TAHSILAT!$E$7:$E$2506,$U370))</f>
        <v/>
      </c>
      <c r="O370" s="1" t="str">
        <f>IF($N370="","","Ödeme  –  "&amp;INDEX(TAHSILAT!$H$7:$H$2506,$U370)&amp;"  ("&amp;INDEX(TAHSILAT!$G$7:$G$2506,$U370)&amp;")"&amp;IF(INDEX(TAHSILAT!$J$7:$J$2506,$U370)="",""," / "&amp;INDEX(TAHSILAT!$J$7:$J$2506,$U370)))</f>
        <v/>
      </c>
      <c r="P370" s="1" t="str">
        <f t="shared" si="71"/>
        <v/>
      </c>
      <c r="Q370" s="1"/>
      <c r="R370" s="1">
        <v>0</v>
      </c>
      <c r="S370" s="1">
        <f>IF($N370="",0,INDEX(TAHSILAT!$F$7:$F$2506,$U370))</f>
        <v>0</v>
      </c>
      <c r="T370" s="1">
        <f t="shared" si="70"/>
        <v>10000000000</v>
      </c>
      <c r="U370" s="1">
        <f>IFERROR(MATCH($AC$4&amp;"|118",TAHSILAT!$Q$7:$Q$2506,0),0)</f>
        <v>0</v>
      </c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>
        <v>360</v>
      </c>
      <c r="N371" s="1" t="str">
        <f>IF($U371=0,"",INDEX(TAHSILAT!$E$7:$E$2506,$U371))</f>
        <v/>
      </c>
      <c r="O371" s="1" t="str">
        <f>IF($N371="","","Ödeme  –  "&amp;INDEX(TAHSILAT!$H$7:$H$2506,$U371)&amp;"  ("&amp;INDEX(TAHSILAT!$G$7:$G$2506,$U371)&amp;")"&amp;IF(INDEX(TAHSILAT!$J$7:$J$2506,$U371)="",""," / "&amp;INDEX(TAHSILAT!$J$7:$J$2506,$U371)))</f>
        <v/>
      </c>
      <c r="P371" s="1" t="str">
        <f t="shared" si="71"/>
        <v/>
      </c>
      <c r="Q371" s="1"/>
      <c r="R371" s="1">
        <v>0</v>
      </c>
      <c r="S371" s="1">
        <f>IF($N371="",0,INDEX(TAHSILAT!$F$7:$F$2506,$U371))</f>
        <v>0</v>
      </c>
      <c r="T371" s="1">
        <f t="shared" si="70"/>
        <v>10000000000</v>
      </c>
      <c r="U371" s="1">
        <f>IFERROR(MATCH($AC$4&amp;"|119",TAHSILAT!$Q$7:$Q$2506,0),0)</f>
        <v>0</v>
      </c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361</v>
      </c>
      <c r="N372" s="1" t="str">
        <f>IF($U372=0,"",INDEX(TAHSILAT!$E$7:$E$2506,$U372))</f>
        <v/>
      </c>
      <c r="O372" s="1" t="str">
        <f>IF($N372="","","Ödeme  –  "&amp;INDEX(TAHSILAT!$H$7:$H$2506,$U372)&amp;"  ("&amp;INDEX(TAHSILAT!$G$7:$G$2506,$U372)&amp;")"&amp;IF(INDEX(TAHSILAT!$J$7:$J$2506,$U372)="",""," / "&amp;INDEX(TAHSILAT!$J$7:$J$2506,$U372)))</f>
        <v/>
      </c>
      <c r="P372" s="1" t="str">
        <f t="shared" si="71"/>
        <v/>
      </c>
      <c r="Q372" s="1"/>
      <c r="R372" s="1">
        <v>0</v>
      </c>
      <c r="S372" s="1">
        <f>IF($N372="",0,INDEX(TAHSILAT!$F$7:$F$2506,$U372))</f>
        <v>0</v>
      </c>
      <c r="T372" s="1">
        <f t="shared" si="70"/>
        <v>10000000000</v>
      </c>
      <c r="U372" s="1">
        <f>IFERROR(MATCH($AC$4&amp;"|120",TAHSILAT!$Q$7:$Q$2506,0),0)</f>
        <v>0</v>
      </c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>
        <v>362</v>
      </c>
      <c r="N373" s="1">
        <f>IF($U373=0,"",INDEX(GELIR_GIDER!$C$7:$C$3006,$U373))</f>
        <v>46123</v>
      </c>
      <c r="O373" s="1" t="str">
        <f>IF($N373="","",INDEX(GELIR_GIDER!$E$7:$E$3006,$U373)&amp;IF(INDEX(GELIR_GIDER!$F$7:$F$3006,$U373)="",""," – "&amp;INDEX(GELIR_GIDER!$F$7:$F$3006,$U373)))</f>
        <v>Kurumlar Vergisi Damga – 2025 KURUMLAR DAMGA</v>
      </c>
      <c r="P373" s="1" t="str">
        <f t="shared" ref="P373:P404" si="72">IF($N373="","","EK HİZMET")</f>
        <v>EK HİZMET</v>
      </c>
      <c r="Q373" s="1"/>
      <c r="R373" s="1">
        <f>IF($N373="",0,INDEX(GELIR_GIDER!$G$7:$G$3006,$U373))</f>
        <v>5200</v>
      </c>
      <c r="S373" s="1">
        <v>0</v>
      </c>
      <c r="T373" s="1">
        <f t="shared" si="70"/>
        <v>4612300362</v>
      </c>
      <c r="U373" s="1">
        <f>IFERROR(MATCH($AC$4&amp;"|1",GELIR_GIDER!$U$7:$U$3006,0),0)</f>
        <v>151</v>
      </c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363</v>
      </c>
      <c r="N374" s="1">
        <f>IF($U374=0,"",INDEX(GELIR_GIDER!$C$7:$C$3006,$U374))</f>
        <v>46151</v>
      </c>
      <c r="O374" s="1" t="str">
        <f>IF($N374="","",INDEX(GELIR_GIDER!$E$7:$E$3006,$U374)&amp;IF(INDEX(GELIR_GIDER!$F$7:$F$3006,$U374)="",""," – "&amp;INDEX(GELIR_GIDER!$F$7:$F$3006,$U374)))</f>
        <v>Kurumlar Vergisi Damga – 2025 KURUMLAR DAMGA</v>
      </c>
      <c r="P374" s="1" t="str">
        <f t="shared" si="72"/>
        <v>EK HİZMET</v>
      </c>
      <c r="Q374" s="1"/>
      <c r="R374" s="1">
        <f>IF($N374="",0,INDEX(GELIR_GIDER!$G$7:$G$3006,$U374))</f>
        <v>5350</v>
      </c>
      <c r="S374" s="1">
        <v>0</v>
      </c>
      <c r="T374" s="1">
        <f t="shared" si="70"/>
        <v>4615100363</v>
      </c>
      <c r="U374" s="1">
        <f>IFERROR(MATCH($AC$4&amp;"|2",GELIR_GIDER!$U$7:$U$3006,0),0)</f>
        <v>160</v>
      </c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>
        <v>364</v>
      </c>
      <c r="N375" s="1" t="str">
        <f>IF($U375=0,"",INDEX(GELIR_GIDER!$C$7:$C$3006,$U375))</f>
        <v/>
      </c>
      <c r="O375" s="1" t="str">
        <f>IF($N375="","",INDEX(GELIR_GIDER!$E$7:$E$3006,$U375)&amp;IF(INDEX(GELIR_GIDER!$F$7:$F$3006,$U375)="",""," – "&amp;INDEX(GELIR_GIDER!$F$7:$F$3006,$U375)))</f>
        <v/>
      </c>
      <c r="P375" s="1" t="str">
        <f t="shared" si="72"/>
        <v/>
      </c>
      <c r="Q375" s="1"/>
      <c r="R375" s="1">
        <f>IF($N375="",0,INDEX(GELIR_GIDER!$G$7:$G$3006,$U375))</f>
        <v>0</v>
      </c>
      <c r="S375" s="1">
        <v>0</v>
      </c>
      <c r="T375" s="1">
        <f t="shared" si="70"/>
        <v>10000000000</v>
      </c>
      <c r="U375" s="1">
        <f>IFERROR(MATCH($AC$4&amp;"|3",GELIR_GIDER!$U$7:$U$3006,0),0)</f>
        <v>0</v>
      </c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>
        <v>365</v>
      </c>
      <c r="N376" s="1" t="str">
        <f>IF($U376=0,"",INDEX(GELIR_GIDER!$C$7:$C$3006,$U376))</f>
        <v/>
      </c>
      <c r="O376" s="1" t="str">
        <f>IF($N376="","",INDEX(GELIR_GIDER!$E$7:$E$3006,$U376)&amp;IF(INDEX(GELIR_GIDER!$F$7:$F$3006,$U376)="",""," – "&amp;INDEX(GELIR_GIDER!$F$7:$F$3006,$U376)))</f>
        <v/>
      </c>
      <c r="P376" s="1" t="str">
        <f t="shared" si="72"/>
        <v/>
      </c>
      <c r="Q376" s="1"/>
      <c r="R376" s="1">
        <f>IF($N376="",0,INDEX(GELIR_GIDER!$G$7:$G$3006,$U376))</f>
        <v>0</v>
      </c>
      <c r="S376" s="1">
        <v>0</v>
      </c>
      <c r="T376" s="1">
        <f t="shared" si="70"/>
        <v>10000000000</v>
      </c>
      <c r="U376" s="1">
        <f>IFERROR(MATCH($AC$4&amp;"|4",GELIR_GIDER!$U$7:$U$3006,0),0)</f>
        <v>0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>
        <v>366</v>
      </c>
      <c r="N377" s="1" t="str">
        <f>IF($U377=0,"",INDEX(GELIR_GIDER!$C$7:$C$3006,$U377))</f>
        <v/>
      </c>
      <c r="O377" s="1" t="str">
        <f>IF($N377="","",INDEX(GELIR_GIDER!$E$7:$E$3006,$U377)&amp;IF(INDEX(GELIR_GIDER!$F$7:$F$3006,$U377)="",""," – "&amp;INDEX(GELIR_GIDER!$F$7:$F$3006,$U377)))</f>
        <v/>
      </c>
      <c r="P377" s="1" t="str">
        <f t="shared" si="72"/>
        <v/>
      </c>
      <c r="Q377" s="1"/>
      <c r="R377" s="1">
        <f>IF($N377="",0,INDEX(GELIR_GIDER!$G$7:$G$3006,$U377))</f>
        <v>0</v>
      </c>
      <c r="S377" s="1">
        <v>0</v>
      </c>
      <c r="T377" s="1">
        <f t="shared" si="70"/>
        <v>10000000000</v>
      </c>
      <c r="U377" s="1">
        <f>IFERROR(MATCH($AC$4&amp;"|5",GELIR_GIDER!$U$7:$U$3006,0),0)</f>
        <v>0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367</v>
      </c>
      <c r="N378" s="1" t="str">
        <f>IF($U378=0,"",INDEX(GELIR_GIDER!$C$7:$C$3006,$U378))</f>
        <v/>
      </c>
      <c r="O378" s="1" t="str">
        <f>IF($N378="","",INDEX(GELIR_GIDER!$E$7:$E$3006,$U378)&amp;IF(INDEX(GELIR_GIDER!$F$7:$F$3006,$U378)="",""," – "&amp;INDEX(GELIR_GIDER!$F$7:$F$3006,$U378)))</f>
        <v/>
      </c>
      <c r="P378" s="1" t="str">
        <f t="shared" si="72"/>
        <v/>
      </c>
      <c r="Q378" s="1"/>
      <c r="R378" s="1">
        <f>IF($N378="",0,INDEX(GELIR_GIDER!$G$7:$G$3006,$U378))</f>
        <v>0</v>
      </c>
      <c r="S378" s="1">
        <v>0</v>
      </c>
      <c r="T378" s="1">
        <f t="shared" si="70"/>
        <v>10000000000</v>
      </c>
      <c r="U378" s="1">
        <f>IFERROR(MATCH($AC$4&amp;"|6",GELIR_GIDER!$U$7:$U$3006,0),0)</f>
        <v>0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>
        <v>368</v>
      </c>
      <c r="N379" s="1" t="str">
        <f>IF($U379=0,"",INDEX(GELIR_GIDER!$C$7:$C$3006,$U379))</f>
        <v/>
      </c>
      <c r="O379" s="1" t="str">
        <f>IF($N379="","",INDEX(GELIR_GIDER!$E$7:$E$3006,$U379)&amp;IF(INDEX(GELIR_GIDER!$F$7:$F$3006,$U379)="",""," – "&amp;INDEX(GELIR_GIDER!$F$7:$F$3006,$U379)))</f>
        <v/>
      </c>
      <c r="P379" s="1" t="str">
        <f t="shared" si="72"/>
        <v/>
      </c>
      <c r="Q379" s="1"/>
      <c r="R379" s="1">
        <f>IF($N379="",0,INDEX(GELIR_GIDER!$G$7:$G$3006,$U379))</f>
        <v>0</v>
      </c>
      <c r="S379" s="1">
        <v>0</v>
      </c>
      <c r="T379" s="1">
        <f t="shared" si="70"/>
        <v>10000000000</v>
      </c>
      <c r="U379" s="1">
        <f>IFERROR(MATCH($AC$4&amp;"|7",GELIR_GIDER!$U$7:$U$3006,0),0)</f>
        <v>0</v>
      </c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369</v>
      </c>
      <c r="N380" s="1" t="str">
        <f>IF($U380=0,"",INDEX(GELIR_GIDER!$C$7:$C$3006,$U380))</f>
        <v/>
      </c>
      <c r="O380" s="1" t="str">
        <f>IF($N380="","",INDEX(GELIR_GIDER!$E$7:$E$3006,$U380)&amp;IF(INDEX(GELIR_GIDER!$F$7:$F$3006,$U380)="",""," – "&amp;INDEX(GELIR_GIDER!$F$7:$F$3006,$U380)))</f>
        <v/>
      </c>
      <c r="P380" s="1" t="str">
        <f t="shared" si="72"/>
        <v/>
      </c>
      <c r="Q380" s="1"/>
      <c r="R380" s="1">
        <f>IF($N380="",0,INDEX(GELIR_GIDER!$G$7:$G$3006,$U380))</f>
        <v>0</v>
      </c>
      <c r="S380" s="1">
        <v>0</v>
      </c>
      <c r="T380" s="1">
        <f t="shared" si="70"/>
        <v>10000000000</v>
      </c>
      <c r="U380" s="1">
        <f>IFERROR(MATCH($AC$4&amp;"|8",GELIR_GIDER!$U$7:$U$3006,0),0)</f>
        <v>0</v>
      </c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>
        <v>370</v>
      </c>
      <c r="N381" s="1" t="str">
        <f>IF($U381=0,"",INDEX(GELIR_GIDER!$C$7:$C$3006,$U381))</f>
        <v/>
      </c>
      <c r="O381" s="1" t="str">
        <f>IF($N381="","",INDEX(GELIR_GIDER!$E$7:$E$3006,$U381)&amp;IF(INDEX(GELIR_GIDER!$F$7:$F$3006,$U381)="",""," – "&amp;INDEX(GELIR_GIDER!$F$7:$F$3006,$U381)))</f>
        <v/>
      </c>
      <c r="P381" s="1" t="str">
        <f t="shared" si="72"/>
        <v/>
      </c>
      <c r="Q381" s="1"/>
      <c r="R381" s="1">
        <f>IF($N381="",0,INDEX(GELIR_GIDER!$G$7:$G$3006,$U381))</f>
        <v>0</v>
      </c>
      <c r="S381" s="1">
        <v>0</v>
      </c>
      <c r="T381" s="1">
        <f t="shared" si="70"/>
        <v>10000000000</v>
      </c>
      <c r="U381" s="1">
        <f>IFERROR(MATCH($AC$4&amp;"|9",GELIR_GIDER!$U$7:$U$3006,0),0)</f>
        <v>0</v>
      </c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>
        <v>371</v>
      </c>
      <c r="N382" s="1" t="str">
        <f>IF($U382=0,"",INDEX(GELIR_GIDER!$C$7:$C$3006,$U382))</f>
        <v/>
      </c>
      <c r="O382" s="1" t="str">
        <f>IF($N382="","",INDEX(GELIR_GIDER!$E$7:$E$3006,$U382)&amp;IF(INDEX(GELIR_GIDER!$F$7:$F$3006,$U382)="",""," – "&amp;INDEX(GELIR_GIDER!$F$7:$F$3006,$U382)))</f>
        <v/>
      </c>
      <c r="P382" s="1" t="str">
        <f t="shared" si="72"/>
        <v/>
      </c>
      <c r="Q382" s="1"/>
      <c r="R382" s="1">
        <f>IF($N382="",0,INDEX(GELIR_GIDER!$G$7:$G$3006,$U382))</f>
        <v>0</v>
      </c>
      <c r="S382" s="1">
        <v>0</v>
      </c>
      <c r="T382" s="1">
        <f t="shared" si="70"/>
        <v>10000000000</v>
      </c>
      <c r="U382" s="1">
        <f>IFERROR(MATCH($AC$4&amp;"|10",GELIR_GIDER!$U$7:$U$3006,0),0)</f>
        <v>0</v>
      </c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372</v>
      </c>
      <c r="N383" s="1" t="str">
        <f>IF($U383=0,"",INDEX(GELIR_GIDER!$C$7:$C$3006,$U383))</f>
        <v/>
      </c>
      <c r="O383" s="1" t="str">
        <f>IF($N383="","",INDEX(GELIR_GIDER!$E$7:$E$3006,$U383)&amp;IF(INDEX(GELIR_GIDER!$F$7:$F$3006,$U383)="",""," – "&amp;INDEX(GELIR_GIDER!$F$7:$F$3006,$U383)))</f>
        <v/>
      </c>
      <c r="P383" s="1" t="str">
        <f t="shared" si="72"/>
        <v/>
      </c>
      <c r="Q383" s="1"/>
      <c r="R383" s="1">
        <f>IF($N383="",0,INDEX(GELIR_GIDER!$G$7:$G$3006,$U383))</f>
        <v>0</v>
      </c>
      <c r="S383" s="1">
        <v>0</v>
      </c>
      <c r="T383" s="1">
        <f t="shared" si="70"/>
        <v>10000000000</v>
      </c>
      <c r="U383" s="1">
        <f>IFERROR(MATCH($AC$4&amp;"|11",GELIR_GIDER!$U$7:$U$3006,0),0)</f>
        <v>0</v>
      </c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>
        <v>373</v>
      </c>
      <c r="N384" s="1" t="str">
        <f>IF($U384=0,"",INDEX(GELIR_GIDER!$C$7:$C$3006,$U384))</f>
        <v/>
      </c>
      <c r="O384" s="1" t="str">
        <f>IF($N384="","",INDEX(GELIR_GIDER!$E$7:$E$3006,$U384)&amp;IF(INDEX(GELIR_GIDER!$F$7:$F$3006,$U384)="",""," – "&amp;INDEX(GELIR_GIDER!$F$7:$F$3006,$U384)))</f>
        <v/>
      </c>
      <c r="P384" s="1" t="str">
        <f t="shared" si="72"/>
        <v/>
      </c>
      <c r="Q384" s="1"/>
      <c r="R384" s="1">
        <f>IF($N384="",0,INDEX(GELIR_GIDER!$G$7:$G$3006,$U384))</f>
        <v>0</v>
      </c>
      <c r="S384" s="1">
        <v>0</v>
      </c>
      <c r="T384" s="1">
        <f t="shared" si="70"/>
        <v>10000000000</v>
      </c>
      <c r="U384" s="1">
        <f>IFERROR(MATCH($AC$4&amp;"|12",GELIR_GIDER!$U$7:$U$3006,0),0)</f>
        <v>0</v>
      </c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>
        <v>374</v>
      </c>
      <c r="N385" s="1" t="str">
        <f>IF($U385=0,"",INDEX(GELIR_GIDER!$C$7:$C$3006,$U385))</f>
        <v/>
      </c>
      <c r="O385" s="1" t="str">
        <f>IF($N385="","",INDEX(GELIR_GIDER!$E$7:$E$3006,$U385)&amp;IF(INDEX(GELIR_GIDER!$F$7:$F$3006,$U385)="",""," – "&amp;INDEX(GELIR_GIDER!$F$7:$F$3006,$U385)))</f>
        <v/>
      </c>
      <c r="P385" s="1" t="str">
        <f t="shared" si="72"/>
        <v/>
      </c>
      <c r="Q385" s="1"/>
      <c r="R385" s="1">
        <f>IF($N385="",0,INDEX(GELIR_GIDER!$G$7:$G$3006,$U385))</f>
        <v>0</v>
      </c>
      <c r="S385" s="1">
        <v>0</v>
      </c>
      <c r="T385" s="1">
        <f t="shared" si="70"/>
        <v>10000000000</v>
      </c>
      <c r="U385" s="1">
        <f>IFERROR(MATCH($AC$4&amp;"|13",GELIR_GIDER!$U$7:$U$3006,0),0)</f>
        <v>0</v>
      </c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375</v>
      </c>
      <c r="N386" s="1" t="str">
        <f>IF($U386=0,"",INDEX(GELIR_GIDER!$C$7:$C$3006,$U386))</f>
        <v/>
      </c>
      <c r="O386" s="1" t="str">
        <f>IF($N386="","",INDEX(GELIR_GIDER!$E$7:$E$3006,$U386)&amp;IF(INDEX(GELIR_GIDER!$F$7:$F$3006,$U386)="",""," – "&amp;INDEX(GELIR_GIDER!$F$7:$F$3006,$U386)))</f>
        <v/>
      </c>
      <c r="P386" s="1" t="str">
        <f t="shared" si="72"/>
        <v/>
      </c>
      <c r="Q386" s="1"/>
      <c r="R386" s="1">
        <f>IF($N386="",0,INDEX(GELIR_GIDER!$G$7:$G$3006,$U386))</f>
        <v>0</v>
      </c>
      <c r="S386" s="1">
        <v>0</v>
      </c>
      <c r="T386" s="1">
        <f t="shared" si="70"/>
        <v>10000000000</v>
      </c>
      <c r="U386" s="1">
        <f>IFERROR(MATCH($AC$4&amp;"|14",GELIR_GIDER!$U$7:$U$3006,0),0)</f>
        <v>0</v>
      </c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376</v>
      </c>
      <c r="N387" s="1" t="str">
        <f>IF($U387=0,"",INDEX(GELIR_GIDER!$C$7:$C$3006,$U387))</f>
        <v/>
      </c>
      <c r="O387" s="1" t="str">
        <f>IF($N387="","",INDEX(GELIR_GIDER!$E$7:$E$3006,$U387)&amp;IF(INDEX(GELIR_GIDER!$F$7:$F$3006,$U387)="",""," – "&amp;INDEX(GELIR_GIDER!$F$7:$F$3006,$U387)))</f>
        <v/>
      </c>
      <c r="P387" s="1" t="str">
        <f t="shared" si="72"/>
        <v/>
      </c>
      <c r="Q387" s="1"/>
      <c r="R387" s="1">
        <f>IF($N387="",0,INDEX(GELIR_GIDER!$G$7:$G$3006,$U387))</f>
        <v>0</v>
      </c>
      <c r="S387" s="1">
        <v>0</v>
      </c>
      <c r="T387" s="1">
        <f t="shared" si="70"/>
        <v>10000000000</v>
      </c>
      <c r="U387" s="1">
        <f>IFERROR(MATCH($AC$4&amp;"|15",GELIR_GIDER!$U$7:$U$3006,0),0)</f>
        <v>0</v>
      </c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>
        <v>377</v>
      </c>
      <c r="N388" s="1" t="str">
        <f>IF($U388=0,"",INDEX(GELIR_GIDER!$C$7:$C$3006,$U388))</f>
        <v/>
      </c>
      <c r="O388" s="1" t="str">
        <f>IF($N388="","",INDEX(GELIR_GIDER!$E$7:$E$3006,$U388)&amp;IF(INDEX(GELIR_GIDER!$F$7:$F$3006,$U388)="",""," – "&amp;INDEX(GELIR_GIDER!$F$7:$F$3006,$U388)))</f>
        <v/>
      </c>
      <c r="P388" s="1" t="str">
        <f t="shared" si="72"/>
        <v/>
      </c>
      <c r="Q388" s="1"/>
      <c r="R388" s="1">
        <f>IF($N388="",0,INDEX(GELIR_GIDER!$G$7:$G$3006,$U388))</f>
        <v>0</v>
      </c>
      <c r="S388" s="1">
        <v>0</v>
      </c>
      <c r="T388" s="1">
        <f t="shared" si="70"/>
        <v>10000000000</v>
      </c>
      <c r="U388" s="1">
        <f>IFERROR(MATCH($AC$4&amp;"|16",GELIR_GIDER!$U$7:$U$3006,0),0)</f>
        <v>0</v>
      </c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>
        <v>378</v>
      </c>
      <c r="N389" s="1" t="str">
        <f>IF($U389=0,"",INDEX(GELIR_GIDER!$C$7:$C$3006,$U389))</f>
        <v/>
      </c>
      <c r="O389" s="1" t="str">
        <f>IF($N389="","",INDEX(GELIR_GIDER!$E$7:$E$3006,$U389)&amp;IF(INDEX(GELIR_GIDER!$F$7:$F$3006,$U389)="",""," – "&amp;INDEX(GELIR_GIDER!$F$7:$F$3006,$U389)))</f>
        <v/>
      </c>
      <c r="P389" s="1" t="str">
        <f t="shared" si="72"/>
        <v/>
      </c>
      <c r="Q389" s="1"/>
      <c r="R389" s="1">
        <f>IF($N389="",0,INDEX(GELIR_GIDER!$G$7:$G$3006,$U389))</f>
        <v>0</v>
      </c>
      <c r="S389" s="1">
        <v>0</v>
      </c>
      <c r="T389" s="1">
        <f t="shared" si="70"/>
        <v>10000000000</v>
      </c>
      <c r="U389" s="1">
        <f>IFERROR(MATCH($AC$4&amp;"|17",GELIR_GIDER!$U$7:$U$3006,0),0)</f>
        <v>0</v>
      </c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>
        <v>379</v>
      </c>
      <c r="N390" s="1" t="str">
        <f>IF($U390=0,"",INDEX(GELIR_GIDER!$C$7:$C$3006,$U390))</f>
        <v/>
      </c>
      <c r="O390" s="1" t="str">
        <f>IF($N390="","",INDEX(GELIR_GIDER!$E$7:$E$3006,$U390)&amp;IF(INDEX(GELIR_GIDER!$F$7:$F$3006,$U390)="",""," – "&amp;INDEX(GELIR_GIDER!$F$7:$F$3006,$U390)))</f>
        <v/>
      </c>
      <c r="P390" s="1" t="str">
        <f t="shared" si="72"/>
        <v/>
      </c>
      <c r="Q390" s="1"/>
      <c r="R390" s="1">
        <f>IF($N390="",0,INDEX(GELIR_GIDER!$G$7:$G$3006,$U390))</f>
        <v>0</v>
      </c>
      <c r="S390" s="1">
        <v>0</v>
      </c>
      <c r="T390" s="1">
        <f t="shared" si="70"/>
        <v>10000000000</v>
      </c>
      <c r="U390" s="1">
        <f>IFERROR(MATCH($AC$4&amp;"|18",GELIR_GIDER!$U$7:$U$3006,0),0)</f>
        <v>0</v>
      </c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>
        <v>380</v>
      </c>
      <c r="N391" s="1" t="str">
        <f>IF($U391=0,"",INDEX(GELIR_GIDER!$C$7:$C$3006,$U391))</f>
        <v/>
      </c>
      <c r="O391" s="1" t="str">
        <f>IF($N391="","",INDEX(GELIR_GIDER!$E$7:$E$3006,$U391)&amp;IF(INDEX(GELIR_GIDER!$F$7:$F$3006,$U391)="",""," – "&amp;INDEX(GELIR_GIDER!$F$7:$F$3006,$U391)))</f>
        <v/>
      </c>
      <c r="P391" s="1" t="str">
        <f t="shared" si="72"/>
        <v/>
      </c>
      <c r="Q391" s="1"/>
      <c r="R391" s="1">
        <f>IF($N391="",0,INDEX(GELIR_GIDER!$G$7:$G$3006,$U391))</f>
        <v>0</v>
      </c>
      <c r="S391" s="1">
        <v>0</v>
      </c>
      <c r="T391" s="1">
        <f t="shared" si="70"/>
        <v>10000000000</v>
      </c>
      <c r="U391" s="1">
        <f>IFERROR(MATCH($AC$4&amp;"|19",GELIR_GIDER!$U$7:$U$3006,0),0)</f>
        <v>0</v>
      </c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>
        <v>381</v>
      </c>
      <c r="N392" s="1" t="str">
        <f>IF($U392=0,"",INDEX(GELIR_GIDER!$C$7:$C$3006,$U392))</f>
        <v/>
      </c>
      <c r="O392" s="1" t="str">
        <f>IF($N392="","",INDEX(GELIR_GIDER!$E$7:$E$3006,$U392)&amp;IF(INDEX(GELIR_GIDER!$F$7:$F$3006,$U392)="",""," – "&amp;INDEX(GELIR_GIDER!$F$7:$F$3006,$U392)))</f>
        <v/>
      </c>
      <c r="P392" s="1" t="str">
        <f t="shared" si="72"/>
        <v/>
      </c>
      <c r="Q392" s="1"/>
      <c r="R392" s="1">
        <f>IF($N392="",0,INDEX(GELIR_GIDER!$G$7:$G$3006,$U392))</f>
        <v>0</v>
      </c>
      <c r="S392" s="1">
        <v>0</v>
      </c>
      <c r="T392" s="1">
        <f t="shared" si="70"/>
        <v>10000000000</v>
      </c>
      <c r="U392" s="1">
        <f>IFERROR(MATCH($AC$4&amp;"|20",GELIR_GIDER!$U$7:$U$3006,0),0)</f>
        <v>0</v>
      </c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382</v>
      </c>
      <c r="N393" s="1" t="str">
        <f>IF($U393=0,"",INDEX(GELIR_GIDER!$C$7:$C$3006,$U393))</f>
        <v/>
      </c>
      <c r="O393" s="1" t="str">
        <f>IF($N393="","",INDEX(GELIR_GIDER!$E$7:$E$3006,$U393)&amp;IF(INDEX(GELIR_GIDER!$F$7:$F$3006,$U393)="",""," – "&amp;INDEX(GELIR_GIDER!$F$7:$F$3006,$U393)))</f>
        <v/>
      </c>
      <c r="P393" s="1" t="str">
        <f t="shared" si="72"/>
        <v/>
      </c>
      <c r="Q393" s="1"/>
      <c r="R393" s="1">
        <f>IF($N393="",0,INDEX(GELIR_GIDER!$G$7:$G$3006,$U393))</f>
        <v>0</v>
      </c>
      <c r="S393" s="1">
        <v>0</v>
      </c>
      <c r="T393" s="1">
        <f t="shared" si="70"/>
        <v>10000000000</v>
      </c>
      <c r="U393" s="1">
        <f>IFERROR(MATCH($AC$4&amp;"|21",GELIR_GIDER!$U$7:$U$3006,0),0)</f>
        <v>0</v>
      </c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>
        <v>383</v>
      </c>
      <c r="N394" s="1" t="str">
        <f>IF($U394=0,"",INDEX(GELIR_GIDER!$C$7:$C$3006,$U394))</f>
        <v/>
      </c>
      <c r="O394" s="1" t="str">
        <f>IF($N394="","",INDEX(GELIR_GIDER!$E$7:$E$3006,$U394)&amp;IF(INDEX(GELIR_GIDER!$F$7:$F$3006,$U394)="",""," – "&amp;INDEX(GELIR_GIDER!$F$7:$F$3006,$U394)))</f>
        <v/>
      </c>
      <c r="P394" s="1" t="str">
        <f t="shared" si="72"/>
        <v/>
      </c>
      <c r="Q394" s="1"/>
      <c r="R394" s="1">
        <f>IF($N394="",0,INDEX(GELIR_GIDER!$G$7:$G$3006,$U394))</f>
        <v>0</v>
      </c>
      <c r="S394" s="1">
        <v>0</v>
      </c>
      <c r="T394" s="1">
        <f t="shared" si="70"/>
        <v>10000000000</v>
      </c>
      <c r="U394" s="1">
        <f>IFERROR(MATCH($AC$4&amp;"|22",GELIR_GIDER!$U$7:$U$3006,0),0)</f>
        <v>0</v>
      </c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>
        <v>384</v>
      </c>
      <c r="N395" s="1" t="str">
        <f>IF($U395=0,"",INDEX(GELIR_GIDER!$C$7:$C$3006,$U395))</f>
        <v/>
      </c>
      <c r="O395" s="1" t="str">
        <f>IF($N395="","",INDEX(GELIR_GIDER!$E$7:$E$3006,$U395)&amp;IF(INDEX(GELIR_GIDER!$F$7:$F$3006,$U395)="",""," – "&amp;INDEX(GELIR_GIDER!$F$7:$F$3006,$U395)))</f>
        <v/>
      </c>
      <c r="P395" s="1" t="str">
        <f t="shared" si="72"/>
        <v/>
      </c>
      <c r="Q395" s="1"/>
      <c r="R395" s="1">
        <f>IF($N395="",0,INDEX(GELIR_GIDER!$G$7:$G$3006,$U395))</f>
        <v>0</v>
      </c>
      <c r="S395" s="1">
        <v>0</v>
      </c>
      <c r="T395" s="1">
        <f t="shared" si="70"/>
        <v>10000000000</v>
      </c>
      <c r="U395" s="1">
        <f>IFERROR(MATCH($AC$4&amp;"|23",GELIR_GIDER!$U$7:$U$3006,0),0)</f>
        <v>0</v>
      </c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>
        <v>385</v>
      </c>
      <c r="N396" s="1" t="str">
        <f>IF($U396=0,"",INDEX(GELIR_GIDER!$C$7:$C$3006,$U396))</f>
        <v/>
      </c>
      <c r="O396" s="1" t="str">
        <f>IF($N396="","",INDEX(GELIR_GIDER!$E$7:$E$3006,$U396)&amp;IF(INDEX(GELIR_GIDER!$F$7:$F$3006,$U396)="",""," – "&amp;INDEX(GELIR_GIDER!$F$7:$F$3006,$U396)))</f>
        <v/>
      </c>
      <c r="P396" s="1" t="str">
        <f t="shared" si="72"/>
        <v/>
      </c>
      <c r="Q396" s="1"/>
      <c r="R396" s="1">
        <f>IF($N396="",0,INDEX(GELIR_GIDER!$G$7:$G$3006,$U396))</f>
        <v>0</v>
      </c>
      <c r="S396" s="1">
        <v>0</v>
      </c>
      <c r="T396" s="1">
        <f t="shared" ref="T396:T432" si="73">IF($N396="",10000000000,$N396*100000+$M396)</f>
        <v>10000000000</v>
      </c>
      <c r="U396" s="1">
        <f>IFERROR(MATCH($AC$4&amp;"|24",GELIR_GIDER!$U$7:$U$3006,0),0)</f>
        <v>0</v>
      </c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>
        <v>386</v>
      </c>
      <c r="N397" s="1" t="str">
        <f>IF($U397=0,"",INDEX(GELIR_GIDER!$C$7:$C$3006,$U397))</f>
        <v/>
      </c>
      <c r="O397" s="1" t="str">
        <f>IF($N397="","",INDEX(GELIR_GIDER!$E$7:$E$3006,$U397)&amp;IF(INDEX(GELIR_GIDER!$F$7:$F$3006,$U397)="",""," – "&amp;INDEX(GELIR_GIDER!$F$7:$F$3006,$U397)))</f>
        <v/>
      </c>
      <c r="P397" s="1" t="str">
        <f t="shared" si="72"/>
        <v/>
      </c>
      <c r="Q397" s="1"/>
      <c r="R397" s="1">
        <f>IF($N397="",0,INDEX(GELIR_GIDER!$G$7:$G$3006,$U397))</f>
        <v>0</v>
      </c>
      <c r="S397" s="1">
        <v>0</v>
      </c>
      <c r="T397" s="1">
        <f t="shared" si="73"/>
        <v>10000000000</v>
      </c>
      <c r="U397" s="1">
        <f>IFERROR(MATCH($AC$4&amp;"|25",GELIR_GIDER!$U$7:$U$3006,0),0)</f>
        <v>0</v>
      </c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>
        <v>387</v>
      </c>
      <c r="N398" s="1" t="str">
        <f>IF($U398=0,"",INDEX(GELIR_GIDER!$C$7:$C$3006,$U398))</f>
        <v/>
      </c>
      <c r="O398" s="1" t="str">
        <f>IF($N398="","",INDEX(GELIR_GIDER!$E$7:$E$3006,$U398)&amp;IF(INDEX(GELIR_GIDER!$F$7:$F$3006,$U398)="",""," – "&amp;INDEX(GELIR_GIDER!$F$7:$F$3006,$U398)))</f>
        <v/>
      </c>
      <c r="P398" s="1" t="str">
        <f t="shared" si="72"/>
        <v/>
      </c>
      <c r="Q398" s="1"/>
      <c r="R398" s="1">
        <f>IF($N398="",0,INDEX(GELIR_GIDER!$G$7:$G$3006,$U398))</f>
        <v>0</v>
      </c>
      <c r="S398" s="1">
        <v>0</v>
      </c>
      <c r="T398" s="1">
        <f t="shared" si="73"/>
        <v>10000000000</v>
      </c>
      <c r="U398" s="1">
        <f>IFERROR(MATCH($AC$4&amp;"|26",GELIR_GIDER!$U$7:$U$3006,0),0)</f>
        <v>0</v>
      </c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>
        <v>388</v>
      </c>
      <c r="N399" s="1" t="str">
        <f>IF($U399=0,"",INDEX(GELIR_GIDER!$C$7:$C$3006,$U399))</f>
        <v/>
      </c>
      <c r="O399" s="1" t="str">
        <f>IF($N399="","",INDEX(GELIR_GIDER!$E$7:$E$3006,$U399)&amp;IF(INDEX(GELIR_GIDER!$F$7:$F$3006,$U399)="",""," – "&amp;INDEX(GELIR_GIDER!$F$7:$F$3006,$U399)))</f>
        <v/>
      </c>
      <c r="P399" s="1" t="str">
        <f t="shared" si="72"/>
        <v/>
      </c>
      <c r="Q399" s="1"/>
      <c r="R399" s="1">
        <f>IF($N399="",0,INDEX(GELIR_GIDER!$G$7:$G$3006,$U399))</f>
        <v>0</v>
      </c>
      <c r="S399" s="1">
        <v>0</v>
      </c>
      <c r="T399" s="1">
        <f t="shared" si="73"/>
        <v>10000000000</v>
      </c>
      <c r="U399" s="1">
        <f>IFERROR(MATCH($AC$4&amp;"|27",GELIR_GIDER!$U$7:$U$3006,0),0)</f>
        <v>0</v>
      </c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>
        <v>389</v>
      </c>
      <c r="N400" s="1" t="str">
        <f>IF($U400=0,"",INDEX(GELIR_GIDER!$C$7:$C$3006,$U400))</f>
        <v/>
      </c>
      <c r="O400" s="1" t="str">
        <f>IF($N400="","",INDEX(GELIR_GIDER!$E$7:$E$3006,$U400)&amp;IF(INDEX(GELIR_GIDER!$F$7:$F$3006,$U400)="",""," – "&amp;INDEX(GELIR_GIDER!$F$7:$F$3006,$U400)))</f>
        <v/>
      </c>
      <c r="P400" s="1" t="str">
        <f t="shared" si="72"/>
        <v/>
      </c>
      <c r="Q400" s="1"/>
      <c r="R400" s="1">
        <f>IF($N400="",0,INDEX(GELIR_GIDER!$G$7:$G$3006,$U400))</f>
        <v>0</v>
      </c>
      <c r="S400" s="1">
        <v>0</v>
      </c>
      <c r="T400" s="1">
        <f t="shared" si="73"/>
        <v>10000000000</v>
      </c>
      <c r="U400" s="1">
        <f>IFERROR(MATCH($AC$4&amp;"|28",GELIR_GIDER!$U$7:$U$3006,0),0)</f>
        <v>0</v>
      </c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>
        <v>390</v>
      </c>
      <c r="N401" s="1" t="str">
        <f>IF($U401=0,"",INDEX(GELIR_GIDER!$C$7:$C$3006,$U401))</f>
        <v/>
      </c>
      <c r="O401" s="1" t="str">
        <f>IF($N401="","",INDEX(GELIR_GIDER!$E$7:$E$3006,$U401)&amp;IF(INDEX(GELIR_GIDER!$F$7:$F$3006,$U401)="",""," – "&amp;INDEX(GELIR_GIDER!$F$7:$F$3006,$U401)))</f>
        <v/>
      </c>
      <c r="P401" s="1" t="str">
        <f t="shared" si="72"/>
        <v/>
      </c>
      <c r="Q401" s="1"/>
      <c r="R401" s="1">
        <f>IF($N401="",0,INDEX(GELIR_GIDER!$G$7:$G$3006,$U401))</f>
        <v>0</v>
      </c>
      <c r="S401" s="1">
        <v>0</v>
      </c>
      <c r="T401" s="1">
        <f t="shared" si="73"/>
        <v>10000000000</v>
      </c>
      <c r="U401" s="1">
        <f>IFERROR(MATCH($AC$4&amp;"|29",GELIR_GIDER!$U$7:$U$3006,0),0)</f>
        <v>0</v>
      </c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>
        <v>391</v>
      </c>
      <c r="N402" s="1" t="str">
        <f>IF($U402=0,"",INDEX(GELIR_GIDER!$C$7:$C$3006,$U402))</f>
        <v/>
      </c>
      <c r="O402" s="1" t="str">
        <f>IF($N402="","",INDEX(GELIR_GIDER!$E$7:$E$3006,$U402)&amp;IF(INDEX(GELIR_GIDER!$F$7:$F$3006,$U402)="",""," – "&amp;INDEX(GELIR_GIDER!$F$7:$F$3006,$U402)))</f>
        <v/>
      </c>
      <c r="P402" s="1" t="str">
        <f t="shared" si="72"/>
        <v/>
      </c>
      <c r="Q402" s="1"/>
      <c r="R402" s="1">
        <f>IF($N402="",0,INDEX(GELIR_GIDER!$G$7:$G$3006,$U402))</f>
        <v>0</v>
      </c>
      <c r="S402" s="1">
        <v>0</v>
      </c>
      <c r="T402" s="1">
        <f t="shared" si="73"/>
        <v>10000000000</v>
      </c>
      <c r="U402" s="1">
        <f>IFERROR(MATCH($AC$4&amp;"|30",GELIR_GIDER!$U$7:$U$3006,0),0)</f>
        <v>0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>
        <v>392</v>
      </c>
      <c r="N403" s="1" t="str">
        <f>IF($U403=0,"",INDEX(GELIR_GIDER!$C$7:$C$3006,$U403))</f>
        <v/>
      </c>
      <c r="O403" s="1" t="str">
        <f>IF($N403="","",INDEX(GELIR_GIDER!$E$7:$E$3006,$U403)&amp;IF(INDEX(GELIR_GIDER!$F$7:$F$3006,$U403)="",""," – "&amp;INDEX(GELIR_GIDER!$F$7:$F$3006,$U403)))</f>
        <v/>
      </c>
      <c r="P403" s="1" t="str">
        <f t="shared" si="72"/>
        <v/>
      </c>
      <c r="Q403" s="1"/>
      <c r="R403" s="1">
        <f>IF($N403="",0,INDEX(GELIR_GIDER!$G$7:$G$3006,$U403))</f>
        <v>0</v>
      </c>
      <c r="S403" s="1">
        <v>0</v>
      </c>
      <c r="T403" s="1">
        <f t="shared" si="73"/>
        <v>10000000000</v>
      </c>
      <c r="U403" s="1">
        <f>IFERROR(MATCH($AC$4&amp;"|31",GELIR_GIDER!$U$7:$U$3006,0),0)</f>
        <v>0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393</v>
      </c>
      <c r="N404" s="1" t="str">
        <f>IF($U404=0,"",INDEX(GELIR_GIDER!$C$7:$C$3006,$U404))</f>
        <v/>
      </c>
      <c r="O404" s="1" t="str">
        <f>IF($N404="","",INDEX(GELIR_GIDER!$E$7:$E$3006,$U404)&amp;IF(INDEX(GELIR_GIDER!$F$7:$F$3006,$U404)="",""," – "&amp;INDEX(GELIR_GIDER!$F$7:$F$3006,$U404)))</f>
        <v/>
      </c>
      <c r="P404" s="1" t="str">
        <f t="shared" si="72"/>
        <v/>
      </c>
      <c r="Q404" s="1"/>
      <c r="R404" s="1">
        <f>IF($N404="",0,INDEX(GELIR_GIDER!$G$7:$G$3006,$U404))</f>
        <v>0</v>
      </c>
      <c r="S404" s="1">
        <v>0</v>
      </c>
      <c r="T404" s="1">
        <f t="shared" si="73"/>
        <v>10000000000</v>
      </c>
      <c r="U404" s="1">
        <f>IFERROR(MATCH($AC$4&amp;"|32",GELIR_GIDER!$U$7:$U$3006,0),0)</f>
        <v>0</v>
      </c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>
        <v>394</v>
      </c>
      <c r="N405" s="1" t="str">
        <f>IF($U405=0,"",INDEX(GELIR_GIDER!$C$7:$C$3006,$U405))</f>
        <v/>
      </c>
      <c r="O405" s="1" t="str">
        <f>IF($N405="","",INDEX(GELIR_GIDER!$E$7:$E$3006,$U405)&amp;IF(INDEX(GELIR_GIDER!$F$7:$F$3006,$U405)="",""," – "&amp;INDEX(GELIR_GIDER!$F$7:$F$3006,$U405)))</f>
        <v/>
      </c>
      <c r="P405" s="1" t="str">
        <f t="shared" ref="P405:P432" si="74">IF($N405="","","EK HİZMET")</f>
        <v/>
      </c>
      <c r="Q405" s="1"/>
      <c r="R405" s="1">
        <f>IF($N405="",0,INDEX(GELIR_GIDER!$G$7:$G$3006,$U405))</f>
        <v>0</v>
      </c>
      <c r="S405" s="1">
        <v>0</v>
      </c>
      <c r="T405" s="1">
        <f t="shared" si="73"/>
        <v>10000000000</v>
      </c>
      <c r="U405" s="1">
        <f>IFERROR(MATCH($AC$4&amp;"|33",GELIR_GIDER!$U$7:$U$3006,0),0)</f>
        <v>0</v>
      </c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>
        <v>395</v>
      </c>
      <c r="N406" s="1" t="str">
        <f>IF($U406=0,"",INDEX(GELIR_GIDER!$C$7:$C$3006,$U406))</f>
        <v/>
      </c>
      <c r="O406" s="1" t="str">
        <f>IF($N406="","",INDEX(GELIR_GIDER!$E$7:$E$3006,$U406)&amp;IF(INDEX(GELIR_GIDER!$F$7:$F$3006,$U406)="",""," – "&amp;INDEX(GELIR_GIDER!$F$7:$F$3006,$U406)))</f>
        <v/>
      </c>
      <c r="P406" s="1" t="str">
        <f t="shared" si="74"/>
        <v/>
      </c>
      <c r="Q406" s="1"/>
      <c r="R406" s="1">
        <f>IF($N406="",0,INDEX(GELIR_GIDER!$G$7:$G$3006,$U406))</f>
        <v>0</v>
      </c>
      <c r="S406" s="1">
        <v>0</v>
      </c>
      <c r="T406" s="1">
        <f t="shared" si="73"/>
        <v>10000000000</v>
      </c>
      <c r="U406" s="1">
        <f>IFERROR(MATCH($AC$4&amp;"|34",GELIR_GIDER!$U$7:$U$3006,0),0)</f>
        <v>0</v>
      </c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>
        <v>396</v>
      </c>
      <c r="N407" s="1" t="str">
        <f>IF($U407=0,"",INDEX(GELIR_GIDER!$C$7:$C$3006,$U407))</f>
        <v/>
      </c>
      <c r="O407" s="1" t="str">
        <f>IF($N407="","",INDEX(GELIR_GIDER!$E$7:$E$3006,$U407)&amp;IF(INDEX(GELIR_GIDER!$F$7:$F$3006,$U407)="",""," – "&amp;INDEX(GELIR_GIDER!$F$7:$F$3006,$U407)))</f>
        <v/>
      </c>
      <c r="P407" s="1" t="str">
        <f t="shared" si="74"/>
        <v/>
      </c>
      <c r="Q407" s="1"/>
      <c r="R407" s="1">
        <f>IF($N407="",0,INDEX(GELIR_GIDER!$G$7:$G$3006,$U407))</f>
        <v>0</v>
      </c>
      <c r="S407" s="1">
        <v>0</v>
      </c>
      <c r="T407" s="1">
        <f t="shared" si="73"/>
        <v>10000000000</v>
      </c>
      <c r="U407" s="1">
        <f>IFERROR(MATCH($AC$4&amp;"|35",GELIR_GIDER!$U$7:$U$3006,0),0)</f>
        <v>0</v>
      </c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>
        <v>397</v>
      </c>
      <c r="N408" s="1" t="str">
        <f>IF($U408=0,"",INDEX(GELIR_GIDER!$C$7:$C$3006,$U408))</f>
        <v/>
      </c>
      <c r="O408" s="1" t="str">
        <f>IF($N408="","",INDEX(GELIR_GIDER!$E$7:$E$3006,$U408)&amp;IF(INDEX(GELIR_GIDER!$F$7:$F$3006,$U408)="",""," – "&amp;INDEX(GELIR_GIDER!$F$7:$F$3006,$U408)))</f>
        <v/>
      </c>
      <c r="P408" s="1" t="str">
        <f t="shared" si="74"/>
        <v/>
      </c>
      <c r="Q408" s="1"/>
      <c r="R408" s="1">
        <f>IF($N408="",0,INDEX(GELIR_GIDER!$G$7:$G$3006,$U408))</f>
        <v>0</v>
      </c>
      <c r="S408" s="1">
        <v>0</v>
      </c>
      <c r="T408" s="1">
        <f t="shared" si="73"/>
        <v>10000000000</v>
      </c>
      <c r="U408" s="1">
        <f>IFERROR(MATCH($AC$4&amp;"|36",GELIR_GIDER!$U$7:$U$3006,0),0)</f>
        <v>0</v>
      </c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>
        <v>398</v>
      </c>
      <c r="N409" s="1" t="str">
        <f>IF($U409=0,"",INDEX(GELIR_GIDER!$C$7:$C$3006,$U409))</f>
        <v/>
      </c>
      <c r="O409" s="1" t="str">
        <f>IF($N409="","",INDEX(GELIR_GIDER!$E$7:$E$3006,$U409)&amp;IF(INDEX(GELIR_GIDER!$F$7:$F$3006,$U409)="",""," – "&amp;INDEX(GELIR_GIDER!$F$7:$F$3006,$U409)))</f>
        <v/>
      </c>
      <c r="P409" s="1" t="str">
        <f t="shared" si="74"/>
        <v/>
      </c>
      <c r="Q409" s="1"/>
      <c r="R409" s="1">
        <f>IF($N409="",0,INDEX(GELIR_GIDER!$G$7:$G$3006,$U409))</f>
        <v>0</v>
      </c>
      <c r="S409" s="1">
        <v>0</v>
      </c>
      <c r="T409" s="1">
        <f t="shared" si="73"/>
        <v>10000000000</v>
      </c>
      <c r="U409" s="1">
        <f>IFERROR(MATCH($AC$4&amp;"|37",GELIR_GIDER!$U$7:$U$3006,0),0)</f>
        <v>0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>
        <v>399</v>
      </c>
      <c r="N410" s="1" t="str">
        <f>IF($U410=0,"",INDEX(GELIR_GIDER!$C$7:$C$3006,$U410))</f>
        <v/>
      </c>
      <c r="O410" s="1" t="str">
        <f>IF($N410="","",INDEX(GELIR_GIDER!$E$7:$E$3006,$U410)&amp;IF(INDEX(GELIR_GIDER!$F$7:$F$3006,$U410)="",""," – "&amp;INDEX(GELIR_GIDER!$F$7:$F$3006,$U410)))</f>
        <v/>
      </c>
      <c r="P410" s="1" t="str">
        <f t="shared" si="74"/>
        <v/>
      </c>
      <c r="Q410" s="1"/>
      <c r="R410" s="1">
        <f>IF($N410="",0,INDEX(GELIR_GIDER!$G$7:$G$3006,$U410))</f>
        <v>0</v>
      </c>
      <c r="S410" s="1">
        <v>0</v>
      </c>
      <c r="T410" s="1">
        <f t="shared" si="73"/>
        <v>10000000000</v>
      </c>
      <c r="U410" s="1">
        <f>IFERROR(MATCH($AC$4&amp;"|38",GELIR_GIDER!$U$7:$U$3006,0),0)</f>
        <v>0</v>
      </c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>
        <v>400</v>
      </c>
      <c r="N411" s="1" t="str">
        <f>IF($U411=0,"",INDEX(GELIR_GIDER!$C$7:$C$3006,$U411))</f>
        <v/>
      </c>
      <c r="O411" s="1" t="str">
        <f>IF($N411="","",INDEX(GELIR_GIDER!$E$7:$E$3006,$U411)&amp;IF(INDEX(GELIR_GIDER!$F$7:$F$3006,$U411)="",""," – "&amp;INDEX(GELIR_GIDER!$F$7:$F$3006,$U411)))</f>
        <v/>
      </c>
      <c r="P411" s="1" t="str">
        <f t="shared" si="74"/>
        <v/>
      </c>
      <c r="Q411" s="1"/>
      <c r="R411" s="1">
        <f>IF($N411="",0,INDEX(GELIR_GIDER!$G$7:$G$3006,$U411))</f>
        <v>0</v>
      </c>
      <c r="S411" s="1">
        <v>0</v>
      </c>
      <c r="T411" s="1">
        <f t="shared" si="73"/>
        <v>10000000000</v>
      </c>
      <c r="U411" s="1">
        <f>IFERROR(MATCH($AC$4&amp;"|39",GELIR_GIDER!$U$7:$U$3006,0),0)</f>
        <v>0</v>
      </c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401</v>
      </c>
      <c r="N412" s="1" t="str">
        <f>IF($U412=0,"",INDEX(GELIR_GIDER!$C$7:$C$3006,$U412))</f>
        <v/>
      </c>
      <c r="O412" s="1" t="str">
        <f>IF($N412="","",INDEX(GELIR_GIDER!$E$7:$E$3006,$U412)&amp;IF(INDEX(GELIR_GIDER!$F$7:$F$3006,$U412)="",""," – "&amp;INDEX(GELIR_GIDER!$F$7:$F$3006,$U412)))</f>
        <v/>
      </c>
      <c r="P412" s="1" t="str">
        <f t="shared" si="74"/>
        <v/>
      </c>
      <c r="Q412" s="1"/>
      <c r="R412" s="1">
        <f>IF($N412="",0,INDEX(GELIR_GIDER!$G$7:$G$3006,$U412))</f>
        <v>0</v>
      </c>
      <c r="S412" s="1">
        <v>0</v>
      </c>
      <c r="T412" s="1">
        <f t="shared" si="73"/>
        <v>10000000000</v>
      </c>
      <c r="U412" s="1">
        <f>IFERROR(MATCH($AC$4&amp;"|40",GELIR_GIDER!$U$7:$U$3006,0),0)</f>
        <v>0</v>
      </c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>
        <v>402</v>
      </c>
      <c r="N413" s="1" t="str">
        <f>IF($U413=0,"",INDEX(GELIR_GIDER!$C$7:$C$3006,$U413))</f>
        <v/>
      </c>
      <c r="O413" s="1" t="str">
        <f>IF($N413="","",INDEX(GELIR_GIDER!$E$7:$E$3006,$U413)&amp;IF(INDEX(GELIR_GIDER!$F$7:$F$3006,$U413)="",""," – "&amp;INDEX(GELIR_GIDER!$F$7:$F$3006,$U413)))</f>
        <v/>
      </c>
      <c r="P413" s="1" t="str">
        <f t="shared" si="74"/>
        <v/>
      </c>
      <c r="Q413" s="1"/>
      <c r="R413" s="1">
        <f>IF($N413="",0,INDEX(GELIR_GIDER!$G$7:$G$3006,$U413))</f>
        <v>0</v>
      </c>
      <c r="S413" s="1">
        <v>0</v>
      </c>
      <c r="T413" s="1">
        <f t="shared" si="73"/>
        <v>10000000000</v>
      </c>
      <c r="U413" s="1">
        <f>IFERROR(MATCH($AC$4&amp;"|41",GELIR_GIDER!$U$7:$U$3006,0),0)</f>
        <v>0</v>
      </c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>
        <v>403</v>
      </c>
      <c r="N414" s="1" t="str">
        <f>IF($U414=0,"",INDEX(GELIR_GIDER!$C$7:$C$3006,$U414))</f>
        <v/>
      </c>
      <c r="O414" s="1" t="str">
        <f>IF($N414="","",INDEX(GELIR_GIDER!$E$7:$E$3006,$U414)&amp;IF(INDEX(GELIR_GIDER!$F$7:$F$3006,$U414)="",""," – "&amp;INDEX(GELIR_GIDER!$F$7:$F$3006,$U414)))</f>
        <v/>
      </c>
      <c r="P414" s="1" t="str">
        <f t="shared" si="74"/>
        <v/>
      </c>
      <c r="Q414" s="1"/>
      <c r="R414" s="1">
        <f>IF($N414="",0,INDEX(GELIR_GIDER!$G$7:$G$3006,$U414))</f>
        <v>0</v>
      </c>
      <c r="S414" s="1">
        <v>0</v>
      </c>
      <c r="T414" s="1">
        <f t="shared" si="73"/>
        <v>10000000000</v>
      </c>
      <c r="U414" s="1">
        <f>IFERROR(MATCH($AC$4&amp;"|42",GELIR_GIDER!$U$7:$U$3006,0),0)</f>
        <v>0</v>
      </c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>
        <v>404</v>
      </c>
      <c r="N415" s="1" t="str">
        <f>IF($U415=0,"",INDEX(GELIR_GIDER!$C$7:$C$3006,$U415))</f>
        <v/>
      </c>
      <c r="O415" s="1" t="str">
        <f>IF($N415="","",INDEX(GELIR_GIDER!$E$7:$E$3006,$U415)&amp;IF(INDEX(GELIR_GIDER!$F$7:$F$3006,$U415)="",""," – "&amp;INDEX(GELIR_GIDER!$F$7:$F$3006,$U415)))</f>
        <v/>
      </c>
      <c r="P415" s="1" t="str">
        <f t="shared" si="74"/>
        <v/>
      </c>
      <c r="Q415" s="1"/>
      <c r="R415" s="1">
        <f>IF($N415="",0,INDEX(GELIR_GIDER!$G$7:$G$3006,$U415))</f>
        <v>0</v>
      </c>
      <c r="S415" s="1">
        <v>0</v>
      </c>
      <c r="T415" s="1">
        <f t="shared" si="73"/>
        <v>10000000000</v>
      </c>
      <c r="U415" s="1">
        <f>IFERROR(MATCH($AC$4&amp;"|43",GELIR_GIDER!$U$7:$U$3006,0),0)</f>
        <v>0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>
        <v>405</v>
      </c>
      <c r="N416" s="1" t="str">
        <f>IF($U416=0,"",INDEX(GELIR_GIDER!$C$7:$C$3006,$U416))</f>
        <v/>
      </c>
      <c r="O416" s="1" t="str">
        <f>IF($N416="","",INDEX(GELIR_GIDER!$E$7:$E$3006,$U416)&amp;IF(INDEX(GELIR_GIDER!$F$7:$F$3006,$U416)="",""," – "&amp;INDEX(GELIR_GIDER!$F$7:$F$3006,$U416)))</f>
        <v/>
      </c>
      <c r="P416" s="1" t="str">
        <f t="shared" si="74"/>
        <v/>
      </c>
      <c r="Q416" s="1"/>
      <c r="R416" s="1">
        <f>IF($N416="",0,INDEX(GELIR_GIDER!$G$7:$G$3006,$U416))</f>
        <v>0</v>
      </c>
      <c r="S416" s="1">
        <v>0</v>
      </c>
      <c r="T416" s="1">
        <f t="shared" si="73"/>
        <v>10000000000</v>
      </c>
      <c r="U416" s="1">
        <f>IFERROR(MATCH($AC$4&amp;"|44",GELIR_GIDER!$U$7:$U$3006,0),0)</f>
        <v>0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>
        <v>406</v>
      </c>
      <c r="N417" s="1" t="str">
        <f>IF($U417=0,"",INDEX(GELIR_GIDER!$C$7:$C$3006,$U417))</f>
        <v/>
      </c>
      <c r="O417" s="1" t="str">
        <f>IF($N417="","",INDEX(GELIR_GIDER!$E$7:$E$3006,$U417)&amp;IF(INDEX(GELIR_GIDER!$F$7:$F$3006,$U417)="",""," – "&amp;INDEX(GELIR_GIDER!$F$7:$F$3006,$U417)))</f>
        <v/>
      </c>
      <c r="P417" s="1" t="str">
        <f t="shared" si="74"/>
        <v/>
      </c>
      <c r="Q417" s="1"/>
      <c r="R417" s="1">
        <f>IF($N417="",0,INDEX(GELIR_GIDER!$G$7:$G$3006,$U417))</f>
        <v>0</v>
      </c>
      <c r="S417" s="1">
        <v>0</v>
      </c>
      <c r="T417" s="1">
        <f t="shared" si="73"/>
        <v>10000000000</v>
      </c>
      <c r="U417" s="1">
        <f>IFERROR(MATCH($AC$4&amp;"|45",GELIR_GIDER!$U$7:$U$3006,0),0)</f>
        <v>0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407</v>
      </c>
      <c r="N418" s="1" t="str">
        <f>IF($U418=0,"",INDEX(GELIR_GIDER!$C$7:$C$3006,$U418))</f>
        <v/>
      </c>
      <c r="O418" s="1" t="str">
        <f>IF($N418="","",INDEX(GELIR_GIDER!$E$7:$E$3006,$U418)&amp;IF(INDEX(GELIR_GIDER!$F$7:$F$3006,$U418)="",""," – "&amp;INDEX(GELIR_GIDER!$F$7:$F$3006,$U418)))</f>
        <v/>
      </c>
      <c r="P418" s="1" t="str">
        <f t="shared" si="74"/>
        <v/>
      </c>
      <c r="Q418" s="1"/>
      <c r="R418" s="1">
        <f>IF($N418="",0,INDEX(GELIR_GIDER!$G$7:$G$3006,$U418))</f>
        <v>0</v>
      </c>
      <c r="S418" s="1">
        <v>0</v>
      </c>
      <c r="T418" s="1">
        <f t="shared" si="73"/>
        <v>10000000000</v>
      </c>
      <c r="U418" s="1">
        <f>IFERROR(MATCH($AC$4&amp;"|46",GELIR_GIDER!$U$7:$U$3006,0),0)</f>
        <v>0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408</v>
      </c>
      <c r="N419" s="1" t="str">
        <f>IF($U419=0,"",INDEX(GELIR_GIDER!$C$7:$C$3006,$U419))</f>
        <v/>
      </c>
      <c r="O419" s="1" t="str">
        <f>IF($N419="","",INDEX(GELIR_GIDER!$E$7:$E$3006,$U419)&amp;IF(INDEX(GELIR_GIDER!$F$7:$F$3006,$U419)="",""," – "&amp;INDEX(GELIR_GIDER!$F$7:$F$3006,$U419)))</f>
        <v/>
      </c>
      <c r="P419" s="1" t="str">
        <f t="shared" si="74"/>
        <v/>
      </c>
      <c r="Q419" s="1"/>
      <c r="R419" s="1">
        <f>IF($N419="",0,INDEX(GELIR_GIDER!$G$7:$G$3006,$U419))</f>
        <v>0</v>
      </c>
      <c r="S419" s="1">
        <v>0</v>
      </c>
      <c r="T419" s="1">
        <f t="shared" si="73"/>
        <v>10000000000</v>
      </c>
      <c r="U419" s="1">
        <f>IFERROR(MATCH($AC$4&amp;"|47",GELIR_GIDER!$U$7:$U$3006,0),0)</f>
        <v>0</v>
      </c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>
        <v>409</v>
      </c>
      <c r="N420" s="1" t="str">
        <f>IF($U420=0,"",INDEX(GELIR_GIDER!$C$7:$C$3006,$U420))</f>
        <v/>
      </c>
      <c r="O420" s="1" t="str">
        <f>IF($N420="","",INDEX(GELIR_GIDER!$E$7:$E$3006,$U420)&amp;IF(INDEX(GELIR_GIDER!$F$7:$F$3006,$U420)="",""," – "&amp;INDEX(GELIR_GIDER!$F$7:$F$3006,$U420)))</f>
        <v/>
      </c>
      <c r="P420" s="1" t="str">
        <f t="shared" si="74"/>
        <v/>
      </c>
      <c r="Q420" s="1"/>
      <c r="R420" s="1">
        <f>IF($N420="",0,INDEX(GELIR_GIDER!$G$7:$G$3006,$U420))</f>
        <v>0</v>
      </c>
      <c r="S420" s="1">
        <v>0</v>
      </c>
      <c r="T420" s="1">
        <f t="shared" si="73"/>
        <v>10000000000</v>
      </c>
      <c r="U420" s="1">
        <f>IFERROR(MATCH($AC$4&amp;"|48",GELIR_GIDER!$U$7:$U$3006,0),0)</f>
        <v>0</v>
      </c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410</v>
      </c>
      <c r="N421" s="1" t="str">
        <f>IF($U421=0,"",INDEX(GELIR_GIDER!$C$7:$C$3006,$U421))</f>
        <v/>
      </c>
      <c r="O421" s="1" t="str">
        <f>IF($N421="","",INDEX(GELIR_GIDER!$E$7:$E$3006,$U421)&amp;IF(INDEX(GELIR_GIDER!$F$7:$F$3006,$U421)="",""," – "&amp;INDEX(GELIR_GIDER!$F$7:$F$3006,$U421)))</f>
        <v/>
      </c>
      <c r="P421" s="1" t="str">
        <f t="shared" si="74"/>
        <v/>
      </c>
      <c r="Q421" s="1"/>
      <c r="R421" s="1">
        <f>IF($N421="",0,INDEX(GELIR_GIDER!$G$7:$G$3006,$U421))</f>
        <v>0</v>
      </c>
      <c r="S421" s="1">
        <v>0</v>
      </c>
      <c r="T421" s="1">
        <f t="shared" si="73"/>
        <v>10000000000</v>
      </c>
      <c r="U421" s="1">
        <f>IFERROR(MATCH($AC$4&amp;"|49",GELIR_GIDER!$U$7:$U$3006,0),0)</f>
        <v>0</v>
      </c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>
        <v>411</v>
      </c>
      <c r="N422" s="1" t="str">
        <f>IF($U422=0,"",INDEX(GELIR_GIDER!$C$7:$C$3006,$U422))</f>
        <v/>
      </c>
      <c r="O422" s="1" t="str">
        <f>IF($N422="","",INDEX(GELIR_GIDER!$E$7:$E$3006,$U422)&amp;IF(INDEX(GELIR_GIDER!$F$7:$F$3006,$U422)="",""," – "&amp;INDEX(GELIR_GIDER!$F$7:$F$3006,$U422)))</f>
        <v/>
      </c>
      <c r="P422" s="1" t="str">
        <f t="shared" si="74"/>
        <v/>
      </c>
      <c r="Q422" s="1"/>
      <c r="R422" s="1">
        <f>IF($N422="",0,INDEX(GELIR_GIDER!$G$7:$G$3006,$U422))</f>
        <v>0</v>
      </c>
      <c r="S422" s="1">
        <v>0</v>
      </c>
      <c r="T422" s="1">
        <f t="shared" si="73"/>
        <v>10000000000</v>
      </c>
      <c r="U422" s="1">
        <f>IFERROR(MATCH($AC$4&amp;"|50",GELIR_GIDER!$U$7:$U$3006,0),0)</f>
        <v>0</v>
      </c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>
        <v>412</v>
      </c>
      <c r="N423" s="1" t="str">
        <f>IF($U423=0,"",INDEX(GELIR_GIDER!$C$7:$C$3006,$U423))</f>
        <v/>
      </c>
      <c r="O423" s="1" t="str">
        <f>IF($N423="","",INDEX(GELIR_GIDER!$E$7:$E$3006,$U423)&amp;IF(INDEX(GELIR_GIDER!$F$7:$F$3006,$U423)="",""," – "&amp;INDEX(GELIR_GIDER!$F$7:$F$3006,$U423)))</f>
        <v/>
      </c>
      <c r="P423" s="1" t="str">
        <f t="shared" si="74"/>
        <v/>
      </c>
      <c r="Q423" s="1"/>
      <c r="R423" s="1">
        <f>IF($N423="",0,INDEX(GELIR_GIDER!$G$7:$G$3006,$U423))</f>
        <v>0</v>
      </c>
      <c r="S423" s="1">
        <v>0</v>
      </c>
      <c r="T423" s="1">
        <f t="shared" si="73"/>
        <v>10000000000</v>
      </c>
      <c r="U423" s="1">
        <f>IFERROR(MATCH($AC$4&amp;"|51",GELIR_GIDER!$U$7:$U$3006,0),0)</f>
        <v>0</v>
      </c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>
        <v>413</v>
      </c>
      <c r="N424" s="1" t="str">
        <f>IF($U424=0,"",INDEX(GELIR_GIDER!$C$7:$C$3006,$U424))</f>
        <v/>
      </c>
      <c r="O424" s="1" t="str">
        <f>IF($N424="","",INDEX(GELIR_GIDER!$E$7:$E$3006,$U424)&amp;IF(INDEX(GELIR_GIDER!$F$7:$F$3006,$U424)="",""," – "&amp;INDEX(GELIR_GIDER!$F$7:$F$3006,$U424)))</f>
        <v/>
      </c>
      <c r="P424" s="1" t="str">
        <f t="shared" si="74"/>
        <v/>
      </c>
      <c r="Q424" s="1"/>
      <c r="R424" s="1">
        <f>IF($N424="",0,INDEX(GELIR_GIDER!$G$7:$G$3006,$U424))</f>
        <v>0</v>
      </c>
      <c r="S424" s="1">
        <v>0</v>
      </c>
      <c r="T424" s="1">
        <f t="shared" si="73"/>
        <v>10000000000</v>
      </c>
      <c r="U424" s="1">
        <f>IFERROR(MATCH($AC$4&amp;"|52",GELIR_GIDER!$U$7:$U$3006,0),0)</f>
        <v>0</v>
      </c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>
        <v>414</v>
      </c>
      <c r="N425" s="1" t="str">
        <f>IF($U425=0,"",INDEX(GELIR_GIDER!$C$7:$C$3006,$U425))</f>
        <v/>
      </c>
      <c r="O425" s="1" t="str">
        <f>IF($N425="","",INDEX(GELIR_GIDER!$E$7:$E$3006,$U425)&amp;IF(INDEX(GELIR_GIDER!$F$7:$F$3006,$U425)="",""," – "&amp;INDEX(GELIR_GIDER!$F$7:$F$3006,$U425)))</f>
        <v/>
      </c>
      <c r="P425" s="1" t="str">
        <f t="shared" si="74"/>
        <v/>
      </c>
      <c r="Q425" s="1"/>
      <c r="R425" s="1">
        <f>IF($N425="",0,INDEX(GELIR_GIDER!$G$7:$G$3006,$U425))</f>
        <v>0</v>
      </c>
      <c r="S425" s="1">
        <v>0</v>
      </c>
      <c r="T425" s="1">
        <f t="shared" si="73"/>
        <v>10000000000</v>
      </c>
      <c r="U425" s="1">
        <f>IFERROR(MATCH($AC$4&amp;"|53",GELIR_GIDER!$U$7:$U$3006,0),0)</f>
        <v>0</v>
      </c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>
        <v>415</v>
      </c>
      <c r="N426" s="1" t="str">
        <f>IF($U426=0,"",INDEX(GELIR_GIDER!$C$7:$C$3006,$U426))</f>
        <v/>
      </c>
      <c r="O426" s="1" t="str">
        <f>IF($N426="","",INDEX(GELIR_GIDER!$E$7:$E$3006,$U426)&amp;IF(INDEX(GELIR_GIDER!$F$7:$F$3006,$U426)="",""," – "&amp;INDEX(GELIR_GIDER!$F$7:$F$3006,$U426)))</f>
        <v/>
      </c>
      <c r="P426" s="1" t="str">
        <f t="shared" si="74"/>
        <v/>
      </c>
      <c r="Q426" s="1"/>
      <c r="R426" s="1">
        <f>IF($N426="",0,INDEX(GELIR_GIDER!$G$7:$G$3006,$U426))</f>
        <v>0</v>
      </c>
      <c r="S426" s="1">
        <v>0</v>
      </c>
      <c r="T426" s="1">
        <f t="shared" si="73"/>
        <v>10000000000</v>
      </c>
      <c r="U426" s="1">
        <f>IFERROR(MATCH($AC$4&amp;"|54",GELIR_GIDER!$U$7:$U$3006,0),0)</f>
        <v>0</v>
      </c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>
        <v>416</v>
      </c>
      <c r="N427" s="1" t="str">
        <f>IF($U427=0,"",INDEX(GELIR_GIDER!$C$7:$C$3006,$U427))</f>
        <v/>
      </c>
      <c r="O427" s="1" t="str">
        <f>IF($N427="","",INDEX(GELIR_GIDER!$E$7:$E$3006,$U427)&amp;IF(INDEX(GELIR_GIDER!$F$7:$F$3006,$U427)="",""," – "&amp;INDEX(GELIR_GIDER!$F$7:$F$3006,$U427)))</f>
        <v/>
      </c>
      <c r="P427" s="1" t="str">
        <f t="shared" si="74"/>
        <v/>
      </c>
      <c r="Q427" s="1"/>
      <c r="R427" s="1">
        <f>IF($N427="",0,INDEX(GELIR_GIDER!$G$7:$G$3006,$U427))</f>
        <v>0</v>
      </c>
      <c r="S427" s="1">
        <v>0</v>
      </c>
      <c r="T427" s="1">
        <f t="shared" si="73"/>
        <v>10000000000</v>
      </c>
      <c r="U427" s="1">
        <f>IFERROR(MATCH($AC$4&amp;"|55",GELIR_GIDER!$U$7:$U$3006,0),0)</f>
        <v>0</v>
      </c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>
        <v>417</v>
      </c>
      <c r="N428" s="1" t="str">
        <f>IF($U428=0,"",INDEX(GELIR_GIDER!$C$7:$C$3006,$U428))</f>
        <v/>
      </c>
      <c r="O428" s="1" t="str">
        <f>IF($N428="","",INDEX(GELIR_GIDER!$E$7:$E$3006,$U428)&amp;IF(INDEX(GELIR_GIDER!$F$7:$F$3006,$U428)="",""," – "&amp;INDEX(GELIR_GIDER!$F$7:$F$3006,$U428)))</f>
        <v/>
      </c>
      <c r="P428" s="1" t="str">
        <f t="shared" si="74"/>
        <v/>
      </c>
      <c r="Q428" s="1"/>
      <c r="R428" s="1">
        <f>IF($N428="",0,INDEX(GELIR_GIDER!$G$7:$G$3006,$U428))</f>
        <v>0</v>
      </c>
      <c r="S428" s="1">
        <v>0</v>
      </c>
      <c r="T428" s="1">
        <f t="shared" si="73"/>
        <v>10000000000</v>
      </c>
      <c r="U428" s="1">
        <f>IFERROR(MATCH($AC$4&amp;"|56",GELIR_GIDER!$U$7:$U$3006,0),0)</f>
        <v>0</v>
      </c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>
        <v>418</v>
      </c>
      <c r="N429" s="1" t="str">
        <f>IF($U429=0,"",INDEX(GELIR_GIDER!$C$7:$C$3006,$U429))</f>
        <v/>
      </c>
      <c r="O429" s="1" t="str">
        <f>IF($N429="","",INDEX(GELIR_GIDER!$E$7:$E$3006,$U429)&amp;IF(INDEX(GELIR_GIDER!$F$7:$F$3006,$U429)="",""," – "&amp;INDEX(GELIR_GIDER!$F$7:$F$3006,$U429)))</f>
        <v/>
      </c>
      <c r="P429" s="1" t="str">
        <f t="shared" si="74"/>
        <v/>
      </c>
      <c r="Q429" s="1"/>
      <c r="R429" s="1">
        <f>IF($N429="",0,INDEX(GELIR_GIDER!$G$7:$G$3006,$U429))</f>
        <v>0</v>
      </c>
      <c r="S429" s="1">
        <v>0</v>
      </c>
      <c r="T429" s="1">
        <f t="shared" si="73"/>
        <v>10000000000</v>
      </c>
      <c r="U429" s="1">
        <f>IFERROR(MATCH($AC$4&amp;"|57",GELIR_GIDER!$U$7:$U$3006,0),0)</f>
        <v>0</v>
      </c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>
        <v>419</v>
      </c>
      <c r="N430" s="1" t="str">
        <f>IF($U430=0,"",INDEX(GELIR_GIDER!$C$7:$C$3006,$U430))</f>
        <v/>
      </c>
      <c r="O430" s="1" t="str">
        <f>IF($N430="","",INDEX(GELIR_GIDER!$E$7:$E$3006,$U430)&amp;IF(INDEX(GELIR_GIDER!$F$7:$F$3006,$U430)="",""," – "&amp;INDEX(GELIR_GIDER!$F$7:$F$3006,$U430)))</f>
        <v/>
      </c>
      <c r="P430" s="1" t="str">
        <f t="shared" si="74"/>
        <v/>
      </c>
      <c r="Q430" s="1"/>
      <c r="R430" s="1">
        <f>IF($N430="",0,INDEX(GELIR_GIDER!$G$7:$G$3006,$U430))</f>
        <v>0</v>
      </c>
      <c r="S430" s="1">
        <v>0</v>
      </c>
      <c r="T430" s="1">
        <f t="shared" si="73"/>
        <v>10000000000</v>
      </c>
      <c r="U430" s="1">
        <f>IFERROR(MATCH($AC$4&amp;"|58",GELIR_GIDER!$U$7:$U$3006,0),0)</f>
        <v>0</v>
      </c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>
        <v>420</v>
      </c>
      <c r="N431" s="1" t="str">
        <f>IF($U431=0,"",INDEX(GELIR_GIDER!$C$7:$C$3006,$U431))</f>
        <v/>
      </c>
      <c r="O431" s="1" t="str">
        <f>IF($N431="","",INDEX(GELIR_GIDER!$E$7:$E$3006,$U431)&amp;IF(INDEX(GELIR_GIDER!$F$7:$F$3006,$U431)="",""," – "&amp;INDEX(GELIR_GIDER!$F$7:$F$3006,$U431)))</f>
        <v/>
      </c>
      <c r="P431" s="1" t="str">
        <f t="shared" si="74"/>
        <v/>
      </c>
      <c r="Q431" s="1"/>
      <c r="R431" s="1">
        <f>IF($N431="",0,INDEX(GELIR_GIDER!$G$7:$G$3006,$U431))</f>
        <v>0</v>
      </c>
      <c r="S431" s="1">
        <v>0</v>
      </c>
      <c r="T431" s="1">
        <f t="shared" si="73"/>
        <v>10000000000</v>
      </c>
      <c r="U431" s="1">
        <f>IFERROR(MATCH($AC$4&amp;"|59",GELIR_GIDER!$U$7:$U$3006,0),0)</f>
        <v>0</v>
      </c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>
        <v>421</v>
      </c>
      <c r="N432" s="1" t="str">
        <f>IF($U432=0,"",INDEX(GELIR_GIDER!$C$7:$C$3006,$U432))</f>
        <v/>
      </c>
      <c r="O432" s="1" t="str">
        <f>IF($N432="","",INDEX(GELIR_GIDER!$E$7:$E$3006,$U432)&amp;IF(INDEX(GELIR_GIDER!$F$7:$F$3006,$U432)="",""," – "&amp;INDEX(GELIR_GIDER!$F$7:$F$3006,$U432)))</f>
        <v/>
      </c>
      <c r="P432" s="1" t="str">
        <f t="shared" si="74"/>
        <v/>
      </c>
      <c r="Q432" s="1"/>
      <c r="R432" s="1">
        <f>IF($N432="",0,INDEX(GELIR_GIDER!$G$7:$G$3006,$U432))</f>
        <v>0</v>
      </c>
      <c r="S432" s="1">
        <v>0</v>
      </c>
      <c r="T432" s="1">
        <f t="shared" si="73"/>
        <v>10000000000</v>
      </c>
      <c r="U432" s="1">
        <f>IFERROR(MATCH($AC$4&amp;"|60",GELIR_GIDER!$U$7:$U$3006,0),0)</f>
        <v>0</v>
      </c>
      <c r="V432" s="1"/>
      <c r="W432" s="1"/>
      <c r="X432" s="1"/>
      <c r="Y432" s="1"/>
      <c r="Z432" s="1"/>
      <c r="AA432" s="1"/>
      <c r="AB432" s="1"/>
      <c r="AC432" s="1"/>
      <c r="AD432" s="1"/>
    </row>
  </sheetData>
  <sheetProtection password="CC3D" sheet="1" formatCells="0" formatColumns="0" formatRows="0" sort="0" autoFilter="0"/>
  <mergeCells count="19">
    <mergeCell ref="A1:E1"/>
    <mergeCell ref="F1:H1"/>
    <mergeCell ref="A2:H2"/>
    <mergeCell ref="E4:G4"/>
    <mergeCell ref="B5:D5"/>
    <mergeCell ref="E5:H5"/>
    <mergeCell ref="B6:D6"/>
    <mergeCell ref="E6:H6"/>
    <mergeCell ref="B8:C8"/>
    <mergeCell ref="D8:E8"/>
    <mergeCell ref="F8:H8"/>
    <mergeCell ref="B313:H313"/>
    <mergeCell ref="B315:D315"/>
    <mergeCell ref="F315:H315"/>
    <mergeCell ref="B9:C9"/>
    <mergeCell ref="D9:E9"/>
    <mergeCell ref="F9:H9"/>
    <mergeCell ref="B10:D10"/>
    <mergeCell ref="E10:H10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91C1C"/>
    <pageSetUpPr fitToPage="1"/>
  </sheetPr>
  <dimension ref="A1:AG158"/>
  <sheetViews>
    <sheetView showGridLines="0" zoomScaleNormal="100" workbookViewId="0">
      <pane xSplit="3" ySplit="6" topLeftCell="H22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ColWidth="8.5703125" defaultRowHeight="14.25" x14ac:dyDescent="0.25"/>
  <cols>
    <col min="1" max="1" width="2.42578125" customWidth="1"/>
    <col min="2" max="2" width="12" customWidth="1"/>
    <col min="3" max="3" width="30" customWidth="1"/>
    <col min="4" max="5" width="14" customWidth="1"/>
    <col min="6" max="7" width="15" customWidth="1"/>
    <col min="8" max="10" width="16" customWidth="1"/>
    <col min="11" max="13" width="14" customWidth="1"/>
    <col min="14" max="14" width="15.85546875" bestFit="1" customWidth="1"/>
    <col min="15" max="16" width="13" customWidth="1"/>
    <col min="17" max="17" width="17" customWidth="1"/>
    <col min="18" max="18" width="34" customWidth="1"/>
    <col min="19" max="19" width="11" customWidth="1"/>
    <col min="20" max="21" width="13" customWidth="1"/>
    <col min="22" max="22" width="16" customWidth="1"/>
    <col min="23" max="23" width="12" customWidth="1"/>
    <col min="24" max="25" width="2.42578125" hidden="1" customWidth="1"/>
    <col min="26" max="32" width="12" hidden="1" customWidth="1"/>
    <col min="33" max="33" width="13" hidden="1" customWidth="1"/>
  </cols>
  <sheetData>
    <row r="1" spans="1:33" ht="37.5" customHeight="1" x14ac:dyDescent="0.3">
      <c r="A1" s="119" t="s">
        <v>0</v>
      </c>
      <c r="B1" s="119"/>
      <c r="C1" s="119"/>
      <c r="D1" s="119"/>
      <c r="E1" s="119"/>
      <c r="F1" s="120" t="s">
        <v>923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3"/>
      <c r="Y1" s="13"/>
      <c r="Z1" s="1"/>
      <c r="AA1" s="1"/>
      <c r="AB1" s="1"/>
      <c r="AC1" s="1"/>
      <c r="AD1" s="1"/>
      <c r="AE1" s="1"/>
      <c r="AF1" s="1"/>
      <c r="AG1" s="1"/>
    </row>
    <row r="2" spans="1:33" ht="21.75" customHeight="1" x14ac:dyDescent="0.3">
      <c r="A2" s="121" t="s">
        <v>924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4"/>
      <c r="Y2" s="14"/>
      <c r="Z2" s="1"/>
      <c r="AA2" s="1"/>
      <c r="AB2" s="1"/>
      <c r="AC2" s="1"/>
      <c r="AD2" s="1"/>
      <c r="AE2" s="1"/>
      <c r="AF2" s="1"/>
      <c r="AG2" s="1"/>
    </row>
    <row r="3" spans="1:33" ht="19.5" customHeight="1" x14ac:dyDescent="0.3">
      <c r="A3" s="2"/>
      <c r="B3" s="50" t="s">
        <v>925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</row>
    <row r="4" spans="1:3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HYPERLINK("#UCRETLER!A1","Ücret Dönemleri")</f>
        <v>Ücret Dönemleri</v>
      </c>
      <c r="G4" s="2"/>
      <c r="H4" s="52" t="s">
        <v>926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</row>
    <row r="5" spans="1:33" ht="25.5" customHeight="1" x14ac:dyDescent="0.3">
      <c r="A5" s="2"/>
      <c r="B5" s="53"/>
      <c r="C5" s="54" t="s">
        <v>927</v>
      </c>
      <c r="D5" s="56">
        <f t="shared" ref="D5:N5" si="0">SUM(D7:D156)</f>
        <v>78750</v>
      </c>
      <c r="E5" s="56">
        <f t="shared" si="0"/>
        <v>131000</v>
      </c>
      <c r="F5" s="56">
        <f t="shared" si="0"/>
        <v>0</v>
      </c>
      <c r="G5" s="56">
        <f t="shared" ca="1" si="0"/>
        <v>3563150</v>
      </c>
      <c r="H5" s="56">
        <f t="shared" ca="1" si="0"/>
        <v>3563150</v>
      </c>
      <c r="I5" s="56">
        <f t="shared" si="0"/>
        <v>2146000</v>
      </c>
      <c r="J5" s="56">
        <f t="shared" ca="1" si="0"/>
        <v>1521150</v>
      </c>
      <c r="K5" s="56">
        <f t="shared" ca="1" si="0"/>
        <v>320400</v>
      </c>
      <c r="L5" s="56">
        <f t="shared" ca="1" si="0"/>
        <v>43750</v>
      </c>
      <c r="M5" s="56">
        <f t="shared" ca="1" si="0"/>
        <v>181000</v>
      </c>
      <c r="N5" s="56">
        <f t="shared" ca="1" si="0"/>
        <v>976000</v>
      </c>
      <c r="O5" s="85">
        <f ca="1">IFERROR($I$5/$H$5,0)</f>
        <v>0.60227607594403831</v>
      </c>
      <c r="P5" s="53"/>
      <c r="Q5" s="53"/>
      <c r="R5" s="53"/>
      <c r="S5" s="53"/>
      <c r="T5" s="53"/>
      <c r="U5" s="53"/>
      <c r="V5" s="56">
        <f ca="1">SUM(V7:V156)</f>
        <v>104000</v>
      </c>
      <c r="W5" s="53"/>
      <c r="X5" s="2"/>
      <c r="Y5" s="2"/>
      <c r="Z5" s="1"/>
      <c r="AA5" s="1"/>
      <c r="AB5" s="1"/>
      <c r="AC5" s="1"/>
      <c r="AD5" s="1"/>
      <c r="AE5" s="1"/>
      <c r="AF5" s="1"/>
      <c r="AG5" s="1"/>
    </row>
    <row r="6" spans="1:33" ht="39.75" customHeight="1" x14ac:dyDescent="0.3">
      <c r="A6" s="2"/>
      <c r="B6" s="57" t="s">
        <v>19</v>
      </c>
      <c r="C6" s="58" t="s">
        <v>928</v>
      </c>
      <c r="D6" s="59" t="s">
        <v>23</v>
      </c>
      <c r="E6" s="59" t="s">
        <v>25</v>
      </c>
      <c r="F6" s="59" t="s">
        <v>27</v>
      </c>
      <c r="G6" s="59" t="s">
        <v>29</v>
      </c>
      <c r="H6" s="59" t="s">
        <v>31</v>
      </c>
      <c r="I6" s="59" t="s">
        <v>33</v>
      </c>
      <c r="J6" s="59" t="s">
        <v>35</v>
      </c>
      <c r="K6" s="59" t="s">
        <v>37</v>
      </c>
      <c r="L6" s="59" t="s">
        <v>39</v>
      </c>
      <c r="M6" s="59" t="s">
        <v>41</v>
      </c>
      <c r="N6" s="59" t="s">
        <v>43</v>
      </c>
      <c r="O6" s="57" t="s">
        <v>44</v>
      </c>
      <c r="P6" s="57" t="s">
        <v>45</v>
      </c>
      <c r="Q6" s="57" t="s">
        <v>21</v>
      </c>
      <c r="R6" s="58" t="s">
        <v>46</v>
      </c>
      <c r="S6" s="57" t="s">
        <v>929</v>
      </c>
      <c r="T6" s="57" t="s">
        <v>930</v>
      </c>
      <c r="U6" s="57" t="s">
        <v>931</v>
      </c>
      <c r="V6" s="59" t="s">
        <v>932</v>
      </c>
      <c r="W6" s="57" t="s">
        <v>162</v>
      </c>
      <c r="X6" s="2"/>
      <c r="Y6" s="2"/>
      <c r="Z6" s="1"/>
      <c r="AA6" s="1"/>
      <c r="AB6" s="1"/>
      <c r="AC6" s="1"/>
      <c r="AD6" s="1"/>
      <c r="AE6" s="1"/>
      <c r="AF6" s="1"/>
      <c r="AG6" s="1"/>
    </row>
    <row r="7" spans="1:33" ht="18" customHeight="1" x14ac:dyDescent="0.3">
      <c r="A7" s="2"/>
      <c r="B7" s="65" t="str">
        <f>IF($AF7="","",INDEX(MUSTERILER!$B$7:$B$156,$AF7))</f>
        <v>M019</v>
      </c>
      <c r="C7" s="74" t="str">
        <f>IF($AF7="","",INDEX(MUSTERILER!$C$7:$C$156,$AF7))</f>
        <v>AC OTEL LTD.ŞTİ.</v>
      </c>
      <c r="D7" s="68">
        <f>IF($B7="","",SUMIFS(UCRETLER!$G$7:$G$606,UCRETLER!$B$7:$B$606,$B7,UCRETLER!$F$7:$F$606,"Haftalık",UCRETLER!$H$7:$H$606,"Aktif"))</f>
        <v>0</v>
      </c>
      <c r="E7" s="68">
        <f>IF($B7="","",SUMIFS(UCRETLER!$G$7:$G$606,UCRETLER!$B$7:$B$606,$B7,UCRETLER!$F$7:$F$606,"Aylık",UCRETLER!$H$7:$H$606,"Aktif"))</f>
        <v>4000</v>
      </c>
      <c r="F7" s="68">
        <f>IF($B7="","",SUMIFS(MUSTERILER!$J$7:$J$156,MUSTERILER!$B$7:$B$156,$B7))</f>
        <v>0</v>
      </c>
      <c r="G7" s="68">
        <f ca="1">IF($B7="","",SUMIFS(UCRETLER!$I$7:$I$606,UCRETLER!$B$7:$B$606,$B7)+SUMIFS(GELIR_GIDER!$G$7:$G$3006,GELIR_GIDER!$T$7:$T$3006,$B7))</f>
        <v>28000</v>
      </c>
      <c r="H7" s="68">
        <f t="shared" ref="H7:H38" ca="1" si="1">IF($B7="","",$F7+$G7)</f>
        <v>28000</v>
      </c>
      <c r="I7" s="68">
        <f>IF($B7="","",SUMIFS(TAHSILAT!$F$7:$F$2506,TAHSILAT!$C$7:$C$2506,$B7))</f>
        <v>18000</v>
      </c>
      <c r="J7" s="68">
        <f t="shared" ref="J7:J38" ca="1" si="2">IF($B7="","",MAX(0,$H7-$I7))</f>
        <v>10000</v>
      </c>
      <c r="K7" s="68">
        <f t="shared" ref="K7:K38" ca="1" si="3">IF($B7="","",MAX(0,$J7-$L7-$M7-$N7))</f>
        <v>0</v>
      </c>
      <c r="L7" s="68">
        <f t="shared" ref="L7:L38" ca="1" si="4">IF($B7="","",($AC7-$AD7)+IF(AND($AB7&gt;0,$T7&lt;&gt;"",$U7&gt;=8,$U7&lt;15),$AB7,0))</f>
        <v>0</v>
      </c>
      <c r="M7" s="68">
        <f t="shared" ref="M7:M38" ca="1" si="5">IF($B7="","",($AD7-$AE7)+IF(AND($AB7&gt;0,$T7&lt;&gt;"",$U7&gt;=15,$U7&lt;29),$AB7,0))</f>
        <v>4000</v>
      </c>
      <c r="N7" s="68">
        <f t="shared" ref="N7:N38" ca="1" si="6">IF($B7="","",$AE7+IF(AND($AB7&gt;0,OR($T7="",$U7&gt;=29)),$AB7,0))</f>
        <v>6000</v>
      </c>
      <c r="O7" s="86">
        <f t="shared" ref="O7:O38" ca="1" si="7">IF($B7="","",IFERROR($I7/$H7,0))</f>
        <v>0.6428571428571429</v>
      </c>
      <c r="P7" s="70">
        <f>IF($B7="","",IFERROR(LOOKUP(2,1/(TAHSILAT!$C$7:$C$2506=$B7),TAHSILAT!$E$7:$E$2506),""))</f>
        <v>46249</v>
      </c>
      <c r="Q7" s="65" t="str">
        <f t="shared" ref="Q7:Q38" ca="1" si="8">IF($B7="","",IF($N7&gt;0,"KRİTİK",IF($M7&gt;0,"YÜKSEK",IF($L7&gt;0,"ORTA",IF($J7&gt;0,"İZLE","TEMİZ")))))</f>
        <v>KRİTİK</v>
      </c>
      <c r="R7" s="74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76">
        <f>IF($B7="","",COUNTIFS(AKTIVITE!$D$7:$D$1006,$B7,AKTIVITE!$J$7:$J$1006,"&lt;&gt;Tamamlandı"))</f>
        <v>0</v>
      </c>
      <c r="T7" s="70" t="str">
        <f>IF(OR($B7="",$AF7=""),"",IF(INDEX(MUSTERILER!$K$7:$K$156,$AF7)="","",INDEX(MUSTERILER!$K$7:$K$156,$AF7)))</f>
        <v/>
      </c>
      <c r="U7" s="76" t="str">
        <f t="shared" ref="U7:U38" ca="1" si="10">IF(OR($B7="",$T7=""),"",TODAY()-$T7)</f>
        <v/>
      </c>
      <c r="V7" s="68">
        <f t="shared" ref="V7:V38" ca="1" si="11">IF($B7="","",MAX(0,$I7-$H7))</f>
        <v>0</v>
      </c>
      <c r="W7" s="65" t="str">
        <f t="shared" ref="W7:W38" ca="1" si="12">IF($B7="","",IF(AND(ABS($J7-($K7+$L7+$M7+$N7))&lt;0.01,ABS(($J7-$V7)-($H7-$I7))&lt;0.01),"UYGUN","İNCELE"))</f>
        <v>UYGUN</v>
      </c>
      <c r="X7" s="2">
        <f ca="1">IF($B7="",0,SUMIFS(UCRETLER!$J$7:$J$606,UCRETLER!$B$7:$B$606,$B7))</f>
        <v>28000</v>
      </c>
      <c r="Y7" s="2">
        <f ca="1">IF($B7="",0,SUMIFS(UCRETLER!$K$7:$K$606,UCRETLER!$B$7:$B$606,$B7))</f>
        <v>28000</v>
      </c>
      <c r="Z7" s="1">
        <f ca="1">IF($B7="",0,SUMIFS(UCRETLER!$L$7:$L$606,UCRETLER!$B$7:$B$606,$B7))</f>
        <v>24000</v>
      </c>
      <c r="AA7" s="1">
        <f t="shared" ref="AA7:AA38" si="13">IF($B7="",0,MAX(0,$I7-$F7))</f>
        <v>18000</v>
      </c>
      <c r="AB7" s="1">
        <f t="shared" ref="AB7:AB38" si="14">IF($B7="",0,MAX(0,$F7-$I7))</f>
        <v>0</v>
      </c>
      <c r="AC7" s="1">
        <f t="shared" ref="AC7:AC38" ca="1" si="15">IF($B7="",0,MAX(0,$X7-$AA7))</f>
        <v>10000</v>
      </c>
      <c r="AD7" s="1">
        <f t="shared" ref="AD7:AD38" ca="1" si="16">IF($B7="",0,MAX(0,$Y7-$AA7))</f>
        <v>10000</v>
      </c>
      <c r="AE7" s="1">
        <f t="shared" ref="AE7:AE38" ca="1" si="17">IF($B7="",0,MAX(0,$Z7-$AA7))</f>
        <v>6000</v>
      </c>
      <c r="AF7" s="1">
        <f>IFERROR(MATCH(ROW()-6,MUSTERILER!$U$7:$U$156,0),"")</f>
        <v>1</v>
      </c>
      <c r="AG7" s="1">
        <f>IF($B7="",0,SUMIFS(GELIR_GIDER!$G$7:$G$3006,GELIR_GIDER!$T$7:$T$3006,$B7))</f>
        <v>0</v>
      </c>
    </row>
    <row r="8" spans="1:33" ht="18" customHeight="1" x14ac:dyDescent="0.3">
      <c r="A8" s="2"/>
      <c r="B8" s="65" t="str">
        <f>IF($AF8="","",INDEX(MUSTERILER!$B$7:$B$156,$AF8))</f>
        <v>M022</v>
      </c>
      <c r="C8" s="74" t="str">
        <f>IF($AF8="","",INDEX(MUSTERILER!$C$7:$C$156,$AF8))</f>
        <v>ADEM KARABENLİ</v>
      </c>
      <c r="D8" s="68">
        <f>IF($B8="","",SUMIFS(UCRETLER!$G$7:$G$606,UCRETLER!$B$7:$B$606,$B8,UCRETLER!$F$7:$F$606,"Haftalık",UCRETLER!$H$7:$H$606,"Aktif"))</f>
        <v>0</v>
      </c>
      <c r="E8" s="68">
        <f>IF($B8="","",SUMIFS(UCRETLER!$G$7:$G$606,UCRETLER!$B$7:$B$606,$B8,UCRETLER!$F$7:$F$606,"Aylık",UCRETLER!$H$7:$H$606,"Aktif"))</f>
        <v>3000</v>
      </c>
      <c r="F8" s="68">
        <f>IF($B8="","",SUMIFS(MUSTERILER!$J$7:$J$156,MUSTERILER!$B$7:$B$156,$B8))</f>
        <v>0</v>
      </c>
      <c r="G8" s="68">
        <f ca="1">IF($B8="","",SUMIFS(UCRETLER!$I$7:$I$606,UCRETLER!$B$7:$B$606,$B8)+SUMIFS(GELIR_GIDER!$G$7:$G$3006,GELIR_GIDER!$T$7:$T$3006,$B8))</f>
        <v>21000</v>
      </c>
      <c r="H8" s="68">
        <f t="shared" ca="1" si="1"/>
        <v>21000</v>
      </c>
      <c r="I8" s="68">
        <f>IF($B8="","",SUMIFS(TAHSILAT!$F$7:$F$2506,TAHSILAT!$C$7:$C$2506,$B8))</f>
        <v>3000</v>
      </c>
      <c r="J8" s="68">
        <f t="shared" ca="1" si="2"/>
        <v>18000</v>
      </c>
      <c r="K8" s="68">
        <f t="shared" ca="1" si="3"/>
        <v>0</v>
      </c>
      <c r="L8" s="68">
        <f t="shared" ca="1" si="4"/>
        <v>0</v>
      </c>
      <c r="M8" s="68">
        <f t="shared" ca="1" si="5"/>
        <v>3000</v>
      </c>
      <c r="N8" s="68">
        <f t="shared" ca="1" si="6"/>
        <v>15000</v>
      </c>
      <c r="O8" s="86">
        <f t="shared" ca="1" si="7"/>
        <v>0.14285714285714285</v>
      </c>
      <c r="P8" s="70">
        <f>IF($B8="","",IFERROR(LOOKUP(2,1/(TAHSILAT!$C$7:$C$2506=$B8),TAHSILAT!$E$7:$E$2506),""))</f>
        <v>46254</v>
      </c>
      <c r="Q8" s="65" t="str">
        <f t="shared" ca="1" si="8"/>
        <v>KRİTİK</v>
      </c>
      <c r="R8" s="74" t="str">
        <f t="shared" ca="1" si="9"/>
        <v>Acil tahsilat görüşmesi ve cari mutabakat</v>
      </c>
      <c r="S8" s="76">
        <f>IF($B8="","",COUNTIFS(AKTIVITE!$D$7:$D$1006,$B8,AKTIVITE!$J$7:$J$1006,"&lt;&gt;Tamamlandı"))</f>
        <v>0</v>
      </c>
      <c r="T8" s="70" t="str">
        <f>IF(OR($B8="",$AF8=""),"",IF(INDEX(MUSTERILER!$K$7:$K$156,$AF8)="","",INDEX(MUSTERILER!$K$7:$K$156,$AF8)))</f>
        <v/>
      </c>
      <c r="U8" s="76" t="str">
        <f t="shared" ca="1" si="10"/>
        <v/>
      </c>
      <c r="V8" s="68">
        <f t="shared" ca="1" si="11"/>
        <v>0</v>
      </c>
      <c r="W8" s="65" t="str">
        <f t="shared" ca="1" si="12"/>
        <v>UYGUN</v>
      </c>
      <c r="X8" s="2">
        <f ca="1">IF($B8="",0,SUMIFS(UCRETLER!$J$7:$J$606,UCRETLER!$B$7:$B$606,$B8))</f>
        <v>21000</v>
      </c>
      <c r="Y8" s="2">
        <f ca="1">IF($B8="",0,SUMIFS(UCRETLER!$K$7:$K$606,UCRETLER!$B$7:$B$606,$B8))</f>
        <v>21000</v>
      </c>
      <c r="Z8" s="1">
        <f ca="1">IF($B8="",0,SUMIFS(UCRETLER!$L$7:$L$606,UCRETLER!$B$7:$B$606,$B8))</f>
        <v>18000</v>
      </c>
      <c r="AA8" s="1">
        <f t="shared" si="13"/>
        <v>3000</v>
      </c>
      <c r="AB8" s="1">
        <f t="shared" si="14"/>
        <v>0</v>
      </c>
      <c r="AC8" s="1">
        <f t="shared" ca="1" si="15"/>
        <v>18000</v>
      </c>
      <c r="AD8" s="1">
        <f t="shared" ca="1" si="16"/>
        <v>18000</v>
      </c>
      <c r="AE8" s="1">
        <f t="shared" ca="1" si="17"/>
        <v>15000</v>
      </c>
      <c r="AF8" s="1">
        <f>IFERROR(MATCH(ROW()-6,MUSTERILER!$U$7:$U$156,0),"")</f>
        <v>2</v>
      </c>
      <c r="AG8" s="1">
        <f>IF($B8="",0,SUMIFS(GELIR_GIDER!$G$7:$G$3006,GELIR_GIDER!$T$7:$T$3006,$B8))</f>
        <v>0</v>
      </c>
    </row>
    <row r="9" spans="1:33" ht="18" customHeight="1" x14ac:dyDescent="0.3">
      <c r="A9" s="2"/>
      <c r="B9" s="65" t="str">
        <f>IF($AF9="","",INDEX(MUSTERILER!$B$7:$B$156,$AF9))</f>
        <v>M023</v>
      </c>
      <c r="C9" s="74" t="str">
        <f>IF($AF9="","",INDEX(MUSTERILER!$C$7:$C$156,$AF9))</f>
        <v>ALTINEL LTD.ŞTİ.</v>
      </c>
      <c r="D9" s="68">
        <f>IF($B9="","",SUMIFS(UCRETLER!$G$7:$G$606,UCRETLER!$B$7:$B$606,$B9,UCRETLER!$F$7:$F$606,"Haftalık",UCRETLER!$H$7:$H$606,"Aktif"))</f>
        <v>0</v>
      </c>
      <c r="E9" s="68">
        <f>IF($B9="","",SUMIFS(UCRETLER!$G$7:$G$606,UCRETLER!$B$7:$B$606,$B9,UCRETLER!$F$7:$F$606,"Aylık",UCRETLER!$H$7:$H$606,"Aktif"))</f>
        <v>10000</v>
      </c>
      <c r="F9" s="68">
        <f>IF($B9="","",SUMIFS(MUSTERILER!$J$7:$J$156,MUSTERILER!$B$7:$B$156,$B9))</f>
        <v>0</v>
      </c>
      <c r="G9" s="68">
        <f ca="1">IF($B9="","",SUMIFS(UCRETLER!$I$7:$I$606,UCRETLER!$B$7:$B$606,$B9)+SUMIFS(GELIR_GIDER!$G$7:$G$3006,GELIR_GIDER!$T$7:$T$3006,$B9))</f>
        <v>0</v>
      </c>
      <c r="H9" s="68">
        <f t="shared" ca="1" si="1"/>
        <v>0</v>
      </c>
      <c r="I9" s="68">
        <f>IF($B9="","",SUMIFS(TAHSILAT!$F$7:$F$2506,TAHSILAT!$C$7:$C$2506,$B9))</f>
        <v>84000</v>
      </c>
      <c r="J9" s="68">
        <f t="shared" ca="1" si="2"/>
        <v>0</v>
      </c>
      <c r="K9" s="68">
        <f t="shared" ca="1" si="3"/>
        <v>0</v>
      </c>
      <c r="L9" s="68">
        <f t="shared" ca="1" si="4"/>
        <v>0</v>
      </c>
      <c r="M9" s="68">
        <f t="shared" ca="1" si="5"/>
        <v>0</v>
      </c>
      <c r="N9" s="68">
        <f t="shared" ca="1" si="6"/>
        <v>0</v>
      </c>
      <c r="O9" s="86">
        <f t="shared" ca="1" si="7"/>
        <v>0</v>
      </c>
      <c r="P9" s="70">
        <f>IF($B9="","",IFERROR(LOOKUP(2,1/(TAHSILAT!$C$7:$C$2506=$B9),TAHSILAT!$E$7:$E$2506),""))</f>
        <v>46204</v>
      </c>
      <c r="Q9" s="65" t="str">
        <f t="shared" ca="1" si="8"/>
        <v>TEMİZ</v>
      </c>
      <c r="R9" s="74" t="str">
        <f t="shared" ca="1" si="9"/>
        <v>Aksiyon gerekmiyor</v>
      </c>
      <c r="S9" s="76">
        <f>IF($B9="","",COUNTIFS(AKTIVITE!$D$7:$D$1006,$B9,AKTIVITE!$J$7:$J$1006,"&lt;&gt;Tamamlandı"))</f>
        <v>0</v>
      </c>
      <c r="T9" s="70" t="str">
        <f>IF(OR($B9="",$AF9=""),"",IF(INDEX(MUSTERILER!$K$7:$K$156,$AF9)="","",INDEX(MUSTERILER!$K$7:$K$156,$AF9)))</f>
        <v/>
      </c>
      <c r="U9" s="76" t="str">
        <f t="shared" ca="1" si="10"/>
        <v/>
      </c>
      <c r="V9" s="68">
        <f t="shared" ca="1" si="11"/>
        <v>84000</v>
      </c>
      <c r="W9" s="65" t="str">
        <f t="shared" ca="1" si="12"/>
        <v>UYGUN</v>
      </c>
      <c r="X9" s="2">
        <f ca="1">IF($B9="",0,SUMIFS(UCRETLER!$J$7:$J$606,UCRETLER!$B$7:$B$606,$B9))</f>
        <v>0</v>
      </c>
      <c r="Y9" s="2">
        <f ca="1">IF($B9="",0,SUMIFS(UCRETLER!$K$7:$K$606,UCRETLER!$B$7:$B$606,$B9))</f>
        <v>0</v>
      </c>
      <c r="Z9" s="1">
        <f ca="1">IF($B9="",0,SUMIFS(UCRETLER!$L$7:$L$606,UCRETLER!$B$7:$B$606,$B9))</f>
        <v>0</v>
      </c>
      <c r="AA9" s="1">
        <f t="shared" si="13"/>
        <v>84000</v>
      </c>
      <c r="AB9" s="1">
        <f t="shared" si="14"/>
        <v>0</v>
      </c>
      <c r="AC9" s="1">
        <f t="shared" ca="1" si="15"/>
        <v>0</v>
      </c>
      <c r="AD9" s="1">
        <f t="shared" ca="1" si="16"/>
        <v>0</v>
      </c>
      <c r="AE9" s="1">
        <f t="shared" ca="1" si="17"/>
        <v>0</v>
      </c>
      <c r="AF9" s="1">
        <f>IFERROR(MATCH(ROW()-6,MUSTERILER!$U$7:$U$156,0),"")</f>
        <v>3</v>
      </c>
      <c r="AG9" s="1">
        <f>IF($B9="",0,SUMIFS(GELIR_GIDER!$G$7:$G$3006,GELIR_GIDER!$T$7:$T$3006,$B9))</f>
        <v>0</v>
      </c>
    </row>
    <row r="10" spans="1:33" ht="18" customHeight="1" x14ac:dyDescent="0.3">
      <c r="A10" s="2"/>
      <c r="B10" s="65" t="str">
        <f>IF($AF10="","",INDEX(MUSTERILER!$B$7:$B$156,$AF10))</f>
        <v>M001</v>
      </c>
      <c r="C10" s="74" t="str">
        <f>IF($AF10="","",INDEX(MUSTERILER!$C$7:$C$156,$AF10))</f>
        <v>ANKARA HAVANA LTD.ŞTİ.</v>
      </c>
      <c r="D10" s="68">
        <f>IF($B10="","",SUMIFS(UCRETLER!$G$7:$G$606,UCRETLER!$B$7:$B$606,$B10,UCRETLER!$F$7:$F$606,"Haftalık",UCRETLER!$H$7:$H$606,"Aktif"))</f>
        <v>4000</v>
      </c>
      <c r="E10" s="68">
        <f>IF($B10="","",SUMIFS(UCRETLER!$G$7:$G$606,UCRETLER!$B$7:$B$606,$B10,UCRETLER!$F$7:$F$606,"Aylık",UCRETLER!$H$7:$H$606,"Aktif"))</f>
        <v>0</v>
      </c>
      <c r="F10" s="68">
        <f>IF($B10="","",SUMIFS(MUSTERILER!$J$7:$J$156,MUSTERILER!$B$7:$B$156,$B10))</f>
        <v>0</v>
      </c>
      <c r="G10" s="68">
        <f ca="1">IF($B10="","",SUMIFS(UCRETLER!$I$7:$I$606,UCRETLER!$B$7:$B$606,$B10)+SUMIFS(GELIR_GIDER!$G$7:$G$3006,GELIR_GIDER!$T$7:$T$3006,$B10))</f>
        <v>140200</v>
      </c>
      <c r="H10" s="68">
        <f t="shared" ca="1" si="1"/>
        <v>140200</v>
      </c>
      <c r="I10" s="68">
        <f>IF($B10="","",SUMIFS(TAHSILAT!$F$7:$F$2506,TAHSILAT!$C$7:$C$2506,$B10))</f>
        <v>112000</v>
      </c>
      <c r="J10" s="68">
        <f t="shared" ca="1" si="2"/>
        <v>28200</v>
      </c>
      <c r="K10" s="68">
        <f t="shared" ca="1" si="3"/>
        <v>8200</v>
      </c>
      <c r="L10" s="68">
        <f t="shared" ca="1" si="4"/>
        <v>4000</v>
      </c>
      <c r="M10" s="68">
        <f t="shared" ca="1" si="5"/>
        <v>8000</v>
      </c>
      <c r="N10" s="68">
        <f t="shared" ca="1" si="6"/>
        <v>8000</v>
      </c>
      <c r="O10" s="86">
        <f t="shared" ca="1" si="7"/>
        <v>0.79885877318116971</v>
      </c>
      <c r="P10" s="70">
        <f>IF($B10="","",IFERROR(LOOKUP(2,1/(TAHSILAT!$C$7:$C$2506=$B10),TAHSILAT!$E$7:$E$2506),""))</f>
        <v>46249</v>
      </c>
      <c r="Q10" s="65" t="str">
        <f t="shared" ca="1" si="8"/>
        <v>KRİTİK</v>
      </c>
      <c r="R10" s="74" t="str">
        <f t="shared" ca="1" si="9"/>
        <v>Acil tahsilat görüşmesi ve cari mutabakat</v>
      </c>
      <c r="S10" s="76">
        <f>IF($B10="","",COUNTIFS(AKTIVITE!$D$7:$D$1006,$B10,AKTIVITE!$J$7:$J$1006,"&lt;&gt;Tamamlandı"))</f>
        <v>0</v>
      </c>
      <c r="T10" s="70" t="str">
        <f>IF(OR($B10="",$AF10=""),"",IF(INDEX(MUSTERILER!$K$7:$K$156,$AF10)="","",INDEX(MUSTERILER!$K$7:$K$156,$AF10)))</f>
        <v/>
      </c>
      <c r="U10" s="76" t="str">
        <f t="shared" ca="1" si="10"/>
        <v/>
      </c>
      <c r="V10" s="68">
        <f t="shared" ca="1" si="11"/>
        <v>0</v>
      </c>
      <c r="W10" s="65" t="str">
        <f t="shared" ca="1" si="12"/>
        <v>UYGUN</v>
      </c>
      <c r="X10" s="2">
        <f ca="1">IF($B10="",0,SUMIFS(UCRETLER!$J$7:$J$606,UCRETLER!$B$7:$B$606,$B10))</f>
        <v>132000</v>
      </c>
      <c r="Y10" s="2">
        <f ca="1">IF($B10="",0,SUMIFS(UCRETLER!$K$7:$K$606,UCRETLER!$B$7:$B$606,$B10))</f>
        <v>128000</v>
      </c>
      <c r="Z10" s="1">
        <f ca="1">IF($B10="",0,SUMIFS(UCRETLER!$L$7:$L$606,UCRETLER!$B$7:$B$606,$B10))</f>
        <v>120000</v>
      </c>
      <c r="AA10" s="1">
        <f t="shared" si="13"/>
        <v>112000</v>
      </c>
      <c r="AB10" s="1">
        <f t="shared" si="14"/>
        <v>0</v>
      </c>
      <c r="AC10" s="1">
        <f t="shared" ca="1" si="15"/>
        <v>20000</v>
      </c>
      <c r="AD10" s="1">
        <f t="shared" ca="1" si="16"/>
        <v>16000</v>
      </c>
      <c r="AE10" s="1">
        <f t="shared" ca="1" si="17"/>
        <v>8000</v>
      </c>
      <c r="AF10" s="1">
        <f>IFERROR(MATCH(ROW()-6,MUSTERILER!$U$7:$U$156,0),"")</f>
        <v>4</v>
      </c>
      <c r="AG10" s="1">
        <f>IF($B10="",0,SUMIFS(GELIR_GIDER!$G$7:$G$3006,GELIR_GIDER!$T$7:$T$3006,$B10))</f>
        <v>4200</v>
      </c>
    </row>
    <row r="11" spans="1:33" ht="18" customHeight="1" x14ac:dyDescent="0.3">
      <c r="A11" s="2"/>
      <c r="B11" s="65" t="str">
        <f>IF($AF11="","",INDEX(MUSTERILER!$B$7:$B$156,$AF11))</f>
        <v>M024</v>
      </c>
      <c r="C11" s="74" t="str">
        <f>IF($AF11="","",INDEX(MUSTERILER!$C$7:$C$156,$AF11))</f>
        <v>ARMAN DİK</v>
      </c>
      <c r="D11" s="68">
        <f>IF($B11="","",SUMIFS(UCRETLER!$G$7:$G$606,UCRETLER!$B$7:$B$606,$B11,UCRETLER!$F$7:$F$606,"Haftalık",UCRETLER!$H$7:$H$606,"Aktif"))</f>
        <v>0</v>
      </c>
      <c r="E11" s="68">
        <f>IF($B11="","",SUMIFS(UCRETLER!$G$7:$G$606,UCRETLER!$B$7:$B$606,$B11,UCRETLER!$F$7:$F$606,"Aylık",UCRETLER!$H$7:$H$606,"Aktif"))</f>
        <v>3000</v>
      </c>
      <c r="F11" s="68">
        <f>IF($B11="","",SUMIFS(MUSTERILER!$J$7:$J$156,MUSTERILER!$B$7:$B$156,$B11))</f>
        <v>0</v>
      </c>
      <c r="G11" s="68">
        <f ca="1">IF($B11="","",SUMIFS(UCRETLER!$I$7:$I$606,UCRETLER!$B$7:$B$606,$B11)+SUMIFS(GELIR_GIDER!$G$7:$G$3006,GELIR_GIDER!$T$7:$T$3006,$B11))</f>
        <v>21000</v>
      </c>
      <c r="H11" s="68">
        <f t="shared" ca="1" si="1"/>
        <v>21000</v>
      </c>
      <c r="I11" s="68">
        <f>IF($B11="","",SUMIFS(TAHSILAT!$F$7:$F$2506,TAHSILAT!$C$7:$C$2506,$B11))</f>
        <v>33000</v>
      </c>
      <c r="J11" s="68">
        <f t="shared" ca="1" si="2"/>
        <v>0</v>
      </c>
      <c r="K11" s="68">
        <f t="shared" ca="1" si="3"/>
        <v>0</v>
      </c>
      <c r="L11" s="68">
        <f t="shared" ca="1" si="4"/>
        <v>0</v>
      </c>
      <c r="M11" s="68">
        <f t="shared" ca="1" si="5"/>
        <v>0</v>
      </c>
      <c r="N11" s="68">
        <f t="shared" ca="1" si="6"/>
        <v>0</v>
      </c>
      <c r="O11" s="86">
        <f t="shared" ca="1" si="7"/>
        <v>1.5714285714285714</v>
      </c>
      <c r="P11" s="70">
        <f>IF($B11="","",IFERROR(LOOKUP(2,1/(TAHSILAT!$C$7:$C$2506=$B11),TAHSILAT!$E$7:$E$2506),""))</f>
        <v>46245</v>
      </c>
      <c r="Q11" s="65" t="str">
        <f t="shared" ca="1" si="8"/>
        <v>TEMİZ</v>
      </c>
      <c r="R11" s="74" t="str">
        <f t="shared" ca="1" si="9"/>
        <v>Aksiyon gerekmiyor</v>
      </c>
      <c r="S11" s="76">
        <f>IF($B11="","",COUNTIFS(AKTIVITE!$D$7:$D$1006,$B11,AKTIVITE!$J$7:$J$1006,"&lt;&gt;Tamamlandı"))</f>
        <v>0</v>
      </c>
      <c r="T11" s="70" t="str">
        <f>IF(OR($B11="",$AF11=""),"",IF(INDEX(MUSTERILER!$K$7:$K$156,$AF11)="","",INDEX(MUSTERILER!$K$7:$K$156,$AF11)))</f>
        <v/>
      </c>
      <c r="U11" s="76" t="str">
        <f t="shared" ca="1" si="10"/>
        <v/>
      </c>
      <c r="V11" s="68">
        <f t="shared" ca="1" si="11"/>
        <v>12000</v>
      </c>
      <c r="W11" s="65" t="str">
        <f t="shared" ca="1" si="12"/>
        <v>UYGUN</v>
      </c>
      <c r="X11" s="2">
        <f ca="1">IF($B11="",0,SUMIFS(UCRETLER!$J$7:$J$606,UCRETLER!$B$7:$B$606,$B11))</f>
        <v>21000</v>
      </c>
      <c r="Y11" s="2">
        <f ca="1">IF($B11="",0,SUMIFS(UCRETLER!$K$7:$K$606,UCRETLER!$B$7:$B$606,$B11))</f>
        <v>21000</v>
      </c>
      <c r="Z11" s="1">
        <f ca="1">IF($B11="",0,SUMIFS(UCRETLER!$L$7:$L$606,UCRETLER!$B$7:$B$606,$B11))</f>
        <v>18000</v>
      </c>
      <c r="AA11" s="1">
        <f t="shared" si="13"/>
        <v>33000</v>
      </c>
      <c r="AB11" s="1">
        <f t="shared" si="14"/>
        <v>0</v>
      </c>
      <c r="AC11" s="1">
        <f t="shared" ca="1" si="15"/>
        <v>0</v>
      </c>
      <c r="AD11" s="1">
        <f t="shared" ca="1" si="16"/>
        <v>0</v>
      </c>
      <c r="AE11" s="1">
        <f t="shared" ca="1" si="17"/>
        <v>0</v>
      </c>
      <c r="AF11" s="1">
        <f>IFERROR(MATCH(ROW()-6,MUSTERILER!$U$7:$U$156,0),"")</f>
        <v>5</v>
      </c>
      <c r="AG11" s="1">
        <f>IF($B11="",0,SUMIFS(GELIR_GIDER!$G$7:$G$3006,GELIR_GIDER!$T$7:$T$3006,$B11))</f>
        <v>0</v>
      </c>
    </row>
    <row r="12" spans="1:33" ht="18" customHeight="1" x14ac:dyDescent="0.3">
      <c r="A12" s="2"/>
      <c r="B12" s="65" t="str">
        <f>IF($AF12="","",INDEX(MUSTERILER!$B$7:$B$156,$AF12))</f>
        <v>M021</v>
      </c>
      <c r="C12" s="74" t="str">
        <f>IF($AF12="","",INDEX(MUSTERILER!$C$7:$C$156,$AF12))</f>
        <v>ARON TOPTAN LTD.ŞTİ.</v>
      </c>
      <c r="D12" s="68">
        <f>IF($B12="","",SUMIFS(UCRETLER!$G$7:$G$606,UCRETLER!$B$7:$B$606,$B12,UCRETLER!$F$7:$F$606,"Haftalık",UCRETLER!$H$7:$H$606,"Aktif"))</f>
        <v>0</v>
      </c>
      <c r="E12" s="68">
        <f>IF($B12="","",SUMIFS(UCRETLER!$G$7:$G$606,UCRETLER!$B$7:$B$606,$B12,UCRETLER!$F$7:$F$606,"Aylık",UCRETLER!$H$7:$H$606,"Aktif"))</f>
        <v>10000</v>
      </c>
      <c r="F12" s="68">
        <f>IF($B12="","",SUMIFS(MUSTERILER!$J$7:$J$156,MUSTERILER!$B$7:$B$156,$B12))</f>
        <v>0</v>
      </c>
      <c r="G12" s="68">
        <f ca="1">IF($B12="","",SUMIFS(UCRETLER!$I$7:$I$606,UCRETLER!$B$7:$B$606,$B12)+SUMIFS(GELIR_GIDER!$G$7:$G$3006,GELIR_GIDER!$T$7:$T$3006,$B12))</f>
        <v>90000</v>
      </c>
      <c r="H12" s="68">
        <f t="shared" ca="1" si="1"/>
        <v>90000</v>
      </c>
      <c r="I12" s="68">
        <f>IF($B12="","",SUMIFS(TAHSILAT!$F$7:$F$2506,TAHSILAT!$C$7:$C$2506,$B12))</f>
        <v>70000</v>
      </c>
      <c r="J12" s="68">
        <f t="shared" ca="1" si="2"/>
        <v>20000</v>
      </c>
      <c r="K12" s="68">
        <f t="shared" ca="1" si="3"/>
        <v>20000</v>
      </c>
      <c r="L12" s="68">
        <f t="shared" ca="1" si="4"/>
        <v>0</v>
      </c>
      <c r="M12" s="68">
        <f t="shared" ca="1" si="5"/>
        <v>0</v>
      </c>
      <c r="N12" s="68">
        <f t="shared" ca="1" si="6"/>
        <v>0</v>
      </c>
      <c r="O12" s="86">
        <f t="shared" ca="1" si="7"/>
        <v>0.77777777777777779</v>
      </c>
      <c r="P12" s="70">
        <f>IF($B12="","",IFERROR(LOOKUP(2,1/(TAHSILAT!$C$7:$C$2506=$B12),TAHSILAT!$E$7:$E$2506),""))</f>
        <v>46252</v>
      </c>
      <c r="Q12" s="65" t="str">
        <f t="shared" ca="1" si="8"/>
        <v>İZLE</v>
      </c>
      <c r="R12" s="74" t="str">
        <f t="shared" ca="1" si="9"/>
        <v>Normal takip</v>
      </c>
      <c r="S12" s="76">
        <f>IF($B12="","",COUNTIFS(AKTIVITE!$D$7:$D$1006,$B12,AKTIVITE!$J$7:$J$1006,"&lt;&gt;Tamamlandı"))</f>
        <v>0</v>
      </c>
      <c r="T12" s="70" t="str">
        <f>IF(OR($B12="",$AF12=""),"",IF(INDEX(MUSTERILER!$K$7:$K$156,$AF12)="","",INDEX(MUSTERILER!$K$7:$K$156,$AF12)))</f>
        <v/>
      </c>
      <c r="U12" s="76" t="str">
        <f t="shared" ca="1" si="10"/>
        <v/>
      </c>
      <c r="V12" s="68">
        <f t="shared" ca="1" si="11"/>
        <v>0</v>
      </c>
      <c r="W12" s="65" t="str">
        <f t="shared" ca="1" si="12"/>
        <v>UYGUN</v>
      </c>
      <c r="X12" s="2">
        <f ca="1">IF($B12="",0,SUMIFS(UCRETLER!$J$7:$J$606,UCRETLER!$B$7:$B$606,$B12))</f>
        <v>70000</v>
      </c>
      <c r="Y12" s="2">
        <f ca="1">IF($B12="",0,SUMIFS(UCRETLER!$K$7:$K$606,UCRETLER!$B$7:$B$606,$B12))</f>
        <v>70000</v>
      </c>
      <c r="Z12" s="1">
        <f ca="1">IF($B12="",0,SUMIFS(UCRETLER!$L$7:$L$606,UCRETLER!$B$7:$B$606,$B12))</f>
        <v>60000</v>
      </c>
      <c r="AA12" s="1">
        <f t="shared" si="13"/>
        <v>70000</v>
      </c>
      <c r="AB12" s="1">
        <f t="shared" si="14"/>
        <v>0</v>
      </c>
      <c r="AC12" s="1">
        <f t="shared" ca="1" si="15"/>
        <v>0</v>
      </c>
      <c r="AD12" s="1">
        <f t="shared" ca="1" si="16"/>
        <v>0</v>
      </c>
      <c r="AE12" s="1">
        <f t="shared" ca="1" si="17"/>
        <v>0</v>
      </c>
      <c r="AF12" s="1">
        <f>IFERROR(MATCH(ROW()-6,MUSTERILER!$U$7:$U$156,0),"")</f>
        <v>6</v>
      </c>
      <c r="AG12" s="1">
        <f>IF($B12="",0,SUMIFS(GELIR_GIDER!$G$7:$G$3006,GELIR_GIDER!$T$7:$T$3006,$B12))</f>
        <v>20000</v>
      </c>
    </row>
    <row r="13" spans="1:33" ht="18" customHeight="1" x14ac:dyDescent="0.3">
      <c r="A13" s="2"/>
      <c r="B13" s="65" t="str">
        <f>IF($AF13="","",INDEX(MUSTERILER!$B$7:$B$156,$AF13))</f>
        <v>M025</v>
      </c>
      <c r="C13" s="74" t="str">
        <f>IF($AF13="","",INDEX(MUSTERILER!$C$7:$C$156,$AF13))</f>
        <v>ASIM AÇIKGÖZ</v>
      </c>
      <c r="D13" s="68">
        <f>IF($B13="","",SUMIFS(UCRETLER!$G$7:$G$606,UCRETLER!$B$7:$B$606,$B13,UCRETLER!$F$7:$F$606,"Haftalık",UCRETLER!$H$7:$H$606,"Aktif"))</f>
        <v>2000</v>
      </c>
      <c r="E13" s="68">
        <f>IF($B13="","",SUMIFS(UCRETLER!$G$7:$G$606,UCRETLER!$B$7:$B$606,$B13,UCRETLER!$F$7:$F$606,"Aylık",UCRETLER!$H$7:$H$606,"Aktif"))</f>
        <v>0</v>
      </c>
      <c r="F13" s="68">
        <f>IF($B13="","",SUMIFS(MUSTERILER!$J$7:$J$156,MUSTERILER!$B$7:$B$156,$B13))</f>
        <v>0</v>
      </c>
      <c r="G13" s="68">
        <f ca="1">IF($B13="","",SUMIFS(UCRETLER!$I$7:$I$606,UCRETLER!$B$7:$B$606,$B13)+SUMIFS(GELIR_GIDER!$G$7:$G$3006,GELIR_GIDER!$T$7:$T$3006,$B13))</f>
        <v>73200</v>
      </c>
      <c r="H13" s="68">
        <f t="shared" ca="1" si="1"/>
        <v>73200</v>
      </c>
      <c r="I13" s="68">
        <f>IF($B13="","",SUMIFS(TAHSILAT!$F$7:$F$2506,TAHSILAT!$C$7:$C$2506,$B13))</f>
        <v>58000</v>
      </c>
      <c r="J13" s="68">
        <f t="shared" ca="1" si="2"/>
        <v>15200</v>
      </c>
      <c r="K13" s="68">
        <f t="shared" ca="1" si="3"/>
        <v>7200</v>
      </c>
      <c r="L13" s="68">
        <f t="shared" ca="1" si="4"/>
        <v>2000</v>
      </c>
      <c r="M13" s="68">
        <f t="shared" ca="1" si="5"/>
        <v>4000</v>
      </c>
      <c r="N13" s="68">
        <f t="shared" ca="1" si="6"/>
        <v>2000</v>
      </c>
      <c r="O13" s="86">
        <f t="shared" ca="1" si="7"/>
        <v>0.79234972677595628</v>
      </c>
      <c r="P13" s="70">
        <f>IF($B13="","",IFERROR(LOOKUP(2,1/(TAHSILAT!$C$7:$C$2506=$B13),TAHSILAT!$E$7:$E$2506),""))</f>
        <v>46249</v>
      </c>
      <c r="Q13" s="65" t="str">
        <f t="shared" ca="1" si="8"/>
        <v>KRİTİK</v>
      </c>
      <c r="R13" s="74" t="str">
        <f t="shared" ca="1" si="9"/>
        <v>Acil tahsilat görüşmesi ve cari mutabakat</v>
      </c>
      <c r="S13" s="76">
        <f>IF($B13="","",COUNTIFS(AKTIVITE!$D$7:$D$1006,$B13,AKTIVITE!$J$7:$J$1006,"&lt;&gt;Tamamlandı"))</f>
        <v>0</v>
      </c>
      <c r="T13" s="70" t="str">
        <f>IF(OR($B13="",$AF13=""),"",IF(INDEX(MUSTERILER!$K$7:$K$156,$AF13)="","",INDEX(MUSTERILER!$K$7:$K$156,$AF13)))</f>
        <v/>
      </c>
      <c r="U13" s="76" t="str">
        <f t="shared" ca="1" si="10"/>
        <v/>
      </c>
      <c r="V13" s="68">
        <f t="shared" ca="1" si="11"/>
        <v>0</v>
      </c>
      <c r="W13" s="65" t="str">
        <f t="shared" ca="1" si="12"/>
        <v>UYGUN</v>
      </c>
      <c r="X13" s="2">
        <f ca="1">IF($B13="",0,SUMIFS(UCRETLER!$J$7:$J$606,UCRETLER!$B$7:$B$606,$B13))</f>
        <v>66000</v>
      </c>
      <c r="Y13" s="2">
        <f ca="1">IF($B13="",0,SUMIFS(UCRETLER!$K$7:$K$606,UCRETLER!$B$7:$B$606,$B13))</f>
        <v>64000</v>
      </c>
      <c r="Z13" s="1">
        <f ca="1">IF($B13="",0,SUMIFS(UCRETLER!$L$7:$L$606,UCRETLER!$B$7:$B$606,$B13))</f>
        <v>60000</v>
      </c>
      <c r="AA13" s="1">
        <f t="shared" si="13"/>
        <v>58000</v>
      </c>
      <c r="AB13" s="1">
        <f t="shared" si="14"/>
        <v>0</v>
      </c>
      <c r="AC13" s="1">
        <f t="shared" ca="1" si="15"/>
        <v>8000</v>
      </c>
      <c r="AD13" s="1">
        <f t="shared" ca="1" si="16"/>
        <v>6000</v>
      </c>
      <c r="AE13" s="1">
        <f t="shared" ca="1" si="17"/>
        <v>2000</v>
      </c>
      <c r="AF13" s="1">
        <f>IFERROR(MATCH(ROW()-6,MUSTERILER!$U$7:$U$156,0),"")</f>
        <v>7</v>
      </c>
      <c r="AG13" s="1">
        <f>IF($B13="",0,SUMIFS(GELIR_GIDER!$G$7:$G$3006,GELIR_GIDER!$T$7:$T$3006,$B13))</f>
        <v>5200</v>
      </c>
    </row>
    <row r="14" spans="1:33" ht="18" customHeight="1" x14ac:dyDescent="0.3">
      <c r="A14" s="2"/>
      <c r="B14" s="65" t="str">
        <f>IF($AF14="","",INDEX(MUSTERILER!$B$7:$B$156,$AF14))</f>
        <v>M017</v>
      </c>
      <c r="C14" s="74" t="str">
        <f>IF($AF14="","",INDEX(MUSTERILER!$C$7:$C$156,$AF14))</f>
        <v>ASM EĞLENCE LTD.ŞTİ.</v>
      </c>
      <c r="D14" s="68">
        <f>IF($B14="","",SUMIFS(UCRETLER!$G$7:$G$606,UCRETLER!$B$7:$B$606,$B14,UCRETLER!$F$7:$F$606,"Haftalık",UCRETLER!$H$7:$H$606,"Aktif"))</f>
        <v>2500</v>
      </c>
      <c r="E14" s="68">
        <f>IF($B14="","",SUMIFS(UCRETLER!$G$7:$G$606,UCRETLER!$B$7:$B$606,$B14,UCRETLER!$F$7:$F$606,"Aylık",UCRETLER!$H$7:$H$606,"Aktif"))</f>
        <v>0</v>
      </c>
      <c r="F14" s="68">
        <f>IF($B14="","",SUMIFS(MUSTERILER!$J$7:$J$156,MUSTERILER!$B$7:$B$156,$B14))</f>
        <v>0</v>
      </c>
      <c r="G14" s="68">
        <f ca="1">IF($B14="","",SUMIFS(UCRETLER!$I$7:$I$606,UCRETLER!$B$7:$B$606,$B14)+SUMIFS(GELIR_GIDER!$G$7:$G$3006,GELIR_GIDER!$T$7:$T$3006,$B14))</f>
        <v>99750</v>
      </c>
      <c r="H14" s="68">
        <f t="shared" ca="1" si="1"/>
        <v>99750</v>
      </c>
      <c r="I14" s="68">
        <f>IF($B14="","",SUMIFS(TAHSILAT!$F$7:$F$2506,TAHSILAT!$C$7:$C$2506,$B14))</f>
        <v>72500</v>
      </c>
      <c r="J14" s="68">
        <f t="shared" ca="1" si="2"/>
        <v>27250</v>
      </c>
      <c r="K14" s="68">
        <f t="shared" ca="1" si="3"/>
        <v>17250</v>
      </c>
      <c r="L14" s="68">
        <f t="shared" ca="1" si="4"/>
        <v>2500</v>
      </c>
      <c r="M14" s="68">
        <f t="shared" ca="1" si="5"/>
        <v>5000</v>
      </c>
      <c r="N14" s="68">
        <f t="shared" ca="1" si="6"/>
        <v>2500</v>
      </c>
      <c r="O14" s="86">
        <f t="shared" ca="1" si="7"/>
        <v>0.72681704260651625</v>
      </c>
      <c r="P14" s="70">
        <f>IF($B14="","",IFERROR(LOOKUP(2,1/(TAHSILAT!$C$7:$C$2506=$B14),TAHSILAT!$E$7:$E$2506),""))</f>
        <v>46249</v>
      </c>
      <c r="Q14" s="65" t="str">
        <f t="shared" ca="1" si="8"/>
        <v>KRİTİK</v>
      </c>
      <c r="R14" s="74" t="str">
        <f t="shared" ca="1" si="9"/>
        <v>Acil tahsilat görüşmesi ve cari mutabakat</v>
      </c>
      <c r="S14" s="76">
        <f>IF($B14="","",COUNTIFS(AKTIVITE!$D$7:$D$1006,$B14,AKTIVITE!$J$7:$J$1006,"&lt;&gt;Tamamlandı"))</f>
        <v>0</v>
      </c>
      <c r="T14" s="70" t="str">
        <f>IF(OR($B14="",$AF14=""),"",IF(INDEX(MUSTERILER!$K$7:$K$156,$AF14)="","",INDEX(MUSTERILER!$K$7:$K$156,$AF14)))</f>
        <v/>
      </c>
      <c r="U14" s="76" t="str">
        <f t="shared" ca="1" si="10"/>
        <v/>
      </c>
      <c r="V14" s="68">
        <f t="shared" ca="1" si="11"/>
        <v>0</v>
      </c>
      <c r="W14" s="65" t="str">
        <f t="shared" ca="1" si="12"/>
        <v>UYGUN</v>
      </c>
      <c r="X14" s="2">
        <f ca="1">IF($B14="",0,SUMIFS(UCRETLER!$J$7:$J$606,UCRETLER!$B$7:$B$606,$B14))</f>
        <v>82500</v>
      </c>
      <c r="Y14" s="2">
        <f ca="1">IF($B14="",0,SUMIFS(UCRETLER!$K$7:$K$606,UCRETLER!$B$7:$B$606,$B14))</f>
        <v>80000</v>
      </c>
      <c r="Z14" s="1">
        <f ca="1">IF($B14="",0,SUMIFS(UCRETLER!$L$7:$L$606,UCRETLER!$B$7:$B$606,$B14))</f>
        <v>75000</v>
      </c>
      <c r="AA14" s="1">
        <f t="shared" si="13"/>
        <v>72500</v>
      </c>
      <c r="AB14" s="1">
        <f t="shared" si="14"/>
        <v>0</v>
      </c>
      <c r="AC14" s="1">
        <f t="shared" ca="1" si="15"/>
        <v>10000</v>
      </c>
      <c r="AD14" s="1">
        <f t="shared" ca="1" si="16"/>
        <v>7500</v>
      </c>
      <c r="AE14" s="1">
        <f t="shared" ca="1" si="17"/>
        <v>2500</v>
      </c>
      <c r="AF14" s="1">
        <f>IFERROR(MATCH(ROW()-6,MUSTERILER!$U$7:$U$156,0),"")</f>
        <v>8</v>
      </c>
      <c r="AG14" s="1">
        <f>IF($B14="",0,SUMIFS(GELIR_GIDER!$G$7:$G$3006,GELIR_GIDER!$T$7:$T$3006,$B14))</f>
        <v>14750</v>
      </c>
    </row>
    <row r="15" spans="1:33" ht="18" customHeight="1" x14ac:dyDescent="0.3">
      <c r="A15" s="2"/>
      <c r="B15" s="65" t="str">
        <f>IF($AF15="","",INDEX(MUSTERILER!$B$7:$B$156,$AF15))</f>
        <v>M026</v>
      </c>
      <c r="C15" s="74" t="str">
        <f>IF($AF15="","",INDEX(MUSTERILER!$C$7:$C$156,$AF15))</f>
        <v>AYDES LTD.ŞTİ.</v>
      </c>
      <c r="D15" s="68">
        <f>IF($B15="","",SUMIFS(UCRETLER!$G$7:$G$606,UCRETLER!$B$7:$B$606,$B15,UCRETLER!$F$7:$F$606,"Haftalık",UCRETLER!$H$7:$H$606,"Aktif"))</f>
        <v>0</v>
      </c>
      <c r="E15" s="68">
        <f>IF($B15="","",SUMIFS(UCRETLER!$G$7:$G$606,UCRETLER!$B$7:$B$606,$B15,UCRETLER!$F$7:$F$606,"Aylık",UCRETLER!$H$7:$H$606,"Aktif"))</f>
        <v>7500</v>
      </c>
      <c r="F15" s="68">
        <f>IF($B15="","",SUMIFS(MUSTERILER!$J$7:$J$156,MUSTERILER!$B$7:$B$156,$B15))</f>
        <v>0</v>
      </c>
      <c r="G15" s="68">
        <f ca="1">IF($B15="","",SUMIFS(UCRETLER!$I$7:$I$606,UCRETLER!$B$7:$B$606,$B15)+SUMIFS(GELIR_GIDER!$G$7:$G$3006,GELIR_GIDER!$T$7:$T$3006,$B15))</f>
        <v>52500</v>
      </c>
      <c r="H15" s="68">
        <f t="shared" ca="1" si="1"/>
        <v>52500</v>
      </c>
      <c r="I15" s="68">
        <f>IF($B15="","",SUMIFS(TAHSILAT!$F$7:$F$2506,TAHSILAT!$C$7:$C$2506,$B15))</f>
        <v>0</v>
      </c>
      <c r="J15" s="68">
        <f t="shared" ca="1" si="2"/>
        <v>52500</v>
      </c>
      <c r="K15" s="68">
        <f t="shared" ca="1" si="3"/>
        <v>0</v>
      </c>
      <c r="L15" s="68">
        <f t="shared" ca="1" si="4"/>
        <v>0</v>
      </c>
      <c r="M15" s="68">
        <f t="shared" ca="1" si="5"/>
        <v>7500</v>
      </c>
      <c r="N15" s="68">
        <f t="shared" ca="1" si="6"/>
        <v>45000</v>
      </c>
      <c r="O15" s="86">
        <f t="shared" ca="1" si="7"/>
        <v>0</v>
      </c>
      <c r="P15" s="70" t="str">
        <f>IF($B15="","",IFERROR(LOOKUP(2,1/(TAHSILAT!$C$7:$C$2506=$B15),TAHSILAT!$E$7:$E$2506),""))</f>
        <v/>
      </c>
      <c r="Q15" s="65" t="str">
        <f t="shared" ca="1" si="8"/>
        <v>KRİTİK</v>
      </c>
      <c r="R15" s="74" t="str">
        <f t="shared" ca="1" si="9"/>
        <v>Acil tahsilat görüşmesi ve cari mutabakat</v>
      </c>
      <c r="S15" s="76">
        <f>IF($B15="","",COUNTIFS(AKTIVITE!$D$7:$D$1006,$B15,AKTIVITE!$J$7:$J$1006,"&lt;&gt;Tamamlandı"))</f>
        <v>0</v>
      </c>
      <c r="T15" s="70" t="str">
        <f>IF(OR($B15="",$AF15=""),"",IF(INDEX(MUSTERILER!$K$7:$K$156,$AF15)="","",INDEX(MUSTERILER!$K$7:$K$156,$AF15)))</f>
        <v/>
      </c>
      <c r="U15" s="76" t="str">
        <f t="shared" ca="1" si="10"/>
        <v/>
      </c>
      <c r="V15" s="68">
        <f t="shared" ca="1" si="11"/>
        <v>0</v>
      </c>
      <c r="W15" s="65" t="str">
        <f t="shared" ca="1" si="12"/>
        <v>UYGUN</v>
      </c>
      <c r="X15" s="2">
        <f ca="1">IF($B15="",0,SUMIFS(UCRETLER!$J$7:$J$606,UCRETLER!$B$7:$B$606,$B15))</f>
        <v>52500</v>
      </c>
      <c r="Y15" s="2">
        <f ca="1">IF($B15="",0,SUMIFS(UCRETLER!$K$7:$K$606,UCRETLER!$B$7:$B$606,$B15))</f>
        <v>52500</v>
      </c>
      <c r="Z15" s="1">
        <f ca="1">IF($B15="",0,SUMIFS(UCRETLER!$L$7:$L$606,UCRETLER!$B$7:$B$606,$B15))</f>
        <v>45000</v>
      </c>
      <c r="AA15" s="1">
        <f t="shared" si="13"/>
        <v>0</v>
      </c>
      <c r="AB15" s="1">
        <f t="shared" si="14"/>
        <v>0</v>
      </c>
      <c r="AC15" s="1">
        <f t="shared" ca="1" si="15"/>
        <v>52500</v>
      </c>
      <c r="AD15" s="1">
        <f t="shared" ca="1" si="16"/>
        <v>52500</v>
      </c>
      <c r="AE15" s="1">
        <f t="shared" ca="1" si="17"/>
        <v>45000</v>
      </c>
      <c r="AF15" s="1">
        <f>IFERROR(MATCH(ROW()-6,MUSTERILER!$U$7:$U$156,0),"")</f>
        <v>9</v>
      </c>
      <c r="AG15" s="1">
        <f>IF($B15="",0,SUMIFS(GELIR_GIDER!$G$7:$G$3006,GELIR_GIDER!$T$7:$T$3006,$B15))</f>
        <v>0</v>
      </c>
    </row>
    <row r="16" spans="1:33" ht="18" customHeight="1" x14ac:dyDescent="0.3">
      <c r="A16" s="2"/>
      <c r="B16" s="65" t="str">
        <f>IF($AF16="","",INDEX(MUSTERILER!$B$7:$B$156,$AF16))</f>
        <v>M027</v>
      </c>
      <c r="C16" s="74" t="str">
        <f>IF($AF16="","",INDEX(MUSTERILER!$C$7:$C$156,$AF16))</f>
        <v>CEREN DEMİRCİ</v>
      </c>
      <c r="D16" s="68">
        <f>IF($B16="","",SUMIFS(UCRETLER!$G$7:$G$606,UCRETLER!$B$7:$B$606,$B16,UCRETLER!$F$7:$F$606,"Haftalık",UCRETLER!$H$7:$H$606,"Aktif"))</f>
        <v>0</v>
      </c>
      <c r="E16" s="68">
        <f>IF($B16="","",SUMIFS(UCRETLER!$G$7:$G$606,UCRETLER!$B$7:$B$606,$B16,UCRETLER!$F$7:$F$606,"Aylık",UCRETLER!$H$7:$H$606,"Aktif"))</f>
        <v>4000</v>
      </c>
      <c r="F16" s="68">
        <f>IF($B16="","",SUMIFS(MUSTERILER!$J$7:$J$156,MUSTERILER!$B$7:$B$156,$B16))</f>
        <v>0</v>
      </c>
      <c r="G16" s="68">
        <f ca="1">IF($B16="","",SUMIFS(UCRETLER!$I$7:$I$606,UCRETLER!$B$7:$B$606,$B16)+SUMIFS(GELIR_GIDER!$G$7:$G$3006,GELIR_GIDER!$T$7:$T$3006,$B16))</f>
        <v>28000</v>
      </c>
      <c r="H16" s="68">
        <f t="shared" ca="1" si="1"/>
        <v>28000</v>
      </c>
      <c r="I16" s="68">
        <f>IF($B16="","",SUMIFS(TAHSILAT!$F$7:$F$2506,TAHSILAT!$C$7:$C$2506,$B16))</f>
        <v>7500</v>
      </c>
      <c r="J16" s="68">
        <f t="shared" ca="1" si="2"/>
        <v>20500</v>
      </c>
      <c r="K16" s="68">
        <f t="shared" ca="1" si="3"/>
        <v>0</v>
      </c>
      <c r="L16" s="68">
        <f t="shared" ca="1" si="4"/>
        <v>0</v>
      </c>
      <c r="M16" s="68">
        <f t="shared" ca="1" si="5"/>
        <v>4000</v>
      </c>
      <c r="N16" s="68">
        <f t="shared" ca="1" si="6"/>
        <v>16500</v>
      </c>
      <c r="O16" s="86">
        <f t="shared" ca="1" si="7"/>
        <v>0.26785714285714285</v>
      </c>
      <c r="P16" s="70">
        <f>IF($B16="","",IFERROR(LOOKUP(2,1/(TAHSILAT!$C$7:$C$2506=$B16),TAHSILAT!$E$7:$E$2506),""))</f>
        <v>46127</v>
      </c>
      <c r="Q16" s="65" t="str">
        <f t="shared" ca="1" si="8"/>
        <v>KRİTİK</v>
      </c>
      <c r="R16" s="74" t="str">
        <f t="shared" ca="1" si="9"/>
        <v>Acil tahsilat görüşmesi ve cari mutabakat</v>
      </c>
      <c r="S16" s="76">
        <f>IF($B16="","",COUNTIFS(AKTIVITE!$D$7:$D$1006,$B16,AKTIVITE!$J$7:$J$1006,"&lt;&gt;Tamamlandı"))</f>
        <v>0</v>
      </c>
      <c r="T16" s="70" t="str">
        <f>IF(OR($B16="",$AF16=""),"",IF(INDEX(MUSTERILER!$K$7:$K$156,$AF16)="","",INDEX(MUSTERILER!$K$7:$K$156,$AF16)))</f>
        <v/>
      </c>
      <c r="U16" s="76" t="str">
        <f t="shared" ca="1" si="10"/>
        <v/>
      </c>
      <c r="V16" s="68">
        <f t="shared" ca="1" si="11"/>
        <v>0</v>
      </c>
      <c r="W16" s="65" t="str">
        <f t="shared" ca="1" si="12"/>
        <v>UYGUN</v>
      </c>
      <c r="X16" s="2">
        <f ca="1">IF($B16="",0,SUMIFS(UCRETLER!$J$7:$J$606,UCRETLER!$B$7:$B$606,$B16))</f>
        <v>28000</v>
      </c>
      <c r="Y16" s="2">
        <f ca="1">IF($B16="",0,SUMIFS(UCRETLER!$K$7:$K$606,UCRETLER!$B$7:$B$606,$B16))</f>
        <v>28000</v>
      </c>
      <c r="Z16" s="1">
        <f ca="1">IF($B16="",0,SUMIFS(UCRETLER!$L$7:$L$606,UCRETLER!$B$7:$B$606,$B16))</f>
        <v>24000</v>
      </c>
      <c r="AA16" s="1">
        <f t="shared" si="13"/>
        <v>7500</v>
      </c>
      <c r="AB16" s="1">
        <f t="shared" si="14"/>
        <v>0</v>
      </c>
      <c r="AC16" s="1">
        <f t="shared" ca="1" si="15"/>
        <v>20500</v>
      </c>
      <c r="AD16" s="1">
        <f t="shared" ca="1" si="16"/>
        <v>20500</v>
      </c>
      <c r="AE16" s="1">
        <f t="shared" ca="1" si="17"/>
        <v>16500</v>
      </c>
      <c r="AF16" s="1">
        <f>IFERROR(MATCH(ROW()-6,MUSTERILER!$U$7:$U$156,0),"")</f>
        <v>11</v>
      </c>
      <c r="AG16" s="1">
        <f>IF($B16="",0,SUMIFS(GELIR_GIDER!$G$7:$G$3006,GELIR_GIDER!$T$7:$T$3006,$B16))</f>
        <v>0</v>
      </c>
    </row>
    <row r="17" spans="1:33" ht="18" customHeight="1" x14ac:dyDescent="0.3">
      <c r="A17" s="2"/>
      <c r="B17" s="65" t="str">
        <f>IF($AF17="","",INDEX(MUSTERILER!$B$7:$B$156,$AF17))</f>
        <v>M015</v>
      </c>
      <c r="C17" s="74" t="str">
        <f>IF($AF17="","",INDEX(MUSTERILER!$C$7:$C$156,$AF17))</f>
        <v>ÇAYIRALAN LTD.ŞTİ.</v>
      </c>
      <c r="D17" s="68">
        <f>IF($B17="","",SUMIFS(UCRETLER!$G$7:$G$606,UCRETLER!$B$7:$B$606,$B17,UCRETLER!$F$7:$F$606,"Haftalık",UCRETLER!$H$7:$H$606,"Aktif"))</f>
        <v>3000</v>
      </c>
      <c r="E17" s="68">
        <f>IF($B17="","",SUMIFS(UCRETLER!$G$7:$G$606,UCRETLER!$B$7:$B$606,$B17,UCRETLER!$F$7:$F$606,"Aylık",UCRETLER!$H$7:$H$606,"Aktif"))</f>
        <v>0</v>
      </c>
      <c r="F17" s="68">
        <f>IF($B17="","",SUMIFS(MUSTERILER!$J$7:$J$156,MUSTERILER!$B$7:$B$156,$B17))</f>
        <v>0</v>
      </c>
      <c r="G17" s="68">
        <f ca="1">IF($B17="","",SUMIFS(UCRETLER!$I$7:$I$606,UCRETLER!$B$7:$B$606,$B17)+SUMIFS(GELIR_GIDER!$G$7:$G$3006,GELIR_GIDER!$T$7:$T$3006,$B17))</f>
        <v>112550</v>
      </c>
      <c r="H17" s="68">
        <f t="shared" ca="1" si="1"/>
        <v>112550</v>
      </c>
      <c r="I17" s="68">
        <f>IF($B17="","",SUMIFS(TAHSILAT!$F$7:$F$2506,TAHSILAT!$C$7:$C$2506,$B17))</f>
        <v>101500</v>
      </c>
      <c r="J17" s="68">
        <f t="shared" ca="1" si="2"/>
        <v>11050</v>
      </c>
      <c r="K17" s="68">
        <f t="shared" ca="1" si="3"/>
        <v>11050</v>
      </c>
      <c r="L17" s="68">
        <f t="shared" ca="1" si="4"/>
        <v>0</v>
      </c>
      <c r="M17" s="68">
        <f t="shared" ca="1" si="5"/>
        <v>0</v>
      </c>
      <c r="N17" s="68">
        <f t="shared" ca="1" si="6"/>
        <v>0</v>
      </c>
      <c r="O17" s="86">
        <f t="shared" ca="1" si="7"/>
        <v>0.90182141270546423</v>
      </c>
      <c r="P17" s="70">
        <f>IF($B17="","",IFERROR(LOOKUP(2,1/(TAHSILAT!$C$7:$C$2506=$B17),TAHSILAT!$E$7:$E$2506),""))</f>
        <v>46254</v>
      </c>
      <c r="Q17" s="65" t="str">
        <f t="shared" ca="1" si="8"/>
        <v>İZLE</v>
      </c>
      <c r="R17" s="74" t="str">
        <f t="shared" ca="1" si="9"/>
        <v>Normal takip</v>
      </c>
      <c r="S17" s="76">
        <f>IF($B17="","",COUNTIFS(AKTIVITE!$D$7:$D$1006,$B17,AKTIVITE!$J$7:$J$1006,"&lt;&gt;Tamamlandı"))</f>
        <v>0</v>
      </c>
      <c r="T17" s="70" t="str">
        <f>IF(OR($B17="",$AF17=""),"",IF(INDEX(MUSTERILER!$K$7:$K$156,$AF17)="","",INDEX(MUSTERILER!$K$7:$K$156,$AF17)))</f>
        <v/>
      </c>
      <c r="U17" s="76" t="str">
        <f t="shared" ca="1" si="10"/>
        <v/>
      </c>
      <c r="V17" s="68">
        <f t="shared" ca="1" si="11"/>
        <v>0</v>
      </c>
      <c r="W17" s="65" t="str">
        <f t="shared" ca="1" si="12"/>
        <v>UYGUN</v>
      </c>
      <c r="X17" s="2">
        <f ca="1">IF($B17="",0,SUMIFS(UCRETLER!$J$7:$J$606,UCRETLER!$B$7:$B$606,$B17))</f>
        <v>99000</v>
      </c>
      <c r="Y17" s="2">
        <f ca="1">IF($B17="",0,SUMIFS(UCRETLER!$K$7:$K$606,UCRETLER!$B$7:$B$606,$B17))</f>
        <v>96000</v>
      </c>
      <c r="Z17" s="1">
        <f ca="1">IF($B17="",0,SUMIFS(UCRETLER!$L$7:$L$606,UCRETLER!$B$7:$B$606,$B17))</f>
        <v>90000</v>
      </c>
      <c r="AA17" s="1">
        <f t="shared" si="13"/>
        <v>101500</v>
      </c>
      <c r="AB17" s="1">
        <f t="shared" si="14"/>
        <v>0</v>
      </c>
      <c r="AC17" s="1">
        <f t="shared" ca="1" si="15"/>
        <v>0</v>
      </c>
      <c r="AD17" s="1">
        <f t="shared" ca="1" si="16"/>
        <v>0</v>
      </c>
      <c r="AE17" s="1">
        <f t="shared" ca="1" si="17"/>
        <v>0</v>
      </c>
      <c r="AF17" s="1">
        <f>IFERROR(MATCH(ROW()-6,MUSTERILER!$U$7:$U$156,0),"")</f>
        <v>10</v>
      </c>
      <c r="AG17" s="1">
        <f>IF($B17="",0,SUMIFS(GELIR_GIDER!$G$7:$G$3006,GELIR_GIDER!$T$7:$T$3006,$B17))</f>
        <v>10550</v>
      </c>
    </row>
    <row r="18" spans="1:33" ht="18" customHeight="1" x14ac:dyDescent="0.3">
      <c r="A18" s="2"/>
      <c r="B18" s="65" t="str">
        <f>IF($AF18="","",INDEX(MUSTERILER!$B$7:$B$156,$AF18))</f>
        <v>M018</v>
      </c>
      <c r="C18" s="74" t="str">
        <f>IF($AF18="","",INDEX(MUSTERILER!$C$7:$C$156,$AF18))</f>
        <v>ÇINARHAN LTD.ŞTİ.</v>
      </c>
      <c r="D18" s="68">
        <f>IF($B18="","",SUMIFS(UCRETLER!$G$7:$G$606,UCRETLER!$B$7:$B$606,$B18,UCRETLER!$F$7:$F$606,"Haftalık",UCRETLER!$H$7:$H$606,"Aktif"))</f>
        <v>4000</v>
      </c>
      <c r="E18" s="68">
        <f>IF($B18="","",SUMIFS(UCRETLER!$G$7:$G$606,UCRETLER!$B$7:$B$606,$B18,UCRETLER!$F$7:$F$606,"Aylık",UCRETLER!$H$7:$H$606,"Aktif"))</f>
        <v>0</v>
      </c>
      <c r="F18" s="68">
        <f>IF($B18="","",SUMIFS(MUSTERILER!$J$7:$J$156,MUSTERILER!$B$7:$B$156,$B18))</f>
        <v>0</v>
      </c>
      <c r="G18" s="68">
        <f ca="1">IF($B18="","",SUMIFS(UCRETLER!$I$7:$I$606,UCRETLER!$B$7:$B$606,$B18)+SUMIFS(GELIR_GIDER!$G$7:$G$3006,GELIR_GIDER!$T$7:$T$3006,$B18))</f>
        <v>102750</v>
      </c>
      <c r="H18" s="68">
        <f t="shared" ca="1" si="1"/>
        <v>102750</v>
      </c>
      <c r="I18" s="68">
        <f>IF($B18="","",SUMIFS(TAHSILAT!$F$7:$F$2506,TAHSILAT!$C$7:$C$2506,$B18))</f>
        <v>79500</v>
      </c>
      <c r="J18" s="68">
        <f t="shared" ca="1" si="2"/>
        <v>23250</v>
      </c>
      <c r="K18" s="68">
        <f t="shared" ca="1" si="3"/>
        <v>18750</v>
      </c>
      <c r="L18" s="68">
        <f t="shared" ca="1" si="4"/>
        <v>4000</v>
      </c>
      <c r="M18" s="68">
        <f t="shared" ca="1" si="5"/>
        <v>500</v>
      </c>
      <c r="N18" s="68">
        <f t="shared" ca="1" si="6"/>
        <v>0</v>
      </c>
      <c r="O18" s="86">
        <f t="shared" ca="1" si="7"/>
        <v>0.77372262773722633</v>
      </c>
      <c r="P18" s="70">
        <f>IF($B18="","",IFERROR(LOOKUP(2,1/(TAHSILAT!$C$7:$C$2506=$B18),TAHSILAT!$E$7:$E$2506),""))</f>
        <v>46249</v>
      </c>
      <c r="Q18" s="65" t="str">
        <f t="shared" ca="1" si="8"/>
        <v>YÜKSEK</v>
      </c>
      <c r="R18" s="74" t="str">
        <f t="shared" ca="1" si="9"/>
        <v>Bu hafta tahsilat takibi</v>
      </c>
      <c r="S18" s="76">
        <f>IF($B18="","",COUNTIFS(AKTIVITE!$D$7:$D$1006,$B18,AKTIVITE!$J$7:$J$1006,"&lt;&gt;Tamamlandı"))</f>
        <v>0</v>
      </c>
      <c r="T18" s="70" t="str">
        <f>IF(OR($B18="",$AF18=""),"",IF(INDEX(MUSTERILER!$K$7:$K$156,$AF18)="","",INDEX(MUSTERILER!$K$7:$K$156,$AF18)))</f>
        <v/>
      </c>
      <c r="U18" s="76" t="str">
        <f t="shared" ca="1" si="10"/>
        <v/>
      </c>
      <c r="V18" s="68">
        <f t="shared" ca="1" si="11"/>
        <v>0</v>
      </c>
      <c r="W18" s="65" t="str">
        <f t="shared" ca="1" si="12"/>
        <v>UYGUN</v>
      </c>
      <c r="X18" s="2">
        <f ca="1">IF($B18="",0,SUMIFS(UCRETLER!$J$7:$J$606,UCRETLER!$B$7:$B$606,$B18))</f>
        <v>84000</v>
      </c>
      <c r="Y18" s="2">
        <f ca="1">IF($B18="",0,SUMIFS(UCRETLER!$K$7:$K$606,UCRETLER!$B$7:$B$606,$B18))</f>
        <v>80000</v>
      </c>
      <c r="Z18" s="1">
        <f ca="1">IF($B18="",0,SUMIFS(UCRETLER!$L$7:$L$606,UCRETLER!$B$7:$B$606,$B18))</f>
        <v>75000</v>
      </c>
      <c r="AA18" s="1">
        <f t="shared" si="13"/>
        <v>79500</v>
      </c>
      <c r="AB18" s="1">
        <f t="shared" si="14"/>
        <v>0</v>
      </c>
      <c r="AC18" s="1">
        <f t="shared" ca="1" si="15"/>
        <v>4500</v>
      </c>
      <c r="AD18" s="1">
        <f t="shared" ca="1" si="16"/>
        <v>500</v>
      </c>
      <c r="AE18" s="1">
        <f t="shared" ca="1" si="17"/>
        <v>0</v>
      </c>
      <c r="AF18" s="1">
        <f>IFERROR(MATCH(ROW()-6,MUSTERILER!$U$7:$U$156,0),"")</f>
        <v>12</v>
      </c>
      <c r="AG18" s="1">
        <f>IF($B18="",0,SUMIFS(GELIR_GIDER!$G$7:$G$3006,GELIR_GIDER!$T$7:$T$3006,$B18))</f>
        <v>14750</v>
      </c>
    </row>
    <row r="19" spans="1:33" ht="18" customHeight="1" x14ac:dyDescent="0.3">
      <c r="A19" s="2"/>
      <c r="B19" s="65" t="str">
        <f>IF($AF19="","",INDEX(MUSTERILER!$B$7:$B$156,$AF19))</f>
        <v>M028</v>
      </c>
      <c r="C19" s="74" t="str">
        <f>IF($AF19="","",INDEX(MUSTERILER!$C$7:$C$156,$AF19))</f>
        <v>DERVİŞHAN LTD.ŞTİ.</v>
      </c>
      <c r="D19" s="68">
        <f>IF($B19="","",SUMIFS(UCRETLER!$G$7:$G$606,UCRETLER!$B$7:$B$606,$B19,UCRETLER!$F$7:$F$606,"Haftalık",UCRETLER!$H$7:$H$606,"Aktif"))</f>
        <v>0</v>
      </c>
      <c r="E19" s="68">
        <f>IF($B19="","",SUMIFS(UCRETLER!$G$7:$G$606,UCRETLER!$B$7:$B$606,$B19,UCRETLER!$F$7:$F$606,"Aylık",UCRETLER!$H$7:$H$606,"Aktif"))</f>
        <v>10000</v>
      </c>
      <c r="F19" s="68">
        <f>IF($B19="","",SUMIFS(MUSTERILER!$J$7:$J$156,MUSTERILER!$B$7:$B$156,$B19))</f>
        <v>0</v>
      </c>
      <c r="G19" s="68">
        <f ca="1">IF($B19="","",SUMIFS(UCRETLER!$I$7:$I$606,UCRETLER!$B$7:$B$606,$B19)+SUMIFS(GELIR_GIDER!$G$7:$G$3006,GELIR_GIDER!$T$7:$T$3006,$B19))</f>
        <v>70000</v>
      </c>
      <c r="H19" s="68">
        <f t="shared" ca="1" si="1"/>
        <v>70000</v>
      </c>
      <c r="I19" s="68">
        <f>IF($B19="","",SUMIFS(TAHSILAT!$F$7:$F$2506,TAHSILAT!$C$7:$C$2506,$B19))</f>
        <v>0</v>
      </c>
      <c r="J19" s="68">
        <f t="shared" ca="1" si="2"/>
        <v>70000</v>
      </c>
      <c r="K19" s="68">
        <f t="shared" ca="1" si="3"/>
        <v>0</v>
      </c>
      <c r="L19" s="68">
        <f t="shared" ca="1" si="4"/>
        <v>0</v>
      </c>
      <c r="M19" s="68">
        <f t="shared" ca="1" si="5"/>
        <v>10000</v>
      </c>
      <c r="N19" s="68">
        <f t="shared" ca="1" si="6"/>
        <v>60000</v>
      </c>
      <c r="O19" s="86">
        <f t="shared" ca="1" si="7"/>
        <v>0</v>
      </c>
      <c r="P19" s="70" t="str">
        <f>IF($B19="","",IFERROR(LOOKUP(2,1/(TAHSILAT!$C$7:$C$2506=$B19),TAHSILAT!$E$7:$E$2506),""))</f>
        <v/>
      </c>
      <c r="Q19" s="65" t="str">
        <f t="shared" ca="1" si="8"/>
        <v>KRİTİK</v>
      </c>
      <c r="R19" s="74" t="str">
        <f t="shared" ca="1" si="9"/>
        <v>Acil tahsilat görüşmesi ve cari mutabakat</v>
      </c>
      <c r="S19" s="76">
        <f>IF($B19="","",COUNTIFS(AKTIVITE!$D$7:$D$1006,$B19,AKTIVITE!$J$7:$J$1006,"&lt;&gt;Tamamlandı"))</f>
        <v>0</v>
      </c>
      <c r="T19" s="70" t="str">
        <f>IF(OR($B19="",$AF19=""),"",IF(INDEX(MUSTERILER!$K$7:$K$156,$AF19)="","",INDEX(MUSTERILER!$K$7:$K$156,$AF19)))</f>
        <v/>
      </c>
      <c r="U19" s="76" t="str">
        <f t="shared" ca="1" si="10"/>
        <v/>
      </c>
      <c r="V19" s="68">
        <f t="shared" ca="1" si="11"/>
        <v>0</v>
      </c>
      <c r="W19" s="65" t="str">
        <f t="shared" ca="1" si="12"/>
        <v>UYGUN</v>
      </c>
      <c r="X19" s="2">
        <f ca="1">IF($B19="",0,SUMIFS(UCRETLER!$J$7:$J$606,UCRETLER!$B$7:$B$606,$B19))</f>
        <v>70000</v>
      </c>
      <c r="Y19" s="2">
        <f ca="1">IF($B19="",0,SUMIFS(UCRETLER!$K$7:$K$606,UCRETLER!$B$7:$B$606,$B19))</f>
        <v>70000</v>
      </c>
      <c r="Z19" s="1">
        <f ca="1">IF($B19="",0,SUMIFS(UCRETLER!$L$7:$L$606,UCRETLER!$B$7:$B$606,$B19))</f>
        <v>60000</v>
      </c>
      <c r="AA19" s="1">
        <f t="shared" si="13"/>
        <v>0</v>
      </c>
      <c r="AB19" s="1">
        <f t="shared" si="14"/>
        <v>0</v>
      </c>
      <c r="AC19" s="1">
        <f t="shared" ca="1" si="15"/>
        <v>70000</v>
      </c>
      <c r="AD19" s="1">
        <f t="shared" ca="1" si="16"/>
        <v>70000</v>
      </c>
      <c r="AE19" s="1">
        <f t="shared" ca="1" si="17"/>
        <v>60000</v>
      </c>
      <c r="AF19" s="1">
        <f>IFERROR(MATCH(ROW()-6,MUSTERILER!$U$7:$U$156,0),"")</f>
        <v>13</v>
      </c>
      <c r="AG19" s="1">
        <f>IF($B19="",0,SUMIFS(GELIR_GIDER!$G$7:$G$3006,GELIR_GIDER!$T$7:$T$3006,$B19))</f>
        <v>0</v>
      </c>
    </row>
    <row r="20" spans="1:33" ht="18" customHeight="1" x14ac:dyDescent="0.3">
      <c r="A20" s="2"/>
      <c r="B20" s="65" t="str">
        <f>IF($AF20="","",INDEX(MUSTERILER!$B$7:$B$156,$AF20))</f>
        <v>M011</v>
      </c>
      <c r="C20" s="74" t="str">
        <f>IF($AF20="","",INDEX(MUSTERILER!$C$7:$C$156,$AF20))</f>
        <v>EĞLENGÖR LTD.ŞTİ.</v>
      </c>
      <c r="D20" s="68">
        <f>IF($B20="","",SUMIFS(UCRETLER!$G$7:$G$606,UCRETLER!$B$7:$B$606,$B20,UCRETLER!$F$7:$F$606,"Haftalık",UCRETLER!$H$7:$H$606,"Aktif"))</f>
        <v>4000</v>
      </c>
      <c r="E20" s="68">
        <f>IF($B20="","",SUMIFS(UCRETLER!$G$7:$G$606,UCRETLER!$B$7:$B$606,$B20,UCRETLER!$F$7:$F$606,"Aylık",UCRETLER!$H$7:$H$606,"Aktif"))</f>
        <v>0</v>
      </c>
      <c r="F20" s="68">
        <f>IF($B20="","",SUMIFS(MUSTERILER!$J$7:$J$156,MUSTERILER!$B$7:$B$156,$B20))</f>
        <v>0</v>
      </c>
      <c r="G20" s="68">
        <f ca="1">IF($B20="","",SUMIFS(UCRETLER!$I$7:$I$606,UCRETLER!$B$7:$B$606,$B20)+SUMIFS(GELIR_GIDER!$G$7:$G$3006,GELIR_GIDER!$T$7:$T$3006,$B20))</f>
        <v>147000</v>
      </c>
      <c r="H20" s="68">
        <f t="shared" ca="1" si="1"/>
        <v>147000</v>
      </c>
      <c r="I20" s="68">
        <f>IF($B20="","",SUMIFS(TAHSILAT!$F$7:$F$2506,TAHSILAT!$C$7:$C$2506,$B20))</f>
        <v>113000</v>
      </c>
      <c r="J20" s="68">
        <f t="shared" ca="1" si="2"/>
        <v>34000</v>
      </c>
      <c r="K20" s="68">
        <f t="shared" ca="1" si="3"/>
        <v>34000</v>
      </c>
      <c r="L20" s="68">
        <f t="shared" ca="1" si="4"/>
        <v>0</v>
      </c>
      <c r="M20" s="68">
        <f t="shared" ca="1" si="5"/>
        <v>0</v>
      </c>
      <c r="N20" s="68">
        <f t="shared" ca="1" si="6"/>
        <v>0</v>
      </c>
      <c r="O20" s="86">
        <f t="shared" ca="1" si="7"/>
        <v>0.76870748299319724</v>
      </c>
      <c r="P20" s="70">
        <f>IF($B20="","",IFERROR(LOOKUP(2,1/(TAHSILAT!$C$7:$C$2506=$B20),TAHSILAT!$E$7:$E$2506),""))</f>
        <v>46249</v>
      </c>
      <c r="Q20" s="65" t="str">
        <f t="shared" ca="1" si="8"/>
        <v>İZLE</v>
      </c>
      <c r="R20" s="74" t="str">
        <f t="shared" ca="1" si="9"/>
        <v>Normal takip</v>
      </c>
      <c r="S20" s="76">
        <f>IF($B20="","",COUNTIFS(AKTIVITE!$D$7:$D$1006,$B20,AKTIVITE!$J$7:$J$1006,"&lt;&gt;Tamamlandı"))</f>
        <v>0</v>
      </c>
      <c r="T20" s="70" t="str">
        <f>IF(OR($B20="",$AF20=""),"",IF(INDEX(MUSTERILER!$K$7:$K$156,$AF20)="","",INDEX(MUSTERILER!$K$7:$K$156,$AF20)))</f>
        <v/>
      </c>
      <c r="U20" s="76" t="str">
        <f t="shared" ca="1" si="10"/>
        <v/>
      </c>
      <c r="V20" s="68">
        <f t="shared" ca="1" si="11"/>
        <v>0</v>
      </c>
      <c r="W20" s="65" t="str">
        <f t="shared" ca="1" si="12"/>
        <v>UYGUN</v>
      </c>
      <c r="X20" s="2">
        <f ca="1">IF($B20="",0,SUMIFS(UCRETLER!$J$7:$J$606,UCRETLER!$B$7:$B$606,$B20))</f>
        <v>113000</v>
      </c>
      <c r="Y20" s="2">
        <f ca="1">IF($B20="",0,SUMIFS(UCRETLER!$K$7:$K$606,UCRETLER!$B$7:$B$606,$B20))</f>
        <v>109000</v>
      </c>
      <c r="Z20" s="1">
        <f ca="1">IF($B20="",0,SUMIFS(UCRETLER!$L$7:$L$606,UCRETLER!$B$7:$B$606,$B20))</f>
        <v>101000</v>
      </c>
      <c r="AA20" s="1">
        <f t="shared" si="13"/>
        <v>113000</v>
      </c>
      <c r="AB20" s="1">
        <f t="shared" si="14"/>
        <v>0</v>
      </c>
      <c r="AC20" s="1">
        <f t="shared" ca="1" si="15"/>
        <v>0</v>
      </c>
      <c r="AD20" s="1">
        <f t="shared" ca="1" si="16"/>
        <v>0</v>
      </c>
      <c r="AE20" s="1">
        <f t="shared" ca="1" si="17"/>
        <v>0</v>
      </c>
      <c r="AF20" s="1">
        <f>IFERROR(MATCH(ROW()-6,MUSTERILER!$U$7:$U$156,0),"")</f>
        <v>14</v>
      </c>
      <c r="AG20" s="1">
        <f>IF($B20="",0,SUMIFS(GELIR_GIDER!$G$7:$G$3006,GELIR_GIDER!$T$7:$T$3006,$B20))</f>
        <v>30000</v>
      </c>
    </row>
    <row r="21" spans="1:33" ht="18" customHeight="1" x14ac:dyDescent="0.3">
      <c r="A21" s="2"/>
      <c r="B21" s="65" t="str">
        <f>IF($AF21="","",INDEX(MUSTERILER!$B$7:$B$156,$AF21))</f>
        <v>M029</v>
      </c>
      <c r="C21" s="74" t="str">
        <f>IF($AF21="","",INDEX(MUSTERILER!$C$7:$C$156,$AF21))</f>
        <v>EMRAH SAVURKAN</v>
      </c>
      <c r="D21" s="68">
        <f>IF($B21="","",SUMIFS(UCRETLER!$G$7:$G$606,UCRETLER!$B$7:$B$606,$B21,UCRETLER!$F$7:$F$606,"Haftalık",UCRETLER!$H$7:$H$606,"Aktif"))</f>
        <v>0</v>
      </c>
      <c r="E21" s="68">
        <f>IF($B21="","",SUMIFS(UCRETLER!$G$7:$G$606,UCRETLER!$B$7:$B$606,$B21,UCRETLER!$F$7:$F$606,"Aylık",UCRETLER!$H$7:$H$606,"Aktif"))</f>
        <v>2000</v>
      </c>
      <c r="F21" s="68">
        <f>IF($B21="","",SUMIFS(MUSTERILER!$J$7:$J$156,MUSTERILER!$B$7:$B$156,$B21))</f>
        <v>0</v>
      </c>
      <c r="G21" s="68">
        <f ca="1">IF($B21="","",SUMIFS(UCRETLER!$I$7:$I$606,UCRETLER!$B$7:$B$606,$B21)+SUMIFS(GELIR_GIDER!$G$7:$G$3006,GELIR_GIDER!$T$7:$T$3006,$B21))</f>
        <v>14000</v>
      </c>
      <c r="H21" s="68">
        <f t="shared" ca="1" si="1"/>
        <v>14000</v>
      </c>
      <c r="I21" s="68">
        <f>IF($B21="","",SUMIFS(TAHSILAT!$F$7:$F$2506,TAHSILAT!$C$7:$C$2506,$B21))</f>
        <v>6000</v>
      </c>
      <c r="J21" s="68">
        <f t="shared" ca="1" si="2"/>
        <v>8000</v>
      </c>
      <c r="K21" s="68">
        <f t="shared" ca="1" si="3"/>
        <v>0</v>
      </c>
      <c r="L21" s="68">
        <f t="shared" ca="1" si="4"/>
        <v>0</v>
      </c>
      <c r="M21" s="68">
        <f t="shared" ca="1" si="5"/>
        <v>2000</v>
      </c>
      <c r="N21" s="68">
        <f t="shared" ca="1" si="6"/>
        <v>6000</v>
      </c>
      <c r="O21" s="86">
        <f t="shared" ca="1" si="7"/>
        <v>0.42857142857142855</v>
      </c>
      <c r="P21" s="70">
        <f>IF($B21="","",IFERROR(LOOKUP(2,1/(TAHSILAT!$C$7:$C$2506=$B21),TAHSILAT!$E$7:$E$2506),""))</f>
        <v>46252</v>
      </c>
      <c r="Q21" s="65" t="str">
        <f t="shared" ca="1" si="8"/>
        <v>KRİTİK</v>
      </c>
      <c r="R21" s="74" t="str">
        <f t="shared" ca="1" si="9"/>
        <v>Acil tahsilat görüşmesi ve cari mutabakat</v>
      </c>
      <c r="S21" s="76">
        <f>IF($B21="","",COUNTIFS(AKTIVITE!$D$7:$D$1006,$B21,AKTIVITE!$J$7:$J$1006,"&lt;&gt;Tamamlandı"))</f>
        <v>0</v>
      </c>
      <c r="T21" s="70" t="str">
        <f>IF(OR($B21="",$AF21=""),"",IF(INDEX(MUSTERILER!$K$7:$K$156,$AF21)="","",INDEX(MUSTERILER!$K$7:$K$156,$AF21)))</f>
        <v/>
      </c>
      <c r="U21" s="76" t="str">
        <f t="shared" ca="1" si="10"/>
        <v/>
      </c>
      <c r="V21" s="68">
        <f t="shared" ca="1" si="11"/>
        <v>0</v>
      </c>
      <c r="W21" s="65" t="str">
        <f t="shared" ca="1" si="12"/>
        <v>UYGUN</v>
      </c>
      <c r="X21" s="2">
        <f ca="1">IF($B21="",0,SUMIFS(UCRETLER!$J$7:$J$606,UCRETLER!$B$7:$B$606,$B21))</f>
        <v>14000</v>
      </c>
      <c r="Y21" s="2">
        <f ca="1">IF($B21="",0,SUMIFS(UCRETLER!$K$7:$K$606,UCRETLER!$B$7:$B$606,$B21))</f>
        <v>14000</v>
      </c>
      <c r="Z21" s="1">
        <f ca="1">IF($B21="",0,SUMIFS(UCRETLER!$L$7:$L$606,UCRETLER!$B$7:$B$606,$B21))</f>
        <v>12000</v>
      </c>
      <c r="AA21" s="1">
        <f t="shared" si="13"/>
        <v>6000</v>
      </c>
      <c r="AB21" s="1">
        <f t="shared" si="14"/>
        <v>0</v>
      </c>
      <c r="AC21" s="1">
        <f t="shared" ca="1" si="15"/>
        <v>8000</v>
      </c>
      <c r="AD21" s="1">
        <f t="shared" ca="1" si="16"/>
        <v>8000</v>
      </c>
      <c r="AE21" s="1">
        <f t="shared" ca="1" si="17"/>
        <v>6000</v>
      </c>
      <c r="AF21" s="1">
        <f>IFERROR(MATCH(ROW()-6,MUSTERILER!$U$7:$U$156,0),"")</f>
        <v>15</v>
      </c>
      <c r="AG21" s="1">
        <f>IF($B21="",0,SUMIFS(GELIR_GIDER!$G$7:$G$3006,GELIR_GIDER!$T$7:$T$3006,$B21))</f>
        <v>0</v>
      </c>
    </row>
    <row r="22" spans="1:33" ht="18" customHeight="1" x14ac:dyDescent="0.3">
      <c r="A22" s="2"/>
      <c r="B22" s="65" t="str">
        <f>IF($AF22="","",INDEX(MUSTERILER!$B$7:$B$156,$AF22))</f>
        <v>M002</v>
      </c>
      <c r="C22" s="74" t="str">
        <f>IF($AF22="","",INDEX(MUSTERILER!$C$7:$C$156,$AF22))</f>
        <v>ESERLİ LTD.ŞTİ.</v>
      </c>
      <c r="D22" s="68">
        <f>IF($B22="","",SUMIFS(UCRETLER!$G$7:$G$606,UCRETLER!$B$7:$B$606,$B22,UCRETLER!$F$7:$F$606,"Haftalık",UCRETLER!$H$7:$H$606,"Aktif"))</f>
        <v>3500</v>
      </c>
      <c r="E22" s="68">
        <f>IF($B22="","",SUMIFS(UCRETLER!$G$7:$G$606,UCRETLER!$B$7:$B$606,$B22,UCRETLER!$F$7:$F$606,"Aylık",UCRETLER!$H$7:$H$606,"Aktif"))</f>
        <v>0</v>
      </c>
      <c r="F22" s="68">
        <f>IF($B22="","",SUMIFS(MUSTERILER!$J$7:$J$156,MUSTERILER!$B$7:$B$156,$B22))</f>
        <v>0</v>
      </c>
      <c r="G22" s="68">
        <f ca="1">IF($B22="","",SUMIFS(UCRETLER!$I$7:$I$606,UCRETLER!$B$7:$B$606,$B22)+SUMIFS(GELIR_GIDER!$G$7:$G$3006,GELIR_GIDER!$T$7:$T$3006,$B22))</f>
        <v>119000</v>
      </c>
      <c r="H22" s="68">
        <f t="shared" ca="1" si="1"/>
        <v>119000</v>
      </c>
      <c r="I22" s="68">
        <f>IF($B22="","",SUMIFS(TAHSILAT!$F$7:$F$2506,TAHSILAT!$C$7:$C$2506,$B22))</f>
        <v>7000</v>
      </c>
      <c r="J22" s="68">
        <f t="shared" ca="1" si="2"/>
        <v>112000</v>
      </c>
      <c r="K22" s="68">
        <f t="shared" ca="1" si="3"/>
        <v>3500</v>
      </c>
      <c r="L22" s="68">
        <f t="shared" ca="1" si="4"/>
        <v>3500</v>
      </c>
      <c r="M22" s="68">
        <f t="shared" ca="1" si="5"/>
        <v>7000</v>
      </c>
      <c r="N22" s="68">
        <f t="shared" ca="1" si="6"/>
        <v>98000</v>
      </c>
      <c r="O22" s="86">
        <f t="shared" ca="1" si="7"/>
        <v>5.8823529411764705E-2</v>
      </c>
      <c r="P22" s="70">
        <f>IF($B22="","",IFERROR(LOOKUP(2,1/(TAHSILAT!$C$7:$C$2506=$B22),TAHSILAT!$E$7:$E$2506),""))</f>
        <v>46116</v>
      </c>
      <c r="Q22" s="65" t="str">
        <f t="shared" ca="1" si="8"/>
        <v>KRİTİK</v>
      </c>
      <c r="R22" s="74" t="str">
        <f t="shared" ca="1" si="9"/>
        <v>Acil tahsilat görüşmesi ve cari mutabakat</v>
      </c>
      <c r="S22" s="76">
        <f>IF($B22="","",COUNTIFS(AKTIVITE!$D$7:$D$1006,$B22,AKTIVITE!$J$7:$J$1006,"&lt;&gt;Tamamlandı"))</f>
        <v>0</v>
      </c>
      <c r="T22" s="70" t="str">
        <f>IF(OR($B22="",$AF22=""),"",IF(INDEX(MUSTERILER!$K$7:$K$156,$AF22)="","",INDEX(MUSTERILER!$K$7:$K$156,$AF22)))</f>
        <v/>
      </c>
      <c r="U22" s="76" t="str">
        <f t="shared" ca="1" si="10"/>
        <v/>
      </c>
      <c r="V22" s="68">
        <f t="shared" ca="1" si="11"/>
        <v>0</v>
      </c>
      <c r="W22" s="65" t="str">
        <f t="shared" ca="1" si="12"/>
        <v>UYGUN</v>
      </c>
      <c r="X22" s="2">
        <f ca="1">IF($B22="",0,SUMIFS(UCRETLER!$J$7:$J$606,UCRETLER!$B$7:$B$606,$B22))</f>
        <v>115500</v>
      </c>
      <c r="Y22" s="2">
        <f ca="1">IF($B22="",0,SUMIFS(UCRETLER!$K$7:$K$606,UCRETLER!$B$7:$B$606,$B22))</f>
        <v>112000</v>
      </c>
      <c r="Z22" s="1">
        <f ca="1">IF($B22="",0,SUMIFS(UCRETLER!$L$7:$L$606,UCRETLER!$B$7:$B$606,$B22))</f>
        <v>105000</v>
      </c>
      <c r="AA22" s="1">
        <f t="shared" si="13"/>
        <v>7000</v>
      </c>
      <c r="AB22" s="1">
        <f t="shared" si="14"/>
        <v>0</v>
      </c>
      <c r="AC22" s="1">
        <f t="shared" ca="1" si="15"/>
        <v>108500</v>
      </c>
      <c r="AD22" s="1">
        <f t="shared" ca="1" si="16"/>
        <v>105000</v>
      </c>
      <c r="AE22" s="1">
        <f t="shared" ca="1" si="17"/>
        <v>98000</v>
      </c>
      <c r="AF22" s="1">
        <f>IFERROR(MATCH(ROW()-6,MUSTERILER!$U$7:$U$156,0),"")</f>
        <v>16</v>
      </c>
      <c r="AG22" s="1">
        <f>IF($B22="",0,SUMIFS(GELIR_GIDER!$G$7:$G$3006,GELIR_GIDER!$T$7:$T$3006,$B22))</f>
        <v>0</v>
      </c>
    </row>
    <row r="23" spans="1:33" ht="18" customHeight="1" x14ac:dyDescent="0.3">
      <c r="A23" s="2"/>
      <c r="B23" s="65" t="str">
        <f>IF($AF23="","",INDEX(MUSTERILER!$B$7:$B$156,$AF23))</f>
        <v>M030</v>
      </c>
      <c r="C23" s="74" t="str">
        <f>IF($AF23="","",INDEX(MUSTERILER!$C$7:$C$156,$AF23))</f>
        <v>FARUK DEMİRCİ</v>
      </c>
      <c r="D23" s="68">
        <f>IF($B23="","",SUMIFS(UCRETLER!$G$7:$G$606,UCRETLER!$B$7:$B$606,$B23,UCRETLER!$F$7:$F$606,"Haftalık",UCRETLER!$H$7:$H$606,"Aktif"))</f>
        <v>0</v>
      </c>
      <c r="E23" s="68">
        <f>IF($B23="","",SUMIFS(UCRETLER!$G$7:$G$606,UCRETLER!$B$7:$B$606,$B23,UCRETLER!$F$7:$F$606,"Aylık",UCRETLER!$H$7:$H$606,"Aktif"))</f>
        <v>2000</v>
      </c>
      <c r="F23" s="68">
        <f>IF($B23="","",SUMIFS(MUSTERILER!$J$7:$J$156,MUSTERILER!$B$7:$B$156,$B23))</f>
        <v>0</v>
      </c>
      <c r="G23" s="68">
        <f ca="1">IF($B23="","",SUMIFS(UCRETLER!$I$7:$I$606,UCRETLER!$B$7:$B$606,$B23)+SUMIFS(GELIR_GIDER!$G$7:$G$3006,GELIR_GIDER!$T$7:$T$3006,$B23))</f>
        <v>14000</v>
      </c>
      <c r="H23" s="68">
        <f t="shared" ca="1" si="1"/>
        <v>14000</v>
      </c>
      <c r="I23" s="68">
        <f>IF($B23="","",SUMIFS(TAHSILAT!$F$7:$F$2506,TAHSILAT!$C$7:$C$2506,$B23))</f>
        <v>6000</v>
      </c>
      <c r="J23" s="68">
        <f t="shared" ca="1" si="2"/>
        <v>8000</v>
      </c>
      <c r="K23" s="68">
        <f t="shared" ca="1" si="3"/>
        <v>0</v>
      </c>
      <c r="L23" s="68">
        <f t="shared" ca="1" si="4"/>
        <v>0</v>
      </c>
      <c r="M23" s="68">
        <f t="shared" ca="1" si="5"/>
        <v>2000</v>
      </c>
      <c r="N23" s="68">
        <f t="shared" ca="1" si="6"/>
        <v>6000</v>
      </c>
      <c r="O23" s="86">
        <f t="shared" ca="1" si="7"/>
        <v>0.42857142857142855</v>
      </c>
      <c r="P23" s="70">
        <f>IF($B23="","",IFERROR(LOOKUP(2,1/(TAHSILAT!$C$7:$C$2506=$B23),TAHSILAT!$E$7:$E$2506),""))</f>
        <v>46225</v>
      </c>
      <c r="Q23" s="65" t="str">
        <f t="shared" ca="1" si="8"/>
        <v>KRİTİK</v>
      </c>
      <c r="R23" s="74" t="str">
        <f t="shared" ca="1" si="9"/>
        <v>Acil tahsilat görüşmesi ve cari mutabakat</v>
      </c>
      <c r="S23" s="76">
        <f>IF($B23="","",COUNTIFS(AKTIVITE!$D$7:$D$1006,$B23,AKTIVITE!$J$7:$J$1006,"&lt;&gt;Tamamlandı"))</f>
        <v>0</v>
      </c>
      <c r="T23" s="70" t="str">
        <f>IF(OR($B23="",$AF23=""),"",IF(INDEX(MUSTERILER!$K$7:$K$156,$AF23)="","",INDEX(MUSTERILER!$K$7:$K$156,$AF23)))</f>
        <v/>
      </c>
      <c r="U23" s="76" t="str">
        <f t="shared" ca="1" si="10"/>
        <v/>
      </c>
      <c r="V23" s="68">
        <f t="shared" ca="1" si="11"/>
        <v>0</v>
      </c>
      <c r="W23" s="65" t="str">
        <f t="shared" ca="1" si="12"/>
        <v>UYGUN</v>
      </c>
      <c r="X23" s="2">
        <f ca="1">IF($B23="",0,SUMIFS(UCRETLER!$J$7:$J$606,UCRETLER!$B$7:$B$606,$B23))</f>
        <v>14000</v>
      </c>
      <c r="Y23" s="2">
        <f ca="1">IF($B23="",0,SUMIFS(UCRETLER!$K$7:$K$606,UCRETLER!$B$7:$B$606,$B23))</f>
        <v>14000</v>
      </c>
      <c r="Z23" s="1">
        <f ca="1">IF($B23="",0,SUMIFS(UCRETLER!$L$7:$L$606,UCRETLER!$B$7:$B$606,$B23))</f>
        <v>12000</v>
      </c>
      <c r="AA23" s="1">
        <f t="shared" si="13"/>
        <v>6000</v>
      </c>
      <c r="AB23" s="1">
        <f t="shared" si="14"/>
        <v>0</v>
      </c>
      <c r="AC23" s="1">
        <f t="shared" ca="1" si="15"/>
        <v>8000</v>
      </c>
      <c r="AD23" s="1">
        <f t="shared" ca="1" si="16"/>
        <v>8000</v>
      </c>
      <c r="AE23" s="1">
        <f t="shared" ca="1" si="17"/>
        <v>6000</v>
      </c>
      <c r="AF23" s="1">
        <f>IFERROR(MATCH(ROW()-6,MUSTERILER!$U$7:$U$156,0),"")</f>
        <v>17</v>
      </c>
      <c r="AG23" s="1">
        <f>IF($B23="",0,SUMIFS(GELIR_GIDER!$G$7:$G$3006,GELIR_GIDER!$T$7:$T$3006,$B23))</f>
        <v>0</v>
      </c>
    </row>
    <row r="24" spans="1:33" ht="18" customHeight="1" x14ac:dyDescent="0.3">
      <c r="A24" s="2"/>
      <c r="B24" s="65" t="str">
        <f>IF($AF24="","",INDEX(MUSTERILER!$B$7:$B$156,$AF24))</f>
        <v>M014</v>
      </c>
      <c r="C24" s="74" t="str">
        <f>IF($AF24="","",INDEX(MUSTERILER!$C$7:$C$156,$AF24))</f>
        <v>FİNAL SİYAH BEYAZ LTD.ŞTİ.</v>
      </c>
      <c r="D24" s="68">
        <f>IF($B24="","",SUMIFS(UCRETLER!$G$7:$G$606,UCRETLER!$B$7:$B$606,$B24,UCRETLER!$F$7:$F$606,"Haftalık",UCRETLER!$H$7:$H$606,"Aktif"))</f>
        <v>4000</v>
      </c>
      <c r="E24" s="68">
        <f>IF($B24="","",SUMIFS(UCRETLER!$G$7:$G$606,UCRETLER!$B$7:$B$606,$B24,UCRETLER!$F$7:$F$606,"Aylık",UCRETLER!$H$7:$H$606,"Aktif"))</f>
        <v>0</v>
      </c>
      <c r="F24" s="68">
        <f>IF($B24="","",SUMIFS(MUSTERILER!$J$7:$J$156,MUSTERILER!$B$7:$B$156,$B24))</f>
        <v>0</v>
      </c>
      <c r="G24" s="68">
        <f ca="1">IF($B24="","",SUMIFS(UCRETLER!$I$7:$I$606,UCRETLER!$B$7:$B$606,$B24)+SUMIFS(GELIR_GIDER!$G$7:$G$3006,GELIR_GIDER!$T$7:$T$3006,$B24))</f>
        <v>124750</v>
      </c>
      <c r="H24" s="68">
        <f t="shared" ca="1" si="1"/>
        <v>124750</v>
      </c>
      <c r="I24" s="68">
        <f>IF($B24="","",SUMIFS(TAHSILAT!$F$7:$F$2506,TAHSILAT!$C$7:$C$2506,$B24))</f>
        <v>106000</v>
      </c>
      <c r="J24" s="68">
        <f t="shared" ca="1" si="2"/>
        <v>18750</v>
      </c>
      <c r="K24" s="68">
        <f t="shared" ca="1" si="3"/>
        <v>18750</v>
      </c>
      <c r="L24" s="68">
        <f t="shared" ca="1" si="4"/>
        <v>0</v>
      </c>
      <c r="M24" s="68">
        <f t="shared" ca="1" si="5"/>
        <v>0</v>
      </c>
      <c r="N24" s="68">
        <f t="shared" ca="1" si="6"/>
        <v>0</v>
      </c>
      <c r="O24" s="86">
        <f t="shared" ca="1" si="7"/>
        <v>0.84969939879759515</v>
      </c>
      <c r="P24" s="70">
        <f>IF($B24="","",IFERROR(LOOKUP(2,1/(TAHSILAT!$C$7:$C$2506=$B24),TAHSILAT!$E$7:$E$2506),""))</f>
        <v>46249</v>
      </c>
      <c r="Q24" s="65" t="str">
        <f t="shared" ca="1" si="8"/>
        <v>İZLE</v>
      </c>
      <c r="R24" s="74" t="str">
        <f t="shared" ca="1" si="9"/>
        <v>Normal takip</v>
      </c>
      <c r="S24" s="76">
        <f>IF($B24="","",COUNTIFS(AKTIVITE!$D$7:$D$1006,$B24,AKTIVITE!$J$7:$J$1006,"&lt;&gt;Tamamlandı"))</f>
        <v>0</v>
      </c>
      <c r="T24" s="70" t="str">
        <f>IF(OR($B24="",$AF24=""),"",IF(INDEX(MUSTERILER!$K$7:$K$156,$AF24)="","",INDEX(MUSTERILER!$K$7:$K$156,$AF24)))</f>
        <v/>
      </c>
      <c r="U24" s="76" t="str">
        <f t="shared" ca="1" si="10"/>
        <v/>
      </c>
      <c r="V24" s="68">
        <f t="shared" ca="1" si="11"/>
        <v>0</v>
      </c>
      <c r="W24" s="65" t="str">
        <f t="shared" ca="1" si="12"/>
        <v>UYGUN</v>
      </c>
      <c r="X24" s="2">
        <f ca="1">IF($B24="",0,SUMIFS(UCRETLER!$J$7:$J$606,UCRETLER!$B$7:$B$606,$B24))</f>
        <v>106000</v>
      </c>
      <c r="Y24" s="2">
        <f ca="1">IF($B24="",0,SUMIFS(UCRETLER!$K$7:$K$606,UCRETLER!$B$7:$B$606,$B24))</f>
        <v>102000</v>
      </c>
      <c r="Z24" s="1">
        <f ca="1">IF($B24="",0,SUMIFS(UCRETLER!$L$7:$L$606,UCRETLER!$B$7:$B$606,$B24))</f>
        <v>94000</v>
      </c>
      <c r="AA24" s="1">
        <f t="shared" si="13"/>
        <v>106000</v>
      </c>
      <c r="AB24" s="1">
        <f t="shared" si="14"/>
        <v>0</v>
      </c>
      <c r="AC24" s="1">
        <f t="shared" ca="1" si="15"/>
        <v>0</v>
      </c>
      <c r="AD24" s="1">
        <f t="shared" ca="1" si="16"/>
        <v>0</v>
      </c>
      <c r="AE24" s="1">
        <f t="shared" ca="1" si="17"/>
        <v>0</v>
      </c>
      <c r="AF24" s="1">
        <f>IFERROR(MATCH(ROW()-6,MUSTERILER!$U$7:$U$156,0),"")</f>
        <v>18</v>
      </c>
      <c r="AG24" s="1">
        <f>IF($B24="",0,SUMIFS(GELIR_GIDER!$G$7:$G$3006,GELIR_GIDER!$T$7:$T$3006,$B24))</f>
        <v>14750</v>
      </c>
    </row>
    <row r="25" spans="1:33" ht="18" customHeight="1" x14ac:dyDescent="0.3">
      <c r="A25" s="2"/>
      <c r="B25" s="65" t="str">
        <f>IF($AF25="","",INDEX(MUSTERILER!$B$7:$B$156,$AF25))</f>
        <v>M031</v>
      </c>
      <c r="C25" s="74" t="str">
        <f>IF($AF25="","",INDEX(MUSTERILER!$C$7:$C$156,$AF25))</f>
        <v>HALİL AVŞAR</v>
      </c>
      <c r="D25" s="68">
        <f>IF($B25="","",SUMIFS(UCRETLER!$G$7:$G$606,UCRETLER!$B$7:$B$606,$B25,UCRETLER!$F$7:$F$606,"Haftalık",UCRETLER!$H$7:$H$606,"Aktif"))</f>
        <v>0</v>
      </c>
      <c r="E25" s="68">
        <f>IF($B25="","",SUMIFS(UCRETLER!$G$7:$G$606,UCRETLER!$B$7:$B$606,$B25,UCRETLER!$F$7:$F$606,"Aylık",UCRETLER!$H$7:$H$606,"Aktif"))</f>
        <v>3000</v>
      </c>
      <c r="F25" s="68">
        <f>IF($B25="","",SUMIFS(MUSTERILER!$J$7:$J$156,MUSTERILER!$B$7:$B$156,$B25))</f>
        <v>0</v>
      </c>
      <c r="G25" s="68">
        <f ca="1">IF($B25="","",SUMIFS(UCRETLER!$I$7:$I$606,UCRETLER!$B$7:$B$606,$B25)+SUMIFS(GELIR_GIDER!$G$7:$G$3006,GELIR_GIDER!$T$7:$T$3006,$B25))</f>
        <v>21000</v>
      </c>
      <c r="H25" s="68">
        <f t="shared" ca="1" si="1"/>
        <v>21000</v>
      </c>
      <c r="I25" s="68">
        <f>IF($B25="","",SUMIFS(TAHSILAT!$F$7:$F$2506,TAHSILAT!$C$7:$C$2506,$B25))</f>
        <v>15000</v>
      </c>
      <c r="J25" s="68">
        <f t="shared" ca="1" si="2"/>
        <v>6000</v>
      </c>
      <c r="K25" s="68">
        <f t="shared" ca="1" si="3"/>
        <v>0</v>
      </c>
      <c r="L25" s="68">
        <f t="shared" ca="1" si="4"/>
        <v>0</v>
      </c>
      <c r="M25" s="68">
        <f t="shared" ca="1" si="5"/>
        <v>3000</v>
      </c>
      <c r="N25" s="68">
        <f t="shared" ca="1" si="6"/>
        <v>3000</v>
      </c>
      <c r="O25" s="86">
        <f t="shared" ca="1" si="7"/>
        <v>0.7142857142857143</v>
      </c>
      <c r="P25" s="70">
        <f>IF($B25="","",IFERROR(LOOKUP(2,1/(TAHSILAT!$C$7:$C$2506=$B25),TAHSILAT!$E$7:$E$2506),""))</f>
        <v>46254</v>
      </c>
      <c r="Q25" s="65" t="str">
        <f t="shared" ca="1" si="8"/>
        <v>KRİTİK</v>
      </c>
      <c r="R25" s="74" t="str">
        <f t="shared" ca="1" si="9"/>
        <v>Acil tahsilat görüşmesi ve cari mutabakat</v>
      </c>
      <c r="S25" s="76">
        <f>IF($B25="","",COUNTIFS(AKTIVITE!$D$7:$D$1006,$B25,AKTIVITE!$J$7:$J$1006,"&lt;&gt;Tamamlandı"))</f>
        <v>0</v>
      </c>
      <c r="T25" s="70" t="str">
        <f>IF(OR($B25="",$AF25=""),"",IF(INDEX(MUSTERILER!$K$7:$K$156,$AF25)="","",INDEX(MUSTERILER!$K$7:$K$156,$AF25)))</f>
        <v/>
      </c>
      <c r="U25" s="76" t="str">
        <f t="shared" ca="1" si="10"/>
        <v/>
      </c>
      <c r="V25" s="68">
        <f t="shared" ca="1" si="11"/>
        <v>0</v>
      </c>
      <c r="W25" s="65" t="str">
        <f t="shared" ca="1" si="12"/>
        <v>UYGUN</v>
      </c>
      <c r="X25" s="2">
        <f ca="1">IF($B25="",0,SUMIFS(UCRETLER!$J$7:$J$606,UCRETLER!$B$7:$B$606,$B25))</f>
        <v>21000</v>
      </c>
      <c r="Y25" s="2">
        <f ca="1">IF($B25="",0,SUMIFS(UCRETLER!$K$7:$K$606,UCRETLER!$B$7:$B$606,$B25))</f>
        <v>21000</v>
      </c>
      <c r="Z25" s="1">
        <f ca="1">IF($B25="",0,SUMIFS(UCRETLER!$L$7:$L$606,UCRETLER!$B$7:$B$606,$B25))</f>
        <v>18000</v>
      </c>
      <c r="AA25" s="1">
        <f t="shared" si="13"/>
        <v>15000</v>
      </c>
      <c r="AB25" s="1">
        <f t="shared" si="14"/>
        <v>0</v>
      </c>
      <c r="AC25" s="1">
        <f t="shared" ca="1" si="15"/>
        <v>6000</v>
      </c>
      <c r="AD25" s="1">
        <f t="shared" ca="1" si="16"/>
        <v>6000</v>
      </c>
      <c r="AE25" s="1">
        <f t="shared" ca="1" si="17"/>
        <v>3000</v>
      </c>
      <c r="AF25" s="1">
        <f>IFERROR(MATCH(ROW()-6,MUSTERILER!$U$7:$U$156,0),"")</f>
        <v>19</v>
      </c>
      <c r="AG25" s="1">
        <f>IF($B25="",0,SUMIFS(GELIR_GIDER!$G$7:$G$3006,GELIR_GIDER!$T$7:$T$3006,$B25))</f>
        <v>0</v>
      </c>
    </row>
    <row r="26" spans="1:33" ht="18" customHeight="1" x14ac:dyDescent="0.3">
      <c r="A26" s="2"/>
      <c r="B26" s="65" t="str">
        <f>IF($AF26="","",INDEX(MUSTERILER!$B$7:$B$156,$AF26))</f>
        <v>M032</v>
      </c>
      <c r="C26" s="74" t="str">
        <f>IF($AF26="","",INDEX(MUSTERILER!$C$7:$C$156,$AF26))</f>
        <v>HAYDAR KAYA</v>
      </c>
      <c r="D26" s="68">
        <f>IF($B26="","",SUMIFS(UCRETLER!$G$7:$G$606,UCRETLER!$B$7:$B$606,$B26,UCRETLER!$F$7:$F$606,"Haftalık",UCRETLER!$H$7:$H$606,"Aktif"))</f>
        <v>0</v>
      </c>
      <c r="E26" s="68">
        <f>IF($B26="","",SUMIFS(UCRETLER!$G$7:$G$606,UCRETLER!$B$7:$B$606,$B26,UCRETLER!$F$7:$F$606,"Aylık",UCRETLER!$H$7:$H$606,"Aktif"))</f>
        <v>1000</v>
      </c>
      <c r="F26" s="68">
        <f>IF($B26="","",SUMIFS(MUSTERILER!$J$7:$J$156,MUSTERILER!$B$7:$B$156,$B26))</f>
        <v>0</v>
      </c>
      <c r="G26" s="68">
        <f ca="1">IF($B26="","",SUMIFS(UCRETLER!$I$7:$I$606,UCRETLER!$B$7:$B$606,$B26)+SUMIFS(GELIR_GIDER!$G$7:$G$3006,GELIR_GIDER!$T$7:$T$3006,$B26))</f>
        <v>7000</v>
      </c>
      <c r="H26" s="68">
        <f t="shared" ca="1" si="1"/>
        <v>7000</v>
      </c>
      <c r="I26" s="68">
        <f>IF($B26="","",SUMIFS(TAHSILAT!$F$7:$F$2506,TAHSILAT!$C$7:$C$2506,$B26))</f>
        <v>0</v>
      </c>
      <c r="J26" s="68">
        <f t="shared" ca="1" si="2"/>
        <v>7000</v>
      </c>
      <c r="K26" s="68">
        <f t="shared" ca="1" si="3"/>
        <v>0</v>
      </c>
      <c r="L26" s="68">
        <f t="shared" ca="1" si="4"/>
        <v>0</v>
      </c>
      <c r="M26" s="68">
        <f t="shared" ca="1" si="5"/>
        <v>1000</v>
      </c>
      <c r="N26" s="68">
        <f t="shared" ca="1" si="6"/>
        <v>6000</v>
      </c>
      <c r="O26" s="86">
        <f t="shared" ca="1" si="7"/>
        <v>0</v>
      </c>
      <c r="P26" s="70" t="str">
        <f>IF($B26="","",IFERROR(LOOKUP(2,1/(TAHSILAT!$C$7:$C$2506=$B26),TAHSILAT!$E$7:$E$2506),""))</f>
        <v/>
      </c>
      <c r="Q26" s="65" t="str">
        <f t="shared" ca="1" si="8"/>
        <v>KRİTİK</v>
      </c>
      <c r="R26" s="74" t="str">
        <f t="shared" ca="1" si="9"/>
        <v>Acil tahsilat görüşmesi ve cari mutabakat</v>
      </c>
      <c r="S26" s="76">
        <f>IF($B26="","",COUNTIFS(AKTIVITE!$D$7:$D$1006,$B26,AKTIVITE!$J$7:$J$1006,"&lt;&gt;Tamamlandı"))</f>
        <v>0</v>
      </c>
      <c r="T26" s="70" t="str">
        <f>IF(OR($B26="",$AF26=""),"",IF(INDEX(MUSTERILER!$K$7:$K$156,$AF26)="","",INDEX(MUSTERILER!$K$7:$K$156,$AF26)))</f>
        <v/>
      </c>
      <c r="U26" s="76" t="str">
        <f t="shared" ca="1" si="10"/>
        <v/>
      </c>
      <c r="V26" s="68">
        <f t="shared" ca="1" si="11"/>
        <v>0</v>
      </c>
      <c r="W26" s="65" t="str">
        <f t="shared" ca="1" si="12"/>
        <v>UYGUN</v>
      </c>
      <c r="X26" s="2">
        <f ca="1">IF($B26="",0,SUMIFS(UCRETLER!$J$7:$J$606,UCRETLER!$B$7:$B$606,$B26))</f>
        <v>7000</v>
      </c>
      <c r="Y26" s="2">
        <f ca="1">IF($B26="",0,SUMIFS(UCRETLER!$K$7:$K$606,UCRETLER!$B$7:$B$606,$B26))</f>
        <v>7000</v>
      </c>
      <c r="Z26" s="1">
        <f ca="1">IF($B26="",0,SUMIFS(UCRETLER!$L$7:$L$606,UCRETLER!$B$7:$B$606,$B26))</f>
        <v>6000</v>
      </c>
      <c r="AA26" s="1">
        <f t="shared" si="13"/>
        <v>0</v>
      </c>
      <c r="AB26" s="1">
        <f t="shared" si="14"/>
        <v>0</v>
      </c>
      <c r="AC26" s="1">
        <f t="shared" ca="1" si="15"/>
        <v>7000</v>
      </c>
      <c r="AD26" s="1">
        <f t="shared" ca="1" si="16"/>
        <v>7000</v>
      </c>
      <c r="AE26" s="1">
        <f t="shared" ca="1" si="17"/>
        <v>6000</v>
      </c>
      <c r="AF26" s="1">
        <f>IFERROR(MATCH(ROW()-6,MUSTERILER!$U$7:$U$156,0),"")</f>
        <v>20</v>
      </c>
      <c r="AG26" s="1">
        <f>IF($B26="",0,SUMIFS(GELIR_GIDER!$G$7:$G$3006,GELIR_GIDER!$T$7:$T$3006,$B26))</f>
        <v>0</v>
      </c>
    </row>
    <row r="27" spans="1:33" ht="18" customHeight="1" x14ac:dyDescent="0.3">
      <c r="A27" s="2"/>
      <c r="B27" s="65" t="str">
        <f>IF($AF27="","",INDEX(MUSTERILER!$B$7:$B$156,$AF27))</f>
        <v>M033</v>
      </c>
      <c r="C27" s="74" t="str">
        <f>IF($AF27="","",INDEX(MUSTERILER!$C$7:$C$156,$AF27))</f>
        <v>IŞIL GRUP LTD.ŞTİ.</v>
      </c>
      <c r="D27" s="68">
        <f>IF($B27="","",SUMIFS(UCRETLER!$G$7:$G$606,UCRETLER!$B$7:$B$606,$B27,UCRETLER!$F$7:$F$606,"Haftalık",UCRETLER!$H$7:$H$606,"Aktif"))</f>
        <v>0</v>
      </c>
      <c r="E27" s="68">
        <f>IF($B27="","",SUMIFS(UCRETLER!$G$7:$G$606,UCRETLER!$B$7:$B$606,$B27,UCRETLER!$F$7:$F$606,"Aylık",UCRETLER!$H$7:$H$606,"Aktif"))</f>
        <v>7500</v>
      </c>
      <c r="F27" s="68">
        <f>IF($B27="","",SUMIFS(MUSTERILER!$J$7:$J$156,MUSTERILER!$B$7:$B$156,$B27))</f>
        <v>0</v>
      </c>
      <c r="G27" s="68">
        <f ca="1">IF($B27="","",SUMIFS(UCRETLER!$I$7:$I$606,UCRETLER!$B$7:$B$606,$B27)+SUMIFS(GELIR_GIDER!$G$7:$G$3006,GELIR_GIDER!$T$7:$T$3006,$B27))</f>
        <v>52500</v>
      </c>
      <c r="H27" s="68">
        <f t="shared" ca="1" si="1"/>
        <v>52500</v>
      </c>
      <c r="I27" s="68">
        <f>IF($B27="","",SUMIFS(TAHSILAT!$F$7:$F$2506,TAHSILAT!$C$7:$C$2506,$B27))</f>
        <v>0</v>
      </c>
      <c r="J27" s="68">
        <f t="shared" ca="1" si="2"/>
        <v>52500</v>
      </c>
      <c r="K27" s="68">
        <f t="shared" ca="1" si="3"/>
        <v>0</v>
      </c>
      <c r="L27" s="68">
        <f t="shared" ca="1" si="4"/>
        <v>0</v>
      </c>
      <c r="M27" s="68">
        <f t="shared" ca="1" si="5"/>
        <v>7500</v>
      </c>
      <c r="N27" s="68">
        <f t="shared" ca="1" si="6"/>
        <v>45000</v>
      </c>
      <c r="O27" s="86">
        <f t="shared" ca="1" si="7"/>
        <v>0</v>
      </c>
      <c r="P27" s="70" t="str">
        <f>IF($B27="","",IFERROR(LOOKUP(2,1/(TAHSILAT!$C$7:$C$2506=$B27),TAHSILAT!$E$7:$E$2506),""))</f>
        <v/>
      </c>
      <c r="Q27" s="65" t="str">
        <f t="shared" ca="1" si="8"/>
        <v>KRİTİK</v>
      </c>
      <c r="R27" s="74" t="str">
        <f t="shared" ca="1" si="9"/>
        <v>Acil tahsilat görüşmesi ve cari mutabakat</v>
      </c>
      <c r="S27" s="76">
        <f>IF($B27="","",COUNTIFS(AKTIVITE!$D$7:$D$1006,$B27,AKTIVITE!$J$7:$J$1006,"&lt;&gt;Tamamlandı"))</f>
        <v>0</v>
      </c>
      <c r="T27" s="70" t="str">
        <f>IF(OR($B27="",$AF27=""),"",IF(INDEX(MUSTERILER!$K$7:$K$156,$AF27)="","",INDEX(MUSTERILER!$K$7:$K$156,$AF27)))</f>
        <v/>
      </c>
      <c r="U27" s="76" t="str">
        <f t="shared" ca="1" si="10"/>
        <v/>
      </c>
      <c r="V27" s="68">
        <f t="shared" ca="1" si="11"/>
        <v>0</v>
      </c>
      <c r="W27" s="65" t="str">
        <f t="shared" ca="1" si="12"/>
        <v>UYGUN</v>
      </c>
      <c r="X27" s="2">
        <f ca="1">IF($B27="",0,SUMIFS(UCRETLER!$J$7:$J$606,UCRETLER!$B$7:$B$606,$B27))</f>
        <v>52500</v>
      </c>
      <c r="Y27" s="2">
        <f ca="1">IF($B27="",0,SUMIFS(UCRETLER!$K$7:$K$606,UCRETLER!$B$7:$B$606,$B27))</f>
        <v>52500</v>
      </c>
      <c r="Z27" s="1">
        <f ca="1">IF($B27="",0,SUMIFS(UCRETLER!$L$7:$L$606,UCRETLER!$B$7:$B$606,$B27))</f>
        <v>45000</v>
      </c>
      <c r="AA27" s="1">
        <f t="shared" si="13"/>
        <v>0</v>
      </c>
      <c r="AB27" s="1">
        <f t="shared" si="14"/>
        <v>0</v>
      </c>
      <c r="AC27" s="1">
        <f t="shared" ca="1" si="15"/>
        <v>52500</v>
      </c>
      <c r="AD27" s="1">
        <f t="shared" ca="1" si="16"/>
        <v>52500</v>
      </c>
      <c r="AE27" s="1">
        <f t="shared" ca="1" si="17"/>
        <v>45000</v>
      </c>
      <c r="AF27" s="1">
        <f>IFERROR(MATCH(ROW()-6,MUSTERILER!$U$7:$U$156,0),"")</f>
        <v>24</v>
      </c>
      <c r="AG27" s="1">
        <f>IF($B27="",0,SUMIFS(GELIR_GIDER!$G$7:$G$3006,GELIR_GIDER!$T$7:$T$3006,$B27))</f>
        <v>0</v>
      </c>
    </row>
    <row r="28" spans="1:33" ht="18" customHeight="1" x14ac:dyDescent="0.3">
      <c r="A28" s="2"/>
      <c r="B28" s="65" t="str">
        <f>IF($AF28="","",INDEX(MUSTERILER!$B$7:$B$156,$AF28))</f>
        <v>M034</v>
      </c>
      <c r="C28" s="74" t="str">
        <f>IF($AF28="","",INDEX(MUSTERILER!$C$7:$C$156,$AF28))</f>
        <v>İBRAHİM MALDAN</v>
      </c>
      <c r="D28" s="68">
        <f>IF($B28="","",SUMIFS(UCRETLER!$G$7:$G$606,UCRETLER!$B$7:$B$606,$B28,UCRETLER!$F$7:$F$606,"Haftalık",UCRETLER!$H$7:$H$606,"Aktif"))</f>
        <v>4000</v>
      </c>
      <c r="E28" s="68">
        <f>IF($B28="","",SUMIFS(UCRETLER!$G$7:$G$606,UCRETLER!$B$7:$B$606,$B28,UCRETLER!$F$7:$F$606,"Aylık",UCRETLER!$H$7:$H$606,"Aktif"))</f>
        <v>0</v>
      </c>
      <c r="F28" s="68">
        <f>IF($B28="","",SUMIFS(MUSTERILER!$J$7:$J$156,MUSTERILER!$B$7:$B$156,$B28))</f>
        <v>0</v>
      </c>
      <c r="G28" s="68">
        <f ca="1">IF($B28="","",SUMIFS(UCRETLER!$I$7:$I$606,UCRETLER!$B$7:$B$606,$B28)+SUMIFS(GELIR_GIDER!$G$7:$G$3006,GELIR_GIDER!$T$7:$T$3006,$B28))</f>
        <v>124050</v>
      </c>
      <c r="H28" s="68">
        <f t="shared" ca="1" si="1"/>
        <v>124050</v>
      </c>
      <c r="I28" s="68">
        <f>IF($B28="","",SUMIFS(TAHSILAT!$F$7:$F$2506,TAHSILAT!$C$7:$C$2506,$B28))</f>
        <v>46500</v>
      </c>
      <c r="J28" s="68">
        <f t="shared" ca="1" si="2"/>
        <v>77550</v>
      </c>
      <c r="K28" s="68">
        <f t="shared" ca="1" si="3"/>
        <v>14550</v>
      </c>
      <c r="L28" s="68">
        <f t="shared" ca="1" si="4"/>
        <v>4000</v>
      </c>
      <c r="M28" s="68">
        <f t="shared" ca="1" si="5"/>
        <v>8000</v>
      </c>
      <c r="N28" s="68">
        <f t="shared" ca="1" si="6"/>
        <v>51000</v>
      </c>
      <c r="O28" s="86">
        <f t="shared" ca="1" si="7"/>
        <v>0.37484885126964934</v>
      </c>
      <c r="P28" s="70">
        <f>IF($B28="","",IFERROR(LOOKUP(2,1/(TAHSILAT!$C$7:$C$2506=$B28),TAHSILAT!$E$7:$E$2506),""))</f>
        <v>46158</v>
      </c>
      <c r="Q28" s="65" t="str">
        <f t="shared" ca="1" si="8"/>
        <v>KRİTİK</v>
      </c>
      <c r="R28" s="74" t="str">
        <f t="shared" ca="1" si="9"/>
        <v>Acil tahsilat görüşmesi ve cari mutabakat</v>
      </c>
      <c r="S28" s="76">
        <f>IF($B28="","",COUNTIFS(AKTIVITE!$D$7:$D$1006,$B28,AKTIVITE!$J$7:$J$1006,"&lt;&gt;Tamamlandı"))</f>
        <v>0</v>
      </c>
      <c r="T28" s="70" t="str">
        <f>IF(OR($B28="",$AF28=""),"",IF(INDEX(MUSTERILER!$K$7:$K$156,$AF28)="","",INDEX(MUSTERILER!$K$7:$K$156,$AF28)))</f>
        <v/>
      </c>
      <c r="U28" s="76" t="str">
        <f t="shared" ca="1" si="10"/>
        <v/>
      </c>
      <c r="V28" s="68">
        <f t="shared" ca="1" si="11"/>
        <v>0</v>
      </c>
      <c r="W28" s="65" t="str">
        <f t="shared" ca="1" si="12"/>
        <v>UYGUN</v>
      </c>
      <c r="X28" s="2">
        <f ca="1">IF($B28="",0,SUMIFS(UCRETLER!$J$7:$J$606,UCRETLER!$B$7:$B$606,$B28))</f>
        <v>109500</v>
      </c>
      <c r="Y28" s="2">
        <f ca="1">IF($B28="",0,SUMIFS(UCRETLER!$K$7:$K$606,UCRETLER!$B$7:$B$606,$B28))</f>
        <v>105500</v>
      </c>
      <c r="Z28" s="1">
        <f ca="1">IF($B28="",0,SUMIFS(UCRETLER!$L$7:$L$606,UCRETLER!$B$7:$B$606,$B28))</f>
        <v>97500</v>
      </c>
      <c r="AA28" s="1">
        <f t="shared" si="13"/>
        <v>46500</v>
      </c>
      <c r="AB28" s="1">
        <f t="shared" si="14"/>
        <v>0</v>
      </c>
      <c r="AC28" s="1">
        <f t="shared" ca="1" si="15"/>
        <v>63000</v>
      </c>
      <c r="AD28" s="1">
        <f t="shared" ca="1" si="16"/>
        <v>59000</v>
      </c>
      <c r="AE28" s="1">
        <f t="shared" ca="1" si="17"/>
        <v>51000</v>
      </c>
      <c r="AF28" s="1">
        <f>IFERROR(MATCH(ROW()-6,MUSTERILER!$U$7:$U$156,0),"")</f>
        <v>21</v>
      </c>
      <c r="AG28" s="1">
        <f>IF($B28="",0,SUMIFS(GELIR_GIDER!$G$7:$G$3006,GELIR_GIDER!$T$7:$T$3006,$B28))</f>
        <v>10550</v>
      </c>
    </row>
    <row r="29" spans="1:33" ht="18" customHeight="1" x14ac:dyDescent="0.3">
      <c r="A29" s="2"/>
      <c r="B29" s="65" t="str">
        <f>IF($AF29="","",INDEX(MUSTERILER!$B$7:$B$156,$AF29))</f>
        <v>M012</v>
      </c>
      <c r="C29" s="74" t="str">
        <f>IF($AF29="","",INDEX(MUSTERILER!$C$7:$C$156,$AF29))</f>
        <v>İLDEŞ LTD.ŞTİ.</v>
      </c>
      <c r="D29" s="68">
        <f>IF($B29="","",SUMIFS(UCRETLER!$G$7:$G$606,UCRETLER!$B$7:$B$606,$B29,UCRETLER!$F$7:$F$606,"Haftalık",UCRETLER!$H$7:$H$606,"Aktif"))</f>
        <v>4000</v>
      </c>
      <c r="E29" s="68">
        <f>IF($B29="","",SUMIFS(UCRETLER!$G$7:$G$606,UCRETLER!$B$7:$B$606,$B29,UCRETLER!$F$7:$F$606,"Aylık",UCRETLER!$H$7:$H$606,"Aktif"))</f>
        <v>0</v>
      </c>
      <c r="F29" s="68">
        <f>IF($B29="","",SUMIFS(MUSTERILER!$J$7:$J$156,MUSTERILER!$B$7:$B$156,$B29))</f>
        <v>0</v>
      </c>
      <c r="G29" s="68">
        <f ca="1">IF($B29="","",SUMIFS(UCRETLER!$I$7:$I$606,UCRETLER!$B$7:$B$606,$B29)+SUMIFS(GELIR_GIDER!$G$7:$G$3006,GELIR_GIDER!$T$7:$T$3006,$B29))</f>
        <v>119400</v>
      </c>
      <c r="H29" s="68">
        <f t="shared" ca="1" si="1"/>
        <v>119400</v>
      </c>
      <c r="I29" s="68">
        <f>IF($B29="","",SUMIFS(TAHSILAT!$F$7:$F$2506,TAHSILAT!$C$7:$C$2506,$B29))</f>
        <v>114000</v>
      </c>
      <c r="J29" s="68">
        <f t="shared" ca="1" si="2"/>
        <v>5400</v>
      </c>
      <c r="K29" s="68">
        <f t="shared" ca="1" si="3"/>
        <v>5400</v>
      </c>
      <c r="L29" s="68">
        <f t="shared" ca="1" si="4"/>
        <v>0</v>
      </c>
      <c r="M29" s="68">
        <f t="shared" ca="1" si="5"/>
        <v>0</v>
      </c>
      <c r="N29" s="68">
        <f t="shared" ca="1" si="6"/>
        <v>0</v>
      </c>
      <c r="O29" s="86">
        <f t="shared" ca="1" si="7"/>
        <v>0.95477386934673369</v>
      </c>
      <c r="P29" s="70">
        <f>IF($B29="","",IFERROR(LOOKUP(2,1/(TAHSILAT!$C$7:$C$2506=$B29),TAHSILAT!$E$7:$E$2506),""))</f>
        <v>46249</v>
      </c>
      <c r="Q29" s="65" t="str">
        <f t="shared" ca="1" si="8"/>
        <v>İZLE</v>
      </c>
      <c r="R29" s="74" t="str">
        <f t="shared" ca="1" si="9"/>
        <v>Normal takip</v>
      </c>
      <c r="S29" s="76">
        <f>IF($B29="","",COUNTIFS(AKTIVITE!$D$7:$D$1006,$B29,AKTIVITE!$J$7:$J$1006,"&lt;&gt;Tamamlandı"))</f>
        <v>0</v>
      </c>
      <c r="T29" s="70" t="str">
        <f>IF(OR($B29="",$AF29=""),"",IF(INDEX(MUSTERILER!$K$7:$K$156,$AF29)="","",INDEX(MUSTERILER!$K$7:$K$156,$AF29)))</f>
        <v/>
      </c>
      <c r="U29" s="76" t="str">
        <f t="shared" ca="1" si="10"/>
        <v/>
      </c>
      <c r="V29" s="68">
        <f t="shared" ca="1" si="11"/>
        <v>0</v>
      </c>
      <c r="W29" s="65" t="str">
        <f t="shared" ca="1" si="12"/>
        <v>UYGUN</v>
      </c>
      <c r="X29" s="2">
        <f ca="1">IF($B29="",0,SUMIFS(UCRETLER!$J$7:$J$606,UCRETLER!$B$7:$B$606,$B29))</f>
        <v>106000</v>
      </c>
      <c r="Y29" s="2">
        <f ca="1">IF($B29="",0,SUMIFS(UCRETLER!$K$7:$K$606,UCRETLER!$B$7:$B$606,$B29))</f>
        <v>102000</v>
      </c>
      <c r="Z29" s="1">
        <f ca="1">IF($B29="",0,SUMIFS(UCRETLER!$L$7:$L$606,UCRETLER!$B$7:$B$606,$B29))</f>
        <v>94000</v>
      </c>
      <c r="AA29" s="1">
        <f t="shared" si="13"/>
        <v>114000</v>
      </c>
      <c r="AB29" s="1">
        <f t="shared" si="14"/>
        <v>0</v>
      </c>
      <c r="AC29" s="1">
        <f t="shared" ca="1" si="15"/>
        <v>0</v>
      </c>
      <c r="AD29" s="1">
        <f t="shared" ca="1" si="16"/>
        <v>0</v>
      </c>
      <c r="AE29" s="1">
        <f t="shared" ca="1" si="17"/>
        <v>0</v>
      </c>
      <c r="AF29" s="1">
        <f>IFERROR(MATCH(ROW()-6,MUSTERILER!$U$7:$U$156,0),"")</f>
        <v>22</v>
      </c>
      <c r="AG29" s="1">
        <f>IF($B29="",0,SUMIFS(GELIR_GIDER!$G$7:$G$3006,GELIR_GIDER!$T$7:$T$3006,$B29))</f>
        <v>9400</v>
      </c>
    </row>
    <row r="30" spans="1:33" ht="18" customHeight="1" x14ac:dyDescent="0.3">
      <c r="A30" s="2"/>
      <c r="B30" s="65" t="str">
        <f>IF($AF30="","",INDEX(MUSTERILER!$B$7:$B$156,$AF30))</f>
        <v>M035</v>
      </c>
      <c r="C30" s="74" t="str">
        <f>IF($AF30="","",INDEX(MUSTERILER!$C$7:$C$156,$AF30))</f>
        <v>İSA DEMİRCİ</v>
      </c>
      <c r="D30" s="68">
        <f>IF($B30="","",SUMIFS(UCRETLER!$G$7:$G$606,UCRETLER!$B$7:$B$606,$B30,UCRETLER!$F$7:$F$606,"Haftalık",UCRETLER!$H$7:$H$606,"Aktif"))</f>
        <v>0</v>
      </c>
      <c r="E30" s="68">
        <f>IF($B30="","",SUMIFS(UCRETLER!$G$7:$G$606,UCRETLER!$B$7:$B$606,$B30,UCRETLER!$F$7:$F$606,"Aylık",UCRETLER!$H$7:$H$606,"Aktif"))</f>
        <v>3500</v>
      </c>
      <c r="F30" s="68">
        <f>IF($B30="","",SUMIFS(MUSTERILER!$J$7:$J$156,MUSTERILER!$B$7:$B$156,$B30))</f>
        <v>0</v>
      </c>
      <c r="G30" s="68">
        <f ca="1">IF($B30="","",SUMIFS(UCRETLER!$I$7:$I$606,UCRETLER!$B$7:$B$606,$B30)+SUMIFS(GELIR_GIDER!$G$7:$G$3006,GELIR_GIDER!$T$7:$T$3006,$B30))</f>
        <v>29700</v>
      </c>
      <c r="H30" s="68">
        <f t="shared" ca="1" si="1"/>
        <v>29700</v>
      </c>
      <c r="I30" s="68">
        <f>IF($B30="","",SUMIFS(TAHSILAT!$F$7:$F$2506,TAHSILAT!$C$7:$C$2506,$B30))</f>
        <v>24500</v>
      </c>
      <c r="J30" s="68">
        <f t="shared" ca="1" si="2"/>
        <v>5200</v>
      </c>
      <c r="K30" s="68">
        <f t="shared" ca="1" si="3"/>
        <v>5200</v>
      </c>
      <c r="L30" s="68">
        <f t="shared" ca="1" si="4"/>
        <v>0</v>
      </c>
      <c r="M30" s="68">
        <f t="shared" ca="1" si="5"/>
        <v>0</v>
      </c>
      <c r="N30" s="68">
        <f t="shared" ca="1" si="6"/>
        <v>0</v>
      </c>
      <c r="O30" s="86">
        <f t="shared" ca="1" si="7"/>
        <v>0.82491582491582494</v>
      </c>
      <c r="P30" s="70">
        <f>IF($B30="","",IFERROR(LOOKUP(2,1/(TAHSILAT!$C$7:$C$2506=$B30),TAHSILAT!$E$7:$E$2506),""))</f>
        <v>46221</v>
      </c>
      <c r="Q30" s="65" t="str">
        <f t="shared" ca="1" si="8"/>
        <v>İZLE</v>
      </c>
      <c r="R30" s="74" t="str">
        <f t="shared" ca="1" si="9"/>
        <v>Normal takip</v>
      </c>
      <c r="S30" s="76">
        <f>IF($B30="","",COUNTIFS(AKTIVITE!$D$7:$D$1006,$B30,AKTIVITE!$J$7:$J$1006,"&lt;&gt;Tamamlandı"))</f>
        <v>0</v>
      </c>
      <c r="T30" s="70" t="str">
        <f>IF(OR($B30="",$AF30=""),"",IF(INDEX(MUSTERILER!$K$7:$K$156,$AF30)="","",INDEX(MUSTERILER!$K$7:$K$156,$AF30)))</f>
        <v/>
      </c>
      <c r="U30" s="76" t="str">
        <f t="shared" ca="1" si="10"/>
        <v/>
      </c>
      <c r="V30" s="68">
        <f t="shared" ca="1" si="11"/>
        <v>0</v>
      </c>
      <c r="W30" s="65" t="str">
        <f t="shared" ca="1" si="12"/>
        <v>UYGUN</v>
      </c>
      <c r="X30" s="2">
        <f ca="1">IF($B30="",0,SUMIFS(UCRETLER!$J$7:$J$606,UCRETLER!$B$7:$B$606,$B30))</f>
        <v>24500</v>
      </c>
      <c r="Y30" s="2">
        <f ca="1">IF($B30="",0,SUMIFS(UCRETLER!$K$7:$K$606,UCRETLER!$B$7:$B$606,$B30))</f>
        <v>24500</v>
      </c>
      <c r="Z30" s="1">
        <f ca="1">IF($B30="",0,SUMIFS(UCRETLER!$L$7:$L$606,UCRETLER!$B$7:$B$606,$B30))</f>
        <v>21000</v>
      </c>
      <c r="AA30" s="1">
        <f t="shared" si="13"/>
        <v>24500</v>
      </c>
      <c r="AB30" s="1">
        <f t="shared" si="14"/>
        <v>0</v>
      </c>
      <c r="AC30" s="1">
        <f t="shared" ca="1" si="15"/>
        <v>0</v>
      </c>
      <c r="AD30" s="1">
        <f t="shared" ca="1" si="16"/>
        <v>0</v>
      </c>
      <c r="AE30" s="1">
        <f t="shared" ca="1" si="17"/>
        <v>0</v>
      </c>
      <c r="AF30" s="1">
        <f>IFERROR(MATCH(ROW()-6,MUSTERILER!$U$7:$U$156,0),"")</f>
        <v>23</v>
      </c>
      <c r="AG30" s="1">
        <f>IF($B30="",0,SUMIFS(GELIR_GIDER!$G$7:$G$3006,GELIR_GIDER!$T$7:$T$3006,$B30))</f>
        <v>5200</v>
      </c>
    </row>
    <row r="31" spans="1:33" ht="18" customHeight="1" x14ac:dyDescent="0.3">
      <c r="A31" s="2"/>
      <c r="B31" s="65" t="str">
        <f>IF($AF31="","",INDEX(MUSTERILER!$B$7:$B$156,$AF31))</f>
        <v>M036</v>
      </c>
      <c r="C31" s="74" t="str">
        <f>IF($AF31="","",INDEX(MUSTERILER!$C$7:$C$156,$AF31))</f>
        <v>İSMAİL AKPINAR</v>
      </c>
      <c r="D31" s="68">
        <f>IF($B31="","",SUMIFS(UCRETLER!$G$7:$G$606,UCRETLER!$B$7:$B$606,$B31,UCRETLER!$F$7:$F$606,"Haftalık",UCRETLER!$H$7:$H$606,"Aktif"))</f>
        <v>0</v>
      </c>
      <c r="E31" s="68">
        <f>IF($B31="","",SUMIFS(UCRETLER!$G$7:$G$606,UCRETLER!$B$7:$B$606,$B31,UCRETLER!$F$7:$F$606,"Aylık",UCRETLER!$H$7:$H$606,"Aktif"))</f>
        <v>4000</v>
      </c>
      <c r="F31" s="68">
        <f>IF($B31="","",SUMIFS(MUSTERILER!$J$7:$J$156,MUSTERILER!$B$7:$B$156,$B31))</f>
        <v>0</v>
      </c>
      <c r="G31" s="68">
        <f ca="1">IF($B31="","",SUMIFS(UCRETLER!$I$7:$I$606,UCRETLER!$B$7:$B$606,$B31)+SUMIFS(GELIR_GIDER!$G$7:$G$3006,GELIR_GIDER!$T$7:$T$3006,$B31))</f>
        <v>28000</v>
      </c>
      <c r="H31" s="68">
        <f t="shared" ca="1" si="1"/>
        <v>28000</v>
      </c>
      <c r="I31" s="68">
        <f>IF($B31="","",SUMIFS(TAHSILAT!$F$7:$F$2506,TAHSILAT!$C$7:$C$2506,$B31))</f>
        <v>10000</v>
      </c>
      <c r="J31" s="68">
        <f t="shared" ca="1" si="2"/>
        <v>18000</v>
      </c>
      <c r="K31" s="68">
        <f t="shared" ca="1" si="3"/>
        <v>0</v>
      </c>
      <c r="L31" s="68">
        <f t="shared" ca="1" si="4"/>
        <v>0</v>
      </c>
      <c r="M31" s="68">
        <f t="shared" ca="1" si="5"/>
        <v>4000</v>
      </c>
      <c r="N31" s="68">
        <f t="shared" ca="1" si="6"/>
        <v>14000</v>
      </c>
      <c r="O31" s="86">
        <f t="shared" ca="1" si="7"/>
        <v>0.35714285714285715</v>
      </c>
      <c r="P31" s="70">
        <f>IF($B31="","",IFERROR(LOOKUP(2,1/(TAHSILAT!$C$7:$C$2506=$B31),TAHSILAT!$E$7:$E$2506),""))</f>
        <v>46253</v>
      </c>
      <c r="Q31" s="65" t="str">
        <f t="shared" ca="1" si="8"/>
        <v>KRİTİK</v>
      </c>
      <c r="R31" s="74" t="str">
        <f t="shared" ca="1" si="9"/>
        <v>Acil tahsilat görüşmesi ve cari mutabakat</v>
      </c>
      <c r="S31" s="76">
        <f>IF($B31="","",COUNTIFS(AKTIVITE!$D$7:$D$1006,$B31,AKTIVITE!$J$7:$J$1006,"&lt;&gt;Tamamlandı"))</f>
        <v>0</v>
      </c>
      <c r="T31" s="70" t="str">
        <f>IF(OR($B31="",$AF31=""),"",IF(INDEX(MUSTERILER!$K$7:$K$156,$AF31)="","",INDEX(MUSTERILER!$K$7:$K$156,$AF31)))</f>
        <v/>
      </c>
      <c r="U31" s="76" t="str">
        <f t="shared" ca="1" si="10"/>
        <v/>
      </c>
      <c r="V31" s="68">
        <f t="shared" ca="1" si="11"/>
        <v>0</v>
      </c>
      <c r="W31" s="65" t="str">
        <f t="shared" ca="1" si="12"/>
        <v>UYGUN</v>
      </c>
      <c r="X31" s="2">
        <f ca="1">IF($B31="",0,SUMIFS(UCRETLER!$J$7:$J$606,UCRETLER!$B$7:$B$606,$B31))</f>
        <v>28000</v>
      </c>
      <c r="Y31" s="2">
        <f ca="1">IF($B31="",0,SUMIFS(UCRETLER!$K$7:$K$606,UCRETLER!$B$7:$B$606,$B31))</f>
        <v>28000</v>
      </c>
      <c r="Z31" s="1">
        <f ca="1">IF($B31="",0,SUMIFS(UCRETLER!$L$7:$L$606,UCRETLER!$B$7:$B$606,$B31))</f>
        <v>24000</v>
      </c>
      <c r="AA31" s="1">
        <f t="shared" si="13"/>
        <v>10000</v>
      </c>
      <c r="AB31" s="1">
        <f t="shared" si="14"/>
        <v>0</v>
      </c>
      <c r="AC31" s="1">
        <f t="shared" ca="1" si="15"/>
        <v>18000</v>
      </c>
      <c r="AD31" s="1">
        <f t="shared" ca="1" si="16"/>
        <v>18000</v>
      </c>
      <c r="AE31" s="1">
        <f t="shared" ca="1" si="17"/>
        <v>14000</v>
      </c>
      <c r="AF31" s="1">
        <f>IFERROR(MATCH(ROW()-6,MUSTERILER!$U$7:$U$156,0),"")</f>
        <v>25</v>
      </c>
      <c r="AG31" s="1">
        <f>IF($B31="",0,SUMIFS(GELIR_GIDER!$G$7:$G$3006,GELIR_GIDER!$T$7:$T$3006,$B31))</f>
        <v>0</v>
      </c>
    </row>
    <row r="32" spans="1:33" ht="18" customHeight="1" x14ac:dyDescent="0.3">
      <c r="A32" s="2"/>
      <c r="B32" s="65" t="str">
        <f>IF($AF32="","",INDEX(MUSTERILER!$B$7:$B$156,$AF32))</f>
        <v>M008</v>
      </c>
      <c r="C32" s="74" t="str">
        <f>IF($AF32="","",INDEX(MUSTERILER!$C$7:$C$156,$AF32))</f>
        <v>KÖŞK YÜKSELEN LTD.ŞTİ.</v>
      </c>
      <c r="D32" s="68">
        <f>IF($B32="","",SUMIFS(UCRETLER!$G$7:$G$606,UCRETLER!$B$7:$B$606,$B32,UCRETLER!$F$7:$F$606,"Haftalık",UCRETLER!$H$7:$H$606,"Aktif"))</f>
        <v>2500</v>
      </c>
      <c r="E32" s="68">
        <f>IF($B32="","",SUMIFS(UCRETLER!$G$7:$G$606,UCRETLER!$B$7:$B$606,$B32,UCRETLER!$F$7:$F$606,"Aylık",UCRETLER!$H$7:$H$606,"Aktif"))</f>
        <v>0</v>
      </c>
      <c r="F32" s="68">
        <f>IF($B32="","",SUMIFS(MUSTERILER!$J$7:$J$156,MUSTERILER!$B$7:$B$156,$B32))</f>
        <v>0</v>
      </c>
      <c r="G32" s="68">
        <f ca="1">IF($B32="","",SUMIFS(UCRETLER!$I$7:$I$606,UCRETLER!$B$7:$B$606,$B32)+SUMIFS(GELIR_GIDER!$G$7:$G$3006,GELIR_GIDER!$T$7:$T$3006,$B32))</f>
        <v>85000</v>
      </c>
      <c r="H32" s="68">
        <f t="shared" ca="1" si="1"/>
        <v>85000</v>
      </c>
      <c r="I32" s="68">
        <f>IF($B32="","",SUMIFS(TAHSILAT!$F$7:$F$2506,TAHSILAT!$C$7:$C$2506,$B32))</f>
        <v>6000</v>
      </c>
      <c r="J32" s="68">
        <f t="shared" ca="1" si="2"/>
        <v>79000</v>
      </c>
      <c r="K32" s="68">
        <f t="shared" ca="1" si="3"/>
        <v>2500</v>
      </c>
      <c r="L32" s="68">
        <f t="shared" ca="1" si="4"/>
        <v>2500</v>
      </c>
      <c r="M32" s="68">
        <f t="shared" ca="1" si="5"/>
        <v>5000</v>
      </c>
      <c r="N32" s="68">
        <f t="shared" ca="1" si="6"/>
        <v>69000</v>
      </c>
      <c r="O32" s="86">
        <f t="shared" ca="1" si="7"/>
        <v>7.0588235294117646E-2</v>
      </c>
      <c r="P32" s="70">
        <f>IF($B32="","",IFERROR(LOOKUP(2,1/(TAHSILAT!$C$7:$C$2506=$B32),TAHSILAT!$E$7:$E$2506),""))</f>
        <v>46046</v>
      </c>
      <c r="Q32" s="65" t="str">
        <f t="shared" ca="1" si="8"/>
        <v>KRİTİK</v>
      </c>
      <c r="R32" s="74" t="str">
        <f t="shared" ca="1" si="9"/>
        <v>Acil tahsilat görüşmesi ve cari mutabakat</v>
      </c>
      <c r="S32" s="76">
        <f>IF($B32="","",COUNTIFS(AKTIVITE!$D$7:$D$1006,$B32,AKTIVITE!$J$7:$J$1006,"&lt;&gt;Tamamlandı"))</f>
        <v>0</v>
      </c>
      <c r="T32" s="70" t="str">
        <f>IF(OR($B32="",$AF32=""),"",IF(INDEX(MUSTERILER!$K$7:$K$156,$AF32)="","",INDEX(MUSTERILER!$K$7:$K$156,$AF32)))</f>
        <v/>
      </c>
      <c r="U32" s="76" t="str">
        <f t="shared" ca="1" si="10"/>
        <v/>
      </c>
      <c r="V32" s="68">
        <f t="shared" ca="1" si="11"/>
        <v>0</v>
      </c>
      <c r="W32" s="65" t="str">
        <f t="shared" ca="1" si="12"/>
        <v>UYGUN</v>
      </c>
      <c r="X32" s="2">
        <f ca="1">IF($B32="",0,SUMIFS(UCRETLER!$J$7:$J$606,UCRETLER!$B$7:$B$606,$B32))</f>
        <v>82500</v>
      </c>
      <c r="Y32" s="2">
        <f ca="1">IF($B32="",0,SUMIFS(UCRETLER!$K$7:$K$606,UCRETLER!$B$7:$B$606,$B32))</f>
        <v>80000</v>
      </c>
      <c r="Z32" s="1">
        <f ca="1">IF($B32="",0,SUMIFS(UCRETLER!$L$7:$L$606,UCRETLER!$B$7:$B$606,$B32))</f>
        <v>75000</v>
      </c>
      <c r="AA32" s="1">
        <f t="shared" si="13"/>
        <v>6000</v>
      </c>
      <c r="AB32" s="1">
        <f t="shared" si="14"/>
        <v>0</v>
      </c>
      <c r="AC32" s="1">
        <f t="shared" ca="1" si="15"/>
        <v>76500</v>
      </c>
      <c r="AD32" s="1">
        <f t="shared" ca="1" si="16"/>
        <v>74000</v>
      </c>
      <c r="AE32" s="1">
        <f t="shared" ca="1" si="17"/>
        <v>69000</v>
      </c>
      <c r="AF32" s="1">
        <f>IFERROR(MATCH(ROW()-6,MUSTERILER!$U$7:$U$156,0),"")</f>
        <v>26</v>
      </c>
      <c r="AG32" s="1">
        <f>IF($B32="",0,SUMIFS(GELIR_GIDER!$G$7:$G$3006,GELIR_GIDER!$T$7:$T$3006,$B32))</f>
        <v>0</v>
      </c>
    </row>
    <row r="33" spans="1:33" ht="18" customHeight="1" x14ac:dyDescent="0.3">
      <c r="A33" s="2"/>
      <c r="B33" s="65" t="str">
        <f>IF($AF33="","",INDEX(MUSTERILER!$B$7:$B$156,$AF33))</f>
        <v>M020</v>
      </c>
      <c r="C33" s="74" t="str">
        <f>IF($AF33="","",INDEX(MUSTERILER!$C$7:$C$156,$AF33))</f>
        <v>KRİSTAL LTD.ŞTİ.</v>
      </c>
      <c r="D33" s="68">
        <f>IF($B33="","",SUMIFS(UCRETLER!$G$7:$G$606,UCRETLER!$B$7:$B$606,$B33,UCRETLER!$F$7:$F$606,"Haftalık",UCRETLER!$H$7:$H$606,"Aktif"))</f>
        <v>3000</v>
      </c>
      <c r="E33" s="68">
        <f>IF($B33="","",SUMIFS(UCRETLER!$G$7:$G$606,UCRETLER!$B$7:$B$606,$B33,UCRETLER!$F$7:$F$606,"Aylık",UCRETLER!$H$7:$H$606,"Aktif"))</f>
        <v>0</v>
      </c>
      <c r="F33" s="68">
        <f>IF($B33="","",SUMIFS(MUSTERILER!$J$7:$J$156,MUSTERILER!$B$7:$B$156,$B33))</f>
        <v>0</v>
      </c>
      <c r="G33" s="68">
        <f ca="1">IF($B33="","",SUMIFS(UCRETLER!$I$7:$I$606,UCRETLER!$B$7:$B$606,$B33)+SUMIFS(GELIR_GIDER!$G$7:$G$3006,GELIR_GIDER!$T$7:$T$3006,$B33))</f>
        <v>116750</v>
      </c>
      <c r="H33" s="68">
        <f t="shared" ca="1" si="1"/>
        <v>116750</v>
      </c>
      <c r="I33" s="68">
        <f>IF($B33="","",SUMIFS(TAHSILAT!$F$7:$F$2506,TAHSILAT!$C$7:$C$2506,$B33))</f>
        <v>99000</v>
      </c>
      <c r="J33" s="68">
        <f t="shared" ca="1" si="2"/>
        <v>17750</v>
      </c>
      <c r="K33" s="68">
        <f t="shared" ca="1" si="3"/>
        <v>17750</v>
      </c>
      <c r="L33" s="68">
        <f t="shared" ca="1" si="4"/>
        <v>0</v>
      </c>
      <c r="M33" s="68">
        <f t="shared" ca="1" si="5"/>
        <v>0</v>
      </c>
      <c r="N33" s="68">
        <f t="shared" ca="1" si="6"/>
        <v>0</v>
      </c>
      <c r="O33" s="86">
        <f t="shared" ca="1" si="7"/>
        <v>0.84796573875802994</v>
      </c>
      <c r="P33" s="70">
        <f>IF($B33="","",IFERROR(LOOKUP(2,1/(TAHSILAT!$C$7:$C$2506=$B33),TAHSILAT!$E$7:$E$2506),""))</f>
        <v>46249</v>
      </c>
      <c r="Q33" s="65" t="str">
        <f t="shared" ca="1" si="8"/>
        <v>İZLE</v>
      </c>
      <c r="R33" s="74" t="str">
        <f t="shared" ca="1" si="9"/>
        <v>Normal takip</v>
      </c>
      <c r="S33" s="76">
        <f>IF($B33="","",COUNTIFS(AKTIVITE!$D$7:$D$1006,$B33,AKTIVITE!$J$7:$J$1006,"&lt;&gt;Tamamlandı"))</f>
        <v>0</v>
      </c>
      <c r="T33" s="70" t="str">
        <f>IF(OR($B33="",$AF33=""),"",IF(INDEX(MUSTERILER!$K$7:$K$156,$AF33)="","",INDEX(MUSTERILER!$K$7:$K$156,$AF33)))</f>
        <v/>
      </c>
      <c r="U33" s="76" t="str">
        <f t="shared" ca="1" si="10"/>
        <v/>
      </c>
      <c r="V33" s="68">
        <f t="shared" ca="1" si="11"/>
        <v>0</v>
      </c>
      <c r="W33" s="65" t="str">
        <f t="shared" ca="1" si="12"/>
        <v>UYGUN</v>
      </c>
      <c r="X33" s="2">
        <f ca="1">IF($B33="",0,SUMIFS(UCRETLER!$J$7:$J$606,UCRETLER!$B$7:$B$606,$B33))</f>
        <v>99000</v>
      </c>
      <c r="Y33" s="2">
        <f ca="1">IF($B33="",0,SUMIFS(UCRETLER!$K$7:$K$606,UCRETLER!$B$7:$B$606,$B33))</f>
        <v>96000</v>
      </c>
      <c r="Z33" s="1">
        <f ca="1">IF($B33="",0,SUMIFS(UCRETLER!$L$7:$L$606,UCRETLER!$B$7:$B$606,$B33))</f>
        <v>90000</v>
      </c>
      <c r="AA33" s="1">
        <f t="shared" si="13"/>
        <v>99000</v>
      </c>
      <c r="AB33" s="1">
        <f t="shared" si="14"/>
        <v>0</v>
      </c>
      <c r="AC33" s="1">
        <f t="shared" ca="1" si="15"/>
        <v>0</v>
      </c>
      <c r="AD33" s="1">
        <f t="shared" ca="1" si="16"/>
        <v>0</v>
      </c>
      <c r="AE33" s="1">
        <f t="shared" ca="1" si="17"/>
        <v>0</v>
      </c>
      <c r="AF33" s="1">
        <f>IFERROR(MATCH(ROW()-6,MUSTERILER!$U$7:$U$156,0),"")</f>
        <v>27</v>
      </c>
      <c r="AG33" s="1">
        <f>IF($B33="",0,SUMIFS(GELIR_GIDER!$G$7:$G$3006,GELIR_GIDER!$T$7:$T$3006,$B33))</f>
        <v>14750</v>
      </c>
    </row>
    <row r="34" spans="1:33" ht="18" customHeight="1" x14ac:dyDescent="0.3">
      <c r="A34" s="2"/>
      <c r="B34" s="65" t="str">
        <f>IF($AF34="","",INDEX(MUSTERILER!$B$7:$B$156,$AF34))</f>
        <v>M037</v>
      </c>
      <c r="C34" s="74" t="str">
        <f>IF($AF34="","",INDEX(MUSTERILER!$C$7:$C$156,$AF34))</f>
        <v>MEHMET EVREN KILINÇ</v>
      </c>
      <c r="D34" s="68">
        <f>IF($B34="","",SUMIFS(UCRETLER!$G$7:$G$606,UCRETLER!$B$7:$B$606,$B34,UCRETLER!$F$7:$F$606,"Haftalık",UCRETLER!$H$7:$H$606,"Aktif"))</f>
        <v>0</v>
      </c>
      <c r="E34" s="68">
        <f>IF($B34="","",SUMIFS(UCRETLER!$G$7:$G$606,UCRETLER!$B$7:$B$606,$B34,UCRETLER!$F$7:$F$606,"Aylık",UCRETLER!$H$7:$H$606,"Aktif"))</f>
        <v>2000</v>
      </c>
      <c r="F34" s="68">
        <f>IF($B34="","",SUMIFS(MUSTERILER!$J$7:$J$156,MUSTERILER!$B$7:$B$156,$B34))</f>
        <v>0</v>
      </c>
      <c r="G34" s="68">
        <f ca="1">IF($B34="","",SUMIFS(UCRETLER!$I$7:$I$606,UCRETLER!$B$7:$B$606,$B34)+SUMIFS(GELIR_GIDER!$G$7:$G$3006,GELIR_GIDER!$T$7:$T$3006,$B34))</f>
        <v>14000</v>
      </c>
      <c r="H34" s="68">
        <f t="shared" ca="1" si="1"/>
        <v>14000</v>
      </c>
      <c r="I34" s="68">
        <f>IF($B34="","",SUMIFS(TAHSILAT!$F$7:$F$2506,TAHSILAT!$C$7:$C$2506,$B34))</f>
        <v>14000</v>
      </c>
      <c r="J34" s="68">
        <f t="shared" ca="1" si="2"/>
        <v>0</v>
      </c>
      <c r="K34" s="68">
        <f t="shared" ca="1" si="3"/>
        <v>0</v>
      </c>
      <c r="L34" s="68">
        <f t="shared" ca="1" si="4"/>
        <v>0</v>
      </c>
      <c r="M34" s="68">
        <f t="shared" ca="1" si="5"/>
        <v>0</v>
      </c>
      <c r="N34" s="68">
        <f t="shared" ca="1" si="6"/>
        <v>0</v>
      </c>
      <c r="O34" s="86">
        <f t="shared" ca="1" si="7"/>
        <v>1</v>
      </c>
      <c r="P34" s="70">
        <f>IF($B34="","",IFERROR(LOOKUP(2,1/(TAHSILAT!$C$7:$C$2506=$B34),TAHSILAT!$E$7:$E$2506),""))</f>
        <v>46258</v>
      </c>
      <c r="Q34" s="65" t="str">
        <f t="shared" ca="1" si="8"/>
        <v>TEMİZ</v>
      </c>
      <c r="R34" s="74" t="str">
        <f t="shared" ca="1" si="9"/>
        <v>Aksiyon gerekmiyor</v>
      </c>
      <c r="S34" s="76">
        <f>IF($B34="","",COUNTIFS(AKTIVITE!$D$7:$D$1006,$B34,AKTIVITE!$J$7:$J$1006,"&lt;&gt;Tamamlandı"))</f>
        <v>0</v>
      </c>
      <c r="T34" s="70" t="str">
        <f>IF(OR($B34="",$AF34=""),"",IF(INDEX(MUSTERILER!$K$7:$K$156,$AF34)="","",INDEX(MUSTERILER!$K$7:$K$156,$AF34)))</f>
        <v/>
      </c>
      <c r="U34" s="76" t="str">
        <f t="shared" ca="1" si="10"/>
        <v/>
      </c>
      <c r="V34" s="68">
        <f t="shared" ca="1" si="11"/>
        <v>0</v>
      </c>
      <c r="W34" s="65" t="str">
        <f t="shared" ca="1" si="12"/>
        <v>UYGUN</v>
      </c>
      <c r="X34" s="2">
        <f ca="1">IF($B34="",0,SUMIFS(UCRETLER!$J$7:$J$606,UCRETLER!$B$7:$B$606,$B34))</f>
        <v>14000</v>
      </c>
      <c r="Y34" s="2">
        <f ca="1">IF($B34="",0,SUMIFS(UCRETLER!$K$7:$K$606,UCRETLER!$B$7:$B$606,$B34))</f>
        <v>14000</v>
      </c>
      <c r="Z34" s="1">
        <f ca="1">IF($B34="",0,SUMIFS(UCRETLER!$L$7:$L$606,UCRETLER!$B$7:$B$606,$B34))</f>
        <v>12000</v>
      </c>
      <c r="AA34" s="1">
        <f t="shared" si="13"/>
        <v>14000</v>
      </c>
      <c r="AB34" s="1">
        <f t="shared" si="14"/>
        <v>0</v>
      </c>
      <c r="AC34" s="1">
        <f t="shared" ca="1" si="15"/>
        <v>0</v>
      </c>
      <c r="AD34" s="1">
        <f t="shared" ca="1" si="16"/>
        <v>0</v>
      </c>
      <c r="AE34" s="1">
        <f t="shared" ca="1" si="17"/>
        <v>0</v>
      </c>
      <c r="AF34" s="1">
        <f>IFERROR(MATCH(ROW()-6,MUSTERILER!$U$7:$U$156,0),"")</f>
        <v>28</v>
      </c>
      <c r="AG34" s="1">
        <f>IF($B34="",0,SUMIFS(GELIR_GIDER!$G$7:$G$3006,GELIR_GIDER!$T$7:$T$3006,$B34))</f>
        <v>0</v>
      </c>
    </row>
    <row r="35" spans="1:33" ht="18" customHeight="1" x14ac:dyDescent="0.3">
      <c r="A35" s="2"/>
      <c r="B35" s="65" t="str">
        <f>IF($AF35="","",INDEX(MUSTERILER!$B$7:$B$156,$AF35))</f>
        <v>M038</v>
      </c>
      <c r="C35" s="74" t="str">
        <f>IF($AF35="","",INDEX(MUSTERILER!$C$7:$C$156,$AF35))</f>
        <v>MELEK GÜLER</v>
      </c>
      <c r="D35" s="68">
        <f>IF($B35="","",SUMIFS(UCRETLER!$G$7:$G$606,UCRETLER!$B$7:$B$606,$B35,UCRETLER!$F$7:$F$606,"Haftalık",UCRETLER!$H$7:$H$606,"Aktif"))</f>
        <v>0</v>
      </c>
      <c r="E35" s="68">
        <f>IF($B35="","",SUMIFS(UCRETLER!$G$7:$G$606,UCRETLER!$B$7:$B$606,$B35,UCRETLER!$F$7:$F$606,"Aylık",UCRETLER!$H$7:$H$606,"Aktif"))</f>
        <v>3000</v>
      </c>
      <c r="F35" s="68">
        <f>IF($B35="","",SUMIFS(MUSTERILER!$J$7:$J$156,MUSTERILER!$B$7:$B$156,$B35))</f>
        <v>0</v>
      </c>
      <c r="G35" s="68">
        <f ca="1">IF($B35="","",SUMIFS(UCRETLER!$I$7:$I$606,UCRETLER!$B$7:$B$606,$B35)+SUMIFS(GELIR_GIDER!$G$7:$G$3006,GELIR_GIDER!$T$7:$T$3006,$B35))</f>
        <v>21000</v>
      </c>
      <c r="H35" s="68">
        <f t="shared" ca="1" si="1"/>
        <v>21000</v>
      </c>
      <c r="I35" s="68">
        <f>IF($B35="","",SUMIFS(TAHSILAT!$F$7:$F$2506,TAHSILAT!$C$7:$C$2506,$B35))</f>
        <v>18000</v>
      </c>
      <c r="J35" s="68">
        <f t="shared" ca="1" si="2"/>
        <v>3000</v>
      </c>
      <c r="K35" s="68">
        <f t="shared" ca="1" si="3"/>
        <v>0</v>
      </c>
      <c r="L35" s="68">
        <f t="shared" ca="1" si="4"/>
        <v>0</v>
      </c>
      <c r="M35" s="68">
        <f t="shared" ca="1" si="5"/>
        <v>3000</v>
      </c>
      <c r="N35" s="68">
        <f t="shared" ca="1" si="6"/>
        <v>0</v>
      </c>
      <c r="O35" s="86">
        <f t="shared" ca="1" si="7"/>
        <v>0.8571428571428571</v>
      </c>
      <c r="P35" s="70">
        <f>IF($B35="","",IFERROR(LOOKUP(2,1/(TAHSILAT!$C$7:$C$2506=$B35),TAHSILAT!$E$7:$E$2506),""))</f>
        <v>46254</v>
      </c>
      <c r="Q35" s="65" t="str">
        <f t="shared" ca="1" si="8"/>
        <v>YÜKSEK</v>
      </c>
      <c r="R35" s="74" t="str">
        <f t="shared" ca="1" si="9"/>
        <v>Bu hafta tahsilat takibi</v>
      </c>
      <c r="S35" s="76">
        <f>IF($B35="","",COUNTIFS(AKTIVITE!$D$7:$D$1006,$B35,AKTIVITE!$J$7:$J$1006,"&lt;&gt;Tamamlandı"))</f>
        <v>0</v>
      </c>
      <c r="T35" s="70" t="str">
        <f>IF(OR($B35="",$AF35=""),"",IF(INDEX(MUSTERILER!$K$7:$K$156,$AF35)="","",INDEX(MUSTERILER!$K$7:$K$156,$AF35)))</f>
        <v/>
      </c>
      <c r="U35" s="76" t="str">
        <f t="shared" ca="1" si="10"/>
        <v/>
      </c>
      <c r="V35" s="68">
        <f t="shared" ca="1" si="11"/>
        <v>0</v>
      </c>
      <c r="W35" s="65" t="str">
        <f t="shared" ca="1" si="12"/>
        <v>UYGUN</v>
      </c>
      <c r="X35" s="2">
        <f ca="1">IF($B35="",0,SUMIFS(UCRETLER!$J$7:$J$606,UCRETLER!$B$7:$B$606,$B35))</f>
        <v>21000</v>
      </c>
      <c r="Y35" s="2">
        <f ca="1">IF($B35="",0,SUMIFS(UCRETLER!$K$7:$K$606,UCRETLER!$B$7:$B$606,$B35))</f>
        <v>21000</v>
      </c>
      <c r="Z35" s="1">
        <f ca="1">IF($B35="",0,SUMIFS(UCRETLER!$L$7:$L$606,UCRETLER!$B$7:$B$606,$B35))</f>
        <v>18000</v>
      </c>
      <c r="AA35" s="1">
        <f t="shared" si="13"/>
        <v>18000</v>
      </c>
      <c r="AB35" s="1">
        <f t="shared" si="14"/>
        <v>0</v>
      </c>
      <c r="AC35" s="1">
        <f t="shared" ca="1" si="15"/>
        <v>3000</v>
      </c>
      <c r="AD35" s="1">
        <f t="shared" ca="1" si="16"/>
        <v>3000</v>
      </c>
      <c r="AE35" s="1">
        <f t="shared" ca="1" si="17"/>
        <v>0</v>
      </c>
      <c r="AF35" s="1">
        <f>IFERROR(MATCH(ROW()-6,MUSTERILER!$U$7:$U$156,0),"")</f>
        <v>29</v>
      </c>
      <c r="AG35" s="1">
        <f>IF($B35="",0,SUMIFS(GELIR_GIDER!$G$7:$G$3006,GELIR_GIDER!$T$7:$T$3006,$B35))</f>
        <v>0</v>
      </c>
    </row>
    <row r="36" spans="1:33" ht="18" customHeight="1" x14ac:dyDescent="0.3">
      <c r="A36" s="2"/>
      <c r="B36" s="65" t="str">
        <f>IF($AF36="","",INDEX(MUSTERILER!$B$7:$B$156,$AF36))</f>
        <v>M039</v>
      </c>
      <c r="C36" s="74" t="str">
        <f>IF($AF36="","",INDEX(MUSTERILER!$C$7:$C$156,$AF36))</f>
        <v>MELİSA BEDİR</v>
      </c>
      <c r="D36" s="68">
        <f>IF($B36="","",SUMIFS(UCRETLER!$G$7:$G$606,UCRETLER!$B$7:$B$606,$B36,UCRETLER!$F$7:$F$606,"Haftalık",UCRETLER!$H$7:$H$606,"Aktif"))</f>
        <v>0</v>
      </c>
      <c r="E36" s="68">
        <f>IF($B36="","",SUMIFS(UCRETLER!$G$7:$G$606,UCRETLER!$B$7:$B$606,$B36,UCRETLER!$F$7:$F$606,"Aylık",UCRETLER!$H$7:$H$606,"Aktif"))</f>
        <v>3000</v>
      </c>
      <c r="F36" s="68">
        <f>IF($B36="","",SUMIFS(MUSTERILER!$J$7:$J$156,MUSTERILER!$B$7:$B$156,$B36))</f>
        <v>0</v>
      </c>
      <c r="G36" s="68">
        <f ca="1">IF($B36="","",SUMIFS(UCRETLER!$I$7:$I$606,UCRETLER!$B$7:$B$606,$B36)+SUMIFS(GELIR_GIDER!$G$7:$G$3006,GELIR_GIDER!$T$7:$T$3006,$B36))</f>
        <v>21000</v>
      </c>
      <c r="H36" s="68">
        <f t="shared" ca="1" si="1"/>
        <v>21000</v>
      </c>
      <c r="I36" s="68">
        <f>IF($B36="","",SUMIFS(TAHSILAT!$F$7:$F$2506,TAHSILAT!$C$7:$C$2506,$B36))</f>
        <v>0</v>
      </c>
      <c r="J36" s="68">
        <f t="shared" ca="1" si="2"/>
        <v>21000</v>
      </c>
      <c r="K36" s="68">
        <f t="shared" ca="1" si="3"/>
        <v>0</v>
      </c>
      <c r="L36" s="68">
        <f t="shared" ca="1" si="4"/>
        <v>0</v>
      </c>
      <c r="M36" s="68">
        <f t="shared" ca="1" si="5"/>
        <v>3000</v>
      </c>
      <c r="N36" s="68">
        <f t="shared" ca="1" si="6"/>
        <v>18000</v>
      </c>
      <c r="O36" s="86">
        <f t="shared" ca="1" si="7"/>
        <v>0</v>
      </c>
      <c r="P36" s="70" t="str">
        <f>IF($B36="","",IFERROR(LOOKUP(2,1/(TAHSILAT!$C$7:$C$2506=$B36),TAHSILAT!$E$7:$E$2506),""))</f>
        <v/>
      </c>
      <c r="Q36" s="65" t="str">
        <f t="shared" ca="1" si="8"/>
        <v>KRİTİK</v>
      </c>
      <c r="R36" s="74" t="str">
        <f t="shared" ca="1" si="9"/>
        <v>Acil tahsilat görüşmesi ve cari mutabakat</v>
      </c>
      <c r="S36" s="76">
        <f>IF($B36="","",COUNTIFS(AKTIVITE!$D$7:$D$1006,$B36,AKTIVITE!$J$7:$J$1006,"&lt;&gt;Tamamlandı"))</f>
        <v>0</v>
      </c>
      <c r="T36" s="70" t="str">
        <f>IF(OR($B36="",$AF36=""),"",IF(INDEX(MUSTERILER!$K$7:$K$156,$AF36)="","",INDEX(MUSTERILER!$K$7:$K$156,$AF36)))</f>
        <v/>
      </c>
      <c r="U36" s="76" t="str">
        <f t="shared" ca="1" si="10"/>
        <v/>
      </c>
      <c r="V36" s="68">
        <f t="shared" ca="1" si="11"/>
        <v>0</v>
      </c>
      <c r="W36" s="65" t="str">
        <f t="shared" ca="1" si="12"/>
        <v>UYGUN</v>
      </c>
      <c r="X36" s="2">
        <f ca="1">IF($B36="",0,SUMIFS(UCRETLER!$J$7:$J$606,UCRETLER!$B$7:$B$606,$B36))</f>
        <v>21000</v>
      </c>
      <c r="Y36" s="2">
        <f ca="1">IF($B36="",0,SUMIFS(UCRETLER!$K$7:$K$606,UCRETLER!$B$7:$B$606,$B36))</f>
        <v>21000</v>
      </c>
      <c r="Z36" s="1">
        <f ca="1">IF($B36="",0,SUMIFS(UCRETLER!$L$7:$L$606,UCRETLER!$B$7:$B$606,$B36))</f>
        <v>18000</v>
      </c>
      <c r="AA36" s="1">
        <f t="shared" si="13"/>
        <v>0</v>
      </c>
      <c r="AB36" s="1">
        <f t="shared" si="14"/>
        <v>0</v>
      </c>
      <c r="AC36" s="1">
        <f t="shared" ca="1" si="15"/>
        <v>21000</v>
      </c>
      <c r="AD36" s="1">
        <f t="shared" ca="1" si="16"/>
        <v>21000</v>
      </c>
      <c r="AE36" s="1">
        <f t="shared" ca="1" si="17"/>
        <v>18000</v>
      </c>
      <c r="AF36" s="1">
        <f>IFERROR(MATCH(ROW()-6,MUSTERILER!$U$7:$U$156,0),"")</f>
        <v>30</v>
      </c>
      <c r="AG36" s="1">
        <f>IF($B36="",0,SUMIFS(GELIR_GIDER!$G$7:$G$3006,GELIR_GIDER!$T$7:$T$3006,$B36))</f>
        <v>0</v>
      </c>
    </row>
    <row r="37" spans="1:33" ht="18" customHeight="1" x14ac:dyDescent="0.3">
      <c r="A37" s="2"/>
      <c r="B37" s="65" t="str">
        <f>IF($AF37="","",INDEX(MUSTERILER!$B$7:$B$156,$AF37))</f>
        <v>M040</v>
      </c>
      <c r="C37" s="74" t="str">
        <f>IF($AF37="","",INDEX(MUSTERILER!$C$7:$C$156,$AF37))</f>
        <v>MENEKŞE AKAN</v>
      </c>
      <c r="D37" s="68">
        <f>IF($B37="","",SUMIFS(UCRETLER!$G$7:$G$606,UCRETLER!$B$7:$B$606,$B37,UCRETLER!$F$7:$F$606,"Haftalık",UCRETLER!$H$7:$H$606,"Aktif"))</f>
        <v>0</v>
      </c>
      <c r="E37" s="68">
        <f>IF($B37="","",SUMIFS(UCRETLER!$G$7:$G$606,UCRETLER!$B$7:$B$606,$B37,UCRETLER!$F$7:$F$606,"Aylık",UCRETLER!$H$7:$H$606,"Aktif"))</f>
        <v>1500</v>
      </c>
      <c r="F37" s="68">
        <f>IF($B37="","",SUMIFS(MUSTERILER!$J$7:$J$156,MUSTERILER!$B$7:$B$156,$B37))</f>
        <v>0</v>
      </c>
      <c r="G37" s="68">
        <f ca="1">IF($B37="","",SUMIFS(UCRETLER!$I$7:$I$606,UCRETLER!$B$7:$B$606,$B37)+SUMIFS(GELIR_GIDER!$G$7:$G$3006,GELIR_GIDER!$T$7:$T$3006,$B37))</f>
        <v>10500</v>
      </c>
      <c r="H37" s="68">
        <f t="shared" ca="1" si="1"/>
        <v>10500</v>
      </c>
      <c r="I37" s="68">
        <f>IF($B37="","",SUMIFS(TAHSILAT!$F$7:$F$2506,TAHSILAT!$C$7:$C$2506,$B37))</f>
        <v>18500</v>
      </c>
      <c r="J37" s="68">
        <f t="shared" ca="1" si="2"/>
        <v>0</v>
      </c>
      <c r="K37" s="68">
        <f t="shared" ca="1" si="3"/>
        <v>0</v>
      </c>
      <c r="L37" s="68">
        <f t="shared" ca="1" si="4"/>
        <v>0</v>
      </c>
      <c r="M37" s="68">
        <f t="shared" ca="1" si="5"/>
        <v>0</v>
      </c>
      <c r="N37" s="68">
        <f t="shared" ca="1" si="6"/>
        <v>0</v>
      </c>
      <c r="O37" s="86">
        <f t="shared" ca="1" si="7"/>
        <v>1.7619047619047619</v>
      </c>
      <c r="P37" s="70">
        <f>IF($B37="","",IFERROR(LOOKUP(2,1/(TAHSILAT!$C$7:$C$2506=$B37),TAHSILAT!$E$7:$E$2506),""))</f>
        <v>46093</v>
      </c>
      <c r="Q37" s="65" t="str">
        <f t="shared" ca="1" si="8"/>
        <v>TEMİZ</v>
      </c>
      <c r="R37" s="74" t="str">
        <f t="shared" ca="1" si="9"/>
        <v>Aksiyon gerekmiyor</v>
      </c>
      <c r="S37" s="76">
        <f>IF($B37="","",COUNTIFS(AKTIVITE!$D$7:$D$1006,$B37,AKTIVITE!$J$7:$J$1006,"&lt;&gt;Tamamlandı"))</f>
        <v>0</v>
      </c>
      <c r="T37" s="70" t="str">
        <f>IF(OR($B37="",$AF37=""),"",IF(INDEX(MUSTERILER!$K$7:$K$156,$AF37)="","",INDEX(MUSTERILER!$K$7:$K$156,$AF37)))</f>
        <v/>
      </c>
      <c r="U37" s="76" t="str">
        <f t="shared" ca="1" si="10"/>
        <v/>
      </c>
      <c r="V37" s="68">
        <f t="shared" ca="1" si="11"/>
        <v>8000</v>
      </c>
      <c r="W37" s="65" t="str">
        <f t="shared" ca="1" si="12"/>
        <v>UYGUN</v>
      </c>
      <c r="X37" s="2">
        <f ca="1">IF($B37="",0,SUMIFS(UCRETLER!$J$7:$J$606,UCRETLER!$B$7:$B$606,$B37))</f>
        <v>10500</v>
      </c>
      <c r="Y37" s="2">
        <f ca="1">IF($B37="",0,SUMIFS(UCRETLER!$K$7:$K$606,UCRETLER!$B$7:$B$606,$B37))</f>
        <v>10500</v>
      </c>
      <c r="Z37" s="1">
        <f ca="1">IF($B37="",0,SUMIFS(UCRETLER!$L$7:$L$606,UCRETLER!$B$7:$B$606,$B37))</f>
        <v>9000</v>
      </c>
      <c r="AA37" s="1">
        <f t="shared" si="13"/>
        <v>18500</v>
      </c>
      <c r="AB37" s="1">
        <f t="shared" si="14"/>
        <v>0</v>
      </c>
      <c r="AC37" s="1">
        <f t="shared" ca="1" si="15"/>
        <v>0</v>
      </c>
      <c r="AD37" s="1">
        <f t="shared" ca="1" si="16"/>
        <v>0</v>
      </c>
      <c r="AE37" s="1">
        <f t="shared" ca="1" si="17"/>
        <v>0</v>
      </c>
      <c r="AF37" s="1">
        <f>IFERROR(MATCH(ROW()-6,MUSTERILER!$U$7:$U$156,0),"")</f>
        <v>31</v>
      </c>
      <c r="AG37" s="1">
        <f>IF($B37="",0,SUMIFS(GELIR_GIDER!$G$7:$G$3006,GELIR_GIDER!$T$7:$T$3006,$B37))</f>
        <v>0</v>
      </c>
    </row>
    <row r="38" spans="1:33" ht="18" customHeight="1" x14ac:dyDescent="0.3">
      <c r="A38" s="2"/>
      <c r="B38" s="65" t="str">
        <f>IF($AF38="","",INDEX(MUSTERILER!$B$7:$B$156,$AF38))</f>
        <v>M041</v>
      </c>
      <c r="C38" s="74" t="str">
        <f>IF($AF38="","",INDEX(MUSTERILER!$C$7:$C$156,$AF38))</f>
        <v>MESUT KÖKLÜ</v>
      </c>
      <c r="D38" s="68">
        <f>IF($B38="","",SUMIFS(UCRETLER!$G$7:$G$606,UCRETLER!$B$7:$B$606,$B38,UCRETLER!$F$7:$F$606,"Haftalık",UCRETLER!$H$7:$H$606,"Aktif"))</f>
        <v>0</v>
      </c>
      <c r="E38" s="68">
        <f>IF($B38="","",SUMIFS(UCRETLER!$G$7:$G$606,UCRETLER!$B$7:$B$606,$B38,UCRETLER!$F$7:$F$606,"Aylık",UCRETLER!$H$7:$H$606,"Aktif"))</f>
        <v>5000</v>
      </c>
      <c r="F38" s="68">
        <f>IF($B38="","",SUMIFS(MUSTERILER!$J$7:$J$156,MUSTERILER!$B$7:$B$156,$B38))</f>
        <v>0</v>
      </c>
      <c r="G38" s="68">
        <f ca="1">IF($B38="","",SUMIFS(UCRETLER!$I$7:$I$606,UCRETLER!$B$7:$B$606,$B38)+SUMIFS(GELIR_GIDER!$G$7:$G$3006,GELIR_GIDER!$T$7:$T$3006,$B38))</f>
        <v>35000</v>
      </c>
      <c r="H38" s="68">
        <f t="shared" ca="1" si="1"/>
        <v>35000</v>
      </c>
      <c r="I38" s="68">
        <f>IF($B38="","",SUMIFS(TAHSILAT!$F$7:$F$2506,TAHSILAT!$C$7:$C$2506,$B38))</f>
        <v>10000</v>
      </c>
      <c r="J38" s="68">
        <f t="shared" ca="1" si="2"/>
        <v>25000</v>
      </c>
      <c r="K38" s="68">
        <f t="shared" ca="1" si="3"/>
        <v>0</v>
      </c>
      <c r="L38" s="68">
        <f t="shared" ca="1" si="4"/>
        <v>0</v>
      </c>
      <c r="M38" s="68">
        <f t="shared" ca="1" si="5"/>
        <v>5000</v>
      </c>
      <c r="N38" s="68">
        <f t="shared" ca="1" si="6"/>
        <v>20000</v>
      </c>
      <c r="O38" s="86">
        <f t="shared" ca="1" si="7"/>
        <v>0.2857142857142857</v>
      </c>
      <c r="P38" s="70">
        <f>IF($B38="","",IFERROR(LOOKUP(2,1/(TAHSILAT!$C$7:$C$2506=$B38),TAHSILAT!$E$7:$E$2506),""))</f>
        <v>46251</v>
      </c>
      <c r="Q38" s="65" t="str">
        <f t="shared" ca="1" si="8"/>
        <v>KRİTİK</v>
      </c>
      <c r="R38" s="74" t="str">
        <f t="shared" ca="1" si="9"/>
        <v>Acil tahsilat görüşmesi ve cari mutabakat</v>
      </c>
      <c r="S38" s="76">
        <f>IF($B38="","",COUNTIFS(AKTIVITE!$D$7:$D$1006,$B38,AKTIVITE!$J$7:$J$1006,"&lt;&gt;Tamamlandı"))</f>
        <v>0</v>
      </c>
      <c r="T38" s="70" t="str">
        <f>IF(OR($B38="",$AF38=""),"",IF(INDEX(MUSTERILER!$K$7:$K$156,$AF38)="","",INDEX(MUSTERILER!$K$7:$K$156,$AF38)))</f>
        <v/>
      </c>
      <c r="U38" s="76" t="str">
        <f t="shared" ca="1" si="10"/>
        <v/>
      </c>
      <c r="V38" s="68">
        <f t="shared" ca="1" si="11"/>
        <v>0</v>
      </c>
      <c r="W38" s="65" t="str">
        <f t="shared" ca="1" si="12"/>
        <v>UYGUN</v>
      </c>
      <c r="X38" s="2">
        <f ca="1">IF($B38="",0,SUMIFS(UCRETLER!$J$7:$J$606,UCRETLER!$B$7:$B$606,$B38))</f>
        <v>35000</v>
      </c>
      <c r="Y38" s="2">
        <f ca="1">IF($B38="",0,SUMIFS(UCRETLER!$K$7:$K$606,UCRETLER!$B$7:$B$606,$B38))</f>
        <v>35000</v>
      </c>
      <c r="Z38" s="1">
        <f ca="1">IF($B38="",0,SUMIFS(UCRETLER!$L$7:$L$606,UCRETLER!$B$7:$B$606,$B38))</f>
        <v>30000</v>
      </c>
      <c r="AA38" s="1">
        <f t="shared" si="13"/>
        <v>10000</v>
      </c>
      <c r="AB38" s="1">
        <f t="shared" si="14"/>
        <v>0</v>
      </c>
      <c r="AC38" s="1">
        <f t="shared" ca="1" si="15"/>
        <v>25000</v>
      </c>
      <c r="AD38" s="1">
        <f t="shared" ca="1" si="16"/>
        <v>25000</v>
      </c>
      <c r="AE38" s="1">
        <f t="shared" ca="1" si="17"/>
        <v>20000</v>
      </c>
      <c r="AF38" s="1">
        <f>IFERROR(MATCH(ROW()-6,MUSTERILER!$U$7:$U$156,0),"")</f>
        <v>32</v>
      </c>
      <c r="AG38" s="1">
        <f>IF($B38="",0,SUMIFS(GELIR_GIDER!$G$7:$G$3006,GELIR_GIDER!$T$7:$T$3006,$B38))</f>
        <v>0</v>
      </c>
    </row>
    <row r="39" spans="1:33" ht="18" customHeight="1" x14ac:dyDescent="0.3">
      <c r="A39" s="2"/>
      <c r="B39" s="65" t="str">
        <f>IF($AF39="","",INDEX(MUSTERILER!$B$7:$B$156,$AF39))</f>
        <v>M007</v>
      </c>
      <c r="C39" s="74" t="str">
        <f>IF($AF39="","",INDEX(MUSTERILER!$C$7:$C$156,$AF39))</f>
        <v>MONAMOUR LTD.ŞTİ.</v>
      </c>
      <c r="D39" s="68">
        <f>IF($B39="","",SUMIFS(UCRETLER!$G$7:$G$606,UCRETLER!$B$7:$B$606,$B39,UCRETLER!$F$7:$F$606,"Haftalık",UCRETLER!$H$7:$H$606,"Aktif"))</f>
        <v>3500</v>
      </c>
      <c r="E39" s="68">
        <f>IF($B39="","",SUMIFS(UCRETLER!$G$7:$G$606,UCRETLER!$B$7:$B$606,$B39,UCRETLER!$F$7:$F$606,"Aylık",UCRETLER!$H$7:$H$606,"Aktif"))</f>
        <v>0</v>
      </c>
      <c r="F39" s="68">
        <f>IF($B39="","",SUMIFS(MUSTERILER!$J$7:$J$156,MUSTERILER!$B$7:$B$156,$B39))</f>
        <v>0</v>
      </c>
      <c r="G39" s="68">
        <f ca="1">IF($B39="","",SUMIFS(UCRETLER!$I$7:$I$606,UCRETLER!$B$7:$B$606,$B39)+SUMIFS(GELIR_GIDER!$G$7:$G$3006,GELIR_GIDER!$T$7:$T$3006,$B39))</f>
        <v>123200</v>
      </c>
      <c r="H39" s="68">
        <f t="shared" ref="H39:H70" ca="1" si="18">IF($B39="","",$F39+$G39)</f>
        <v>123200</v>
      </c>
      <c r="I39" s="68">
        <f>IF($B39="","",SUMIFS(TAHSILAT!$F$7:$F$2506,TAHSILAT!$C$7:$C$2506,$B39))</f>
        <v>86000</v>
      </c>
      <c r="J39" s="68">
        <f t="shared" ref="J39:J70" ca="1" si="19">IF($B39="","",MAX(0,$H39-$I39))</f>
        <v>37200</v>
      </c>
      <c r="K39" s="68">
        <f t="shared" ref="K39:K70" ca="1" si="20">IF($B39="","",MAX(0,$J39-$L39-$M39-$N39))</f>
        <v>7700</v>
      </c>
      <c r="L39" s="68">
        <f t="shared" ref="L39:L70" ca="1" si="21">IF($B39="","",($AC39-$AD39)+IF(AND($AB39&gt;0,$T39&lt;&gt;"",$U39&gt;=8,$U39&lt;15),$AB39,0))</f>
        <v>3500</v>
      </c>
      <c r="M39" s="68">
        <f t="shared" ref="M39:M70" ca="1" si="22">IF($B39="","",($AD39-$AE39)+IF(AND($AB39&gt;0,$T39&lt;&gt;"",$U39&gt;=15,$U39&lt;29),$AB39,0))</f>
        <v>7000</v>
      </c>
      <c r="N39" s="68">
        <f t="shared" ref="N39:N70" ca="1" si="23">IF($B39="","",$AE39+IF(AND($AB39&gt;0,OR($T39="",$U39&gt;=29)),$AB39,0))</f>
        <v>19000</v>
      </c>
      <c r="O39" s="86">
        <f t="shared" ref="O39:O70" ca="1" si="24">IF($B39="","",IFERROR($I39/$H39,0))</f>
        <v>0.69805194805194803</v>
      </c>
      <c r="P39" s="70">
        <f>IF($B39="","",IFERROR(LOOKUP(2,1/(TAHSILAT!$C$7:$C$2506=$B39),TAHSILAT!$E$7:$E$2506),""))</f>
        <v>46249</v>
      </c>
      <c r="Q39" s="65" t="str">
        <f t="shared" ref="Q39:Q70" ca="1" si="25">IF($B39="","",IF($N39&gt;0,"KRİTİK",IF($M39&gt;0,"YÜKSEK",IF($L39&gt;0,"ORTA",IF($J39&gt;0,"İZLE","TEMİZ")))))</f>
        <v>KRİTİK</v>
      </c>
      <c r="R39" s="74" t="str">
        <f t="shared" ref="R39:R70" ca="1" si="26">IF($B39="","",IF($Q39="KRİTİK","Acil tahsilat görüşmesi ve cari mutabakat",IF($Q39="YÜKSEK","Bu hafta tahsilat takibi",IF($Q39="ORTA","Hatırlatma mesajı gönder",IF($Q39="İZLE","Normal takip","Aksiyon gerekmiyor")))))</f>
        <v>Acil tahsilat görüşmesi ve cari mutabakat</v>
      </c>
      <c r="S39" s="76">
        <f>IF($B39="","",COUNTIFS(AKTIVITE!$D$7:$D$1006,$B39,AKTIVITE!$J$7:$J$1006,"&lt;&gt;Tamamlandı"))</f>
        <v>0</v>
      </c>
      <c r="T39" s="70" t="str">
        <f>IF(OR($B39="",$AF39=""),"",IF(INDEX(MUSTERILER!$K$7:$K$156,$AF39)="","",INDEX(MUSTERILER!$K$7:$K$156,$AF39)))</f>
        <v/>
      </c>
      <c r="U39" s="76" t="str">
        <f t="shared" ref="U39:U70" ca="1" si="27">IF(OR($B39="",$T39=""),"",TODAY()-$T39)</f>
        <v/>
      </c>
      <c r="V39" s="68">
        <f t="shared" ref="V39:V70" ca="1" si="28">IF($B39="","",MAX(0,$I39-$H39))</f>
        <v>0</v>
      </c>
      <c r="W39" s="65" t="str">
        <f t="shared" ref="W39:W70" ca="1" si="29">IF($B39="","",IF(AND(ABS($J39-($K39+$L39+$M39+$N39))&lt;0.01,ABS(($J39-$V39)-($H39-$I39))&lt;0.01),"UYGUN","İNCELE"))</f>
        <v>UYGUN</v>
      </c>
      <c r="X39" s="2">
        <f ca="1">IF($B39="",0,SUMIFS(UCRETLER!$J$7:$J$606,UCRETLER!$B$7:$B$606,$B39))</f>
        <v>115500</v>
      </c>
      <c r="Y39" s="2">
        <f ca="1">IF($B39="",0,SUMIFS(UCRETLER!$K$7:$K$606,UCRETLER!$B$7:$B$606,$B39))</f>
        <v>112000</v>
      </c>
      <c r="Z39" s="1">
        <f ca="1">IF($B39="",0,SUMIFS(UCRETLER!$L$7:$L$606,UCRETLER!$B$7:$B$606,$B39))</f>
        <v>105000</v>
      </c>
      <c r="AA39" s="1">
        <f t="shared" ref="AA39:AA70" si="30">IF($B39="",0,MAX(0,$I39-$F39))</f>
        <v>86000</v>
      </c>
      <c r="AB39" s="1">
        <f t="shared" ref="AB39:AB70" si="31">IF($B39="",0,MAX(0,$F39-$I39))</f>
        <v>0</v>
      </c>
      <c r="AC39" s="1">
        <f t="shared" ref="AC39:AC70" ca="1" si="32">IF($B39="",0,MAX(0,$X39-$AA39))</f>
        <v>29500</v>
      </c>
      <c r="AD39" s="1">
        <f t="shared" ref="AD39:AD70" ca="1" si="33">IF($B39="",0,MAX(0,$Y39-$AA39))</f>
        <v>26000</v>
      </c>
      <c r="AE39" s="1">
        <f t="shared" ref="AE39:AE70" ca="1" si="34">IF($B39="",0,MAX(0,$Z39-$AA39))</f>
        <v>19000</v>
      </c>
      <c r="AF39" s="1">
        <f>IFERROR(MATCH(ROW()-6,MUSTERILER!$U$7:$U$156,0),"")</f>
        <v>33</v>
      </c>
      <c r="AG39" s="1">
        <f>IF($B39="",0,SUMIFS(GELIR_GIDER!$G$7:$G$3006,GELIR_GIDER!$T$7:$T$3006,$B39))</f>
        <v>4200</v>
      </c>
    </row>
    <row r="40" spans="1:33" ht="18" customHeight="1" x14ac:dyDescent="0.3">
      <c r="A40" s="2"/>
      <c r="B40" s="65" t="str">
        <f>IF($AF40="","",INDEX(MUSTERILER!$B$7:$B$156,$AF40))</f>
        <v>M042</v>
      </c>
      <c r="C40" s="74" t="str">
        <f>IF($AF40="","",INDEX(MUSTERILER!$C$7:$C$156,$AF40))</f>
        <v>MS TOPTAN LTD.ŞTİ.</v>
      </c>
      <c r="D40" s="68">
        <f>IF($B40="","",SUMIFS(UCRETLER!$G$7:$G$606,UCRETLER!$B$7:$B$606,$B40,UCRETLER!$F$7:$F$606,"Haftalık",UCRETLER!$H$7:$H$606,"Aktif"))</f>
        <v>0</v>
      </c>
      <c r="E40" s="68">
        <f>IF($B40="","",SUMIFS(UCRETLER!$G$7:$G$606,UCRETLER!$B$7:$B$606,$B40,UCRETLER!$F$7:$F$606,"Aylık",UCRETLER!$H$7:$H$606,"Aktif"))</f>
        <v>0</v>
      </c>
      <c r="F40" s="68">
        <f>IF($B40="","",SUMIFS(MUSTERILER!$J$7:$J$156,MUSTERILER!$B$7:$B$156,$B40))</f>
        <v>0</v>
      </c>
      <c r="G40" s="68">
        <f ca="1">IF($B40="","",SUMIFS(UCRETLER!$I$7:$I$606,UCRETLER!$B$7:$B$606,$B40)+SUMIFS(GELIR_GIDER!$G$7:$G$3006,GELIR_GIDER!$T$7:$T$3006,$B40))</f>
        <v>0</v>
      </c>
      <c r="H40" s="68">
        <f t="shared" ca="1" si="18"/>
        <v>0</v>
      </c>
      <c r="I40" s="68">
        <f>IF($B40="","",SUMIFS(TAHSILAT!$F$7:$F$2506,TAHSILAT!$C$7:$C$2506,$B40))</f>
        <v>0</v>
      </c>
      <c r="J40" s="68">
        <f t="shared" ca="1" si="19"/>
        <v>0</v>
      </c>
      <c r="K40" s="68">
        <f t="shared" ca="1" si="20"/>
        <v>0</v>
      </c>
      <c r="L40" s="68">
        <f t="shared" ca="1" si="21"/>
        <v>0</v>
      </c>
      <c r="M40" s="68">
        <f t="shared" ca="1" si="22"/>
        <v>0</v>
      </c>
      <c r="N40" s="68">
        <f t="shared" ca="1" si="23"/>
        <v>0</v>
      </c>
      <c r="O40" s="86">
        <f t="shared" ca="1" si="24"/>
        <v>0</v>
      </c>
      <c r="P40" s="70" t="str">
        <f>IF($B40="","",IFERROR(LOOKUP(2,1/(TAHSILAT!$C$7:$C$2506=$B40),TAHSILAT!$E$7:$E$2506),""))</f>
        <v/>
      </c>
      <c r="Q40" s="65" t="str">
        <f t="shared" ca="1" si="25"/>
        <v>TEMİZ</v>
      </c>
      <c r="R40" s="74" t="str">
        <f t="shared" ca="1" si="26"/>
        <v>Aksiyon gerekmiyor</v>
      </c>
      <c r="S40" s="76">
        <f>IF($B40="","",COUNTIFS(AKTIVITE!$D$7:$D$1006,$B40,AKTIVITE!$J$7:$J$1006,"&lt;&gt;Tamamlandı"))</f>
        <v>0</v>
      </c>
      <c r="T40" s="70" t="str">
        <f>IF(OR($B40="",$AF40=""),"",IF(INDEX(MUSTERILER!$K$7:$K$156,$AF40)="","",INDEX(MUSTERILER!$K$7:$K$156,$AF40)))</f>
        <v/>
      </c>
      <c r="U40" s="76" t="str">
        <f t="shared" ca="1" si="27"/>
        <v/>
      </c>
      <c r="V40" s="68">
        <f t="shared" ca="1" si="28"/>
        <v>0</v>
      </c>
      <c r="W40" s="65" t="str">
        <f t="shared" ca="1" si="29"/>
        <v>UYGUN</v>
      </c>
      <c r="X40" s="2">
        <f ca="1">IF($B40="",0,SUMIFS(UCRETLER!$J$7:$J$606,UCRETLER!$B$7:$B$606,$B40))</f>
        <v>0</v>
      </c>
      <c r="Y40" s="2">
        <f ca="1">IF($B40="",0,SUMIFS(UCRETLER!$K$7:$K$606,UCRETLER!$B$7:$B$606,$B40))</f>
        <v>0</v>
      </c>
      <c r="Z40" s="1">
        <f ca="1">IF($B40="",0,SUMIFS(UCRETLER!$L$7:$L$606,UCRETLER!$B$7:$B$606,$B40))</f>
        <v>0</v>
      </c>
      <c r="AA40" s="1">
        <f t="shared" si="30"/>
        <v>0</v>
      </c>
      <c r="AB40" s="1">
        <f t="shared" si="31"/>
        <v>0</v>
      </c>
      <c r="AC40" s="1">
        <f t="shared" ca="1" si="32"/>
        <v>0</v>
      </c>
      <c r="AD40" s="1">
        <f t="shared" ca="1" si="33"/>
        <v>0</v>
      </c>
      <c r="AE40" s="1">
        <f t="shared" ca="1" si="34"/>
        <v>0</v>
      </c>
      <c r="AF40" s="1">
        <f>IFERROR(MATCH(ROW()-6,MUSTERILER!$U$7:$U$156,0),"")</f>
        <v>34</v>
      </c>
      <c r="AG40" s="1">
        <f>IF($B40="",0,SUMIFS(GELIR_GIDER!$G$7:$G$3006,GELIR_GIDER!$T$7:$T$3006,$B40))</f>
        <v>0</v>
      </c>
    </row>
    <row r="41" spans="1:33" ht="18" customHeight="1" x14ac:dyDescent="0.3">
      <c r="A41" s="2"/>
      <c r="B41" s="65" t="str">
        <f>IF($AF41="","",INDEX(MUSTERILER!$B$7:$B$156,$AF41))</f>
        <v>M044</v>
      </c>
      <c r="C41" s="74" t="str">
        <f>IF($AF41="","",INDEX(MUSTERILER!$C$7:$C$156,$AF41))</f>
        <v>MUSTAFA KOLBAŞI</v>
      </c>
      <c r="D41" s="68">
        <f>IF($B41="","",SUMIFS(UCRETLER!$G$7:$G$606,UCRETLER!$B$7:$B$606,$B41,UCRETLER!$F$7:$F$606,"Haftalık",UCRETLER!$H$7:$H$606,"Aktif"))</f>
        <v>0</v>
      </c>
      <c r="E41" s="68">
        <f>IF($B41="","",SUMIFS(UCRETLER!$G$7:$G$606,UCRETLER!$B$7:$B$606,$B41,UCRETLER!$F$7:$F$606,"Aylık",UCRETLER!$H$7:$H$606,"Aktif"))</f>
        <v>3000</v>
      </c>
      <c r="F41" s="68">
        <f>IF($B41="","",SUMIFS(MUSTERILER!$J$7:$J$156,MUSTERILER!$B$7:$B$156,$B41))</f>
        <v>0</v>
      </c>
      <c r="G41" s="68">
        <f ca="1">IF($B41="","",SUMIFS(UCRETLER!$I$7:$I$606,UCRETLER!$B$7:$B$606,$B41)+SUMIFS(GELIR_GIDER!$G$7:$G$3006,GELIR_GIDER!$T$7:$T$3006,$B41))</f>
        <v>21000</v>
      </c>
      <c r="H41" s="68">
        <f t="shared" ca="1" si="18"/>
        <v>21000</v>
      </c>
      <c r="I41" s="68">
        <f>IF($B41="","",SUMIFS(TAHSILAT!$F$7:$F$2506,TAHSILAT!$C$7:$C$2506,$B41))</f>
        <v>15000</v>
      </c>
      <c r="J41" s="68">
        <f t="shared" ca="1" si="19"/>
        <v>6000</v>
      </c>
      <c r="K41" s="68">
        <f t="shared" ca="1" si="20"/>
        <v>0</v>
      </c>
      <c r="L41" s="68">
        <f t="shared" ca="1" si="21"/>
        <v>0</v>
      </c>
      <c r="M41" s="68">
        <f t="shared" ca="1" si="22"/>
        <v>3000</v>
      </c>
      <c r="N41" s="68">
        <f t="shared" ca="1" si="23"/>
        <v>3000</v>
      </c>
      <c r="O41" s="86">
        <f t="shared" ca="1" si="24"/>
        <v>0.7142857142857143</v>
      </c>
      <c r="P41" s="70">
        <f>IF($B41="","",IFERROR(LOOKUP(2,1/(TAHSILAT!$C$7:$C$2506=$B41),TAHSILAT!$E$7:$E$2506),""))</f>
        <v>46252</v>
      </c>
      <c r="Q41" s="65" t="str">
        <f t="shared" ca="1" si="25"/>
        <v>KRİTİK</v>
      </c>
      <c r="R41" s="74" t="str">
        <f t="shared" ca="1" si="26"/>
        <v>Acil tahsilat görüşmesi ve cari mutabakat</v>
      </c>
      <c r="S41" s="76">
        <f>IF($B41="","",COUNTIFS(AKTIVITE!$D$7:$D$1006,$B41,AKTIVITE!$J$7:$J$1006,"&lt;&gt;Tamamlandı"))</f>
        <v>0</v>
      </c>
      <c r="T41" s="70" t="str">
        <f>IF(OR($B41="",$AF41=""),"",IF(INDEX(MUSTERILER!$K$7:$K$156,$AF41)="","",INDEX(MUSTERILER!$K$7:$K$156,$AF41)))</f>
        <v/>
      </c>
      <c r="U41" s="76" t="str">
        <f t="shared" ca="1" si="27"/>
        <v/>
      </c>
      <c r="V41" s="68">
        <f t="shared" ca="1" si="28"/>
        <v>0</v>
      </c>
      <c r="W41" s="65" t="str">
        <f t="shared" ca="1" si="29"/>
        <v>UYGUN</v>
      </c>
      <c r="X41" s="2">
        <f ca="1">IF($B41="",0,SUMIFS(UCRETLER!$J$7:$J$606,UCRETLER!$B$7:$B$606,$B41))</f>
        <v>21000</v>
      </c>
      <c r="Y41" s="2">
        <f ca="1">IF($B41="",0,SUMIFS(UCRETLER!$K$7:$K$606,UCRETLER!$B$7:$B$606,$B41))</f>
        <v>21000</v>
      </c>
      <c r="Z41" s="1">
        <f ca="1">IF($B41="",0,SUMIFS(UCRETLER!$L$7:$L$606,UCRETLER!$B$7:$B$606,$B41))</f>
        <v>18000</v>
      </c>
      <c r="AA41" s="1">
        <f t="shared" si="30"/>
        <v>15000</v>
      </c>
      <c r="AB41" s="1">
        <f t="shared" si="31"/>
        <v>0</v>
      </c>
      <c r="AC41" s="1">
        <f t="shared" ca="1" si="32"/>
        <v>6000</v>
      </c>
      <c r="AD41" s="1">
        <f t="shared" ca="1" si="33"/>
        <v>6000</v>
      </c>
      <c r="AE41" s="1">
        <f t="shared" ca="1" si="34"/>
        <v>3000</v>
      </c>
      <c r="AF41" s="1">
        <f>IFERROR(MATCH(ROW()-6,MUSTERILER!$U$7:$U$156,0),"")</f>
        <v>35</v>
      </c>
      <c r="AG41" s="1">
        <f>IF($B41="",0,SUMIFS(GELIR_GIDER!$G$7:$G$3006,GELIR_GIDER!$T$7:$T$3006,$B41))</f>
        <v>0</v>
      </c>
    </row>
    <row r="42" spans="1:33" ht="18" customHeight="1" x14ac:dyDescent="0.3">
      <c r="A42" s="2"/>
      <c r="B42" s="65" t="str">
        <f>IF($AF42="","",INDEX(MUSTERILER!$B$7:$B$156,$AF42))</f>
        <v>M043</v>
      </c>
      <c r="C42" s="74" t="str">
        <f>IF($AF42="","",INDEX(MUSTERILER!$C$7:$C$156,$AF42))</f>
        <v>MUSTAFA UMUT KOYUN</v>
      </c>
      <c r="D42" s="68">
        <f>IF($B42="","",SUMIFS(UCRETLER!$G$7:$G$606,UCRETLER!$B$7:$B$606,$B42,UCRETLER!$F$7:$F$606,"Haftalık",UCRETLER!$H$7:$H$606,"Aktif"))</f>
        <v>0</v>
      </c>
      <c r="E42" s="68">
        <f>IF($B42="","",SUMIFS(UCRETLER!$G$7:$G$606,UCRETLER!$B$7:$B$606,$B42,UCRETLER!$F$7:$F$606,"Aylık",UCRETLER!$H$7:$H$606,"Aktif"))</f>
        <v>2000</v>
      </c>
      <c r="F42" s="68">
        <f>IF($B42="","",SUMIFS(MUSTERILER!$J$7:$J$156,MUSTERILER!$B$7:$B$156,$B42))</f>
        <v>0</v>
      </c>
      <c r="G42" s="68">
        <f ca="1">IF($B42="","",SUMIFS(UCRETLER!$I$7:$I$606,UCRETLER!$B$7:$B$606,$B42)+SUMIFS(GELIR_GIDER!$G$7:$G$3006,GELIR_GIDER!$T$7:$T$3006,$B42))</f>
        <v>14000</v>
      </c>
      <c r="H42" s="68">
        <f t="shared" ca="1" si="18"/>
        <v>14000</v>
      </c>
      <c r="I42" s="68">
        <f>IF($B42="","",SUMIFS(TAHSILAT!$F$7:$F$2506,TAHSILAT!$C$7:$C$2506,$B42))</f>
        <v>6000</v>
      </c>
      <c r="J42" s="68">
        <f t="shared" ca="1" si="19"/>
        <v>8000</v>
      </c>
      <c r="K42" s="68">
        <f t="shared" ca="1" si="20"/>
        <v>0</v>
      </c>
      <c r="L42" s="68">
        <f t="shared" ca="1" si="21"/>
        <v>0</v>
      </c>
      <c r="M42" s="68">
        <f t="shared" ca="1" si="22"/>
        <v>2000</v>
      </c>
      <c r="N42" s="68">
        <f t="shared" ca="1" si="23"/>
        <v>6000</v>
      </c>
      <c r="O42" s="86">
        <f t="shared" ca="1" si="24"/>
        <v>0.42857142857142855</v>
      </c>
      <c r="P42" s="70">
        <f>IF($B42="","",IFERROR(LOOKUP(2,1/(TAHSILAT!$C$7:$C$2506=$B42),TAHSILAT!$E$7:$E$2506),""))</f>
        <v>46141</v>
      </c>
      <c r="Q42" s="65" t="str">
        <f t="shared" ca="1" si="25"/>
        <v>KRİTİK</v>
      </c>
      <c r="R42" s="74" t="str">
        <f t="shared" ca="1" si="26"/>
        <v>Acil tahsilat görüşmesi ve cari mutabakat</v>
      </c>
      <c r="S42" s="76">
        <f>IF($B42="","",COUNTIFS(AKTIVITE!$D$7:$D$1006,$B42,AKTIVITE!$J$7:$J$1006,"&lt;&gt;Tamamlandı"))</f>
        <v>0</v>
      </c>
      <c r="T42" s="70" t="str">
        <f>IF(OR($B42="",$AF42=""),"",IF(INDEX(MUSTERILER!$K$7:$K$156,$AF42)="","",INDEX(MUSTERILER!$K$7:$K$156,$AF42)))</f>
        <v/>
      </c>
      <c r="U42" s="76" t="str">
        <f t="shared" ca="1" si="27"/>
        <v/>
      </c>
      <c r="V42" s="68">
        <f t="shared" ca="1" si="28"/>
        <v>0</v>
      </c>
      <c r="W42" s="65" t="str">
        <f t="shared" ca="1" si="29"/>
        <v>UYGUN</v>
      </c>
      <c r="X42" s="2">
        <f ca="1">IF($B42="",0,SUMIFS(UCRETLER!$J$7:$J$606,UCRETLER!$B$7:$B$606,$B42))</f>
        <v>14000</v>
      </c>
      <c r="Y42" s="2">
        <f ca="1">IF($B42="",0,SUMIFS(UCRETLER!$K$7:$K$606,UCRETLER!$B$7:$B$606,$B42))</f>
        <v>14000</v>
      </c>
      <c r="Z42" s="1">
        <f ca="1">IF($B42="",0,SUMIFS(UCRETLER!$L$7:$L$606,UCRETLER!$B$7:$B$606,$B42))</f>
        <v>12000</v>
      </c>
      <c r="AA42" s="1">
        <f t="shared" si="30"/>
        <v>6000</v>
      </c>
      <c r="AB42" s="1">
        <f t="shared" si="31"/>
        <v>0</v>
      </c>
      <c r="AC42" s="1">
        <f t="shared" ca="1" si="32"/>
        <v>8000</v>
      </c>
      <c r="AD42" s="1">
        <f t="shared" ca="1" si="33"/>
        <v>8000</v>
      </c>
      <c r="AE42" s="1">
        <f t="shared" ca="1" si="34"/>
        <v>6000</v>
      </c>
      <c r="AF42" s="1">
        <f>IFERROR(MATCH(ROW()-6,MUSTERILER!$U$7:$U$156,0),"")</f>
        <v>36</v>
      </c>
      <c r="AG42" s="1">
        <f>IF($B42="",0,SUMIFS(GELIR_GIDER!$G$7:$G$3006,GELIR_GIDER!$T$7:$T$3006,$B42))</f>
        <v>0</v>
      </c>
    </row>
    <row r="43" spans="1:33" ht="18" customHeight="1" x14ac:dyDescent="0.3">
      <c r="A43" s="2"/>
      <c r="B43" s="65" t="str">
        <f>IF($AF43="","",INDEX(MUSTERILER!$B$7:$B$156,$AF43))</f>
        <v>M013</v>
      </c>
      <c r="C43" s="74" t="str">
        <f>IF($AF43="","",INDEX(MUSTERILER!$C$7:$C$156,$AF43))</f>
        <v>NAZ 1 GIDA LTD.ŞTİ.</v>
      </c>
      <c r="D43" s="68">
        <f>IF($B43="","",SUMIFS(UCRETLER!$G$7:$G$606,UCRETLER!$B$7:$B$606,$B43,UCRETLER!$F$7:$F$606,"Haftalık",UCRETLER!$H$7:$H$606,"Aktif"))</f>
        <v>2000</v>
      </c>
      <c r="E43" s="68">
        <f>IF($B43="","",SUMIFS(UCRETLER!$G$7:$G$606,UCRETLER!$B$7:$B$606,$B43,UCRETLER!$F$7:$F$606,"Aylık",UCRETLER!$H$7:$H$606,"Aktif"))</f>
        <v>0</v>
      </c>
      <c r="F43" s="68">
        <f>IF($B43="","",SUMIFS(MUSTERILER!$J$7:$J$156,MUSTERILER!$B$7:$B$156,$B43))</f>
        <v>0</v>
      </c>
      <c r="G43" s="68">
        <f ca="1">IF($B43="","",SUMIFS(UCRETLER!$I$7:$I$606,UCRETLER!$B$7:$B$606,$B43)+SUMIFS(GELIR_GIDER!$G$7:$G$3006,GELIR_GIDER!$T$7:$T$3006,$B43))</f>
        <v>72200</v>
      </c>
      <c r="H43" s="68">
        <f t="shared" ca="1" si="18"/>
        <v>72200</v>
      </c>
      <c r="I43" s="68">
        <f>IF($B43="","",SUMIFS(TAHSILAT!$F$7:$F$2506,TAHSILAT!$C$7:$C$2506,$B43))</f>
        <v>66000</v>
      </c>
      <c r="J43" s="68">
        <f t="shared" ca="1" si="19"/>
        <v>6200</v>
      </c>
      <c r="K43" s="68">
        <f t="shared" ca="1" si="20"/>
        <v>6200</v>
      </c>
      <c r="L43" s="68">
        <f t="shared" ca="1" si="21"/>
        <v>0</v>
      </c>
      <c r="M43" s="68">
        <f t="shared" ca="1" si="22"/>
        <v>0</v>
      </c>
      <c r="N43" s="68">
        <f t="shared" ca="1" si="23"/>
        <v>0</v>
      </c>
      <c r="O43" s="86">
        <f t="shared" ca="1" si="24"/>
        <v>0.91412742382271472</v>
      </c>
      <c r="P43" s="70">
        <f>IF($B43="","",IFERROR(LOOKUP(2,1/(TAHSILAT!$C$7:$C$2506=$B43),TAHSILAT!$E$7:$E$2506),""))</f>
        <v>46249</v>
      </c>
      <c r="Q43" s="65" t="str">
        <f t="shared" ca="1" si="25"/>
        <v>İZLE</v>
      </c>
      <c r="R43" s="74" t="str">
        <f t="shared" ca="1" si="26"/>
        <v>Normal takip</v>
      </c>
      <c r="S43" s="76">
        <f>IF($B43="","",COUNTIFS(AKTIVITE!$D$7:$D$1006,$B43,AKTIVITE!$J$7:$J$1006,"&lt;&gt;Tamamlandı"))</f>
        <v>0</v>
      </c>
      <c r="T43" s="70" t="str">
        <f>IF(OR($B43="",$AF43=""),"",IF(INDEX(MUSTERILER!$K$7:$K$156,$AF43)="","",INDEX(MUSTERILER!$K$7:$K$156,$AF43)))</f>
        <v/>
      </c>
      <c r="U43" s="76" t="str">
        <f t="shared" ca="1" si="27"/>
        <v/>
      </c>
      <c r="V43" s="68">
        <f t="shared" ca="1" si="28"/>
        <v>0</v>
      </c>
      <c r="W43" s="65" t="str">
        <f t="shared" ca="1" si="29"/>
        <v>UYGUN</v>
      </c>
      <c r="X43" s="2">
        <f ca="1">IF($B43="",0,SUMIFS(UCRETLER!$J$7:$J$606,UCRETLER!$B$7:$B$606,$B43))</f>
        <v>66000</v>
      </c>
      <c r="Y43" s="2">
        <f ca="1">IF($B43="",0,SUMIFS(UCRETLER!$K$7:$K$606,UCRETLER!$B$7:$B$606,$B43))</f>
        <v>64000</v>
      </c>
      <c r="Z43" s="1">
        <f ca="1">IF($B43="",0,SUMIFS(UCRETLER!$L$7:$L$606,UCRETLER!$B$7:$B$606,$B43))</f>
        <v>60000</v>
      </c>
      <c r="AA43" s="1">
        <f t="shared" si="30"/>
        <v>66000</v>
      </c>
      <c r="AB43" s="1">
        <f t="shared" si="31"/>
        <v>0</v>
      </c>
      <c r="AC43" s="1">
        <f t="shared" ca="1" si="32"/>
        <v>0</v>
      </c>
      <c r="AD43" s="1">
        <f t="shared" ca="1" si="33"/>
        <v>0</v>
      </c>
      <c r="AE43" s="1">
        <f t="shared" ca="1" si="34"/>
        <v>0</v>
      </c>
      <c r="AF43" s="1">
        <f>IFERROR(MATCH(ROW()-6,MUSTERILER!$U$7:$U$156,0),"")</f>
        <v>37</v>
      </c>
      <c r="AG43" s="1">
        <f>IF($B43="",0,SUMIFS(GELIR_GIDER!$G$7:$G$3006,GELIR_GIDER!$T$7:$T$3006,$B43))</f>
        <v>4200</v>
      </c>
    </row>
    <row r="44" spans="1:33" ht="18" customHeight="1" x14ac:dyDescent="0.3">
      <c r="A44" s="2"/>
      <c r="B44" s="65" t="str">
        <f>IF($AF44="","",INDEX(MUSTERILER!$B$7:$B$156,$AF44))</f>
        <v>M045</v>
      </c>
      <c r="C44" s="74" t="str">
        <f>IF($AF44="","",INDEX(MUSTERILER!$C$7:$C$156,$AF44))</f>
        <v>NERO E TİCARET LTD.ŞTİ.</v>
      </c>
      <c r="D44" s="68">
        <f>IF($B44="","",SUMIFS(UCRETLER!$G$7:$G$606,UCRETLER!$B$7:$B$606,$B44,UCRETLER!$F$7:$F$606,"Haftalık",UCRETLER!$H$7:$H$606,"Aktif"))</f>
        <v>0</v>
      </c>
      <c r="E44" s="68">
        <f>IF($B44="","",SUMIFS(UCRETLER!$G$7:$G$606,UCRETLER!$B$7:$B$606,$B44,UCRETLER!$F$7:$F$606,"Aylık",UCRETLER!$H$7:$H$606,"Aktif"))</f>
        <v>7500</v>
      </c>
      <c r="F44" s="68">
        <f>IF($B44="","",SUMIFS(MUSTERILER!$J$7:$J$156,MUSTERILER!$B$7:$B$156,$B44))</f>
        <v>0</v>
      </c>
      <c r="G44" s="68">
        <f ca="1">IF($B44="","",SUMIFS(UCRETLER!$I$7:$I$606,UCRETLER!$B$7:$B$606,$B44)+SUMIFS(GELIR_GIDER!$G$7:$G$3006,GELIR_GIDER!$T$7:$T$3006,$B44))</f>
        <v>52500</v>
      </c>
      <c r="H44" s="68">
        <f t="shared" ca="1" si="18"/>
        <v>52500</v>
      </c>
      <c r="I44" s="68">
        <f>IF($B44="","",SUMIFS(TAHSILAT!$F$7:$F$2506,TAHSILAT!$C$7:$C$2506,$B44))</f>
        <v>7500</v>
      </c>
      <c r="J44" s="68">
        <f t="shared" ca="1" si="19"/>
        <v>45000</v>
      </c>
      <c r="K44" s="68">
        <f t="shared" ca="1" si="20"/>
        <v>0</v>
      </c>
      <c r="L44" s="68">
        <f t="shared" ca="1" si="21"/>
        <v>0</v>
      </c>
      <c r="M44" s="68">
        <f t="shared" ca="1" si="22"/>
        <v>7500</v>
      </c>
      <c r="N44" s="68">
        <f t="shared" ca="1" si="23"/>
        <v>37500</v>
      </c>
      <c r="O44" s="86">
        <f t="shared" ca="1" si="24"/>
        <v>0.14285714285714285</v>
      </c>
      <c r="P44" s="70">
        <f>IF($B44="","",IFERROR(LOOKUP(2,1/(TAHSILAT!$C$7:$C$2506=$B44),TAHSILAT!$E$7:$E$2506),""))</f>
        <v>46053</v>
      </c>
      <c r="Q44" s="65" t="str">
        <f t="shared" ca="1" si="25"/>
        <v>KRİTİK</v>
      </c>
      <c r="R44" s="74" t="str">
        <f t="shared" ca="1" si="26"/>
        <v>Acil tahsilat görüşmesi ve cari mutabakat</v>
      </c>
      <c r="S44" s="76">
        <f>IF($B44="","",COUNTIFS(AKTIVITE!$D$7:$D$1006,$B44,AKTIVITE!$J$7:$J$1006,"&lt;&gt;Tamamlandı"))</f>
        <v>0</v>
      </c>
      <c r="T44" s="70" t="str">
        <f>IF(OR($B44="",$AF44=""),"",IF(INDEX(MUSTERILER!$K$7:$K$156,$AF44)="","",INDEX(MUSTERILER!$K$7:$K$156,$AF44)))</f>
        <v/>
      </c>
      <c r="U44" s="76" t="str">
        <f t="shared" ca="1" si="27"/>
        <v/>
      </c>
      <c r="V44" s="68">
        <f t="shared" ca="1" si="28"/>
        <v>0</v>
      </c>
      <c r="W44" s="65" t="str">
        <f t="shared" ca="1" si="29"/>
        <v>UYGUN</v>
      </c>
      <c r="X44" s="2">
        <f ca="1">IF($B44="",0,SUMIFS(UCRETLER!$J$7:$J$606,UCRETLER!$B$7:$B$606,$B44))</f>
        <v>52500</v>
      </c>
      <c r="Y44" s="2">
        <f ca="1">IF($B44="",0,SUMIFS(UCRETLER!$K$7:$K$606,UCRETLER!$B$7:$B$606,$B44))</f>
        <v>52500</v>
      </c>
      <c r="Z44" s="1">
        <f ca="1">IF($B44="",0,SUMIFS(UCRETLER!$L$7:$L$606,UCRETLER!$B$7:$B$606,$B44))</f>
        <v>45000</v>
      </c>
      <c r="AA44" s="1">
        <f t="shared" si="30"/>
        <v>7500</v>
      </c>
      <c r="AB44" s="1">
        <f t="shared" si="31"/>
        <v>0</v>
      </c>
      <c r="AC44" s="1">
        <f t="shared" ca="1" si="32"/>
        <v>45000</v>
      </c>
      <c r="AD44" s="1">
        <f t="shared" ca="1" si="33"/>
        <v>45000</v>
      </c>
      <c r="AE44" s="1">
        <f t="shared" ca="1" si="34"/>
        <v>37500</v>
      </c>
      <c r="AF44" s="1">
        <f>IFERROR(MATCH(ROW()-6,MUSTERILER!$U$7:$U$156,0),"")</f>
        <v>38</v>
      </c>
      <c r="AG44" s="1">
        <f>IF($B44="",0,SUMIFS(GELIR_GIDER!$G$7:$G$3006,GELIR_GIDER!$T$7:$T$3006,$B44))</f>
        <v>0</v>
      </c>
    </row>
    <row r="45" spans="1:33" ht="18" customHeight="1" x14ac:dyDescent="0.3">
      <c r="A45" s="2"/>
      <c r="B45" s="65" t="str">
        <f>IF($AF45="","",INDEX(MUSTERILER!$B$7:$B$156,$AF45))</f>
        <v>M046</v>
      </c>
      <c r="C45" s="74" t="str">
        <f>IF($AF45="","",INDEX(MUSTERILER!$C$7:$C$156,$AF45))</f>
        <v>ÖMER DEMİRCİ</v>
      </c>
      <c r="D45" s="68">
        <f>IF($B45="","",SUMIFS(UCRETLER!$G$7:$G$606,UCRETLER!$B$7:$B$606,$B45,UCRETLER!$F$7:$F$606,"Haftalık",UCRETLER!$H$7:$H$606,"Aktif"))</f>
        <v>0</v>
      </c>
      <c r="E45" s="68">
        <f>IF($B45="","",SUMIFS(UCRETLER!$G$7:$G$606,UCRETLER!$B$7:$B$606,$B45,UCRETLER!$F$7:$F$606,"Aylık",UCRETLER!$H$7:$H$606,"Aktif"))</f>
        <v>3500</v>
      </c>
      <c r="F45" s="68">
        <f>IF($B45="","",SUMIFS(MUSTERILER!$J$7:$J$156,MUSTERILER!$B$7:$B$156,$B45))</f>
        <v>0</v>
      </c>
      <c r="G45" s="68">
        <f ca="1">IF($B45="","",SUMIFS(UCRETLER!$I$7:$I$606,UCRETLER!$B$7:$B$606,$B45)+SUMIFS(GELIR_GIDER!$G$7:$G$3006,GELIR_GIDER!$T$7:$T$3006,$B45))</f>
        <v>10500</v>
      </c>
      <c r="H45" s="68">
        <f t="shared" ca="1" si="18"/>
        <v>10500</v>
      </c>
      <c r="I45" s="68">
        <f>IF($B45="","",SUMIFS(TAHSILAT!$F$7:$F$2506,TAHSILAT!$C$7:$C$2506,$B45))</f>
        <v>7000</v>
      </c>
      <c r="J45" s="68">
        <f t="shared" ca="1" si="19"/>
        <v>3500</v>
      </c>
      <c r="K45" s="68">
        <f t="shared" ca="1" si="20"/>
        <v>0</v>
      </c>
      <c r="L45" s="68">
        <f t="shared" ca="1" si="21"/>
        <v>0</v>
      </c>
      <c r="M45" s="68">
        <f t="shared" ca="1" si="22"/>
        <v>3500</v>
      </c>
      <c r="N45" s="68">
        <f t="shared" ca="1" si="23"/>
        <v>0</v>
      </c>
      <c r="O45" s="86">
        <f t="shared" ca="1" si="24"/>
        <v>0.66666666666666663</v>
      </c>
      <c r="P45" s="70">
        <f>IF($B45="","",IFERROR(LOOKUP(2,1/(TAHSILAT!$C$7:$C$2506=$B45),TAHSILAT!$E$7:$E$2506),""))</f>
        <v>46221</v>
      </c>
      <c r="Q45" s="65" t="str">
        <f t="shared" ca="1" si="25"/>
        <v>YÜKSEK</v>
      </c>
      <c r="R45" s="74" t="str">
        <f t="shared" ca="1" si="26"/>
        <v>Bu hafta tahsilat takibi</v>
      </c>
      <c r="S45" s="76">
        <f>IF($B45="","",COUNTIFS(AKTIVITE!$D$7:$D$1006,$B45,AKTIVITE!$J$7:$J$1006,"&lt;&gt;Tamamlandı"))</f>
        <v>0</v>
      </c>
      <c r="T45" s="70" t="str">
        <f>IF(OR($B45="",$AF45=""),"",IF(INDEX(MUSTERILER!$K$7:$K$156,$AF45)="","",INDEX(MUSTERILER!$K$7:$K$156,$AF45)))</f>
        <v/>
      </c>
      <c r="U45" s="76" t="str">
        <f t="shared" ca="1" si="27"/>
        <v/>
      </c>
      <c r="V45" s="68">
        <f t="shared" ca="1" si="28"/>
        <v>0</v>
      </c>
      <c r="W45" s="65" t="str">
        <f t="shared" ca="1" si="29"/>
        <v>UYGUN</v>
      </c>
      <c r="X45" s="2">
        <f ca="1">IF($B45="",0,SUMIFS(UCRETLER!$J$7:$J$606,UCRETLER!$B$7:$B$606,$B45))</f>
        <v>10500</v>
      </c>
      <c r="Y45" s="2">
        <f ca="1">IF($B45="",0,SUMIFS(UCRETLER!$K$7:$K$606,UCRETLER!$B$7:$B$606,$B45))</f>
        <v>10500</v>
      </c>
      <c r="Z45" s="1">
        <f ca="1">IF($B45="",0,SUMIFS(UCRETLER!$L$7:$L$606,UCRETLER!$B$7:$B$606,$B45))</f>
        <v>7000</v>
      </c>
      <c r="AA45" s="1">
        <f t="shared" si="30"/>
        <v>7000</v>
      </c>
      <c r="AB45" s="1">
        <f t="shared" si="31"/>
        <v>0</v>
      </c>
      <c r="AC45" s="1">
        <f t="shared" ca="1" si="32"/>
        <v>3500</v>
      </c>
      <c r="AD45" s="1">
        <f t="shared" ca="1" si="33"/>
        <v>3500</v>
      </c>
      <c r="AE45" s="1">
        <f t="shared" ca="1" si="34"/>
        <v>0</v>
      </c>
      <c r="AF45" s="1">
        <f>IFERROR(MATCH(ROW()-6,MUSTERILER!$U$7:$U$156,0),"")</f>
        <v>39</v>
      </c>
      <c r="AG45" s="1">
        <f>IF($B45="",0,SUMIFS(GELIR_GIDER!$G$7:$G$3006,GELIR_GIDER!$T$7:$T$3006,$B45))</f>
        <v>0</v>
      </c>
    </row>
    <row r="46" spans="1:33" ht="18" customHeight="1" x14ac:dyDescent="0.3">
      <c r="A46" s="2"/>
      <c r="B46" s="65" t="str">
        <f>IF($AF46="","",INDEX(MUSTERILER!$B$7:$B$156,$AF46))</f>
        <v>M010</v>
      </c>
      <c r="C46" s="74" t="str">
        <f>IF($AF46="","",INDEX(MUSTERILER!$C$7:$C$156,$AF46))</f>
        <v>ÖZFİDANLAR LTD.ŞTİ.</v>
      </c>
      <c r="D46" s="68">
        <f>IF($B46="","",SUMIFS(UCRETLER!$G$7:$G$606,UCRETLER!$B$7:$B$606,$B46,UCRETLER!$F$7:$F$606,"Haftalık",UCRETLER!$H$7:$H$606,"Aktif"))</f>
        <v>4000</v>
      </c>
      <c r="E46" s="68">
        <f>IF($B46="","",SUMIFS(UCRETLER!$G$7:$G$606,UCRETLER!$B$7:$B$606,$B46,UCRETLER!$F$7:$F$606,"Aylık",UCRETLER!$H$7:$H$606,"Aktif"))</f>
        <v>0</v>
      </c>
      <c r="F46" s="68">
        <f>IF($B46="","",SUMIFS(MUSTERILER!$J$7:$J$156,MUSTERILER!$B$7:$B$156,$B46))</f>
        <v>0</v>
      </c>
      <c r="G46" s="68">
        <f ca="1">IF($B46="","",SUMIFS(UCRETLER!$I$7:$I$606,UCRETLER!$B$7:$B$606,$B46)+SUMIFS(GELIR_GIDER!$G$7:$G$3006,GELIR_GIDER!$T$7:$T$3006,$B46))</f>
        <v>136000</v>
      </c>
      <c r="H46" s="68">
        <f t="shared" ca="1" si="18"/>
        <v>136000</v>
      </c>
      <c r="I46" s="68">
        <f>IF($B46="","",SUMIFS(TAHSILAT!$F$7:$F$2506,TAHSILAT!$C$7:$C$2506,$B46))</f>
        <v>28000</v>
      </c>
      <c r="J46" s="68">
        <f t="shared" ca="1" si="19"/>
        <v>108000</v>
      </c>
      <c r="K46" s="68">
        <f t="shared" ca="1" si="20"/>
        <v>4000</v>
      </c>
      <c r="L46" s="68">
        <f t="shared" ca="1" si="21"/>
        <v>4000</v>
      </c>
      <c r="M46" s="68">
        <f t="shared" ca="1" si="22"/>
        <v>8000</v>
      </c>
      <c r="N46" s="68">
        <f t="shared" ca="1" si="23"/>
        <v>92000</v>
      </c>
      <c r="O46" s="86">
        <f t="shared" ca="1" si="24"/>
        <v>0.20588235294117646</v>
      </c>
      <c r="P46" s="70">
        <f>IF($B46="","",IFERROR(LOOKUP(2,1/(TAHSILAT!$C$7:$C$2506=$B46),TAHSILAT!$E$7:$E$2506),""))</f>
        <v>46088</v>
      </c>
      <c r="Q46" s="65" t="str">
        <f t="shared" ca="1" si="25"/>
        <v>KRİTİK</v>
      </c>
      <c r="R46" s="74" t="str">
        <f t="shared" ca="1" si="26"/>
        <v>Acil tahsilat görüşmesi ve cari mutabakat</v>
      </c>
      <c r="S46" s="76">
        <f>IF($B46="","",COUNTIFS(AKTIVITE!$D$7:$D$1006,$B46,AKTIVITE!$J$7:$J$1006,"&lt;&gt;Tamamlandı"))</f>
        <v>0</v>
      </c>
      <c r="T46" s="70" t="str">
        <f>IF(OR($B46="",$AF46=""),"",IF(INDEX(MUSTERILER!$K$7:$K$156,$AF46)="","",INDEX(MUSTERILER!$K$7:$K$156,$AF46)))</f>
        <v/>
      </c>
      <c r="U46" s="76" t="str">
        <f t="shared" ca="1" si="27"/>
        <v/>
      </c>
      <c r="V46" s="68">
        <f t="shared" ca="1" si="28"/>
        <v>0</v>
      </c>
      <c r="W46" s="65" t="str">
        <f t="shared" ca="1" si="29"/>
        <v>UYGUN</v>
      </c>
      <c r="X46" s="2">
        <f ca="1">IF($B46="",0,SUMIFS(UCRETLER!$J$7:$J$606,UCRETLER!$B$7:$B$606,$B46))</f>
        <v>132000</v>
      </c>
      <c r="Y46" s="2">
        <f ca="1">IF($B46="",0,SUMIFS(UCRETLER!$K$7:$K$606,UCRETLER!$B$7:$B$606,$B46))</f>
        <v>128000</v>
      </c>
      <c r="Z46" s="1">
        <f ca="1">IF($B46="",0,SUMIFS(UCRETLER!$L$7:$L$606,UCRETLER!$B$7:$B$606,$B46))</f>
        <v>120000</v>
      </c>
      <c r="AA46" s="1">
        <f t="shared" si="30"/>
        <v>28000</v>
      </c>
      <c r="AB46" s="1">
        <f t="shared" si="31"/>
        <v>0</v>
      </c>
      <c r="AC46" s="1">
        <f t="shared" ca="1" si="32"/>
        <v>104000</v>
      </c>
      <c r="AD46" s="1">
        <f t="shared" ca="1" si="33"/>
        <v>100000</v>
      </c>
      <c r="AE46" s="1">
        <f t="shared" ca="1" si="34"/>
        <v>92000</v>
      </c>
      <c r="AF46" s="1">
        <f>IFERROR(MATCH(ROW()-6,MUSTERILER!$U$7:$U$156,0),"")</f>
        <v>40</v>
      </c>
      <c r="AG46" s="1">
        <f>IF($B46="",0,SUMIFS(GELIR_GIDER!$G$7:$G$3006,GELIR_GIDER!$T$7:$T$3006,$B46))</f>
        <v>0</v>
      </c>
    </row>
    <row r="47" spans="1:33" ht="18" customHeight="1" x14ac:dyDescent="0.3">
      <c r="A47" s="2"/>
      <c r="B47" s="65" t="str">
        <f>IF($AF47="","",INDEX(MUSTERILER!$B$7:$B$156,$AF47))</f>
        <v>M009</v>
      </c>
      <c r="C47" s="74" t="str">
        <f>IF($AF47="","",INDEX(MUSTERILER!$C$7:$C$156,$AF47))</f>
        <v>PAKYILDIZ LTD.ŞTİ.</v>
      </c>
      <c r="D47" s="68">
        <f>IF($B47="","",SUMIFS(UCRETLER!$G$7:$G$606,UCRETLER!$B$7:$B$606,$B47,UCRETLER!$F$7:$F$606,"Haftalık",UCRETLER!$H$7:$H$606,"Aktif"))</f>
        <v>4000</v>
      </c>
      <c r="E47" s="68">
        <f>IF($B47="","",SUMIFS(UCRETLER!$G$7:$G$606,UCRETLER!$B$7:$B$606,$B47,UCRETLER!$F$7:$F$606,"Aylık",UCRETLER!$H$7:$H$606,"Aktif"))</f>
        <v>0</v>
      </c>
      <c r="F47" s="68">
        <f>IF($B47="","",SUMIFS(MUSTERILER!$J$7:$J$156,MUSTERILER!$B$7:$B$156,$B47))</f>
        <v>0</v>
      </c>
      <c r="G47" s="68">
        <f ca="1">IF($B47="","",SUMIFS(UCRETLER!$I$7:$I$606,UCRETLER!$B$7:$B$606,$B47)+SUMIFS(GELIR_GIDER!$G$7:$G$3006,GELIR_GIDER!$T$7:$T$3006,$B47))</f>
        <v>141350</v>
      </c>
      <c r="H47" s="68">
        <f t="shared" ca="1" si="18"/>
        <v>141350</v>
      </c>
      <c r="I47" s="68">
        <f>IF($B47="","",SUMIFS(TAHSILAT!$F$7:$F$2506,TAHSILAT!$C$7:$C$2506,$B47))</f>
        <v>132000</v>
      </c>
      <c r="J47" s="68">
        <f t="shared" ca="1" si="19"/>
        <v>9350</v>
      </c>
      <c r="K47" s="68">
        <f t="shared" ca="1" si="20"/>
        <v>9350</v>
      </c>
      <c r="L47" s="68">
        <f t="shared" ca="1" si="21"/>
        <v>0</v>
      </c>
      <c r="M47" s="68">
        <f t="shared" ca="1" si="22"/>
        <v>0</v>
      </c>
      <c r="N47" s="68">
        <f t="shared" ca="1" si="23"/>
        <v>0</v>
      </c>
      <c r="O47" s="86">
        <f t="shared" ca="1" si="24"/>
        <v>0.93385214007782102</v>
      </c>
      <c r="P47" s="70">
        <f>IF($B47="","",IFERROR(LOOKUP(2,1/(TAHSILAT!$C$7:$C$2506=$B47),TAHSILAT!$E$7:$E$2506),""))</f>
        <v>46249</v>
      </c>
      <c r="Q47" s="65" t="str">
        <f t="shared" ca="1" si="25"/>
        <v>İZLE</v>
      </c>
      <c r="R47" s="74" t="str">
        <f t="shared" ca="1" si="26"/>
        <v>Normal takip</v>
      </c>
      <c r="S47" s="76">
        <f>IF($B47="","",COUNTIFS(AKTIVITE!$D$7:$D$1006,$B47,AKTIVITE!$J$7:$J$1006,"&lt;&gt;Tamamlandı"))</f>
        <v>0</v>
      </c>
      <c r="T47" s="70" t="str">
        <f>IF(OR($B47="",$AF47=""),"",IF(INDEX(MUSTERILER!$K$7:$K$156,$AF47)="","",INDEX(MUSTERILER!$K$7:$K$156,$AF47)))</f>
        <v/>
      </c>
      <c r="U47" s="76" t="str">
        <f t="shared" ca="1" si="27"/>
        <v/>
      </c>
      <c r="V47" s="68">
        <f t="shared" ca="1" si="28"/>
        <v>0</v>
      </c>
      <c r="W47" s="65" t="str">
        <f t="shared" ca="1" si="29"/>
        <v>UYGUN</v>
      </c>
      <c r="X47" s="2">
        <f ca="1">IF($B47="",0,SUMIFS(UCRETLER!$J$7:$J$606,UCRETLER!$B$7:$B$606,$B47))</f>
        <v>132000</v>
      </c>
      <c r="Y47" s="2">
        <f ca="1">IF($B47="",0,SUMIFS(UCRETLER!$K$7:$K$606,UCRETLER!$B$7:$B$606,$B47))</f>
        <v>128000</v>
      </c>
      <c r="Z47" s="1">
        <f ca="1">IF($B47="",0,SUMIFS(UCRETLER!$L$7:$L$606,UCRETLER!$B$7:$B$606,$B47))</f>
        <v>120000</v>
      </c>
      <c r="AA47" s="1">
        <f t="shared" si="30"/>
        <v>132000</v>
      </c>
      <c r="AB47" s="1">
        <f t="shared" si="31"/>
        <v>0</v>
      </c>
      <c r="AC47" s="1">
        <f t="shared" ca="1" si="32"/>
        <v>0</v>
      </c>
      <c r="AD47" s="1">
        <f t="shared" ca="1" si="33"/>
        <v>0</v>
      </c>
      <c r="AE47" s="1">
        <f t="shared" ca="1" si="34"/>
        <v>0</v>
      </c>
      <c r="AF47" s="1">
        <f>IFERROR(MATCH(ROW()-6,MUSTERILER!$U$7:$U$156,0),"")</f>
        <v>41</v>
      </c>
      <c r="AG47" s="1">
        <f>IF($B47="",0,SUMIFS(GELIR_GIDER!$G$7:$G$3006,GELIR_GIDER!$T$7:$T$3006,$B47))</f>
        <v>5350</v>
      </c>
    </row>
    <row r="48" spans="1:33" ht="18" customHeight="1" x14ac:dyDescent="0.3">
      <c r="A48" s="2"/>
      <c r="B48" s="65" t="str">
        <f>IF($AF48="","",INDEX(MUSTERILER!$B$7:$B$156,$AF48))</f>
        <v>M047</v>
      </c>
      <c r="C48" s="74" t="str">
        <f>IF($AF48="","",INDEX(MUSTERILER!$C$7:$C$156,$AF48))</f>
        <v>PALAOĞULLARI LTD.ŞTİ.</v>
      </c>
      <c r="D48" s="68">
        <f>IF($B48="","",SUMIFS(UCRETLER!$G$7:$G$606,UCRETLER!$B$7:$B$606,$B48,UCRETLER!$F$7:$F$606,"Haftalık",UCRETLER!$H$7:$H$606,"Aktif"))</f>
        <v>5000</v>
      </c>
      <c r="E48" s="68">
        <f>IF($B48="","",SUMIFS(UCRETLER!$G$7:$G$606,UCRETLER!$B$7:$B$606,$B48,UCRETLER!$F$7:$F$606,"Aylık",UCRETLER!$H$7:$H$606,"Aktif"))</f>
        <v>0</v>
      </c>
      <c r="F48" s="68">
        <f>IF($B48="","",SUMIFS(MUSTERILER!$J$7:$J$156,MUSTERILER!$B$7:$B$156,$B48))</f>
        <v>0</v>
      </c>
      <c r="G48" s="68">
        <f ca="1">IF($B48="","",SUMIFS(UCRETLER!$I$7:$I$606,UCRETLER!$B$7:$B$606,$B48)+SUMIFS(GELIR_GIDER!$G$7:$G$3006,GELIR_GIDER!$T$7:$T$3006,$B48))</f>
        <v>148000</v>
      </c>
      <c r="H48" s="68">
        <f t="shared" ca="1" si="18"/>
        <v>148000</v>
      </c>
      <c r="I48" s="68">
        <f>IF($B48="","",SUMIFS(TAHSILAT!$F$7:$F$2506,TAHSILAT!$C$7:$C$2506,$B48))</f>
        <v>143000</v>
      </c>
      <c r="J48" s="68">
        <f t="shared" ca="1" si="19"/>
        <v>5000</v>
      </c>
      <c r="K48" s="68">
        <f t="shared" ca="1" si="20"/>
        <v>5000</v>
      </c>
      <c r="L48" s="68">
        <f t="shared" ca="1" si="21"/>
        <v>0</v>
      </c>
      <c r="M48" s="68">
        <f t="shared" ca="1" si="22"/>
        <v>0</v>
      </c>
      <c r="N48" s="68">
        <f t="shared" ca="1" si="23"/>
        <v>0</v>
      </c>
      <c r="O48" s="86">
        <f t="shared" ca="1" si="24"/>
        <v>0.96621621621621623</v>
      </c>
      <c r="P48" s="70">
        <f>IF($B48="","",IFERROR(LOOKUP(2,1/(TAHSILAT!$C$7:$C$2506=$B48),TAHSILAT!$E$7:$E$2506),""))</f>
        <v>46249</v>
      </c>
      <c r="Q48" s="65" t="str">
        <f t="shared" ca="1" si="25"/>
        <v>İZLE</v>
      </c>
      <c r="R48" s="74" t="str">
        <f t="shared" ca="1" si="26"/>
        <v>Normal takip</v>
      </c>
      <c r="S48" s="76">
        <f>IF($B48="","",COUNTIFS(AKTIVITE!$D$7:$D$1006,$B48,AKTIVITE!$J$7:$J$1006,"&lt;&gt;Tamamlandı"))</f>
        <v>0</v>
      </c>
      <c r="T48" s="70" t="str">
        <f>IF(OR($B48="",$AF48=""),"",IF(INDEX(MUSTERILER!$K$7:$K$156,$AF48)="","",INDEX(MUSTERILER!$K$7:$K$156,$AF48)))</f>
        <v/>
      </c>
      <c r="U48" s="76" t="str">
        <f t="shared" ca="1" si="27"/>
        <v/>
      </c>
      <c r="V48" s="68">
        <f t="shared" ca="1" si="28"/>
        <v>0</v>
      </c>
      <c r="W48" s="65" t="str">
        <f t="shared" ca="1" si="29"/>
        <v>UYGUN</v>
      </c>
      <c r="X48" s="2">
        <f ca="1">IF($B48="",0,SUMIFS(UCRETLER!$J$7:$J$606,UCRETLER!$B$7:$B$606,$B48))</f>
        <v>143000</v>
      </c>
      <c r="Y48" s="2">
        <f ca="1">IF($B48="",0,SUMIFS(UCRETLER!$K$7:$K$606,UCRETLER!$B$7:$B$606,$B48))</f>
        <v>138000</v>
      </c>
      <c r="Z48" s="1">
        <f ca="1">IF($B48="",0,SUMIFS(UCRETLER!$L$7:$L$606,UCRETLER!$B$7:$B$606,$B48))</f>
        <v>128000</v>
      </c>
      <c r="AA48" s="1">
        <f t="shared" si="30"/>
        <v>143000</v>
      </c>
      <c r="AB48" s="1">
        <f t="shared" si="31"/>
        <v>0</v>
      </c>
      <c r="AC48" s="1">
        <f t="shared" ca="1" si="32"/>
        <v>0</v>
      </c>
      <c r="AD48" s="1">
        <f t="shared" ca="1" si="33"/>
        <v>0</v>
      </c>
      <c r="AE48" s="1">
        <f t="shared" ca="1" si="34"/>
        <v>0</v>
      </c>
      <c r="AF48" s="1">
        <f>IFERROR(MATCH(ROW()-6,MUSTERILER!$U$7:$U$156,0),"")</f>
        <v>42</v>
      </c>
      <c r="AG48" s="1">
        <f>IF($B48="",0,SUMIFS(GELIR_GIDER!$G$7:$G$3006,GELIR_GIDER!$T$7:$T$3006,$B48))</f>
        <v>0</v>
      </c>
    </row>
    <row r="49" spans="1:33" ht="18" customHeight="1" x14ac:dyDescent="0.3">
      <c r="A49" s="2"/>
      <c r="B49" s="65" t="str">
        <f>IF($AF49="","",INDEX(MUSTERILER!$B$7:$B$156,$AF49))</f>
        <v>M048</v>
      </c>
      <c r="C49" s="74" t="str">
        <f>IF($AF49="","",INDEX(MUSTERILER!$C$7:$C$156,$AF49))</f>
        <v>RASİM DEMİRCİ</v>
      </c>
      <c r="D49" s="68">
        <f>IF($B49="","",SUMIFS(UCRETLER!$G$7:$G$606,UCRETLER!$B$7:$B$606,$B49,UCRETLER!$F$7:$F$606,"Haftalık",UCRETLER!$H$7:$H$606,"Aktif"))</f>
        <v>0</v>
      </c>
      <c r="E49" s="68">
        <f>IF($B49="","",SUMIFS(UCRETLER!$G$7:$G$606,UCRETLER!$B$7:$B$606,$B49,UCRETLER!$F$7:$F$606,"Aylık",UCRETLER!$H$7:$H$606,"Aktif"))</f>
        <v>3000</v>
      </c>
      <c r="F49" s="68">
        <f>IF($B49="","",SUMIFS(MUSTERILER!$J$7:$J$156,MUSTERILER!$B$7:$B$156,$B49))</f>
        <v>0</v>
      </c>
      <c r="G49" s="68">
        <f ca="1">IF($B49="","",SUMIFS(UCRETLER!$I$7:$I$606,UCRETLER!$B$7:$B$606,$B49)+SUMIFS(GELIR_GIDER!$G$7:$G$3006,GELIR_GIDER!$T$7:$T$3006,$B49))</f>
        <v>21000</v>
      </c>
      <c r="H49" s="68">
        <f t="shared" ca="1" si="18"/>
        <v>21000</v>
      </c>
      <c r="I49" s="68">
        <f>IF($B49="","",SUMIFS(TAHSILAT!$F$7:$F$2506,TAHSILAT!$C$7:$C$2506,$B49))</f>
        <v>16000</v>
      </c>
      <c r="J49" s="68">
        <f t="shared" ca="1" si="19"/>
        <v>5000</v>
      </c>
      <c r="K49" s="68">
        <f t="shared" ca="1" si="20"/>
        <v>0</v>
      </c>
      <c r="L49" s="68">
        <f t="shared" ca="1" si="21"/>
        <v>0</v>
      </c>
      <c r="M49" s="68">
        <f t="shared" ca="1" si="22"/>
        <v>3000</v>
      </c>
      <c r="N49" s="68">
        <f t="shared" ca="1" si="23"/>
        <v>2000</v>
      </c>
      <c r="O49" s="86">
        <f t="shared" ca="1" si="24"/>
        <v>0.76190476190476186</v>
      </c>
      <c r="P49" s="70">
        <f>IF($B49="","",IFERROR(LOOKUP(2,1/(TAHSILAT!$C$7:$C$2506=$B49),TAHSILAT!$E$7:$E$2506),""))</f>
        <v>46226</v>
      </c>
      <c r="Q49" s="65" t="str">
        <f t="shared" ca="1" si="25"/>
        <v>KRİTİK</v>
      </c>
      <c r="R49" s="74" t="str">
        <f t="shared" ca="1" si="26"/>
        <v>Acil tahsilat görüşmesi ve cari mutabakat</v>
      </c>
      <c r="S49" s="76">
        <f>IF($B49="","",COUNTIFS(AKTIVITE!$D$7:$D$1006,$B49,AKTIVITE!$J$7:$J$1006,"&lt;&gt;Tamamlandı"))</f>
        <v>0</v>
      </c>
      <c r="T49" s="70" t="str">
        <f>IF(OR($B49="",$AF49=""),"",IF(INDEX(MUSTERILER!$K$7:$K$156,$AF49)="","",INDEX(MUSTERILER!$K$7:$K$156,$AF49)))</f>
        <v/>
      </c>
      <c r="U49" s="76" t="str">
        <f t="shared" ca="1" si="27"/>
        <v/>
      </c>
      <c r="V49" s="68">
        <f t="shared" ca="1" si="28"/>
        <v>0</v>
      </c>
      <c r="W49" s="65" t="str">
        <f t="shared" ca="1" si="29"/>
        <v>UYGUN</v>
      </c>
      <c r="X49" s="2">
        <f ca="1">IF($B49="",0,SUMIFS(UCRETLER!$J$7:$J$606,UCRETLER!$B$7:$B$606,$B49))</f>
        <v>21000</v>
      </c>
      <c r="Y49" s="2">
        <f ca="1">IF($B49="",0,SUMIFS(UCRETLER!$K$7:$K$606,UCRETLER!$B$7:$B$606,$B49))</f>
        <v>21000</v>
      </c>
      <c r="Z49" s="1">
        <f ca="1">IF($B49="",0,SUMIFS(UCRETLER!$L$7:$L$606,UCRETLER!$B$7:$B$606,$B49))</f>
        <v>18000</v>
      </c>
      <c r="AA49" s="1">
        <f t="shared" si="30"/>
        <v>16000</v>
      </c>
      <c r="AB49" s="1">
        <f t="shared" si="31"/>
        <v>0</v>
      </c>
      <c r="AC49" s="1">
        <f t="shared" ca="1" si="32"/>
        <v>5000</v>
      </c>
      <c r="AD49" s="1">
        <f t="shared" ca="1" si="33"/>
        <v>5000</v>
      </c>
      <c r="AE49" s="1">
        <f t="shared" ca="1" si="34"/>
        <v>2000</v>
      </c>
      <c r="AF49" s="1">
        <f>IFERROR(MATCH(ROW()-6,MUSTERILER!$U$7:$U$156,0),"")</f>
        <v>43</v>
      </c>
      <c r="AG49" s="1">
        <f>IF($B49="",0,SUMIFS(GELIR_GIDER!$G$7:$G$3006,GELIR_GIDER!$T$7:$T$3006,$B49))</f>
        <v>0</v>
      </c>
    </row>
    <row r="50" spans="1:33" ht="18" customHeight="1" x14ac:dyDescent="0.3">
      <c r="A50" s="2"/>
      <c r="B50" s="65" t="str">
        <f>IF($AF50="","",INDEX(MUSTERILER!$B$7:$B$156,$AF50))</f>
        <v>M016</v>
      </c>
      <c r="C50" s="74" t="str">
        <f>IF($AF50="","",INDEX(MUSTERILER!$C$7:$C$156,$AF50))</f>
        <v>RİX ŞOW LTD.ŞTİ.</v>
      </c>
      <c r="D50" s="68">
        <f>IF($B50="","",SUMIFS(UCRETLER!$G$7:$G$606,UCRETLER!$B$7:$B$606,$B50,UCRETLER!$F$7:$F$606,"Haftalık",UCRETLER!$H$7:$H$606,"Aktif"))</f>
        <v>3000</v>
      </c>
      <c r="E50" s="68">
        <f>IF($B50="","",SUMIFS(UCRETLER!$G$7:$G$606,UCRETLER!$B$7:$B$606,$B50,UCRETLER!$F$7:$F$606,"Aylık",UCRETLER!$H$7:$H$606,"Aktif"))</f>
        <v>0</v>
      </c>
      <c r="F50" s="68">
        <f>IF($B50="","",SUMIFS(MUSTERILER!$J$7:$J$156,MUSTERILER!$B$7:$B$156,$B50))</f>
        <v>0</v>
      </c>
      <c r="G50" s="68">
        <f ca="1">IF($B50="","",SUMIFS(UCRETLER!$I$7:$I$606,UCRETLER!$B$7:$B$606,$B50)+SUMIFS(GELIR_GIDER!$G$7:$G$3006,GELIR_GIDER!$T$7:$T$3006,$B50))</f>
        <v>116750</v>
      </c>
      <c r="H50" s="68">
        <f t="shared" ca="1" si="18"/>
        <v>116750</v>
      </c>
      <c r="I50" s="68">
        <f>IF($B50="","",SUMIFS(TAHSILAT!$F$7:$F$2506,TAHSILAT!$C$7:$C$2506,$B50))</f>
        <v>99000</v>
      </c>
      <c r="J50" s="68">
        <f t="shared" ca="1" si="19"/>
        <v>17750</v>
      </c>
      <c r="K50" s="68">
        <f t="shared" ca="1" si="20"/>
        <v>17750</v>
      </c>
      <c r="L50" s="68">
        <f t="shared" ca="1" si="21"/>
        <v>0</v>
      </c>
      <c r="M50" s="68">
        <f t="shared" ca="1" si="22"/>
        <v>0</v>
      </c>
      <c r="N50" s="68">
        <f t="shared" ca="1" si="23"/>
        <v>0</v>
      </c>
      <c r="O50" s="86">
        <f t="shared" ca="1" si="24"/>
        <v>0.84796573875802994</v>
      </c>
      <c r="P50" s="70">
        <f>IF($B50="","",IFERROR(LOOKUP(2,1/(TAHSILAT!$C$7:$C$2506=$B50),TAHSILAT!$E$7:$E$2506),""))</f>
        <v>46249</v>
      </c>
      <c r="Q50" s="65" t="str">
        <f t="shared" ca="1" si="25"/>
        <v>İZLE</v>
      </c>
      <c r="R50" s="74" t="str">
        <f t="shared" ca="1" si="26"/>
        <v>Normal takip</v>
      </c>
      <c r="S50" s="76">
        <f>IF($B50="","",COUNTIFS(AKTIVITE!$D$7:$D$1006,$B50,AKTIVITE!$J$7:$J$1006,"&lt;&gt;Tamamlandı"))</f>
        <v>0</v>
      </c>
      <c r="T50" s="70" t="str">
        <f>IF(OR($B50="",$AF50=""),"",IF(INDEX(MUSTERILER!$K$7:$K$156,$AF50)="","",INDEX(MUSTERILER!$K$7:$K$156,$AF50)))</f>
        <v/>
      </c>
      <c r="U50" s="76" t="str">
        <f t="shared" ca="1" si="27"/>
        <v/>
      </c>
      <c r="V50" s="68">
        <f t="shared" ca="1" si="28"/>
        <v>0</v>
      </c>
      <c r="W50" s="65" t="str">
        <f t="shared" ca="1" si="29"/>
        <v>UYGUN</v>
      </c>
      <c r="X50" s="2">
        <f ca="1">IF($B50="",0,SUMIFS(UCRETLER!$J$7:$J$606,UCRETLER!$B$7:$B$606,$B50))</f>
        <v>99000</v>
      </c>
      <c r="Y50" s="2">
        <f ca="1">IF($B50="",0,SUMIFS(UCRETLER!$K$7:$K$606,UCRETLER!$B$7:$B$606,$B50))</f>
        <v>96000</v>
      </c>
      <c r="Z50" s="1">
        <f ca="1">IF($B50="",0,SUMIFS(UCRETLER!$L$7:$L$606,UCRETLER!$B$7:$B$606,$B50))</f>
        <v>90000</v>
      </c>
      <c r="AA50" s="1">
        <f t="shared" si="30"/>
        <v>99000</v>
      </c>
      <c r="AB50" s="1">
        <f t="shared" si="31"/>
        <v>0</v>
      </c>
      <c r="AC50" s="1">
        <f t="shared" ca="1" si="32"/>
        <v>0</v>
      </c>
      <c r="AD50" s="1">
        <f t="shared" ca="1" si="33"/>
        <v>0</v>
      </c>
      <c r="AE50" s="1">
        <f t="shared" ca="1" si="34"/>
        <v>0</v>
      </c>
      <c r="AF50" s="1">
        <f>IFERROR(MATCH(ROW()-6,MUSTERILER!$U$7:$U$156,0),"")</f>
        <v>44</v>
      </c>
      <c r="AG50" s="1">
        <f>IF($B50="",0,SUMIFS(GELIR_GIDER!$G$7:$G$3006,GELIR_GIDER!$T$7:$T$3006,$B50))</f>
        <v>14750</v>
      </c>
    </row>
    <row r="51" spans="1:33" ht="18" customHeight="1" x14ac:dyDescent="0.3">
      <c r="A51" s="2"/>
      <c r="B51" s="65" t="str">
        <f>IF($AF51="","",INDEX(MUSTERILER!$B$7:$B$156,$AF51))</f>
        <v>M055</v>
      </c>
      <c r="C51" s="74" t="str">
        <f>IF($AF51="","",INDEX(MUSTERILER!$C$7:$C$156,$AF51))</f>
        <v>SEMRA GÜMÜŞ</v>
      </c>
      <c r="D51" s="68">
        <f>IF($B51="","",SUMIFS(UCRETLER!$G$7:$G$606,UCRETLER!$B$7:$B$606,$B51,UCRETLER!$F$7:$F$606,"Haftalık",UCRETLER!$H$7:$H$606,"Aktif"))</f>
        <v>0</v>
      </c>
      <c r="E51" s="68">
        <f>IF($B51="","",SUMIFS(UCRETLER!$G$7:$G$606,UCRETLER!$B$7:$B$606,$B51,UCRETLER!$F$7:$F$606,"Aylık",UCRETLER!$H$7:$H$606,"Aktif"))</f>
        <v>0</v>
      </c>
      <c r="F51" s="68">
        <f>IF($B51="","",SUMIFS(MUSTERILER!$J$7:$J$156,MUSTERILER!$B$7:$B$156,$B51))</f>
        <v>0</v>
      </c>
      <c r="G51" s="68">
        <f ca="1">IF($B51="","",SUMIFS(UCRETLER!$I$7:$I$606,UCRETLER!$B$7:$B$606,$B51)+SUMIFS(GELIR_GIDER!$G$7:$G$3006,GELIR_GIDER!$T$7:$T$3006,$B51))</f>
        <v>10000</v>
      </c>
      <c r="H51" s="68">
        <f t="shared" ca="1" si="18"/>
        <v>10000</v>
      </c>
      <c r="I51" s="68">
        <f>IF($B51="","",SUMIFS(TAHSILAT!$F$7:$F$2506,TAHSILAT!$C$7:$C$2506,$B51))</f>
        <v>10000</v>
      </c>
      <c r="J51" s="68">
        <f t="shared" ca="1" si="19"/>
        <v>0</v>
      </c>
      <c r="K51" s="68">
        <f t="shared" ca="1" si="20"/>
        <v>0</v>
      </c>
      <c r="L51" s="68">
        <f t="shared" ca="1" si="21"/>
        <v>0</v>
      </c>
      <c r="M51" s="68">
        <f t="shared" ca="1" si="22"/>
        <v>0</v>
      </c>
      <c r="N51" s="68">
        <f t="shared" ca="1" si="23"/>
        <v>0</v>
      </c>
      <c r="O51" s="86">
        <f t="shared" ca="1" si="24"/>
        <v>1</v>
      </c>
      <c r="P51" s="70">
        <f>IF($B51="","",IFERROR(LOOKUP(2,1/(TAHSILAT!$C$7:$C$2506=$B51),TAHSILAT!$E$7:$E$2506),""))</f>
        <v>46207</v>
      </c>
      <c r="Q51" s="65" t="str">
        <f t="shared" ca="1" si="25"/>
        <v>TEMİZ</v>
      </c>
      <c r="R51" s="74" t="str">
        <f t="shared" ca="1" si="26"/>
        <v>Aksiyon gerekmiyor</v>
      </c>
      <c r="S51" s="76">
        <f>IF($B51="","",COUNTIFS(AKTIVITE!$D$7:$D$1006,$B51,AKTIVITE!$J$7:$J$1006,"&lt;&gt;Tamamlandı"))</f>
        <v>0</v>
      </c>
      <c r="T51" s="70" t="str">
        <f>IF(OR($B51="",$AF51=""),"",IF(INDEX(MUSTERILER!$K$7:$K$156,$AF51)="","",INDEX(MUSTERILER!$K$7:$K$156,$AF51)))</f>
        <v/>
      </c>
      <c r="U51" s="76" t="str">
        <f t="shared" ca="1" si="27"/>
        <v/>
      </c>
      <c r="V51" s="68">
        <f t="shared" ca="1" si="28"/>
        <v>0</v>
      </c>
      <c r="W51" s="65" t="str">
        <f t="shared" ca="1" si="29"/>
        <v>UYGUN</v>
      </c>
      <c r="X51" s="2">
        <f ca="1">IF($B51="",0,SUMIFS(UCRETLER!$J$7:$J$606,UCRETLER!$B$7:$B$606,$B51))</f>
        <v>10000</v>
      </c>
      <c r="Y51" s="2">
        <f ca="1">IF($B51="",0,SUMIFS(UCRETLER!$K$7:$K$606,UCRETLER!$B$7:$B$606,$B51))</f>
        <v>10000</v>
      </c>
      <c r="Z51" s="1">
        <f ca="1">IF($B51="",0,SUMIFS(UCRETLER!$L$7:$L$606,UCRETLER!$B$7:$B$606,$B51))</f>
        <v>10000</v>
      </c>
      <c r="AA51" s="1">
        <f t="shared" si="30"/>
        <v>10000</v>
      </c>
      <c r="AB51" s="1">
        <f t="shared" si="31"/>
        <v>0</v>
      </c>
      <c r="AC51" s="1">
        <f t="shared" ca="1" si="32"/>
        <v>0</v>
      </c>
      <c r="AD51" s="1">
        <f t="shared" ca="1" si="33"/>
        <v>0</v>
      </c>
      <c r="AE51" s="1">
        <f t="shared" ca="1" si="34"/>
        <v>0</v>
      </c>
      <c r="AF51" s="1">
        <f>IFERROR(MATCH(ROW()-6,MUSTERILER!$U$7:$U$156,0),"")</f>
        <v>45</v>
      </c>
      <c r="AG51" s="1">
        <f>IF($B51="",0,SUMIFS(GELIR_GIDER!$G$7:$G$3006,GELIR_GIDER!$T$7:$T$3006,$B51))</f>
        <v>0</v>
      </c>
    </row>
    <row r="52" spans="1:33" ht="18" customHeight="1" x14ac:dyDescent="0.3">
      <c r="A52" s="2"/>
      <c r="B52" s="65" t="str">
        <f>IF($AF52="","",INDEX(MUSTERILER!$B$7:$B$156,$AF52))</f>
        <v>M049</v>
      </c>
      <c r="C52" s="74" t="str">
        <f>IF($AF52="","",INDEX(MUSTERILER!$C$7:$C$156,$AF52))</f>
        <v>STAR ŞOW LTD.ŞTİ.</v>
      </c>
      <c r="D52" s="68">
        <f>IF($B52="","",SUMIFS(UCRETLER!$G$7:$G$606,UCRETLER!$B$7:$B$606,$B52,UCRETLER!$F$7:$F$606,"Haftalık",UCRETLER!$H$7:$H$606,"Aktif"))</f>
        <v>3000</v>
      </c>
      <c r="E52" s="68">
        <f>IF($B52="","",SUMIFS(UCRETLER!$G$7:$G$606,UCRETLER!$B$7:$B$606,$B52,UCRETLER!$F$7:$F$606,"Aylık",UCRETLER!$H$7:$H$606,"Aktif"))</f>
        <v>0</v>
      </c>
      <c r="F52" s="68">
        <f>IF($B52="","",SUMIFS(MUSTERILER!$J$7:$J$156,MUSTERILER!$B$7:$B$156,$B52))</f>
        <v>0</v>
      </c>
      <c r="G52" s="68">
        <f ca="1">IF($B52="","",SUMIFS(UCRETLER!$I$7:$I$606,UCRETLER!$B$7:$B$606,$B52)+SUMIFS(GELIR_GIDER!$G$7:$G$3006,GELIR_GIDER!$T$7:$T$3006,$B52))</f>
        <v>12000</v>
      </c>
      <c r="H52" s="68">
        <f t="shared" ca="1" si="18"/>
        <v>12000</v>
      </c>
      <c r="I52" s="68">
        <f>IF($B52="","",SUMIFS(TAHSILAT!$F$7:$F$2506,TAHSILAT!$C$7:$C$2506,$B52))</f>
        <v>9000</v>
      </c>
      <c r="J52" s="68">
        <f t="shared" ca="1" si="19"/>
        <v>3000</v>
      </c>
      <c r="K52" s="68">
        <f t="shared" ca="1" si="20"/>
        <v>3000</v>
      </c>
      <c r="L52" s="68">
        <f t="shared" ca="1" si="21"/>
        <v>0</v>
      </c>
      <c r="M52" s="68">
        <f t="shared" ca="1" si="22"/>
        <v>0</v>
      </c>
      <c r="N52" s="68">
        <f t="shared" ca="1" si="23"/>
        <v>0</v>
      </c>
      <c r="O52" s="86">
        <f t="shared" ca="1" si="24"/>
        <v>0.75</v>
      </c>
      <c r="P52" s="70">
        <f>IF($B52="","",IFERROR(LOOKUP(2,1/(TAHSILAT!$C$7:$C$2506=$B52),TAHSILAT!$E$7:$E$2506),""))</f>
        <v>46249</v>
      </c>
      <c r="Q52" s="65" t="str">
        <f t="shared" ca="1" si="25"/>
        <v>İZLE</v>
      </c>
      <c r="R52" s="74" t="str">
        <f t="shared" ca="1" si="26"/>
        <v>Normal takip</v>
      </c>
      <c r="S52" s="76">
        <f>IF($B52="","",COUNTIFS(AKTIVITE!$D$7:$D$1006,$B52,AKTIVITE!$J$7:$J$1006,"&lt;&gt;Tamamlandı"))</f>
        <v>0</v>
      </c>
      <c r="T52" s="70" t="str">
        <f>IF(OR($B52="",$AF52=""),"",IF(INDEX(MUSTERILER!$K$7:$K$156,$AF52)="","",INDEX(MUSTERILER!$K$7:$K$156,$AF52)))</f>
        <v/>
      </c>
      <c r="U52" s="76" t="str">
        <f t="shared" ca="1" si="27"/>
        <v/>
      </c>
      <c r="V52" s="68">
        <f t="shared" ca="1" si="28"/>
        <v>0</v>
      </c>
      <c r="W52" s="65" t="str">
        <f t="shared" ca="1" si="29"/>
        <v>UYGUN</v>
      </c>
      <c r="X52" s="2">
        <f ca="1">IF($B52="",0,SUMIFS(UCRETLER!$J$7:$J$606,UCRETLER!$B$7:$B$606,$B52))</f>
        <v>9000</v>
      </c>
      <c r="Y52" s="2">
        <f ca="1">IF($B52="",0,SUMIFS(UCRETLER!$K$7:$K$606,UCRETLER!$B$7:$B$606,$B52))</f>
        <v>6000</v>
      </c>
      <c r="Z52" s="1">
        <f ca="1">IF($B52="",0,SUMIFS(UCRETLER!$L$7:$L$606,UCRETLER!$B$7:$B$606,$B52))</f>
        <v>0</v>
      </c>
      <c r="AA52" s="1">
        <f t="shared" si="30"/>
        <v>9000</v>
      </c>
      <c r="AB52" s="1">
        <f t="shared" si="31"/>
        <v>0</v>
      </c>
      <c r="AC52" s="1">
        <f t="shared" ca="1" si="32"/>
        <v>0</v>
      </c>
      <c r="AD52" s="1">
        <f t="shared" ca="1" si="33"/>
        <v>0</v>
      </c>
      <c r="AE52" s="1">
        <f t="shared" ca="1" si="34"/>
        <v>0</v>
      </c>
      <c r="AF52" s="1">
        <f>IFERROR(MATCH(ROW()-6,MUSTERILER!$U$7:$U$156,0),"")</f>
        <v>46</v>
      </c>
      <c r="AG52" s="1">
        <f>IF($B52="",0,SUMIFS(GELIR_GIDER!$G$7:$G$3006,GELIR_GIDER!$T$7:$T$3006,$B52))</f>
        <v>0</v>
      </c>
    </row>
    <row r="53" spans="1:33" ht="18" customHeight="1" x14ac:dyDescent="0.3">
      <c r="A53" s="2"/>
      <c r="B53" s="65" t="str">
        <f>IF($AF53="","",INDEX(MUSTERILER!$B$7:$B$156,$AF53))</f>
        <v>M050</v>
      </c>
      <c r="C53" s="74" t="str">
        <f>IF($AF53="","",INDEX(MUSTERILER!$C$7:$C$156,$AF53))</f>
        <v>TANAK LTD.ŞTİ.</v>
      </c>
      <c r="D53" s="68">
        <f>IF($B53="","",SUMIFS(UCRETLER!$G$7:$G$606,UCRETLER!$B$7:$B$606,$B53,UCRETLER!$F$7:$F$606,"Haftalık",UCRETLER!$H$7:$H$606,"Aktif"))</f>
        <v>4000</v>
      </c>
      <c r="E53" s="68">
        <f>IF($B53="","",SUMIFS(UCRETLER!$G$7:$G$606,UCRETLER!$B$7:$B$606,$B53,UCRETLER!$F$7:$F$606,"Aylık",UCRETLER!$H$7:$H$606,"Aktif"))</f>
        <v>0</v>
      </c>
      <c r="F53" s="68">
        <f>IF($B53="","",SUMIFS(MUSTERILER!$J$7:$J$156,MUSTERILER!$B$7:$B$156,$B53))</f>
        <v>0</v>
      </c>
      <c r="G53" s="68">
        <f ca="1">IF($B53="","",SUMIFS(UCRETLER!$I$7:$I$606,UCRETLER!$B$7:$B$606,$B53)+SUMIFS(GELIR_GIDER!$G$7:$G$3006,GELIR_GIDER!$T$7:$T$3006,$B53))</f>
        <v>136000</v>
      </c>
      <c r="H53" s="68">
        <f t="shared" ca="1" si="18"/>
        <v>136000</v>
      </c>
      <c r="I53" s="68">
        <f>IF($B53="","",SUMIFS(TAHSILAT!$F$7:$F$2506,TAHSILAT!$C$7:$C$2506,$B53))</f>
        <v>0</v>
      </c>
      <c r="J53" s="68">
        <f t="shared" ca="1" si="19"/>
        <v>136000</v>
      </c>
      <c r="K53" s="68">
        <f t="shared" ca="1" si="20"/>
        <v>4000</v>
      </c>
      <c r="L53" s="68">
        <f t="shared" ca="1" si="21"/>
        <v>4000</v>
      </c>
      <c r="M53" s="68">
        <f t="shared" ca="1" si="22"/>
        <v>8000</v>
      </c>
      <c r="N53" s="68">
        <f t="shared" ca="1" si="23"/>
        <v>120000</v>
      </c>
      <c r="O53" s="86">
        <f t="shared" ca="1" si="24"/>
        <v>0</v>
      </c>
      <c r="P53" s="70" t="str">
        <f>IF($B53="","",IFERROR(LOOKUP(2,1/(TAHSILAT!$C$7:$C$2506=$B53),TAHSILAT!$E$7:$E$2506),""))</f>
        <v/>
      </c>
      <c r="Q53" s="65" t="str">
        <f t="shared" ca="1" si="25"/>
        <v>KRİTİK</v>
      </c>
      <c r="R53" s="74" t="str">
        <f t="shared" ca="1" si="26"/>
        <v>Acil tahsilat görüşmesi ve cari mutabakat</v>
      </c>
      <c r="S53" s="76">
        <f>IF($B53="","",COUNTIFS(AKTIVITE!$D$7:$D$1006,$B53,AKTIVITE!$J$7:$J$1006,"&lt;&gt;Tamamlandı"))</f>
        <v>0</v>
      </c>
      <c r="T53" s="70" t="str">
        <f>IF(OR($B53="",$AF53=""),"",IF(INDEX(MUSTERILER!$K$7:$K$156,$AF53)="","",INDEX(MUSTERILER!$K$7:$K$156,$AF53)))</f>
        <v/>
      </c>
      <c r="U53" s="76" t="str">
        <f t="shared" ca="1" si="27"/>
        <v/>
      </c>
      <c r="V53" s="68">
        <f t="shared" ca="1" si="28"/>
        <v>0</v>
      </c>
      <c r="W53" s="65" t="str">
        <f t="shared" ca="1" si="29"/>
        <v>UYGUN</v>
      </c>
      <c r="X53" s="2">
        <f ca="1">IF($B53="",0,SUMIFS(UCRETLER!$J$7:$J$606,UCRETLER!$B$7:$B$606,$B53))</f>
        <v>132000</v>
      </c>
      <c r="Y53" s="2">
        <f ca="1">IF($B53="",0,SUMIFS(UCRETLER!$K$7:$K$606,UCRETLER!$B$7:$B$606,$B53))</f>
        <v>128000</v>
      </c>
      <c r="Z53" s="1">
        <f ca="1">IF($B53="",0,SUMIFS(UCRETLER!$L$7:$L$606,UCRETLER!$B$7:$B$606,$B53))</f>
        <v>120000</v>
      </c>
      <c r="AA53" s="1">
        <f t="shared" si="30"/>
        <v>0</v>
      </c>
      <c r="AB53" s="1">
        <f t="shared" si="31"/>
        <v>0</v>
      </c>
      <c r="AC53" s="1">
        <f t="shared" ca="1" si="32"/>
        <v>132000</v>
      </c>
      <c r="AD53" s="1">
        <f t="shared" ca="1" si="33"/>
        <v>128000</v>
      </c>
      <c r="AE53" s="1">
        <f t="shared" ca="1" si="34"/>
        <v>120000</v>
      </c>
      <c r="AF53" s="1">
        <f>IFERROR(MATCH(ROW()-6,MUSTERILER!$U$7:$U$156,0),"")</f>
        <v>47</v>
      </c>
      <c r="AG53" s="1">
        <f>IF($B53="",0,SUMIFS(GELIR_GIDER!$G$7:$G$3006,GELIR_GIDER!$T$7:$T$3006,$B53))</f>
        <v>0</v>
      </c>
    </row>
    <row r="54" spans="1:33" ht="18" customHeight="1" x14ac:dyDescent="0.3">
      <c r="A54" s="2"/>
      <c r="B54" s="65" t="str">
        <f>IF($AF54="","",INDEX(MUSTERILER!$B$7:$B$156,$AF54))</f>
        <v>M003</v>
      </c>
      <c r="C54" s="74" t="str">
        <f>IF($AF54="","",INDEX(MUSTERILER!$C$7:$C$156,$AF54))</f>
        <v>TYANA LTD.ŞTİ.</v>
      </c>
      <c r="D54" s="68">
        <f>IF($B54="","",SUMIFS(UCRETLER!$G$7:$G$606,UCRETLER!$B$7:$B$606,$B54,UCRETLER!$F$7:$F$606,"Haftalık",UCRETLER!$H$7:$H$606,"Aktif"))</f>
        <v>4000</v>
      </c>
      <c r="E54" s="68">
        <f>IF($B54="","",SUMIFS(UCRETLER!$G$7:$G$606,UCRETLER!$B$7:$B$606,$B54,UCRETLER!$F$7:$F$606,"Aylık",UCRETLER!$H$7:$H$606,"Aktif"))</f>
        <v>0</v>
      </c>
      <c r="F54" s="68">
        <f>IF($B54="","",SUMIFS(MUSTERILER!$J$7:$J$156,MUSTERILER!$B$7:$B$156,$B54))</f>
        <v>0</v>
      </c>
      <c r="G54" s="68">
        <f ca="1">IF($B54="","",SUMIFS(UCRETLER!$I$7:$I$606,UCRETLER!$B$7:$B$606,$B54)+SUMIFS(GELIR_GIDER!$G$7:$G$3006,GELIR_GIDER!$T$7:$T$3006,$B54))</f>
        <v>136000</v>
      </c>
      <c r="H54" s="68">
        <f t="shared" ca="1" si="18"/>
        <v>136000</v>
      </c>
      <c r="I54" s="68">
        <f>IF($B54="","",SUMIFS(TAHSILAT!$F$7:$F$2506,TAHSILAT!$C$7:$C$2506,$B54))</f>
        <v>29000</v>
      </c>
      <c r="J54" s="68">
        <f t="shared" ca="1" si="19"/>
        <v>107000</v>
      </c>
      <c r="K54" s="68">
        <f t="shared" ca="1" si="20"/>
        <v>4000</v>
      </c>
      <c r="L54" s="68">
        <f t="shared" ca="1" si="21"/>
        <v>4000</v>
      </c>
      <c r="M54" s="68">
        <f t="shared" ca="1" si="22"/>
        <v>8000</v>
      </c>
      <c r="N54" s="68">
        <f t="shared" ca="1" si="23"/>
        <v>91000</v>
      </c>
      <c r="O54" s="86">
        <f t="shared" ca="1" si="24"/>
        <v>0.21323529411764705</v>
      </c>
      <c r="P54" s="70">
        <f>IF($B54="","",IFERROR(LOOKUP(2,1/(TAHSILAT!$C$7:$C$2506=$B54),TAHSILAT!$E$7:$E$2506),""))</f>
        <v>46243</v>
      </c>
      <c r="Q54" s="65" t="str">
        <f t="shared" ca="1" si="25"/>
        <v>KRİTİK</v>
      </c>
      <c r="R54" s="74" t="str">
        <f t="shared" ca="1" si="26"/>
        <v>Acil tahsilat görüşmesi ve cari mutabakat</v>
      </c>
      <c r="S54" s="76">
        <f>IF($B54="","",COUNTIFS(AKTIVITE!$D$7:$D$1006,$B54,AKTIVITE!$J$7:$J$1006,"&lt;&gt;Tamamlandı"))</f>
        <v>0</v>
      </c>
      <c r="T54" s="70" t="str">
        <f>IF(OR($B54="",$AF54=""),"",IF(INDEX(MUSTERILER!$K$7:$K$156,$AF54)="","",INDEX(MUSTERILER!$K$7:$K$156,$AF54)))</f>
        <v/>
      </c>
      <c r="U54" s="76" t="str">
        <f t="shared" ca="1" si="27"/>
        <v/>
      </c>
      <c r="V54" s="68">
        <f t="shared" ca="1" si="28"/>
        <v>0</v>
      </c>
      <c r="W54" s="65" t="str">
        <f t="shared" ca="1" si="29"/>
        <v>UYGUN</v>
      </c>
      <c r="X54" s="2">
        <f ca="1">IF($B54="",0,SUMIFS(UCRETLER!$J$7:$J$606,UCRETLER!$B$7:$B$606,$B54))</f>
        <v>132000</v>
      </c>
      <c r="Y54" s="2">
        <f ca="1">IF($B54="",0,SUMIFS(UCRETLER!$K$7:$K$606,UCRETLER!$B$7:$B$606,$B54))</f>
        <v>128000</v>
      </c>
      <c r="Z54" s="1">
        <f ca="1">IF($B54="",0,SUMIFS(UCRETLER!$L$7:$L$606,UCRETLER!$B$7:$B$606,$B54))</f>
        <v>120000</v>
      </c>
      <c r="AA54" s="1">
        <f t="shared" si="30"/>
        <v>29000</v>
      </c>
      <c r="AB54" s="1">
        <f t="shared" si="31"/>
        <v>0</v>
      </c>
      <c r="AC54" s="1">
        <f t="shared" ca="1" si="32"/>
        <v>103000</v>
      </c>
      <c r="AD54" s="1">
        <f t="shared" ca="1" si="33"/>
        <v>99000</v>
      </c>
      <c r="AE54" s="1">
        <f t="shared" ca="1" si="34"/>
        <v>91000</v>
      </c>
      <c r="AF54" s="1">
        <f>IFERROR(MATCH(ROW()-6,MUSTERILER!$U$7:$U$156,0),"")</f>
        <v>48</v>
      </c>
      <c r="AG54" s="1">
        <f>IF($B54="",0,SUMIFS(GELIR_GIDER!$G$7:$G$3006,GELIR_GIDER!$T$7:$T$3006,$B54))</f>
        <v>0</v>
      </c>
    </row>
    <row r="55" spans="1:33" ht="18" customHeight="1" x14ac:dyDescent="0.3">
      <c r="A55" s="2"/>
      <c r="B55" s="65" t="str">
        <f>IF($AF55="","",INDEX(MUSTERILER!$B$7:$B$156,$AF55))</f>
        <v>M051</v>
      </c>
      <c r="C55" s="74" t="str">
        <f>IF($AF55="","",INDEX(MUSTERILER!$C$7:$C$156,$AF55))</f>
        <v>UFUK YILMAZ</v>
      </c>
      <c r="D55" s="68">
        <f>IF($B55="","",SUMIFS(UCRETLER!$G$7:$G$606,UCRETLER!$B$7:$B$606,$B55,UCRETLER!$F$7:$F$606,"Haftalık",UCRETLER!$H$7:$H$606,"Aktif"))</f>
        <v>0</v>
      </c>
      <c r="E55" s="68">
        <f>IF($B55="","",SUMIFS(UCRETLER!$G$7:$G$606,UCRETLER!$B$7:$B$606,$B55,UCRETLER!$F$7:$F$606,"Aylık",UCRETLER!$H$7:$H$606,"Aktif"))</f>
        <v>3000</v>
      </c>
      <c r="F55" s="68">
        <f>IF($B55="","",SUMIFS(MUSTERILER!$J$7:$J$156,MUSTERILER!$B$7:$B$156,$B55))</f>
        <v>0</v>
      </c>
      <c r="G55" s="68">
        <f ca="1">IF($B55="","",SUMIFS(UCRETLER!$I$7:$I$606,UCRETLER!$B$7:$B$606,$B55)+SUMIFS(GELIR_GIDER!$G$7:$G$3006,GELIR_GIDER!$T$7:$T$3006,$B55))</f>
        <v>21000</v>
      </c>
      <c r="H55" s="68">
        <f t="shared" ca="1" si="18"/>
        <v>21000</v>
      </c>
      <c r="I55" s="68">
        <f>IF($B55="","",SUMIFS(TAHSILAT!$F$7:$F$2506,TAHSILAT!$C$7:$C$2506,$B55))</f>
        <v>3000</v>
      </c>
      <c r="J55" s="68">
        <f t="shared" ca="1" si="19"/>
        <v>18000</v>
      </c>
      <c r="K55" s="68">
        <f t="shared" ca="1" si="20"/>
        <v>0</v>
      </c>
      <c r="L55" s="68">
        <f t="shared" ca="1" si="21"/>
        <v>0</v>
      </c>
      <c r="M55" s="68">
        <f t="shared" ca="1" si="22"/>
        <v>3000</v>
      </c>
      <c r="N55" s="68">
        <f t="shared" ca="1" si="23"/>
        <v>15000</v>
      </c>
      <c r="O55" s="86">
        <f t="shared" ca="1" si="24"/>
        <v>0.14285714285714285</v>
      </c>
      <c r="P55" s="70">
        <f>IF($B55="","",IFERROR(LOOKUP(2,1/(TAHSILAT!$C$7:$C$2506=$B55),TAHSILAT!$E$7:$E$2506),""))</f>
        <v>46099</v>
      </c>
      <c r="Q55" s="65" t="str">
        <f t="shared" ca="1" si="25"/>
        <v>KRİTİK</v>
      </c>
      <c r="R55" s="74" t="str">
        <f t="shared" ca="1" si="26"/>
        <v>Acil tahsilat görüşmesi ve cari mutabakat</v>
      </c>
      <c r="S55" s="76">
        <f>IF($B55="","",COUNTIFS(AKTIVITE!$D$7:$D$1006,$B55,AKTIVITE!$J$7:$J$1006,"&lt;&gt;Tamamlandı"))</f>
        <v>0</v>
      </c>
      <c r="T55" s="70" t="str">
        <f>IF(OR($B55="",$AF55=""),"",IF(INDEX(MUSTERILER!$K$7:$K$156,$AF55)="","",INDEX(MUSTERILER!$K$7:$K$156,$AF55)))</f>
        <v/>
      </c>
      <c r="U55" s="76" t="str">
        <f t="shared" ca="1" si="27"/>
        <v/>
      </c>
      <c r="V55" s="68">
        <f t="shared" ca="1" si="28"/>
        <v>0</v>
      </c>
      <c r="W55" s="65" t="str">
        <f t="shared" ca="1" si="29"/>
        <v>UYGUN</v>
      </c>
      <c r="X55" s="2">
        <f ca="1">IF($B55="",0,SUMIFS(UCRETLER!$J$7:$J$606,UCRETLER!$B$7:$B$606,$B55))</f>
        <v>21000</v>
      </c>
      <c r="Y55" s="2">
        <f ca="1">IF($B55="",0,SUMIFS(UCRETLER!$K$7:$K$606,UCRETLER!$B$7:$B$606,$B55))</f>
        <v>21000</v>
      </c>
      <c r="Z55" s="1">
        <f ca="1">IF($B55="",0,SUMIFS(UCRETLER!$L$7:$L$606,UCRETLER!$B$7:$B$606,$B55))</f>
        <v>18000</v>
      </c>
      <c r="AA55" s="1">
        <f t="shared" si="30"/>
        <v>3000</v>
      </c>
      <c r="AB55" s="1">
        <f t="shared" si="31"/>
        <v>0</v>
      </c>
      <c r="AC55" s="1">
        <f t="shared" ca="1" si="32"/>
        <v>18000</v>
      </c>
      <c r="AD55" s="1">
        <f t="shared" ca="1" si="33"/>
        <v>18000</v>
      </c>
      <c r="AE55" s="1">
        <f t="shared" ca="1" si="34"/>
        <v>15000</v>
      </c>
      <c r="AF55" s="1">
        <f>IFERROR(MATCH(ROW()-6,MUSTERILER!$U$7:$U$156,0),"")</f>
        <v>49</v>
      </c>
      <c r="AG55" s="1">
        <f>IF($B55="",0,SUMIFS(GELIR_GIDER!$G$7:$G$3006,GELIR_GIDER!$T$7:$T$3006,$B55))</f>
        <v>0</v>
      </c>
    </row>
    <row r="56" spans="1:33" ht="18" customHeight="1" x14ac:dyDescent="0.3">
      <c r="A56" s="2"/>
      <c r="B56" s="65" t="str">
        <f>IF($AF56="","",INDEX(MUSTERILER!$B$7:$B$156,$AF56))</f>
        <v>M052</v>
      </c>
      <c r="C56" s="74" t="str">
        <f>IF($AF56="","",INDEX(MUSTERILER!$C$7:$C$156,$AF56))</f>
        <v>VANOLYA SU LTD.ŞTİ.</v>
      </c>
      <c r="D56" s="68">
        <f>IF($B56="","",SUMIFS(UCRETLER!$G$7:$G$606,UCRETLER!$B$7:$B$606,$B56,UCRETLER!$F$7:$F$606,"Haftalık",UCRETLER!$H$7:$H$606,"Aktif"))</f>
        <v>0</v>
      </c>
      <c r="E56" s="68">
        <f>IF($B56="","",SUMIFS(UCRETLER!$G$7:$G$606,UCRETLER!$B$7:$B$606,$B56,UCRETLER!$F$7:$F$606,"Aylık",UCRETLER!$H$7:$H$606,"Aktif"))</f>
        <v>10000</v>
      </c>
      <c r="F56" s="68">
        <f>IF($B56="","",SUMIFS(MUSTERILER!$J$7:$J$156,MUSTERILER!$B$7:$B$156,$B56))</f>
        <v>0</v>
      </c>
      <c r="G56" s="68">
        <f ca="1">IF($B56="","",SUMIFS(UCRETLER!$I$7:$I$606,UCRETLER!$B$7:$B$606,$B56)+SUMIFS(GELIR_GIDER!$G$7:$G$3006,GELIR_GIDER!$T$7:$T$3006,$B56))</f>
        <v>10000</v>
      </c>
      <c r="H56" s="68">
        <f t="shared" ca="1" si="18"/>
        <v>10000</v>
      </c>
      <c r="I56" s="68">
        <f>IF($B56="","",SUMIFS(TAHSILAT!$F$7:$F$2506,TAHSILAT!$C$7:$C$2506,$B56))</f>
        <v>0</v>
      </c>
      <c r="J56" s="68">
        <f t="shared" ca="1" si="19"/>
        <v>10000</v>
      </c>
      <c r="K56" s="68">
        <f t="shared" ca="1" si="20"/>
        <v>0</v>
      </c>
      <c r="L56" s="68">
        <f t="shared" ca="1" si="21"/>
        <v>0</v>
      </c>
      <c r="M56" s="68">
        <f t="shared" ca="1" si="22"/>
        <v>10000</v>
      </c>
      <c r="N56" s="68">
        <f t="shared" ca="1" si="23"/>
        <v>0</v>
      </c>
      <c r="O56" s="86">
        <f t="shared" ca="1" si="24"/>
        <v>0</v>
      </c>
      <c r="P56" s="70" t="str">
        <f>IF($B56="","",IFERROR(LOOKUP(2,1/(TAHSILAT!$C$7:$C$2506=$B56),TAHSILAT!$E$7:$E$2506),""))</f>
        <v/>
      </c>
      <c r="Q56" s="65" t="str">
        <f t="shared" ca="1" si="25"/>
        <v>YÜKSEK</v>
      </c>
      <c r="R56" s="74" t="str">
        <f t="shared" ca="1" si="26"/>
        <v>Bu hafta tahsilat takibi</v>
      </c>
      <c r="S56" s="76">
        <f>IF($B56="","",COUNTIFS(AKTIVITE!$D$7:$D$1006,$B56,AKTIVITE!$J$7:$J$1006,"&lt;&gt;Tamamlandı"))</f>
        <v>0</v>
      </c>
      <c r="T56" s="70" t="str">
        <f>IF(OR($B56="",$AF56=""),"",IF(INDEX(MUSTERILER!$K$7:$K$156,$AF56)="","",INDEX(MUSTERILER!$K$7:$K$156,$AF56)))</f>
        <v/>
      </c>
      <c r="U56" s="76" t="str">
        <f t="shared" ca="1" si="27"/>
        <v/>
      </c>
      <c r="V56" s="68">
        <f t="shared" ca="1" si="28"/>
        <v>0</v>
      </c>
      <c r="W56" s="65" t="str">
        <f t="shared" ca="1" si="29"/>
        <v>UYGUN</v>
      </c>
      <c r="X56" s="2">
        <f ca="1">IF($B56="",0,SUMIFS(UCRETLER!$J$7:$J$606,UCRETLER!$B$7:$B$606,$B56))</f>
        <v>10000</v>
      </c>
      <c r="Y56" s="2">
        <f ca="1">IF($B56="",0,SUMIFS(UCRETLER!$K$7:$K$606,UCRETLER!$B$7:$B$606,$B56))</f>
        <v>10000</v>
      </c>
      <c r="Z56" s="1">
        <f ca="1">IF($B56="",0,SUMIFS(UCRETLER!$L$7:$L$606,UCRETLER!$B$7:$B$606,$B56))</f>
        <v>0</v>
      </c>
      <c r="AA56" s="1">
        <f t="shared" si="30"/>
        <v>0</v>
      </c>
      <c r="AB56" s="1">
        <f t="shared" si="31"/>
        <v>0</v>
      </c>
      <c r="AC56" s="1">
        <f t="shared" ca="1" si="32"/>
        <v>10000</v>
      </c>
      <c r="AD56" s="1">
        <f t="shared" ca="1" si="33"/>
        <v>10000</v>
      </c>
      <c r="AE56" s="1">
        <f t="shared" ca="1" si="34"/>
        <v>0</v>
      </c>
      <c r="AF56" s="1">
        <f>IFERROR(MATCH(ROW()-6,MUSTERILER!$U$7:$U$156,0),"")</f>
        <v>50</v>
      </c>
      <c r="AG56" s="1">
        <f>IF($B56="",0,SUMIFS(GELIR_GIDER!$G$7:$G$3006,GELIR_GIDER!$T$7:$T$3006,$B56))</f>
        <v>0</v>
      </c>
    </row>
    <row r="57" spans="1:33" ht="18" customHeight="1" x14ac:dyDescent="0.3">
      <c r="A57" s="2"/>
      <c r="B57" s="65" t="str">
        <f>IF($AF57="","",INDEX(MUSTERILER!$B$7:$B$156,$AF57))</f>
        <v>M006</v>
      </c>
      <c r="C57" s="74" t="str">
        <f>IF($AF57="","",INDEX(MUSTERILER!$C$7:$C$156,$AF57))</f>
        <v>VOLKAN AÇIK</v>
      </c>
      <c r="D57" s="68">
        <f>IF($B57="","",SUMIFS(UCRETLER!$G$7:$G$606,UCRETLER!$B$7:$B$606,$B57,UCRETLER!$F$7:$F$606,"Haftalık",UCRETLER!$H$7:$H$606,"Aktif"))</f>
        <v>1000</v>
      </c>
      <c r="E57" s="68">
        <f>IF($B57="","",SUMIFS(UCRETLER!$G$7:$G$606,UCRETLER!$B$7:$B$606,$B57,UCRETLER!$F$7:$F$606,"Aylık",UCRETLER!$H$7:$H$606,"Aktif"))</f>
        <v>0</v>
      </c>
      <c r="F57" s="68">
        <f>IF($B57="","",SUMIFS(MUSTERILER!$J$7:$J$156,MUSTERILER!$B$7:$B$156,$B57))</f>
        <v>0</v>
      </c>
      <c r="G57" s="68">
        <f ca="1">IF($B57="","",SUMIFS(UCRETLER!$I$7:$I$606,UCRETLER!$B$7:$B$606,$B57)+SUMIFS(GELIR_GIDER!$G$7:$G$3006,GELIR_GIDER!$T$7:$T$3006,$B57))</f>
        <v>34000</v>
      </c>
      <c r="H57" s="68">
        <f t="shared" ca="1" si="18"/>
        <v>34000</v>
      </c>
      <c r="I57" s="68">
        <f>IF($B57="","",SUMIFS(TAHSILAT!$F$7:$F$2506,TAHSILAT!$C$7:$C$2506,$B57))</f>
        <v>9000</v>
      </c>
      <c r="J57" s="68">
        <f t="shared" ca="1" si="19"/>
        <v>25000</v>
      </c>
      <c r="K57" s="68">
        <f t="shared" ca="1" si="20"/>
        <v>1000</v>
      </c>
      <c r="L57" s="68">
        <f t="shared" ca="1" si="21"/>
        <v>1000</v>
      </c>
      <c r="M57" s="68">
        <f t="shared" ca="1" si="22"/>
        <v>2000</v>
      </c>
      <c r="N57" s="68">
        <f t="shared" ca="1" si="23"/>
        <v>21000</v>
      </c>
      <c r="O57" s="86">
        <f t="shared" ca="1" si="24"/>
        <v>0.26470588235294118</v>
      </c>
      <c r="P57" s="70">
        <f>IF($B57="","",IFERROR(LOOKUP(2,1/(TAHSILAT!$C$7:$C$2506=$B57),TAHSILAT!$E$7:$E$2506),""))</f>
        <v>46146</v>
      </c>
      <c r="Q57" s="65" t="str">
        <f t="shared" ca="1" si="25"/>
        <v>KRİTİK</v>
      </c>
      <c r="R57" s="74" t="str">
        <f t="shared" ca="1" si="26"/>
        <v>Acil tahsilat görüşmesi ve cari mutabakat</v>
      </c>
      <c r="S57" s="76">
        <f>IF($B57="","",COUNTIFS(AKTIVITE!$D$7:$D$1006,$B57,AKTIVITE!$J$7:$J$1006,"&lt;&gt;Tamamlandı"))</f>
        <v>0</v>
      </c>
      <c r="T57" s="70" t="str">
        <f>IF(OR($B57="",$AF57=""),"",IF(INDEX(MUSTERILER!$K$7:$K$156,$AF57)="","",INDEX(MUSTERILER!$K$7:$K$156,$AF57)))</f>
        <v/>
      </c>
      <c r="U57" s="76" t="str">
        <f t="shared" ca="1" si="27"/>
        <v/>
      </c>
      <c r="V57" s="68">
        <f t="shared" ca="1" si="28"/>
        <v>0</v>
      </c>
      <c r="W57" s="65" t="str">
        <f t="shared" ca="1" si="29"/>
        <v>UYGUN</v>
      </c>
      <c r="X57" s="2">
        <f ca="1">IF($B57="",0,SUMIFS(UCRETLER!$J$7:$J$606,UCRETLER!$B$7:$B$606,$B57))</f>
        <v>33000</v>
      </c>
      <c r="Y57" s="2">
        <f ca="1">IF($B57="",0,SUMIFS(UCRETLER!$K$7:$K$606,UCRETLER!$B$7:$B$606,$B57))</f>
        <v>32000</v>
      </c>
      <c r="Z57" s="1">
        <f ca="1">IF($B57="",0,SUMIFS(UCRETLER!$L$7:$L$606,UCRETLER!$B$7:$B$606,$B57))</f>
        <v>30000</v>
      </c>
      <c r="AA57" s="1">
        <f t="shared" si="30"/>
        <v>9000</v>
      </c>
      <c r="AB57" s="1">
        <f t="shared" si="31"/>
        <v>0</v>
      </c>
      <c r="AC57" s="1">
        <f t="shared" ca="1" si="32"/>
        <v>24000</v>
      </c>
      <c r="AD57" s="1">
        <f t="shared" ca="1" si="33"/>
        <v>23000</v>
      </c>
      <c r="AE57" s="1">
        <f t="shared" ca="1" si="34"/>
        <v>21000</v>
      </c>
      <c r="AF57" s="1">
        <f>IFERROR(MATCH(ROW()-6,MUSTERILER!$U$7:$U$156,0),"")</f>
        <v>51</v>
      </c>
      <c r="AG57" s="1">
        <f>IF($B57="",0,SUMIFS(GELIR_GIDER!$G$7:$G$3006,GELIR_GIDER!$T$7:$T$3006,$B57))</f>
        <v>0</v>
      </c>
    </row>
    <row r="58" spans="1:33" ht="18" customHeight="1" x14ac:dyDescent="0.3">
      <c r="A58" s="2"/>
      <c r="B58" s="65" t="str">
        <f>IF($AF58="","",INDEX(MUSTERILER!$B$7:$B$156,$AF58))</f>
        <v>M054</v>
      </c>
      <c r="C58" s="74" t="str">
        <f>IF($AF58="","",INDEX(MUSTERILER!$C$7:$C$156,$AF58))</f>
        <v>YALIKENT LTD.ŞTİ.</v>
      </c>
      <c r="D58" s="68">
        <f>IF($B58="","",SUMIFS(UCRETLER!$G$7:$G$606,UCRETLER!$B$7:$B$606,$B58,UCRETLER!$F$7:$F$606,"Haftalık",UCRETLER!$H$7:$H$606,"Aktif"))</f>
        <v>0</v>
      </c>
      <c r="E58" s="68">
        <f>IF($B58="","",SUMIFS(UCRETLER!$G$7:$G$606,UCRETLER!$B$7:$B$606,$B58,UCRETLER!$F$7:$F$606,"Aylık",UCRETLER!$H$7:$H$606,"Aktif"))</f>
        <v>0</v>
      </c>
      <c r="F58" s="68">
        <f>IF($B58="","",SUMIFS(MUSTERILER!$J$7:$J$156,MUSTERILER!$B$7:$B$156,$B58))</f>
        <v>0</v>
      </c>
      <c r="G58" s="68">
        <f ca="1">IF($B58="","",SUMIFS(UCRETLER!$I$7:$I$606,UCRETLER!$B$7:$B$606,$B58)+SUMIFS(GELIR_GIDER!$G$7:$G$3006,GELIR_GIDER!$T$7:$T$3006,$B58))</f>
        <v>104000</v>
      </c>
      <c r="H58" s="68">
        <f t="shared" ca="1" si="18"/>
        <v>104000</v>
      </c>
      <c r="I58" s="68">
        <f>IF($B58="","",SUMIFS(TAHSILAT!$F$7:$F$2506,TAHSILAT!$C$7:$C$2506,$B58))</f>
        <v>104000</v>
      </c>
      <c r="J58" s="68">
        <f t="shared" ca="1" si="19"/>
        <v>0</v>
      </c>
      <c r="K58" s="68">
        <f t="shared" ca="1" si="20"/>
        <v>0</v>
      </c>
      <c r="L58" s="68">
        <f t="shared" ca="1" si="21"/>
        <v>0</v>
      </c>
      <c r="M58" s="68">
        <f t="shared" ca="1" si="22"/>
        <v>0</v>
      </c>
      <c r="N58" s="68">
        <f t="shared" ca="1" si="23"/>
        <v>0</v>
      </c>
      <c r="O58" s="86">
        <f t="shared" ca="1" si="24"/>
        <v>1</v>
      </c>
      <c r="P58" s="70">
        <f>IF($B58="","",IFERROR(LOOKUP(2,1/(TAHSILAT!$C$7:$C$2506=$B58),TAHSILAT!$E$7:$E$2506),""))</f>
        <v>46235</v>
      </c>
      <c r="Q58" s="65" t="str">
        <f t="shared" ca="1" si="25"/>
        <v>TEMİZ</v>
      </c>
      <c r="R58" s="74" t="str">
        <f t="shared" ca="1" si="26"/>
        <v>Aksiyon gerekmiyor</v>
      </c>
      <c r="S58" s="76">
        <f>IF($B58="","",COUNTIFS(AKTIVITE!$D$7:$D$1006,$B58,AKTIVITE!$J$7:$J$1006,"&lt;&gt;Tamamlandı"))</f>
        <v>0</v>
      </c>
      <c r="T58" s="70" t="str">
        <f>IF(OR($B58="",$AF58=""),"",IF(INDEX(MUSTERILER!$K$7:$K$156,$AF58)="","",INDEX(MUSTERILER!$K$7:$K$156,$AF58)))</f>
        <v/>
      </c>
      <c r="U58" s="76" t="str">
        <f t="shared" ca="1" si="27"/>
        <v/>
      </c>
      <c r="V58" s="68">
        <f t="shared" ca="1" si="28"/>
        <v>0</v>
      </c>
      <c r="W58" s="65" t="str">
        <f t="shared" ca="1" si="29"/>
        <v>UYGUN</v>
      </c>
      <c r="X58" s="2">
        <f ca="1">IF($B58="",0,SUMIFS(UCRETLER!$J$7:$J$606,UCRETLER!$B$7:$B$606,$B58))</f>
        <v>104000</v>
      </c>
      <c r="Y58" s="2">
        <f ca="1">IF($B58="",0,SUMIFS(UCRETLER!$K$7:$K$606,UCRETLER!$B$7:$B$606,$B58))</f>
        <v>104000</v>
      </c>
      <c r="Z58" s="1">
        <f ca="1">IF($B58="",0,SUMIFS(UCRETLER!$L$7:$L$606,UCRETLER!$B$7:$B$606,$B58))</f>
        <v>104000</v>
      </c>
      <c r="AA58" s="1">
        <f t="shared" si="30"/>
        <v>104000</v>
      </c>
      <c r="AB58" s="1">
        <f t="shared" si="31"/>
        <v>0</v>
      </c>
      <c r="AC58" s="1">
        <f t="shared" ca="1" si="32"/>
        <v>0</v>
      </c>
      <c r="AD58" s="1">
        <f t="shared" ca="1" si="33"/>
        <v>0</v>
      </c>
      <c r="AE58" s="1">
        <f t="shared" ca="1" si="34"/>
        <v>0</v>
      </c>
      <c r="AF58" s="1">
        <f>IFERROR(MATCH(ROW()-6,MUSTERILER!$U$7:$U$156,0),"")</f>
        <v>52</v>
      </c>
      <c r="AG58" s="1">
        <f>IF($B58="",0,SUMIFS(GELIR_GIDER!$G$7:$G$3006,GELIR_GIDER!$T$7:$T$3006,$B58))</f>
        <v>0</v>
      </c>
    </row>
    <row r="59" spans="1:33" ht="18" customHeight="1" x14ac:dyDescent="0.3">
      <c r="A59" s="2"/>
      <c r="B59" s="65" t="str">
        <f>IF($AF59="","",INDEX(MUSTERILER!$B$7:$B$156,$AF59))</f>
        <v>M053</v>
      </c>
      <c r="C59" s="74" t="str">
        <f>IF($AF59="","",INDEX(MUSTERILER!$C$7:$C$156,$AF59))</f>
        <v>YEDİYİRMİDÖRT LTD.ŞTİ.</v>
      </c>
      <c r="D59" s="68">
        <f>IF($B59="","",SUMIFS(UCRETLER!$G$7:$G$606,UCRETLER!$B$7:$B$606,$B59,UCRETLER!$F$7:$F$606,"Haftalık",UCRETLER!$H$7:$H$606,"Aktif"))</f>
        <v>0</v>
      </c>
      <c r="E59" s="68">
        <f>IF($B59="","",SUMIFS(UCRETLER!$G$7:$G$606,UCRETLER!$B$7:$B$606,$B59,UCRETLER!$F$7:$F$606,"Aylık",UCRETLER!$H$7:$H$606,"Aktif"))</f>
        <v>10000</v>
      </c>
      <c r="F59" s="68">
        <f>IF($B59="","",SUMIFS(MUSTERILER!$J$7:$J$156,MUSTERILER!$B$7:$B$156,$B59))</f>
        <v>0</v>
      </c>
      <c r="G59" s="68">
        <f ca="1">IF($B59="","",SUMIFS(UCRETLER!$I$7:$I$606,UCRETLER!$B$7:$B$606,$B59)+SUMIFS(GELIR_GIDER!$G$7:$G$3006,GELIR_GIDER!$T$7:$T$3006,$B59))</f>
        <v>70000</v>
      </c>
      <c r="H59" s="68">
        <f t="shared" ca="1" si="18"/>
        <v>70000</v>
      </c>
      <c r="I59" s="68">
        <f>IF($B59="","",SUMIFS(TAHSILAT!$F$7:$F$2506,TAHSILAT!$C$7:$C$2506,$B59))</f>
        <v>46000</v>
      </c>
      <c r="J59" s="68">
        <f t="shared" ca="1" si="19"/>
        <v>24000</v>
      </c>
      <c r="K59" s="68">
        <f t="shared" ca="1" si="20"/>
        <v>0</v>
      </c>
      <c r="L59" s="68">
        <f t="shared" ca="1" si="21"/>
        <v>0</v>
      </c>
      <c r="M59" s="68">
        <f t="shared" ca="1" si="22"/>
        <v>10000</v>
      </c>
      <c r="N59" s="68">
        <f t="shared" ca="1" si="23"/>
        <v>14000</v>
      </c>
      <c r="O59" s="86">
        <f t="shared" ca="1" si="24"/>
        <v>0.65714285714285714</v>
      </c>
      <c r="P59" s="70">
        <f>IF($B59="","",IFERROR(LOOKUP(2,1/(TAHSILAT!$C$7:$C$2506=$B59),TAHSILAT!$E$7:$E$2506),""))</f>
        <v>46203</v>
      </c>
      <c r="Q59" s="65" t="str">
        <f t="shared" ca="1" si="25"/>
        <v>KRİTİK</v>
      </c>
      <c r="R59" s="74" t="str">
        <f t="shared" ca="1" si="26"/>
        <v>Acil tahsilat görüşmesi ve cari mutabakat</v>
      </c>
      <c r="S59" s="76">
        <f>IF($B59="","",COUNTIFS(AKTIVITE!$D$7:$D$1006,$B59,AKTIVITE!$J$7:$J$1006,"&lt;&gt;Tamamlandı"))</f>
        <v>0</v>
      </c>
      <c r="T59" s="70" t="str">
        <f>IF(OR($B59="",$AF59=""),"",IF(INDEX(MUSTERILER!$K$7:$K$156,$AF59)="","",INDEX(MUSTERILER!$K$7:$K$156,$AF59)))</f>
        <v/>
      </c>
      <c r="U59" s="76" t="str">
        <f t="shared" ca="1" si="27"/>
        <v/>
      </c>
      <c r="V59" s="68">
        <f t="shared" ca="1" si="28"/>
        <v>0</v>
      </c>
      <c r="W59" s="65" t="str">
        <f t="shared" ca="1" si="29"/>
        <v>UYGUN</v>
      </c>
      <c r="X59" s="2">
        <f ca="1">IF($B59="",0,SUMIFS(UCRETLER!$J$7:$J$606,UCRETLER!$B$7:$B$606,$B59))</f>
        <v>70000</v>
      </c>
      <c r="Y59" s="2">
        <f ca="1">IF($B59="",0,SUMIFS(UCRETLER!$K$7:$K$606,UCRETLER!$B$7:$B$606,$B59))</f>
        <v>70000</v>
      </c>
      <c r="Z59" s="1">
        <f ca="1">IF($B59="",0,SUMIFS(UCRETLER!$L$7:$L$606,UCRETLER!$B$7:$B$606,$B59))</f>
        <v>60000</v>
      </c>
      <c r="AA59" s="1">
        <f t="shared" si="30"/>
        <v>46000</v>
      </c>
      <c r="AB59" s="1">
        <f t="shared" si="31"/>
        <v>0</v>
      </c>
      <c r="AC59" s="1">
        <f t="shared" ca="1" si="32"/>
        <v>24000</v>
      </c>
      <c r="AD59" s="1">
        <f t="shared" ca="1" si="33"/>
        <v>24000</v>
      </c>
      <c r="AE59" s="1">
        <f t="shared" ca="1" si="34"/>
        <v>14000</v>
      </c>
      <c r="AF59" s="1">
        <f>IFERROR(MATCH(ROW()-6,MUSTERILER!$U$7:$U$156,0),"")</f>
        <v>53</v>
      </c>
      <c r="AG59" s="1">
        <f>IF($B59="",0,SUMIFS(GELIR_GIDER!$G$7:$G$3006,GELIR_GIDER!$T$7:$T$3006,$B59))</f>
        <v>0</v>
      </c>
    </row>
    <row r="60" spans="1:33" ht="18" customHeight="1" x14ac:dyDescent="0.3">
      <c r="A60" s="2"/>
      <c r="B60" s="65" t="str">
        <f>IF($AF60="","",INDEX(MUSTERILER!$B$7:$B$156,$AF60))</f>
        <v>M004</v>
      </c>
      <c r="C60" s="74" t="str">
        <f>IF($AF60="","",INDEX(MUSTERILER!$C$7:$C$156,$AF60))</f>
        <v>ZÜMRÜT EĞLENCE LTD.ŞTİ.</v>
      </c>
      <c r="D60" s="68">
        <f>IF($B60="","",SUMIFS(UCRETLER!$G$7:$G$606,UCRETLER!$B$7:$B$606,$B60,UCRETLER!$F$7:$F$606,"Haftalık",UCRETLER!$H$7:$H$606,"Aktif"))</f>
        <v>3000</v>
      </c>
      <c r="E60" s="68">
        <f>IF($B60="","",SUMIFS(UCRETLER!$G$7:$G$606,UCRETLER!$B$7:$B$606,$B60,UCRETLER!$F$7:$F$606,"Aylık",UCRETLER!$H$7:$H$606,"Aktif"))</f>
        <v>0</v>
      </c>
      <c r="F60" s="68">
        <f>IF($B60="","",SUMIFS(MUSTERILER!$J$7:$J$156,MUSTERILER!$B$7:$B$156,$B60))</f>
        <v>0</v>
      </c>
      <c r="G60" s="68">
        <f ca="1">IF($B60="","",SUMIFS(UCRETLER!$I$7:$I$606,UCRETLER!$B$7:$B$606,$B60)+SUMIFS(GELIR_GIDER!$G$7:$G$3006,GELIR_GIDER!$T$7:$T$3006,$B60))</f>
        <v>102000</v>
      </c>
      <c r="H60" s="68">
        <f t="shared" ca="1" si="18"/>
        <v>102000</v>
      </c>
      <c r="I60" s="68">
        <f>IF($B60="","",SUMIFS(TAHSILAT!$F$7:$F$2506,TAHSILAT!$C$7:$C$2506,$B60))</f>
        <v>36000</v>
      </c>
      <c r="J60" s="68">
        <f t="shared" ca="1" si="19"/>
        <v>66000</v>
      </c>
      <c r="K60" s="68">
        <f t="shared" ca="1" si="20"/>
        <v>3000</v>
      </c>
      <c r="L60" s="68">
        <f t="shared" ca="1" si="21"/>
        <v>3000</v>
      </c>
      <c r="M60" s="68">
        <f t="shared" ca="1" si="22"/>
        <v>6000</v>
      </c>
      <c r="N60" s="68">
        <f t="shared" ca="1" si="23"/>
        <v>54000</v>
      </c>
      <c r="O60" s="86">
        <f t="shared" ca="1" si="24"/>
        <v>0.35294117647058826</v>
      </c>
      <c r="P60" s="70">
        <f>IF($B60="","",IFERROR(LOOKUP(2,1/(TAHSILAT!$C$7:$C$2506=$B60),TAHSILAT!$E$7:$E$2506),""))</f>
        <v>46137</v>
      </c>
      <c r="Q60" s="65" t="str">
        <f t="shared" ca="1" si="25"/>
        <v>KRİTİK</v>
      </c>
      <c r="R60" s="74" t="str">
        <f t="shared" ca="1" si="26"/>
        <v>Acil tahsilat görüşmesi ve cari mutabakat</v>
      </c>
      <c r="S60" s="76">
        <f>IF($B60="","",COUNTIFS(AKTIVITE!$D$7:$D$1006,$B60,AKTIVITE!$J$7:$J$1006,"&lt;&gt;Tamamlandı"))</f>
        <v>0</v>
      </c>
      <c r="T60" s="70" t="str">
        <f>IF(OR($B60="",$AF60=""),"",IF(INDEX(MUSTERILER!$K$7:$K$156,$AF60)="","",INDEX(MUSTERILER!$K$7:$K$156,$AF60)))</f>
        <v/>
      </c>
      <c r="U60" s="76" t="str">
        <f t="shared" ca="1" si="27"/>
        <v/>
      </c>
      <c r="V60" s="68">
        <f t="shared" ca="1" si="28"/>
        <v>0</v>
      </c>
      <c r="W60" s="65" t="str">
        <f t="shared" ca="1" si="29"/>
        <v>UYGUN</v>
      </c>
      <c r="X60" s="2">
        <f ca="1">IF($B60="",0,SUMIFS(UCRETLER!$J$7:$J$606,UCRETLER!$B$7:$B$606,$B60))</f>
        <v>99000</v>
      </c>
      <c r="Y60" s="2">
        <f ca="1">IF($B60="",0,SUMIFS(UCRETLER!$K$7:$K$606,UCRETLER!$B$7:$B$606,$B60))</f>
        <v>96000</v>
      </c>
      <c r="Z60" s="1">
        <f ca="1">IF($B60="",0,SUMIFS(UCRETLER!$L$7:$L$606,UCRETLER!$B$7:$B$606,$B60))</f>
        <v>90000</v>
      </c>
      <c r="AA60" s="1">
        <f t="shared" si="30"/>
        <v>36000</v>
      </c>
      <c r="AB60" s="1">
        <f t="shared" si="31"/>
        <v>0</v>
      </c>
      <c r="AC60" s="1">
        <f t="shared" ca="1" si="32"/>
        <v>63000</v>
      </c>
      <c r="AD60" s="1">
        <f t="shared" ca="1" si="33"/>
        <v>60000</v>
      </c>
      <c r="AE60" s="1">
        <f t="shared" ca="1" si="34"/>
        <v>54000</v>
      </c>
      <c r="AF60" s="1">
        <f>IFERROR(MATCH(ROW()-6,MUSTERILER!$U$7:$U$156,0),"")</f>
        <v>54</v>
      </c>
      <c r="AG60" s="1">
        <f>IF($B60="",0,SUMIFS(GELIR_GIDER!$G$7:$G$3006,GELIR_GIDER!$T$7:$T$3006,$B60))</f>
        <v>0</v>
      </c>
    </row>
    <row r="61" spans="1:33" ht="18" customHeight="1" x14ac:dyDescent="0.3">
      <c r="A61" s="2"/>
      <c r="B61" s="65" t="str">
        <f>IF($AF61="","",INDEX(MUSTERILER!$B$7:$B$156,$AF61))</f>
        <v>M005</v>
      </c>
      <c r="C61" s="74" t="str">
        <f>IF($AF61="","",INDEX(MUSTERILER!$C$7:$C$156,$AF61))</f>
        <v>ZÜMRÜT GRUP LTD.ŞTİ.</v>
      </c>
      <c r="D61" s="68">
        <f>IF($B61="","",SUMIFS(UCRETLER!$G$7:$G$606,UCRETLER!$B$7:$B$606,$B61,UCRETLER!$F$7:$F$606,"Haftalık",UCRETLER!$H$7:$H$606,"Aktif"))</f>
        <v>1750</v>
      </c>
      <c r="E61" s="68">
        <f>IF($B61="","",SUMIFS(UCRETLER!$G$7:$G$606,UCRETLER!$B$7:$B$606,$B61,UCRETLER!$F$7:$F$606,"Aylık",UCRETLER!$H$7:$H$606,"Aktif"))</f>
        <v>0</v>
      </c>
      <c r="F61" s="68">
        <f>IF($B61="","",SUMIFS(MUSTERILER!$J$7:$J$156,MUSTERILER!$B$7:$B$156,$B61))</f>
        <v>0</v>
      </c>
      <c r="G61" s="68">
        <f ca="1">IF($B61="","",SUMIFS(UCRETLER!$I$7:$I$606,UCRETLER!$B$7:$B$606,$B61)+SUMIFS(GELIR_GIDER!$G$7:$G$3006,GELIR_GIDER!$T$7:$T$3006,$B61))</f>
        <v>129050</v>
      </c>
      <c r="H61" s="68">
        <f t="shared" ca="1" si="18"/>
        <v>129050</v>
      </c>
      <c r="I61" s="68">
        <f>IF($B61="","",SUMIFS(TAHSILAT!$F$7:$F$2506,TAHSILAT!$C$7:$C$2506,$B61))</f>
        <v>42000</v>
      </c>
      <c r="J61" s="68">
        <f t="shared" ca="1" si="19"/>
        <v>87050</v>
      </c>
      <c r="K61" s="68">
        <f t="shared" ca="1" si="20"/>
        <v>71300</v>
      </c>
      <c r="L61" s="68">
        <f t="shared" ca="1" si="21"/>
        <v>1750</v>
      </c>
      <c r="M61" s="68">
        <f t="shared" ca="1" si="22"/>
        <v>3500</v>
      </c>
      <c r="N61" s="68">
        <f t="shared" ca="1" si="23"/>
        <v>10500</v>
      </c>
      <c r="O61" s="86">
        <f t="shared" ca="1" si="24"/>
        <v>0.32545524990313834</v>
      </c>
      <c r="P61" s="70">
        <f>IF($B61="","",IFERROR(LOOKUP(2,1/(TAHSILAT!$C$7:$C$2506=$B61),TAHSILAT!$E$7:$E$2506),""))</f>
        <v>46249</v>
      </c>
      <c r="Q61" s="65" t="str">
        <f t="shared" ca="1" si="25"/>
        <v>KRİTİK</v>
      </c>
      <c r="R61" s="74" t="str">
        <f t="shared" ca="1" si="26"/>
        <v>Acil tahsilat görüşmesi ve cari mutabakat</v>
      </c>
      <c r="S61" s="76">
        <f>IF($B61="","",COUNTIFS(AKTIVITE!$D$7:$D$1006,$B61,AKTIVITE!$J$7:$J$1006,"&lt;&gt;Tamamlandı"))</f>
        <v>0</v>
      </c>
      <c r="T61" s="70" t="str">
        <f>IF(OR($B61="",$AF61=""),"",IF(INDEX(MUSTERILER!$K$7:$K$156,$AF61)="","",INDEX(MUSTERILER!$K$7:$K$156,$AF61)))</f>
        <v/>
      </c>
      <c r="U61" s="76" t="str">
        <f t="shared" ca="1" si="27"/>
        <v/>
      </c>
      <c r="V61" s="68">
        <f t="shared" ca="1" si="28"/>
        <v>0</v>
      </c>
      <c r="W61" s="65" t="str">
        <f t="shared" ca="1" si="29"/>
        <v>UYGUN</v>
      </c>
      <c r="X61" s="2">
        <f ca="1">IF($B61="",0,SUMIFS(UCRETLER!$J$7:$J$606,UCRETLER!$B$7:$B$606,$B61))</f>
        <v>57750</v>
      </c>
      <c r="Y61" s="2">
        <f ca="1">IF($B61="",0,SUMIFS(UCRETLER!$K$7:$K$606,UCRETLER!$B$7:$B$606,$B61))</f>
        <v>56000</v>
      </c>
      <c r="Z61" s="1">
        <f ca="1">IF($B61="",0,SUMIFS(UCRETLER!$L$7:$L$606,UCRETLER!$B$7:$B$606,$B61))</f>
        <v>52500</v>
      </c>
      <c r="AA61" s="1">
        <f t="shared" si="30"/>
        <v>42000</v>
      </c>
      <c r="AB61" s="1">
        <f t="shared" si="31"/>
        <v>0</v>
      </c>
      <c r="AC61" s="1">
        <f t="shared" ca="1" si="32"/>
        <v>15750</v>
      </c>
      <c r="AD61" s="1">
        <f t="shared" ca="1" si="33"/>
        <v>14000</v>
      </c>
      <c r="AE61" s="1">
        <f t="shared" ca="1" si="34"/>
        <v>10500</v>
      </c>
      <c r="AF61" s="1">
        <f>IFERROR(MATCH(ROW()-6,MUSTERILER!$U$7:$U$156,0),"")</f>
        <v>55</v>
      </c>
      <c r="AG61" s="1">
        <f>IF($B61="",0,SUMIFS(GELIR_GIDER!$G$7:$G$3006,GELIR_GIDER!$T$7:$T$3006,$B61))</f>
        <v>69550</v>
      </c>
    </row>
    <row r="62" spans="1:33" ht="18" customHeight="1" x14ac:dyDescent="0.3">
      <c r="A62" s="2"/>
      <c r="B62" s="65" t="str">
        <f>IF($AF62="","",INDEX(MUSTERILER!$B$7:$B$156,$AF62))</f>
        <v/>
      </c>
      <c r="C62" s="74" t="str">
        <f>IF($AF62="","",INDEX(MUSTERILER!$C$7:$C$156,$AF62))</f>
        <v/>
      </c>
      <c r="D62" s="68" t="str">
        <f>IF($B62="","",SUMIFS(UCRETLER!$G$7:$G$606,UCRETLER!$B$7:$B$606,$B62,UCRETLER!$F$7:$F$606,"Haftalık",UCRETLER!$H$7:$H$606,"Aktif"))</f>
        <v/>
      </c>
      <c r="E62" s="68" t="str">
        <f>IF($B62="","",SUMIFS(UCRETLER!$G$7:$G$606,UCRETLER!$B$7:$B$606,$B62,UCRETLER!$F$7:$F$606,"Aylık",UCRETLER!$H$7:$H$606,"Aktif"))</f>
        <v/>
      </c>
      <c r="F62" s="68" t="str">
        <f>IF($B62="","",SUMIFS(MUSTERILER!$J$7:$J$156,MUSTERILER!$B$7:$B$156,$B62))</f>
        <v/>
      </c>
      <c r="G62" s="68" t="str">
        <f>IF($B62="","",SUMIFS(UCRETLER!$I$7:$I$606,UCRETLER!$B$7:$B$606,$B62)+SUMIFS(GELIR_GIDER!$G$7:$G$3006,GELIR_GIDER!$T$7:$T$3006,$B62))</f>
        <v/>
      </c>
      <c r="H62" s="68" t="str">
        <f t="shared" si="18"/>
        <v/>
      </c>
      <c r="I62" s="68" t="str">
        <f>IF($B62="","",SUMIFS(TAHSILAT!$F$7:$F$2506,TAHSILAT!$C$7:$C$2506,$B62))</f>
        <v/>
      </c>
      <c r="J62" s="68" t="str">
        <f t="shared" si="19"/>
        <v/>
      </c>
      <c r="K62" s="68" t="str">
        <f t="shared" si="20"/>
        <v/>
      </c>
      <c r="L62" s="68" t="str">
        <f t="shared" si="21"/>
        <v/>
      </c>
      <c r="M62" s="68" t="str">
        <f t="shared" si="22"/>
        <v/>
      </c>
      <c r="N62" s="68" t="str">
        <f t="shared" si="23"/>
        <v/>
      </c>
      <c r="O62" s="86" t="str">
        <f t="shared" si="24"/>
        <v/>
      </c>
      <c r="P62" s="70" t="str">
        <f>IF($B62="","",IFERROR(LOOKUP(2,1/(TAHSILAT!$C$7:$C$2506=$B62),TAHSILAT!$E$7:$E$2506),""))</f>
        <v/>
      </c>
      <c r="Q62" s="65" t="str">
        <f t="shared" si="25"/>
        <v/>
      </c>
      <c r="R62" s="74" t="str">
        <f t="shared" si="26"/>
        <v/>
      </c>
      <c r="S62" s="76" t="str">
        <f>IF($B62="","",COUNTIFS(AKTIVITE!$D$7:$D$1006,$B62,AKTIVITE!$J$7:$J$1006,"&lt;&gt;Tamamlandı"))</f>
        <v/>
      </c>
      <c r="T62" s="70" t="str">
        <f>IF(OR($B62="",$AF62=""),"",IF(INDEX(MUSTERILER!$K$7:$K$156,$AF62)="","",INDEX(MUSTERILER!$K$7:$K$156,$AF62)))</f>
        <v/>
      </c>
      <c r="U62" s="76" t="str">
        <f t="shared" ca="1" si="27"/>
        <v/>
      </c>
      <c r="V62" s="68" t="str">
        <f t="shared" si="28"/>
        <v/>
      </c>
      <c r="W62" s="65" t="str">
        <f t="shared" si="29"/>
        <v/>
      </c>
      <c r="X62" s="2">
        <f>IF($B62="",0,SUMIFS(UCRETLER!$J$7:$J$606,UCRETLER!$B$7:$B$606,$B62))</f>
        <v>0</v>
      </c>
      <c r="Y62" s="2">
        <f>IF($B62="",0,SUMIFS(UCRETLER!$K$7:$K$606,UCRETLER!$B$7:$B$606,$B62))</f>
        <v>0</v>
      </c>
      <c r="Z62" s="1">
        <f>IF($B62="",0,SUMIFS(UCRETLER!$L$7:$L$606,UCRETLER!$B$7:$B$606,$B62))</f>
        <v>0</v>
      </c>
      <c r="AA62" s="1">
        <f t="shared" si="30"/>
        <v>0</v>
      </c>
      <c r="AB62" s="1">
        <f t="shared" si="31"/>
        <v>0</v>
      </c>
      <c r="AC62" s="1">
        <f t="shared" si="32"/>
        <v>0</v>
      </c>
      <c r="AD62" s="1">
        <f t="shared" si="33"/>
        <v>0</v>
      </c>
      <c r="AE62" s="1">
        <f t="shared" si="34"/>
        <v>0</v>
      </c>
      <c r="AF62" s="1" t="str">
        <f>IFERROR(MATCH(ROW()-6,MUSTERILER!$U$7:$U$156,0),"")</f>
        <v/>
      </c>
      <c r="AG62" s="1">
        <f>IF($B62="",0,SUMIFS(GELIR_GIDER!$G$7:$G$3006,GELIR_GIDER!$T$7:$T$3006,$B62))</f>
        <v>0</v>
      </c>
    </row>
    <row r="63" spans="1:33" ht="18" customHeight="1" x14ac:dyDescent="0.3">
      <c r="A63" s="2"/>
      <c r="B63" s="65" t="str">
        <f>IF($AF63="","",INDEX(MUSTERILER!$B$7:$B$156,$AF63))</f>
        <v/>
      </c>
      <c r="C63" s="74" t="str">
        <f>IF($AF63="","",INDEX(MUSTERILER!$C$7:$C$156,$AF63))</f>
        <v/>
      </c>
      <c r="D63" s="68" t="str">
        <f>IF($B63="","",SUMIFS(UCRETLER!$G$7:$G$606,UCRETLER!$B$7:$B$606,$B63,UCRETLER!$F$7:$F$606,"Haftalık",UCRETLER!$H$7:$H$606,"Aktif"))</f>
        <v/>
      </c>
      <c r="E63" s="68" t="str">
        <f>IF($B63="","",SUMIFS(UCRETLER!$G$7:$G$606,UCRETLER!$B$7:$B$606,$B63,UCRETLER!$F$7:$F$606,"Aylık",UCRETLER!$H$7:$H$606,"Aktif"))</f>
        <v/>
      </c>
      <c r="F63" s="68" t="str">
        <f>IF($B63="","",SUMIFS(MUSTERILER!$J$7:$J$156,MUSTERILER!$B$7:$B$156,$B63))</f>
        <v/>
      </c>
      <c r="G63" s="68" t="str">
        <f>IF($B63="","",SUMIFS(UCRETLER!$I$7:$I$606,UCRETLER!$B$7:$B$606,$B63)+SUMIFS(GELIR_GIDER!$G$7:$G$3006,GELIR_GIDER!$T$7:$T$3006,$B63))</f>
        <v/>
      </c>
      <c r="H63" s="68" t="str">
        <f t="shared" si="18"/>
        <v/>
      </c>
      <c r="I63" s="68" t="str">
        <f>IF($B63="","",SUMIFS(TAHSILAT!$F$7:$F$2506,TAHSILAT!$C$7:$C$2506,$B63))</f>
        <v/>
      </c>
      <c r="J63" s="68" t="str">
        <f t="shared" si="19"/>
        <v/>
      </c>
      <c r="K63" s="68" t="str">
        <f t="shared" si="20"/>
        <v/>
      </c>
      <c r="L63" s="68" t="str">
        <f t="shared" si="21"/>
        <v/>
      </c>
      <c r="M63" s="68" t="str">
        <f t="shared" si="22"/>
        <v/>
      </c>
      <c r="N63" s="68" t="str">
        <f t="shared" si="23"/>
        <v/>
      </c>
      <c r="O63" s="86" t="str">
        <f t="shared" si="24"/>
        <v/>
      </c>
      <c r="P63" s="70" t="str">
        <f>IF($B63="","",IFERROR(LOOKUP(2,1/(TAHSILAT!$C$7:$C$2506=$B63),TAHSILAT!$E$7:$E$2506),""))</f>
        <v/>
      </c>
      <c r="Q63" s="65" t="str">
        <f t="shared" si="25"/>
        <v/>
      </c>
      <c r="R63" s="74" t="str">
        <f t="shared" si="26"/>
        <v/>
      </c>
      <c r="S63" s="76" t="str">
        <f>IF($B63="","",COUNTIFS(AKTIVITE!$D$7:$D$1006,$B63,AKTIVITE!$J$7:$J$1006,"&lt;&gt;Tamamlandı"))</f>
        <v/>
      </c>
      <c r="T63" s="70" t="str">
        <f>IF(OR($B63="",$AF63=""),"",IF(INDEX(MUSTERILER!$K$7:$K$156,$AF63)="","",INDEX(MUSTERILER!$K$7:$K$156,$AF63)))</f>
        <v/>
      </c>
      <c r="U63" s="76" t="str">
        <f t="shared" ca="1" si="27"/>
        <v/>
      </c>
      <c r="V63" s="68" t="str">
        <f t="shared" si="28"/>
        <v/>
      </c>
      <c r="W63" s="65" t="str">
        <f t="shared" si="29"/>
        <v/>
      </c>
      <c r="X63" s="2">
        <f>IF($B63="",0,SUMIFS(UCRETLER!$J$7:$J$606,UCRETLER!$B$7:$B$606,$B63))</f>
        <v>0</v>
      </c>
      <c r="Y63" s="2">
        <f>IF($B63="",0,SUMIFS(UCRETLER!$K$7:$K$606,UCRETLER!$B$7:$B$606,$B63))</f>
        <v>0</v>
      </c>
      <c r="Z63" s="1">
        <f>IF($B63="",0,SUMIFS(UCRETLER!$L$7:$L$606,UCRETLER!$B$7:$B$606,$B63))</f>
        <v>0</v>
      </c>
      <c r="AA63" s="1">
        <f t="shared" si="30"/>
        <v>0</v>
      </c>
      <c r="AB63" s="1">
        <f t="shared" si="31"/>
        <v>0</v>
      </c>
      <c r="AC63" s="1">
        <f t="shared" si="32"/>
        <v>0</v>
      </c>
      <c r="AD63" s="1">
        <f t="shared" si="33"/>
        <v>0</v>
      </c>
      <c r="AE63" s="1">
        <f t="shared" si="34"/>
        <v>0</v>
      </c>
      <c r="AF63" s="1" t="str">
        <f>IFERROR(MATCH(ROW()-6,MUSTERILER!$U$7:$U$156,0),"")</f>
        <v/>
      </c>
      <c r="AG63" s="1">
        <f>IF($B63="",0,SUMIFS(GELIR_GIDER!$G$7:$G$3006,GELIR_GIDER!$T$7:$T$3006,$B63))</f>
        <v>0</v>
      </c>
    </row>
    <row r="64" spans="1:33" ht="18" customHeight="1" x14ac:dyDescent="0.3">
      <c r="A64" s="2"/>
      <c r="B64" s="65" t="str">
        <f>IF($AF64="","",INDEX(MUSTERILER!$B$7:$B$156,$AF64))</f>
        <v/>
      </c>
      <c r="C64" s="74" t="str">
        <f>IF($AF64="","",INDEX(MUSTERILER!$C$7:$C$156,$AF64))</f>
        <v/>
      </c>
      <c r="D64" s="68" t="str">
        <f>IF($B64="","",SUMIFS(UCRETLER!$G$7:$G$606,UCRETLER!$B$7:$B$606,$B64,UCRETLER!$F$7:$F$606,"Haftalık",UCRETLER!$H$7:$H$606,"Aktif"))</f>
        <v/>
      </c>
      <c r="E64" s="68" t="str">
        <f>IF($B64="","",SUMIFS(UCRETLER!$G$7:$G$606,UCRETLER!$B$7:$B$606,$B64,UCRETLER!$F$7:$F$606,"Aylık",UCRETLER!$H$7:$H$606,"Aktif"))</f>
        <v/>
      </c>
      <c r="F64" s="68" t="str">
        <f>IF($B64="","",SUMIFS(MUSTERILER!$J$7:$J$156,MUSTERILER!$B$7:$B$156,$B64))</f>
        <v/>
      </c>
      <c r="G64" s="68" t="str">
        <f>IF($B64="","",SUMIFS(UCRETLER!$I$7:$I$606,UCRETLER!$B$7:$B$606,$B64)+SUMIFS(GELIR_GIDER!$G$7:$G$3006,GELIR_GIDER!$T$7:$T$3006,$B64))</f>
        <v/>
      </c>
      <c r="H64" s="68" t="str">
        <f t="shared" si="18"/>
        <v/>
      </c>
      <c r="I64" s="68" t="str">
        <f>IF($B64="","",SUMIFS(TAHSILAT!$F$7:$F$2506,TAHSILAT!$C$7:$C$2506,$B64))</f>
        <v/>
      </c>
      <c r="J64" s="68" t="str">
        <f t="shared" si="19"/>
        <v/>
      </c>
      <c r="K64" s="68" t="str">
        <f t="shared" si="20"/>
        <v/>
      </c>
      <c r="L64" s="68" t="str">
        <f t="shared" si="21"/>
        <v/>
      </c>
      <c r="M64" s="68" t="str">
        <f t="shared" si="22"/>
        <v/>
      </c>
      <c r="N64" s="68" t="str">
        <f t="shared" si="23"/>
        <v/>
      </c>
      <c r="O64" s="86" t="str">
        <f t="shared" si="24"/>
        <v/>
      </c>
      <c r="P64" s="70" t="str">
        <f>IF($B64="","",IFERROR(LOOKUP(2,1/(TAHSILAT!$C$7:$C$2506=$B64),TAHSILAT!$E$7:$E$2506),""))</f>
        <v/>
      </c>
      <c r="Q64" s="65" t="str">
        <f t="shared" si="25"/>
        <v/>
      </c>
      <c r="R64" s="74" t="str">
        <f t="shared" si="26"/>
        <v/>
      </c>
      <c r="S64" s="76" t="str">
        <f>IF($B64="","",COUNTIFS(AKTIVITE!$D$7:$D$1006,$B64,AKTIVITE!$J$7:$J$1006,"&lt;&gt;Tamamlandı"))</f>
        <v/>
      </c>
      <c r="T64" s="70" t="str">
        <f>IF(OR($B64="",$AF64=""),"",IF(INDEX(MUSTERILER!$K$7:$K$156,$AF64)="","",INDEX(MUSTERILER!$K$7:$K$156,$AF64)))</f>
        <v/>
      </c>
      <c r="U64" s="76" t="str">
        <f t="shared" ca="1" si="27"/>
        <v/>
      </c>
      <c r="V64" s="68" t="str">
        <f t="shared" si="28"/>
        <v/>
      </c>
      <c r="W64" s="65" t="str">
        <f t="shared" si="29"/>
        <v/>
      </c>
      <c r="X64" s="2">
        <f>IF($B64="",0,SUMIFS(UCRETLER!$J$7:$J$606,UCRETLER!$B$7:$B$606,$B64))</f>
        <v>0</v>
      </c>
      <c r="Y64" s="2">
        <f>IF($B64="",0,SUMIFS(UCRETLER!$K$7:$K$606,UCRETLER!$B$7:$B$606,$B64))</f>
        <v>0</v>
      </c>
      <c r="Z64" s="1">
        <f>IF($B64="",0,SUMIFS(UCRETLER!$L$7:$L$606,UCRETLER!$B$7:$B$606,$B64))</f>
        <v>0</v>
      </c>
      <c r="AA64" s="1">
        <f t="shared" si="30"/>
        <v>0</v>
      </c>
      <c r="AB64" s="1">
        <f t="shared" si="31"/>
        <v>0</v>
      </c>
      <c r="AC64" s="1">
        <f t="shared" si="32"/>
        <v>0</v>
      </c>
      <c r="AD64" s="1">
        <f t="shared" si="33"/>
        <v>0</v>
      </c>
      <c r="AE64" s="1">
        <f t="shared" si="34"/>
        <v>0</v>
      </c>
      <c r="AF64" s="1" t="str">
        <f>IFERROR(MATCH(ROW()-6,MUSTERILER!$U$7:$U$156,0),"")</f>
        <v/>
      </c>
      <c r="AG64" s="1">
        <f>IF($B64="",0,SUMIFS(GELIR_GIDER!$G$7:$G$3006,GELIR_GIDER!$T$7:$T$3006,$B64))</f>
        <v>0</v>
      </c>
    </row>
    <row r="65" spans="1:33" ht="18" customHeight="1" x14ac:dyDescent="0.3">
      <c r="A65" s="2"/>
      <c r="B65" s="65" t="str">
        <f>IF($AF65="","",INDEX(MUSTERILER!$B$7:$B$156,$AF65))</f>
        <v/>
      </c>
      <c r="C65" s="74" t="str">
        <f>IF($AF65="","",INDEX(MUSTERILER!$C$7:$C$156,$AF65))</f>
        <v/>
      </c>
      <c r="D65" s="68" t="str">
        <f>IF($B65="","",SUMIFS(UCRETLER!$G$7:$G$606,UCRETLER!$B$7:$B$606,$B65,UCRETLER!$F$7:$F$606,"Haftalık",UCRETLER!$H$7:$H$606,"Aktif"))</f>
        <v/>
      </c>
      <c r="E65" s="68" t="str">
        <f>IF($B65="","",SUMIFS(UCRETLER!$G$7:$G$606,UCRETLER!$B$7:$B$606,$B65,UCRETLER!$F$7:$F$606,"Aylık",UCRETLER!$H$7:$H$606,"Aktif"))</f>
        <v/>
      </c>
      <c r="F65" s="68" t="str">
        <f>IF($B65="","",SUMIFS(MUSTERILER!$J$7:$J$156,MUSTERILER!$B$7:$B$156,$B65))</f>
        <v/>
      </c>
      <c r="G65" s="68" t="str">
        <f>IF($B65="","",SUMIFS(UCRETLER!$I$7:$I$606,UCRETLER!$B$7:$B$606,$B65)+SUMIFS(GELIR_GIDER!$G$7:$G$3006,GELIR_GIDER!$T$7:$T$3006,$B65))</f>
        <v/>
      </c>
      <c r="H65" s="68" t="str">
        <f t="shared" si="18"/>
        <v/>
      </c>
      <c r="I65" s="68" t="str">
        <f>IF($B65="","",SUMIFS(TAHSILAT!$F$7:$F$2506,TAHSILAT!$C$7:$C$2506,$B65))</f>
        <v/>
      </c>
      <c r="J65" s="68" t="str">
        <f t="shared" si="19"/>
        <v/>
      </c>
      <c r="K65" s="68" t="str">
        <f t="shared" si="20"/>
        <v/>
      </c>
      <c r="L65" s="68" t="str">
        <f t="shared" si="21"/>
        <v/>
      </c>
      <c r="M65" s="68" t="str">
        <f t="shared" si="22"/>
        <v/>
      </c>
      <c r="N65" s="68" t="str">
        <f t="shared" si="23"/>
        <v/>
      </c>
      <c r="O65" s="86" t="str">
        <f t="shared" si="24"/>
        <v/>
      </c>
      <c r="P65" s="70" t="str">
        <f>IF($B65="","",IFERROR(LOOKUP(2,1/(TAHSILAT!$C$7:$C$2506=$B65),TAHSILAT!$E$7:$E$2506),""))</f>
        <v/>
      </c>
      <c r="Q65" s="65" t="str">
        <f t="shared" si="25"/>
        <v/>
      </c>
      <c r="R65" s="74" t="str">
        <f t="shared" si="26"/>
        <v/>
      </c>
      <c r="S65" s="76" t="str">
        <f>IF($B65="","",COUNTIFS(AKTIVITE!$D$7:$D$1006,$B65,AKTIVITE!$J$7:$J$1006,"&lt;&gt;Tamamlandı"))</f>
        <v/>
      </c>
      <c r="T65" s="70" t="str">
        <f>IF(OR($B65="",$AF65=""),"",IF(INDEX(MUSTERILER!$K$7:$K$156,$AF65)="","",INDEX(MUSTERILER!$K$7:$K$156,$AF65)))</f>
        <v/>
      </c>
      <c r="U65" s="76" t="str">
        <f t="shared" ca="1" si="27"/>
        <v/>
      </c>
      <c r="V65" s="68" t="str">
        <f t="shared" si="28"/>
        <v/>
      </c>
      <c r="W65" s="65" t="str">
        <f t="shared" si="29"/>
        <v/>
      </c>
      <c r="X65" s="2">
        <f>IF($B65="",0,SUMIFS(UCRETLER!$J$7:$J$606,UCRETLER!$B$7:$B$606,$B65))</f>
        <v>0</v>
      </c>
      <c r="Y65" s="2">
        <f>IF($B65="",0,SUMIFS(UCRETLER!$K$7:$K$606,UCRETLER!$B$7:$B$606,$B65))</f>
        <v>0</v>
      </c>
      <c r="Z65" s="1">
        <f>IF($B65="",0,SUMIFS(UCRETLER!$L$7:$L$606,UCRETLER!$B$7:$B$606,$B65))</f>
        <v>0</v>
      </c>
      <c r="AA65" s="1">
        <f t="shared" si="30"/>
        <v>0</v>
      </c>
      <c r="AB65" s="1">
        <f t="shared" si="31"/>
        <v>0</v>
      </c>
      <c r="AC65" s="1">
        <f t="shared" si="32"/>
        <v>0</v>
      </c>
      <c r="AD65" s="1">
        <f t="shared" si="33"/>
        <v>0</v>
      </c>
      <c r="AE65" s="1">
        <f t="shared" si="34"/>
        <v>0</v>
      </c>
      <c r="AF65" s="1" t="str">
        <f>IFERROR(MATCH(ROW()-6,MUSTERILER!$U$7:$U$156,0),"")</f>
        <v/>
      </c>
      <c r="AG65" s="1">
        <f>IF($B65="",0,SUMIFS(GELIR_GIDER!$G$7:$G$3006,GELIR_GIDER!$T$7:$T$3006,$B65))</f>
        <v>0</v>
      </c>
    </row>
    <row r="66" spans="1:33" ht="18" customHeight="1" x14ac:dyDescent="0.3">
      <c r="A66" s="2"/>
      <c r="B66" s="65" t="str">
        <f>IF($AF66="","",INDEX(MUSTERILER!$B$7:$B$156,$AF66))</f>
        <v/>
      </c>
      <c r="C66" s="74" t="str">
        <f>IF($AF66="","",INDEX(MUSTERILER!$C$7:$C$156,$AF66))</f>
        <v/>
      </c>
      <c r="D66" s="68" t="str">
        <f>IF($B66="","",SUMIFS(UCRETLER!$G$7:$G$606,UCRETLER!$B$7:$B$606,$B66,UCRETLER!$F$7:$F$606,"Haftalık",UCRETLER!$H$7:$H$606,"Aktif"))</f>
        <v/>
      </c>
      <c r="E66" s="68" t="str">
        <f>IF($B66="","",SUMIFS(UCRETLER!$G$7:$G$606,UCRETLER!$B$7:$B$606,$B66,UCRETLER!$F$7:$F$606,"Aylık",UCRETLER!$H$7:$H$606,"Aktif"))</f>
        <v/>
      </c>
      <c r="F66" s="68" t="str">
        <f>IF($B66="","",SUMIFS(MUSTERILER!$J$7:$J$156,MUSTERILER!$B$7:$B$156,$B66))</f>
        <v/>
      </c>
      <c r="G66" s="68" t="str">
        <f>IF($B66="","",SUMIFS(UCRETLER!$I$7:$I$606,UCRETLER!$B$7:$B$606,$B66)+SUMIFS(GELIR_GIDER!$G$7:$G$3006,GELIR_GIDER!$T$7:$T$3006,$B66))</f>
        <v/>
      </c>
      <c r="H66" s="68" t="str">
        <f t="shared" si="18"/>
        <v/>
      </c>
      <c r="I66" s="68" t="str">
        <f>IF($B66="","",SUMIFS(TAHSILAT!$F$7:$F$2506,TAHSILAT!$C$7:$C$2506,$B66))</f>
        <v/>
      </c>
      <c r="J66" s="68" t="str">
        <f t="shared" si="19"/>
        <v/>
      </c>
      <c r="K66" s="68" t="str">
        <f t="shared" si="20"/>
        <v/>
      </c>
      <c r="L66" s="68" t="str">
        <f t="shared" si="21"/>
        <v/>
      </c>
      <c r="M66" s="68" t="str">
        <f t="shared" si="22"/>
        <v/>
      </c>
      <c r="N66" s="68" t="str">
        <f t="shared" si="23"/>
        <v/>
      </c>
      <c r="O66" s="86" t="str">
        <f t="shared" si="24"/>
        <v/>
      </c>
      <c r="P66" s="70" t="str">
        <f>IF($B66="","",IFERROR(LOOKUP(2,1/(TAHSILAT!$C$7:$C$2506=$B66),TAHSILAT!$E$7:$E$2506),""))</f>
        <v/>
      </c>
      <c r="Q66" s="65" t="str">
        <f t="shared" si="25"/>
        <v/>
      </c>
      <c r="R66" s="74" t="str">
        <f t="shared" si="26"/>
        <v/>
      </c>
      <c r="S66" s="76" t="str">
        <f>IF($B66="","",COUNTIFS(AKTIVITE!$D$7:$D$1006,$B66,AKTIVITE!$J$7:$J$1006,"&lt;&gt;Tamamlandı"))</f>
        <v/>
      </c>
      <c r="T66" s="70" t="str">
        <f>IF(OR($B66="",$AF66=""),"",IF(INDEX(MUSTERILER!$K$7:$K$156,$AF66)="","",INDEX(MUSTERILER!$K$7:$K$156,$AF66)))</f>
        <v/>
      </c>
      <c r="U66" s="76" t="str">
        <f t="shared" ca="1" si="27"/>
        <v/>
      </c>
      <c r="V66" s="68" t="str">
        <f t="shared" si="28"/>
        <v/>
      </c>
      <c r="W66" s="65" t="str">
        <f t="shared" si="29"/>
        <v/>
      </c>
      <c r="X66" s="2">
        <f>IF($B66="",0,SUMIFS(UCRETLER!$J$7:$J$606,UCRETLER!$B$7:$B$606,$B66))</f>
        <v>0</v>
      </c>
      <c r="Y66" s="2">
        <f>IF($B66="",0,SUMIFS(UCRETLER!$K$7:$K$606,UCRETLER!$B$7:$B$606,$B66))</f>
        <v>0</v>
      </c>
      <c r="Z66" s="1">
        <f>IF($B66="",0,SUMIFS(UCRETLER!$L$7:$L$606,UCRETLER!$B$7:$B$606,$B66))</f>
        <v>0</v>
      </c>
      <c r="AA66" s="1">
        <f t="shared" si="30"/>
        <v>0</v>
      </c>
      <c r="AB66" s="1">
        <f t="shared" si="31"/>
        <v>0</v>
      </c>
      <c r="AC66" s="1">
        <f t="shared" si="32"/>
        <v>0</v>
      </c>
      <c r="AD66" s="1">
        <f t="shared" si="33"/>
        <v>0</v>
      </c>
      <c r="AE66" s="1">
        <f t="shared" si="34"/>
        <v>0</v>
      </c>
      <c r="AF66" s="1" t="str">
        <f>IFERROR(MATCH(ROW()-6,MUSTERILER!$U$7:$U$156,0),"")</f>
        <v/>
      </c>
      <c r="AG66" s="1">
        <f>IF($B66="",0,SUMIFS(GELIR_GIDER!$G$7:$G$3006,GELIR_GIDER!$T$7:$T$3006,$B66))</f>
        <v>0</v>
      </c>
    </row>
    <row r="67" spans="1:33" ht="18" customHeight="1" x14ac:dyDescent="0.3">
      <c r="A67" s="2"/>
      <c r="B67" s="65" t="str">
        <f>IF($AF67="","",INDEX(MUSTERILER!$B$7:$B$156,$AF67))</f>
        <v/>
      </c>
      <c r="C67" s="74" t="str">
        <f>IF($AF67="","",INDEX(MUSTERILER!$C$7:$C$156,$AF67))</f>
        <v/>
      </c>
      <c r="D67" s="68" t="str">
        <f>IF($B67="","",SUMIFS(UCRETLER!$G$7:$G$606,UCRETLER!$B$7:$B$606,$B67,UCRETLER!$F$7:$F$606,"Haftalık",UCRETLER!$H$7:$H$606,"Aktif"))</f>
        <v/>
      </c>
      <c r="E67" s="68" t="str">
        <f>IF($B67="","",SUMIFS(UCRETLER!$G$7:$G$606,UCRETLER!$B$7:$B$606,$B67,UCRETLER!$F$7:$F$606,"Aylık",UCRETLER!$H$7:$H$606,"Aktif"))</f>
        <v/>
      </c>
      <c r="F67" s="68" t="str">
        <f>IF($B67="","",SUMIFS(MUSTERILER!$J$7:$J$156,MUSTERILER!$B$7:$B$156,$B67))</f>
        <v/>
      </c>
      <c r="G67" s="68" t="str">
        <f>IF($B67="","",SUMIFS(UCRETLER!$I$7:$I$606,UCRETLER!$B$7:$B$606,$B67)+SUMIFS(GELIR_GIDER!$G$7:$G$3006,GELIR_GIDER!$T$7:$T$3006,$B67))</f>
        <v/>
      </c>
      <c r="H67" s="68" t="str">
        <f t="shared" si="18"/>
        <v/>
      </c>
      <c r="I67" s="68" t="str">
        <f>IF($B67="","",SUMIFS(TAHSILAT!$F$7:$F$2506,TAHSILAT!$C$7:$C$2506,$B67))</f>
        <v/>
      </c>
      <c r="J67" s="68" t="str">
        <f t="shared" si="19"/>
        <v/>
      </c>
      <c r="K67" s="68" t="str">
        <f t="shared" si="20"/>
        <v/>
      </c>
      <c r="L67" s="68" t="str">
        <f t="shared" si="21"/>
        <v/>
      </c>
      <c r="M67" s="68" t="str">
        <f t="shared" si="22"/>
        <v/>
      </c>
      <c r="N67" s="68" t="str">
        <f t="shared" si="23"/>
        <v/>
      </c>
      <c r="O67" s="86" t="str">
        <f t="shared" si="24"/>
        <v/>
      </c>
      <c r="P67" s="70" t="str">
        <f>IF($B67="","",IFERROR(LOOKUP(2,1/(TAHSILAT!$C$7:$C$2506=$B67),TAHSILAT!$E$7:$E$2506),""))</f>
        <v/>
      </c>
      <c r="Q67" s="65" t="str">
        <f t="shared" si="25"/>
        <v/>
      </c>
      <c r="R67" s="74" t="str">
        <f t="shared" si="26"/>
        <v/>
      </c>
      <c r="S67" s="76" t="str">
        <f>IF($B67="","",COUNTIFS(AKTIVITE!$D$7:$D$1006,$B67,AKTIVITE!$J$7:$J$1006,"&lt;&gt;Tamamlandı"))</f>
        <v/>
      </c>
      <c r="T67" s="70" t="str">
        <f>IF(OR($B67="",$AF67=""),"",IF(INDEX(MUSTERILER!$K$7:$K$156,$AF67)="","",INDEX(MUSTERILER!$K$7:$K$156,$AF67)))</f>
        <v/>
      </c>
      <c r="U67" s="76" t="str">
        <f t="shared" ca="1" si="27"/>
        <v/>
      </c>
      <c r="V67" s="68" t="str">
        <f t="shared" si="28"/>
        <v/>
      </c>
      <c r="W67" s="65" t="str">
        <f t="shared" si="29"/>
        <v/>
      </c>
      <c r="X67" s="2">
        <f>IF($B67="",0,SUMIFS(UCRETLER!$J$7:$J$606,UCRETLER!$B$7:$B$606,$B67))</f>
        <v>0</v>
      </c>
      <c r="Y67" s="2">
        <f>IF($B67="",0,SUMIFS(UCRETLER!$K$7:$K$606,UCRETLER!$B$7:$B$606,$B67))</f>
        <v>0</v>
      </c>
      <c r="Z67" s="1">
        <f>IF($B67="",0,SUMIFS(UCRETLER!$L$7:$L$606,UCRETLER!$B$7:$B$606,$B67))</f>
        <v>0</v>
      </c>
      <c r="AA67" s="1">
        <f t="shared" si="30"/>
        <v>0</v>
      </c>
      <c r="AB67" s="1">
        <f t="shared" si="31"/>
        <v>0</v>
      </c>
      <c r="AC67" s="1">
        <f t="shared" si="32"/>
        <v>0</v>
      </c>
      <c r="AD67" s="1">
        <f t="shared" si="33"/>
        <v>0</v>
      </c>
      <c r="AE67" s="1">
        <f t="shared" si="34"/>
        <v>0</v>
      </c>
      <c r="AF67" s="1" t="str">
        <f>IFERROR(MATCH(ROW()-6,MUSTERILER!$U$7:$U$156,0),"")</f>
        <v/>
      </c>
      <c r="AG67" s="1">
        <f>IF($B67="",0,SUMIFS(GELIR_GIDER!$G$7:$G$3006,GELIR_GIDER!$T$7:$T$3006,$B67))</f>
        <v>0</v>
      </c>
    </row>
    <row r="68" spans="1:33" ht="18" customHeight="1" x14ac:dyDescent="0.3">
      <c r="A68" s="2"/>
      <c r="B68" s="65" t="str">
        <f>IF($AF68="","",INDEX(MUSTERILER!$B$7:$B$156,$AF68))</f>
        <v/>
      </c>
      <c r="C68" s="74" t="str">
        <f>IF($AF68="","",INDEX(MUSTERILER!$C$7:$C$156,$AF68))</f>
        <v/>
      </c>
      <c r="D68" s="68" t="str">
        <f>IF($B68="","",SUMIFS(UCRETLER!$G$7:$G$606,UCRETLER!$B$7:$B$606,$B68,UCRETLER!$F$7:$F$606,"Haftalık",UCRETLER!$H$7:$H$606,"Aktif"))</f>
        <v/>
      </c>
      <c r="E68" s="68" t="str">
        <f>IF($B68="","",SUMIFS(UCRETLER!$G$7:$G$606,UCRETLER!$B$7:$B$606,$B68,UCRETLER!$F$7:$F$606,"Aylık",UCRETLER!$H$7:$H$606,"Aktif"))</f>
        <v/>
      </c>
      <c r="F68" s="68" t="str">
        <f>IF($B68="","",SUMIFS(MUSTERILER!$J$7:$J$156,MUSTERILER!$B$7:$B$156,$B68))</f>
        <v/>
      </c>
      <c r="G68" s="68" t="str">
        <f>IF($B68="","",SUMIFS(UCRETLER!$I$7:$I$606,UCRETLER!$B$7:$B$606,$B68)+SUMIFS(GELIR_GIDER!$G$7:$G$3006,GELIR_GIDER!$T$7:$T$3006,$B68))</f>
        <v/>
      </c>
      <c r="H68" s="68" t="str">
        <f t="shared" si="18"/>
        <v/>
      </c>
      <c r="I68" s="68" t="str">
        <f>IF($B68="","",SUMIFS(TAHSILAT!$F$7:$F$2506,TAHSILAT!$C$7:$C$2506,$B68))</f>
        <v/>
      </c>
      <c r="J68" s="68" t="str">
        <f t="shared" si="19"/>
        <v/>
      </c>
      <c r="K68" s="68" t="str">
        <f t="shared" si="20"/>
        <v/>
      </c>
      <c r="L68" s="68" t="str">
        <f t="shared" si="21"/>
        <v/>
      </c>
      <c r="M68" s="68" t="str">
        <f t="shared" si="22"/>
        <v/>
      </c>
      <c r="N68" s="68" t="str">
        <f t="shared" si="23"/>
        <v/>
      </c>
      <c r="O68" s="86" t="str">
        <f t="shared" si="24"/>
        <v/>
      </c>
      <c r="P68" s="70" t="str">
        <f>IF($B68="","",IFERROR(LOOKUP(2,1/(TAHSILAT!$C$7:$C$2506=$B68),TAHSILAT!$E$7:$E$2506),""))</f>
        <v/>
      </c>
      <c r="Q68" s="65" t="str">
        <f t="shared" si="25"/>
        <v/>
      </c>
      <c r="R68" s="74" t="str">
        <f t="shared" si="26"/>
        <v/>
      </c>
      <c r="S68" s="76" t="str">
        <f>IF($B68="","",COUNTIFS(AKTIVITE!$D$7:$D$1006,$B68,AKTIVITE!$J$7:$J$1006,"&lt;&gt;Tamamlandı"))</f>
        <v/>
      </c>
      <c r="T68" s="70" t="str">
        <f>IF(OR($B68="",$AF68=""),"",IF(INDEX(MUSTERILER!$K$7:$K$156,$AF68)="","",INDEX(MUSTERILER!$K$7:$K$156,$AF68)))</f>
        <v/>
      </c>
      <c r="U68" s="76" t="str">
        <f t="shared" ca="1" si="27"/>
        <v/>
      </c>
      <c r="V68" s="68" t="str">
        <f t="shared" si="28"/>
        <v/>
      </c>
      <c r="W68" s="65" t="str">
        <f t="shared" si="29"/>
        <v/>
      </c>
      <c r="X68" s="2">
        <f>IF($B68="",0,SUMIFS(UCRETLER!$J$7:$J$606,UCRETLER!$B$7:$B$606,$B68))</f>
        <v>0</v>
      </c>
      <c r="Y68" s="2">
        <f>IF($B68="",0,SUMIFS(UCRETLER!$K$7:$K$606,UCRETLER!$B$7:$B$606,$B68))</f>
        <v>0</v>
      </c>
      <c r="Z68" s="1">
        <f>IF($B68="",0,SUMIFS(UCRETLER!$L$7:$L$606,UCRETLER!$B$7:$B$606,$B68))</f>
        <v>0</v>
      </c>
      <c r="AA68" s="1">
        <f t="shared" si="30"/>
        <v>0</v>
      </c>
      <c r="AB68" s="1">
        <f t="shared" si="31"/>
        <v>0</v>
      </c>
      <c r="AC68" s="1">
        <f t="shared" si="32"/>
        <v>0</v>
      </c>
      <c r="AD68" s="1">
        <f t="shared" si="33"/>
        <v>0</v>
      </c>
      <c r="AE68" s="1">
        <f t="shared" si="34"/>
        <v>0</v>
      </c>
      <c r="AF68" s="1" t="str">
        <f>IFERROR(MATCH(ROW()-6,MUSTERILER!$U$7:$U$156,0),"")</f>
        <v/>
      </c>
      <c r="AG68" s="1">
        <f>IF($B68="",0,SUMIFS(GELIR_GIDER!$G$7:$G$3006,GELIR_GIDER!$T$7:$T$3006,$B68))</f>
        <v>0</v>
      </c>
    </row>
    <row r="69" spans="1:33" ht="18" customHeight="1" x14ac:dyDescent="0.3">
      <c r="A69" s="2"/>
      <c r="B69" s="65" t="str">
        <f>IF($AF69="","",INDEX(MUSTERILER!$B$7:$B$156,$AF69))</f>
        <v/>
      </c>
      <c r="C69" s="74" t="str">
        <f>IF($AF69="","",INDEX(MUSTERILER!$C$7:$C$156,$AF69))</f>
        <v/>
      </c>
      <c r="D69" s="68" t="str">
        <f>IF($B69="","",SUMIFS(UCRETLER!$G$7:$G$606,UCRETLER!$B$7:$B$606,$B69,UCRETLER!$F$7:$F$606,"Haftalık",UCRETLER!$H$7:$H$606,"Aktif"))</f>
        <v/>
      </c>
      <c r="E69" s="68" t="str">
        <f>IF($B69="","",SUMIFS(UCRETLER!$G$7:$G$606,UCRETLER!$B$7:$B$606,$B69,UCRETLER!$F$7:$F$606,"Aylık",UCRETLER!$H$7:$H$606,"Aktif"))</f>
        <v/>
      </c>
      <c r="F69" s="68" t="str">
        <f>IF($B69="","",SUMIFS(MUSTERILER!$J$7:$J$156,MUSTERILER!$B$7:$B$156,$B69))</f>
        <v/>
      </c>
      <c r="G69" s="68" t="str">
        <f>IF($B69="","",SUMIFS(UCRETLER!$I$7:$I$606,UCRETLER!$B$7:$B$606,$B69)+SUMIFS(GELIR_GIDER!$G$7:$G$3006,GELIR_GIDER!$T$7:$T$3006,$B69))</f>
        <v/>
      </c>
      <c r="H69" s="68" t="str">
        <f t="shared" si="18"/>
        <v/>
      </c>
      <c r="I69" s="68" t="str">
        <f>IF($B69="","",SUMIFS(TAHSILAT!$F$7:$F$2506,TAHSILAT!$C$7:$C$2506,$B69))</f>
        <v/>
      </c>
      <c r="J69" s="68" t="str">
        <f t="shared" si="19"/>
        <v/>
      </c>
      <c r="K69" s="68" t="str">
        <f t="shared" si="20"/>
        <v/>
      </c>
      <c r="L69" s="68" t="str">
        <f t="shared" si="21"/>
        <v/>
      </c>
      <c r="M69" s="68" t="str">
        <f t="shared" si="22"/>
        <v/>
      </c>
      <c r="N69" s="68" t="str">
        <f t="shared" si="23"/>
        <v/>
      </c>
      <c r="O69" s="86" t="str">
        <f t="shared" si="24"/>
        <v/>
      </c>
      <c r="P69" s="70" t="str">
        <f>IF($B69="","",IFERROR(LOOKUP(2,1/(TAHSILAT!$C$7:$C$2506=$B69),TAHSILAT!$E$7:$E$2506),""))</f>
        <v/>
      </c>
      <c r="Q69" s="65" t="str">
        <f t="shared" si="25"/>
        <v/>
      </c>
      <c r="R69" s="74" t="str">
        <f t="shared" si="26"/>
        <v/>
      </c>
      <c r="S69" s="76" t="str">
        <f>IF($B69="","",COUNTIFS(AKTIVITE!$D$7:$D$1006,$B69,AKTIVITE!$J$7:$J$1006,"&lt;&gt;Tamamlandı"))</f>
        <v/>
      </c>
      <c r="T69" s="70" t="str">
        <f>IF(OR($B69="",$AF69=""),"",IF(INDEX(MUSTERILER!$K$7:$K$156,$AF69)="","",INDEX(MUSTERILER!$K$7:$K$156,$AF69)))</f>
        <v/>
      </c>
      <c r="U69" s="76" t="str">
        <f t="shared" ca="1" si="27"/>
        <v/>
      </c>
      <c r="V69" s="68" t="str">
        <f t="shared" si="28"/>
        <v/>
      </c>
      <c r="W69" s="65" t="str">
        <f t="shared" si="29"/>
        <v/>
      </c>
      <c r="X69" s="2">
        <f>IF($B69="",0,SUMIFS(UCRETLER!$J$7:$J$606,UCRETLER!$B$7:$B$606,$B69))</f>
        <v>0</v>
      </c>
      <c r="Y69" s="2">
        <f>IF($B69="",0,SUMIFS(UCRETLER!$K$7:$K$606,UCRETLER!$B$7:$B$606,$B69))</f>
        <v>0</v>
      </c>
      <c r="Z69" s="1">
        <f>IF($B69="",0,SUMIFS(UCRETLER!$L$7:$L$606,UCRETLER!$B$7:$B$606,$B69))</f>
        <v>0</v>
      </c>
      <c r="AA69" s="1">
        <f t="shared" si="30"/>
        <v>0</v>
      </c>
      <c r="AB69" s="1">
        <f t="shared" si="31"/>
        <v>0</v>
      </c>
      <c r="AC69" s="1">
        <f t="shared" si="32"/>
        <v>0</v>
      </c>
      <c r="AD69" s="1">
        <f t="shared" si="33"/>
        <v>0</v>
      </c>
      <c r="AE69" s="1">
        <f t="shared" si="34"/>
        <v>0</v>
      </c>
      <c r="AF69" s="1" t="str">
        <f>IFERROR(MATCH(ROW()-6,MUSTERILER!$U$7:$U$156,0),"")</f>
        <v/>
      </c>
      <c r="AG69" s="1">
        <f>IF($B69="",0,SUMIFS(GELIR_GIDER!$G$7:$G$3006,GELIR_GIDER!$T$7:$T$3006,$B69))</f>
        <v>0</v>
      </c>
    </row>
    <row r="70" spans="1:33" ht="18" customHeight="1" x14ac:dyDescent="0.3">
      <c r="A70" s="2"/>
      <c r="B70" s="65" t="str">
        <f>IF($AF70="","",INDEX(MUSTERILER!$B$7:$B$156,$AF70))</f>
        <v/>
      </c>
      <c r="C70" s="74" t="str">
        <f>IF($AF70="","",INDEX(MUSTERILER!$C$7:$C$156,$AF70))</f>
        <v/>
      </c>
      <c r="D70" s="68" t="str">
        <f>IF($B70="","",SUMIFS(UCRETLER!$G$7:$G$606,UCRETLER!$B$7:$B$606,$B70,UCRETLER!$F$7:$F$606,"Haftalık",UCRETLER!$H$7:$H$606,"Aktif"))</f>
        <v/>
      </c>
      <c r="E70" s="68" t="str">
        <f>IF($B70="","",SUMIFS(UCRETLER!$G$7:$G$606,UCRETLER!$B$7:$B$606,$B70,UCRETLER!$F$7:$F$606,"Aylık",UCRETLER!$H$7:$H$606,"Aktif"))</f>
        <v/>
      </c>
      <c r="F70" s="68" t="str">
        <f>IF($B70="","",SUMIFS(MUSTERILER!$J$7:$J$156,MUSTERILER!$B$7:$B$156,$B70))</f>
        <v/>
      </c>
      <c r="G70" s="68" t="str">
        <f>IF($B70="","",SUMIFS(UCRETLER!$I$7:$I$606,UCRETLER!$B$7:$B$606,$B70)+SUMIFS(GELIR_GIDER!$G$7:$G$3006,GELIR_GIDER!$T$7:$T$3006,$B70))</f>
        <v/>
      </c>
      <c r="H70" s="68" t="str">
        <f t="shared" si="18"/>
        <v/>
      </c>
      <c r="I70" s="68" t="str">
        <f>IF($B70="","",SUMIFS(TAHSILAT!$F$7:$F$2506,TAHSILAT!$C$7:$C$2506,$B70))</f>
        <v/>
      </c>
      <c r="J70" s="68" t="str">
        <f t="shared" si="19"/>
        <v/>
      </c>
      <c r="K70" s="68" t="str">
        <f t="shared" si="20"/>
        <v/>
      </c>
      <c r="L70" s="68" t="str">
        <f t="shared" si="21"/>
        <v/>
      </c>
      <c r="M70" s="68" t="str">
        <f t="shared" si="22"/>
        <v/>
      </c>
      <c r="N70" s="68" t="str">
        <f t="shared" si="23"/>
        <v/>
      </c>
      <c r="O70" s="86" t="str">
        <f t="shared" si="24"/>
        <v/>
      </c>
      <c r="P70" s="70" t="str">
        <f>IF($B70="","",IFERROR(LOOKUP(2,1/(TAHSILAT!$C$7:$C$2506=$B70),TAHSILAT!$E$7:$E$2506),""))</f>
        <v/>
      </c>
      <c r="Q70" s="65" t="str">
        <f t="shared" si="25"/>
        <v/>
      </c>
      <c r="R70" s="74" t="str">
        <f t="shared" si="26"/>
        <v/>
      </c>
      <c r="S70" s="76" t="str">
        <f>IF($B70="","",COUNTIFS(AKTIVITE!$D$7:$D$1006,$B70,AKTIVITE!$J$7:$J$1006,"&lt;&gt;Tamamlandı"))</f>
        <v/>
      </c>
      <c r="T70" s="70" t="str">
        <f>IF(OR($B70="",$AF70=""),"",IF(INDEX(MUSTERILER!$K$7:$K$156,$AF70)="","",INDEX(MUSTERILER!$K$7:$K$156,$AF70)))</f>
        <v/>
      </c>
      <c r="U70" s="76" t="str">
        <f t="shared" ca="1" si="27"/>
        <v/>
      </c>
      <c r="V70" s="68" t="str">
        <f t="shared" si="28"/>
        <v/>
      </c>
      <c r="W70" s="65" t="str">
        <f t="shared" si="29"/>
        <v/>
      </c>
      <c r="X70" s="2">
        <f>IF($B70="",0,SUMIFS(UCRETLER!$J$7:$J$606,UCRETLER!$B$7:$B$606,$B70))</f>
        <v>0</v>
      </c>
      <c r="Y70" s="2">
        <f>IF($B70="",0,SUMIFS(UCRETLER!$K$7:$K$606,UCRETLER!$B$7:$B$606,$B70))</f>
        <v>0</v>
      </c>
      <c r="Z70" s="1">
        <f>IF($B70="",0,SUMIFS(UCRETLER!$L$7:$L$606,UCRETLER!$B$7:$B$606,$B70))</f>
        <v>0</v>
      </c>
      <c r="AA70" s="1">
        <f t="shared" si="30"/>
        <v>0</v>
      </c>
      <c r="AB70" s="1">
        <f t="shared" si="31"/>
        <v>0</v>
      </c>
      <c r="AC70" s="1">
        <f t="shared" si="32"/>
        <v>0</v>
      </c>
      <c r="AD70" s="1">
        <f t="shared" si="33"/>
        <v>0</v>
      </c>
      <c r="AE70" s="1">
        <f t="shared" si="34"/>
        <v>0</v>
      </c>
      <c r="AF70" s="1" t="str">
        <f>IFERROR(MATCH(ROW()-6,MUSTERILER!$U$7:$U$156,0),"")</f>
        <v/>
      </c>
      <c r="AG70" s="1">
        <f>IF($B70="",0,SUMIFS(GELIR_GIDER!$G$7:$G$3006,GELIR_GIDER!$T$7:$T$3006,$B70))</f>
        <v>0</v>
      </c>
    </row>
    <row r="71" spans="1:33" ht="18" customHeight="1" x14ac:dyDescent="0.3">
      <c r="A71" s="2"/>
      <c r="B71" s="65" t="str">
        <f>IF($AF71="","",INDEX(MUSTERILER!$B$7:$B$156,$AF71))</f>
        <v/>
      </c>
      <c r="C71" s="74" t="str">
        <f>IF($AF71="","",INDEX(MUSTERILER!$C$7:$C$156,$AF71))</f>
        <v/>
      </c>
      <c r="D71" s="68" t="str">
        <f>IF($B71="","",SUMIFS(UCRETLER!$G$7:$G$606,UCRETLER!$B$7:$B$606,$B71,UCRETLER!$F$7:$F$606,"Haftalık",UCRETLER!$H$7:$H$606,"Aktif"))</f>
        <v/>
      </c>
      <c r="E71" s="68" t="str">
        <f>IF($B71="","",SUMIFS(UCRETLER!$G$7:$G$606,UCRETLER!$B$7:$B$606,$B71,UCRETLER!$F$7:$F$606,"Aylık",UCRETLER!$H$7:$H$606,"Aktif"))</f>
        <v/>
      </c>
      <c r="F71" s="68" t="str">
        <f>IF($B71="","",SUMIFS(MUSTERILER!$J$7:$J$156,MUSTERILER!$B$7:$B$156,$B71))</f>
        <v/>
      </c>
      <c r="G71" s="68" t="str">
        <f>IF($B71="","",SUMIFS(UCRETLER!$I$7:$I$606,UCRETLER!$B$7:$B$606,$B71)+SUMIFS(GELIR_GIDER!$G$7:$G$3006,GELIR_GIDER!$T$7:$T$3006,$B71))</f>
        <v/>
      </c>
      <c r="H71" s="68" t="str">
        <f t="shared" ref="H71:H102" si="35">IF($B71="","",$F71+$G71)</f>
        <v/>
      </c>
      <c r="I71" s="68" t="str">
        <f>IF($B71="","",SUMIFS(TAHSILAT!$F$7:$F$2506,TAHSILAT!$C$7:$C$2506,$B71))</f>
        <v/>
      </c>
      <c r="J71" s="68" t="str">
        <f t="shared" ref="J71:J102" si="36">IF($B71="","",MAX(0,$H71-$I71))</f>
        <v/>
      </c>
      <c r="K71" s="68" t="str">
        <f t="shared" ref="K71:K102" si="37">IF($B71="","",MAX(0,$J71-$L71-$M71-$N71))</f>
        <v/>
      </c>
      <c r="L71" s="68" t="str">
        <f t="shared" ref="L71:L102" si="38">IF($B71="","",($AC71-$AD71)+IF(AND($AB71&gt;0,$T71&lt;&gt;"",$U71&gt;=8,$U71&lt;15),$AB71,0))</f>
        <v/>
      </c>
      <c r="M71" s="68" t="str">
        <f t="shared" ref="M71:M102" si="39">IF($B71="","",($AD71-$AE71)+IF(AND($AB71&gt;0,$T71&lt;&gt;"",$U71&gt;=15,$U71&lt;29),$AB71,0))</f>
        <v/>
      </c>
      <c r="N71" s="68" t="str">
        <f t="shared" ref="N71:N102" si="40">IF($B71="","",$AE71+IF(AND($AB71&gt;0,OR($T71="",$U71&gt;=29)),$AB71,0))</f>
        <v/>
      </c>
      <c r="O71" s="86" t="str">
        <f t="shared" ref="O71:O102" si="41">IF($B71="","",IFERROR($I71/$H71,0))</f>
        <v/>
      </c>
      <c r="P71" s="70" t="str">
        <f>IF($B71="","",IFERROR(LOOKUP(2,1/(TAHSILAT!$C$7:$C$2506=$B71),TAHSILAT!$E$7:$E$2506),""))</f>
        <v/>
      </c>
      <c r="Q71" s="65" t="str">
        <f t="shared" ref="Q71:Q102" si="42">IF($B71="","",IF($N71&gt;0,"KRİTİK",IF($M71&gt;0,"YÜKSEK",IF($L71&gt;0,"ORTA",IF($J71&gt;0,"İZLE","TEMİZ")))))</f>
        <v/>
      </c>
      <c r="R71" s="74" t="str">
        <f t="shared" ref="R71:R102" si="43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76" t="str">
        <f>IF($B71="","",COUNTIFS(AKTIVITE!$D$7:$D$1006,$B71,AKTIVITE!$J$7:$J$1006,"&lt;&gt;Tamamlandı"))</f>
        <v/>
      </c>
      <c r="T71" s="70" t="str">
        <f>IF(OR($B71="",$AF71=""),"",IF(INDEX(MUSTERILER!$K$7:$K$156,$AF71)="","",INDEX(MUSTERILER!$K$7:$K$156,$AF71)))</f>
        <v/>
      </c>
      <c r="U71" s="76" t="str">
        <f t="shared" ref="U71:U102" ca="1" si="44">IF(OR($B71="",$T71=""),"",TODAY()-$T71)</f>
        <v/>
      </c>
      <c r="V71" s="68" t="str">
        <f t="shared" ref="V71:V102" si="45">IF($B71="","",MAX(0,$I71-$H71))</f>
        <v/>
      </c>
      <c r="W71" s="65" t="str">
        <f t="shared" ref="W71:W102" si="46">IF($B71="","",IF(AND(ABS($J71-($K71+$L71+$M71+$N71))&lt;0.01,ABS(($J71-$V71)-($H71-$I71))&lt;0.01),"UYGUN","İNCELE"))</f>
        <v/>
      </c>
      <c r="X71" s="2">
        <f>IF($B71="",0,SUMIFS(UCRETLER!$J$7:$J$606,UCRETLER!$B$7:$B$606,$B71))</f>
        <v>0</v>
      </c>
      <c r="Y71" s="2">
        <f>IF($B71="",0,SUMIFS(UCRETLER!$K$7:$K$606,UCRETLER!$B$7:$B$606,$B71))</f>
        <v>0</v>
      </c>
      <c r="Z71" s="1">
        <f>IF($B71="",0,SUMIFS(UCRETLER!$L$7:$L$606,UCRETLER!$B$7:$B$606,$B71))</f>
        <v>0</v>
      </c>
      <c r="AA71" s="1">
        <f t="shared" ref="AA71:AA102" si="47">IF($B71="",0,MAX(0,$I71-$F71))</f>
        <v>0</v>
      </c>
      <c r="AB71" s="1">
        <f t="shared" ref="AB71:AB102" si="48">IF($B71="",0,MAX(0,$F71-$I71))</f>
        <v>0</v>
      </c>
      <c r="AC71" s="1">
        <f t="shared" ref="AC71:AC102" si="49">IF($B71="",0,MAX(0,$X71-$AA71))</f>
        <v>0</v>
      </c>
      <c r="AD71" s="1">
        <f t="shared" ref="AD71:AD102" si="50">IF($B71="",0,MAX(0,$Y71-$AA71))</f>
        <v>0</v>
      </c>
      <c r="AE71" s="1">
        <f t="shared" ref="AE71:AE102" si="51">IF($B71="",0,MAX(0,$Z71-$AA71))</f>
        <v>0</v>
      </c>
      <c r="AF71" s="1" t="str">
        <f>IFERROR(MATCH(ROW()-6,MUSTERILER!$U$7:$U$156,0),"")</f>
        <v/>
      </c>
      <c r="AG71" s="1">
        <f>IF($B71="",0,SUMIFS(GELIR_GIDER!$G$7:$G$3006,GELIR_GIDER!$T$7:$T$3006,$B71))</f>
        <v>0</v>
      </c>
    </row>
    <row r="72" spans="1:33" ht="18" customHeight="1" x14ac:dyDescent="0.3">
      <c r="A72" s="2"/>
      <c r="B72" s="65" t="str">
        <f>IF($AF72="","",INDEX(MUSTERILER!$B$7:$B$156,$AF72))</f>
        <v/>
      </c>
      <c r="C72" s="74" t="str">
        <f>IF($AF72="","",INDEX(MUSTERILER!$C$7:$C$156,$AF72))</f>
        <v/>
      </c>
      <c r="D72" s="68" t="str">
        <f>IF($B72="","",SUMIFS(UCRETLER!$G$7:$G$606,UCRETLER!$B$7:$B$606,$B72,UCRETLER!$F$7:$F$606,"Haftalık",UCRETLER!$H$7:$H$606,"Aktif"))</f>
        <v/>
      </c>
      <c r="E72" s="68" t="str">
        <f>IF($B72="","",SUMIFS(UCRETLER!$G$7:$G$606,UCRETLER!$B$7:$B$606,$B72,UCRETLER!$F$7:$F$606,"Aylık",UCRETLER!$H$7:$H$606,"Aktif"))</f>
        <v/>
      </c>
      <c r="F72" s="68" t="str">
        <f>IF($B72="","",SUMIFS(MUSTERILER!$J$7:$J$156,MUSTERILER!$B$7:$B$156,$B72))</f>
        <v/>
      </c>
      <c r="G72" s="68" t="str">
        <f>IF($B72="","",SUMIFS(UCRETLER!$I$7:$I$606,UCRETLER!$B$7:$B$606,$B72)+SUMIFS(GELIR_GIDER!$G$7:$G$3006,GELIR_GIDER!$T$7:$T$3006,$B72))</f>
        <v/>
      </c>
      <c r="H72" s="68" t="str">
        <f t="shared" si="35"/>
        <v/>
      </c>
      <c r="I72" s="68" t="str">
        <f>IF($B72="","",SUMIFS(TAHSILAT!$F$7:$F$2506,TAHSILAT!$C$7:$C$2506,$B72))</f>
        <v/>
      </c>
      <c r="J72" s="68" t="str">
        <f t="shared" si="36"/>
        <v/>
      </c>
      <c r="K72" s="68" t="str">
        <f t="shared" si="37"/>
        <v/>
      </c>
      <c r="L72" s="68" t="str">
        <f t="shared" si="38"/>
        <v/>
      </c>
      <c r="M72" s="68" t="str">
        <f t="shared" si="39"/>
        <v/>
      </c>
      <c r="N72" s="68" t="str">
        <f t="shared" si="40"/>
        <v/>
      </c>
      <c r="O72" s="86" t="str">
        <f t="shared" si="41"/>
        <v/>
      </c>
      <c r="P72" s="70" t="str">
        <f>IF($B72="","",IFERROR(LOOKUP(2,1/(TAHSILAT!$C$7:$C$2506=$B72),TAHSILAT!$E$7:$E$2506),""))</f>
        <v/>
      </c>
      <c r="Q72" s="65" t="str">
        <f t="shared" si="42"/>
        <v/>
      </c>
      <c r="R72" s="74" t="str">
        <f t="shared" si="43"/>
        <v/>
      </c>
      <c r="S72" s="76" t="str">
        <f>IF($B72="","",COUNTIFS(AKTIVITE!$D$7:$D$1006,$B72,AKTIVITE!$J$7:$J$1006,"&lt;&gt;Tamamlandı"))</f>
        <v/>
      </c>
      <c r="T72" s="70" t="str">
        <f>IF(OR($B72="",$AF72=""),"",IF(INDEX(MUSTERILER!$K$7:$K$156,$AF72)="","",INDEX(MUSTERILER!$K$7:$K$156,$AF72)))</f>
        <v/>
      </c>
      <c r="U72" s="76" t="str">
        <f t="shared" ca="1" si="44"/>
        <v/>
      </c>
      <c r="V72" s="68" t="str">
        <f t="shared" si="45"/>
        <v/>
      </c>
      <c r="W72" s="65" t="str">
        <f t="shared" si="46"/>
        <v/>
      </c>
      <c r="X72" s="2">
        <f>IF($B72="",0,SUMIFS(UCRETLER!$J$7:$J$606,UCRETLER!$B$7:$B$606,$B72))</f>
        <v>0</v>
      </c>
      <c r="Y72" s="2">
        <f>IF($B72="",0,SUMIFS(UCRETLER!$K$7:$K$606,UCRETLER!$B$7:$B$606,$B72))</f>
        <v>0</v>
      </c>
      <c r="Z72" s="1">
        <f>IF($B72="",0,SUMIFS(UCRETLER!$L$7:$L$606,UCRETLER!$B$7:$B$606,$B72))</f>
        <v>0</v>
      </c>
      <c r="AA72" s="1">
        <f t="shared" si="47"/>
        <v>0</v>
      </c>
      <c r="AB72" s="1">
        <f t="shared" si="48"/>
        <v>0</v>
      </c>
      <c r="AC72" s="1">
        <f t="shared" si="49"/>
        <v>0</v>
      </c>
      <c r="AD72" s="1">
        <f t="shared" si="50"/>
        <v>0</v>
      </c>
      <c r="AE72" s="1">
        <f t="shared" si="51"/>
        <v>0</v>
      </c>
      <c r="AF72" s="1" t="str">
        <f>IFERROR(MATCH(ROW()-6,MUSTERILER!$U$7:$U$156,0),"")</f>
        <v/>
      </c>
      <c r="AG72" s="1">
        <f>IF($B72="",0,SUMIFS(GELIR_GIDER!$G$7:$G$3006,GELIR_GIDER!$T$7:$T$3006,$B72))</f>
        <v>0</v>
      </c>
    </row>
    <row r="73" spans="1:33" ht="18" customHeight="1" x14ac:dyDescent="0.3">
      <c r="A73" s="2"/>
      <c r="B73" s="65" t="str">
        <f>IF($AF73="","",INDEX(MUSTERILER!$B$7:$B$156,$AF73))</f>
        <v/>
      </c>
      <c r="C73" s="74" t="str">
        <f>IF($AF73="","",INDEX(MUSTERILER!$C$7:$C$156,$AF73))</f>
        <v/>
      </c>
      <c r="D73" s="68" t="str">
        <f>IF($B73="","",SUMIFS(UCRETLER!$G$7:$G$606,UCRETLER!$B$7:$B$606,$B73,UCRETLER!$F$7:$F$606,"Haftalık",UCRETLER!$H$7:$H$606,"Aktif"))</f>
        <v/>
      </c>
      <c r="E73" s="68" t="str">
        <f>IF($B73="","",SUMIFS(UCRETLER!$G$7:$G$606,UCRETLER!$B$7:$B$606,$B73,UCRETLER!$F$7:$F$606,"Aylık",UCRETLER!$H$7:$H$606,"Aktif"))</f>
        <v/>
      </c>
      <c r="F73" s="68" t="str">
        <f>IF($B73="","",SUMIFS(MUSTERILER!$J$7:$J$156,MUSTERILER!$B$7:$B$156,$B73))</f>
        <v/>
      </c>
      <c r="G73" s="68" t="str">
        <f>IF($B73="","",SUMIFS(UCRETLER!$I$7:$I$606,UCRETLER!$B$7:$B$606,$B73)+SUMIFS(GELIR_GIDER!$G$7:$G$3006,GELIR_GIDER!$T$7:$T$3006,$B73))</f>
        <v/>
      </c>
      <c r="H73" s="68" t="str">
        <f t="shared" si="35"/>
        <v/>
      </c>
      <c r="I73" s="68" t="str">
        <f>IF($B73="","",SUMIFS(TAHSILAT!$F$7:$F$2506,TAHSILAT!$C$7:$C$2506,$B73))</f>
        <v/>
      </c>
      <c r="J73" s="68" t="str">
        <f t="shared" si="36"/>
        <v/>
      </c>
      <c r="K73" s="68" t="str">
        <f t="shared" si="37"/>
        <v/>
      </c>
      <c r="L73" s="68" t="str">
        <f t="shared" si="38"/>
        <v/>
      </c>
      <c r="M73" s="68" t="str">
        <f t="shared" si="39"/>
        <v/>
      </c>
      <c r="N73" s="68" t="str">
        <f t="shared" si="40"/>
        <v/>
      </c>
      <c r="O73" s="86" t="str">
        <f t="shared" si="41"/>
        <v/>
      </c>
      <c r="P73" s="70" t="str">
        <f>IF($B73="","",IFERROR(LOOKUP(2,1/(TAHSILAT!$C$7:$C$2506=$B73),TAHSILAT!$E$7:$E$2506),""))</f>
        <v/>
      </c>
      <c r="Q73" s="65" t="str">
        <f t="shared" si="42"/>
        <v/>
      </c>
      <c r="R73" s="74" t="str">
        <f t="shared" si="43"/>
        <v/>
      </c>
      <c r="S73" s="76" t="str">
        <f>IF($B73="","",COUNTIFS(AKTIVITE!$D$7:$D$1006,$B73,AKTIVITE!$J$7:$J$1006,"&lt;&gt;Tamamlandı"))</f>
        <v/>
      </c>
      <c r="T73" s="70" t="str">
        <f>IF(OR($B73="",$AF73=""),"",IF(INDEX(MUSTERILER!$K$7:$K$156,$AF73)="","",INDEX(MUSTERILER!$K$7:$K$156,$AF73)))</f>
        <v/>
      </c>
      <c r="U73" s="76" t="str">
        <f t="shared" ca="1" si="44"/>
        <v/>
      </c>
      <c r="V73" s="68" t="str">
        <f t="shared" si="45"/>
        <v/>
      </c>
      <c r="W73" s="65" t="str">
        <f t="shared" si="46"/>
        <v/>
      </c>
      <c r="X73" s="2">
        <f>IF($B73="",0,SUMIFS(UCRETLER!$J$7:$J$606,UCRETLER!$B$7:$B$606,$B73))</f>
        <v>0</v>
      </c>
      <c r="Y73" s="2">
        <f>IF($B73="",0,SUMIFS(UCRETLER!$K$7:$K$606,UCRETLER!$B$7:$B$606,$B73))</f>
        <v>0</v>
      </c>
      <c r="Z73" s="1">
        <f>IF($B73="",0,SUMIFS(UCRETLER!$L$7:$L$606,UCRETLER!$B$7:$B$606,$B73))</f>
        <v>0</v>
      </c>
      <c r="AA73" s="1">
        <f t="shared" si="47"/>
        <v>0</v>
      </c>
      <c r="AB73" s="1">
        <f t="shared" si="48"/>
        <v>0</v>
      </c>
      <c r="AC73" s="1">
        <f t="shared" si="49"/>
        <v>0</v>
      </c>
      <c r="AD73" s="1">
        <f t="shared" si="50"/>
        <v>0</v>
      </c>
      <c r="AE73" s="1">
        <f t="shared" si="51"/>
        <v>0</v>
      </c>
      <c r="AF73" s="1" t="str">
        <f>IFERROR(MATCH(ROW()-6,MUSTERILER!$U$7:$U$156,0),"")</f>
        <v/>
      </c>
      <c r="AG73" s="1">
        <f>IF($B73="",0,SUMIFS(GELIR_GIDER!$G$7:$G$3006,GELIR_GIDER!$T$7:$T$3006,$B73))</f>
        <v>0</v>
      </c>
    </row>
    <row r="74" spans="1:33" ht="18" customHeight="1" x14ac:dyDescent="0.3">
      <c r="A74" s="2"/>
      <c r="B74" s="65" t="str">
        <f>IF($AF74="","",INDEX(MUSTERILER!$B$7:$B$156,$AF74))</f>
        <v/>
      </c>
      <c r="C74" s="74" t="str">
        <f>IF($AF74="","",INDEX(MUSTERILER!$C$7:$C$156,$AF74))</f>
        <v/>
      </c>
      <c r="D74" s="68" t="str">
        <f>IF($B74="","",SUMIFS(UCRETLER!$G$7:$G$606,UCRETLER!$B$7:$B$606,$B74,UCRETLER!$F$7:$F$606,"Haftalık",UCRETLER!$H$7:$H$606,"Aktif"))</f>
        <v/>
      </c>
      <c r="E74" s="68" t="str">
        <f>IF($B74="","",SUMIFS(UCRETLER!$G$7:$G$606,UCRETLER!$B$7:$B$606,$B74,UCRETLER!$F$7:$F$606,"Aylık",UCRETLER!$H$7:$H$606,"Aktif"))</f>
        <v/>
      </c>
      <c r="F74" s="68" t="str">
        <f>IF($B74="","",SUMIFS(MUSTERILER!$J$7:$J$156,MUSTERILER!$B$7:$B$156,$B74))</f>
        <v/>
      </c>
      <c r="G74" s="68" t="str">
        <f>IF($B74="","",SUMIFS(UCRETLER!$I$7:$I$606,UCRETLER!$B$7:$B$606,$B74)+SUMIFS(GELIR_GIDER!$G$7:$G$3006,GELIR_GIDER!$T$7:$T$3006,$B74))</f>
        <v/>
      </c>
      <c r="H74" s="68" t="str">
        <f t="shared" si="35"/>
        <v/>
      </c>
      <c r="I74" s="68" t="str">
        <f>IF($B74="","",SUMIFS(TAHSILAT!$F$7:$F$2506,TAHSILAT!$C$7:$C$2506,$B74))</f>
        <v/>
      </c>
      <c r="J74" s="68" t="str">
        <f t="shared" si="36"/>
        <v/>
      </c>
      <c r="K74" s="68" t="str">
        <f t="shared" si="37"/>
        <v/>
      </c>
      <c r="L74" s="68" t="str">
        <f t="shared" si="38"/>
        <v/>
      </c>
      <c r="M74" s="68" t="str">
        <f t="shared" si="39"/>
        <v/>
      </c>
      <c r="N74" s="68" t="str">
        <f t="shared" si="40"/>
        <v/>
      </c>
      <c r="O74" s="86" t="str">
        <f t="shared" si="41"/>
        <v/>
      </c>
      <c r="P74" s="70" t="str">
        <f>IF($B74="","",IFERROR(LOOKUP(2,1/(TAHSILAT!$C$7:$C$2506=$B74),TAHSILAT!$E$7:$E$2506),""))</f>
        <v/>
      </c>
      <c r="Q74" s="65" t="str">
        <f t="shared" si="42"/>
        <v/>
      </c>
      <c r="R74" s="74" t="str">
        <f t="shared" si="43"/>
        <v/>
      </c>
      <c r="S74" s="76" t="str">
        <f>IF($B74="","",COUNTIFS(AKTIVITE!$D$7:$D$1006,$B74,AKTIVITE!$J$7:$J$1006,"&lt;&gt;Tamamlandı"))</f>
        <v/>
      </c>
      <c r="T74" s="70" t="str">
        <f>IF(OR($B74="",$AF74=""),"",IF(INDEX(MUSTERILER!$K$7:$K$156,$AF74)="","",INDEX(MUSTERILER!$K$7:$K$156,$AF74)))</f>
        <v/>
      </c>
      <c r="U74" s="76" t="str">
        <f t="shared" ca="1" si="44"/>
        <v/>
      </c>
      <c r="V74" s="68" t="str">
        <f t="shared" si="45"/>
        <v/>
      </c>
      <c r="W74" s="65" t="str">
        <f t="shared" si="46"/>
        <v/>
      </c>
      <c r="X74" s="2">
        <f>IF($B74="",0,SUMIFS(UCRETLER!$J$7:$J$606,UCRETLER!$B$7:$B$606,$B74))</f>
        <v>0</v>
      </c>
      <c r="Y74" s="2">
        <f>IF($B74="",0,SUMIFS(UCRETLER!$K$7:$K$606,UCRETLER!$B$7:$B$606,$B74))</f>
        <v>0</v>
      </c>
      <c r="Z74" s="1">
        <f>IF($B74="",0,SUMIFS(UCRETLER!$L$7:$L$606,UCRETLER!$B$7:$B$606,$B74))</f>
        <v>0</v>
      </c>
      <c r="AA74" s="1">
        <f t="shared" si="47"/>
        <v>0</v>
      </c>
      <c r="AB74" s="1">
        <f t="shared" si="48"/>
        <v>0</v>
      </c>
      <c r="AC74" s="1">
        <f t="shared" si="49"/>
        <v>0</v>
      </c>
      <c r="AD74" s="1">
        <f t="shared" si="50"/>
        <v>0</v>
      </c>
      <c r="AE74" s="1">
        <f t="shared" si="51"/>
        <v>0</v>
      </c>
      <c r="AF74" s="1" t="str">
        <f>IFERROR(MATCH(ROW()-6,MUSTERILER!$U$7:$U$156,0),"")</f>
        <v/>
      </c>
      <c r="AG74" s="1">
        <f>IF($B74="",0,SUMIFS(GELIR_GIDER!$G$7:$G$3006,GELIR_GIDER!$T$7:$T$3006,$B74))</f>
        <v>0</v>
      </c>
    </row>
    <row r="75" spans="1:33" ht="18" customHeight="1" x14ac:dyDescent="0.3">
      <c r="A75" s="2"/>
      <c r="B75" s="65" t="str">
        <f>IF($AF75="","",INDEX(MUSTERILER!$B$7:$B$156,$AF75))</f>
        <v/>
      </c>
      <c r="C75" s="74" t="str">
        <f>IF($AF75="","",INDEX(MUSTERILER!$C$7:$C$156,$AF75))</f>
        <v/>
      </c>
      <c r="D75" s="68" t="str">
        <f>IF($B75="","",SUMIFS(UCRETLER!$G$7:$G$606,UCRETLER!$B$7:$B$606,$B75,UCRETLER!$F$7:$F$606,"Haftalık",UCRETLER!$H$7:$H$606,"Aktif"))</f>
        <v/>
      </c>
      <c r="E75" s="68" t="str">
        <f>IF($B75="","",SUMIFS(UCRETLER!$G$7:$G$606,UCRETLER!$B$7:$B$606,$B75,UCRETLER!$F$7:$F$606,"Aylık",UCRETLER!$H$7:$H$606,"Aktif"))</f>
        <v/>
      </c>
      <c r="F75" s="68" t="str">
        <f>IF($B75="","",SUMIFS(MUSTERILER!$J$7:$J$156,MUSTERILER!$B$7:$B$156,$B75))</f>
        <v/>
      </c>
      <c r="G75" s="68" t="str">
        <f>IF($B75="","",SUMIFS(UCRETLER!$I$7:$I$606,UCRETLER!$B$7:$B$606,$B75)+SUMIFS(GELIR_GIDER!$G$7:$G$3006,GELIR_GIDER!$T$7:$T$3006,$B75))</f>
        <v/>
      </c>
      <c r="H75" s="68" t="str">
        <f t="shared" si="35"/>
        <v/>
      </c>
      <c r="I75" s="68" t="str">
        <f>IF($B75="","",SUMIFS(TAHSILAT!$F$7:$F$2506,TAHSILAT!$C$7:$C$2506,$B75))</f>
        <v/>
      </c>
      <c r="J75" s="68" t="str">
        <f t="shared" si="36"/>
        <v/>
      </c>
      <c r="K75" s="68" t="str">
        <f t="shared" si="37"/>
        <v/>
      </c>
      <c r="L75" s="68" t="str">
        <f t="shared" si="38"/>
        <v/>
      </c>
      <c r="M75" s="68" t="str">
        <f t="shared" si="39"/>
        <v/>
      </c>
      <c r="N75" s="68" t="str">
        <f t="shared" si="40"/>
        <v/>
      </c>
      <c r="O75" s="86" t="str">
        <f t="shared" si="41"/>
        <v/>
      </c>
      <c r="P75" s="70" t="str">
        <f>IF($B75="","",IFERROR(LOOKUP(2,1/(TAHSILAT!$C$7:$C$2506=$B75),TAHSILAT!$E$7:$E$2506),""))</f>
        <v/>
      </c>
      <c r="Q75" s="65" t="str">
        <f t="shared" si="42"/>
        <v/>
      </c>
      <c r="R75" s="74" t="str">
        <f t="shared" si="43"/>
        <v/>
      </c>
      <c r="S75" s="76" t="str">
        <f>IF($B75="","",COUNTIFS(AKTIVITE!$D$7:$D$1006,$B75,AKTIVITE!$J$7:$J$1006,"&lt;&gt;Tamamlandı"))</f>
        <v/>
      </c>
      <c r="T75" s="70" t="str">
        <f>IF(OR($B75="",$AF75=""),"",IF(INDEX(MUSTERILER!$K$7:$K$156,$AF75)="","",INDEX(MUSTERILER!$K$7:$K$156,$AF75)))</f>
        <v/>
      </c>
      <c r="U75" s="76" t="str">
        <f t="shared" ca="1" si="44"/>
        <v/>
      </c>
      <c r="V75" s="68" t="str">
        <f t="shared" si="45"/>
        <v/>
      </c>
      <c r="W75" s="65" t="str">
        <f t="shared" si="46"/>
        <v/>
      </c>
      <c r="X75" s="2">
        <f>IF($B75="",0,SUMIFS(UCRETLER!$J$7:$J$606,UCRETLER!$B$7:$B$606,$B75))</f>
        <v>0</v>
      </c>
      <c r="Y75" s="2">
        <f>IF($B75="",0,SUMIFS(UCRETLER!$K$7:$K$606,UCRETLER!$B$7:$B$606,$B75))</f>
        <v>0</v>
      </c>
      <c r="Z75" s="1">
        <f>IF($B75="",0,SUMIFS(UCRETLER!$L$7:$L$606,UCRETLER!$B$7:$B$606,$B75))</f>
        <v>0</v>
      </c>
      <c r="AA75" s="1">
        <f t="shared" si="47"/>
        <v>0</v>
      </c>
      <c r="AB75" s="1">
        <f t="shared" si="48"/>
        <v>0</v>
      </c>
      <c r="AC75" s="1">
        <f t="shared" si="49"/>
        <v>0</v>
      </c>
      <c r="AD75" s="1">
        <f t="shared" si="50"/>
        <v>0</v>
      </c>
      <c r="AE75" s="1">
        <f t="shared" si="51"/>
        <v>0</v>
      </c>
      <c r="AF75" s="1" t="str">
        <f>IFERROR(MATCH(ROW()-6,MUSTERILER!$U$7:$U$156,0),"")</f>
        <v/>
      </c>
      <c r="AG75" s="1">
        <f>IF($B75="",0,SUMIFS(GELIR_GIDER!$G$7:$G$3006,GELIR_GIDER!$T$7:$T$3006,$B75))</f>
        <v>0</v>
      </c>
    </row>
    <row r="76" spans="1:33" ht="18" customHeight="1" x14ac:dyDescent="0.3">
      <c r="A76" s="2"/>
      <c r="B76" s="65" t="str">
        <f>IF($AF76="","",INDEX(MUSTERILER!$B$7:$B$156,$AF76))</f>
        <v/>
      </c>
      <c r="C76" s="74" t="str">
        <f>IF($AF76="","",INDEX(MUSTERILER!$C$7:$C$156,$AF76))</f>
        <v/>
      </c>
      <c r="D76" s="68" t="str">
        <f>IF($B76="","",SUMIFS(UCRETLER!$G$7:$G$606,UCRETLER!$B$7:$B$606,$B76,UCRETLER!$F$7:$F$606,"Haftalık",UCRETLER!$H$7:$H$606,"Aktif"))</f>
        <v/>
      </c>
      <c r="E76" s="68" t="str">
        <f>IF($B76="","",SUMIFS(UCRETLER!$G$7:$G$606,UCRETLER!$B$7:$B$606,$B76,UCRETLER!$F$7:$F$606,"Aylık",UCRETLER!$H$7:$H$606,"Aktif"))</f>
        <v/>
      </c>
      <c r="F76" s="68" t="str">
        <f>IF($B76="","",SUMIFS(MUSTERILER!$J$7:$J$156,MUSTERILER!$B$7:$B$156,$B76))</f>
        <v/>
      </c>
      <c r="G76" s="68" t="str">
        <f>IF($B76="","",SUMIFS(UCRETLER!$I$7:$I$606,UCRETLER!$B$7:$B$606,$B76)+SUMIFS(GELIR_GIDER!$G$7:$G$3006,GELIR_GIDER!$T$7:$T$3006,$B76))</f>
        <v/>
      </c>
      <c r="H76" s="68" t="str">
        <f t="shared" si="35"/>
        <v/>
      </c>
      <c r="I76" s="68" t="str">
        <f>IF($B76="","",SUMIFS(TAHSILAT!$F$7:$F$2506,TAHSILAT!$C$7:$C$2506,$B76))</f>
        <v/>
      </c>
      <c r="J76" s="68" t="str">
        <f t="shared" si="36"/>
        <v/>
      </c>
      <c r="K76" s="68" t="str">
        <f t="shared" si="37"/>
        <v/>
      </c>
      <c r="L76" s="68" t="str">
        <f t="shared" si="38"/>
        <v/>
      </c>
      <c r="M76" s="68" t="str">
        <f t="shared" si="39"/>
        <v/>
      </c>
      <c r="N76" s="68" t="str">
        <f t="shared" si="40"/>
        <v/>
      </c>
      <c r="O76" s="86" t="str">
        <f t="shared" si="41"/>
        <v/>
      </c>
      <c r="P76" s="70" t="str">
        <f>IF($B76="","",IFERROR(LOOKUP(2,1/(TAHSILAT!$C$7:$C$2506=$B76),TAHSILAT!$E$7:$E$2506),""))</f>
        <v/>
      </c>
      <c r="Q76" s="65" t="str">
        <f t="shared" si="42"/>
        <v/>
      </c>
      <c r="R76" s="74" t="str">
        <f t="shared" si="43"/>
        <v/>
      </c>
      <c r="S76" s="76" t="str">
        <f>IF($B76="","",COUNTIFS(AKTIVITE!$D$7:$D$1006,$B76,AKTIVITE!$J$7:$J$1006,"&lt;&gt;Tamamlandı"))</f>
        <v/>
      </c>
      <c r="T76" s="70" t="str">
        <f>IF(OR($B76="",$AF76=""),"",IF(INDEX(MUSTERILER!$K$7:$K$156,$AF76)="","",INDEX(MUSTERILER!$K$7:$K$156,$AF76)))</f>
        <v/>
      </c>
      <c r="U76" s="76" t="str">
        <f t="shared" ca="1" si="44"/>
        <v/>
      </c>
      <c r="V76" s="68" t="str">
        <f t="shared" si="45"/>
        <v/>
      </c>
      <c r="W76" s="65" t="str">
        <f t="shared" si="46"/>
        <v/>
      </c>
      <c r="X76" s="2">
        <f>IF($B76="",0,SUMIFS(UCRETLER!$J$7:$J$606,UCRETLER!$B$7:$B$606,$B76))</f>
        <v>0</v>
      </c>
      <c r="Y76" s="2">
        <f>IF($B76="",0,SUMIFS(UCRETLER!$K$7:$K$606,UCRETLER!$B$7:$B$606,$B76))</f>
        <v>0</v>
      </c>
      <c r="Z76" s="1">
        <f>IF($B76="",0,SUMIFS(UCRETLER!$L$7:$L$606,UCRETLER!$B$7:$B$606,$B76))</f>
        <v>0</v>
      </c>
      <c r="AA76" s="1">
        <f t="shared" si="47"/>
        <v>0</v>
      </c>
      <c r="AB76" s="1">
        <f t="shared" si="48"/>
        <v>0</v>
      </c>
      <c r="AC76" s="1">
        <f t="shared" si="49"/>
        <v>0</v>
      </c>
      <c r="AD76" s="1">
        <f t="shared" si="50"/>
        <v>0</v>
      </c>
      <c r="AE76" s="1">
        <f t="shared" si="51"/>
        <v>0</v>
      </c>
      <c r="AF76" s="1" t="str">
        <f>IFERROR(MATCH(ROW()-6,MUSTERILER!$U$7:$U$156,0),"")</f>
        <v/>
      </c>
      <c r="AG76" s="1">
        <f>IF($B76="",0,SUMIFS(GELIR_GIDER!$G$7:$G$3006,GELIR_GIDER!$T$7:$T$3006,$B76))</f>
        <v>0</v>
      </c>
    </row>
    <row r="77" spans="1:33" ht="18" customHeight="1" x14ac:dyDescent="0.3">
      <c r="A77" s="2"/>
      <c r="B77" s="65" t="str">
        <f>IF($AF77="","",INDEX(MUSTERILER!$B$7:$B$156,$AF77))</f>
        <v/>
      </c>
      <c r="C77" s="74" t="str">
        <f>IF($AF77="","",INDEX(MUSTERILER!$C$7:$C$156,$AF77))</f>
        <v/>
      </c>
      <c r="D77" s="68" t="str">
        <f>IF($B77="","",SUMIFS(UCRETLER!$G$7:$G$606,UCRETLER!$B$7:$B$606,$B77,UCRETLER!$F$7:$F$606,"Haftalık",UCRETLER!$H$7:$H$606,"Aktif"))</f>
        <v/>
      </c>
      <c r="E77" s="68" t="str">
        <f>IF($B77="","",SUMIFS(UCRETLER!$G$7:$G$606,UCRETLER!$B$7:$B$606,$B77,UCRETLER!$F$7:$F$606,"Aylık",UCRETLER!$H$7:$H$606,"Aktif"))</f>
        <v/>
      </c>
      <c r="F77" s="68" t="str">
        <f>IF($B77="","",SUMIFS(MUSTERILER!$J$7:$J$156,MUSTERILER!$B$7:$B$156,$B77))</f>
        <v/>
      </c>
      <c r="G77" s="68" t="str">
        <f>IF($B77="","",SUMIFS(UCRETLER!$I$7:$I$606,UCRETLER!$B$7:$B$606,$B77)+SUMIFS(GELIR_GIDER!$G$7:$G$3006,GELIR_GIDER!$T$7:$T$3006,$B77))</f>
        <v/>
      </c>
      <c r="H77" s="68" t="str">
        <f t="shared" si="35"/>
        <v/>
      </c>
      <c r="I77" s="68" t="str">
        <f>IF($B77="","",SUMIFS(TAHSILAT!$F$7:$F$2506,TAHSILAT!$C$7:$C$2506,$B77))</f>
        <v/>
      </c>
      <c r="J77" s="68" t="str">
        <f t="shared" si="36"/>
        <v/>
      </c>
      <c r="K77" s="68" t="str">
        <f t="shared" si="37"/>
        <v/>
      </c>
      <c r="L77" s="68" t="str">
        <f t="shared" si="38"/>
        <v/>
      </c>
      <c r="M77" s="68" t="str">
        <f t="shared" si="39"/>
        <v/>
      </c>
      <c r="N77" s="68" t="str">
        <f t="shared" si="40"/>
        <v/>
      </c>
      <c r="O77" s="86" t="str">
        <f t="shared" si="41"/>
        <v/>
      </c>
      <c r="P77" s="70" t="str">
        <f>IF($B77="","",IFERROR(LOOKUP(2,1/(TAHSILAT!$C$7:$C$2506=$B77),TAHSILAT!$E$7:$E$2506),""))</f>
        <v/>
      </c>
      <c r="Q77" s="65" t="str">
        <f t="shared" si="42"/>
        <v/>
      </c>
      <c r="R77" s="74" t="str">
        <f t="shared" si="43"/>
        <v/>
      </c>
      <c r="S77" s="76" t="str">
        <f>IF($B77="","",COUNTIFS(AKTIVITE!$D$7:$D$1006,$B77,AKTIVITE!$J$7:$J$1006,"&lt;&gt;Tamamlandı"))</f>
        <v/>
      </c>
      <c r="T77" s="70" t="str">
        <f>IF(OR($B77="",$AF77=""),"",IF(INDEX(MUSTERILER!$K$7:$K$156,$AF77)="","",INDEX(MUSTERILER!$K$7:$K$156,$AF77)))</f>
        <v/>
      </c>
      <c r="U77" s="76" t="str">
        <f t="shared" ca="1" si="44"/>
        <v/>
      </c>
      <c r="V77" s="68" t="str">
        <f t="shared" si="45"/>
        <v/>
      </c>
      <c r="W77" s="65" t="str">
        <f t="shared" si="46"/>
        <v/>
      </c>
      <c r="X77" s="2">
        <f>IF($B77="",0,SUMIFS(UCRETLER!$J$7:$J$606,UCRETLER!$B$7:$B$606,$B77))</f>
        <v>0</v>
      </c>
      <c r="Y77" s="2">
        <f>IF($B77="",0,SUMIFS(UCRETLER!$K$7:$K$606,UCRETLER!$B$7:$B$606,$B77))</f>
        <v>0</v>
      </c>
      <c r="Z77" s="1">
        <f>IF($B77="",0,SUMIFS(UCRETLER!$L$7:$L$606,UCRETLER!$B$7:$B$606,$B77))</f>
        <v>0</v>
      </c>
      <c r="AA77" s="1">
        <f t="shared" si="47"/>
        <v>0</v>
      </c>
      <c r="AB77" s="1">
        <f t="shared" si="48"/>
        <v>0</v>
      </c>
      <c r="AC77" s="1">
        <f t="shared" si="49"/>
        <v>0</v>
      </c>
      <c r="AD77" s="1">
        <f t="shared" si="50"/>
        <v>0</v>
      </c>
      <c r="AE77" s="1">
        <f t="shared" si="51"/>
        <v>0</v>
      </c>
      <c r="AF77" s="1" t="str">
        <f>IFERROR(MATCH(ROW()-6,MUSTERILER!$U$7:$U$156,0),"")</f>
        <v/>
      </c>
      <c r="AG77" s="1">
        <f>IF($B77="",0,SUMIFS(GELIR_GIDER!$G$7:$G$3006,GELIR_GIDER!$T$7:$T$3006,$B77))</f>
        <v>0</v>
      </c>
    </row>
    <row r="78" spans="1:33" ht="18" customHeight="1" x14ac:dyDescent="0.3">
      <c r="A78" s="2"/>
      <c r="B78" s="65" t="str">
        <f>IF($AF78="","",INDEX(MUSTERILER!$B$7:$B$156,$AF78))</f>
        <v/>
      </c>
      <c r="C78" s="74" t="str">
        <f>IF($AF78="","",INDEX(MUSTERILER!$C$7:$C$156,$AF78))</f>
        <v/>
      </c>
      <c r="D78" s="68" t="str">
        <f>IF($B78="","",SUMIFS(UCRETLER!$G$7:$G$606,UCRETLER!$B$7:$B$606,$B78,UCRETLER!$F$7:$F$606,"Haftalık",UCRETLER!$H$7:$H$606,"Aktif"))</f>
        <v/>
      </c>
      <c r="E78" s="68" t="str">
        <f>IF($B78="","",SUMIFS(UCRETLER!$G$7:$G$606,UCRETLER!$B$7:$B$606,$B78,UCRETLER!$F$7:$F$606,"Aylık",UCRETLER!$H$7:$H$606,"Aktif"))</f>
        <v/>
      </c>
      <c r="F78" s="68" t="str">
        <f>IF($B78="","",SUMIFS(MUSTERILER!$J$7:$J$156,MUSTERILER!$B$7:$B$156,$B78))</f>
        <v/>
      </c>
      <c r="G78" s="68" t="str">
        <f>IF($B78="","",SUMIFS(UCRETLER!$I$7:$I$606,UCRETLER!$B$7:$B$606,$B78)+SUMIFS(GELIR_GIDER!$G$7:$G$3006,GELIR_GIDER!$T$7:$T$3006,$B78))</f>
        <v/>
      </c>
      <c r="H78" s="68" t="str">
        <f t="shared" si="35"/>
        <v/>
      </c>
      <c r="I78" s="68" t="str">
        <f>IF($B78="","",SUMIFS(TAHSILAT!$F$7:$F$2506,TAHSILAT!$C$7:$C$2506,$B78))</f>
        <v/>
      </c>
      <c r="J78" s="68" t="str">
        <f t="shared" si="36"/>
        <v/>
      </c>
      <c r="K78" s="68" t="str">
        <f t="shared" si="37"/>
        <v/>
      </c>
      <c r="L78" s="68" t="str">
        <f t="shared" si="38"/>
        <v/>
      </c>
      <c r="M78" s="68" t="str">
        <f t="shared" si="39"/>
        <v/>
      </c>
      <c r="N78" s="68" t="str">
        <f t="shared" si="40"/>
        <v/>
      </c>
      <c r="O78" s="86" t="str">
        <f t="shared" si="41"/>
        <v/>
      </c>
      <c r="P78" s="70" t="str">
        <f>IF($B78="","",IFERROR(LOOKUP(2,1/(TAHSILAT!$C$7:$C$2506=$B78),TAHSILAT!$E$7:$E$2506),""))</f>
        <v/>
      </c>
      <c r="Q78" s="65" t="str">
        <f t="shared" si="42"/>
        <v/>
      </c>
      <c r="R78" s="74" t="str">
        <f t="shared" si="43"/>
        <v/>
      </c>
      <c r="S78" s="76" t="str">
        <f>IF($B78="","",COUNTIFS(AKTIVITE!$D$7:$D$1006,$B78,AKTIVITE!$J$7:$J$1006,"&lt;&gt;Tamamlandı"))</f>
        <v/>
      </c>
      <c r="T78" s="70" t="str">
        <f>IF(OR($B78="",$AF78=""),"",IF(INDEX(MUSTERILER!$K$7:$K$156,$AF78)="","",INDEX(MUSTERILER!$K$7:$K$156,$AF78)))</f>
        <v/>
      </c>
      <c r="U78" s="76" t="str">
        <f t="shared" ca="1" si="44"/>
        <v/>
      </c>
      <c r="V78" s="68" t="str">
        <f t="shared" si="45"/>
        <v/>
      </c>
      <c r="W78" s="65" t="str">
        <f t="shared" si="46"/>
        <v/>
      </c>
      <c r="X78" s="2">
        <f>IF($B78="",0,SUMIFS(UCRETLER!$J$7:$J$606,UCRETLER!$B$7:$B$606,$B78))</f>
        <v>0</v>
      </c>
      <c r="Y78" s="2">
        <f>IF($B78="",0,SUMIFS(UCRETLER!$K$7:$K$606,UCRETLER!$B$7:$B$606,$B78))</f>
        <v>0</v>
      </c>
      <c r="Z78" s="1">
        <f>IF($B78="",0,SUMIFS(UCRETLER!$L$7:$L$606,UCRETLER!$B$7:$B$606,$B78))</f>
        <v>0</v>
      </c>
      <c r="AA78" s="1">
        <f t="shared" si="47"/>
        <v>0</v>
      </c>
      <c r="AB78" s="1">
        <f t="shared" si="48"/>
        <v>0</v>
      </c>
      <c r="AC78" s="1">
        <f t="shared" si="49"/>
        <v>0</v>
      </c>
      <c r="AD78" s="1">
        <f t="shared" si="50"/>
        <v>0</v>
      </c>
      <c r="AE78" s="1">
        <f t="shared" si="51"/>
        <v>0</v>
      </c>
      <c r="AF78" s="1" t="str">
        <f>IFERROR(MATCH(ROW()-6,MUSTERILER!$U$7:$U$156,0),"")</f>
        <v/>
      </c>
      <c r="AG78" s="1">
        <f>IF($B78="",0,SUMIFS(GELIR_GIDER!$G$7:$G$3006,GELIR_GIDER!$T$7:$T$3006,$B78))</f>
        <v>0</v>
      </c>
    </row>
    <row r="79" spans="1:33" ht="18" customHeight="1" x14ac:dyDescent="0.3">
      <c r="A79" s="2"/>
      <c r="B79" s="65" t="str">
        <f>IF($AF79="","",INDEX(MUSTERILER!$B$7:$B$156,$AF79))</f>
        <v/>
      </c>
      <c r="C79" s="74" t="str">
        <f>IF($AF79="","",INDEX(MUSTERILER!$C$7:$C$156,$AF79))</f>
        <v/>
      </c>
      <c r="D79" s="68" t="str">
        <f>IF($B79="","",SUMIFS(UCRETLER!$G$7:$G$606,UCRETLER!$B$7:$B$606,$B79,UCRETLER!$F$7:$F$606,"Haftalık",UCRETLER!$H$7:$H$606,"Aktif"))</f>
        <v/>
      </c>
      <c r="E79" s="68" t="str">
        <f>IF($B79="","",SUMIFS(UCRETLER!$G$7:$G$606,UCRETLER!$B$7:$B$606,$B79,UCRETLER!$F$7:$F$606,"Aylık",UCRETLER!$H$7:$H$606,"Aktif"))</f>
        <v/>
      </c>
      <c r="F79" s="68" t="str">
        <f>IF($B79="","",SUMIFS(MUSTERILER!$J$7:$J$156,MUSTERILER!$B$7:$B$156,$B79))</f>
        <v/>
      </c>
      <c r="G79" s="68" t="str">
        <f>IF($B79="","",SUMIFS(UCRETLER!$I$7:$I$606,UCRETLER!$B$7:$B$606,$B79)+SUMIFS(GELIR_GIDER!$G$7:$G$3006,GELIR_GIDER!$T$7:$T$3006,$B79))</f>
        <v/>
      </c>
      <c r="H79" s="68" t="str">
        <f t="shared" si="35"/>
        <v/>
      </c>
      <c r="I79" s="68" t="str">
        <f>IF($B79="","",SUMIFS(TAHSILAT!$F$7:$F$2506,TAHSILAT!$C$7:$C$2506,$B79))</f>
        <v/>
      </c>
      <c r="J79" s="68" t="str">
        <f t="shared" si="36"/>
        <v/>
      </c>
      <c r="K79" s="68" t="str">
        <f t="shared" si="37"/>
        <v/>
      </c>
      <c r="L79" s="68" t="str">
        <f t="shared" si="38"/>
        <v/>
      </c>
      <c r="M79" s="68" t="str">
        <f t="shared" si="39"/>
        <v/>
      </c>
      <c r="N79" s="68" t="str">
        <f t="shared" si="40"/>
        <v/>
      </c>
      <c r="O79" s="86" t="str">
        <f t="shared" si="41"/>
        <v/>
      </c>
      <c r="P79" s="70" t="str">
        <f>IF($B79="","",IFERROR(LOOKUP(2,1/(TAHSILAT!$C$7:$C$2506=$B79),TAHSILAT!$E$7:$E$2506),""))</f>
        <v/>
      </c>
      <c r="Q79" s="65" t="str">
        <f t="shared" si="42"/>
        <v/>
      </c>
      <c r="R79" s="74" t="str">
        <f t="shared" si="43"/>
        <v/>
      </c>
      <c r="S79" s="76" t="str">
        <f>IF($B79="","",COUNTIFS(AKTIVITE!$D$7:$D$1006,$B79,AKTIVITE!$J$7:$J$1006,"&lt;&gt;Tamamlandı"))</f>
        <v/>
      </c>
      <c r="T79" s="70" t="str">
        <f>IF(OR($B79="",$AF79=""),"",IF(INDEX(MUSTERILER!$K$7:$K$156,$AF79)="","",INDEX(MUSTERILER!$K$7:$K$156,$AF79)))</f>
        <v/>
      </c>
      <c r="U79" s="76" t="str">
        <f t="shared" ca="1" si="44"/>
        <v/>
      </c>
      <c r="V79" s="68" t="str">
        <f t="shared" si="45"/>
        <v/>
      </c>
      <c r="W79" s="65" t="str">
        <f t="shared" si="46"/>
        <v/>
      </c>
      <c r="X79" s="2">
        <f>IF($B79="",0,SUMIFS(UCRETLER!$J$7:$J$606,UCRETLER!$B$7:$B$606,$B79))</f>
        <v>0</v>
      </c>
      <c r="Y79" s="2">
        <f>IF($B79="",0,SUMIFS(UCRETLER!$K$7:$K$606,UCRETLER!$B$7:$B$606,$B79))</f>
        <v>0</v>
      </c>
      <c r="Z79" s="1">
        <f>IF($B79="",0,SUMIFS(UCRETLER!$L$7:$L$606,UCRETLER!$B$7:$B$606,$B79))</f>
        <v>0</v>
      </c>
      <c r="AA79" s="1">
        <f t="shared" si="47"/>
        <v>0</v>
      </c>
      <c r="AB79" s="1">
        <f t="shared" si="48"/>
        <v>0</v>
      </c>
      <c r="AC79" s="1">
        <f t="shared" si="49"/>
        <v>0</v>
      </c>
      <c r="AD79" s="1">
        <f t="shared" si="50"/>
        <v>0</v>
      </c>
      <c r="AE79" s="1">
        <f t="shared" si="51"/>
        <v>0</v>
      </c>
      <c r="AF79" s="1" t="str">
        <f>IFERROR(MATCH(ROW()-6,MUSTERILER!$U$7:$U$156,0),"")</f>
        <v/>
      </c>
      <c r="AG79" s="1">
        <f>IF($B79="",0,SUMIFS(GELIR_GIDER!$G$7:$G$3006,GELIR_GIDER!$T$7:$T$3006,$B79))</f>
        <v>0</v>
      </c>
    </row>
    <row r="80" spans="1:33" ht="18" customHeight="1" x14ac:dyDescent="0.3">
      <c r="A80" s="2"/>
      <c r="B80" s="65" t="str">
        <f>IF($AF80="","",INDEX(MUSTERILER!$B$7:$B$156,$AF80))</f>
        <v/>
      </c>
      <c r="C80" s="74" t="str">
        <f>IF($AF80="","",INDEX(MUSTERILER!$C$7:$C$156,$AF80))</f>
        <v/>
      </c>
      <c r="D80" s="68" t="str">
        <f>IF($B80="","",SUMIFS(UCRETLER!$G$7:$G$606,UCRETLER!$B$7:$B$606,$B80,UCRETLER!$F$7:$F$606,"Haftalık",UCRETLER!$H$7:$H$606,"Aktif"))</f>
        <v/>
      </c>
      <c r="E80" s="68" t="str">
        <f>IF($B80="","",SUMIFS(UCRETLER!$G$7:$G$606,UCRETLER!$B$7:$B$606,$B80,UCRETLER!$F$7:$F$606,"Aylık",UCRETLER!$H$7:$H$606,"Aktif"))</f>
        <v/>
      </c>
      <c r="F80" s="68" t="str">
        <f>IF($B80="","",SUMIFS(MUSTERILER!$J$7:$J$156,MUSTERILER!$B$7:$B$156,$B80))</f>
        <v/>
      </c>
      <c r="G80" s="68" t="str">
        <f>IF($B80="","",SUMIFS(UCRETLER!$I$7:$I$606,UCRETLER!$B$7:$B$606,$B80)+SUMIFS(GELIR_GIDER!$G$7:$G$3006,GELIR_GIDER!$T$7:$T$3006,$B80))</f>
        <v/>
      </c>
      <c r="H80" s="68" t="str">
        <f t="shared" si="35"/>
        <v/>
      </c>
      <c r="I80" s="68" t="str">
        <f>IF($B80="","",SUMIFS(TAHSILAT!$F$7:$F$2506,TAHSILAT!$C$7:$C$2506,$B80))</f>
        <v/>
      </c>
      <c r="J80" s="68" t="str">
        <f t="shared" si="36"/>
        <v/>
      </c>
      <c r="K80" s="68" t="str">
        <f t="shared" si="37"/>
        <v/>
      </c>
      <c r="L80" s="68" t="str">
        <f t="shared" si="38"/>
        <v/>
      </c>
      <c r="M80" s="68" t="str">
        <f t="shared" si="39"/>
        <v/>
      </c>
      <c r="N80" s="68" t="str">
        <f t="shared" si="40"/>
        <v/>
      </c>
      <c r="O80" s="86" t="str">
        <f t="shared" si="41"/>
        <v/>
      </c>
      <c r="P80" s="70" t="str">
        <f>IF($B80="","",IFERROR(LOOKUP(2,1/(TAHSILAT!$C$7:$C$2506=$B80),TAHSILAT!$E$7:$E$2506),""))</f>
        <v/>
      </c>
      <c r="Q80" s="65" t="str">
        <f t="shared" si="42"/>
        <v/>
      </c>
      <c r="R80" s="74" t="str">
        <f t="shared" si="43"/>
        <v/>
      </c>
      <c r="S80" s="76" t="str">
        <f>IF($B80="","",COUNTIFS(AKTIVITE!$D$7:$D$1006,$B80,AKTIVITE!$J$7:$J$1006,"&lt;&gt;Tamamlandı"))</f>
        <v/>
      </c>
      <c r="T80" s="70" t="str">
        <f>IF(OR($B80="",$AF80=""),"",IF(INDEX(MUSTERILER!$K$7:$K$156,$AF80)="","",INDEX(MUSTERILER!$K$7:$K$156,$AF80)))</f>
        <v/>
      </c>
      <c r="U80" s="76" t="str">
        <f t="shared" ca="1" si="44"/>
        <v/>
      </c>
      <c r="V80" s="68" t="str">
        <f t="shared" si="45"/>
        <v/>
      </c>
      <c r="W80" s="65" t="str">
        <f t="shared" si="46"/>
        <v/>
      </c>
      <c r="X80" s="2">
        <f>IF($B80="",0,SUMIFS(UCRETLER!$J$7:$J$606,UCRETLER!$B$7:$B$606,$B80))</f>
        <v>0</v>
      </c>
      <c r="Y80" s="2">
        <f>IF($B80="",0,SUMIFS(UCRETLER!$K$7:$K$606,UCRETLER!$B$7:$B$606,$B80))</f>
        <v>0</v>
      </c>
      <c r="Z80" s="1">
        <f>IF($B80="",0,SUMIFS(UCRETLER!$L$7:$L$606,UCRETLER!$B$7:$B$606,$B80))</f>
        <v>0</v>
      </c>
      <c r="AA80" s="1">
        <f t="shared" si="47"/>
        <v>0</v>
      </c>
      <c r="AB80" s="1">
        <f t="shared" si="48"/>
        <v>0</v>
      </c>
      <c r="AC80" s="1">
        <f t="shared" si="49"/>
        <v>0</v>
      </c>
      <c r="AD80" s="1">
        <f t="shared" si="50"/>
        <v>0</v>
      </c>
      <c r="AE80" s="1">
        <f t="shared" si="51"/>
        <v>0</v>
      </c>
      <c r="AF80" s="1" t="str">
        <f>IFERROR(MATCH(ROW()-6,MUSTERILER!$U$7:$U$156,0),"")</f>
        <v/>
      </c>
      <c r="AG80" s="1">
        <f>IF($B80="",0,SUMIFS(GELIR_GIDER!$G$7:$G$3006,GELIR_GIDER!$T$7:$T$3006,$B80))</f>
        <v>0</v>
      </c>
    </row>
    <row r="81" spans="1:33" ht="18" customHeight="1" x14ac:dyDescent="0.3">
      <c r="A81" s="2"/>
      <c r="B81" s="65" t="str">
        <f>IF($AF81="","",INDEX(MUSTERILER!$B$7:$B$156,$AF81))</f>
        <v/>
      </c>
      <c r="C81" s="74" t="str">
        <f>IF($AF81="","",INDEX(MUSTERILER!$C$7:$C$156,$AF81))</f>
        <v/>
      </c>
      <c r="D81" s="68" t="str">
        <f>IF($B81="","",SUMIFS(UCRETLER!$G$7:$G$606,UCRETLER!$B$7:$B$606,$B81,UCRETLER!$F$7:$F$606,"Haftalık",UCRETLER!$H$7:$H$606,"Aktif"))</f>
        <v/>
      </c>
      <c r="E81" s="68" t="str">
        <f>IF($B81="","",SUMIFS(UCRETLER!$G$7:$G$606,UCRETLER!$B$7:$B$606,$B81,UCRETLER!$F$7:$F$606,"Aylık",UCRETLER!$H$7:$H$606,"Aktif"))</f>
        <v/>
      </c>
      <c r="F81" s="68" t="str">
        <f>IF($B81="","",SUMIFS(MUSTERILER!$J$7:$J$156,MUSTERILER!$B$7:$B$156,$B81))</f>
        <v/>
      </c>
      <c r="G81" s="68" t="str">
        <f>IF($B81="","",SUMIFS(UCRETLER!$I$7:$I$606,UCRETLER!$B$7:$B$606,$B81)+SUMIFS(GELIR_GIDER!$G$7:$G$3006,GELIR_GIDER!$T$7:$T$3006,$B81))</f>
        <v/>
      </c>
      <c r="H81" s="68" t="str">
        <f t="shared" si="35"/>
        <v/>
      </c>
      <c r="I81" s="68" t="str">
        <f>IF($B81="","",SUMIFS(TAHSILAT!$F$7:$F$2506,TAHSILAT!$C$7:$C$2506,$B81))</f>
        <v/>
      </c>
      <c r="J81" s="68" t="str">
        <f t="shared" si="36"/>
        <v/>
      </c>
      <c r="K81" s="68" t="str">
        <f t="shared" si="37"/>
        <v/>
      </c>
      <c r="L81" s="68" t="str">
        <f t="shared" si="38"/>
        <v/>
      </c>
      <c r="M81" s="68" t="str">
        <f t="shared" si="39"/>
        <v/>
      </c>
      <c r="N81" s="68" t="str">
        <f t="shared" si="40"/>
        <v/>
      </c>
      <c r="O81" s="86" t="str">
        <f t="shared" si="41"/>
        <v/>
      </c>
      <c r="P81" s="70" t="str">
        <f>IF($B81="","",IFERROR(LOOKUP(2,1/(TAHSILAT!$C$7:$C$2506=$B81),TAHSILAT!$E$7:$E$2506),""))</f>
        <v/>
      </c>
      <c r="Q81" s="65" t="str">
        <f t="shared" si="42"/>
        <v/>
      </c>
      <c r="R81" s="74" t="str">
        <f t="shared" si="43"/>
        <v/>
      </c>
      <c r="S81" s="76" t="str">
        <f>IF($B81="","",COUNTIFS(AKTIVITE!$D$7:$D$1006,$B81,AKTIVITE!$J$7:$J$1006,"&lt;&gt;Tamamlandı"))</f>
        <v/>
      </c>
      <c r="T81" s="70" t="str">
        <f>IF(OR($B81="",$AF81=""),"",IF(INDEX(MUSTERILER!$K$7:$K$156,$AF81)="","",INDEX(MUSTERILER!$K$7:$K$156,$AF81)))</f>
        <v/>
      </c>
      <c r="U81" s="76" t="str">
        <f t="shared" ca="1" si="44"/>
        <v/>
      </c>
      <c r="V81" s="68" t="str">
        <f t="shared" si="45"/>
        <v/>
      </c>
      <c r="W81" s="65" t="str">
        <f t="shared" si="46"/>
        <v/>
      </c>
      <c r="X81" s="2">
        <f>IF($B81="",0,SUMIFS(UCRETLER!$J$7:$J$606,UCRETLER!$B$7:$B$606,$B81))</f>
        <v>0</v>
      </c>
      <c r="Y81" s="2">
        <f>IF($B81="",0,SUMIFS(UCRETLER!$K$7:$K$606,UCRETLER!$B$7:$B$606,$B81))</f>
        <v>0</v>
      </c>
      <c r="Z81" s="1">
        <f>IF($B81="",0,SUMIFS(UCRETLER!$L$7:$L$606,UCRETLER!$B$7:$B$606,$B81))</f>
        <v>0</v>
      </c>
      <c r="AA81" s="1">
        <f t="shared" si="47"/>
        <v>0</v>
      </c>
      <c r="AB81" s="1">
        <f t="shared" si="48"/>
        <v>0</v>
      </c>
      <c r="AC81" s="1">
        <f t="shared" si="49"/>
        <v>0</v>
      </c>
      <c r="AD81" s="1">
        <f t="shared" si="50"/>
        <v>0</v>
      </c>
      <c r="AE81" s="1">
        <f t="shared" si="51"/>
        <v>0</v>
      </c>
      <c r="AF81" s="1" t="str">
        <f>IFERROR(MATCH(ROW()-6,MUSTERILER!$U$7:$U$156,0),"")</f>
        <v/>
      </c>
      <c r="AG81" s="1">
        <f>IF($B81="",0,SUMIFS(GELIR_GIDER!$G$7:$G$3006,GELIR_GIDER!$T$7:$T$3006,$B81))</f>
        <v>0</v>
      </c>
    </row>
    <row r="82" spans="1:33" ht="18" customHeight="1" x14ac:dyDescent="0.3">
      <c r="A82" s="2"/>
      <c r="B82" s="65" t="str">
        <f>IF($AF82="","",INDEX(MUSTERILER!$B$7:$B$156,$AF82))</f>
        <v/>
      </c>
      <c r="C82" s="74" t="str">
        <f>IF($AF82="","",INDEX(MUSTERILER!$C$7:$C$156,$AF82))</f>
        <v/>
      </c>
      <c r="D82" s="68" t="str">
        <f>IF($B82="","",SUMIFS(UCRETLER!$G$7:$G$606,UCRETLER!$B$7:$B$606,$B82,UCRETLER!$F$7:$F$606,"Haftalık",UCRETLER!$H$7:$H$606,"Aktif"))</f>
        <v/>
      </c>
      <c r="E82" s="68" t="str">
        <f>IF($B82="","",SUMIFS(UCRETLER!$G$7:$G$606,UCRETLER!$B$7:$B$606,$B82,UCRETLER!$F$7:$F$606,"Aylık",UCRETLER!$H$7:$H$606,"Aktif"))</f>
        <v/>
      </c>
      <c r="F82" s="68" t="str">
        <f>IF($B82="","",SUMIFS(MUSTERILER!$J$7:$J$156,MUSTERILER!$B$7:$B$156,$B82))</f>
        <v/>
      </c>
      <c r="G82" s="68" t="str">
        <f>IF($B82="","",SUMIFS(UCRETLER!$I$7:$I$606,UCRETLER!$B$7:$B$606,$B82)+SUMIFS(GELIR_GIDER!$G$7:$G$3006,GELIR_GIDER!$T$7:$T$3006,$B82))</f>
        <v/>
      </c>
      <c r="H82" s="68" t="str">
        <f t="shared" si="35"/>
        <v/>
      </c>
      <c r="I82" s="68" t="str">
        <f>IF($B82="","",SUMIFS(TAHSILAT!$F$7:$F$2506,TAHSILAT!$C$7:$C$2506,$B82))</f>
        <v/>
      </c>
      <c r="J82" s="68" t="str">
        <f t="shared" si="36"/>
        <v/>
      </c>
      <c r="K82" s="68" t="str">
        <f t="shared" si="37"/>
        <v/>
      </c>
      <c r="L82" s="68" t="str">
        <f t="shared" si="38"/>
        <v/>
      </c>
      <c r="M82" s="68" t="str">
        <f t="shared" si="39"/>
        <v/>
      </c>
      <c r="N82" s="68" t="str">
        <f t="shared" si="40"/>
        <v/>
      </c>
      <c r="O82" s="86" t="str">
        <f t="shared" si="41"/>
        <v/>
      </c>
      <c r="P82" s="70" t="str">
        <f>IF($B82="","",IFERROR(LOOKUP(2,1/(TAHSILAT!$C$7:$C$2506=$B82),TAHSILAT!$E$7:$E$2506),""))</f>
        <v/>
      </c>
      <c r="Q82" s="65" t="str">
        <f t="shared" si="42"/>
        <v/>
      </c>
      <c r="R82" s="74" t="str">
        <f t="shared" si="43"/>
        <v/>
      </c>
      <c r="S82" s="76" t="str">
        <f>IF($B82="","",COUNTIFS(AKTIVITE!$D$7:$D$1006,$B82,AKTIVITE!$J$7:$J$1006,"&lt;&gt;Tamamlandı"))</f>
        <v/>
      </c>
      <c r="T82" s="70" t="str">
        <f>IF(OR($B82="",$AF82=""),"",IF(INDEX(MUSTERILER!$K$7:$K$156,$AF82)="","",INDEX(MUSTERILER!$K$7:$K$156,$AF82)))</f>
        <v/>
      </c>
      <c r="U82" s="76" t="str">
        <f t="shared" ca="1" si="44"/>
        <v/>
      </c>
      <c r="V82" s="68" t="str">
        <f t="shared" si="45"/>
        <v/>
      </c>
      <c r="W82" s="65" t="str">
        <f t="shared" si="46"/>
        <v/>
      </c>
      <c r="X82" s="2">
        <f>IF($B82="",0,SUMIFS(UCRETLER!$J$7:$J$606,UCRETLER!$B$7:$B$606,$B82))</f>
        <v>0</v>
      </c>
      <c r="Y82" s="2">
        <f>IF($B82="",0,SUMIFS(UCRETLER!$K$7:$K$606,UCRETLER!$B$7:$B$606,$B82))</f>
        <v>0</v>
      </c>
      <c r="Z82" s="1">
        <f>IF($B82="",0,SUMIFS(UCRETLER!$L$7:$L$606,UCRETLER!$B$7:$B$606,$B82))</f>
        <v>0</v>
      </c>
      <c r="AA82" s="1">
        <f t="shared" si="47"/>
        <v>0</v>
      </c>
      <c r="AB82" s="1">
        <f t="shared" si="48"/>
        <v>0</v>
      </c>
      <c r="AC82" s="1">
        <f t="shared" si="49"/>
        <v>0</v>
      </c>
      <c r="AD82" s="1">
        <f t="shared" si="50"/>
        <v>0</v>
      </c>
      <c r="AE82" s="1">
        <f t="shared" si="51"/>
        <v>0</v>
      </c>
      <c r="AF82" s="1" t="str">
        <f>IFERROR(MATCH(ROW()-6,MUSTERILER!$U$7:$U$156,0),"")</f>
        <v/>
      </c>
      <c r="AG82" s="1">
        <f>IF($B82="",0,SUMIFS(GELIR_GIDER!$G$7:$G$3006,GELIR_GIDER!$T$7:$T$3006,$B82))</f>
        <v>0</v>
      </c>
    </row>
    <row r="83" spans="1:33" ht="18" customHeight="1" x14ac:dyDescent="0.3">
      <c r="A83" s="2"/>
      <c r="B83" s="65" t="str">
        <f>IF($AF83="","",INDEX(MUSTERILER!$B$7:$B$156,$AF83))</f>
        <v/>
      </c>
      <c r="C83" s="74" t="str">
        <f>IF($AF83="","",INDEX(MUSTERILER!$C$7:$C$156,$AF83))</f>
        <v/>
      </c>
      <c r="D83" s="68" t="str">
        <f>IF($B83="","",SUMIFS(UCRETLER!$G$7:$G$606,UCRETLER!$B$7:$B$606,$B83,UCRETLER!$F$7:$F$606,"Haftalık",UCRETLER!$H$7:$H$606,"Aktif"))</f>
        <v/>
      </c>
      <c r="E83" s="68" t="str">
        <f>IF($B83="","",SUMIFS(UCRETLER!$G$7:$G$606,UCRETLER!$B$7:$B$606,$B83,UCRETLER!$F$7:$F$606,"Aylık",UCRETLER!$H$7:$H$606,"Aktif"))</f>
        <v/>
      </c>
      <c r="F83" s="68" t="str">
        <f>IF($B83="","",SUMIFS(MUSTERILER!$J$7:$J$156,MUSTERILER!$B$7:$B$156,$B83))</f>
        <v/>
      </c>
      <c r="G83" s="68" t="str">
        <f>IF($B83="","",SUMIFS(UCRETLER!$I$7:$I$606,UCRETLER!$B$7:$B$606,$B83)+SUMIFS(GELIR_GIDER!$G$7:$G$3006,GELIR_GIDER!$T$7:$T$3006,$B83))</f>
        <v/>
      </c>
      <c r="H83" s="68" t="str">
        <f t="shared" si="35"/>
        <v/>
      </c>
      <c r="I83" s="68" t="str">
        <f>IF($B83="","",SUMIFS(TAHSILAT!$F$7:$F$2506,TAHSILAT!$C$7:$C$2506,$B83))</f>
        <v/>
      </c>
      <c r="J83" s="68" t="str">
        <f t="shared" si="36"/>
        <v/>
      </c>
      <c r="K83" s="68" t="str">
        <f t="shared" si="37"/>
        <v/>
      </c>
      <c r="L83" s="68" t="str">
        <f t="shared" si="38"/>
        <v/>
      </c>
      <c r="M83" s="68" t="str">
        <f t="shared" si="39"/>
        <v/>
      </c>
      <c r="N83" s="68" t="str">
        <f t="shared" si="40"/>
        <v/>
      </c>
      <c r="O83" s="86" t="str">
        <f t="shared" si="41"/>
        <v/>
      </c>
      <c r="P83" s="70" t="str">
        <f>IF($B83="","",IFERROR(LOOKUP(2,1/(TAHSILAT!$C$7:$C$2506=$B83),TAHSILAT!$E$7:$E$2506),""))</f>
        <v/>
      </c>
      <c r="Q83" s="65" t="str">
        <f t="shared" si="42"/>
        <v/>
      </c>
      <c r="R83" s="74" t="str">
        <f t="shared" si="43"/>
        <v/>
      </c>
      <c r="S83" s="76" t="str">
        <f>IF($B83="","",COUNTIFS(AKTIVITE!$D$7:$D$1006,$B83,AKTIVITE!$J$7:$J$1006,"&lt;&gt;Tamamlandı"))</f>
        <v/>
      </c>
      <c r="T83" s="70" t="str">
        <f>IF(OR($B83="",$AF83=""),"",IF(INDEX(MUSTERILER!$K$7:$K$156,$AF83)="","",INDEX(MUSTERILER!$K$7:$K$156,$AF83)))</f>
        <v/>
      </c>
      <c r="U83" s="76" t="str">
        <f t="shared" ca="1" si="44"/>
        <v/>
      </c>
      <c r="V83" s="68" t="str">
        <f t="shared" si="45"/>
        <v/>
      </c>
      <c r="W83" s="65" t="str">
        <f t="shared" si="46"/>
        <v/>
      </c>
      <c r="X83" s="2">
        <f>IF($B83="",0,SUMIFS(UCRETLER!$J$7:$J$606,UCRETLER!$B$7:$B$606,$B83))</f>
        <v>0</v>
      </c>
      <c r="Y83" s="2">
        <f>IF($B83="",0,SUMIFS(UCRETLER!$K$7:$K$606,UCRETLER!$B$7:$B$606,$B83))</f>
        <v>0</v>
      </c>
      <c r="Z83" s="1">
        <f>IF($B83="",0,SUMIFS(UCRETLER!$L$7:$L$606,UCRETLER!$B$7:$B$606,$B83))</f>
        <v>0</v>
      </c>
      <c r="AA83" s="1">
        <f t="shared" si="47"/>
        <v>0</v>
      </c>
      <c r="AB83" s="1">
        <f t="shared" si="48"/>
        <v>0</v>
      </c>
      <c r="AC83" s="1">
        <f t="shared" si="49"/>
        <v>0</v>
      </c>
      <c r="AD83" s="1">
        <f t="shared" si="50"/>
        <v>0</v>
      </c>
      <c r="AE83" s="1">
        <f t="shared" si="51"/>
        <v>0</v>
      </c>
      <c r="AF83" s="1" t="str">
        <f>IFERROR(MATCH(ROW()-6,MUSTERILER!$U$7:$U$156,0),"")</f>
        <v/>
      </c>
      <c r="AG83" s="1">
        <f>IF($B83="",0,SUMIFS(GELIR_GIDER!$G$7:$G$3006,GELIR_GIDER!$T$7:$T$3006,$B83))</f>
        <v>0</v>
      </c>
    </row>
    <row r="84" spans="1:33" ht="18" customHeight="1" x14ac:dyDescent="0.3">
      <c r="A84" s="2"/>
      <c r="B84" s="65" t="str">
        <f>IF($AF84="","",INDEX(MUSTERILER!$B$7:$B$156,$AF84))</f>
        <v/>
      </c>
      <c r="C84" s="74" t="str">
        <f>IF($AF84="","",INDEX(MUSTERILER!$C$7:$C$156,$AF84))</f>
        <v/>
      </c>
      <c r="D84" s="68" t="str">
        <f>IF($B84="","",SUMIFS(UCRETLER!$G$7:$G$606,UCRETLER!$B$7:$B$606,$B84,UCRETLER!$F$7:$F$606,"Haftalık",UCRETLER!$H$7:$H$606,"Aktif"))</f>
        <v/>
      </c>
      <c r="E84" s="68" t="str">
        <f>IF($B84="","",SUMIFS(UCRETLER!$G$7:$G$606,UCRETLER!$B$7:$B$606,$B84,UCRETLER!$F$7:$F$606,"Aylık",UCRETLER!$H$7:$H$606,"Aktif"))</f>
        <v/>
      </c>
      <c r="F84" s="68" t="str">
        <f>IF($B84="","",SUMIFS(MUSTERILER!$J$7:$J$156,MUSTERILER!$B$7:$B$156,$B84))</f>
        <v/>
      </c>
      <c r="G84" s="68" t="str">
        <f>IF($B84="","",SUMIFS(UCRETLER!$I$7:$I$606,UCRETLER!$B$7:$B$606,$B84)+SUMIFS(GELIR_GIDER!$G$7:$G$3006,GELIR_GIDER!$T$7:$T$3006,$B84))</f>
        <v/>
      </c>
      <c r="H84" s="68" t="str">
        <f t="shared" si="35"/>
        <v/>
      </c>
      <c r="I84" s="68" t="str">
        <f>IF($B84="","",SUMIFS(TAHSILAT!$F$7:$F$2506,TAHSILAT!$C$7:$C$2506,$B84))</f>
        <v/>
      </c>
      <c r="J84" s="68" t="str">
        <f t="shared" si="36"/>
        <v/>
      </c>
      <c r="K84" s="68" t="str">
        <f t="shared" si="37"/>
        <v/>
      </c>
      <c r="L84" s="68" t="str">
        <f t="shared" si="38"/>
        <v/>
      </c>
      <c r="M84" s="68" t="str">
        <f t="shared" si="39"/>
        <v/>
      </c>
      <c r="N84" s="68" t="str">
        <f t="shared" si="40"/>
        <v/>
      </c>
      <c r="O84" s="86" t="str">
        <f t="shared" si="41"/>
        <v/>
      </c>
      <c r="P84" s="70" t="str">
        <f>IF($B84="","",IFERROR(LOOKUP(2,1/(TAHSILAT!$C$7:$C$2506=$B84),TAHSILAT!$E$7:$E$2506),""))</f>
        <v/>
      </c>
      <c r="Q84" s="65" t="str">
        <f t="shared" si="42"/>
        <v/>
      </c>
      <c r="R84" s="74" t="str">
        <f t="shared" si="43"/>
        <v/>
      </c>
      <c r="S84" s="76" t="str">
        <f>IF($B84="","",COUNTIFS(AKTIVITE!$D$7:$D$1006,$B84,AKTIVITE!$J$7:$J$1006,"&lt;&gt;Tamamlandı"))</f>
        <v/>
      </c>
      <c r="T84" s="70" t="str">
        <f>IF(OR($B84="",$AF84=""),"",IF(INDEX(MUSTERILER!$K$7:$K$156,$AF84)="","",INDEX(MUSTERILER!$K$7:$K$156,$AF84)))</f>
        <v/>
      </c>
      <c r="U84" s="76" t="str">
        <f t="shared" ca="1" si="44"/>
        <v/>
      </c>
      <c r="V84" s="68" t="str">
        <f t="shared" si="45"/>
        <v/>
      </c>
      <c r="W84" s="65" t="str">
        <f t="shared" si="46"/>
        <v/>
      </c>
      <c r="X84" s="2">
        <f>IF($B84="",0,SUMIFS(UCRETLER!$J$7:$J$606,UCRETLER!$B$7:$B$606,$B84))</f>
        <v>0</v>
      </c>
      <c r="Y84" s="2">
        <f>IF($B84="",0,SUMIFS(UCRETLER!$K$7:$K$606,UCRETLER!$B$7:$B$606,$B84))</f>
        <v>0</v>
      </c>
      <c r="Z84" s="1">
        <f>IF($B84="",0,SUMIFS(UCRETLER!$L$7:$L$606,UCRETLER!$B$7:$B$606,$B84))</f>
        <v>0</v>
      </c>
      <c r="AA84" s="1">
        <f t="shared" si="47"/>
        <v>0</v>
      </c>
      <c r="AB84" s="1">
        <f t="shared" si="48"/>
        <v>0</v>
      </c>
      <c r="AC84" s="1">
        <f t="shared" si="49"/>
        <v>0</v>
      </c>
      <c r="AD84" s="1">
        <f t="shared" si="50"/>
        <v>0</v>
      </c>
      <c r="AE84" s="1">
        <f t="shared" si="51"/>
        <v>0</v>
      </c>
      <c r="AF84" s="1" t="str">
        <f>IFERROR(MATCH(ROW()-6,MUSTERILER!$U$7:$U$156,0),"")</f>
        <v/>
      </c>
      <c r="AG84" s="1">
        <f>IF($B84="",0,SUMIFS(GELIR_GIDER!$G$7:$G$3006,GELIR_GIDER!$T$7:$T$3006,$B84))</f>
        <v>0</v>
      </c>
    </row>
    <row r="85" spans="1:33" ht="18" customHeight="1" x14ac:dyDescent="0.3">
      <c r="A85" s="2"/>
      <c r="B85" s="65" t="str">
        <f>IF($AF85="","",INDEX(MUSTERILER!$B$7:$B$156,$AF85))</f>
        <v/>
      </c>
      <c r="C85" s="74" t="str">
        <f>IF($AF85="","",INDEX(MUSTERILER!$C$7:$C$156,$AF85))</f>
        <v/>
      </c>
      <c r="D85" s="68" t="str">
        <f>IF($B85="","",SUMIFS(UCRETLER!$G$7:$G$606,UCRETLER!$B$7:$B$606,$B85,UCRETLER!$F$7:$F$606,"Haftalık",UCRETLER!$H$7:$H$606,"Aktif"))</f>
        <v/>
      </c>
      <c r="E85" s="68" t="str">
        <f>IF($B85="","",SUMIFS(UCRETLER!$G$7:$G$606,UCRETLER!$B$7:$B$606,$B85,UCRETLER!$F$7:$F$606,"Aylık",UCRETLER!$H$7:$H$606,"Aktif"))</f>
        <v/>
      </c>
      <c r="F85" s="68" t="str">
        <f>IF($B85="","",SUMIFS(MUSTERILER!$J$7:$J$156,MUSTERILER!$B$7:$B$156,$B85))</f>
        <v/>
      </c>
      <c r="G85" s="68" t="str">
        <f>IF($B85="","",SUMIFS(UCRETLER!$I$7:$I$606,UCRETLER!$B$7:$B$606,$B85)+SUMIFS(GELIR_GIDER!$G$7:$G$3006,GELIR_GIDER!$T$7:$T$3006,$B85))</f>
        <v/>
      </c>
      <c r="H85" s="68" t="str">
        <f t="shared" si="35"/>
        <v/>
      </c>
      <c r="I85" s="68" t="str">
        <f>IF($B85="","",SUMIFS(TAHSILAT!$F$7:$F$2506,TAHSILAT!$C$7:$C$2506,$B85))</f>
        <v/>
      </c>
      <c r="J85" s="68" t="str">
        <f t="shared" si="36"/>
        <v/>
      </c>
      <c r="K85" s="68" t="str">
        <f t="shared" si="37"/>
        <v/>
      </c>
      <c r="L85" s="68" t="str">
        <f t="shared" si="38"/>
        <v/>
      </c>
      <c r="M85" s="68" t="str">
        <f t="shared" si="39"/>
        <v/>
      </c>
      <c r="N85" s="68" t="str">
        <f t="shared" si="40"/>
        <v/>
      </c>
      <c r="O85" s="86" t="str">
        <f t="shared" si="41"/>
        <v/>
      </c>
      <c r="P85" s="70" t="str">
        <f>IF($B85="","",IFERROR(LOOKUP(2,1/(TAHSILAT!$C$7:$C$2506=$B85),TAHSILAT!$E$7:$E$2506),""))</f>
        <v/>
      </c>
      <c r="Q85" s="65" t="str">
        <f t="shared" si="42"/>
        <v/>
      </c>
      <c r="R85" s="74" t="str">
        <f t="shared" si="43"/>
        <v/>
      </c>
      <c r="S85" s="76" t="str">
        <f>IF($B85="","",COUNTIFS(AKTIVITE!$D$7:$D$1006,$B85,AKTIVITE!$J$7:$J$1006,"&lt;&gt;Tamamlandı"))</f>
        <v/>
      </c>
      <c r="T85" s="70" t="str">
        <f>IF(OR($B85="",$AF85=""),"",IF(INDEX(MUSTERILER!$K$7:$K$156,$AF85)="","",INDEX(MUSTERILER!$K$7:$K$156,$AF85)))</f>
        <v/>
      </c>
      <c r="U85" s="76" t="str">
        <f t="shared" ca="1" si="44"/>
        <v/>
      </c>
      <c r="V85" s="68" t="str">
        <f t="shared" si="45"/>
        <v/>
      </c>
      <c r="W85" s="65" t="str">
        <f t="shared" si="46"/>
        <v/>
      </c>
      <c r="X85" s="2">
        <f>IF($B85="",0,SUMIFS(UCRETLER!$J$7:$J$606,UCRETLER!$B$7:$B$606,$B85))</f>
        <v>0</v>
      </c>
      <c r="Y85" s="2">
        <f>IF($B85="",0,SUMIFS(UCRETLER!$K$7:$K$606,UCRETLER!$B$7:$B$606,$B85))</f>
        <v>0</v>
      </c>
      <c r="Z85" s="1">
        <f>IF($B85="",0,SUMIFS(UCRETLER!$L$7:$L$606,UCRETLER!$B$7:$B$606,$B85))</f>
        <v>0</v>
      </c>
      <c r="AA85" s="1">
        <f t="shared" si="47"/>
        <v>0</v>
      </c>
      <c r="AB85" s="1">
        <f t="shared" si="48"/>
        <v>0</v>
      </c>
      <c r="AC85" s="1">
        <f t="shared" si="49"/>
        <v>0</v>
      </c>
      <c r="AD85" s="1">
        <f t="shared" si="50"/>
        <v>0</v>
      </c>
      <c r="AE85" s="1">
        <f t="shared" si="51"/>
        <v>0</v>
      </c>
      <c r="AF85" s="1" t="str">
        <f>IFERROR(MATCH(ROW()-6,MUSTERILER!$U$7:$U$156,0),"")</f>
        <v/>
      </c>
      <c r="AG85" s="1">
        <f>IF($B85="",0,SUMIFS(GELIR_GIDER!$G$7:$G$3006,GELIR_GIDER!$T$7:$T$3006,$B85))</f>
        <v>0</v>
      </c>
    </row>
    <row r="86" spans="1:33" ht="18" customHeight="1" x14ac:dyDescent="0.3">
      <c r="A86" s="2"/>
      <c r="B86" s="65" t="str">
        <f>IF($AF86="","",INDEX(MUSTERILER!$B$7:$B$156,$AF86))</f>
        <v/>
      </c>
      <c r="C86" s="74" t="str">
        <f>IF($AF86="","",INDEX(MUSTERILER!$C$7:$C$156,$AF86))</f>
        <v/>
      </c>
      <c r="D86" s="68" t="str">
        <f>IF($B86="","",SUMIFS(UCRETLER!$G$7:$G$606,UCRETLER!$B$7:$B$606,$B86,UCRETLER!$F$7:$F$606,"Haftalık",UCRETLER!$H$7:$H$606,"Aktif"))</f>
        <v/>
      </c>
      <c r="E86" s="68" t="str">
        <f>IF($B86="","",SUMIFS(UCRETLER!$G$7:$G$606,UCRETLER!$B$7:$B$606,$B86,UCRETLER!$F$7:$F$606,"Aylık",UCRETLER!$H$7:$H$606,"Aktif"))</f>
        <v/>
      </c>
      <c r="F86" s="68" t="str">
        <f>IF($B86="","",SUMIFS(MUSTERILER!$J$7:$J$156,MUSTERILER!$B$7:$B$156,$B86))</f>
        <v/>
      </c>
      <c r="G86" s="68" t="str">
        <f>IF($B86="","",SUMIFS(UCRETLER!$I$7:$I$606,UCRETLER!$B$7:$B$606,$B86)+SUMIFS(GELIR_GIDER!$G$7:$G$3006,GELIR_GIDER!$T$7:$T$3006,$B86))</f>
        <v/>
      </c>
      <c r="H86" s="68" t="str">
        <f t="shared" si="35"/>
        <v/>
      </c>
      <c r="I86" s="68" t="str">
        <f>IF($B86="","",SUMIFS(TAHSILAT!$F$7:$F$2506,TAHSILAT!$C$7:$C$2506,$B86))</f>
        <v/>
      </c>
      <c r="J86" s="68" t="str">
        <f t="shared" si="36"/>
        <v/>
      </c>
      <c r="K86" s="68" t="str">
        <f t="shared" si="37"/>
        <v/>
      </c>
      <c r="L86" s="68" t="str">
        <f t="shared" si="38"/>
        <v/>
      </c>
      <c r="M86" s="68" t="str">
        <f t="shared" si="39"/>
        <v/>
      </c>
      <c r="N86" s="68" t="str">
        <f t="shared" si="40"/>
        <v/>
      </c>
      <c r="O86" s="86" t="str">
        <f t="shared" si="41"/>
        <v/>
      </c>
      <c r="P86" s="70" t="str">
        <f>IF($B86="","",IFERROR(LOOKUP(2,1/(TAHSILAT!$C$7:$C$2506=$B86),TAHSILAT!$E$7:$E$2506),""))</f>
        <v/>
      </c>
      <c r="Q86" s="65" t="str">
        <f t="shared" si="42"/>
        <v/>
      </c>
      <c r="R86" s="74" t="str">
        <f t="shared" si="43"/>
        <v/>
      </c>
      <c r="S86" s="76" t="str">
        <f>IF($B86="","",COUNTIFS(AKTIVITE!$D$7:$D$1006,$B86,AKTIVITE!$J$7:$J$1006,"&lt;&gt;Tamamlandı"))</f>
        <v/>
      </c>
      <c r="T86" s="70" t="str">
        <f>IF(OR($B86="",$AF86=""),"",IF(INDEX(MUSTERILER!$K$7:$K$156,$AF86)="","",INDEX(MUSTERILER!$K$7:$K$156,$AF86)))</f>
        <v/>
      </c>
      <c r="U86" s="76" t="str">
        <f t="shared" ca="1" si="44"/>
        <v/>
      </c>
      <c r="V86" s="68" t="str">
        <f t="shared" si="45"/>
        <v/>
      </c>
      <c r="W86" s="65" t="str">
        <f t="shared" si="46"/>
        <v/>
      </c>
      <c r="X86" s="2">
        <f>IF($B86="",0,SUMIFS(UCRETLER!$J$7:$J$606,UCRETLER!$B$7:$B$606,$B86))</f>
        <v>0</v>
      </c>
      <c r="Y86" s="2">
        <f>IF($B86="",0,SUMIFS(UCRETLER!$K$7:$K$606,UCRETLER!$B$7:$B$606,$B86))</f>
        <v>0</v>
      </c>
      <c r="Z86" s="1">
        <f>IF($B86="",0,SUMIFS(UCRETLER!$L$7:$L$606,UCRETLER!$B$7:$B$606,$B86))</f>
        <v>0</v>
      </c>
      <c r="AA86" s="1">
        <f t="shared" si="47"/>
        <v>0</v>
      </c>
      <c r="AB86" s="1">
        <f t="shared" si="48"/>
        <v>0</v>
      </c>
      <c r="AC86" s="1">
        <f t="shared" si="49"/>
        <v>0</v>
      </c>
      <c r="AD86" s="1">
        <f t="shared" si="50"/>
        <v>0</v>
      </c>
      <c r="AE86" s="1">
        <f t="shared" si="51"/>
        <v>0</v>
      </c>
      <c r="AF86" s="1" t="str">
        <f>IFERROR(MATCH(ROW()-6,MUSTERILER!$U$7:$U$156,0),"")</f>
        <v/>
      </c>
      <c r="AG86" s="1">
        <f>IF($B86="",0,SUMIFS(GELIR_GIDER!$G$7:$G$3006,GELIR_GIDER!$T$7:$T$3006,$B86))</f>
        <v>0</v>
      </c>
    </row>
    <row r="87" spans="1:33" ht="18" customHeight="1" x14ac:dyDescent="0.3">
      <c r="A87" s="2"/>
      <c r="B87" s="65" t="str">
        <f>IF($AF87="","",INDEX(MUSTERILER!$B$7:$B$156,$AF87))</f>
        <v/>
      </c>
      <c r="C87" s="74" t="str">
        <f>IF($AF87="","",INDEX(MUSTERILER!$C$7:$C$156,$AF87))</f>
        <v/>
      </c>
      <c r="D87" s="68" t="str">
        <f>IF($B87="","",SUMIFS(UCRETLER!$G$7:$G$606,UCRETLER!$B$7:$B$606,$B87,UCRETLER!$F$7:$F$606,"Haftalık",UCRETLER!$H$7:$H$606,"Aktif"))</f>
        <v/>
      </c>
      <c r="E87" s="68" t="str">
        <f>IF($B87="","",SUMIFS(UCRETLER!$G$7:$G$606,UCRETLER!$B$7:$B$606,$B87,UCRETLER!$F$7:$F$606,"Aylık",UCRETLER!$H$7:$H$606,"Aktif"))</f>
        <v/>
      </c>
      <c r="F87" s="68" t="str">
        <f>IF($B87="","",SUMIFS(MUSTERILER!$J$7:$J$156,MUSTERILER!$B$7:$B$156,$B87))</f>
        <v/>
      </c>
      <c r="G87" s="68" t="str">
        <f>IF($B87="","",SUMIFS(UCRETLER!$I$7:$I$606,UCRETLER!$B$7:$B$606,$B87)+SUMIFS(GELIR_GIDER!$G$7:$G$3006,GELIR_GIDER!$T$7:$T$3006,$B87))</f>
        <v/>
      </c>
      <c r="H87" s="68" t="str">
        <f t="shared" si="35"/>
        <v/>
      </c>
      <c r="I87" s="68" t="str">
        <f>IF($B87="","",SUMIFS(TAHSILAT!$F$7:$F$2506,TAHSILAT!$C$7:$C$2506,$B87))</f>
        <v/>
      </c>
      <c r="J87" s="68" t="str">
        <f t="shared" si="36"/>
        <v/>
      </c>
      <c r="K87" s="68" t="str">
        <f t="shared" si="37"/>
        <v/>
      </c>
      <c r="L87" s="68" t="str">
        <f t="shared" si="38"/>
        <v/>
      </c>
      <c r="M87" s="68" t="str">
        <f t="shared" si="39"/>
        <v/>
      </c>
      <c r="N87" s="68" t="str">
        <f t="shared" si="40"/>
        <v/>
      </c>
      <c r="O87" s="86" t="str">
        <f t="shared" si="41"/>
        <v/>
      </c>
      <c r="P87" s="70" t="str">
        <f>IF($B87="","",IFERROR(LOOKUP(2,1/(TAHSILAT!$C$7:$C$2506=$B87),TAHSILAT!$E$7:$E$2506),""))</f>
        <v/>
      </c>
      <c r="Q87" s="65" t="str">
        <f t="shared" si="42"/>
        <v/>
      </c>
      <c r="R87" s="74" t="str">
        <f t="shared" si="43"/>
        <v/>
      </c>
      <c r="S87" s="76" t="str">
        <f>IF($B87="","",COUNTIFS(AKTIVITE!$D$7:$D$1006,$B87,AKTIVITE!$J$7:$J$1006,"&lt;&gt;Tamamlandı"))</f>
        <v/>
      </c>
      <c r="T87" s="70" t="str">
        <f>IF(OR($B87="",$AF87=""),"",IF(INDEX(MUSTERILER!$K$7:$K$156,$AF87)="","",INDEX(MUSTERILER!$K$7:$K$156,$AF87)))</f>
        <v/>
      </c>
      <c r="U87" s="76" t="str">
        <f t="shared" ca="1" si="44"/>
        <v/>
      </c>
      <c r="V87" s="68" t="str">
        <f t="shared" si="45"/>
        <v/>
      </c>
      <c r="W87" s="65" t="str">
        <f t="shared" si="46"/>
        <v/>
      </c>
      <c r="X87" s="2">
        <f>IF($B87="",0,SUMIFS(UCRETLER!$J$7:$J$606,UCRETLER!$B$7:$B$606,$B87))</f>
        <v>0</v>
      </c>
      <c r="Y87" s="2">
        <f>IF($B87="",0,SUMIFS(UCRETLER!$K$7:$K$606,UCRETLER!$B$7:$B$606,$B87))</f>
        <v>0</v>
      </c>
      <c r="Z87" s="1">
        <f>IF($B87="",0,SUMIFS(UCRETLER!$L$7:$L$606,UCRETLER!$B$7:$B$606,$B87))</f>
        <v>0</v>
      </c>
      <c r="AA87" s="1">
        <f t="shared" si="47"/>
        <v>0</v>
      </c>
      <c r="AB87" s="1">
        <f t="shared" si="48"/>
        <v>0</v>
      </c>
      <c r="AC87" s="1">
        <f t="shared" si="49"/>
        <v>0</v>
      </c>
      <c r="AD87" s="1">
        <f t="shared" si="50"/>
        <v>0</v>
      </c>
      <c r="AE87" s="1">
        <f t="shared" si="51"/>
        <v>0</v>
      </c>
      <c r="AF87" s="1" t="str">
        <f>IFERROR(MATCH(ROW()-6,MUSTERILER!$U$7:$U$156,0),"")</f>
        <v/>
      </c>
      <c r="AG87" s="1">
        <f>IF($B87="",0,SUMIFS(GELIR_GIDER!$G$7:$G$3006,GELIR_GIDER!$T$7:$T$3006,$B87))</f>
        <v>0</v>
      </c>
    </row>
    <row r="88" spans="1:33" ht="18" customHeight="1" x14ac:dyDescent="0.3">
      <c r="A88" s="2"/>
      <c r="B88" s="65" t="str">
        <f>IF($AF88="","",INDEX(MUSTERILER!$B$7:$B$156,$AF88))</f>
        <v/>
      </c>
      <c r="C88" s="74" t="str">
        <f>IF($AF88="","",INDEX(MUSTERILER!$C$7:$C$156,$AF88))</f>
        <v/>
      </c>
      <c r="D88" s="68" t="str">
        <f>IF($B88="","",SUMIFS(UCRETLER!$G$7:$G$606,UCRETLER!$B$7:$B$606,$B88,UCRETLER!$F$7:$F$606,"Haftalık",UCRETLER!$H$7:$H$606,"Aktif"))</f>
        <v/>
      </c>
      <c r="E88" s="68" t="str">
        <f>IF($B88="","",SUMIFS(UCRETLER!$G$7:$G$606,UCRETLER!$B$7:$B$606,$B88,UCRETLER!$F$7:$F$606,"Aylık",UCRETLER!$H$7:$H$606,"Aktif"))</f>
        <v/>
      </c>
      <c r="F88" s="68" t="str">
        <f>IF($B88="","",SUMIFS(MUSTERILER!$J$7:$J$156,MUSTERILER!$B$7:$B$156,$B88))</f>
        <v/>
      </c>
      <c r="G88" s="68" t="str">
        <f>IF($B88="","",SUMIFS(UCRETLER!$I$7:$I$606,UCRETLER!$B$7:$B$606,$B88)+SUMIFS(GELIR_GIDER!$G$7:$G$3006,GELIR_GIDER!$T$7:$T$3006,$B88))</f>
        <v/>
      </c>
      <c r="H88" s="68" t="str">
        <f t="shared" si="35"/>
        <v/>
      </c>
      <c r="I88" s="68" t="str">
        <f>IF($B88="","",SUMIFS(TAHSILAT!$F$7:$F$2506,TAHSILAT!$C$7:$C$2506,$B88))</f>
        <v/>
      </c>
      <c r="J88" s="68" t="str">
        <f t="shared" si="36"/>
        <v/>
      </c>
      <c r="K88" s="68" t="str">
        <f t="shared" si="37"/>
        <v/>
      </c>
      <c r="L88" s="68" t="str">
        <f t="shared" si="38"/>
        <v/>
      </c>
      <c r="M88" s="68" t="str">
        <f t="shared" si="39"/>
        <v/>
      </c>
      <c r="N88" s="68" t="str">
        <f t="shared" si="40"/>
        <v/>
      </c>
      <c r="O88" s="86" t="str">
        <f t="shared" si="41"/>
        <v/>
      </c>
      <c r="P88" s="70" t="str">
        <f>IF($B88="","",IFERROR(LOOKUP(2,1/(TAHSILAT!$C$7:$C$2506=$B88),TAHSILAT!$E$7:$E$2506),""))</f>
        <v/>
      </c>
      <c r="Q88" s="65" t="str">
        <f t="shared" si="42"/>
        <v/>
      </c>
      <c r="R88" s="74" t="str">
        <f t="shared" si="43"/>
        <v/>
      </c>
      <c r="S88" s="76" t="str">
        <f>IF($B88="","",COUNTIFS(AKTIVITE!$D$7:$D$1006,$B88,AKTIVITE!$J$7:$J$1006,"&lt;&gt;Tamamlandı"))</f>
        <v/>
      </c>
      <c r="T88" s="70" t="str">
        <f>IF(OR($B88="",$AF88=""),"",IF(INDEX(MUSTERILER!$K$7:$K$156,$AF88)="","",INDEX(MUSTERILER!$K$7:$K$156,$AF88)))</f>
        <v/>
      </c>
      <c r="U88" s="76" t="str">
        <f t="shared" ca="1" si="44"/>
        <v/>
      </c>
      <c r="V88" s="68" t="str">
        <f t="shared" si="45"/>
        <v/>
      </c>
      <c r="W88" s="65" t="str">
        <f t="shared" si="46"/>
        <v/>
      </c>
      <c r="X88" s="2">
        <f>IF($B88="",0,SUMIFS(UCRETLER!$J$7:$J$606,UCRETLER!$B$7:$B$606,$B88))</f>
        <v>0</v>
      </c>
      <c r="Y88" s="2">
        <f>IF($B88="",0,SUMIFS(UCRETLER!$K$7:$K$606,UCRETLER!$B$7:$B$606,$B88))</f>
        <v>0</v>
      </c>
      <c r="Z88" s="1">
        <f>IF($B88="",0,SUMIFS(UCRETLER!$L$7:$L$606,UCRETLER!$B$7:$B$606,$B88))</f>
        <v>0</v>
      </c>
      <c r="AA88" s="1">
        <f t="shared" si="47"/>
        <v>0</v>
      </c>
      <c r="AB88" s="1">
        <f t="shared" si="48"/>
        <v>0</v>
      </c>
      <c r="AC88" s="1">
        <f t="shared" si="49"/>
        <v>0</v>
      </c>
      <c r="AD88" s="1">
        <f t="shared" si="50"/>
        <v>0</v>
      </c>
      <c r="AE88" s="1">
        <f t="shared" si="51"/>
        <v>0</v>
      </c>
      <c r="AF88" s="1" t="str">
        <f>IFERROR(MATCH(ROW()-6,MUSTERILER!$U$7:$U$156,0),"")</f>
        <v/>
      </c>
      <c r="AG88" s="1">
        <f>IF($B88="",0,SUMIFS(GELIR_GIDER!$G$7:$G$3006,GELIR_GIDER!$T$7:$T$3006,$B88))</f>
        <v>0</v>
      </c>
    </row>
    <row r="89" spans="1:33" ht="18" customHeight="1" x14ac:dyDescent="0.3">
      <c r="A89" s="2"/>
      <c r="B89" s="65" t="str">
        <f>IF($AF89="","",INDEX(MUSTERILER!$B$7:$B$156,$AF89))</f>
        <v/>
      </c>
      <c r="C89" s="74" t="str">
        <f>IF($AF89="","",INDEX(MUSTERILER!$C$7:$C$156,$AF89))</f>
        <v/>
      </c>
      <c r="D89" s="68" t="str">
        <f>IF($B89="","",SUMIFS(UCRETLER!$G$7:$G$606,UCRETLER!$B$7:$B$606,$B89,UCRETLER!$F$7:$F$606,"Haftalık",UCRETLER!$H$7:$H$606,"Aktif"))</f>
        <v/>
      </c>
      <c r="E89" s="68" t="str">
        <f>IF($B89="","",SUMIFS(UCRETLER!$G$7:$G$606,UCRETLER!$B$7:$B$606,$B89,UCRETLER!$F$7:$F$606,"Aylık",UCRETLER!$H$7:$H$606,"Aktif"))</f>
        <v/>
      </c>
      <c r="F89" s="68" t="str">
        <f>IF($B89="","",SUMIFS(MUSTERILER!$J$7:$J$156,MUSTERILER!$B$7:$B$156,$B89))</f>
        <v/>
      </c>
      <c r="G89" s="68" t="str">
        <f>IF($B89="","",SUMIFS(UCRETLER!$I$7:$I$606,UCRETLER!$B$7:$B$606,$B89)+SUMIFS(GELIR_GIDER!$G$7:$G$3006,GELIR_GIDER!$T$7:$T$3006,$B89))</f>
        <v/>
      </c>
      <c r="H89" s="68" t="str">
        <f t="shared" si="35"/>
        <v/>
      </c>
      <c r="I89" s="68" t="str">
        <f>IF($B89="","",SUMIFS(TAHSILAT!$F$7:$F$2506,TAHSILAT!$C$7:$C$2506,$B89))</f>
        <v/>
      </c>
      <c r="J89" s="68" t="str">
        <f t="shared" si="36"/>
        <v/>
      </c>
      <c r="K89" s="68" t="str">
        <f t="shared" si="37"/>
        <v/>
      </c>
      <c r="L89" s="68" t="str">
        <f t="shared" si="38"/>
        <v/>
      </c>
      <c r="M89" s="68" t="str">
        <f t="shared" si="39"/>
        <v/>
      </c>
      <c r="N89" s="68" t="str">
        <f t="shared" si="40"/>
        <v/>
      </c>
      <c r="O89" s="86" t="str">
        <f t="shared" si="41"/>
        <v/>
      </c>
      <c r="P89" s="70" t="str">
        <f>IF($B89="","",IFERROR(LOOKUP(2,1/(TAHSILAT!$C$7:$C$2506=$B89),TAHSILAT!$E$7:$E$2506),""))</f>
        <v/>
      </c>
      <c r="Q89" s="65" t="str">
        <f t="shared" si="42"/>
        <v/>
      </c>
      <c r="R89" s="74" t="str">
        <f t="shared" si="43"/>
        <v/>
      </c>
      <c r="S89" s="76" t="str">
        <f>IF($B89="","",COUNTIFS(AKTIVITE!$D$7:$D$1006,$B89,AKTIVITE!$J$7:$J$1006,"&lt;&gt;Tamamlandı"))</f>
        <v/>
      </c>
      <c r="T89" s="70" t="str">
        <f>IF(OR($B89="",$AF89=""),"",IF(INDEX(MUSTERILER!$K$7:$K$156,$AF89)="","",INDEX(MUSTERILER!$K$7:$K$156,$AF89)))</f>
        <v/>
      </c>
      <c r="U89" s="76" t="str">
        <f t="shared" ca="1" si="44"/>
        <v/>
      </c>
      <c r="V89" s="68" t="str">
        <f t="shared" si="45"/>
        <v/>
      </c>
      <c r="W89" s="65" t="str">
        <f t="shared" si="46"/>
        <v/>
      </c>
      <c r="X89" s="2">
        <f>IF($B89="",0,SUMIFS(UCRETLER!$J$7:$J$606,UCRETLER!$B$7:$B$606,$B89))</f>
        <v>0</v>
      </c>
      <c r="Y89" s="2">
        <f>IF($B89="",0,SUMIFS(UCRETLER!$K$7:$K$606,UCRETLER!$B$7:$B$606,$B89))</f>
        <v>0</v>
      </c>
      <c r="Z89" s="1">
        <f>IF($B89="",0,SUMIFS(UCRETLER!$L$7:$L$606,UCRETLER!$B$7:$B$606,$B89))</f>
        <v>0</v>
      </c>
      <c r="AA89" s="1">
        <f t="shared" si="47"/>
        <v>0</v>
      </c>
      <c r="AB89" s="1">
        <f t="shared" si="48"/>
        <v>0</v>
      </c>
      <c r="AC89" s="1">
        <f t="shared" si="49"/>
        <v>0</v>
      </c>
      <c r="AD89" s="1">
        <f t="shared" si="50"/>
        <v>0</v>
      </c>
      <c r="AE89" s="1">
        <f t="shared" si="51"/>
        <v>0</v>
      </c>
      <c r="AF89" s="1" t="str">
        <f>IFERROR(MATCH(ROW()-6,MUSTERILER!$U$7:$U$156,0),"")</f>
        <v/>
      </c>
      <c r="AG89" s="1">
        <f>IF($B89="",0,SUMIFS(GELIR_GIDER!$G$7:$G$3006,GELIR_GIDER!$T$7:$T$3006,$B89))</f>
        <v>0</v>
      </c>
    </row>
    <row r="90" spans="1:33" ht="18" customHeight="1" x14ac:dyDescent="0.3">
      <c r="A90" s="2"/>
      <c r="B90" s="65" t="str">
        <f>IF($AF90="","",INDEX(MUSTERILER!$B$7:$B$156,$AF90))</f>
        <v/>
      </c>
      <c r="C90" s="74" t="str">
        <f>IF($AF90="","",INDEX(MUSTERILER!$C$7:$C$156,$AF90))</f>
        <v/>
      </c>
      <c r="D90" s="68" t="str">
        <f>IF($B90="","",SUMIFS(UCRETLER!$G$7:$G$606,UCRETLER!$B$7:$B$606,$B90,UCRETLER!$F$7:$F$606,"Haftalık",UCRETLER!$H$7:$H$606,"Aktif"))</f>
        <v/>
      </c>
      <c r="E90" s="68" t="str">
        <f>IF($B90="","",SUMIFS(UCRETLER!$G$7:$G$606,UCRETLER!$B$7:$B$606,$B90,UCRETLER!$F$7:$F$606,"Aylık",UCRETLER!$H$7:$H$606,"Aktif"))</f>
        <v/>
      </c>
      <c r="F90" s="68" t="str">
        <f>IF($B90="","",SUMIFS(MUSTERILER!$J$7:$J$156,MUSTERILER!$B$7:$B$156,$B90))</f>
        <v/>
      </c>
      <c r="G90" s="68" t="str">
        <f>IF($B90="","",SUMIFS(UCRETLER!$I$7:$I$606,UCRETLER!$B$7:$B$606,$B90)+SUMIFS(GELIR_GIDER!$G$7:$G$3006,GELIR_GIDER!$T$7:$T$3006,$B90))</f>
        <v/>
      </c>
      <c r="H90" s="68" t="str">
        <f t="shared" si="35"/>
        <v/>
      </c>
      <c r="I90" s="68" t="str">
        <f>IF($B90="","",SUMIFS(TAHSILAT!$F$7:$F$2506,TAHSILAT!$C$7:$C$2506,$B90))</f>
        <v/>
      </c>
      <c r="J90" s="68" t="str">
        <f t="shared" si="36"/>
        <v/>
      </c>
      <c r="K90" s="68" t="str">
        <f t="shared" si="37"/>
        <v/>
      </c>
      <c r="L90" s="68" t="str">
        <f t="shared" si="38"/>
        <v/>
      </c>
      <c r="M90" s="68" t="str">
        <f t="shared" si="39"/>
        <v/>
      </c>
      <c r="N90" s="68" t="str">
        <f t="shared" si="40"/>
        <v/>
      </c>
      <c r="O90" s="86" t="str">
        <f t="shared" si="41"/>
        <v/>
      </c>
      <c r="P90" s="70" t="str">
        <f>IF($B90="","",IFERROR(LOOKUP(2,1/(TAHSILAT!$C$7:$C$2506=$B90),TAHSILAT!$E$7:$E$2506),""))</f>
        <v/>
      </c>
      <c r="Q90" s="65" t="str">
        <f t="shared" si="42"/>
        <v/>
      </c>
      <c r="R90" s="74" t="str">
        <f t="shared" si="43"/>
        <v/>
      </c>
      <c r="S90" s="76" t="str">
        <f>IF($B90="","",COUNTIFS(AKTIVITE!$D$7:$D$1006,$B90,AKTIVITE!$J$7:$J$1006,"&lt;&gt;Tamamlandı"))</f>
        <v/>
      </c>
      <c r="T90" s="70" t="str">
        <f>IF(OR($B90="",$AF90=""),"",IF(INDEX(MUSTERILER!$K$7:$K$156,$AF90)="","",INDEX(MUSTERILER!$K$7:$K$156,$AF90)))</f>
        <v/>
      </c>
      <c r="U90" s="76" t="str">
        <f t="shared" ca="1" si="44"/>
        <v/>
      </c>
      <c r="V90" s="68" t="str">
        <f t="shared" si="45"/>
        <v/>
      </c>
      <c r="W90" s="65" t="str">
        <f t="shared" si="46"/>
        <v/>
      </c>
      <c r="X90" s="2">
        <f>IF($B90="",0,SUMIFS(UCRETLER!$J$7:$J$606,UCRETLER!$B$7:$B$606,$B90))</f>
        <v>0</v>
      </c>
      <c r="Y90" s="2">
        <f>IF($B90="",0,SUMIFS(UCRETLER!$K$7:$K$606,UCRETLER!$B$7:$B$606,$B90))</f>
        <v>0</v>
      </c>
      <c r="Z90" s="1">
        <f>IF($B90="",0,SUMIFS(UCRETLER!$L$7:$L$606,UCRETLER!$B$7:$B$606,$B90))</f>
        <v>0</v>
      </c>
      <c r="AA90" s="1">
        <f t="shared" si="47"/>
        <v>0</v>
      </c>
      <c r="AB90" s="1">
        <f t="shared" si="48"/>
        <v>0</v>
      </c>
      <c r="AC90" s="1">
        <f t="shared" si="49"/>
        <v>0</v>
      </c>
      <c r="AD90" s="1">
        <f t="shared" si="50"/>
        <v>0</v>
      </c>
      <c r="AE90" s="1">
        <f t="shared" si="51"/>
        <v>0</v>
      </c>
      <c r="AF90" s="1" t="str">
        <f>IFERROR(MATCH(ROW()-6,MUSTERILER!$U$7:$U$156,0),"")</f>
        <v/>
      </c>
      <c r="AG90" s="1">
        <f>IF($B90="",0,SUMIFS(GELIR_GIDER!$G$7:$G$3006,GELIR_GIDER!$T$7:$T$3006,$B90))</f>
        <v>0</v>
      </c>
    </row>
    <row r="91" spans="1:33" ht="18" customHeight="1" x14ac:dyDescent="0.3">
      <c r="A91" s="2"/>
      <c r="B91" s="65" t="str">
        <f>IF($AF91="","",INDEX(MUSTERILER!$B$7:$B$156,$AF91))</f>
        <v/>
      </c>
      <c r="C91" s="74" t="str">
        <f>IF($AF91="","",INDEX(MUSTERILER!$C$7:$C$156,$AF91))</f>
        <v/>
      </c>
      <c r="D91" s="68" t="str">
        <f>IF($B91="","",SUMIFS(UCRETLER!$G$7:$G$606,UCRETLER!$B$7:$B$606,$B91,UCRETLER!$F$7:$F$606,"Haftalık",UCRETLER!$H$7:$H$606,"Aktif"))</f>
        <v/>
      </c>
      <c r="E91" s="68" t="str">
        <f>IF($B91="","",SUMIFS(UCRETLER!$G$7:$G$606,UCRETLER!$B$7:$B$606,$B91,UCRETLER!$F$7:$F$606,"Aylık",UCRETLER!$H$7:$H$606,"Aktif"))</f>
        <v/>
      </c>
      <c r="F91" s="68" t="str">
        <f>IF($B91="","",SUMIFS(MUSTERILER!$J$7:$J$156,MUSTERILER!$B$7:$B$156,$B91))</f>
        <v/>
      </c>
      <c r="G91" s="68" t="str">
        <f>IF($B91="","",SUMIFS(UCRETLER!$I$7:$I$606,UCRETLER!$B$7:$B$606,$B91)+SUMIFS(GELIR_GIDER!$G$7:$G$3006,GELIR_GIDER!$T$7:$T$3006,$B91))</f>
        <v/>
      </c>
      <c r="H91" s="68" t="str">
        <f t="shared" si="35"/>
        <v/>
      </c>
      <c r="I91" s="68" t="str">
        <f>IF($B91="","",SUMIFS(TAHSILAT!$F$7:$F$2506,TAHSILAT!$C$7:$C$2506,$B91))</f>
        <v/>
      </c>
      <c r="J91" s="68" t="str">
        <f t="shared" si="36"/>
        <v/>
      </c>
      <c r="K91" s="68" t="str">
        <f t="shared" si="37"/>
        <v/>
      </c>
      <c r="L91" s="68" t="str">
        <f t="shared" si="38"/>
        <v/>
      </c>
      <c r="M91" s="68" t="str">
        <f t="shared" si="39"/>
        <v/>
      </c>
      <c r="N91" s="68" t="str">
        <f t="shared" si="40"/>
        <v/>
      </c>
      <c r="O91" s="86" t="str">
        <f t="shared" si="41"/>
        <v/>
      </c>
      <c r="P91" s="70" t="str">
        <f>IF($B91="","",IFERROR(LOOKUP(2,1/(TAHSILAT!$C$7:$C$2506=$B91),TAHSILAT!$E$7:$E$2506),""))</f>
        <v/>
      </c>
      <c r="Q91" s="65" t="str">
        <f t="shared" si="42"/>
        <v/>
      </c>
      <c r="R91" s="74" t="str">
        <f t="shared" si="43"/>
        <v/>
      </c>
      <c r="S91" s="76" t="str">
        <f>IF($B91="","",COUNTIFS(AKTIVITE!$D$7:$D$1006,$B91,AKTIVITE!$J$7:$J$1006,"&lt;&gt;Tamamlandı"))</f>
        <v/>
      </c>
      <c r="T91" s="70" t="str">
        <f>IF(OR($B91="",$AF91=""),"",IF(INDEX(MUSTERILER!$K$7:$K$156,$AF91)="","",INDEX(MUSTERILER!$K$7:$K$156,$AF91)))</f>
        <v/>
      </c>
      <c r="U91" s="76" t="str">
        <f t="shared" ca="1" si="44"/>
        <v/>
      </c>
      <c r="V91" s="68" t="str">
        <f t="shared" si="45"/>
        <v/>
      </c>
      <c r="W91" s="65" t="str">
        <f t="shared" si="46"/>
        <v/>
      </c>
      <c r="X91" s="2">
        <f>IF($B91="",0,SUMIFS(UCRETLER!$J$7:$J$606,UCRETLER!$B$7:$B$606,$B91))</f>
        <v>0</v>
      </c>
      <c r="Y91" s="2">
        <f>IF($B91="",0,SUMIFS(UCRETLER!$K$7:$K$606,UCRETLER!$B$7:$B$606,$B91))</f>
        <v>0</v>
      </c>
      <c r="Z91" s="1">
        <f>IF($B91="",0,SUMIFS(UCRETLER!$L$7:$L$606,UCRETLER!$B$7:$B$606,$B91))</f>
        <v>0</v>
      </c>
      <c r="AA91" s="1">
        <f t="shared" si="47"/>
        <v>0</v>
      </c>
      <c r="AB91" s="1">
        <f t="shared" si="48"/>
        <v>0</v>
      </c>
      <c r="AC91" s="1">
        <f t="shared" si="49"/>
        <v>0</v>
      </c>
      <c r="AD91" s="1">
        <f t="shared" si="50"/>
        <v>0</v>
      </c>
      <c r="AE91" s="1">
        <f t="shared" si="51"/>
        <v>0</v>
      </c>
      <c r="AF91" s="1" t="str">
        <f>IFERROR(MATCH(ROW()-6,MUSTERILER!$U$7:$U$156,0),"")</f>
        <v/>
      </c>
      <c r="AG91" s="1">
        <f>IF($B91="",0,SUMIFS(GELIR_GIDER!$G$7:$G$3006,GELIR_GIDER!$T$7:$T$3006,$B91))</f>
        <v>0</v>
      </c>
    </row>
    <row r="92" spans="1:33" ht="18" customHeight="1" x14ac:dyDescent="0.3">
      <c r="A92" s="2"/>
      <c r="B92" s="65" t="str">
        <f>IF($AF92="","",INDEX(MUSTERILER!$B$7:$B$156,$AF92))</f>
        <v/>
      </c>
      <c r="C92" s="74" t="str">
        <f>IF($AF92="","",INDEX(MUSTERILER!$C$7:$C$156,$AF92))</f>
        <v/>
      </c>
      <c r="D92" s="68" t="str">
        <f>IF($B92="","",SUMIFS(UCRETLER!$G$7:$G$606,UCRETLER!$B$7:$B$606,$B92,UCRETLER!$F$7:$F$606,"Haftalık",UCRETLER!$H$7:$H$606,"Aktif"))</f>
        <v/>
      </c>
      <c r="E92" s="68" t="str">
        <f>IF($B92="","",SUMIFS(UCRETLER!$G$7:$G$606,UCRETLER!$B$7:$B$606,$B92,UCRETLER!$F$7:$F$606,"Aylık",UCRETLER!$H$7:$H$606,"Aktif"))</f>
        <v/>
      </c>
      <c r="F92" s="68" t="str">
        <f>IF($B92="","",SUMIFS(MUSTERILER!$J$7:$J$156,MUSTERILER!$B$7:$B$156,$B92))</f>
        <v/>
      </c>
      <c r="G92" s="68" t="str">
        <f>IF($B92="","",SUMIFS(UCRETLER!$I$7:$I$606,UCRETLER!$B$7:$B$606,$B92)+SUMIFS(GELIR_GIDER!$G$7:$G$3006,GELIR_GIDER!$T$7:$T$3006,$B92))</f>
        <v/>
      </c>
      <c r="H92" s="68" t="str">
        <f t="shared" si="35"/>
        <v/>
      </c>
      <c r="I92" s="68" t="str">
        <f>IF($B92="","",SUMIFS(TAHSILAT!$F$7:$F$2506,TAHSILAT!$C$7:$C$2506,$B92))</f>
        <v/>
      </c>
      <c r="J92" s="68" t="str">
        <f t="shared" si="36"/>
        <v/>
      </c>
      <c r="K92" s="68" t="str">
        <f t="shared" si="37"/>
        <v/>
      </c>
      <c r="L92" s="68" t="str">
        <f t="shared" si="38"/>
        <v/>
      </c>
      <c r="M92" s="68" t="str">
        <f t="shared" si="39"/>
        <v/>
      </c>
      <c r="N92" s="68" t="str">
        <f t="shared" si="40"/>
        <v/>
      </c>
      <c r="O92" s="86" t="str">
        <f t="shared" si="41"/>
        <v/>
      </c>
      <c r="P92" s="70" t="str">
        <f>IF($B92="","",IFERROR(LOOKUP(2,1/(TAHSILAT!$C$7:$C$2506=$B92),TAHSILAT!$E$7:$E$2506),""))</f>
        <v/>
      </c>
      <c r="Q92" s="65" t="str">
        <f t="shared" si="42"/>
        <v/>
      </c>
      <c r="R92" s="74" t="str">
        <f t="shared" si="43"/>
        <v/>
      </c>
      <c r="S92" s="76" t="str">
        <f>IF($B92="","",COUNTIFS(AKTIVITE!$D$7:$D$1006,$B92,AKTIVITE!$J$7:$J$1006,"&lt;&gt;Tamamlandı"))</f>
        <v/>
      </c>
      <c r="T92" s="70" t="str">
        <f>IF(OR($B92="",$AF92=""),"",IF(INDEX(MUSTERILER!$K$7:$K$156,$AF92)="","",INDEX(MUSTERILER!$K$7:$K$156,$AF92)))</f>
        <v/>
      </c>
      <c r="U92" s="76" t="str">
        <f t="shared" ca="1" si="44"/>
        <v/>
      </c>
      <c r="V92" s="68" t="str">
        <f t="shared" si="45"/>
        <v/>
      </c>
      <c r="W92" s="65" t="str">
        <f t="shared" si="46"/>
        <v/>
      </c>
      <c r="X92" s="2">
        <f>IF($B92="",0,SUMIFS(UCRETLER!$J$7:$J$606,UCRETLER!$B$7:$B$606,$B92))</f>
        <v>0</v>
      </c>
      <c r="Y92" s="2">
        <f>IF($B92="",0,SUMIFS(UCRETLER!$K$7:$K$606,UCRETLER!$B$7:$B$606,$B92))</f>
        <v>0</v>
      </c>
      <c r="Z92" s="1">
        <f>IF($B92="",0,SUMIFS(UCRETLER!$L$7:$L$606,UCRETLER!$B$7:$B$606,$B92))</f>
        <v>0</v>
      </c>
      <c r="AA92" s="1">
        <f t="shared" si="47"/>
        <v>0</v>
      </c>
      <c r="AB92" s="1">
        <f t="shared" si="48"/>
        <v>0</v>
      </c>
      <c r="AC92" s="1">
        <f t="shared" si="49"/>
        <v>0</v>
      </c>
      <c r="AD92" s="1">
        <f t="shared" si="50"/>
        <v>0</v>
      </c>
      <c r="AE92" s="1">
        <f t="shared" si="51"/>
        <v>0</v>
      </c>
      <c r="AF92" s="1" t="str">
        <f>IFERROR(MATCH(ROW()-6,MUSTERILER!$U$7:$U$156,0),"")</f>
        <v/>
      </c>
      <c r="AG92" s="1">
        <f>IF($B92="",0,SUMIFS(GELIR_GIDER!$G$7:$G$3006,GELIR_GIDER!$T$7:$T$3006,$B92))</f>
        <v>0</v>
      </c>
    </row>
    <row r="93" spans="1:33" ht="18" customHeight="1" x14ac:dyDescent="0.3">
      <c r="A93" s="2"/>
      <c r="B93" s="65" t="str">
        <f>IF($AF93="","",INDEX(MUSTERILER!$B$7:$B$156,$AF93))</f>
        <v/>
      </c>
      <c r="C93" s="74" t="str">
        <f>IF($AF93="","",INDEX(MUSTERILER!$C$7:$C$156,$AF93))</f>
        <v/>
      </c>
      <c r="D93" s="68" t="str">
        <f>IF($B93="","",SUMIFS(UCRETLER!$G$7:$G$606,UCRETLER!$B$7:$B$606,$B93,UCRETLER!$F$7:$F$606,"Haftalık",UCRETLER!$H$7:$H$606,"Aktif"))</f>
        <v/>
      </c>
      <c r="E93" s="68" t="str">
        <f>IF($B93="","",SUMIFS(UCRETLER!$G$7:$G$606,UCRETLER!$B$7:$B$606,$B93,UCRETLER!$F$7:$F$606,"Aylık",UCRETLER!$H$7:$H$606,"Aktif"))</f>
        <v/>
      </c>
      <c r="F93" s="68" t="str">
        <f>IF($B93="","",SUMIFS(MUSTERILER!$J$7:$J$156,MUSTERILER!$B$7:$B$156,$B93))</f>
        <v/>
      </c>
      <c r="G93" s="68" t="str">
        <f>IF($B93="","",SUMIFS(UCRETLER!$I$7:$I$606,UCRETLER!$B$7:$B$606,$B93)+SUMIFS(GELIR_GIDER!$G$7:$G$3006,GELIR_GIDER!$T$7:$T$3006,$B93))</f>
        <v/>
      </c>
      <c r="H93" s="68" t="str">
        <f t="shared" si="35"/>
        <v/>
      </c>
      <c r="I93" s="68" t="str">
        <f>IF($B93="","",SUMIFS(TAHSILAT!$F$7:$F$2506,TAHSILAT!$C$7:$C$2506,$B93))</f>
        <v/>
      </c>
      <c r="J93" s="68" t="str">
        <f t="shared" si="36"/>
        <v/>
      </c>
      <c r="K93" s="68" t="str">
        <f t="shared" si="37"/>
        <v/>
      </c>
      <c r="L93" s="68" t="str">
        <f t="shared" si="38"/>
        <v/>
      </c>
      <c r="M93" s="68" t="str">
        <f t="shared" si="39"/>
        <v/>
      </c>
      <c r="N93" s="68" t="str">
        <f t="shared" si="40"/>
        <v/>
      </c>
      <c r="O93" s="86" t="str">
        <f t="shared" si="41"/>
        <v/>
      </c>
      <c r="P93" s="70" t="str">
        <f>IF($B93="","",IFERROR(LOOKUP(2,1/(TAHSILAT!$C$7:$C$2506=$B93),TAHSILAT!$E$7:$E$2506),""))</f>
        <v/>
      </c>
      <c r="Q93" s="65" t="str">
        <f t="shared" si="42"/>
        <v/>
      </c>
      <c r="R93" s="74" t="str">
        <f t="shared" si="43"/>
        <v/>
      </c>
      <c r="S93" s="76" t="str">
        <f>IF($B93="","",COUNTIFS(AKTIVITE!$D$7:$D$1006,$B93,AKTIVITE!$J$7:$J$1006,"&lt;&gt;Tamamlandı"))</f>
        <v/>
      </c>
      <c r="T93" s="70" t="str">
        <f>IF(OR($B93="",$AF93=""),"",IF(INDEX(MUSTERILER!$K$7:$K$156,$AF93)="","",INDEX(MUSTERILER!$K$7:$K$156,$AF93)))</f>
        <v/>
      </c>
      <c r="U93" s="76" t="str">
        <f t="shared" ca="1" si="44"/>
        <v/>
      </c>
      <c r="V93" s="68" t="str">
        <f t="shared" si="45"/>
        <v/>
      </c>
      <c r="W93" s="65" t="str">
        <f t="shared" si="46"/>
        <v/>
      </c>
      <c r="X93" s="2">
        <f>IF($B93="",0,SUMIFS(UCRETLER!$J$7:$J$606,UCRETLER!$B$7:$B$606,$B93))</f>
        <v>0</v>
      </c>
      <c r="Y93" s="2">
        <f>IF($B93="",0,SUMIFS(UCRETLER!$K$7:$K$606,UCRETLER!$B$7:$B$606,$B93))</f>
        <v>0</v>
      </c>
      <c r="Z93" s="1">
        <f>IF($B93="",0,SUMIFS(UCRETLER!$L$7:$L$606,UCRETLER!$B$7:$B$606,$B93))</f>
        <v>0</v>
      </c>
      <c r="AA93" s="1">
        <f t="shared" si="47"/>
        <v>0</v>
      </c>
      <c r="AB93" s="1">
        <f t="shared" si="48"/>
        <v>0</v>
      </c>
      <c r="AC93" s="1">
        <f t="shared" si="49"/>
        <v>0</v>
      </c>
      <c r="AD93" s="1">
        <f t="shared" si="50"/>
        <v>0</v>
      </c>
      <c r="AE93" s="1">
        <f t="shared" si="51"/>
        <v>0</v>
      </c>
      <c r="AF93" s="1" t="str">
        <f>IFERROR(MATCH(ROW()-6,MUSTERILER!$U$7:$U$156,0),"")</f>
        <v/>
      </c>
      <c r="AG93" s="1">
        <f>IF($B93="",0,SUMIFS(GELIR_GIDER!$G$7:$G$3006,GELIR_GIDER!$T$7:$T$3006,$B93))</f>
        <v>0</v>
      </c>
    </row>
    <row r="94" spans="1:33" ht="18" customHeight="1" x14ac:dyDescent="0.3">
      <c r="A94" s="2"/>
      <c r="B94" s="65" t="str">
        <f>IF($AF94="","",INDEX(MUSTERILER!$B$7:$B$156,$AF94))</f>
        <v/>
      </c>
      <c r="C94" s="74" t="str">
        <f>IF($AF94="","",INDEX(MUSTERILER!$C$7:$C$156,$AF94))</f>
        <v/>
      </c>
      <c r="D94" s="68" t="str">
        <f>IF($B94="","",SUMIFS(UCRETLER!$G$7:$G$606,UCRETLER!$B$7:$B$606,$B94,UCRETLER!$F$7:$F$606,"Haftalık",UCRETLER!$H$7:$H$606,"Aktif"))</f>
        <v/>
      </c>
      <c r="E94" s="68" t="str">
        <f>IF($B94="","",SUMIFS(UCRETLER!$G$7:$G$606,UCRETLER!$B$7:$B$606,$B94,UCRETLER!$F$7:$F$606,"Aylık",UCRETLER!$H$7:$H$606,"Aktif"))</f>
        <v/>
      </c>
      <c r="F94" s="68" t="str">
        <f>IF($B94="","",SUMIFS(MUSTERILER!$J$7:$J$156,MUSTERILER!$B$7:$B$156,$B94))</f>
        <v/>
      </c>
      <c r="G94" s="68" t="str">
        <f>IF($B94="","",SUMIFS(UCRETLER!$I$7:$I$606,UCRETLER!$B$7:$B$606,$B94)+SUMIFS(GELIR_GIDER!$G$7:$G$3006,GELIR_GIDER!$T$7:$T$3006,$B94))</f>
        <v/>
      </c>
      <c r="H94" s="68" t="str">
        <f t="shared" si="35"/>
        <v/>
      </c>
      <c r="I94" s="68" t="str">
        <f>IF($B94="","",SUMIFS(TAHSILAT!$F$7:$F$2506,TAHSILAT!$C$7:$C$2506,$B94))</f>
        <v/>
      </c>
      <c r="J94" s="68" t="str">
        <f t="shared" si="36"/>
        <v/>
      </c>
      <c r="K94" s="68" t="str">
        <f t="shared" si="37"/>
        <v/>
      </c>
      <c r="L94" s="68" t="str">
        <f t="shared" si="38"/>
        <v/>
      </c>
      <c r="M94" s="68" t="str">
        <f t="shared" si="39"/>
        <v/>
      </c>
      <c r="N94" s="68" t="str">
        <f t="shared" si="40"/>
        <v/>
      </c>
      <c r="O94" s="86" t="str">
        <f t="shared" si="41"/>
        <v/>
      </c>
      <c r="P94" s="70" t="str">
        <f>IF($B94="","",IFERROR(LOOKUP(2,1/(TAHSILAT!$C$7:$C$2506=$B94),TAHSILAT!$E$7:$E$2506),""))</f>
        <v/>
      </c>
      <c r="Q94" s="65" t="str">
        <f t="shared" si="42"/>
        <v/>
      </c>
      <c r="R94" s="74" t="str">
        <f t="shared" si="43"/>
        <v/>
      </c>
      <c r="S94" s="76" t="str">
        <f>IF($B94="","",COUNTIFS(AKTIVITE!$D$7:$D$1006,$B94,AKTIVITE!$J$7:$J$1006,"&lt;&gt;Tamamlandı"))</f>
        <v/>
      </c>
      <c r="T94" s="70" t="str">
        <f>IF(OR($B94="",$AF94=""),"",IF(INDEX(MUSTERILER!$K$7:$K$156,$AF94)="","",INDEX(MUSTERILER!$K$7:$K$156,$AF94)))</f>
        <v/>
      </c>
      <c r="U94" s="76" t="str">
        <f t="shared" ca="1" si="44"/>
        <v/>
      </c>
      <c r="V94" s="68" t="str">
        <f t="shared" si="45"/>
        <v/>
      </c>
      <c r="W94" s="65" t="str">
        <f t="shared" si="46"/>
        <v/>
      </c>
      <c r="X94" s="2">
        <f>IF($B94="",0,SUMIFS(UCRETLER!$J$7:$J$606,UCRETLER!$B$7:$B$606,$B94))</f>
        <v>0</v>
      </c>
      <c r="Y94" s="2">
        <f>IF($B94="",0,SUMIFS(UCRETLER!$K$7:$K$606,UCRETLER!$B$7:$B$606,$B94))</f>
        <v>0</v>
      </c>
      <c r="Z94" s="1">
        <f>IF($B94="",0,SUMIFS(UCRETLER!$L$7:$L$606,UCRETLER!$B$7:$B$606,$B94))</f>
        <v>0</v>
      </c>
      <c r="AA94" s="1">
        <f t="shared" si="47"/>
        <v>0</v>
      </c>
      <c r="AB94" s="1">
        <f t="shared" si="48"/>
        <v>0</v>
      </c>
      <c r="AC94" s="1">
        <f t="shared" si="49"/>
        <v>0</v>
      </c>
      <c r="AD94" s="1">
        <f t="shared" si="50"/>
        <v>0</v>
      </c>
      <c r="AE94" s="1">
        <f t="shared" si="51"/>
        <v>0</v>
      </c>
      <c r="AF94" s="1" t="str">
        <f>IFERROR(MATCH(ROW()-6,MUSTERILER!$U$7:$U$156,0),"")</f>
        <v/>
      </c>
      <c r="AG94" s="1">
        <f>IF($B94="",0,SUMIFS(GELIR_GIDER!$G$7:$G$3006,GELIR_GIDER!$T$7:$T$3006,$B94))</f>
        <v>0</v>
      </c>
    </row>
    <row r="95" spans="1:33" ht="18" customHeight="1" x14ac:dyDescent="0.3">
      <c r="A95" s="2"/>
      <c r="B95" s="65" t="str">
        <f>IF($AF95="","",INDEX(MUSTERILER!$B$7:$B$156,$AF95))</f>
        <v/>
      </c>
      <c r="C95" s="74" t="str">
        <f>IF($AF95="","",INDEX(MUSTERILER!$C$7:$C$156,$AF95))</f>
        <v/>
      </c>
      <c r="D95" s="68" t="str">
        <f>IF($B95="","",SUMIFS(UCRETLER!$G$7:$G$606,UCRETLER!$B$7:$B$606,$B95,UCRETLER!$F$7:$F$606,"Haftalık",UCRETLER!$H$7:$H$606,"Aktif"))</f>
        <v/>
      </c>
      <c r="E95" s="68" t="str">
        <f>IF($B95="","",SUMIFS(UCRETLER!$G$7:$G$606,UCRETLER!$B$7:$B$606,$B95,UCRETLER!$F$7:$F$606,"Aylık",UCRETLER!$H$7:$H$606,"Aktif"))</f>
        <v/>
      </c>
      <c r="F95" s="68" t="str">
        <f>IF($B95="","",SUMIFS(MUSTERILER!$J$7:$J$156,MUSTERILER!$B$7:$B$156,$B95))</f>
        <v/>
      </c>
      <c r="G95" s="68" t="str">
        <f>IF($B95="","",SUMIFS(UCRETLER!$I$7:$I$606,UCRETLER!$B$7:$B$606,$B95)+SUMIFS(GELIR_GIDER!$G$7:$G$3006,GELIR_GIDER!$T$7:$T$3006,$B95))</f>
        <v/>
      </c>
      <c r="H95" s="68" t="str">
        <f t="shared" si="35"/>
        <v/>
      </c>
      <c r="I95" s="68" t="str">
        <f>IF($B95="","",SUMIFS(TAHSILAT!$F$7:$F$2506,TAHSILAT!$C$7:$C$2506,$B95))</f>
        <v/>
      </c>
      <c r="J95" s="68" t="str">
        <f t="shared" si="36"/>
        <v/>
      </c>
      <c r="K95" s="68" t="str">
        <f t="shared" si="37"/>
        <v/>
      </c>
      <c r="L95" s="68" t="str">
        <f t="shared" si="38"/>
        <v/>
      </c>
      <c r="M95" s="68" t="str">
        <f t="shared" si="39"/>
        <v/>
      </c>
      <c r="N95" s="68" t="str">
        <f t="shared" si="40"/>
        <v/>
      </c>
      <c r="O95" s="86" t="str">
        <f t="shared" si="41"/>
        <v/>
      </c>
      <c r="P95" s="70" t="str">
        <f>IF($B95="","",IFERROR(LOOKUP(2,1/(TAHSILAT!$C$7:$C$2506=$B95),TAHSILAT!$E$7:$E$2506),""))</f>
        <v/>
      </c>
      <c r="Q95" s="65" t="str">
        <f t="shared" si="42"/>
        <v/>
      </c>
      <c r="R95" s="74" t="str">
        <f t="shared" si="43"/>
        <v/>
      </c>
      <c r="S95" s="76" t="str">
        <f>IF($B95="","",COUNTIFS(AKTIVITE!$D$7:$D$1006,$B95,AKTIVITE!$J$7:$J$1006,"&lt;&gt;Tamamlandı"))</f>
        <v/>
      </c>
      <c r="T95" s="70" t="str">
        <f>IF(OR($B95="",$AF95=""),"",IF(INDEX(MUSTERILER!$K$7:$K$156,$AF95)="","",INDEX(MUSTERILER!$K$7:$K$156,$AF95)))</f>
        <v/>
      </c>
      <c r="U95" s="76" t="str">
        <f t="shared" ca="1" si="44"/>
        <v/>
      </c>
      <c r="V95" s="68" t="str">
        <f t="shared" si="45"/>
        <v/>
      </c>
      <c r="W95" s="65" t="str">
        <f t="shared" si="46"/>
        <v/>
      </c>
      <c r="X95" s="2">
        <f>IF($B95="",0,SUMIFS(UCRETLER!$J$7:$J$606,UCRETLER!$B$7:$B$606,$B95))</f>
        <v>0</v>
      </c>
      <c r="Y95" s="2">
        <f>IF($B95="",0,SUMIFS(UCRETLER!$K$7:$K$606,UCRETLER!$B$7:$B$606,$B95))</f>
        <v>0</v>
      </c>
      <c r="Z95" s="1">
        <f>IF($B95="",0,SUMIFS(UCRETLER!$L$7:$L$606,UCRETLER!$B$7:$B$606,$B95))</f>
        <v>0</v>
      </c>
      <c r="AA95" s="1">
        <f t="shared" si="47"/>
        <v>0</v>
      </c>
      <c r="AB95" s="1">
        <f t="shared" si="48"/>
        <v>0</v>
      </c>
      <c r="AC95" s="1">
        <f t="shared" si="49"/>
        <v>0</v>
      </c>
      <c r="AD95" s="1">
        <f t="shared" si="50"/>
        <v>0</v>
      </c>
      <c r="AE95" s="1">
        <f t="shared" si="51"/>
        <v>0</v>
      </c>
      <c r="AF95" s="1" t="str">
        <f>IFERROR(MATCH(ROW()-6,MUSTERILER!$U$7:$U$156,0),"")</f>
        <v/>
      </c>
      <c r="AG95" s="1">
        <f>IF($B95="",0,SUMIFS(GELIR_GIDER!$G$7:$G$3006,GELIR_GIDER!$T$7:$T$3006,$B95))</f>
        <v>0</v>
      </c>
    </row>
    <row r="96" spans="1:33" ht="18" customHeight="1" x14ac:dyDescent="0.3">
      <c r="A96" s="2"/>
      <c r="B96" s="65" t="str">
        <f>IF($AF96="","",INDEX(MUSTERILER!$B$7:$B$156,$AF96))</f>
        <v/>
      </c>
      <c r="C96" s="74" t="str">
        <f>IF($AF96="","",INDEX(MUSTERILER!$C$7:$C$156,$AF96))</f>
        <v/>
      </c>
      <c r="D96" s="68" t="str">
        <f>IF($B96="","",SUMIFS(UCRETLER!$G$7:$G$606,UCRETLER!$B$7:$B$606,$B96,UCRETLER!$F$7:$F$606,"Haftalık",UCRETLER!$H$7:$H$606,"Aktif"))</f>
        <v/>
      </c>
      <c r="E96" s="68" t="str">
        <f>IF($B96="","",SUMIFS(UCRETLER!$G$7:$G$606,UCRETLER!$B$7:$B$606,$B96,UCRETLER!$F$7:$F$606,"Aylık",UCRETLER!$H$7:$H$606,"Aktif"))</f>
        <v/>
      </c>
      <c r="F96" s="68" t="str">
        <f>IF($B96="","",SUMIFS(MUSTERILER!$J$7:$J$156,MUSTERILER!$B$7:$B$156,$B96))</f>
        <v/>
      </c>
      <c r="G96" s="68" t="str">
        <f>IF($B96="","",SUMIFS(UCRETLER!$I$7:$I$606,UCRETLER!$B$7:$B$606,$B96)+SUMIFS(GELIR_GIDER!$G$7:$G$3006,GELIR_GIDER!$T$7:$T$3006,$B96))</f>
        <v/>
      </c>
      <c r="H96" s="68" t="str">
        <f t="shared" si="35"/>
        <v/>
      </c>
      <c r="I96" s="68" t="str">
        <f>IF($B96="","",SUMIFS(TAHSILAT!$F$7:$F$2506,TAHSILAT!$C$7:$C$2506,$B96))</f>
        <v/>
      </c>
      <c r="J96" s="68" t="str">
        <f t="shared" si="36"/>
        <v/>
      </c>
      <c r="K96" s="68" t="str">
        <f t="shared" si="37"/>
        <v/>
      </c>
      <c r="L96" s="68" t="str">
        <f t="shared" si="38"/>
        <v/>
      </c>
      <c r="M96" s="68" t="str">
        <f t="shared" si="39"/>
        <v/>
      </c>
      <c r="N96" s="68" t="str">
        <f t="shared" si="40"/>
        <v/>
      </c>
      <c r="O96" s="86" t="str">
        <f t="shared" si="41"/>
        <v/>
      </c>
      <c r="P96" s="70" t="str">
        <f>IF($B96="","",IFERROR(LOOKUP(2,1/(TAHSILAT!$C$7:$C$2506=$B96),TAHSILAT!$E$7:$E$2506),""))</f>
        <v/>
      </c>
      <c r="Q96" s="65" t="str">
        <f t="shared" si="42"/>
        <v/>
      </c>
      <c r="R96" s="74" t="str">
        <f t="shared" si="43"/>
        <v/>
      </c>
      <c r="S96" s="76" t="str">
        <f>IF($B96="","",COUNTIFS(AKTIVITE!$D$7:$D$1006,$B96,AKTIVITE!$J$7:$J$1006,"&lt;&gt;Tamamlandı"))</f>
        <v/>
      </c>
      <c r="T96" s="70" t="str">
        <f>IF(OR($B96="",$AF96=""),"",IF(INDEX(MUSTERILER!$K$7:$K$156,$AF96)="","",INDEX(MUSTERILER!$K$7:$K$156,$AF96)))</f>
        <v/>
      </c>
      <c r="U96" s="76" t="str">
        <f t="shared" ca="1" si="44"/>
        <v/>
      </c>
      <c r="V96" s="68" t="str">
        <f t="shared" si="45"/>
        <v/>
      </c>
      <c r="W96" s="65" t="str">
        <f t="shared" si="46"/>
        <v/>
      </c>
      <c r="X96" s="2">
        <f>IF($B96="",0,SUMIFS(UCRETLER!$J$7:$J$606,UCRETLER!$B$7:$B$606,$B96))</f>
        <v>0</v>
      </c>
      <c r="Y96" s="2">
        <f>IF($B96="",0,SUMIFS(UCRETLER!$K$7:$K$606,UCRETLER!$B$7:$B$606,$B96))</f>
        <v>0</v>
      </c>
      <c r="Z96" s="1">
        <f>IF($B96="",0,SUMIFS(UCRETLER!$L$7:$L$606,UCRETLER!$B$7:$B$606,$B96))</f>
        <v>0</v>
      </c>
      <c r="AA96" s="1">
        <f t="shared" si="47"/>
        <v>0</v>
      </c>
      <c r="AB96" s="1">
        <f t="shared" si="48"/>
        <v>0</v>
      </c>
      <c r="AC96" s="1">
        <f t="shared" si="49"/>
        <v>0</v>
      </c>
      <c r="AD96" s="1">
        <f t="shared" si="50"/>
        <v>0</v>
      </c>
      <c r="AE96" s="1">
        <f t="shared" si="51"/>
        <v>0</v>
      </c>
      <c r="AF96" s="1" t="str">
        <f>IFERROR(MATCH(ROW()-6,MUSTERILER!$U$7:$U$156,0),"")</f>
        <v/>
      </c>
      <c r="AG96" s="1">
        <f>IF($B96="",0,SUMIFS(GELIR_GIDER!$G$7:$G$3006,GELIR_GIDER!$T$7:$T$3006,$B96))</f>
        <v>0</v>
      </c>
    </row>
    <row r="97" spans="1:33" ht="18" customHeight="1" x14ac:dyDescent="0.3">
      <c r="A97" s="2"/>
      <c r="B97" s="65" t="str">
        <f>IF($AF97="","",INDEX(MUSTERILER!$B$7:$B$156,$AF97))</f>
        <v/>
      </c>
      <c r="C97" s="74" t="str">
        <f>IF($AF97="","",INDEX(MUSTERILER!$C$7:$C$156,$AF97))</f>
        <v/>
      </c>
      <c r="D97" s="68" t="str">
        <f>IF($B97="","",SUMIFS(UCRETLER!$G$7:$G$606,UCRETLER!$B$7:$B$606,$B97,UCRETLER!$F$7:$F$606,"Haftalık",UCRETLER!$H$7:$H$606,"Aktif"))</f>
        <v/>
      </c>
      <c r="E97" s="68" t="str">
        <f>IF($B97="","",SUMIFS(UCRETLER!$G$7:$G$606,UCRETLER!$B$7:$B$606,$B97,UCRETLER!$F$7:$F$606,"Aylık",UCRETLER!$H$7:$H$606,"Aktif"))</f>
        <v/>
      </c>
      <c r="F97" s="68" t="str">
        <f>IF($B97="","",SUMIFS(MUSTERILER!$J$7:$J$156,MUSTERILER!$B$7:$B$156,$B97))</f>
        <v/>
      </c>
      <c r="G97" s="68" t="str">
        <f>IF($B97="","",SUMIFS(UCRETLER!$I$7:$I$606,UCRETLER!$B$7:$B$606,$B97)+SUMIFS(GELIR_GIDER!$G$7:$G$3006,GELIR_GIDER!$T$7:$T$3006,$B97))</f>
        <v/>
      </c>
      <c r="H97" s="68" t="str">
        <f t="shared" si="35"/>
        <v/>
      </c>
      <c r="I97" s="68" t="str">
        <f>IF($B97="","",SUMIFS(TAHSILAT!$F$7:$F$2506,TAHSILAT!$C$7:$C$2506,$B97))</f>
        <v/>
      </c>
      <c r="J97" s="68" t="str">
        <f t="shared" si="36"/>
        <v/>
      </c>
      <c r="K97" s="68" t="str">
        <f t="shared" si="37"/>
        <v/>
      </c>
      <c r="L97" s="68" t="str">
        <f t="shared" si="38"/>
        <v/>
      </c>
      <c r="M97" s="68" t="str">
        <f t="shared" si="39"/>
        <v/>
      </c>
      <c r="N97" s="68" t="str">
        <f t="shared" si="40"/>
        <v/>
      </c>
      <c r="O97" s="86" t="str">
        <f t="shared" si="41"/>
        <v/>
      </c>
      <c r="P97" s="70" t="str">
        <f>IF($B97="","",IFERROR(LOOKUP(2,1/(TAHSILAT!$C$7:$C$2506=$B97),TAHSILAT!$E$7:$E$2506),""))</f>
        <v/>
      </c>
      <c r="Q97" s="65" t="str">
        <f t="shared" si="42"/>
        <v/>
      </c>
      <c r="R97" s="74" t="str">
        <f t="shared" si="43"/>
        <v/>
      </c>
      <c r="S97" s="76" t="str">
        <f>IF($B97="","",COUNTIFS(AKTIVITE!$D$7:$D$1006,$B97,AKTIVITE!$J$7:$J$1006,"&lt;&gt;Tamamlandı"))</f>
        <v/>
      </c>
      <c r="T97" s="70" t="str">
        <f>IF(OR($B97="",$AF97=""),"",IF(INDEX(MUSTERILER!$K$7:$K$156,$AF97)="","",INDEX(MUSTERILER!$K$7:$K$156,$AF97)))</f>
        <v/>
      </c>
      <c r="U97" s="76" t="str">
        <f t="shared" ca="1" si="44"/>
        <v/>
      </c>
      <c r="V97" s="68" t="str">
        <f t="shared" si="45"/>
        <v/>
      </c>
      <c r="W97" s="65" t="str">
        <f t="shared" si="46"/>
        <v/>
      </c>
      <c r="X97" s="2">
        <f>IF($B97="",0,SUMIFS(UCRETLER!$J$7:$J$606,UCRETLER!$B$7:$B$606,$B97))</f>
        <v>0</v>
      </c>
      <c r="Y97" s="2">
        <f>IF($B97="",0,SUMIFS(UCRETLER!$K$7:$K$606,UCRETLER!$B$7:$B$606,$B97))</f>
        <v>0</v>
      </c>
      <c r="Z97" s="1">
        <f>IF($B97="",0,SUMIFS(UCRETLER!$L$7:$L$606,UCRETLER!$B$7:$B$606,$B97))</f>
        <v>0</v>
      </c>
      <c r="AA97" s="1">
        <f t="shared" si="47"/>
        <v>0</v>
      </c>
      <c r="AB97" s="1">
        <f t="shared" si="48"/>
        <v>0</v>
      </c>
      <c r="AC97" s="1">
        <f t="shared" si="49"/>
        <v>0</v>
      </c>
      <c r="AD97" s="1">
        <f t="shared" si="50"/>
        <v>0</v>
      </c>
      <c r="AE97" s="1">
        <f t="shared" si="51"/>
        <v>0</v>
      </c>
      <c r="AF97" s="1" t="str">
        <f>IFERROR(MATCH(ROW()-6,MUSTERILER!$U$7:$U$156,0),"")</f>
        <v/>
      </c>
      <c r="AG97" s="1">
        <f>IF($B97="",0,SUMIFS(GELIR_GIDER!$G$7:$G$3006,GELIR_GIDER!$T$7:$T$3006,$B97))</f>
        <v>0</v>
      </c>
    </row>
    <row r="98" spans="1:33" ht="18" customHeight="1" x14ac:dyDescent="0.3">
      <c r="A98" s="2"/>
      <c r="B98" s="65" t="str">
        <f>IF($AF98="","",INDEX(MUSTERILER!$B$7:$B$156,$AF98))</f>
        <v/>
      </c>
      <c r="C98" s="74" t="str">
        <f>IF($AF98="","",INDEX(MUSTERILER!$C$7:$C$156,$AF98))</f>
        <v/>
      </c>
      <c r="D98" s="68" t="str">
        <f>IF($B98="","",SUMIFS(UCRETLER!$G$7:$G$606,UCRETLER!$B$7:$B$606,$B98,UCRETLER!$F$7:$F$606,"Haftalık",UCRETLER!$H$7:$H$606,"Aktif"))</f>
        <v/>
      </c>
      <c r="E98" s="68" t="str">
        <f>IF($B98="","",SUMIFS(UCRETLER!$G$7:$G$606,UCRETLER!$B$7:$B$606,$B98,UCRETLER!$F$7:$F$606,"Aylık",UCRETLER!$H$7:$H$606,"Aktif"))</f>
        <v/>
      </c>
      <c r="F98" s="68" t="str">
        <f>IF($B98="","",SUMIFS(MUSTERILER!$J$7:$J$156,MUSTERILER!$B$7:$B$156,$B98))</f>
        <v/>
      </c>
      <c r="G98" s="68" t="str">
        <f>IF($B98="","",SUMIFS(UCRETLER!$I$7:$I$606,UCRETLER!$B$7:$B$606,$B98)+SUMIFS(GELIR_GIDER!$G$7:$G$3006,GELIR_GIDER!$T$7:$T$3006,$B98))</f>
        <v/>
      </c>
      <c r="H98" s="68" t="str">
        <f t="shared" si="35"/>
        <v/>
      </c>
      <c r="I98" s="68" t="str">
        <f>IF($B98="","",SUMIFS(TAHSILAT!$F$7:$F$2506,TAHSILAT!$C$7:$C$2506,$B98))</f>
        <v/>
      </c>
      <c r="J98" s="68" t="str">
        <f t="shared" si="36"/>
        <v/>
      </c>
      <c r="K98" s="68" t="str">
        <f t="shared" si="37"/>
        <v/>
      </c>
      <c r="L98" s="68" t="str">
        <f t="shared" si="38"/>
        <v/>
      </c>
      <c r="M98" s="68" t="str">
        <f t="shared" si="39"/>
        <v/>
      </c>
      <c r="N98" s="68" t="str">
        <f t="shared" si="40"/>
        <v/>
      </c>
      <c r="O98" s="86" t="str">
        <f t="shared" si="41"/>
        <v/>
      </c>
      <c r="P98" s="70" t="str">
        <f>IF($B98="","",IFERROR(LOOKUP(2,1/(TAHSILAT!$C$7:$C$2506=$B98),TAHSILAT!$E$7:$E$2506),""))</f>
        <v/>
      </c>
      <c r="Q98" s="65" t="str">
        <f t="shared" si="42"/>
        <v/>
      </c>
      <c r="R98" s="74" t="str">
        <f t="shared" si="43"/>
        <v/>
      </c>
      <c r="S98" s="76" t="str">
        <f>IF($B98="","",COUNTIFS(AKTIVITE!$D$7:$D$1006,$B98,AKTIVITE!$J$7:$J$1006,"&lt;&gt;Tamamlandı"))</f>
        <v/>
      </c>
      <c r="T98" s="70" t="str">
        <f>IF(OR($B98="",$AF98=""),"",IF(INDEX(MUSTERILER!$K$7:$K$156,$AF98)="","",INDEX(MUSTERILER!$K$7:$K$156,$AF98)))</f>
        <v/>
      </c>
      <c r="U98" s="76" t="str">
        <f t="shared" ca="1" si="44"/>
        <v/>
      </c>
      <c r="V98" s="68" t="str">
        <f t="shared" si="45"/>
        <v/>
      </c>
      <c r="W98" s="65" t="str">
        <f t="shared" si="46"/>
        <v/>
      </c>
      <c r="X98" s="2">
        <f>IF($B98="",0,SUMIFS(UCRETLER!$J$7:$J$606,UCRETLER!$B$7:$B$606,$B98))</f>
        <v>0</v>
      </c>
      <c r="Y98" s="2">
        <f>IF($B98="",0,SUMIFS(UCRETLER!$K$7:$K$606,UCRETLER!$B$7:$B$606,$B98))</f>
        <v>0</v>
      </c>
      <c r="Z98" s="1">
        <f>IF($B98="",0,SUMIFS(UCRETLER!$L$7:$L$606,UCRETLER!$B$7:$B$606,$B98))</f>
        <v>0</v>
      </c>
      <c r="AA98" s="1">
        <f t="shared" si="47"/>
        <v>0</v>
      </c>
      <c r="AB98" s="1">
        <f t="shared" si="48"/>
        <v>0</v>
      </c>
      <c r="AC98" s="1">
        <f t="shared" si="49"/>
        <v>0</v>
      </c>
      <c r="AD98" s="1">
        <f t="shared" si="50"/>
        <v>0</v>
      </c>
      <c r="AE98" s="1">
        <f t="shared" si="51"/>
        <v>0</v>
      </c>
      <c r="AF98" s="1" t="str">
        <f>IFERROR(MATCH(ROW()-6,MUSTERILER!$U$7:$U$156,0),"")</f>
        <v/>
      </c>
      <c r="AG98" s="1">
        <f>IF($B98="",0,SUMIFS(GELIR_GIDER!$G$7:$G$3006,GELIR_GIDER!$T$7:$T$3006,$B98))</f>
        <v>0</v>
      </c>
    </row>
    <row r="99" spans="1:33" ht="18" customHeight="1" x14ac:dyDescent="0.3">
      <c r="A99" s="2"/>
      <c r="B99" s="65" t="str">
        <f>IF($AF99="","",INDEX(MUSTERILER!$B$7:$B$156,$AF99))</f>
        <v/>
      </c>
      <c r="C99" s="74" t="str">
        <f>IF($AF99="","",INDEX(MUSTERILER!$C$7:$C$156,$AF99))</f>
        <v/>
      </c>
      <c r="D99" s="68" t="str">
        <f>IF($B99="","",SUMIFS(UCRETLER!$G$7:$G$606,UCRETLER!$B$7:$B$606,$B99,UCRETLER!$F$7:$F$606,"Haftalık",UCRETLER!$H$7:$H$606,"Aktif"))</f>
        <v/>
      </c>
      <c r="E99" s="68" t="str">
        <f>IF($B99="","",SUMIFS(UCRETLER!$G$7:$G$606,UCRETLER!$B$7:$B$606,$B99,UCRETLER!$F$7:$F$606,"Aylık",UCRETLER!$H$7:$H$606,"Aktif"))</f>
        <v/>
      </c>
      <c r="F99" s="68" t="str">
        <f>IF($B99="","",SUMIFS(MUSTERILER!$J$7:$J$156,MUSTERILER!$B$7:$B$156,$B99))</f>
        <v/>
      </c>
      <c r="G99" s="68" t="str">
        <f>IF($B99="","",SUMIFS(UCRETLER!$I$7:$I$606,UCRETLER!$B$7:$B$606,$B99)+SUMIFS(GELIR_GIDER!$G$7:$G$3006,GELIR_GIDER!$T$7:$T$3006,$B99))</f>
        <v/>
      </c>
      <c r="H99" s="68" t="str">
        <f t="shared" si="35"/>
        <v/>
      </c>
      <c r="I99" s="68" t="str">
        <f>IF($B99="","",SUMIFS(TAHSILAT!$F$7:$F$2506,TAHSILAT!$C$7:$C$2506,$B99))</f>
        <v/>
      </c>
      <c r="J99" s="68" t="str">
        <f t="shared" si="36"/>
        <v/>
      </c>
      <c r="K99" s="68" t="str">
        <f t="shared" si="37"/>
        <v/>
      </c>
      <c r="L99" s="68" t="str">
        <f t="shared" si="38"/>
        <v/>
      </c>
      <c r="M99" s="68" t="str">
        <f t="shared" si="39"/>
        <v/>
      </c>
      <c r="N99" s="68" t="str">
        <f t="shared" si="40"/>
        <v/>
      </c>
      <c r="O99" s="86" t="str">
        <f t="shared" si="41"/>
        <v/>
      </c>
      <c r="P99" s="70" t="str">
        <f>IF($B99="","",IFERROR(LOOKUP(2,1/(TAHSILAT!$C$7:$C$2506=$B99),TAHSILAT!$E$7:$E$2506),""))</f>
        <v/>
      </c>
      <c r="Q99" s="65" t="str">
        <f t="shared" si="42"/>
        <v/>
      </c>
      <c r="R99" s="74" t="str">
        <f t="shared" si="43"/>
        <v/>
      </c>
      <c r="S99" s="76" t="str">
        <f>IF($B99="","",COUNTIFS(AKTIVITE!$D$7:$D$1006,$B99,AKTIVITE!$J$7:$J$1006,"&lt;&gt;Tamamlandı"))</f>
        <v/>
      </c>
      <c r="T99" s="70" t="str">
        <f>IF(OR($B99="",$AF99=""),"",IF(INDEX(MUSTERILER!$K$7:$K$156,$AF99)="","",INDEX(MUSTERILER!$K$7:$K$156,$AF99)))</f>
        <v/>
      </c>
      <c r="U99" s="76" t="str">
        <f t="shared" ca="1" si="44"/>
        <v/>
      </c>
      <c r="V99" s="68" t="str">
        <f t="shared" si="45"/>
        <v/>
      </c>
      <c r="W99" s="65" t="str">
        <f t="shared" si="46"/>
        <v/>
      </c>
      <c r="X99" s="2">
        <f>IF($B99="",0,SUMIFS(UCRETLER!$J$7:$J$606,UCRETLER!$B$7:$B$606,$B99))</f>
        <v>0</v>
      </c>
      <c r="Y99" s="2">
        <f>IF($B99="",0,SUMIFS(UCRETLER!$K$7:$K$606,UCRETLER!$B$7:$B$606,$B99))</f>
        <v>0</v>
      </c>
      <c r="Z99" s="1">
        <f>IF($B99="",0,SUMIFS(UCRETLER!$L$7:$L$606,UCRETLER!$B$7:$B$606,$B99))</f>
        <v>0</v>
      </c>
      <c r="AA99" s="1">
        <f t="shared" si="47"/>
        <v>0</v>
      </c>
      <c r="AB99" s="1">
        <f t="shared" si="48"/>
        <v>0</v>
      </c>
      <c r="AC99" s="1">
        <f t="shared" si="49"/>
        <v>0</v>
      </c>
      <c r="AD99" s="1">
        <f t="shared" si="50"/>
        <v>0</v>
      </c>
      <c r="AE99" s="1">
        <f t="shared" si="51"/>
        <v>0</v>
      </c>
      <c r="AF99" s="1" t="str">
        <f>IFERROR(MATCH(ROW()-6,MUSTERILER!$U$7:$U$156,0),"")</f>
        <v/>
      </c>
      <c r="AG99" s="1">
        <f>IF($B99="",0,SUMIFS(GELIR_GIDER!$G$7:$G$3006,GELIR_GIDER!$T$7:$T$3006,$B99))</f>
        <v>0</v>
      </c>
    </row>
    <row r="100" spans="1:33" ht="18" customHeight="1" x14ac:dyDescent="0.3">
      <c r="A100" s="2"/>
      <c r="B100" s="65" t="str">
        <f>IF($AF100="","",INDEX(MUSTERILER!$B$7:$B$156,$AF100))</f>
        <v/>
      </c>
      <c r="C100" s="74" t="str">
        <f>IF($AF100="","",INDEX(MUSTERILER!$C$7:$C$156,$AF100))</f>
        <v/>
      </c>
      <c r="D100" s="68" t="str">
        <f>IF($B100="","",SUMIFS(UCRETLER!$G$7:$G$606,UCRETLER!$B$7:$B$606,$B100,UCRETLER!$F$7:$F$606,"Haftalık",UCRETLER!$H$7:$H$606,"Aktif"))</f>
        <v/>
      </c>
      <c r="E100" s="68" t="str">
        <f>IF($B100="","",SUMIFS(UCRETLER!$G$7:$G$606,UCRETLER!$B$7:$B$606,$B100,UCRETLER!$F$7:$F$606,"Aylık",UCRETLER!$H$7:$H$606,"Aktif"))</f>
        <v/>
      </c>
      <c r="F100" s="68" t="str">
        <f>IF($B100="","",SUMIFS(MUSTERILER!$J$7:$J$156,MUSTERILER!$B$7:$B$156,$B100))</f>
        <v/>
      </c>
      <c r="G100" s="68" t="str">
        <f>IF($B100="","",SUMIFS(UCRETLER!$I$7:$I$606,UCRETLER!$B$7:$B$606,$B100)+SUMIFS(GELIR_GIDER!$G$7:$G$3006,GELIR_GIDER!$T$7:$T$3006,$B100))</f>
        <v/>
      </c>
      <c r="H100" s="68" t="str">
        <f t="shared" si="35"/>
        <v/>
      </c>
      <c r="I100" s="68" t="str">
        <f>IF($B100="","",SUMIFS(TAHSILAT!$F$7:$F$2506,TAHSILAT!$C$7:$C$2506,$B100))</f>
        <v/>
      </c>
      <c r="J100" s="68" t="str">
        <f t="shared" si="36"/>
        <v/>
      </c>
      <c r="K100" s="68" t="str">
        <f t="shared" si="37"/>
        <v/>
      </c>
      <c r="L100" s="68" t="str">
        <f t="shared" si="38"/>
        <v/>
      </c>
      <c r="M100" s="68" t="str">
        <f t="shared" si="39"/>
        <v/>
      </c>
      <c r="N100" s="68" t="str">
        <f t="shared" si="40"/>
        <v/>
      </c>
      <c r="O100" s="86" t="str">
        <f t="shared" si="41"/>
        <v/>
      </c>
      <c r="P100" s="70" t="str">
        <f>IF($B100="","",IFERROR(LOOKUP(2,1/(TAHSILAT!$C$7:$C$2506=$B100),TAHSILAT!$E$7:$E$2506),""))</f>
        <v/>
      </c>
      <c r="Q100" s="65" t="str">
        <f t="shared" si="42"/>
        <v/>
      </c>
      <c r="R100" s="74" t="str">
        <f t="shared" si="43"/>
        <v/>
      </c>
      <c r="S100" s="76" t="str">
        <f>IF($B100="","",COUNTIFS(AKTIVITE!$D$7:$D$1006,$B100,AKTIVITE!$J$7:$J$1006,"&lt;&gt;Tamamlandı"))</f>
        <v/>
      </c>
      <c r="T100" s="70" t="str">
        <f>IF(OR($B100="",$AF100=""),"",IF(INDEX(MUSTERILER!$K$7:$K$156,$AF100)="","",INDEX(MUSTERILER!$K$7:$K$156,$AF100)))</f>
        <v/>
      </c>
      <c r="U100" s="76" t="str">
        <f t="shared" ca="1" si="44"/>
        <v/>
      </c>
      <c r="V100" s="68" t="str">
        <f t="shared" si="45"/>
        <v/>
      </c>
      <c r="W100" s="65" t="str">
        <f t="shared" si="46"/>
        <v/>
      </c>
      <c r="X100" s="2">
        <f>IF($B100="",0,SUMIFS(UCRETLER!$J$7:$J$606,UCRETLER!$B$7:$B$606,$B100))</f>
        <v>0</v>
      </c>
      <c r="Y100" s="2">
        <f>IF($B100="",0,SUMIFS(UCRETLER!$K$7:$K$606,UCRETLER!$B$7:$B$606,$B100))</f>
        <v>0</v>
      </c>
      <c r="Z100" s="1">
        <f>IF($B100="",0,SUMIFS(UCRETLER!$L$7:$L$606,UCRETLER!$B$7:$B$606,$B100))</f>
        <v>0</v>
      </c>
      <c r="AA100" s="1">
        <f t="shared" si="47"/>
        <v>0</v>
      </c>
      <c r="AB100" s="1">
        <f t="shared" si="48"/>
        <v>0</v>
      </c>
      <c r="AC100" s="1">
        <f t="shared" si="49"/>
        <v>0</v>
      </c>
      <c r="AD100" s="1">
        <f t="shared" si="50"/>
        <v>0</v>
      </c>
      <c r="AE100" s="1">
        <f t="shared" si="51"/>
        <v>0</v>
      </c>
      <c r="AF100" s="1" t="str">
        <f>IFERROR(MATCH(ROW()-6,MUSTERILER!$U$7:$U$156,0),"")</f>
        <v/>
      </c>
      <c r="AG100" s="1">
        <f>IF($B100="",0,SUMIFS(GELIR_GIDER!$G$7:$G$3006,GELIR_GIDER!$T$7:$T$3006,$B100))</f>
        <v>0</v>
      </c>
    </row>
    <row r="101" spans="1:33" ht="18" customHeight="1" x14ac:dyDescent="0.3">
      <c r="A101" s="2"/>
      <c r="B101" s="65" t="str">
        <f>IF($AF101="","",INDEX(MUSTERILER!$B$7:$B$156,$AF101))</f>
        <v/>
      </c>
      <c r="C101" s="74" t="str">
        <f>IF($AF101="","",INDEX(MUSTERILER!$C$7:$C$156,$AF101))</f>
        <v/>
      </c>
      <c r="D101" s="68" t="str">
        <f>IF($B101="","",SUMIFS(UCRETLER!$G$7:$G$606,UCRETLER!$B$7:$B$606,$B101,UCRETLER!$F$7:$F$606,"Haftalık",UCRETLER!$H$7:$H$606,"Aktif"))</f>
        <v/>
      </c>
      <c r="E101" s="68" t="str">
        <f>IF($B101="","",SUMIFS(UCRETLER!$G$7:$G$606,UCRETLER!$B$7:$B$606,$B101,UCRETLER!$F$7:$F$606,"Aylık",UCRETLER!$H$7:$H$606,"Aktif"))</f>
        <v/>
      </c>
      <c r="F101" s="68" t="str">
        <f>IF($B101="","",SUMIFS(MUSTERILER!$J$7:$J$156,MUSTERILER!$B$7:$B$156,$B101))</f>
        <v/>
      </c>
      <c r="G101" s="68" t="str">
        <f>IF($B101="","",SUMIFS(UCRETLER!$I$7:$I$606,UCRETLER!$B$7:$B$606,$B101)+SUMIFS(GELIR_GIDER!$G$7:$G$3006,GELIR_GIDER!$T$7:$T$3006,$B101))</f>
        <v/>
      </c>
      <c r="H101" s="68" t="str">
        <f t="shared" si="35"/>
        <v/>
      </c>
      <c r="I101" s="68" t="str">
        <f>IF($B101="","",SUMIFS(TAHSILAT!$F$7:$F$2506,TAHSILAT!$C$7:$C$2506,$B101))</f>
        <v/>
      </c>
      <c r="J101" s="68" t="str">
        <f t="shared" si="36"/>
        <v/>
      </c>
      <c r="K101" s="68" t="str">
        <f t="shared" si="37"/>
        <v/>
      </c>
      <c r="L101" s="68" t="str">
        <f t="shared" si="38"/>
        <v/>
      </c>
      <c r="M101" s="68" t="str">
        <f t="shared" si="39"/>
        <v/>
      </c>
      <c r="N101" s="68" t="str">
        <f t="shared" si="40"/>
        <v/>
      </c>
      <c r="O101" s="86" t="str">
        <f t="shared" si="41"/>
        <v/>
      </c>
      <c r="P101" s="70" t="str">
        <f>IF($B101="","",IFERROR(LOOKUP(2,1/(TAHSILAT!$C$7:$C$2506=$B101),TAHSILAT!$E$7:$E$2506),""))</f>
        <v/>
      </c>
      <c r="Q101" s="65" t="str">
        <f t="shared" si="42"/>
        <v/>
      </c>
      <c r="R101" s="74" t="str">
        <f t="shared" si="43"/>
        <v/>
      </c>
      <c r="S101" s="76" t="str">
        <f>IF($B101="","",COUNTIFS(AKTIVITE!$D$7:$D$1006,$B101,AKTIVITE!$J$7:$J$1006,"&lt;&gt;Tamamlandı"))</f>
        <v/>
      </c>
      <c r="T101" s="70" t="str">
        <f>IF(OR($B101="",$AF101=""),"",IF(INDEX(MUSTERILER!$K$7:$K$156,$AF101)="","",INDEX(MUSTERILER!$K$7:$K$156,$AF101)))</f>
        <v/>
      </c>
      <c r="U101" s="76" t="str">
        <f t="shared" ca="1" si="44"/>
        <v/>
      </c>
      <c r="V101" s="68" t="str">
        <f t="shared" si="45"/>
        <v/>
      </c>
      <c r="W101" s="65" t="str">
        <f t="shared" si="46"/>
        <v/>
      </c>
      <c r="X101" s="2">
        <f>IF($B101="",0,SUMIFS(UCRETLER!$J$7:$J$606,UCRETLER!$B$7:$B$606,$B101))</f>
        <v>0</v>
      </c>
      <c r="Y101" s="2">
        <f>IF($B101="",0,SUMIFS(UCRETLER!$K$7:$K$606,UCRETLER!$B$7:$B$606,$B101))</f>
        <v>0</v>
      </c>
      <c r="Z101" s="1">
        <f>IF($B101="",0,SUMIFS(UCRETLER!$L$7:$L$606,UCRETLER!$B$7:$B$606,$B101))</f>
        <v>0</v>
      </c>
      <c r="AA101" s="1">
        <f t="shared" si="47"/>
        <v>0</v>
      </c>
      <c r="AB101" s="1">
        <f t="shared" si="48"/>
        <v>0</v>
      </c>
      <c r="AC101" s="1">
        <f t="shared" si="49"/>
        <v>0</v>
      </c>
      <c r="AD101" s="1">
        <f t="shared" si="50"/>
        <v>0</v>
      </c>
      <c r="AE101" s="1">
        <f t="shared" si="51"/>
        <v>0</v>
      </c>
      <c r="AF101" s="1" t="str">
        <f>IFERROR(MATCH(ROW()-6,MUSTERILER!$U$7:$U$156,0),"")</f>
        <v/>
      </c>
      <c r="AG101" s="1">
        <f>IF($B101="",0,SUMIFS(GELIR_GIDER!$G$7:$G$3006,GELIR_GIDER!$T$7:$T$3006,$B101))</f>
        <v>0</v>
      </c>
    </row>
    <row r="102" spans="1:33" ht="18" customHeight="1" x14ac:dyDescent="0.3">
      <c r="A102" s="2"/>
      <c r="B102" s="65" t="str">
        <f>IF($AF102="","",INDEX(MUSTERILER!$B$7:$B$156,$AF102))</f>
        <v/>
      </c>
      <c r="C102" s="74" t="str">
        <f>IF($AF102="","",INDEX(MUSTERILER!$C$7:$C$156,$AF102))</f>
        <v/>
      </c>
      <c r="D102" s="68" t="str">
        <f>IF($B102="","",SUMIFS(UCRETLER!$G$7:$G$606,UCRETLER!$B$7:$B$606,$B102,UCRETLER!$F$7:$F$606,"Haftalık",UCRETLER!$H$7:$H$606,"Aktif"))</f>
        <v/>
      </c>
      <c r="E102" s="68" t="str">
        <f>IF($B102="","",SUMIFS(UCRETLER!$G$7:$G$606,UCRETLER!$B$7:$B$606,$B102,UCRETLER!$F$7:$F$606,"Aylık",UCRETLER!$H$7:$H$606,"Aktif"))</f>
        <v/>
      </c>
      <c r="F102" s="68" t="str">
        <f>IF($B102="","",SUMIFS(MUSTERILER!$J$7:$J$156,MUSTERILER!$B$7:$B$156,$B102))</f>
        <v/>
      </c>
      <c r="G102" s="68" t="str">
        <f>IF($B102="","",SUMIFS(UCRETLER!$I$7:$I$606,UCRETLER!$B$7:$B$606,$B102)+SUMIFS(GELIR_GIDER!$G$7:$G$3006,GELIR_GIDER!$T$7:$T$3006,$B102))</f>
        <v/>
      </c>
      <c r="H102" s="68" t="str">
        <f t="shared" si="35"/>
        <v/>
      </c>
      <c r="I102" s="68" t="str">
        <f>IF($B102="","",SUMIFS(TAHSILAT!$F$7:$F$2506,TAHSILAT!$C$7:$C$2506,$B102))</f>
        <v/>
      </c>
      <c r="J102" s="68" t="str">
        <f t="shared" si="36"/>
        <v/>
      </c>
      <c r="K102" s="68" t="str">
        <f t="shared" si="37"/>
        <v/>
      </c>
      <c r="L102" s="68" t="str">
        <f t="shared" si="38"/>
        <v/>
      </c>
      <c r="M102" s="68" t="str">
        <f t="shared" si="39"/>
        <v/>
      </c>
      <c r="N102" s="68" t="str">
        <f t="shared" si="40"/>
        <v/>
      </c>
      <c r="O102" s="86" t="str">
        <f t="shared" si="41"/>
        <v/>
      </c>
      <c r="P102" s="70" t="str">
        <f>IF($B102="","",IFERROR(LOOKUP(2,1/(TAHSILAT!$C$7:$C$2506=$B102),TAHSILAT!$E$7:$E$2506),""))</f>
        <v/>
      </c>
      <c r="Q102" s="65" t="str">
        <f t="shared" si="42"/>
        <v/>
      </c>
      <c r="R102" s="74" t="str">
        <f t="shared" si="43"/>
        <v/>
      </c>
      <c r="S102" s="76" t="str">
        <f>IF($B102="","",COUNTIFS(AKTIVITE!$D$7:$D$1006,$B102,AKTIVITE!$J$7:$J$1006,"&lt;&gt;Tamamlandı"))</f>
        <v/>
      </c>
      <c r="T102" s="70" t="str">
        <f>IF(OR($B102="",$AF102=""),"",IF(INDEX(MUSTERILER!$K$7:$K$156,$AF102)="","",INDEX(MUSTERILER!$K$7:$K$156,$AF102)))</f>
        <v/>
      </c>
      <c r="U102" s="76" t="str">
        <f t="shared" ca="1" si="44"/>
        <v/>
      </c>
      <c r="V102" s="68" t="str">
        <f t="shared" si="45"/>
        <v/>
      </c>
      <c r="W102" s="65" t="str">
        <f t="shared" si="46"/>
        <v/>
      </c>
      <c r="X102" s="2">
        <f>IF($B102="",0,SUMIFS(UCRETLER!$J$7:$J$606,UCRETLER!$B$7:$B$606,$B102))</f>
        <v>0</v>
      </c>
      <c r="Y102" s="2">
        <f>IF($B102="",0,SUMIFS(UCRETLER!$K$7:$K$606,UCRETLER!$B$7:$B$606,$B102))</f>
        <v>0</v>
      </c>
      <c r="Z102" s="1">
        <f>IF($B102="",0,SUMIFS(UCRETLER!$L$7:$L$606,UCRETLER!$B$7:$B$606,$B102))</f>
        <v>0</v>
      </c>
      <c r="AA102" s="1">
        <f t="shared" si="47"/>
        <v>0</v>
      </c>
      <c r="AB102" s="1">
        <f t="shared" si="48"/>
        <v>0</v>
      </c>
      <c r="AC102" s="1">
        <f t="shared" si="49"/>
        <v>0</v>
      </c>
      <c r="AD102" s="1">
        <f t="shared" si="50"/>
        <v>0</v>
      </c>
      <c r="AE102" s="1">
        <f t="shared" si="51"/>
        <v>0</v>
      </c>
      <c r="AF102" s="1" t="str">
        <f>IFERROR(MATCH(ROW()-6,MUSTERILER!$U$7:$U$156,0),"")</f>
        <v/>
      </c>
      <c r="AG102" s="1">
        <f>IF($B102="",0,SUMIFS(GELIR_GIDER!$G$7:$G$3006,GELIR_GIDER!$T$7:$T$3006,$B102))</f>
        <v>0</v>
      </c>
    </row>
    <row r="103" spans="1:33" ht="18" customHeight="1" x14ac:dyDescent="0.3">
      <c r="A103" s="2"/>
      <c r="B103" s="65" t="str">
        <f>IF($AF103="","",INDEX(MUSTERILER!$B$7:$B$156,$AF103))</f>
        <v/>
      </c>
      <c r="C103" s="74" t="str">
        <f>IF($AF103="","",INDEX(MUSTERILER!$C$7:$C$156,$AF103))</f>
        <v/>
      </c>
      <c r="D103" s="68" t="str">
        <f>IF($B103="","",SUMIFS(UCRETLER!$G$7:$G$606,UCRETLER!$B$7:$B$606,$B103,UCRETLER!$F$7:$F$606,"Haftalık",UCRETLER!$H$7:$H$606,"Aktif"))</f>
        <v/>
      </c>
      <c r="E103" s="68" t="str">
        <f>IF($B103="","",SUMIFS(UCRETLER!$G$7:$G$606,UCRETLER!$B$7:$B$606,$B103,UCRETLER!$F$7:$F$606,"Aylık",UCRETLER!$H$7:$H$606,"Aktif"))</f>
        <v/>
      </c>
      <c r="F103" s="68" t="str">
        <f>IF($B103="","",SUMIFS(MUSTERILER!$J$7:$J$156,MUSTERILER!$B$7:$B$156,$B103))</f>
        <v/>
      </c>
      <c r="G103" s="68" t="str">
        <f>IF($B103="","",SUMIFS(UCRETLER!$I$7:$I$606,UCRETLER!$B$7:$B$606,$B103)+SUMIFS(GELIR_GIDER!$G$7:$G$3006,GELIR_GIDER!$T$7:$T$3006,$B103))</f>
        <v/>
      </c>
      <c r="H103" s="68" t="str">
        <f t="shared" ref="H103:H134" si="52">IF($B103="","",$F103+$G103)</f>
        <v/>
      </c>
      <c r="I103" s="68" t="str">
        <f>IF($B103="","",SUMIFS(TAHSILAT!$F$7:$F$2506,TAHSILAT!$C$7:$C$2506,$B103))</f>
        <v/>
      </c>
      <c r="J103" s="68" t="str">
        <f t="shared" ref="J103:J134" si="53">IF($B103="","",MAX(0,$H103-$I103))</f>
        <v/>
      </c>
      <c r="K103" s="68" t="str">
        <f t="shared" ref="K103:K134" si="54">IF($B103="","",MAX(0,$J103-$L103-$M103-$N103))</f>
        <v/>
      </c>
      <c r="L103" s="68" t="str">
        <f t="shared" ref="L103:L134" si="55">IF($B103="","",($AC103-$AD103)+IF(AND($AB103&gt;0,$T103&lt;&gt;"",$U103&gt;=8,$U103&lt;15),$AB103,0))</f>
        <v/>
      </c>
      <c r="M103" s="68" t="str">
        <f t="shared" ref="M103:M134" si="56">IF($B103="","",($AD103-$AE103)+IF(AND($AB103&gt;0,$T103&lt;&gt;"",$U103&gt;=15,$U103&lt;29),$AB103,0))</f>
        <v/>
      </c>
      <c r="N103" s="68" t="str">
        <f t="shared" ref="N103:N134" si="57">IF($B103="","",$AE103+IF(AND($AB103&gt;0,OR($T103="",$U103&gt;=29)),$AB103,0))</f>
        <v/>
      </c>
      <c r="O103" s="86" t="str">
        <f t="shared" ref="O103:O134" si="58">IF($B103="","",IFERROR($I103/$H103,0))</f>
        <v/>
      </c>
      <c r="P103" s="70" t="str">
        <f>IF($B103="","",IFERROR(LOOKUP(2,1/(TAHSILAT!$C$7:$C$2506=$B103),TAHSILAT!$E$7:$E$2506),""))</f>
        <v/>
      </c>
      <c r="Q103" s="65" t="str">
        <f t="shared" ref="Q103:Q134" si="59">IF($B103="","",IF($N103&gt;0,"KRİTİK",IF($M103&gt;0,"YÜKSEK",IF($L103&gt;0,"ORTA",IF($J103&gt;0,"İZLE","TEMİZ")))))</f>
        <v/>
      </c>
      <c r="R103" s="74" t="str">
        <f t="shared" ref="R103:R134" si="60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76" t="str">
        <f>IF($B103="","",COUNTIFS(AKTIVITE!$D$7:$D$1006,$B103,AKTIVITE!$J$7:$J$1006,"&lt;&gt;Tamamlandı"))</f>
        <v/>
      </c>
      <c r="T103" s="70" t="str">
        <f>IF(OR($B103="",$AF103=""),"",IF(INDEX(MUSTERILER!$K$7:$K$156,$AF103)="","",INDEX(MUSTERILER!$K$7:$K$156,$AF103)))</f>
        <v/>
      </c>
      <c r="U103" s="76" t="str">
        <f t="shared" ref="U103:U134" ca="1" si="61">IF(OR($B103="",$T103=""),"",TODAY()-$T103)</f>
        <v/>
      </c>
      <c r="V103" s="68" t="str">
        <f t="shared" ref="V103:V134" si="62">IF($B103="","",MAX(0,$I103-$H103))</f>
        <v/>
      </c>
      <c r="W103" s="65" t="str">
        <f t="shared" ref="W103:W134" si="63">IF($B103="","",IF(AND(ABS($J103-($K103+$L103+$M103+$N103))&lt;0.01,ABS(($J103-$V103)-($H103-$I103))&lt;0.01),"UYGUN","İNCELE"))</f>
        <v/>
      </c>
      <c r="X103" s="2">
        <f>IF($B103="",0,SUMIFS(UCRETLER!$J$7:$J$606,UCRETLER!$B$7:$B$606,$B103))</f>
        <v>0</v>
      </c>
      <c r="Y103" s="2">
        <f>IF($B103="",0,SUMIFS(UCRETLER!$K$7:$K$606,UCRETLER!$B$7:$B$606,$B103))</f>
        <v>0</v>
      </c>
      <c r="Z103" s="1">
        <f>IF($B103="",0,SUMIFS(UCRETLER!$L$7:$L$606,UCRETLER!$B$7:$B$606,$B103))</f>
        <v>0</v>
      </c>
      <c r="AA103" s="1">
        <f t="shared" ref="AA103:AA134" si="64">IF($B103="",0,MAX(0,$I103-$F103))</f>
        <v>0</v>
      </c>
      <c r="AB103" s="1">
        <f t="shared" ref="AB103:AB134" si="65">IF($B103="",0,MAX(0,$F103-$I103))</f>
        <v>0</v>
      </c>
      <c r="AC103" s="1">
        <f t="shared" ref="AC103:AC134" si="66">IF($B103="",0,MAX(0,$X103-$AA103))</f>
        <v>0</v>
      </c>
      <c r="AD103" s="1">
        <f t="shared" ref="AD103:AD134" si="67">IF($B103="",0,MAX(0,$Y103-$AA103))</f>
        <v>0</v>
      </c>
      <c r="AE103" s="1">
        <f t="shared" ref="AE103:AE134" si="68">IF($B103="",0,MAX(0,$Z103-$AA103))</f>
        <v>0</v>
      </c>
      <c r="AF103" s="1" t="str">
        <f>IFERROR(MATCH(ROW()-6,MUSTERILER!$U$7:$U$156,0),"")</f>
        <v/>
      </c>
      <c r="AG103" s="1">
        <f>IF($B103="",0,SUMIFS(GELIR_GIDER!$G$7:$G$3006,GELIR_GIDER!$T$7:$T$3006,$B103))</f>
        <v>0</v>
      </c>
    </row>
    <row r="104" spans="1:33" ht="18" customHeight="1" x14ac:dyDescent="0.3">
      <c r="A104" s="2"/>
      <c r="B104" s="65" t="str">
        <f>IF($AF104="","",INDEX(MUSTERILER!$B$7:$B$156,$AF104))</f>
        <v/>
      </c>
      <c r="C104" s="74" t="str">
        <f>IF($AF104="","",INDEX(MUSTERILER!$C$7:$C$156,$AF104))</f>
        <v/>
      </c>
      <c r="D104" s="68" t="str">
        <f>IF($B104="","",SUMIFS(UCRETLER!$G$7:$G$606,UCRETLER!$B$7:$B$606,$B104,UCRETLER!$F$7:$F$606,"Haftalık",UCRETLER!$H$7:$H$606,"Aktif"))</f>
        <v/>
      </c>
      <c r="E104" s="68" t="str">
        <f>IF($B104="","",SUMIFS(UCRETLER!$G$7:$G$606,UCRETLER!$B$7:$B$606,$B104,UCRETLER!$F$7:$F$606,"Aylık",UCRETLER!$H$7:$H$606,"Aktif"))</f>
        <v/>
      </c>
      <c r="F104" s="68" t="str">
        <f>IF($B104="","",SUMIFS(MUSTERILER!$J$7:$J$156,MUSTERILER!$B$7:$B$156,$B104))</f>
        <v/>
      </c>
      <c r="G104" s="68" t="str">
        <f>IF($B104="","",SUMIFS(UCRETLER!$I$7:$I$606,UCRETLER!$B$7:$B$606,$B104)+SUMIFS(GELIR_GIDER!$G$7:$G$3006,GELIR_GIDER!$T$7:$T$3006,$B104))</f>
        <v/>
      </c>
      <c r="H104" s="68" t="str">
        <f t="shared" si="52"/>
        <v/>
      </c>
      <c r="I104" s="68" t="str">
        <f>IF($B104="","",SUMIFS(TAHSILAT!$F$7:$F$2506,TAHSILAT!$C$7:$C$2506,$B104))</f>
        <v/>
      </c>
      <c r="J104" s="68" t="str">
        <f t="shared" si="53"/>
        <v/>
      </c>
      <c r="K104" s="68" t="str">
        <f t="shared" si="54"/>
        <v/>
      </c>
      <c r="L104" s="68" t="str">
        <f t="shared" si="55"/>
        <v/>
      </c>
      <c r="M104" s="68" t="str">
        <f t="shared" si="56"/>
        <v/>
      </c>
      <c r="N104" s="68" t="str">
        <f t="shared" si="57"/>
        <v/>
      </c>
      <c r="O104" s="86" t="str">
        <f t="shared" si="58"/>
        <v/>
      </c>
      <c r="P104" s="70" t="str">
        <f>IF($B104="","",IFERROR(LOOKUP(2,1/(TAHSILAT!$C$7:$C$2506=$B104),TAHSILAT!$E$7:$E$2506),""))</f>
        <v/>
      </c>
      <c r="Q104" s="65" t="str">
        <f t="shared" si="59"/>
        <v/>
      </c>
      <c r="R104" s="74" t="str">
        <f t="shared" si="60"/>
        <v/>
      </c>
      <c r="S104" s="76" t="str">
        <f>IF($B104="","",COUNTIFS(AKTIVITE!$D$7:$D$1006,$B104,AKTIVITE!$J$7:$J$1006,"&lt;&gt;Tamamlandı"))</f>
        <v/>
      </c>
      <c r="T104" s="70" t="str">
        <f>IF(OR($B104="",$AF104=""),"",IF(INDEX(MUSTERILER!$K$7:$K$156,$AF104)="","",INDEX(MUSTERILER!$K$7:$K$156,$AF104)))</f>
        <v/>
      </c>
      <c r="U104" s="76" t="str">
        <f t="shared" ca="1" si="61"/>
        <v/>
      </c>
      <c r="V104" s="68" t="str">
        <f t="shared" si="62"/>
        <v/>
      </c>
      <c r="W104" s="65" t="str">
        <f t="shared" si="63"/>
        <v/>
      </c>
      <c r="X104" s="2">
        <f>IF($B104="",0,SUMIFS(UCRETLER!$J$7:$J$606,UCRETLER!$B$7:$B$606,$B104))</f>
        <v>0</v>
      </c>
      <c r="Y104" s="2">
        <f>IF($B104="",0,SUMIFS(UCRETLER!$K$7:$K$606,UCRETLER!$B$7:$B$606,$B104))</f>
        <v>0</v>
      </c>
      <c r="Z104" s="1">
        <f>IF($B104="",0,SUMIFS(UCRETLER!$L$7:$L$606,UCRETLER!$B$7:$B$606,$B104))</f>
        <v>0</v>
      </c>
      <c r="AA104" s="1">
        <f t="shared" si="64"/>
        <v>0</v>
      </c>
      <c r="AB104" s="1">
        <f t="shared" si="65"/>
        <v>0</v>
      </c>
      <c r="AC104" s="1">
        <f t="shared" si="66"/>
        <v>0</v>
      </c>
      <c r="AD104" s="1">
        <f t="shared" si="67"/>
        <v>0</v>
      </c>
      <c r="AE104" s="1">
        <f t="shared" si="68"/>
        <v>0</v>
      </c>
      <c r="AF104" s="1" t="str">
        <f>IFERROR(MATCH(ROW()-6,MUSTERILER!$U$7:$U$156,0),"")</f>
        <v/>
      </c>
      <c r="AG104" s="1">
        <f>IF($B104="",0,SUMIFS(GELIR_GIDER!$G$7:$G$3006,GELIR_GIDER!$T$7:$T$3006,$B104))</f>
        <v>0</v>
      </c>
    </row>
    <row r="105" spans="1:33" ht="18" customHeight="1" x14ac:dyDescent="0.3">
      <c r="A105" s="2"/>
      <c r="B105" s="65" t="str">
        <f>IF($AF105="","",INDEX(MUSTERILER!$B$7:$B$156,$AF105))</f>
        <v/>
      </c>
      <c r="C105" s="74" t="str">
        <f>IF($AF105="","",INDEX(MUSTERILER!$C$7:$C$156,$AF105))</f>
        <v/>
      </c>
      <c r="D105" s="68" t="str">
        <f>IF($B105="","",SUMIFS(UCRETLER!$G$7:$G$606,UCRETLER!$B$7:$B$606,$B105,UCRETLER!$F$7:$F$606,"Haftalık",UCRETLER!$H$7:$H$606,"Aktif"))</f>
        <v/>
      </c>
      <c r="E105" s="68" t="str">
        <f>IF($B105="","",SUMIFS(UCRETLER!$G$7:$G$606,UCRETLER!$B$7:$B$606,$B105,UCRETLER!$F$7:$F$606,"Aylık",UCRETLER!$H$7:$H$606,"Aktif"))</f>
        <v/>
      </c>
      <c r="F105" s="68" t="str">
        <f>IF($B105="","",SUMIFS(MUSTERILER!$J$7:$J$156,MUSTERILER!$B$7:$B$156,$B105))</f>
        <v/>
      </c>
      <c r="G105" s="68" t="str">
        <f>IF($B105="","",SUMIFS(UCRETLER!$I$7:$I$606,UCRETLER!$B$7:$B$606,$B105)+SUMIFS(GELIR_GIDER!$G$7:$G$3006,GELIR_GIDER!$T$7:$T$3006,$B105))</f>
        <v/>
      </c>
      <c r="H105" s="68" t="str">
        <f t="shared" si="52"/>
        <v/>
      </c>
      <c r="I105" s="68" t="str">
        <f>IF($B105="","",SUMIFS(TAHSILAT!$F$7:$F$2506,TAHSILAT!$C$7:$C$2506,$B105))</f>
        <v/>
      </c>
      <c r="J105" s="68" t="str">
        <f t="shared" si="53"/>
        <v/>
      </c>
      <c r="K105" s="68" t="str">
        <f t="shared" si="54"/>
        <v/>
      </c>
      <c r="L105" s="68" t="str">
        <f t="shared" si="55"/>
        <v/>
      </c>
      <c r="M105" s="68" t="str">
        <f t="shared" si="56"/>
        <v/>
      </c>
      <c r="N105" s="68" t="str">
        <f t="shared" si="57"/>
        <v/>
      </c>
      <c r="O105" s="86" t="str">
        <f t="shared" si="58"/>
        <v/>
      </c>
      <c r="P105" s="70" t="str">
        <f>IF($B105="","",IFERROR(LOOKUP(2,1/(TAHSILAT!$C$7:$C$2506=$B105),TAHSILAT!$E$7:$E$2506),""))</f>
        <v/>
      </c>
      <c r="Q105" s="65" t="str">
        <f t="shared" si="59"/>
        <v/>
      </c>
      <c r="R105" s="74" t="str">
        <f t="shared" si="60"/>
        <v/>
      </c>
      <c r="S105" s="76" t="str">
        <f>IF($B105="","",COUNTIFS(AKTIVITE!$D$7:$D$1006,$B105,AKTIVITE!$J$7:$J$1006,"&lt;&gt;Tamamlandı"))</f>
        <v/>
      </c>
      <c r="T105" s="70" t="str">
        <f>IF(OR($B105="",$AF105=""),"",IF(INDEX(MUSTERILER!$K$7:$K$156,$AF105)="","",INDEX(MUSTERILER!$K$7:$K$156,$AF105)))</f>
        <v/>
      </c>
      <c r="U105" s="76" t="str">
        <f t="shared" ca="1" si="61"/>
        <v/>
      </c>
      <c r="V105" s="68" t="str">
        <f t="shared" si="62"/>
        <v/>
      </c>
      <c r="W105" s="65" t="str">
        <f t="shared" si="63"/>
        <v/>
      </c>
      <c r="X105" s="2">
        <f>IF($B105="",0,SUMIFS(UCRETLER!$J$7:$J$606,UCRETLER!$B$7:$B$606,$B105))</f>
        <v>0</v>
      </c>
      <c r="Y105" s="2">
        <f>IF($B105="",0,SUMIFS(UCRETLER!$K$7:$K$606,UCRETLER!$B$7:$B$606,$B105))</f>
        <v>0</v>
      </c>
      <c r="Z105" s="1">
        <f>IF($B105="",0,SUMIFS(UCRETLER!$L$7:$L$606,UCRETLER!$B$7:$B$606,$B105))</f>
        <v>0</v>
      </c>
      <c r="AA105" s="1">
        <f t="shared" si="64"/>
        <v>0</v>
      </c>
      <c r="AB105" s="1">
        <f t="shared" si="65"/>
        <v>0</v>
      </c>
      <c r="AC105" s="1">
        <f t="shared" si="66"/>
        <v>0</v>
      </c>
      <c r="AD105" s="1">
        <f t="shared" si="67"/>
        <v>0</v>
      </c>
      <c r="AE105" s="1">
        <f t="shared" si="68"/>
        <v>0</v>
      </c>
      <c r="AF105" s="1" t="str">
        <f>IFERROR(MATCH(ROW()-6,MUSTERILER!$U$7:$U$156,0),"")</f>
        <v/>
      </c>
      <c r="AG105" s="1">
        <f>IF($B105="",0,SUMIFS(GELIR_GIDER!$G$7:$G$3006,GELIR_GIDER!$T$7:$T$3006,$B105))</f>
        <v>0</v>
      </c>
    </row>
    <row r="106" spans="1:33" ht="18" customHeight="1" x14ac:dyDescent="0.3">
      <c r="A106" s="2"/>
      <c r="B106" s="65" t="str">
        <f>IF($AF106="","",INDEX(MUSTERILER!$B$7:$B$156,$AF106))</f>
        <v/>
      </c>
      <c r="C106" s="74" t="str">
        <f>IF($AF106="","",INDEX(MUSTERILER!$C$7:$C$156,$AF106))</f>
        <v/>
      </c>
      <c r="D106" s="68" t="str">
        <f>IF($B106="","",SUMIFS(UCRETLER!$G$7:$G$606,UCRETLER!$B$7:$B$606,$B106,UCRETLER!$F$7:$F$606,"Haftalık",UCRETLER!$H$7:$H$606,"Aktif"))</f>
        <v/>
      </c>
      <c r="E106" s="68" t="str">
        <f>IF($B106="","",SUMIFS(UCRETLER!$G$7:$G$606,UCRETLER!$B$7:$B$606,$B106,UCRETLER!$F$7:$F$606,"Aylık",UCRETLER!$H$7:$H$606,"Aktif"))</f>
        <v/>
      </c>
      <c r="F106" s="68" t="str">
        <f>IF($B106="","",SUMIFS(MUSTERILER!$J$7:$J$156,MUSTERILER!$B$7:$B$156,$B106))</f>
        <v/>
      </c>
      <c r="G106" s="68" t="str">
        <f>IF($B106="","",SUMIFS(UCRETLER!$I$7:$I$606,UCRETLER!$B$7:$B$606,$B106)+SUMIFS(GELIR_GIDER!$G$7:$G$3006,GELIR_GIDER!$T$7:$T$3006,$B106))</f>
        <v/>
      </c>
      <c r="H106" s="68" t="str">
        <f t="shared" si="52"/>
        <v/>
      </c>
      <c r="I106" s="68" t="str">
        <f>IF($B106="","",SUMIFS(TAHSILAT!$F$7:$F$2506,TAHSILAT!$C$7:$C$2506,$B106))</f>
        <v/>
      </c>
      <c r="J106" s="68" t="str">
        <f t="shared" si="53"/>
        <v/>
      </c>
      <c r="K106" s="68" t="str">
        <f t="shared" si="54"/>
        <v/>
      </c>
      <c r="L106" s="68" t="str">
        <f t="shared" si="55"/>
        <v/>
      </c>
      <c r="M106" s="68" t="str">
        <f t="shared" si="56"/>
        <v/>
      </c>
      <c r="N106" s="68" t="str">
        <f t="shared" si="57"/>
        <v/>
      </c>
      <c r="O106" s="86" t="str">
        <f t="shared" si="58"/>
        <v/>
      </c>
      <c r="P106" s="70" t="str">
        <f>IF($B106="","",IFERROR(LOOKUP(2,1/(TAHSILAT!$C$7:$C$2506=$B106),TAHSILAT!$E$7:$E$2506),""))</f>
        <v/>
      </c>
      <c r="Q106" s="65" t="str">
        <f t="shared" si="59"/>
        <v/>
      </c>
      <c r="R106" s="74" t="str">
        <f t="shared" si="60"/>
        <v/>
      </c>
      <c r="S106" s="76" t="str">
        <f>IF($B106="","",COUNTIFS(AKTIVITE!$D$7:$D$1006,$B106,AKTIVITE!$J$7:$J$1006,"&lt;&gt;Tamamlandı"))</f>
        <v/>
      </c>
      <c r="T106" s="70" t="str">
        <f>IF(OR($B106="",$AF106=""),"",IF(INDEX(MUSTERILER!$K$7:$K$156,$AF106)="","",INDEX(MUSTERILER!$K$7:$K$156,$AF106)))</f>
        <v/>
      </c>
      <c r="U106" s="76" t="str">
        <f t="shared" ca="1" si="61"/>
        <v/>
      </c>
      <c r="V106" s="68" t="str">
        <f t="shared" si="62"/>
        <v/>
      </c>
      <c r="W106" s="65" t="str">
        <f t="shared" si="63"/>
        <v/>
      </c>
      <c r="X106" s="2">
        <f>IF($B106="",0,SUMIFS(UCRETLER!$J$7:$J$606,UCRETLER!$B$7:$B$606,$B106))</f>
        <v>0</v>
      </c>
      <c r="Y106" s="2">
        <f>IF($B106="",0,SUMIFS(UCRETLER!$K$7:$K$606,UCRETLER!$B$7:$B$606,$B106))</f>
        <v>0</v>
      </c>
      <c r="Z106" s="1">
        <f>IF($B106="",0,SUMIFS(UCRETLER!$L$7:$L$606,UCRETLER!$B$7:$B$606,$B106))</f>
        <v>0</v>
      </c>
      <c r="AA106" s="1">
        <f t="shared" si="64"/>
        <v>0</v>
      </c>
      <c r="AB106" s="1">
        <f t="shared" si="65"/>
        <v>0</v>
      </c>
      <c r="AC106" s="1">
        <f t="shared" si="66"/>
        <v>0</v>
      </c>
      <c r="AD106" s="1">
        <f t="shared" si="67"/>
        <v>0</v>
      </c>
      <c r="AE106" s="1">
        <f t="shared" si="68"/>
        <v>0</v>
      </c>
      <c r="AF106" s="1" t="str">
        <f>IFERROR(MATCH(ROW()-6,MUSTERILER!$U$7:$U$156,0),"")</f>
        <v/>
      </c>
      <c r="AG106" s="1">
        <f>IF($B106="",0,SUMIFS(GELIR_GIDER!$G$7:$G$3006,GELIR_GIDER!$T$7:$T$3006,$B106))</f>
        <v>0</v>
      </c>
    </row>
    <row r="107" spans="1:33" ht="18" customHeight="1" x14ac:dyDescent="0.3">
      <c r="A107" s="2"/>
      <c r="B107" s="65" t="str">
        <f>IF($AF107="","",INDEX(MUSTERILER!$B$7:$B$156,$AF107))</f>
        <v/>
      </c>
      <c r="C107" s="74" t="str">
        <f>IF($AF107="","",INDEX(MUSTERILER!$C$7:$C$156,$AF107))</f>
        <v/>
      </c>
      <c r="D107" s="68" t="str">
        <f>IF($B107="","",SUMIFS(UCRETLER!$G$7:$G$606,UCRETLER!$B$7:$B$606,$B107,UCRETLER!$F$7:$F$606,"Haftalık",UCRETLER!$H$7:$H$606,"Aktif"))</f>
        <v/>
      </c>
      <c r="E107" s="68" t="str">
        <f>IF($B107="","",SUMIFS(UCRETLER!$G$7:$G$606,UCRETLER!$B$7:$B$606,$B107,UCRETLER!$F$7:$F$606,"Aylık",UCRETLER!$H$7:$H$606,"Aktif"))</f>
        <v/>
      </c>
      <c r="F107" s="68" t="str">
        <f>IF($B107="","",SUMIFS(MUSTERILER!$J$7:$J$156,MUSTERILER!$B$7:$B$156,$B107))</f>
        <v/>
      </c>
      <c r="G107" s="68" t="str">
        <f>IF($B107="","",SUMIFS(UCRETLER!$I$7:$I$606,UCRETLER!$B$7:$B$606,$B107)+SUMIFS(GELIR_GIDER!$G$7:$G$3006,GELIR_GIDER!$T$7:$T$3006,$B107))</f>
        <v/>
      </c>
      <c r="H107" s="68" t="str">
        <f t="shared" si="52"/>
        <v/>
      </c>
      <c r="I107" s="68" t="str">
        <f>IF($B107="","",SUMIFS(TAHSILAT!$F$7:$F$2506,TAHSILAT!$C$7:$C$2506,$B107))</f>
        <v/>
      </c>
      <c r="J107" s="68" t="str">
        <f t="shared" si="53"/>
        <v/>
      </c>
      <c r="K107" s="68" t="str">
        <f t="shared" si="54"/>
        <v/>
      </c>
      <c r="L107" s="68" t="str">
        <f t="shared" si="55"/>
        <v/>
      </c>
      <c r="M107" s="68" t="str">
        <f t="shared" si="56"/>
        <v/>
      </c>
      <c r="N107" s="68" t="str">
        <f t="shared" si="57"/>
        <v/>
      </c>
      <c r="O107" s="86" t="str">
        <f t="shared" si="58"/>
        <v/>
      </c>
      <c r="P107" s="70" t="str">
        <f>IF($B107="","",IFERROR(LOOKUP(2,1/(TAHSILAT!$C$7:$C$2506=$B107),TAHSILAT!$E$7:$E$2506),""))</f>
        <v/>
      </c>
      <c r="Q107" s="65" t="str">
        <f t="shared" si="59"/>
        <v/>
      </c>
      <c r="R107" s="74" t="str">
        <f t="shared" si="60"/>
        <v/>
      </c>
      <c r="S107" s="76" t="str">
        <f>IF($B107="","",COUNTIFS(AKTIVITE!$D$7:$D$1006,$B107,AKTIVITE!$J$7:$J$1006,"&lt;&gt;Tamamlandı"))</f>
        <v/>
      </c>
      <c r="T107" s="70" t="str">
        <f>IF(OR($B107="",$AF107=""),"",IF(INDEX(MUSTERILER!$K$7:$K$156,$AF107)="","",INDEX(MUSTERILER!$K$7:$K$156,$AF107)))</f>
        <v/>
      </c>
      <c r="U107" s="76" t="str">
        <f t="shared" ca="1" si="61"/>
        <v/>
      </c>
      <c r="V107" s="68" t="str">
        <f t="shared" si="62"/>
        <v/>
      </c>
      <c r="W107" s="65" t="str">
        <f t="shared" si="63"/>
        <v/>
      </c>
      <c r="X107" s="2">
        <f>IF($B107="",0,SUMIFS(UCRETLER!$J$7:$J$606,UCRETLER!$B$7:$B$606,$B107))</f>
        <v>0</v>
      </c>
      <c r="Y107" s="2">
        <f>IF($B107="",0,SUMIFS(UCRETLER!$K$7:$K$606,UCRETLER!$B$7:$B$606,$B107))</f>
        <v>0</v>
      </c>
      <c r="Z107" s="1">
        <f>IF($B107="",0,SUMIFS(UCRETLER!$L$7:$L$606,UCRETLER!$B$7:$B$606,$B107))</f>
        <v>0</v>
      </c>
      <c r="AA107" s="1">
        <f t="shared" si="64"/>
        <v>0</v>
      </c>
      <c r="AB107" s="1">
        <f t="shared" si="65"/>
        <v>0</v>
      </c>
      <c r="AC107" s="1">
        <f t="shared" si="66"/>
        <v>0</v>
      </c>
      <c r="AD107" s="1">
        <f t="shared" si="67"/>
        <v>0</v>
      </c>
      <c r="AE107" s="1">
        <f t="shared" si="68"/>
        <v>0</v>
      </c>
      <c r="AF107" s="1" t="str">
        <f>IFERROR(MATCH(ROW()-6,MUSTERILER!$U$7:$U$156,0),"")</f>
        <v/>
      </c>
      <c r="AG107" s="1">
        <f>IF($B107="",0,SUMIFS(GELIR_GIDER!$G$7:$G$3006,GELIR_GIDER!$T$7:$T$3006,$B107))</f>
        <v>0</v>
      </c>
    </row>
    <row r="108" spans="1:33" ht="18" customHeight="1" x14ac:dyDescent="0.3">
      <c r="A108" s="2"/>
      <c r="B108" s="65" t="str">
        <f>IF($AF108="","",INDEX(MUSTERILER!$B$7:$B$156,$AF108))</f>
        <v/>
      </c>
      <c r="C108" s="74" t="str">
        <f>IF($AF108="","",INDEX(MUSTERILER!$C$7:$C$156,$AF108))</f>
        <v/>
      </c>
      <c r="D108" s="68" t="str">
        <f>IF($B108="","",SUMIFS(UCRETLER!$G$7:$G$606,UCRETLER!$B$7:$B$606,$B108,UCRETLER!$F$7:$F$606,"Haftalık",UCRETLER!$H$7:$H$606,"Aktif"))</f>
        <v/>
      </c>
      <c r="E108" s="68" t="str">
        <f>IF($B108="","",SUMIFS(UCRETLER!$G$7:$G$606,UCRETLER!$B$7:$B$606,$B108,UCRETLER!$F$7:$F$606,"Aylık",UCRETLER!$H$7:$H$606,"Aktif"))</f>
        <v/>
      </c>
      <c r="F108" s="68" t="str">
        <f>IF($B108="","",SUMIFS(MUSTERILER!$J$7:$J$156,MUSTERILER!$B$7:$B$156,$B108))</f>
        <v/>
      </c>
      <c r="G108" s="68" t="str">
        <f>IF($B108="","",SUMIFS(UCRETLER!$I$7:$I$606,UCRETLER!$B$7:$B$606,$B108)+SUMIFS(GELIR_GIDER!$G$7:$G$3006,GELIR_GIDER!$T$7:$T$3006,$B108))</f>
        <v/>
      </c>
      <c r="H108" s="68" t="str">
        <f t="shared" si="52"/>
        <v/>
      </c>
      <c r="I108" s="68" t="str">
        <f>IF($B108="","",SUMIFS(TAHSILAT!$F$7:$F$2506,TAHSILAT!$C$7:$C$2506,$B108))</f>
        <v/>
      </c>
      <c r="J108" s="68" t="str">
        <f t="shared" si="53"/>
        <v/>
      </c>
      <c r="K108" s="68" t="str">
        <f t="shared" si="54"/>
        <v/>
      </c>
      <c r="L108" s="68" t="str">
        <f t="shared" si="55"/>
        <v/>
      </c>
      <c r="M108" s="68" t="str">
        <f t="shared" si="56"/>
        <v/>
      </c>
      <c r="N108" s="68" t="str">
        <f t="shared" si="57"/>
        <v/>
      </c>
      <c r="O108" s="86" t="str">
        <f t="shared" si="58"/>
        <v/>
      </c>
      <c r="P108" s="70" t="str">
        <f>IF($B108="","",IFERROR(LOOKUP(2,1/(TAHSILAT!$C$7:$C$2506=$B108),TAHSILAT!$E$7:$E$2506),""))</f>
        <v/>
      </c>
      <c r="Q108" s="65" t="str">
        <f t="shared" si="59"/>
        <v/>
      </c>
      <c r="R108" s="74" t="str">
        <f t="shared" si="60"/>
        <v/>
      </c>
      <c r="S108" s="76" t="str">
        <f>IF($B108="","",COUNTIFS(AKTIVITE!$D$7:$D$1006,$B108,AKTIVITE!$J$7:$J$1006,"&lt;&gt;Tamamlandı"))</f>
        <v/>
      </c>
      <c r="T108" s="70" t="str">
        <f>IF(OR($B108="",$AF108=""),"",IF(INDEX(MUSTERILER!$K$7:$K$156,$AF108)="","",INDEX(MUSTERILER!$K$7:$K$156,$AF108)))</f>
        <v/>
      </c>
      <c r="U108" s="76" t="str">
        <f t="shared" ca="1" si="61"/>
        <v/>
      </c>
      <c r="V108" s="68" t="str">
        <f t="shared" si="62"/>
        <v/>
      </c>
      <c r="W108" s="65" t="str">
        <f t="shared" si="63"/>
        <v/>
      </c>
      <c r="X108" s="2">
        <f>IF($B108="",0,SUMIFS(UCRETLER!$J$7:$J$606,UCRETLER!$B$7:$B$606,$B108))</f>
        <v>0</v>
      </c>
      <c r="Y108" s="2">
        <f>IF($B108="",0,SUMIFS(UCRETLER!$K$7:$K$606,UCRETLER!$B$7:$B$606,$B108))</f>
        <v>0</v>
      </c>
      <c r="Z108" s="1">
        <f>IF($B108="",0,SUMIFS(UCRETLER!$L$7:$L$606,UCRETLER!$B$7:$B$606,$B108))</f>
        <v>0</v>
      </c>
      <c r="AA108" s="1">
        <f t="shared" si="64"/>
        <v>0</v>
      </c>
      <c r="AB108" s="1">
        <f t="shared" si="65"/>
        <v>0</v>
      </c>
      <c r="AC108" s="1">
        <f t="shared" si="66"/>
        <v>0</v>
      </c>
      <c r="AD108" s="1">
        <f t="shared" si="67"/>
        <v>0</v>
      </c>
      <c r="AE108" s="1">
        <f t="shared" si="68"/>
        <v>0</v>
      </c>
      <c r="AF108" s="1" t="str">
        <f>IFERROR(MATCH(ROW()-6,MUSTERILER!$U$7:$U$156,0),"")</f>
        <v/>
      </c>
      <c r="AG108" s="1">
        <f>IF($B108="",0,SUMIFS(GELIR_GIDER!$G$7:$G$3006,GELIR_GIDER!$T$7:$T$3006,$B108))</f>
        <v>0</v>
      </c>
    </row>
    <row r="109" spans="1:33" ht="18" customHeight="1" x14ac:dyDescent="0.3">
      <c r="A109" s="2"/>
      <c r="B109" s="65" t="str">
        <f>IF($AF109="","",INDEX(MUSTERILER!$B$7:$B$156,$AF109))</f>
        <v/>
      </c>
      <c r="C109" s="74" t="str">
        <f>IF($AF109="","",INDEX(MUSTERILER!$C$7:$C$156,$AF109))</f>
        <v/>
      </c>
      <c r="D109" s="68" t="str">
        <f>IF($B109="","",SUMIFS(UCRETLER!$G$7:$G$606,UCRETLER!$B$7:$B$606,$B109,UCRETLER!$F$7:$F$606,"Haftalık",UCRETLER!$H$7:$H$606,"Aktif"))</f>
        <v/>
      </c>
      <c r="E109" s="68" t="str">
        <f>IF($B109="","",SUMIFS(UCRETLER!$G$7:$G$606,UCRETLER!$B$7:$B$606,$B109,UCRETLER!$F$7:$F$606,"Aylık",UCRETLER!$H$7:$H$606,"Aktif"))</f>
        <v/>
      </c>
      <c r="F109" s="68" t="str">
        <f>IF($B109="","",SUMIFS(MUSTERILER!$J$7:$J$156,MUSTERILER!$B$7:$B$156,$B109))</f>
        <v/>
      </c>
      <c r="G109" s="68" t="str">
        <f>IF($B109="","",SUMIFS(UCRETLER!$I$7:$I$606,UCRETLER!$B$7:$B$606,$B109)+SUMIFS(GELIR_GIDER!$G$7:$G$3006,GELIR_GIDER!$T$7:$T$3006,$B109))</f>
        <v/>
      </c>
      <c r="H109" s="68" t="str">
        <f t="shared" si="52"/>
        <v/>
      </c>
      <c r="I109" s="68" t="str">
        <f>IF($B109="","",SUMIFS(TAHSILAT!$F$7:$F$2506,TAHSILAT!$C$7:$C$2506,$B109))</f>
        <v/>
      </c>
      <c r="J109" s="68" t="str">
        <f t="shared" si="53"/>
        <v/>
      </c>
      <c r="K109" s="68" t="str">
        <f t="shared" si="54"/>
        <v/>
      </c>
      <c r="L109" s="68" t="str">
        <f t="shared" si="55"/>
        <v/>
      </c>
      <c r="M109" s="68" t="str">
        <f t="shared" si="56"/>
        <v/>
      </c>
      <c r="N109" s="68" t="str">
        <f t="shared" si="57"/>
        <v/>
      </c>
      <c r="O109" s="86" t="str">
        <f t="shared" si="58"/>
        <v/>
      </c>
      <c r="P109" s="70" t="str">
        <f>IF($B109="","",IFERROR(LOOKUP(2,1/(TAHSILAT!$C$7:$C$2506=$B109),TAHSILAT!$E$7:$E$2506),""))</f>
        <v/>
      </c>
      <c r="Q109" s="65" t="str">
        <f t="shared" si="59"/>
        <v/>
      </c>
      <c r="R109" s="74" t="str">
        <f t="shared" si="60"/>
        <v/>
      </c>
      <c r="S109" s="76" t="str">
        <f>IF($B109="","",COUNTIFS(AKTIVITE!$D$7:$D$1006,$B109,AKTIVITE!$J$7:$J$1006,"&lt;&gt;Tamamlandı"))</f>
        <v/>
      </c>
      <c r="T109" s="70" t="str">
        <f>IF(OR($B109="",$AF109=""),"",IF(INDEX(MUSTERILER!$K$7:$K$156,$AF109)="","",INDEX(MUSTERILER!$K$7:$K$156,$AF109)))</f>
        <v/>
      </c>
      <c r="U109" s="76" t="str">
        <f t="shared" ca="1" si="61"/>
        <v/>
      </c>
      <c r="V109" s="68" t="str">
        <f t="shared" si="62"/>
        <v/>
      </c>
      <c r="W109" s="65" t="str">
        <f t="shared" si="63"/>
        <v/>
      </c>
      <c r="X109" s="2">
        <f>IF($B109="",0,SUMIFS(UCRETLER!$J$7:$J$606,UCRETLER!$B$7:$B$606,$B109))</f>
        <v>0</v>
      </c>
      <c r="Y109" s="2">
        <f>IF($B109="",0,SUMIFS(UCRETLER!$K$7:$K$606,UCRETLER!$B$7:$B$606,$B109))</f>
        <v>0</v>
      </c>
      <c r="Z109" s="1">
        <f>IF($B109="",0,SUMIFS(UCRETLER!$L$7:$L$606,UCRETLER!$B$7:$B$606,$B109))</f>
        <v>0</v>
      </c>
      <c r="AA109" s="1">
        <f t="shared" si="64"/>
        <v>0</v>
      </c>
      <c r="AB109" s="1">
        <f t="shared" si="65"/>
        <v>0</v>
      </c>
      <c r="AC109" s="1">
        <f t="shared" si="66"/>
        <v>0</v>
      </c>
      <c r="AD109" s="1">
        <f t="shared" si="67"/>
        <v>0</v>
      </c>
      <c r="AE109" s="1">
        <f t="shared" si="68"/>
        <v>0</v>
      </c>
      <c r="AF109" s="1" t="str">
        <f>IFERROR(MATCH(ROW()-6,MUSTERILER!$U$7:$U$156,0),"")</f>
        <v/>
      </c>
      <c r="AG109" s="1">
        <f>IF($B109="",0,SUMIFS(GELIR_GIDER!$G$7:$G$3006,GELIR_GIDER!$T$7:$T$3006,$B109))</f>
        <v>0</v>
      </c>
    </row>
    <row r="110" spans="1:33" ht="18" customHeight="1" x14ac:dyDescent="0.3">
      <c r="A110" s="2"/>
      <c r="B110" s="65" t="str">
        <f>IF($AF110="","",INDEX(MUSTERILER!$B$7:$B$156,$AF110))</f>
        <v/>
      </c>
      <c r="C110" s="74" t="str">
        <f>IF($AF110="","",INDEX(MUSTERILER!$C$7:$C$156,$AF110))</f>
        <v/>
      </c>
      <c r="D110" s="68" t="str">
        <f>IF($B110="","",SUMIFS(UCRETLER!$G$7:$G$606,UCRETLER!$B$7:$B$606,$B110,UCRETLER!$F$7:$F$606,"Haftalık",UCRETLER!$H$7:$H$606,"Aktif"))</f>
        <v/>
      </c>
      <c r="E110" s="68" t="str">
        <f>IF($B110="","",SUMIFS(UCRETLER!$G$7:$G$606,UCRETLER!$B$7:$B$606,$B110,UCRETLER!$F$7:$F$606,"Aylık",UCRETLER!$H$7:$H$606,"Aktif"))</f>
        <v/>
      </c>
      <c r="F110" s="68" t="str">
        <f>IF($B110="","",SUMIFS(MUSTERILER!$J$7:$J$156,MUSTERILER!$B$7:$B$156,$B110))</f>
        <v/>
      </c>
      <c r="G110" s="68" t="str">
        <f>IF($B110="","",SUMIFS(UCRETLER!$I$7:$I$606,UCRETLER!$B$7:$B$606,$B110)+SUMIFS(GELIR_GIDER!$G$7:$G$3006,GELIR_GIDER!$T$7:$T$3006,$B110))</f>
        <v/>
      </c>
      <c r="H110" s="68" t="str">
        <f t="shared" si="52"/>
        <v/>
      </c>
      <c r="I110" s="68" t="str">
        <f>IF($B110="","",SUMIFS(TAHSILAT!$F$7:$F$2506,TAHSILAT!$C$7:$C$2506,$B110))</f>
        <v/>
      </c>
      <c r="J110" s="68" t="str">
        <f t="shared" si="53"/>
        <v/>
      </c>
      <c r="K110" s="68" t="str">
        <f t="shared" si="54"/>
        <v/>
      </c>
      <c r="L110" s="68" t="str">
        <f t="shared" si="55"/>
        <v/>
      </c>
      <c r="M110" s="68" t="str">
        <f t="shared" si="56"/>
        <v/>
      </c>
      <c r="N110" s="68" t="str">
        <f t="shared" si="57"/>
        <v/>
      </c>
      <c r="O110" s="86" t="str">
        <f t="shared" si="58"/>
        <v/>
      </c>
      <c r="P110" s="70" t="str">
        <f>IF($B110="","",IFERROR(LOOKUP(2,1/(TAHSILAT!$C$7:$C$2506=$B110),TAHSILAT!$E$7:$E$2506),""))</f>
        <v/>
      </c>
      <c r="Q110" s="65" t="str">
        <f t="shared" si="59"/>
        <v/>
      </c>
      <c r="R110" s="74" t="str">
        <f t="shared" si="60"/>
        <v/>
      </c>
      <c r="S110" s="76" t="str">
        <f>IF($B110="","",COUNTIFS(AKTIVITE!$D$7:$D$1006,$B110,AKTIVITE!$J$7:$J$1006,"&lt;&gt;Tamamlandı"))</f>
        <v/>
      </c>
      <c r="T110" s="70" t="str">
        <f>IF(OR($B110="",$AF110=""),"",IF(INDEX(MUSTERILER!$K$7:$K$156,$AF110)="","",INDEX(MUSTERILER!$K$7:$K$156,$AF110)))</f>
        <v/>
      </c>
      <c r="U110" s="76" t="str">
        <f t="shared" ca="1" si="61"/>
        <v/>
      </c>
      <c r="V110" s="68" t="str">
        <f t="shared" si="62"/>
        <v/>
      </c>
      <c r="W110" s="65" t="str">
        <f t="shared" si="63"/>
        <v/>
      </c>
      <c r="X110" s="2">
        <f>IF($B110="",0,SUMIFS(UCRETLER!$J$7:$J$606,UCRETLER!$B$7:$B$606,$B110))</f>
        <v>0</v>
      </c>
      <c r="Y110" s="2">
        <f>IF($B110="",0,SUMIFS(UCRETLER!$K$7:$K$606,UCRETLER!$B$7:$B$606,$B110))</f>
        <v>0</v>
      </c>
      <c r="Z110" s="1">
        <f>IF($B110="",0,SUMIFS(UCRETLER!$L$7:$L$606,UCRETLER!$B$7:$B$606,$B110))</f>
        <v>0</v>
      </c>
      <c r="AA110" s="1">
        <f t="shared" si="64"/>
        <v>0</v>
      </c>
      <c r="AB110" s="1">
        <f t="shared" si="65"/>
        <v>0</v>
      </c>
      <c r="AC110" s="1">
        <f t="shared" si="66"/>
        <v>0</v>
      </c>
      <c r="AD110" s="1">
        <f t="shared" si="67"/>
        <v>0</v>
      </c>
      <c r="AE110" s="1">
        <f t="shared" si="68"/>
        <v>0</v>
      </c>
      <c r="AF110" s="1" t="str">
        <f>IFERROR(MATCH(ROW()-6,MUSTERILER!$U$7:$U$156,0),"")</f>
        <v/>
      </c>
      <c r="AG110" s="1">
        <f>IF($B110="",0,SUMIFS(GELIR_GIDER!$G$7:$G$3006,GELIR_GIDER!$T$7:$T$3006,$B110))</f>
        <v>0</v>
      </c>
    </row>
    <row r="111" spans="1:33" ht="18" customHeight="1" x14ac:dyDescent="0.3">
      <c r="A111" s="2"/>
      <c r="B111" s="65" t="str">
        <f>IF($AF111="","",INDEX(MUSTERILER!$B$7:$B$156,$AF111))</f>
        <v/>
      </c>
      <c r="C111" s="74" t="str">
        <f>IF($AF111="","",INDEX(MUSTERILER!$C$7:$C$156,$AF111))</f>
        <v/>
      </c>
      <c r="D111" s="68" t="str">
        <f>IF($B111="","",SUMIFS(UCRETLER!$G$7:$G$606,UCRETLER!$B$7:$B$606,$B111,UCRETLER!$F$7:$F$606,"Haftalık",UCRETLER!$H$7:$H$606,"Aktif"))</f>
        <v/>
      </c>
      <c r="E111" s="68" t="str">
        <f>IF($B111="","",SUMIFS(UCRETLER!$G$7:$G$606,UCRETLER!$B$7:$B$606,$B111,UCRETLER!$F$7:$F$606,"Aylık",UCRETLER!$H$7:$H$606,"Aktif"))</f>
        <v/>
      </c>
      <c r="F111" s="68" t="str">
        <f>IF($B111="","",SUMIFS(MUSTERILER!$J$7:$J$156,MUSTERILER!$B$7:$B$156,$B111))</f>
        <v/>
      </c>
      <c r="G111" s="68" t="str">
        <f>IF($B111="","",SUMIFS(UCRETLER!$I$7:$I$606,UCRETLER!$B$7:$B$606,$B111)+SUMIFS(GELIR_GIDER!$G$7:$G$3006,GELIR_GIDER!$T$7:$T$3006,$B111))</f>
        <v/>
      </c>
      <c r="H111" s="68" t="str">
        <f t="shared" si="52"/>
        <v/>
      </c>
      <c r="I111" s="68" t="str">
        <f>IF($B111="","",SUMIFS(TAHSILAT!$F$7:$F$2506,TAHSILAT!$C$7:$C$2506,$B111))</f>
        <v/>
      </c>
      <c r="J111" s="68" t="str">
        <f t="shared" si="53"/>
        <v/>
      </c>
      <c r="K111" s="68" t="str">
        <f t="shared" si="54"/>
        <v/>
      </c>
      <c r="L111" s="68" t="str">
        <f t="shared" si="55"/>
        <v/>
      </c>
      <c r="M111" s="68" t="str">
        <f t="shared" si="56"/>
        <v/>
      </c>
      <c r="N111" s="68" t="str">
        <f t="shared" si="57"/>
        <v/>
      </c>
      <c r="O111" s="86" t="str">
        <f t="shared" si="58"/>
        <v/>
      </c>
      <c r="P111" s="70" t="str">
        <f>IF($B111="","",IFERROR(LOOKUP(2,1/(TAHSILAT!$C$7:$C$2506=$B111),TAHSILAT!$E$7:$E$2506),""))</f>
        <v/>
      </c>
      <c r="Q111" s="65" t="str">
        <f t="shared" si="59"/>
        <v/>
      </c>
      <c r="R111" s="74" t="str">
        <f t="shared" si="60"/>
        <v/>
      </c>
      <c r="S111" s="76" t="str">
        <f>IF($B111="","",COUNTIFS(AKTIVITE!$D$7:$D$1006,$B111,AKTIVITE!$J$7:$J$1006,"&lt;&gt;Tamamlandı"))</f>
        <v/>
      </c>
      <c r="T111" s="70" t="str">
        <f>IF(OR($B111="",$AF111=""),"",IF(INDEX(MUSTERILER!$K$7:$K$156,$AF111)="","",INDEX(MUSTERILER!$K$7:$K$156,$AF111)))</f>
        <v/>
      </c>
      <c r="U111" s="76" t="str">
        <f t="shared" ca="1" si="61"/>
        <v/>
      </c>
      <c r="V111" s="68" t="str">
        <f t="shared" si="62"/>
        <v/>
      </c>
      <c r="W111" s="65" t="str">
        <f t="shared" si="63"/>
        <v/>
      </c>
      <c r="X111" s="2">
        <f>IF($B111="",0,SUMIFS(UCRETLER!$J$7:$J$606,UCRETLER!$B$7:$B$606,$B111))</f>
        <v>0</v>
      </c>
      <c r="Y111" s="2">
        <f>IF($B111="",0,SUMIFS(UCRETLER!$K$7:$K$606,UCRETLER!$B$7:$B$606,$B111))</f>
        <v>0</v>
      </c>
      <c r="Z111" s="1">
        <f>IF($B111="",0,SUMIFS(UCRETLER!$L$7:$L$606,UCRETLER!$B$7:$B$606,$B111))</f>
        <v>0</v>
      </c>
      <c r="AA111" s="1">
        <f t="shared" si="64"/>
        <v>0</v>
      </c>
      <c r="AB111" s="1">
        <f t="shared" si="65"/>
        <v>0</v>
      </c>
      <c r="AC111" s="1">
        <f t="shared" si="66"/>
        <v>0</v>
      </c>
      <c r="AD111" s="1">
        <f t="shared" si="67"/>
        <v>0</v>
      </c>
      <c r="AE111" s="1">
        <f t="shared" si="68"/>
        <v>0</v>
      </c>
      <c r="AF111" s="1" t="str">
        <f>IFERROR(MATCH(ROW()-6,MUSTERILER!$U$7:$U$156,0),"")</f>
        <v/>
      </c>
      <c r="AG111" s="1">
        <f>IF($B111="",0,SUMIFS(GELIR_GIDER!$G$7:$G$3006,GELIR_GIDER!$T$7:$T$3006,$B111))</f>
        <v>0</v>
      </c>
    </row>
    <row r="112" spans="1:33" ht="18" customHeight="1" x14ac:dyDescent="0.3">
      <c r="A112" s="2"/>
      <c r="B112" s="65" t="str">
        <f>IF($AF112="","",INDEX(MUSTERILER!$B$7:$B$156,$AF112))</f>
        <v/>
      </c>
      <c r="C112" s="74" t="str">
        <f>IF($AF112="","",INDEX(MUSTERILER!$C$7:$C$156,$AF112))</f>
        <v/>
      </c>
      <c r="D112" s="68" t="str">
        <f>IF($B112="","",SUMIFS(UCRETLER!$G$7:$G$606,UCRETLER!$B$7:$B$606,$B112,UCRETLER!$F$7:$F$606,"Haftalık",UCRETLER!$H$7:$H$606,"Aktif"))</f>
        <v/>
      </c>
      <c r="E112" s="68" t="str">
        <f>IF($B112="","",SUMIFS(UCRETLER!$G$7:$G$606,UCRETLER!$B$7:$B$606,$B112,UCRETLER!$F$7:$F$606,"Aylık",UCRETLER!$H$7:$H$606,"Aktif"))</f>
        <v/>
      </c>
      <c r="F112" s="68" t="str">
        <f>IF($B112="","",SUMIFS(MUSTERILER!$J$7:$J$156,MUSTERILER!$B$7:$B$156,$B112))</f>
        <v/>
      </c>
      <c r="G112" s="68" t="str">
        <f>IF($B112="","",SUMIFS(UCRETLER!$I$7:$I$606,UCRETLER!$B$7:$B$606,$B112)+SUMIFS(GELIR_GIDER!$G$7:$G$3006,GELIR_GIDER!$T$7:$T$3006,$B112))</f>
        <v/>
      </c>
      <c r="H112" s="68" t="str">
        <f t="shared" si="52"/>
        <v/>
      </c>
      <c r="I112" s="68" t="str">
        <f>IF($B112="","",SUMIFS(TAHSILAT!$F$7:$F$2506,TAHSILAT!$C$7:$C$2506,$B112))</f>
        <v/>
      </c>
      <c r="J112" s="68" t="str">
        <f t="shared" si="53"/>
        <v/>
      </c>
      <c r="K112" s="68" t="str">
        <f t="shared" si="54"/>
        <v/>
      </c>
      <c r="L112" s="68" t="str">
        <f t="shared" si="55"/>
        <v/>
      </c>
      <c r="M112" s="68" t="str">
        <f t="shared" si="56"/>
        <v/>
      </c>
      <c r="N112" s="68" t="str">
        <f t="shared" si="57"/>
        <v/>
      </c>
      <c r="O112" s="86" t="str">
        <f t="shared" si="58"/>
        <v/>
      </c>
      <c r="P112" s="70" t="str">
        <f>IF($B112="","",IFERROR(LOOKUP(2,1/(TAHSILAT!$C$7:$C$2506=$B112),TAHSILAT!$E$7:$E$2506),""))</f>
        <v/>
      </c>
      <c r="Q112" s="65" t="str">
        <f t="shared" si="59"/>
        <v/>
      </c>
      <c r="R112" s="74" t="str">
        <f t="shared" si="60"/>
        <v/>
      </c>
      <c r="S112" s="76" t="str">
        <f>IF($B112="","",COUNTIFS(AKTIVITE!$D$7:$D$1006,$B112,AKTIVITE!$J$7:$J$1006,"&lt;&gt;Tamamlandı"))</f>
        <v/>
      </c>
      <c r="T112" s="70" t="str">
        <f>IF(OR($B112="",$AF112=""),"",IF(INDEX(MUSTERILER!$K$7:$K$156,$AF112)="","",INDEX(MUSTERILER!$K$7:$K$156,$AF112)))</f>
        <v/>
      </c>
      <c r="U112" s="76" t="str">
        <f t="shared" ca="1" si="61"/>
        <v/>
      </c>
      <c r="V112" s="68" t="str">
        <f t="shared" si="62"/>
        <v/>
      </c>
      <c r="W112" s="65" t="str">
        <f t="shared" si="63"/>
        <v/>
      </c>
      <c r="X112" s="2">
        <f>IF($B112="",0,SUMIFS(UCRETLER!$J$7:$J$606,UCRETLER!$B$7:$B$606,$B112))</f>
        <v>0</v>
      </c>
      <c r="Y112" s="2">
        <f>IF($B112="",0,SUMIFS(UCRETLER!$K$7:$K$606,UCRETLER!$B$7:$B$606,$B112))</f>
        <v>0</v>
      </c>
      <c r="Z112" s="1">
        <f>IF($B112="",0,SUMIFS(UCRETLER!$L$7:$L$606,UCRETLER!$B$7:$B$606,$B112))</f>
        <v>0</v>
      </c>
      <c r="AA112" s="1">
        <f t="shared" si="64"/>
        <v>0</v>
      </c>
      <c r="AB112" s="1">
        <f t="shared" si="65"/>
        <v>0</v>
      </c>
      <c r="AC112" s="1">
        <f t="shared" si="66"/>
        <v>0</v>
      </c>
      <c r="AD112" s="1">
        <f t="shared" si="67"/>
        <v>0</v>
      </c>
      <c r="AE112" s="1">
        <f t="shared" si="68"/>
        <v>0</v>
      </c>
      <c r="AF112" s="1" t="str">
        <f>IFERROR(MATCH(ROW()-6,MUSTERILER!$U$7:$U$156,0),"")</f>
        <v/>
      </c>
      <c r="AG112" s="1">
        <f>IF($B112="",0,SUMIFS(GELIR_GIDER!$G$7:$G$3006,GELIR_GIDER!$T$7:$T$3006,$B112))</f>
        <v>0</v>
      </c>
    </row>
    <row r="113" spans="1:33" ht="18" customHeight="1" x14ac:dyDescent="0.3">
      <c r="A113" s="2"/>
      <c r="B113" s="65" t="str">
        <f>IF($AF113="","",INDEX(MUSTERILER!$B$7:$B$156,$AF113))</f>
        <v/>
      </c>
      <c r="C113" s="74" t="str">
        <f>IF($AF113="","",INDEX(MUSTERILER!$C$7:$C$156,$AF113))</f>
        <v/>
      </c>
      <c r="D113" s="68" t="str">
        <f>IF($B113="","",SUMIFS(UCRETLER!$G$7:$G$606,UCRETLER!$B$7:$B$606,$B113,UCRETLER!$F$7:$F$606,"Haftalık",UCRETLER!$H$7:$H$606,"Aktif"))</f>
        <v/>
      </c>
      <c r="E113" s="68" t="str">
        <f>IF($B113="","",SUMIFS(UCRETLER!$G$7:$G$606,UCRETLER!$B$7:$B$606,$B113,UCRETLER!$F$7:$F$606,"Aylık",UCRETLER!$H$7:$H$606,"Aktif"))</f>
        <v/>
      </c>
      <c r="F113" s="68" t="str">
        <f>IF($B113="","",SUMIFS(MUSTERILER!$J$7:$J$156,MUSTERILER!$B$7:$B$156,$B113))</f>
        <v/>
      </c>
      <c r="G113" s="68" t="str">
        <f>IF($B113="","",SUMIFS(UCRETLER!$I$7:$I$606,UCRETLER!$B$7:$B$606,$B113)+SUMIFS(GELIR_GIDER!$G$7:$G$3006,GELIR_GIDER!$T$7:$T$3006,$B113))</f>
        <v/>
      </c>
      <c r="H113" s="68" t="str">
        <f t="shared" si="52"/>
        <v/>
      </c>
      <c r="I113" s="68" t="str">
        <f>IF($B113="","",SUMIFS(TAHSILAT!$F$7:$F$2506,TAHSILAT!$C$7:$C$2506,$B113))</f>
        <v/>
      </c>
      <c r="J113" s="68" t="str">
        <f t="shared" si="53"/>
        <v/>
      </c>
      <c r="K113" s="68" t="str">
        <f t="shared" si="54"/>
        <v/>
      </c>
      <c r="L113" s="68" t="str">
        <f t="shared" si="55"/>
        <v/>
      </c>
      <c r="M113" s="68" t="str">
        <f t="shared" si="56"/>
        <v/>
      </c>
      <c r="N113" s="68" t="str">
        <f t="shared" si="57"/>
        <v/>
      </c>
      <c r="O113" s="86" t="str">
        <f t="shared" si="58"/>
        <v/>
      </c>
      <c r="P113" s="70" t="str">
        <f>IF($B113="","",IFERROR(LOOKUP(2,1/(TAHSILAT!$C$7:$C$2506=$B113),TAHSILAT!$E$7:$E$2506),""))</f>
        <v/>
      </c>
      <c r="Q113" s="65" t="str">
        <f t="shared" si="59"/>
        <v/>
      </c>
      <c r="R113" s="74" t="str">
        <f t="shared" si="60"/>
        <v/>
      </c>
      <c r="S113" s="76" t="str">
        <f>IF($B113="","",COUNTIFS(AKTIVITE!$D$7:$D$1006,$B113,AKTIVITE!$J$7:$J$1006,"&lt;&gt;Tamamlandı"))</f>
        <v/>
      </c>
      <c r="T113" s="70" t="str">
        <f>IF(OR($B113="",$AF113=""),"",IF(INDEX(MUSTERILER!$K$7:$K$156,$AF113)="","",INDEX(MUSTERILER!$K$7:$K$156,$AF113)))</f>
        <v/>
      </c>
      <c r="U113" s="76" t="str">
        <f t="shared" ca="1" si="61"/>
        <v/>
      </c>
      <c r="V113" s="68" t="str">
        <f t="shared" si="62"/>
        <v/>
      </c>
      <c r="W113" s="65" t="str">
        <f t="shared" si="63"/>
        <v/>
      </c>
      <c r="X113" s="2">
        <f>IF($B113="",0,SUMIFS(UCRETLER!$J$7:$J$606,UCRETLER!$B$7:$B$606,$B113))</f>
        <v>0</v>
      </c>
      <c r="Y113" s="2">
        <f>IF($B113="",0,SUMIFS(UCRETLER!$K$7:$K$606,UCRETLER!$B$7:$B$606,$B113))</f>
        <v>0</v>
      </c>
      <c r="Z113" s="1">
        <f>IF($B113="",0,SUMIFS(UCRETLER!$L$7:$L$606,UCRETLER!$B$7:$B$606,$B113))</f>
        <v>0</v>
      </c>
      <c r="AA113" s="1">
        <f t="shared" si="64"/>
        <v>0</v>
      </c>
      <c r="AB113" s="1">
        <f t="shared" si="65"/>
        <v>0</v>
      </c>
      <c r="AC113" s="1">
        <f t="shared" si="66"/>
        <v>0</v>
      </c>
      <c r="AD113" s="1">
        <f t="shared" si="67"/>
        <v>0</v>
      </c>
      <c r="AE113" s="1">
        <f t="shared" si="68"/>
        <v>0</v>
      </c>
      <c r="AF113" s="1" t="str">
        <f>IFERROR(MATCH(ROW()-6,MUSTERILER!$U$7:$U$156,0),"")</f>
        <v/>
      </c>
      <c r="AG113" s="1">
        <f>IF($B113="",0,SUMIFS(GELIR_GIDER!$G$7:$G$3006,GELIR_GIDER!$T$7:$T$3006,$B113))</f>
        <v>0</v>
      </c>
    </row>
    <row r="114" spans="1:33" ht="18" customHeight="1" x14ac:dyDescent="0.3">
      <c r="A114" s="2"/>
      <c r="B114" s="65" t="str">
        <f>IF($AF114="","",INDEX(MUSTERILER!$B$7:$B$156,$AF114))</f>
        <v/>
      </c>
      <c r="C114" s="74" t="str">
        <f>IF($AF114="","",INDEX(MUSTERILER!$C$7:$C$156,$AF114))</f>
        <v/>
      </c>
      <c r="D114" s="68" t="str">
        <f>IF($B114="","",SUMIFS(UCRETLER!$G$7:$G$606,UCRETLER!$B$7:$B$606,$B114,UCRETLER!$F$7:$F$606,"Haftalık",UCRETLER!$H$7:$H$606,"Aktif"))</f>
        <v/>
      </c>
      <c r="E114" s="68" t="str">
        <f>IF($B114="","",SUMIFS(UCRETLER!$G$7:$G$606,UCRETLER!$B$7:$B$606,$B114,UCRETLER!$F$7:$F$606,"Aylık",UCRETLER!$H$7:$H$606,"Aktif"))</f>
        <v/>
      </c>
      <c r="F114" s="68" t="str">
        <f>IF($B114="","",SUMIFS(MUSTERILER!$J$7:$J$156,MUSTERILER!$B$7:$B$156,$B114))</f>
        <v/>
      </c>
      <c r="G114" s="68" t="str">
        <f>IF($B114="","",SUMIFS(UCRETLER!$I$7:$I$606,UCRETLER!$B$7:$B$606,$B114)+SUMIFS(GELIR_GIDER!$G$7:$G$3006,GELIR_GIDER!$T$7:$T$3006,$B114))</f>
        <v/>
      </c>
      <c r="H114" s="68" t="str">
        <f t="shared" si="52"/>
        <v/>
      </c>
      <c r="I114" s="68" t="str">
        <f>IF($B114="","",SUMIFS(TAHSILAT!$F$7:$F$2506,TAHSILAT!$C$7:$C$2506,$B114))</f>
        <v/>
      </c>
      <c r="J114" s="68" t="str">
        <f t="shared" si="53"/>
        <v/>
      </c>
      <c r="K114" s="68" t="str">
        <f t="shared" si="54"/>
        <v/>
      </c>
      <c r="L114" s="68" t="str">
        <f t="shared" si="55"/>
        <v/>
      </c>
      <c r="M114" s="68" t="str">
        <f t="shared" si="56"/>
        <v/>
      </c>
      <c r="N114" s="68" t="str">
        <f t="shared" si="57"/>
        <v/>
      </c>
      <c r="O114" s="86" t="str">
        <f t="shared" si="58"/>
        <v/>
      </c>
      <c r="P114" s="70" t="str">
        <f>IF($B114="","",IFERROR(LOOKUP(2,1/(TAHSILAT!$C$7:$C$2506=$B114),TAHSILAT!$E$7:$E$2506),""))</f>
        <v/>
      </c>
      <c r="Q114" s="65" t="str">
        <f t="shared" si="59"/>
        <v/>
      </c>
      <c r="R114" s="74" t="str">
        <f t="shared" si="60"/>
        <v/>
      </c>
      <c r="S114" s="76" t="str">
        <f>IF($B114="","",COUNTIFS(AKTIVITE!$D$7:$D$1006,$B114,AKTIVITE!$J$7:$J$1006,"&lt;&gt;Tamamlandı"))</f>
        <v/>
      </c>
      <c r="T114" s="70" t="str">
        <f>IF(OR($B114="",$AF114=""),"",IF(INDEX(MUSTERILER!$K$7:$K$156,$AF114)="","",INDEX(MUSTERILER!$K$7:$K$156,$AF114)))</f>
        <v/>
      </c>
      <c r="U114" s="76" t="str">
        <f t="shared" ca="1" si="61"/>
        <v/>
      </c>
      <c r="V114" s="68" t="str">
        <f t="shared" si="62"/>
        <v/>
      </c>
      <c r="W114" s="65" t="str">
        <f t="shared" si="63"/>
        <v/>
      </c>
      <c r="X114" s="2">
        <f>IF($B114="",0,SUMIFS(UCRETLER!$J$7:$J$606,UCRETLER!$B$7:$B$606,$B114))</f>
        <v>0</v>
      </c>
      <c r="Y114" s="2">
        <f>IF($B114="",0,SUMIFS(UCRETLER!$K$7:$K$606,UCRETLER!$B$7:$B$606,$B114))</f>
        <v>0</v>
      </c>
      <c r="Z114" s="1">
        <f>IF($B114="",0,SUMIFS(UCRETLER!$L$7:$L$606,UCRETLER!$B$7:$B$606,$B114))</f>
        <v>0</v>
      </c>
      <c r="AA114" s="1">
        <f t="shared" si="64"/>
        <v>0</v>
      </c>
      <c r="AB114" s="1">
        <f t="shared" si="65"/>
        <v>0</v>
      </c>
      <c r="AC114" s="1">
        <f t="shared" si="66"/>
        <v>0</v>
      </c>
      <c r="AD114" s="1">
        <f t="shared" si="67"/>
        <v>0</v>
      </c>
      <c r="AE114" s="1">
        <f t="shared" si="68"/>
        <v>0</v>
      </c>
      <c r="AF114" s="1" t="str">
        <f>IFERROR(MATCH(ROW()-6,MUSTERILER!$U$7:$U$156,0),"")</f>
        <v/>
      </c>
      <c r="AG114" s="1">
        <f>IF($B114="",0,SUMIFS(GELIR_GIDER!$G$7:$G$3006,GELIR_GIDER!$T$7:$T$3006,$B114))</f>
        <v>0</v>
      </c>
    </row>
    <row r="115" spans="1:33" ht="18" customHeight="1" x14ac:dyDescent="0.3">
      <c r="A115" s="2"/>
      <c r="B115" s="65" t="str">
        <f>IF($AF115="","",INDEX(MUSTERILER!$B$7:$B$156,$AF115))</f>
        <v/>
      </c>
      <c r="C115" s="74" t="str">
        <f>IF($AF115="","",INDEX(MUSTERILER!$C$7:$C$156,$AF115))</f>
        <v/>
      </c>
      <c r="D115" s="68" t="str">
        <f>IF($B115="","",SUMIFS(UCRETLER!$G$7:$G$606,UCRETLER!$B$7:$B$606,$B115,UCRETLER!$F$7:$F$606,"Haftalık",UCRETLER!$H$7:$H$606,"Aktif"))</f>
        <v/>
      </c>
      <c r="E115" s="68" t="str">
        <f>IF($B115="","",SUMIFS(UCRETLER!$G$7:$G$606,UCRETLER!$B$7:$B$606,$B115,UCRETLER!$F$7:$F$606,"Aylık",UCRETLER!$H$7:$H$606,"Aktif"))</f>
        <v/>
      </c>
      <c r="F115" s="68" t="str">
        <f>IF($B115="","",SUMIFS(MUSTERILER!$J$7:$J$156,MUSTERILER!$B$7:$B$156,$B115))</f>
        <v/>
      </c>
      <c r="G115" s="68" t="str">
        <f>IF($B115="","",SUMIFS(UCRETLER!$I$7:$I$606,UCRETLER!$B$7:$B$606,$B115)+SUMIFS(GELIR_GIDER!$G$7:$G$3006,GELIR_GIDER!$T$7:$T$3006,$B115))</f>
        <v/>
      </c>
      <c r="H115" s="68" t="str">
        <f t="shared" si="52"/>
        <v/>
      </c>
      <c r="I115" s="68" t="str">
        <f>IF($B115="","",SUMIFS(TAHSILAT!$F$7:$F$2506,TAHSILAT!$C$7:$C$2506,$B115))</f>
        <v/>
      </c>
      <c r="J115" s="68" t="str">
        <f t="shared" si="53"/>
        <v/>
      </c>
      <c r="K115" s="68" t="str">
        <f t="shared" si="54"/>
        <v/>
      </c>
      <c r="L115" s="68" t="str">
        <f t="shared" si="55"/>
        <v/>
      </c>
      <c r="M115" s="68" t="str">
        <f t="shared" si="56"/>
        <v/>
      </c>
      <c r="N115" s="68" t="str">
        <f t="shared" si="57"/>
        <v/>
      </c>
      <c r="O115" s="86" t="str">
        <f t="shared" si="58"/>
        <v/>
      </c>
      <c r="P115" s="70" t="str">
        <f>IF($B115="","",IFERROR(LOOKUP(2,1/(TAHSILAT!$C$7:$C$2506=$B115),TAHSILAT!$E$7:$E$2506),""))</f>
        <v/>
      </c>
      <c r="Q115" s="65" t="str">
        <f t="shared" si="59"/>
        <v/>
      </c>
      <c r="R115" s="74" t="str">
        <f t="shared" si="60"/>
        <v/>
      </c>
      <c r="S115" s="76" t="str">
        <f>IF($B115="","",COUNTIFS(AKTIVITE!$D$7:$D$1006,$B115,AKTIVITE!$J$7:$J$1006,"&lt;&gt;Tamamlandı"))</f>
        <v/>
      </c>
      <c r="T115" s="70" t="str">
        <f>IF(OR($B115="",$AF115=""),"",IF(INDEX(MUSTERILER!$K$7:$K$156,$AF115)="","",INDEX(MUSTERILER!$K$7:$K$156,$AF115)))</f>
        <v/>
      </c>
      <c r="U115" s="76" t="str">
        <f t="shared" ca="1" si="61"/>
        <v/>
      </c>
      <c r="V115" s="68" t="str">
        <f t="shared" si="62"/>
        <v/>
      </c>
      <c r="W115" s="65" t="str">
        <f t="shared" si="63"/>
        <v/>
      </c>
      <c r="X115" s="2">
        <f>IF($B115="",0,SUMIFS(UCRETLER!$J$7:$J$606,UCRETLER!$B$7:$B$606,$B115))</f>
        <v>0</v>
      </c>
      <c r="Y115" s="2">
        <f>IF($B115="",0,SUMIFS(UCRETLER!$K$7:$K$606,UCRETLER!$B$7:$B$606,$B115))</f>
        <v>0</v>
      </c>
      <c r="Z115" s="1">
        <f>IF($B115="",0,SUMIFS(UCRETLER!$L$7:$L$606,UCRETLER!$B$7:$B$606,$B115))</f>
        <v>0</v>
      </c>
      <c r="AA115" s="1">
        <f t="shared" si="64"/>
        <v>0</v>
      </c>
      <c r="AB115" s="1">
        <f t="shared" si="65"/>
        <v>0</v>
      </c>
      <c r="AC115" s="1">
        <f t="shared" si="66"/>
        <v>0</v>
      </c>
      <c r="AD115" s="1">
        <f t="shared" si="67"/>
        <v>0</v>
      </c>
      <c r="AE115" s="1">
        <f t="shared" si="68"/>
        <v>0</v>
      </c>
      <c r="AF115" s="1" t="str">
        <f>IFERROR(MATCH(ROW()-6,MUSTERILER!$U$7:$U$156,0),"")</f>
        <v/>
      </c>
      <c r="AG115" s="1">
        <f>IF($B115="",0,SUMIFS(GELIR_GIDER!$G$7:$G$3006,GELIR_GIDER!$T$7:$T$3006,$B115))</f>
        <v>0</v>
      </c>
    </row>
    <row r="116" spans="1:33" ht="18" customHeight="1" x14ac:dyDescent="0.3">
      <c r="A116" s="2"/>
      <c r="B116" s="65" t="str">
        <f>IF($AF116="","",INDEX(MUSTERILER!$B$7:$B$156,$AF116))</f>
        <v/>
      </c>
      <c r="C116" s="74" t="str">
        <f>IF($AF116="","",INDEX(MUSTERILER!$C$7:$C$156,$AF116))</f>
        <v/>
      </c>
      <c r="D116" s="68" t="str">
        <f>IF($B116="","",SUMIFS(UCRETLER!$G$7:$G$606,UCRETLER!$B$7:$B$606,$B116,UCRETLER!$F$7:$F$606,"Haftalık",UCRETLER!$H$7:$H$606,"Aktif"))</f>
        <v/>
      </c>
      <c r="E116" s="68" t="str">
        <f>IF($B116="","",SUMIFS(UCRETLER!$G$7:$G$606,UCRETLER!$B$7:$B$606,$B116,UCRETLER!$F$7:$F$606,"Aylık",UCRETLER!$H$7:$H$606,"Aktif"))</f>
        <v/>
      </c>
      <c r="F116" s="68" t="str">
        <f>IF($B116="","",SUMIFS(MUSTERILER!$J$7:$J$156,MUSTERILER!$B$7:$B$156,$B116))</f>
        <v/>
      </c>
      <c r="G116" s="68" t="str">
        <f>IF($B116="","",SUMIFS(UCRETLER!$I$7:$I$606,UCRETLER!$B$7:$B$606,$B116)+SUMIFS(GELIR_GIDER!$G$7:$G$3006,GELIR_GIDER!$T$7:$T$3006,$B116))</f>
        <v/>
      </c>
      <c r="H116" s="68" t="str">
        <f t="shared" si="52"/>
        <v/>
      </c>
      <c r="I116" s="68" t="str">
        <f>IF($B116="","",SUMIFS(TAHSILAT!$F$7:$F$2506,TAHSILAT!$C$7:$C$2506,$B116))</f>
        <v/>
      </c>
      <c r="J116" s="68" t="str">
        <f t="shared" si="53"/>
        <v/>
      </c>
      <c r="K116" s="68" t="str">
        <f t="shared" si="54"/>
        <v/>
      </c>
      <c r="L116" s="68" t="str">
        <f t="shared" si="55"/>
        <v/>
      </c>
      <c r="M116" s="68" t="str">
        <f t="shared" si="56"/>
        <v/>
      </c>
      <c r="N116" s="68" t="str">
        <f t="shared" si="57"/>
        <v/>
      </c>
      <c r="O116" s="86" t="str">
        <f t="shared" si="58"/>
        <v/>
      </c>
      <c r="P116" s="70" t="str">
        <f>IF($B116="","",IFERROR(LOOKUP(2,1/(TAHSILAT!$C$7:$C$2506=$B116),TAHSILAT!$E$7:$E$2506),""))</f>
        <v/>
      </c>
      <c r="Q116" s="65" t="str">
        <f t="shared" si="59"/>
        <v/>
      </c>
      <c r="R116" s="74" t="str">
        <f t="shared" si="60"/>
        <v/>
      </c>
      <c r="S116" s="76" t="str">
        <f>IF($B116="","",COUNTIFS(AKTIVITE!$D$7:$D$1006,$B116,AKTIVITE!$J$7:$J$1006,"&lt;&gt;Tamamlandı"))</f>
        <v/>
      </c>
      <c r="T116" s="70" t="str">
        <f>IF(OR($B116="",$AF116=""),"",IF(INDEX(MUSTERILER!$K$7:$K$156,$AF116)="","",INDEX(MUSTERILER!$K$7:$K$156,$AF116)))</f>
        <v/>
      </c>
      <c r="U116" s="76" t="str">
        <f t="shared" ca="1" si="61"/>
        <v/>
      </c>
      <c r="V116" s="68" t="str">
        <f t="shared" si="62"/>
        <v/>
      </c>
      <c r="W116" s="65" t="str">
        <f t="shared" si="63"/>
        <v/>
      </c>
      <c r="X116" s="2">
        <f>IF($B116="",0,SUMIFS(UCRETLER!$J$7:$J$606,UCRETLER!$B$7:$B$606,$B116))</f>
        <v>0</v>
      </c>
      <c r="Y116" s="2">
        <f>IF($B116="",0,SUMIFS(UCRETLER!$K$7:$K$606,UCRETLER!$B$7:$B$606,$B116))</f>
        <v>0</v>
      </c>
      <c r="Z116" s="1">
        <f>IF($B116="",0,SUMIFS(UCRETLER!$L$7:$L$606,UCRETLER!$B$7:$B$606,$B116))</f>
        <v>0</v>
      </c>
      <c r="AA116" s="1">
        <f t="shared" si="64"/>
        <v>0</v>
      </c>
      <c r="AB116" s="1">
        <f t="shared" si="65"/>
        <v>0</v>
      </c>
      <c r="AC116" s="1">
        <f t="shared" si="66"/>
        <v>0</v>
      </c>
      <c r="AD116" s="1">
        <f t="shared" si="67"/>
        <v>0</v>
      </c>
      <c r="AE116" s="1">
        <f t="shared" si="68"/>
        <v>0</v>
      </c>
      <c r="AF116" s="1" t="str">
        <f>IFERROR(MATCH(ROW()-6,MUSTERILER!$U$7:$U$156,0),"")</f>
        <v/>
      </c>
      <c r="AG116" s="1">
        <f>IF($B116="",0,SUMIFS(GELIR_GIDER!$G$7:$G$3006,GELIR_GIDER!$T$7:$T$3006,$B116))</f>
        <v>0</v>
      </c>
    </row>
    <row r="117" spans="1:33" ht="18" customHeight="1" x14ac:dyDescent="0.3">
      <c r="A117" s="2"/>
      <c r="B117" s="65" t="str">
        <f>IF($AF117="","",INDEX(MUSTERILER!$B$7:$B$156,$AF117))</f>
        <v/>
      </c>
      <c r="C117" s="74" t="str">
        <f>IF($AF117="","",INDEX(MUSTERILER!$C$7:$C$156,$AF117))</f>
        <v/>
      </c>
      <c r="D117" s="68" t="str">
        <f>IF($B117="","",SUMIFS(UCRETLER!$G$7:$G$606,UCRETLER!$B$7:$B$606,$B117,UCRETLER!$F$7:$F$606,"Haftalık",UCRETLER!$H$7:$H$606,"Aktif"))</f>
        <v/>
      </c>
      <c r="E117" s="68" t="str">
        <f>IF($B117="","",SUMIFS(UCRETLER!$G$7:$G$606,UCRETLER!$B$7:$B$606,$B117,UCRETLER!$F$7:$F$606,"Aylık",UCRETLER!$H$7:$H$606,"Aktif"))</f>
        <v/>
      </c>
      <c r="F117" s="68" t="str">
        <f>IF($B117="","",SUMIFS(MUSTERILER!$J$7:$J$156,MUSTERILER!$B$7:$B$156,$B117))</f>
        <v/>
      </c>
      <c r="G117" s="68" t="str">
        <f>IF($B117="","",SUMIFS(UCRETLER!$I$7:$I$606,UCRETLER!$B$7:$B$606,$B117)+SUMIFS(GELIR_GIDER!$G$7:$G$3006,GELIR_GIDER!$T$7:$T$3006,$B117))</f>
        <v/>
      </c>
      <c r="H117" s="68" t="str">
        <f t="shared" si="52"/>
        <v/>
      </c>
      <c r="I117" s="68" t="str">
        <f>IF($B117="","",SUMIFS(TAHSILAT!$F$7:$F$2506,TAHSILAT!$C$7:$C$2506,$B117))</f>
        <v/>
      </c>
      <c r="J117" s="68" t="str">
        <f t="shared" si="53"/>
        <v/>
      </c>
      <c r="K117" s="68" t="str">
        <f t="shared" si="54"/>
        <v/>
      </c>
      <c r="L117" s="68" t="str">
        <f t="shared" si="55"/>
        <v/>
      </c>
      <c r="M117" s="68" t="str">
        <f t="shared" si="56"/>
        <v/>
      </c>
      <c r="N117" s="68" t="str">
        <f t="shared" si="57"/>
        <v/>
      </c>
      <c r="O117" s="86" t="str">
        <f t="shared" si="58"/>
        <v/>
      </c>
      <c r="P117" s="70" t="str">
        <f>IF($B117="","",IFERROR(LOOKUP(2,1/(TAHSILAT!$C$7:$C$2506=$B117),TAHSILAT!$E$7:$E$2506),""))</f>
        <v/>
      </c>
      <c r="Q117" s="65" t="str">
        <f t="shared" si="59"/>
        <v/>
      </c>
      <c r="R117" s="74" t="str">
        <f t="shared" si="60"/>
        <v/>
      </c>
      <c r="S117" s="76" t="str">
        <f>IF($B117="","",COUNTIFS(AKTIVITE!$D$7:$D$1006,$B117,AKTIVITE!$J$7:$J$1006,"&lt;&gt;Tamamlandı"))</f>
        <v/>
      </c>
      <c r="T117" s="70" t="str">
        <f>IF(OR($B117="",$AF117=""),"",IF(INDEX(MUSTERILER!$K$7:$K$156,$AF117)="","",INDEX(MUSTERILER!$K$7:$K$156,$AF117)))</f>
        <v/>
      </c>
      <c r="U117" s="76" t="str">
        <f t="shared" ca="1" si="61"/>
        <v/>
      </c>
      <c r="V117" s="68" t="str">
        <f t="shared" si="62"/>
        <v/>
      </c>
      <c r="W117" s="65" t="str">
        <f t="shared" si="63"/>
        <v/>
      </c>
      <c r="X117" s="2">
        <f>IF($B117="",0,SUMIFS(UCRETLER!$J$7:$J$606,UCRETLER!$B$7:$B$606,$B117))</f>
        <v>0</v>
      </c>
      <c r="Y117" s="2">
        <f>IF($B117="",0,SUMIFS(UCRETLER!$K$7:$K$606,UCRETLER!$B$7:$B$606,$B117))</f>
        <v>0</v>
      </c>
      <c r="Z117" s="1">
        <f>IF($B117="",0,SUMIFS(UCRETLER!$L$7:$L$606,UCRETLER!$B$7:$B$606,$B117))</f>
        <v>0</v>
      </c>
      <c r="AA117" s="1">
        <f t="shared" si="64"/>
        <v>0</v>
      </c>
      <c r="AB117" s="1">
        <f t="shared" si="65"/>
        <v>0</v>
      </c>
      <c r="AC117" s="1">
        <f t="shared" si="66"/>
        <v>0</v>
      </c>
      <c r="AD117" s="1">
        <f t="shared" si="67"/>
        <v>0</v>
      </c>
      <c r="AE117" s="1">
        <f t="shared" si="68"/>
        <v>0</v>
      </c>
      <c r="AF117" s="1" t="str">
        <f>IFERROR(MATCH(ROW()-6,MUSTERILER!$U$7:$U$156,0),"")</f>
        <v/>
      </c>
      <c r="AG117" s="1">
        <f>IF($B117="",0,SUMIFS(GELIR_GIDER!$G$7:$G$3006,GELIR_GIDER!$T$7:$T$3006,$B117))</f>
        <v>0</v>
      </c>
    </row>
    <row r="118" spans="1:33" ht="18" customHeight="1" x14ac:dyDescent="0.3">
      <c r="A118" s="2"/>
      <c r="B118" s="65" t="str">
        <f>IF($AF118="","",INDEX(MUSTERILER!$B$7:$B$156,$AF118))</f>
        <v/>
      </c>
      <c r="C118" s="74" t="str">
        <f>IF($AF118="","",INDEX(MUSTERILER!$C$7:$C$156,$AF118))</f>
        <v/>
      </c>
      <c r="D118" s="68" t="str">
        <f>IF($B118="","",SUMIFS(UCRETLER!$G$7:$G$606,UCRETLER!$B$7:$B$606,$B118,UCRETLER!$F$7:$F$606,"Haftalık",UCRETLER!$H$7:$H$606,"Aktif"))</f>
        <v/>
      </c>
      <c r="E118" s="68" t="str">
        <f>IF($B118="","",SUMIFS(UCRETLER!$G$7:$G$606,UCRETLER!$B$7:$B$606,$B118,UCRETLER!$F$7:$F$606,"Aylık",UCRETLER!$H$7:$H$606,"Aktif"))</f>
        <v/>
      </c>
      <c r="F118" s="68" t="str">
        <f>IF($B118="","",SUMIFS(MUSTERILER!$J$7:$J$156,MUSTERILER!$B$7:$B$156,$B118))</f>
        <v/>
      </c>
      <c r="G118" s="68" t="str">
        <f>IF($B118="","",SUMIFS(UCRETLER!$I$7:$I$606,UCRETLER!$B$7:$B$606,$B118)+SUMIFS(GELIR_GIDER!$G$7:$G$3006,GELIR_GIDER!$T$7:$T$3006,$B118))</f>
        <v/>
      </c>
      <c r="H118" s="68" t="str">
        <f t="shared" si="52"/>
        <v/>
      </c>
      <c r="I118" s="68" t="str">
        <f>IF($B118="","",SUMIFS(TAHSILAT!$F$7:$F$2506,TAHSILAT!$C$7:$C$2506,$B118))</f>
        <v/>
      </c>
      <c r="J118" s="68" t="str">
        <f t="shared" si="53"/>
        <v/>
      </c>
      <c r="K118" s="68" t="str">
        <f t="shared" si="54"/>
        <v/>
      </c>
      <c r="L118" s="68" t="str">
        <f t="shared" si="55"/>
        <v/>
      </c>
      <c r="M118" s="68" t="str">
        <f t="shared" si="56"/>
        <v/>
      </c>
      <c r="N118" s="68" t="str">
        <f t="shared" si="57"/>
        <v/>
      </c>
      <c r="O118" s="86" t="str">
        <f t="shared" si="58"/>
        <v/>
      </c>
      <c r="P118" s="70" t="str">
        <f>IF($B118="","",IFERROR(LOOKUP(2,1/(TAHSILAT!$C$7:$C$2506=$B118),TAHSILAT!$E$7:$E$2506),""))</f>
        <v/>
      </c>
      <c r="Q118" s="65" t="str">
        <f t="shared" si="59"/>
        <v/>
      </c>
      <c r="R118" s="74" t="str">
        <f t="shared" si="60"/>
        <v/>
      </c>
      <c r="S118" s="76" t="str">
        <f>IF($B118="","",COUNTIFS(AKTIVITE!$D$7:$D$1006,$B118,AKTIVITE!$J$7:$J$1006,"&lt;&gt;Tamamlandı"))</f>
        <v/>
      </c>
      <c r="T118" s="70" t="str">
        <f>IF(OR($B118="",$AF118=""),"",IF(INDEX(MUSTERILER!$K$7:$K$156,$AF118)="","",INDEX(MUSTERILER!$K$7:$K$156,$AF118)))</f>
        <v/>
      </c>
      <c r="U118" s="76" t="str">
        <f t="shared" ca="1" si="61"/>
        <v/>
      </c>
      <c r="V118" s="68" t="str">
        <f t="shared" si="62"/>
        <v/>
      </c>
      <c r="W118" s="65" t="str">
        <f t="shared" si="63"/>
        <v/>
      </c>
      <c r="X118" s="2">
        <f>IF($B118="",0,SUMIFS(UCRETLER!$J$7:$J$606,UCRETLER!$B$7:$B$606,$B118))</f>
        <v>0</v>
      </c>
      <c r="Y118" s="2">
        <f>IF($B118="",0,SUMIFS(UCRETLER!$K$7:$K$606,UCRETLER!$B$7:$B$606,$B118))</f>
        <v>0</v>
      </c>
      <c r="Z118" s="1">
        <f>IF($B118="",0,SUMIFS(UCRETLER!$L$7:$L$606,UCRETLER!$B$7:$B$606,$B118))</f>
        <v>0</v>
      </c>
      <c r="AA118" s="1">
        <f t="shared" si="64"/>
        <v>0</v>
      </c>
      <c r="AB118" s="1">
        <f t="shared" si="65"/>
        <v>0</v>
      </c>
      <c r="AC118" s="1">
        <f t="shared" si="66"/>
        <v>0</v>
      </c>
      <c r="AD118" s="1">
        <f t="shared" si="67"/>
        <v>0</v>
      </c>
      <c r="AE118" s="1">
        <f t="shared" si="68"/>
        <v>0</v>
      </c>
      <c r="AF118" s="1" t="str">
        <f>IFERROR(MATCH(ROW()-6,MUSTERILER!$U$7:$U$156,0),"")</f>
        <v/>
      </c>
      <c r="AG118" s="1">
        <f>IF($B118="",0,SUMIFS(GELIR_GIDER!$G$7:$G$3006,GELIR_GIDER!$T$7:$T$3006,$B118))</f>
        <v>0</v>
      </c>
    </row>
    <row r="119" spans="1:33" ht="18" customHeight="1" x14ac:dyDescent="0.3">
      <c r="A119" s="2"/>
      <c r="B119" s="65" t="str">
        <f>IF($AF119="","",INDEX(MUSTERILER!$B$7:$B$156,$AF119))</f>
        <v/>
      </c>
      <c r="C119" s="74" t="str">
        <f>IF($AF119="","",INDEX(MUSTERILER!$C$7:$C$156,$AF119))</f>
        <v/>
      </c>
      <c r="D119" s="68" t="str">
        <f>IF($B119="","",SUMIFS(UCRETLER!$G$7:$G$606,UCRETLER!$B$7:$B$606,$B119,UCRETLER!$F$7:$F$606,"Haftalık",UCRETLER!$H$7:$H$606,"Aktif"))</f>
        <v/>
      </c>
      <c r="E119" s="68" t="str">
        <f>IF($B119="","",SUMIFS(UCRETLER!$G$7:$G$606,UCRETLER!$B$7:$B$606,$B119,UCRETLER!$F$7:$F$606,"Aylık",UCRETLER!$H$7:$H$606,"Aktif"))</f>
        <v/>
      </c>
      <c r="F119" s="68" t="str">
        <f>IF($B119="","",SUMIFS(MUSTERILER!$J$7:$J$156,MUSTERILER!$B$7:$B$156,$B119))</f>
        <v/>
      </c>
      <c r="G119" s="68" t="str">
        <f>IF($B119="","",SUMIFS(UCRETLER!$I$7:$I$606,UCRETLER!$B$7:$B$606,$B119)+SUMIFS(GELIR_GIDER!$G$7:$G$3006,GELIR_GIDER!$T$7:$T$3006,$B119))</f>
        <v/>
      </c>
      <c r="H119" s="68" t="str">
        <f t="shared" si="52"/>
        <v/>
      </c>
      <c r="I119" s="68" t="str">
        <f>IF($B119="","",SUMIFS(TAHSILAT!$F$7:$F$2506,TAHSILAT!$C$7:$C$2506,$B119))</f>
        <v/>
      </c>
      <c r="J119" s="68" t="str">
        <f t="shared" si="53"/>
        <v/>
      </c>
      <c r="K119" s="68" t="str">
        <f t="shared" si="54"/>
        <v/>
      </c>
      <c r="L119" s="68" t="str">
        <f t="shared" si="55"/>
        <v/>
      </c>
      <c r="M119" s="68" t="str">
        <f t="shared" si="56"/>
        <v/>
      </c>
      <c r="N119" s="68" t="str">
        <f t="shared" si="57"/>
        <v/>
      </c>
      <c r="O119" s="86" t="str">
        <f t="shared" si="58"/>
        <v/>
      </c>
      <c r="P119" s="70" t="str">
        <f>IF($B119="","",IFERROR(LOOKUP(2,1/(TAHSILAT!$C$7:$C$2506=$B119),TAHSILAT!$E$7:$E$2506),""))</f>
        <v/>
      </c>
      <c r="Q119" s="65" t="str">
        <f t="shared" si="59"/>
        <v/>
      </c>
      <c r="R119" s="74" t="str">
        <f t="shared" si="60"/>
        <v/>
      </c>
      <c r="S119" s="76" t="str">
        <f>IF($B119="","",COUNTIFS(AKTIVITE!$D$7:$D$1006,$B119,AKTIVITE!$J$7:$J$1006,"&lt;&gt;Tamamlandı"))</f>
        <v/>
      </c>
      <c r="T119" s="70" t="str">
        <f>IF(OR($B119="",$AF119=""),"",IF(INDEX(MUSTERILER!$K$7:$K$156,$AF119)="","",INDEX(MUSTERILER!$K$7:$K$156,$AF119)))</f>
        <v/>
      </c>
      <c r="U119" s="76" t="str">
        <f t="shared" ca="1" si="61"/>
        <v/>
      </c>
      <c r="V119" s="68" t="str">
        <f t="shared" si="62"/>
        <v/>
      </c>
      <c r="W119" s="65" t="str">
        <f t="shared" si="63"/>
        <v/>
      </c>
      <c r="X119" s="2">
        <f>IF($B119="",0,SUMIFS(UCRETLER!$J$7:$J$606,UCRETLER!$B$7:$B$606,$B119))</f>
        <v>0</v>
      </c>
      <c r="Y119" s="2">
        <f>IF($B119="",0,SUMIFS(UCRETLER!$K$7:$K$606,UCRETLER!$B$7:$B$606,$B119))</f>
        <v>0</v>
      </c>
      <c r="Z119" s="1">
        <f>IF($B119="",0,SUMIFS(UCRETLER!$L$7:$L$606,UCRETLER!$B$7:$B$606,$B119))</f>
        <v>0</v>
      </c>
      <c r="AA119" s="1">
        <f t="shared" si="64"/>
        <v>0</v>
      </c>
      <c r="AB119" s="1">
        <f t="shared" si="65"/>
        <v>0</v>
      </c>
      <c r="AC119" s="1">
        <f t="shared" si="66"/>
        <v>0</v>
      </c>
      <c r="AD119" s="1">
        <f t="shared" si="67"/>
        <v>0</v>
      </c>
      <c r="AE119" s="1">
        <f t="shared" si="68"/>
        <v>0</v>
      </c>
      <c r="AF119" s="1" t="str">
        <f>IFERROR(MATCH(ROW()-6,MUSTERILER!$U$7:$U$156,0),"")</f>
        <v/>
      </c>
      <c r="AG119" s="1">
        <f>IF($B119="",0,SUMIFS(GELIR_GIDER!$G$7:$G$3006,GELIR_GIDER!$T$7:$T$3006,$B119))</f>
        <v>0</v>
      </c>
    </row>
    <row r="120" spans="1:33" ht="18" customHeight="1" x14ac:dyDescent="0.3">
      <c r="A120" s="2"/>
      <c r="B120" s="65" t="str">
        <f>IF($AF120="","",INDEX(MUSTERILER!$B$7:$B$156,$AF120))</f>
        <v/>
      </c>
      <c r="C120" s="74" t="str">
        <f>IF($AF120="","",INDEX(MUSTERILER!$C$7:$C$156,$AF120))</f>
        <v/>
      </c>
      <c r="D120" s="68" t="str">
        <f>IF($B120="","",SUMIFS(UCRETLER!$G$7:$G$606,UCRETLER!$B$7:$B$606,$B120,UCRETLER!$F$7:$F$606,"Haftalık",UCRETLER!$H$7:$H$606,"Aktif"))</f>
        <v/>
      </c>
      <c r="E120" s="68" t="str">
        <f>IF($B120="","",SUMIFS(UCRETLER!$G$7:$G$606,UCRETLER!$B$7:$B$606,$B120,UCRETLER!$F$7:$F$606,"Aylık",UCRETLER!$H$7:$H$606,"Aktif"))</f>
        <v/>
      </c>
      <c r="F120" s="68" t="str">
        <f>IF($B120="","",SUMIFS(MUSTERILER!$J$7:$J$156,MUSTERILER!$B$7:$B$156,$B120))</f>
        <v/>
      </c>
      <c r="G120" s="68" t="str">
        <f>IF($B120="","",SUMIFS(UCRETLER!$I$7:$I$606,UCRETLER!$B$7:$B$606,$B120)+SUMIFS(GELIR_GIDER!$G$7:$G$3006,GELIR_GIDER!$T$7:$T$3006,$B120))</f>
        <v/>
      </c>
      <c r="H120" s="68" t="str">
        <f t="shared" si="52"/>
        <v/>
      </c>
      <c r="I120" s="68" t="str">
        <f>IF($B120="","",SUMIFS(TAHSILAT!$F$7:$F$2506,TAHSILAT!$C$7:$C$2506,$B120))</f>
        <v/>
      </c>
      <c r="J120" s="68" t="str">
        <f t="shared" si="53"/>
        <v/>
      </c>
      <c r="K120" s="68" t="str">
        <f t="shared" si="54"/>
        <v/>
      </c>
      <c r="L120" s="68" t="str">
        <f t="shared" si="55"/>
        <v/>
      </c>
      <c r="M120" s="68" t="str">
        <f t="shared" si="56"/>
        <v/>
      </c>
      <c r="N120" s="68" t="str">
        <f t="shared" si="57"/>
        <v/>
      </c>
      <c r="O120" s="86" t="str">
        <f t="shared" si="58"/>
        <v/>
      </c>
      <c r="P120" s="70" t="str">
        <f>IF($B120="","",IFERROR(LOOKUP(2,1/(TAHSILAT!$C$7:$C$2506=$B120),TAHSILAT!$E$7:$E$2506),""))</f>
        <v/>
      </c>
      <c r="Q120" s="65" t="str">
        <f t="shared" si="59"/>
        <v/>
      </c>
      <c r="R120" s="74" t="str">
        <f t="shared" si="60"/>
        <v/>
      </c>
      <c r="S120" s="76" t="str">
        <f>IF($B120="","",COUNTIFS(AKTIVITE!$D$7:$D$1006,$B120,AKTIVITE!$J$7:$J$1006,"&lt;&gt;Tamamlandı"))</f>
        <v/>
      </c>
      <c r="T120" s="70" t="str">
        <f>IF(OR($B120="",$AF120=""),"",IF(INDEX(MUSTERILER!$K$7:$K$156,$AF120)="","",INDEX(MUSTERILER!$K$7:$K$156,$AF120)))</f>
        <v/>
      </c>
      <c r="U120" s="76" t="str">
        <f t="shared" ca="1" si="61"/>
        <v/>
      </c>
      <c r="V120" s="68" t="str">
        <f t="shared" si="62"/>
        <v/>
      </c>
      <c r="W120" s="65" t="str">
        <f t="shared" si="63"/>
        <v/>
      </c>
      <c r="X120" s="2">
        <f>IF($B120="",0,SUMIFS(UCRETLER!$J$7:$J$606,UCRETLER!$B$7:$B$606,$B120))</f>
        <v>0</v>
      </c>
      <c r="Y120" s="2">
        <f>IF($B120="",0,SUMIFS(UCRETLER!$K$7:$K$606,UCRETLER!$B$7:$B$606,$B120))</f>
        <v>0</v>
      </c>
      <c r="Z120" s="1">
        <f>IF($B120="",0,SUMIFS(UCRETLER!$L$7:$L$606,UCRETLER!$B$7:$B$606,$B120))</f>
        <v>0</v>
      </c>
      <c r="AA120" s="1">
        <f t="shared" si="64"/>
        <v>0</v>
      </c>
      <c r="AB120" s="1">
        <f t="shared" si="65"/>
        <v>0</v>
      </c>
      <c r="AC120" s="1">
        <f t="shared" si="66"/>
        <v>0</v>
      </c>
      <c r="AD120" s="1">
        <f t="shared" si="67"/>
        <v>0</v>
      </c>
      <c r="AE120" s="1">
        <f t="shared" si="68"/>
        <v>0</v>
      </c>
      <c r="AF120" s="1" t="str">
        <f>IFERROR(MATCH(ROW()-6,MUSTERILER!$U$7:$U$156,0),"")</f>
        <v/>
      </c>
      <c r="AG120" s="1">
        <f>IF($B120="",0,SUMIFS(GELIR_GIDER!$G$7:$G$3006,GELIR_GIDER!$T$7:$T$3006,$B120))</f>
        <v>0</v>
      </c>
    </row>
    <row r="121" spans="1:33" ht="18" customHeight="1" x14ac:dyDescent="0.3">
      <c r="A121" s="2"/>
      <c r="B121" s="65" t="str">
        <f>IF($AF121="","",INDEX(MUSTERILER!$B$7:$B$156,$AF121))</f>
        <v/>
      </c>
      <c r="C121" s="74" t="str">
        <f>IF($AF121="","",INDEX(MUSTERILER!$C$7:$C$156,$AF121))</f>
        <v/>
      </c>
      <c r="D121" s="68" t="str">
        <f>IF($B121="","",SUMIFS(UCRETLER!$G$7:$G$606,UCRETLER!$B$7:$B$606,$B121,UCRETLER!$F$7:$F$606,"Haftalık",UCRETLER!$H$7:$H$606,"Aktif"))</f>
        <v/>
      </c>
      <c r="E121" s="68" t="str">
        <f>IF($B121="","",SUMIFS(UCRETLER!$G$7:$G$606,UCRETLER!$B$7:$B$606,$B121,UCRETLER!$F$7:$F$606,"Aylık",UCRETLER!$H$7:$H$606,"Aktif"))</f>
        <v/>
      </c>
      <c r="F121" s="68" t="str">
        <f>IF($B121="","",SUMIFS(MUSTERILER!$J$7:$J$156,MUSTERILER!$B$7:$B$156,$B121))</f>
        <v/>
      </c>
      <c r="G121" s="68" t="str">
        <f>IF($B121="","",SUMIFS(UCRETLER!$I$7:$I$606,UCRETLER!$B$7:$B$606,$B121)+SUMIFS(GELIR_GIDER!$G$7:$G$3006,GELIR_GIDER!$T$7:$T$3006,$B121))</f>
        <v/>
      </c>
      <c r="H121" s="68" t="str">
        <f t="shared" si="52"/>
        <v/>
      </c>
      <c r="I121" s="68" t="str">
        <f>IF($B121="","",SUMIFS(TAHSILAT!$F$7:$F$2506,TAHSILAT!$C$7:$C$2506,$B121))</f>
        <v/>
      </c>
      <c r="J121" s="68" t="str">
        <f t="shared" si="53"/>
        <v/>
      </c>
      <c r="K121" s="68" t="str">
        <f t="shared" si="54"/>
        <v/>
      </c>
      <c r="L121" s="68" t="str">
        <f t="shared" si="55"/>
        <v/>
      </c>
      <c r="M121" s="68" t="str">
        <f t="shared" si="56"/>
        <v/>
      </c>
      <c r="N121" s="68" t="str">
        <f t="shared" si="57"/>
        <v/>
      </c>
      <c r="O121" s="86" t="str">
        <f t="shared" si="58"/>
        <v/>
      </c>
      <c r="P121" s="70" t="str">
        <f>IF($B121="","",IFERROR(LOOKUP(2,1/(TAHSILAT!$C$7:$C$2506=$B121),TAHSILAT!$E$7:$E$2506),""))</f>
        <v/>
      </c>
      <c r="Q121" s="65" t="str">
        <f t="shared" si="59"/>
        <v/>
      </c>
      <c r="R121" s="74" t="str">
        <f t="shared" si="60"/>
        <v/>
      </c>
      <c r="S121" s="76" t="str">
        <f>IF($B121="","",COUNTIFS(AKTIVITE!$D$7:$D$1006,$B121,AKTIVITE!$J$7:$J$1006,"&lt;&gt;Tamamlandı"))</f>
        <v/>
      </c>
      <c r="T121" s="70" t="str">
        <f>IF(OR($B121="",$AF121=""),"",IF(INDEX(MUSTERILER!$K$7:$K$156,$AF121)="","",INDEX(MUSTERILER!$K$7:$K$156,$AF121)))</f>
        <v/>
      </c>
      <c r="U121" s="76" t="str">
        <f t="shared" ca="1" si="61"/>
        <v/>
      </c>
      <c r="V121" s="68" t="str">
        <f t="shared" si="62"/>
        <v/>
      </c>
      <c r="W121" s="65" t="str">
        <f t="shared" si="63"/>
        <v/>
      </c>
      <c r="X121" s="2">
        <f>IF($B121="",0,SUMIFS(UCRETLER!$J$7:$J$606,UCRETLER!$B$7:$B$606,$B121))</f>
        <v>0</v>
      </c>
      <c r="Y121" s="2">
        <f>IF($B121="",0,SUMIFS(UCRETLER!$K$7:$K$606,UCRETLER!$B$7:$B$606,$B121))</f>
        <v>0</v>
      </c>
      <c r="Z121" s="1">
        <f>IF($B121="",0,SUMIFS(UCRETLER!$L$7:$L$606,UCRETLER!$B$7:$B$606,$B121))</f>
        <v>0</v>
      </c>
      <c r="AA121" s="1">
        <f t="shared" si="64"/>
        <v>0</v>
      </c>
      <c r="AB121" s="1">
        <f t="shared" si="65"/>
        <v>0</v>
      </c>
      <c r="AC121" s="1">
        <f t="shared" si="66"/>
        <v>0</v>
      </c>
      <c r="AD121" s="1">
        <f t="shared" si="67"/>
        <v>0</v>
      </c>
      <c r="AE121" s="1">
        <f t="shared" si="68"/>
        <v>0</v>
      </c>
      <c r="AF121" s="1" t="str">
        <f>IFERROR(MATCH(ROW()-6,MUSTERILER!$U$7:$U$156,0),"")</f>
        <v/>
      </c>
      <c r="AG121" s="1">
        <f>IF($B121="",0,SUMIFS(GELIR_GIDER!$G$7:$G$3006,GELIR_GIDER!$T$7:$T$3006,$B121))</f>
        <v>0</v>
      </c>
    </row>
    <row r="122" spans="1:33" ht="18" customHeight="1" x14ac:dyDescent="0.3">
      <c r="A122" s="2"/>
      <c r="B122" s="65" t="str">
        <f>IF($AF122="","",INDEX(MUSTERILER!$B$7:$B$156,$AF122))</f>
        <v/>
      </c>
      <c r="C122" s="74" t="str">
        <f>IF($AF122="","",INDEX(MUSTERILER!$C$7:$C$156,$AF122))</f>
        <v/>
      </c>
      <c r="D122" s="68" t="str">
        <f>IF($B122="","",SUMIFS(UCRETLER!$G$7:$G$606,UCRETLER!$B$7:$B$606,$B122,UCRETLER!$F$7:$F$606,"Haftalık",UCRETLER!$H$7:$H$606,"Aktif"))</f>
        <v/>
      </c>
      <c r="E122" s="68" t="str">
        <f>IF($B122="","",SUMIFS(UCRETLER!$G$7:$G$606,UCRETLER!$B$7:$B$606,$B122,UCRETLER!$F$7:$F$606,"Aylık",UCRETLER!$H$7:$H$606,"Aktif"))</f>
        <v/>
      </c>
      <c r="F122" s="68" t="str">
        <f>IF($B122="","",SUMIFS(MUSTERILER!$J$7:$J$156,MUSTERILER!$B$7:$B$156,$B122))</f>
        <v/>
      </c>
      <c r="G122" s="68" t="str">
        <f>IF($B122="","",SUMIFS(UCRETLER!$I$7:$I$606,UCRETLER!$B$7:$B$606,$B122)+SUMIFS(GELIR_GIDER!$G$7:$G$3006,GELIR_GIDER!$T$7:$T$3006,$B122))</f>
        <v/>
      </c>
      <c r="H122" s="68" t="str">
        <f t="shared" si="52"/>
        <v/>
      </c>
      <c r="I122" s="68" t="str">
        <f>IF($B122="","",SUMIFS(TAHSILAT!$F$7:$F$2506,TAHSILAT!$C$7:$C$2506,$B122))</f>
        <v/>
      </c>
      <c r="J122" s="68" t="str">
        <f t="shared" si="53"/>
        <v/>
      </c>
      <c r="K122" s="68" t="str">
        <f t="shared" si="54"/>
        <v/>
      </c>
      <c r="L122" s="68" t="str">
        <f t="shared" si="55"/>
        <v/>
      </c>
      <c r="M122" s="68" t="str">
        <f t="shared" si="56"/>
        <v/>
      </c>
      <c r="N122" s="68" t="str">
        <f t="shared" si="57"/>
        <v/>
      </c>
      <c r="O122" s="86" t="str">
        <f t="shared" si="58"/>
        <v/>
      </c>
      <c r="P122" s="70" t="str">
        <f>IF($B122="","",IFERROR(LOOKUP(2,1/(TAHSILAT!$C$7:$C$2506=$B122),TAHSILAT!$E$7:$E$2506),""))</f>
        <v/>
      </c>
      <c r="Q122" s="65" t="str">
        <f t="shared" si="59"/>
        <v/>
      </c>
      <c r="R122" s="74" t="str">
        <f t="shared" si="60"/>
        <v/>
      </c>
      <c r="S122" s="76" t="str">
        <f>IF($B122="","",COUNTIFS(AKTIVITE!$D$7:$D$1006,$B122,AKTIVITE!$J$7:$J$1006,"&lt;&gt;Tamamlandı"))</f>
        <v/>
      </c>
      <c r="T122" s="70" t="str">
        <f>IF(OR($B122="",$AF122=""),"",IF(INDEX(MUSTERILER!$K$7:$K$156,$AF122)="","",INDEX(MUSTERILER!$K$7:$K$156,$AF122)))</f>
        <v/>
      </c>
      <c r="U122" s="76" t="str">
        <f t="shared" ca="1" si="61"/>
        <v/>
      </c>
      <c r="V122" s="68" t="str">
        <f t="shared" si="62"/>
        <v/>
      </c>
      <c r="W122" s="65" t="str">
        <f t="shared" si="63"/>
        <v/>
      </c>
      <c r="X122" s="2">
        <f>IF($B122="",0,SUMIFS(UCRETLER!$J$7:$J$606,UCRETLER!$B$7:$B$606,$B122))</f>
        <v>0</v>
      </c>
      <c r="Y122" s="2">
        <f>IF($B122="",0,SUMIFS(UCRETLER!$K$7:$K$606,UCRETLER!$B$7:$B$606,$B122))</f>
        <v>0</v>
      </c>
      <c r="Z122" s="1">
        <f>IF($B122="",0,SUMIFS(UCRETLER!$L$7:$L$606,UCRETLER!$B$7:$B$606,$B122))</f>
        <v>0</v>
      </c>
      <c r="AA122" s="1">
        <f t="shared" si="64"/>
        <v>0</v>
      </c>
      <c r="AB122" s="1">
        <f t="shared" si="65"/>
        <v>0</v>
      </c>
      <c r="AC122" s="1">
        <f t="shared" si="66"/>
        <v>0</v>
      </c>
      <c r="AD122" s="1">
        <f t="shared" si="67"/>
        <v>0</v>
      </c>
      <c r="AE122" s="1">
        <f t="shared" si="68"/>
        <v>0</v>
      </c>
      <c r="AF122" s="1" t="str">
        <f>IFERROR(MATCH(ROW()-6,MUSTERILER!$U$7:$U$156,0),"")</f>
        <v/>
      </c>
      <c r="AG122" s="1">
        <f>IF($B122="",0,SUMIFS(GELIR_GIDER!$G$7:$G$3006,GELIR_GIDER!$T$7:$T$3006,$B122))</f>
        <v>0</v>
      </c>
    </row>
    <row r="123" spans="1:33" ht="18" customHeight="1" x14ac:dyDescent="0.3">
      <c r="A123" s="2"/>
      <c r="B123" s="65" t="str">
        <f>IF($AF123="","",INDEX(MUSTERILER!$B$7:$B$156,$AF123))</f>
        <v/>
      </c>
      <c r="C123" s="74" t="str">
        <f>IF($AF123="","",INDEX(MUSTERILER!$C$7:$C$156,$AF123))</f>
        <v/>
      </c>
      <c r="D123" s="68" t="str">
        <f>IF($B123="","",SUMIFS(UCRETLER!$G$7:$G$606,UCRETLER!$B$7:$B$606,$B123,UCRETLER!$F$7:$F$606,"Haftalık",UCRETLER!$H$7:$H$606,"Aktif"))</f>
        <v/>
      </c>
      <c r="E123" s="68" t="str">
        <f>IF($B123="","",SUMIFS(UCRETLER!$G$7:$G$606,UCRETLER!$B$7:$B$606,$B123,UCRETLER!$F$7:$F$606,"Aylık",UCRETLER!$H$7:$H$606,"Aktif"))</f>
        <v/>
      </c>
      <c r="F123" s="68" t="str">
        <f>IF($B123="","",SUMIFS(MUSTERILER!$J$7:$J$156,MUSTERILER!$B$7:$B$156,$B123))</f>
        <v/>
      </c>
      <c r="G123" s="68" t="str">
        <f>IF($B123="","",SUMIFS(UCRETLER!$I$7:$I$606,UCRETLER!$B$7:$B$606,$B123)+SUMIFS(GELIR_GIDER!$G$7:$G$3006,GELIR_GIDER!$T$7:$T$3006,$B123))</f>
        <v/>
      </c>
      <c r="H123" s="68" t="str">
        <f t="shared" si="52"/>
        <v/>
      </c>
      <c r="I123" s="68" t="str">
        <f>IF($B123="","",SUMIFS(TAHSILAT!$F$7:$F$2506,TAHSILAT!$C$7:$C$2506,$B123))</f>
        <v/>
      </c>
      <c r="J123" s="68" t="str">
        <f t="shared" si="53"/>
        <v/>
      </c>
      <c r="K123" s="68" t="str">
        <f t="shared" si="54"/>
        <v/>
      </c>
      <c r="L123" s="68" t="str">
        <f t="shared" si="55"/>
        <v/>
      </c>
      <c r="M123" s="68" t="str">
        <f t="shared" si="56"/>
        <v/>
      </c>
      <c r="N123" s="68" t="str">
        <f t="shared" si="57"/>
        <v/>
      </c>
      <c r="O123" s="86" t="str">
        <f t="shared" si="58"/>
        <v/>
      </c>
      <c r="P123" s="70" t="str">
        <f>IF($B123="","",IFERROR(LOOKUP(2,1/(TAHSILAT!$C$7:$C$2506=$B123),TAHSILAT!$E$7:$E$2506),""))</f>
        <v/>
      </c>
      <c r="Q123" s="65" t="str">
        <f t="shared" si="59"/>
        <v/>
      </c>
      <c r="R123" s="74" t="str">
        <f t="shared" si="60"/>
        <v/>
      </c>
      <c r="S123" s="76" t="str">
        <f>IF($B123="","",COUNTIFS(AKTIVITE!$D$7:$D$1006,$B123,AKTIVITE!$J$7:$J$1006,"&lt;&gt;Tamamlandı"))</f>
        <v/>
      </c>
      <c r="T123" s="70" t="str">
        <f>IF(OR($B123="",$AF123=""),"",IF(INDEX(MUSTERILER!$K$7:$K$156,$AF123)="","",INDEX(MUSTERILER!$K$7:$K$156,$AF123)))</f>
        <v/>
      </c>
      <c r="U123" s="76" t="str">
        <f t="shared" ca="1" si="61"/>
        <v/>
      </c>
      <c r="V123" s="68" t="str">
        <f t="shared" si="62"/>
        <v/>
      </c>
      <c r="W123" s="65" t="str">
        <f t="shared" si="63"/>
        <v/>
      </c>
      <c r="X123" s="2">
        <f>IF($B123="",0,SUMIFS(UCRETLER!$J$7:$J$606,UCRETLER!$B$7:$B$606,$B123))</f>
        <v>0</v>
      </c>
      <c r="Y123" s="2">
        <f>IF($B123="",0,SUMIFS(UCRETLER!$K$7:$K$606,UCRETLER!$B$7:$B$606,$B123))</f>
        <v>0</v>
      </c>
      <c r="Z123" s="1">
        <f>IF($B123="",0,SUMIFS(UCRETLER!$L$7:$L$606,UCRETLER!$B$7:$B$606,$B123))</f>
        <v>0</v>
      </c>
      <c r="AA123" s="1">
        <f t="shared" si="64"/>
        <v>0</v>
      </c>
      <c r="AB123" s="1">
        <f t="shared" si="65"/>
        <v>0</v>
      </c>
      <c r="AC123" s="1">
        <f t="shared" si="66"/>
        <v>0</v>
      </c>
      <c r="AD123" s="1">
        <f t="shared" si="67"/>
        <v>0</v>
      </c>
      <c r="AE123" s="1">
        <f t="shared" si="68"/>
        <v>0</v>
      </c>
      <c r="AF123" s="1" t="str">
        <f>IFERROR(MATCH(ROW()-6,MUSTERILER!$U$7:$U$156,0),"")</f>
        <v/>
      </c>
      <c r="AG123" s="1">
        <f>IF($B123="",0,SUMIFS(GELIR_GIDER!$G$7:$G$3006,GELIR_GIDER!$T$7:$T$3006,$B123))</f>
        <v>0</v>
      </c>
    </row>
    <row r="124" spans="1:33" ht="18" customHeight="1" x14ac:dyDescent="0.3">
      <c r="A124" s="2"/>
      <c r="B124" s="65" t="str">
        <f>IF($AF124="","",INDEX(MUSTERILER!$B$7:$B$156,$AF124))</f>
        <v/>
      </c>
      <c r="C124" s="74" t="str">
        <f>IF($AF124="","",INDEX(MUSTERILER!$C$7:$C$156,$AF124))</f>
        <v/>
      </c>
      <c r="D124" s="68" t="str">
        <f>IF($B124="","",SUMIFS(UCRETLER!$G$7:$G$606,UCRETLER!$B$7:$B$606,$B124,UCRETLER!$F$7:$F$606,"Haftalık",UCRETLER!$H$7:$H$606,"Aktif"))</f>
        <v/>
      </c>
      <c r="E124" s="68" t="str">
        <f>IF($B124="","",SUMIFS(UCRETLER!$G$7:$G$606,UCRETLER!$B$7:$B$606,$B124,UCRETLER!$F$7:$F$606,"Aylık",UCRETLER!$H$7:$H$606,"Aktif"))</f>
        <v/>
      </c>
      <c r="F124" s="68" t="str">
        <f>IF($B124="","",SUMIFS(MUSTERILER!$J$7:$J$156,MUSTERILER!$B$7:$B$156,$B124))</f>
        <v/>
      </c>
      <c r="G124" s="68" t="str">
        <f>IF($B124="","",SUMIFS(UCRETLER!$I$7:$I$606,UCRETLER!$B$7:$B$606,$B124)+SUMIFS(GELIR_GIDER!$G$7:$G$3006,GELIR_GIDER!$T$7:$T$3006,$B124))</f>
        <v/>
      </c>
      <c r="H124" s="68" t="str">
        <f t="shared" si="52"/>
        <v/>
      </c>
      <c r="I124" s="68" t="str">
        <f>IF($B124="","",SUMIFS(TAHSILAT!$F$7:$F$2506,TAHSILAT!$C$7:$C$2506,$B124))</f>
        <v/>
      </c>
      <c r="J124" s="68" t="str">
        <f t="shared" si="53"/>
        <v/>
      </c>
      <c r="K124" s="68" t="str">
        <f t="shared" si="54"/>
        <v/>
      </c>
      <c r="L124" s="68" t="str">
        <f t="shared" si="55"/>
        <v/>
      </c>
      <c r="M124" s="68" t="str">
        <f t="shared" si="56"/>
        <v/>
      </c>
      <c r="N124" s="68" t="str">
        <f t="shared" si="57"/>
        <v/>
      </c>
      <c r="O124" s="86" t="str">
        <f t="shared" si="58"/>
        <v/>
      </c>
      <c r="P124" s="70" t="str">
        <f>IF($B124="","",IFERROR(LOOKUP(2,1/(TAHSILAT!$C$7:$C$2506=$B124),TAHSILAT!$E$7:$E$2506),""))</f>
        <v/>
      </c>
      <c r="Q124" s="65" t="str">
        <f t="shared" si="59"/>
        <v/>
      </c>
      <c r="R124" s="74" t="str">
        <f t="shared" si="60"/>
        <v/>
      </c>
      <c r="S124" s="76" t="str">
        <f>IF($B124="","",COUNTIFS(AKTIVITE!$D$7:$D$1006,$B124,AKTIVITE!$J$7:$J$1006,"&lt;&gt;Tamamlandı"))</f>
        <v/>
      </c>
      <c r="T124" s="70" t="str">
        <f>IF(OR($B124="",$AF124=""),"",IF(INDEX(MUSTERILER!$K$7:$K$156,$AF124)="","",INDEX(MUSTERILER!$K$7:$K$156,$AF124)))</f>
        <v/>
      </c>
      <c r="U124" s="76" t="str">
        <f t="shared" ca="1" si="61"/>
        <v/>
      </c>
      <c r="V124" s="68" t="str">
        <f t="shared" si="62"/>
        <v/>
      </c>
      <c r="W124" s="65" t="str">
        <f t="shared" si="63"/>
        <v/>
      </c>
      <c r="X124" s="2">
        <f>IF($B124="",0,SUMIFS(UCRETLER!$J$7:$J$606,UCRETLER!$B$7:$B$606,$B124))</f>
        <v>0</v>
      </c>
      <c r="Y124" s="2">
        <f>IF($B124="",0,SUMIFS(UCRETLER!$K$7:$K$606,UCRETLER!$B$7:$B$606,$B124))</f>
        <v>0</v>
      </c>
      <c r="Z124" s="1">
        <f>IF($B124="",0,SUMIFS(UCRETLER!$L$7:$L$606,UCRETLER!$B$7:$B$606,$B124))</f>
        <v>0</v>
      </c>
      <c r="AA124" s="1">
        <f t="shared" si="64"/>
        <v>0</v>
      </c>
      <c r="AB124" s="1">
        <f t="shared" si="65"/>
        <v>0</v>
      </c>
      <c r="AC124" s="1">
        <f t="shared" si="66"/>
        <v>0</v>
      </c>
      <c r="AD124" s="1">
        <f t="shared" si="67"/>
        <v>0</v>
      </c>
      <c r="AE124" s="1">
        <f t="shared" si="68"/>
        <v>0</v>
      </c>
      <c r="AF124" s="1" t="str">
        <f>IFERROR(MATCH(ROW()-6,MUSTERILER!$U$7:$U$156,0),"")</f>
        <v/>
      </c>
      <c r="AG124" s="1">
        <f>IF($B124="",0,SUMIFS(GELIR_GIDER!$G$7:$G$3006,GELIR_GIDER!$T$7:$T$3006,$B124))</f>
        <v>0</v>
      </c>
    </row>
    <row r="125" spans="1:33" ht="18" customHeight="1" x14ac:dyDescent="0.3">
      <c r="A125" s="2"/>
      <c r="B125" s="65" t="str">
        <f>IF($AF125="","",INDEX(MUSTERILER!$B$7:$B$156,$AF125))</f>
        <v/>
      </c>
      <c r="C125" s="74" t="str">
        <f>IF($AF125="","",INDEX(MUSTERILER!$C$7:$C$156,$AF125))</f>
        <v/>
      </c>
      <c r="D125" s="68" t="str">
        <f>IF($B125="","",SUMIFS(UCRETLER!$G$7:$G$606,UCRETLER!$B$7:$B$606,$B125,UCRETLER!$F$7:$F$606,"Haftalık",UCRETLER!$H$7:$H$606,"Aktif"))</f>
        <v/>
      </c>
      <c r="E125" s="68" t="str">
        <f>IF($B125="","",SUMIFS(UCRETLER!$G$7:$G$606,UCRETLER!$B$7:$B$606,$B125,UCRETLER!$F$7:$F$606,"Aylık",UCRETLER!$H$7:$H$606,"Aktif"))</f>
        <v/>
      </c>
      <c r="F125" s="68" t="str">
        <f>IF($B125="","",SUMIFS(MUSTERILER!$J$7:$J$156,MUSTERILER!$B$7:$B$156,$B125))</f>
        <v/>
      </c>
      <c r="G125" s="68" t="str">
        <f>IF($B125="","",SUMIFS(UCRETLER!$I$7:$I$606,UCRETLER!$B$7:$B$606,$B125)+SUMIFS(GELIR_GIDER!$G$7:$G$3006,GELIR_GIDER!$T$7:$T$3006,$B125))</f>
        <v/>
      </c>
      <c r="H125" s="68" t="str">
        <f t="shared" si="52"/>
        <v/>
      </c>
      <c r="I125" s="68" t="str">
        <f>IF($B125="","",SUMIFS(TAHSILAT!$F$7:$F$2506,TAHSILAT!$C$7:$C$2506,$B125))</f>
        <v/>
      </c>
      <c r="J125" s="68" t="str">
        <f t="shared" si="53"/>
        <v/>
      </c>
      <c r="K125" s="68" t="str">
        <f t="shared" si="54"/>
        <v/>
      </c>
      <c r="L125" s="68" t="str">
        <f t="shared" si="55"/>
        <v/>
      </c>
      <c r="M125" s="68" t="str">
        <f t="shared" si="56"/>
        <v/>
      </c>
      <c r="N125" s="68" t="str">
        <f t="shared" si="57"/>
        <v/>
      </c>
      <c r="O125" s="86" t="str">
        <f t="shared" si="58"/>
        <v/>
      </c>
      <c r="P125" s="70" t="str">
        <f>IF($B125="","",IFERROR(LOOKUP(2,1/(TAHSILAT!$C$7:$C$2506=$B125),TAHSILAT!$E$7:$E$2506),""))</f>
        <v/>
      </c>
      <c r="Q125" s="65" t="str">
        <f t="shared" si="59"/>
        <v/>
      </c>
      <c r="R125" s="74" t="str">
        <f t="shared" si="60"/>
        <v/>
      </c>
      <c r="S125" s="76" t="str">
        <f>IF($B125="","",COUNTIFS(AKTIVITE!$D$7:$D$1006,$B125,AKTIVITE!$J$7:$J$1006,"&lt;&gt;Tamamlandı"))</f>
        <v/>
      </c>
      <c r="T125" s="70" t="str">
        <f>IF(OR($B125="",$AF125=""),"",IF(INDEX(MUSTERILER!$K$7:$K$156,$AF125)="","",INDEX(MUSTERILER!$K$7:$K$156,$AF125)))</f>
        <v/>
      </c>
      <c r="U125" s="76" t="str">
        <f t="shared" ca="1" si="61"/>
        <v/>
      </c>
      <c r="V125" s="68" t="str">
        <f t="shared" si="62"/>
        <v/>
      </c>
      <c r="W125" s="65" t="str">
        <f t="shared" si="63"/>
        <v/>
      </c>
      <c r="X125" s="2">
        <f>IF($B125="",0,SUMIFS(UCRETLER!$J$7:$J$606,UCRETLER!$B$7:$B$606,$B125))</f>
        <v>0</v>
      </c>
      <c r="Y125" s="2">
        <f>IF($B125="",0,SUMIFS(UCRETLER!$K$7:$K$606,UCRETLER!$B$7:$B$606,$B125))</f>
        <v>0</v>
      </c>
      <c r="Z125" s="1">
        <f>IF($B125="",0,SUMIFS(UCRETLER!$L$7:$L$606,UCRETLER!$B$7:$B$606,$B125))</f>
        <v>0</v>
      </c>
      <c r="AA125" s="1">
        <f t="shared" si="64"/>
        <v>0</v>
      </c>
      <c r="AB125" s="1">
        <f t="shared" si="65"/>
        <v>0</v>
      </c>
      <c r="AC125" s="1">
        <f t="shared" si="66"/>
        <v>0</v>
      </c>
      <c r="AD125" s="1">
        <f t="shared" si="67"/>
        <v>0</v>
      </c>
      <c r="AE125" s="1">
        <f t="shared" si="68"/>
        <v>0</v>
      </c>
      <c r="AF125" s="1" t="str">
        <f>IFERROR(MATCH(ROW()-6,MUSTERILER!$U$7:$U$156,0),"")</f>
        <v/>
      </c>
      <c r="AG125" s="1">
        <f>IF($B125="",0,SUMIFS(GELIR_GIDER!$G$7:$G$3006,GELIR_GIDER!$T$7:$T$3006,$B125))</f>
        <v>0</v>
      </c>
    </row>
    <row r="126" spans="1:33" ht="18" customHeight="1" x14ac:dyDescent="0.3">
      <c r="A126" s="2"/>
      <c r="B126" s="65" t="str">
        <f>IF($AF126="","",INDEX(MUSTERILER!$B$7:$B$156,$AF126))</f>
        <v/>
      </c>
      <c r="C126" s="74" t="str">
        <f>IF($AF126="","",INDEX(MUSTERILER!$C$7:$C$156,$AF126))</f>
        <v/>
      </c>
      <c r="D126" s="68" t="str">
        <f>IF($B126="","",SUMIFS(UCRETLER!$G$7:$G$606,UCRETLER!$B$7:$B$606,$B126,UCRETLER!$F$7:$F$606,"Haftalık",UCRETLER!$H$7:$H$606,"Aktif"))</f>
        <v/>
      </c>
      <c r="E126" s="68" t="str">
        <f>IF($B126="","",SUMIFS(UCRETLER!$G$7:$G$606,UCRETLER!$B$7:$B$606,$B126,UCRETLER!$F$7:$F$606,"Aylık",UCRETLER!$H$7:$H$606,"Aktif"))</f>
        <v/>
      </c>
      <c r="F126" s="68" t="str">
        <f>IF($B126="","",SUMIFS(MUSTERILER!$J$7:$J$156,MUSTERILER!$B$7:$B$156,$B126))</f>
        <v/>
      </c>
      <c r="G126" s="68" t="str">
        <f>IF($B126="","",SUMIFS(UCRETLER!$I$7:$I$606,UCRETLER!$B$7:$B$606,$B126)+SUMIFS(GELIR_GIDER!$G$7:$G$3006,GELIR_GIDER!$T$7:$T$3006,$B126))</f>
        <v/>
      </c>
      <c r="H126" s="68" t="str">
        <f t="shared" si="52"/>
        <v/>
      </c>
      <c r="I126" s="68" t="str">
        <f>IF($B126="","",SUMIFS(TAHSILAT!$F$7:$F$2506,TAHSILAT!$C$7:$C$2506,$B126))</f>
        <v/>
      </c>
      <c r="J126" s="68" t="str">
        <f t="shared" si="53"/>
        <v/>
      </c>
      <c r="K126" s="68" t="str">
        <f t="shared" si="54"/>
        <v/>
      </c>
      <c r="L126" s="68" t="str">
        <f t="shared" si="55"/>
        <v/>
      </c>
      <c r="M126" s="68" t="str">
        <f t="shared" si="56"/>
        <v/>
      </c>
      <c r="N126" s="68" t="str">
        <f t="shared" si="57"/>
        <v/>
      </c>
      <c r="O126" s="86" t="str">
        <f t="shared" si="58"/>
        <v/>
      </c>
      <c r="P126" s="70" t="str">
        <f>IF($B126="","",IFERROR(LOOKUP(2,1/(TAHSILAT!$C$7:$C$2506=$B126),TAHSILAT!$E$7:$E$2506),""))</f>
        <v/>
      </c>
      <c r="Q126" s="65" t="str">
        <f t="shared" si="59"/>
        <v/>
      </c>
      <c r="R126" s="74" t="str">
        <f t="shared" si="60"/>
        <v/>
      </c>
      <c r="S126" s="76" t="str">
        <f>IF($B126="","",COUNTIFS(AKTIVITE!$D$7:$D$1006,$B126,AKTIVITE!$J$7:$J$1006,"&lt;&gt;Tamamlandı"))</f>
        <v/>
      </c>
      <c r="T126" s="70" t="str">
        <f>IF(OR($B126="",$AF126=""),"",IF(INDEX(MUSTERILER!$K$7:$K$156,$AF126)="","",INDEX(MUSTERILER!$K$7:$K$156,$AF126)))</f>
        <v/>
      </c>
      <c r="U126" s="76" t="str">
        <f t="shared" ca="1" si="61"/>
        <v/>
      </c>
      <c r="V126" s="68" t="str">
        <f t="shared" si="62"/>
        <v/>
      </c>
      <c r="W126" s="65" t="str">
        <f t="shared" si="63"/>
        <v/>
      </c>
      <c r="X126" s="2">
        <f>IF($B126="",0,SUMIFS(UCRETLER!$J$7:$J$606,UCRETLER!$B$7:$B$606,$B126))</f>
        <v>0</v>
      </c>
      <c r="Y126" s="2">
        <f>IF($B126="",0,SUMIFS(UCRETLER!$K$7:$K$606,UCRETLER!$B$7:$B$606,$B126))</f>
        <v>0</v>
      </c>
      <c r="Z126" s="1">
        <f>IF($B126="",0,SUMIFS(UCRETLER!$L$7:$L$606,UCRETLER!$B$7:$B$606,$B126))</f>
        <v>0</v>
      </c>
      <c r="AA126" s="1">
        <f t="shared" si="64"/>
        <v>0</v>
      </c>
      <c r="AB126" s="1">
        <f t="shared" si="65"/>
        <v>0</v>
      </c>
      <c r="AC126" s="1">
        <f t="shared" si="66"/>
        <v>0</v>
      </c>
      <c r="AD126" s="1">
        <f t="shared" si="67"/>
        <v>0</v>
      </c>
      <c r="AE126" s="1">
        <f t="shared" si="68"/>
        <v>0</v>
      </c>
      <c r="AF126" s="1" t="str">
        <f>IFERROR(MATCH(ROW()-6,MUSTERILER!$U$7:$U$156,0),"")</f>
        <v/>
      </c>
      <c r="AG126" s="1">
        <f>IF($B126="",0,SUMIFS(GELIR_GIDER!$G$7:$G$3006,GELIR_GIDER!$T$7:$T$3006,$B126))</f>
        <v>0</v>
      </c>
    </row>
    <row r="127" spans="1:33" ht="18" customHeight="1" x14ac:dyDescent="0.3">
      <c r="A127" s="2"/>
      <c r="B127" s="65" t="str">
        <f>IF($AF127="","",INDEX(MUSTERILER!$B$7:$B$156,$AF127))</f>
        <v/>
      </c>
      <c r="C127" s="74" t="str">
        <f>IF($AF127="","",INDEX(MUSTERILER!$C$7:$C$156,$AF127))</f>
        <v/>
      </c>
      <c r="D127" s="68" t="str">
        <f>IF($B127="","",SUMIFS(UCRETLER!$G$7:$G$606,UCRETLER!$B$7:$B$606,$B127,UCRETLER!$F$7:$F$606,"Haftalık",UCRETLER!$H$7:$H$606,"Aktif"))</f>
        <v/>
      </c>
      <c r="E127" s="68" t="str">
        <f>IF($B127="","",SUMIFS(UCRETLER!$G$7:$G$606,UCRETLER!$B$7:$B$606,$B127,UCRETLER!$F$7:$F$606,"Aylık",UCRETLER!$H$7:$H$606,"Aktif"))</f>
        <v/>
      </c>
      <c r="F127" s="68" t="str">
        <f>IF($B127="","",SUMIFS(MUSTERILER!$J$7:$J$156,MUSTERILER!$B$7:$B$156,$B127))</f>
        <v/>
      </c>
      <c r="G127" s="68" t="str">
        <f>IF($B127="","",SUMIFS(UCRETLER!$I$7:$I$606,UCRETLER!$B$7:$B$606,$B127)+SUMIFS(GELIR_GIDER!$G$7:$G$3006,GELIR_GIDER!$T$7:$T$3006,$B127))</f>
        <v/>
      </c>
      <c r="H127" s="68" t="str">
        <f t="shared" si="52"/>
        <v/>
      </c>
      <c r="I127" s="68" t="str">
        <f>IF($B127="","",SUMIFS(TAHSILAT!$F$7:$F$2506,TAHSILAT!$C$7:$C$2506,$B127))</f>
        <v/>
      </c>
      <c r="J127" s="68" t="str">
        <f t="shared" si="53"/>
        <v/>
      </c>
      <c r="K127" s="68" t="str">
        <f t="shared" si="54"/>
        <v/>
      </c>
      <c r="L127" s="68" t="str">
        <f t="shared" si="55"/>
        <v/>
      </c>
      <c r="M127" s="68" t="str">
        <f t="shared" si="56"/>
        <v/>
      </c>
      <c r="N127" s="68" t="str">
        <f t="shared" si="57"/>
        <v/>
      </c>
      <c r="O127" s="86" t="str">
        <f t="shared" si="58"/>
        <v/>
      </c>
      <c r="P127" s="70" t="str">
        <f>IF($B127="","",IFERROR(LOOKUP(2,1/(TAHSILAT!$C$7:$C$2506=$B127),TAHSILAT!$E$7:$E$2506),""))</f>
        <v/>
      </c>
      <c r="Q127" s="65" t="str">
        <f t="shared" si="59"/>
        <v/>
      </c>
      <c r="R127" s="74" t="str">
        <f t="shared" si="60"/>
        <v/>
      </c>
      <c r="S127" s="76" t="str">
        <f>IF($B127="","",COUNTIFS(AKTIVITE!$D$7:$D$1006,$B127,AKTIVITE!$J$7:$J$1006,"&lt;&gt;Tamamlandı"))</f>
        <v/>
      </c>
      <c r="T127" s="70" t="str">
        <f>IF(OR($B127="",$AF127=""),"",IF(INDEX(MUSTERILER!$K$7:$K$156,$AF127)="","",INDEX(MUSTERILER!$K$7:$K$156,$AF127)))</f>
        <v/>
      </c>
      <c r="U127" s="76" t="str">
        <f t="shared" ca="1" si="61"/>
        <v/>
      </c>
      <c r="V127" s="68" t="str">
        <f t="shared" si="62"/>
        <v/>
      </c>
      <c r="W127" s="65" t="str">
        <f t="shared" si="63"/>
        <v/>
      </c>
      <c r="X127" s="2">
        <f>IF($B127="",0,SUMIFS(UCRETLER!$J$7:$J$606,UCRETLER!$B$7:$B$606,$B127))</f>
        <v>0</v>
      </c>
      <c r="Y127" s="2">
        <f>IF($B127="",0,SUMIFS(UCRETLER!$K$7:$K$606,UCRETLER!$B$7:$B$606,$B127))</f>
        <v>0</v>
      </c>
      <c r="Z127" s="1">
        <f>IF($B127="",0,SUMIFS(UCRETLER!$L$7:$L$606,UCRETLER!$B$7:$B$606,$B127))</f>
        <v>0</v>
      </c>
      <c r="AA127" s="1">
        <f t="shared" si="64"/>
        <v>0</v>
      </c>
      <c r="AB127" s="1">
        <f t="shared" si="65"/>
        <v>0</v>
      </c>
      <c r="AC127" s="1">
        <f t="shared" si="66"/>
        <v>0</v>
      </c>
      <c r="AD127" s="1">
        <f t="shared" si="67"/>
        <v>0</v>
      </c>
      <c r="AE127" s="1">
        <f t="shared" si="68"/>
        <v>0</v>
      </c>
      <c r="AF127" s="1" t="str">
        <f>IFERROR(MATCH(ROW()-6,MUSTERILER!$U$7:$U$156,0),"")</f>
        <v/>
      </c>
      <c r="AG127" s="1">
        <f>IF($B127="",0,SUMIFS(GELIR_GIDER!$G$7:$G$3006,GELIR_GIDER!$T$7:$T$3006,$B127))</f>
        <v>0</v>
      </c>
    </row>
    <row r="128" spans="1:33" ht="18" customHeight="1" x14ac:dyDescent="0.3">
      <c r="A128" s="2"/>
      <c r="B128" s="65" t="str">
        <f>IF($AF128="","",INDEX(MUSTERILER!$B$7:$B$156,$AF128))</f>
        <v/>
      </c>
      <c r="C128" s="74" t="str">
        <f>IF($AF128="","",INDEX(MUSTERILER!$C$7:$C$156,$AF128))</f>
        <v/>
      </c>
      <c r="D128" s="68" t="str">
        <f>IF($B128="","",SUMIFS(UCRETLER!$G$7:$G$606,UCRETLER!$B$7:$B$606,$B128,UCRETLER!$F$7:$F$606,"Haftalık",UCRETLER!$H$7:$H$606,"Aktif"))</f>
        <v/>
      </c>
      <c r="E128" s="68" t="str">
        <f>IF($B128="","",SUMIFS(UCRETLER!$G$7:$G$606,UCRETLER!$B$7:$B$606,$B128,UCRETLER!$F$7:$F$606,"Aylık",UCRETLER!$H$7:$H$606,"Aktif"))</f>
        <v/>
      </c>
      <c r="F128" s="68" t="str">
        <f>IF($B128="","",SUMIFS(MUSTERILER!$J$7:$J$156,MUSTERILER!$B$7:$B$156,$B128))</f>
        <v/>
      </c>
      <c r="G128" s="68" t="str">
        <f>IF($B128="","",SUMIFS(UCRETLER!$I$7:$I$606,UCRETLER!$B$7:$B$606,$B128)+SUMIFS(GELIR_GIDER!$G$7:$G$3006,GELIR_GIDER!$T$7:$T$3006,$B128))</f>
        <v/>
      </c>
      <c r="H128" s="68" t="str">
        <f t="shared" si="52"/>
        <v/>
      </c>
      <c r="I128" s="68" t="str">
        <f>IF($B128="","",SUMIFS(TAHSILAT!$F$7:$F$2506,TAHSILAT!$C$7:$C$2506,$B128))</f>
        <v/>
      </c>
      <c r="J128" s="68" t="str">
        <f t="shared" si="53"/>
        <v/>
      </c>
      <c r="K128" s="68" t="str">
        <f t="shared" si="54"/>
        <v/>
      </c>
      <c r="L128" s="68" t="str">
        <f t="shared" si="55"/>
        <v/>
      </c>
      <c r="M128" s="68" t="str">
        <f t="shared" si="56"/>
        <v/>
      </c>
      <c r="N128" s="68" t="str">
        <f t="shared" si="57"/>
        <v/>
      </c>
      <c r="O128" s="86" t="str">
        <f t="shared" si="58"/>
        <v/>
      </c>
      <c r="P128" s="70" t="str">
        <f>IF($B128="","",IFERROR(LOOKUP(2,1/(TAHSILAT!$C$7:$C$2506=$B128),TAHSILAT!$E$7:$E$2506),""))</f>
        <v/>
      </c>
      <c r="Q128" s="65" t="str">
        <f t="shared" si="59"/>
        <v/>
      </c>
      <c r="R128" s="74" t="str">
        <f t="shared" si="60"/>
        <v/>
      </c>
      <c r="S128" s="76" t="str">
        <f>IF($B128="","",COUNTIFS(AKTIVITE!$D$7:$D$1006,$B128,AKTIVITE!$J$7:$J$1006,"&lt;&gt;Tamamlandı"))</f>
        <v/>
      </c>
      <c r="T128" s="70" t="str">
        <f>IF(OR($B128="",$AF128=""),"",IF(INDEX(MUSTERILER!$K$7:$K$156,$AF128)="","",INDEX(MUSTERILER!$K$7:$K$156,$AF128)))</f>
        <v/>
      </c>
      <c r="U128" s="76" t="str">
        <f t="shared" ca="1" si="61"/>
        <v/>
      </c>
      <c r="V128" s="68" t="str">
        <f t="shared" si="62"/>
        <v/>
      </c>
      <c r="W128" s="65" t="str">
        <f t="shared" si="63"/>
        <v/>
      </c>
      <c r="X128" s="2">
        <f>IF($B128="",0,SUMIFS(UCRETLER!$J$7:$J$606,UCRETLER!$B$7:$B$606,$B128))</f>
        <v>0</v>
      </c>
      <c r="Y128" s="2">
        <f>IF($B128="",0,SUMIFS(UCRETLER!$K$7:$K$606,UCRETLER!$B$7:$B$606,$B128))</f>
        <v>0</v>
      </c>
      <c r="Z128" s="1">
        <f>IF($B128="",0,SUMIFS(UCRETLER!$L$7:$L$606,UCRETLER!$B$7:$B$606,$B128))</f>
        <v>0</v>
      </c>
      <c r="AA128" s="1">
        <f t="shared" si="64"/>
        <v>0</v>
      </c>
      <c r="AB128" s="1">
        <f t="shared" si="65"/>
        <v>0</v>
      </c>
      <c r="AC128" s="1">
        <f t="shared" si="66"/>
        <v>0</v>
      </c>
      <c r="AD128" s="1">
        <f t="shared" si="67"/>
        <v>0</v>
      </c>
      <c r="AE128" s="1">
        <f t="shared" si="68"/>
        <v>0</v>
      </c>
      <c r="AF128" s="1" t="str">
        <f>IFERROR(MATCH(ROW()-6,MUSTERILER!$U$7:$U$156,0),"")</f>
        <v/>
      </c>
      <c r="AG128" s="1">
        <f>IF($B128="",0,SUMIFS(GELIR_GIDER!$G$7:$G$3006,GELIR_GIDER!$T$7:$T$3006,$B128))</f>
        <v>0</v>
      </c>
    </row>
    <row r="129" spans="1:33" ht="18" customHeight="1" x14ac:dyDescent="0.3">
      <c r="A129" s="2"/>
      <c r="B129" s="65" t="str">
        <f>IF($AF129="","",INDEX(MUSTERILER!$B$7:$B$156,$AF129))</f>
        <v/>
      </c>
      <c r="C129" s="74" t="str">
        <f>IF($AF129="","",INDEX(MUSTERILER!$C$7:$C$156,$AF129))</f>
        <v/>
      </c>
      <c r="D129" s="68" t="str">
        <f>IF($B129="","",SUMIFS(UCRETLER!$G$7:$G$606,UCRETLER!$B$7:$B$606,$B129,UCRETLER!$F$7:$F$606,"Haftalık",UCRETLER!$H$7:$H$606,"Aktif"))</f>
        <v/>
      </c>
      <c r="E129" s="68" t="str">
        <f>IF($B129="","",SUMIFS(UCRETLER!$G$7:$G$606,UCRETLER!$B$7:$B$606,$B129,UCRETLER!$F$7:$F$606,"Aylık",UCRETLER!$H$7:$H$606,"Aktif"))</f>
        <v/>
      </c>
      <c r="F129" s="68" t="str">
        <f>IF($B129="","",SUMIFS(MUSTERILER!$J$7:$J$156,MUSTERILER!$B$7:$B$156,$B129))</f>
        <v/>
      </c>
      <c r="G129" s="68" t="str">
        <f>IF($B129="","",SUMIFS(UCRETLER!$I$7:$I$606,UCRETLER!$B$7:$B$606,$B129)+SUMIFS(GELIR_GIDER!$G$7:$G$3006,GELIR_GIDER!$T$7:$T$3006,$B129))</f>
        <v/>
      </c>
      <c r="H129" s="68" t="str">
        <f t="shared" si="52"/>
        <v/>
      </c>
      <c r="I129" s="68" t="str">
        <f>IF($B129="","",SUMIFS(TAHSILAT!$F$7:$F$2506,TAHSILAT!$C$7:$C$2506,$B129))</f>
        <v/>
      </c>
      <c r="J129" s="68" t="str">
        <f t="shared" si="53"/>
        <v/>
      </c>
      <c r="K129" s="68" t="str">
        <f t="shared" si="54"/>
        <v/>
      </c>
      <c r="L129" s="68" t="str">
        <f t="shared" si="55"/>
        <v/>
      </c>
      <c r="M129" s="68" t="str">
        <f t="shared" si="56"/>
        <v/>
      </c>
      <c r="N129" s="68" t="str">
        <f t="shared" si="57"/>
        <v/>
      </c>
      <c r="O129" s="86" t="str">
        <f t="shared" si="58"/>
        <v/>
      </c>
      <c r="P129" s="70" t="str">
        <f>IF($B129="","",IFERROR(LOOKUP(2,1/(TAHSILAT!$C$7:$C$2506=$B129),TAHSILAT!$E$7:$E$2506),""))</f>
        <v/>
      </c>
      <c r="Q129" s="65" t="str">
        <f t="shared" si="59"/>
        <v/>
      </c>
      <c r="R129" s="74" t="str">
        <f t="shared" si="60"/>
        <v/>
      </c>
      <c r="S129" s="76" t="str">
        <f>IF($B129="","",COUNTIFS(AKTIVITE!$D$7:$D$1006,$B129,AKTIVITE!$J$7:$J$1006,"&lt;&gt;Tamamlandı"))</f>
        <v/>
      </c>
      <c r="T129" s="70" t="str">
        <f>IF(OR($B129="",$AF129=""),"",IF(INDEX(MUSTERILER!$K$7:$K$156,$AF129)="","",INDEX(MUSTERILER!$K$7:$K$156,$AF129)))</f>
        <v/>
      </c>
      <c r="U129" s="76" t="str">
        <f t="shared" ca="1" si="61"/>
        <v/>
      </c>
      <c r="V129" s="68" t="str">
        <f t="shared" si="62"/>
        <v/>
      </c>
      <c r="W129" s="65" t="str">
        <f t="shared" si="63"/>
        <v/>
      </c>
      <c r="X129" s="2">
        <f>IF($B129="",0,SUMIFS(UCRETLER!$J$7:$J$606,UCRETLER!$B$7:$B$606,$B129))</f>
        <v>0</v>
      </c>
      <c r="Y129" s="2">
        <f>IF($B129="",0,SUMIFS(UCRETLER!$K$7:$K$606,UCRETLER!$B$7:$B$606,$B129))</f>
        <v>0</v>
      </c>
      <c r="Z129" s="1">
        <f>IF($B129="",0,SUMIFS(UCRETLER!$L$7:$L$606,UCRETLER!$B$7:$B$606,$B129))</f>
        <v>0</v>
      </c>
      <c r="AA129" s="1">
        <f t="shared" si="64"/>
        <v>0</v>
      </c>
      <c r="AB129" s="1">
        <f t="shared" si="65"/>
        <v>0</v>
      </c>
      <c r="AC129" s="1">
        <f t="shared" si="66"/>
        <v>0</v>
      </c>
      <c r="AD129" s="1">
        <f t="shared" si="67"/>
        <v>0</v>
      </c>
      <c r="AE129" s="1">
        <f t="shared" si="68"/>
        <v>0</v>
      </c>
      <c r="AF129" s="1" t="str">
        <f>IFERROR(MATCH(ROW()-6,MUSTERILER!$U$7:$U$156,0),"")</f>
        <v/>
      </c>
      <c r="AG129" s="1">
        <f>IF($B129="",0,SUMIFS(GELIR_GIDER!$G$7:$G$3006,GELIR_GIDER!$T$7:$T$3006,$B129))</f>
        <v>0</v>
      </c>
    </row>
    <row r="130" spans="1:33" ht="18" customHeight="1" x14ac:dyDescent="0.3">
      <c r="A130" s="2"/>
      <c r="B130" s="65" t="str">
        <f>IF($AF130="","",INDEX(MUSTERILER!$B$7:$B$156,$AF130))</f>
        <v/>
      </c>
      <c r="C130" s="74" t="str">
        <f>IF($AF130="","",INDEX(MUSTERILER!$C$7:$C$156,$AF130))</f>
        <v/>
      </c>
      <c r="D130" s="68" t="str">
        <f>IF($B130="","",SUMIFS(UCRETLER!$G$7:$G$606,UCRETLER!$B$7:$B$606,$B130,UCRETLER!$F$7:$F$606,"Haftalık",UCRETLER!$H$7:$H$606,"Aktif"))</f>
        <v/>
      </c>
      <c r="E130" s="68" t="str">
        <f>IF($B130="","",SUMIFS(UCRETLER!$G$7:$G$606,UCRETLER!$B$7:$B$606,$B130,UCRETLER!$F$7:$F$606,"Aylık",UCRETLER!$H$7:$H$606,"Aktif"))</f>
        <v/>
      </c>
      <c r="F130" s="68" t="str">
        <f>IF($B130="","",SUMIFS(MUSTERILER!$J$7:$J$156,MUSTERILER!$B$7:$B$156,$B130))</f>
        <v/>
      </c>
      <c r="G130" s="68" t="str">
        <f>IF($B130="","",SUMIFS(UCRETLER!$I$7:$I$606,UCRETLER!$B$7:$B$606,$B130)+SUMIFS(GELIR_GIDER!$G$7:$G$3006,GELIR_GIDER!$T$7:$T$3006,$B130))</f>
        <v/>
      </c>
      <c r="H130" s="68" t="str">
        <f t="shared" si="52"/>
        <v/>
      </c>
      <c r="I130" s="68" t="str">
        <f>IF($B130="","",SUMIFS(TAHSILAT!$F$7:$F$2506,TAHSILAT!$C$7:$C$2506,$B130))</f>
        <v/>
      </c>
      <c r="J130" s="68" t="str">
        <f t="shared" si="53"/>
        <v/>
      </c>
      <c r="K130" s="68" t="str">
        <f t="shared" si="54"/>
        <v/>
      </c>
      <c r="L130" s="68" t="str">
        <f t="shared" si="55"/>
        <v/>
      </c>
      <c r="M130" s="68" t="str">
        <f t="shared" si="56"/>
        <v/>
      </c>
      <c r="N130" s="68" t="str">
        <f t="shared" si="57"/>
        <v/>
      </c>
      <c r="O130" s="86" t="str">
        <f t="shared" si="58"/>
        <v/>
      </c>
      <c r="P130" s="70" t="str">
        <f>IF($B130="","",IFERROR(LOOKUP(2,1/(TAHSILAT!$C$7:$C$2506=$B130),TAHSILAT!$E$7:$E$2506),""))</f>
        <v/>
      </c>
      <c r="Q130" s="65" t="str">
        <f t="shared" si="59"/>
        <v/>
      </c>
      <c r="R130" s="74" t="str">
        <f t="shared" si="60"/>
        <v/>
      </c>
      <c r="S130" s="76" t="str">
        <f>IF($B130="","",COUNTIFS(AKTIVITE!$D$7:$D$1006,$B130,AKTIVITE!$J$7:$J$1006,"&lt;&gt;Tamamlandı"))</f>
        <v/>
      </c>
      <c r="T130" s="70" t="str">
        <f>IF(OR($B130="",$AF130=""),"",IF(INDEX(MUSTERILER!$K$7:$K$156,$AF130)="","",INDEX(MUSTERILER!$K$7:$K$156,$AF130)))</f>
        <v/>
      </c>
      <c r="U130" s="76" t="str">
        <f t="shared" ca="1" si="61"/>
        <v/>
      </c>
      <c r="V130" s="68" t="str">
        <f t="shared" si="62"/>
        <v/>
      </c>
      <c r="W130" s="65" t="str">
        <f t="shared" si="63"/>
        <v/>
      </c>
      <c r="X130" s="2">
        <f>IF($B130="",0,SUMIFS(UCRETLER!$J$7:$J$606,UCRETLER!$B$7:$B$606,$B130))</f>
        <v>0</v>
      </c>
      <c r="Y130" s="2">
        <f>IF($B130="",0,SUMIFS(UCRETLER!$K$7:$K$606,UCRETLER!$B$7:$B$606,$B130))</f>
        <v>0</v>
      </c>
      <c r="Z130" s="1">
        <f>IF($B130="",0,SUMIFS(UCRETLER!$L$7:$L$606,UCRETLER!$B$7:$B$606,$B130))</f>
        <v>0</v>
      </c>
      <c r="AA130" s="1">
        <f t="shared" si="64"/>
        <v>0</v>
      </c>
      <c r="AB130" s="1">
        <f t="shared" si="65"/>
        <v>0</v>
      </c>
      <c r="AC130" s="1">
        <f t="shared" si="66"/>
        <v>0</v>
      </c>
      <c r="AD130" s="1">
        <f t="shared" si="67"/>
        <v>0</v>
      </c>
      <c r="AE130" s="1">
        <f t="shared" si="68"/>
        <v>0</v>
      </c>
      <c r="AF130" s="1" t="str">
        <f>IFERROR(MATCH(ROW()-6,MUSTERILER!$U$7:$U$156,0),"")</f>
        <v/>
      </c>
      <c r="AG130" s="1">
        <f>IF($B130="",0,SUMIFS(GELIR_GIDER!$G$7:$G$3006,GELIR_GIDER!$T$7:$T$3006,$B130))</f>
        <v>0</v>
      </c>
    </row>
    <row r="131" spans="1:33" ht="18" customHeight="1" x14ac:dyDescent="0.3">
      <c r="A131" s="2"/>
      <c r="B131" s="65" t="str">
        <f>IF($AF131="","",INDEX(MUSTERILER!$B$7:$B$156,$AF131))</f>
        <v/>
      </c>
      <c r="C131" s="74" t="str">
        <f>IF($AF131="","",INDEX(MUSTERILER!$C$7:$C$156,$AF131))</f>
        <v/>
      </c>
      <c r="D131" s="68" t="str">
        <f>IF($B131="","",SUMIFS(UCRETLER!$G$7:$G$606,UCRETLER!$B$7:$B$606,$B131,UCRETLER!$F$7:$F$606,"Haftalık",UCRETLER!$H$7:$H$606,"Aktif"))</f>
        <v/>
      </c>
      <c r="E131" s="68" t="str">
        <f>IF($B131="","",SUMIFS(UCRETLER!$G$7:$G$606,UCRETLER!$B$7:$B$606,$B131,UCRETLER!$F$7:$F$606,"Aylık",UCRETLER!$H$7:$H$606,"Aktif"))</f>
        <v/>
      </c>
      <c r="F131" s="68" t="str">
        <f>IF($B131="","",SUMIFS(MUSTERILER!$J$7:$J$156,MUSTERILER!$B$7:$B$156,$B131))</f>
        <v/>
      </c>
      <c r="G131" s="68" t="str">
        <f>IF($B131="","",SUMIFS(UCRETLER!$I$7:$I$606,UCRETLER!$B$7:$B$606,$B131)+SUMIFS(GELIR_GIDER!$G$7:$G$3006,GELIR_GIDER!$T$7:$T$3006,$B131))</f>
        <v/>
      </c>
      <c r="H131" s="68" t="str">
        <f t="shared" si="52"/>
        <v/>
      </c>
      <c r="I131" s="68" t="str">
        <f>IF($B131="","",SUMIFS(TAHSILAT!$F$7:$F$2506,TAHSILAT!$C$7:$C$2506,$B131))</f>
        <v/>
      </c>
      <c r="J131" s="68" t="str">
        <f t="shared" si="53"/>
        <v/>
      </c>
      <c r="K131" s="68" t="str">
        <f t="shared" si="54"/>
        <v/>
      </c>
      <c r="L131" s="68" t="str">
        <f t="shared" si="55"/>
        <v/>
      </c>
      <c r="M131" s="68" t="str">
        <f t="shared" si="56"/>
        <v/>
      </c>
      <c r="N131" s="68" t="str">
        <f t="shared" si="57"/>
        <v/>
      </c>
      <c r="O131" s="86" t="str">
        <f t="shared" si="58"/>
        <v/>
      </c>
      <c r="P131" s="70" t="str">
        <f>IF($B131="","",IFERROR(LOOKUP(2,1/(TAHSILAT!$C$7:$C$2506=$B131),TAHSILAT!$E$7:$E$2506),""))</f>
        <v/>
      </c>
      <c r="Q131" s="65" t="str">
        <f t="shared" si="59"/>
        <v/>
      </c>
      <c r="R131" s="74" t="str">
        <f t="shared" si="60"/>
        <v/>
      </c>
      <c r="S131" s="76" t="str">
        <f>IF($B131="","",COUNTIFS(AKTIVITE!$D$7:$D$1006,$B131,AKTIVITE!$J$7:$J$1006,"&lt;&gt;Tamamlandı"))</f>
        <v/>
      </c>
      <c r="T131" s="70" t="str">
        <f>IF(OR($B131="",$AF131=""),"",IF(INDEX(MUSTERILER!$K$7:$K$156,$AF131)="","",INDEX(MUSTERILER!$K$7:$K$156,$AF131)))</f>
        <v/>
      </c>
      <c r="U131" s="76" t="str">
        <f t="shared" ca="1" si="61"/>
        <v/>
      </c>
      <c r="V131" s="68" t="str">
        <f t="shared" si="62"/>
        <v/>
      </c>
      <c r="W131" s="65" t="str">
        <f t="shared" si="63"/>
        <v/>
      </c>
      <c r="X131" s="2">
        <f>IF($B131="",0,SUMIFS(UCRETLER!$J$7:$J$606,UCRETLER!$B$7:$B$606,$B131))</f>
        <v>0</v>
      </c>
      <c r="Y131" s="2">
        <f>IF($B131="",0,SUMIFS(UCRETLER!$K$7:$K$606,UCRETLER!$B$7:$B$606,$B131))</f>
        <v>0</v>
      </c>
      <c r="Z131" s="1">
        <f>IF($B131="",0,SUMIFS(UCRETLER!$L$7:$L$606,UCRETLER!$B$7:$B$606,$B131))</f>
        <v>0</v>
      </c>
      <c r="AA131" s="1">
        <f t="shared" si="64"/>
        <v>0</v>
      </c>
      <c r="AB131" s="1">
        <f t="shared" si="65"/>
        <v>0</v>
      </c>
      <c r="AC131" s="1">
        <f t="shared" si="66"/>
        <v>0</v>
      </c>
      <c r="AD131" s="1">
        <f t="shared" si="67"/>
        <v>0</v>
      </c>
      <c r="AE131" s="1">
        <f t="shared" si="68"/>
        <v>0</v>
      </c>
      <c r="AF131" s="1" t="str">
        <f>IFERROR(MATCH(ROW()-6,MUSTERILER!$U$7:$U$156,0),"")</f>
        <v/>
      </c>
      <c r="AG131" s="1">
        <f>IF($B131="",0,SUMIFS(GELIR_GIDER!$G$7:$G$3006,GELIR_GIDER!$T$7:$T$3006,$B131))</f>
        <v>0</v>
      </c>
    </row>
    <row r="132" spans="1:33" ht="18" customHeight="1" x14ac:dyDescent="0.3">
      <c r="A132" s="2"/>
      <c r="B132" s="65" t="str">
        <f>IF($AF132="","",INDEX(MUSTERILER!$B$7:$B$156,$AF132))</f>
        <v/>
      </c>
      <c r="C132" s="74" t="str">
        <f>IF($AF132="","",INDEX(MUSTERILER!$C$7:$C$156,$AF132))</f>
        <v/>
      </c>
      <c r="D132" s="68" t="str">
        <f>IF($B132="","",SUMIFS(UCRETLER!$G$7:$G$606,UCRETLER!$B$7:$B$606,$B132,UCRETLER!$F$7:$F$606,"Haftalık",UCRETLER!$H$7:$H$606,"Aktif"))</f>
        <v/>
      </c>
      <c r="E132" s="68" t="str">
        <f>IF($B132="","",SUMIFS(UCRETLER!$G$7:$G$606,UCRETLER!$B$7:$B$606,$B132,UCRETLER!$F$7:$F$606,"Aylık",UCRETLER!$H$7:$H$606,"Aktif"))</f>
        <v/>
      </c>
      <c r="F132" s="68" t="str">
        <f>IF($B132="","",SUMIFS(MUSTERILER!$J$7:$J$156,MUSTERILER!$B$7:$B$156,$B132))</f>
        <v/>
      </c>
      <c r="G132" s="68" t="str">
        <f>IF($B132="","",SUMIFS(UCRETLER!$I$7:$I$606,UCRETLER!$B$7:$B$606,$B132)+SUMIFS(GELIR_GIDER!$G$7:$G$3006,GELIR_GIDER!$T$7:$T$3006,$B132))</f>
        <v/>
      </c>
      <c r="H132" s="68" t="str">
        <f t="shared" si="52"/>
        <v/>
      </c>
      <c r="I132" s="68" t="str">
        <f>IF($B132="","",SUMIFS(TAHSILAT!$F$7:$F$2506,TAHSILAT!$C$7:$C$2506,$B132))</f>
        <v/>
      </c>
      <c r="J132" s="68" t="str">
        <f t="shared" si="53"/>
        <v/>
      </c>
      <c r="K132" s="68" t="str">
        <f t="shared" si="54"/>
        <v/>
      </c>
      <c r="L132" s="68" t="str">
        <f t="shared" si="55"/>
        <v/>
      </c>
      <c r="M132" s="68" t="str">
        <f t="shared" si="56"/>
        <v/>
      </c>
      <c r="N132" s="68" t="str">
        <f t="shared" si="57"/>
        <v/>
      </c>
      <c r="O132" s="86" t="str">
        <f t="shared" si="58"/>
        <v/>
      </c>
      <c r="P132" s="70" t="str">
        <f>IF($B132="","",IFERROR(LOOKUP(2,1/(TAHSILAT!$C$7:$C$2506=$B132),TAHSILAT!$E$7:$E$2506),""))</f>
        <v/>
      </c>
      <c r="Q132" s="65" t="str">
        <f t="shared" si="59"/>
        <v/>
      </c>
      <c r="R132" s="74" t="str">
        <f t="shared" si="60"/>
        <v/>
      </c>
      <c r="S132" s="76" t="str">
        <f>IF($B132="","",COUNTIFS(AKTIVITE!$D$7:$D$1006,$B132,AKTIVITE!$J$7:$J$1006,"&lt;&gt;Tamamlandı"))</f>
        <v/>
      </c>
      <c r="T132" s="70" t="str">
        <f>IF(OR($B132="",$AF132=""),"",IF(INDEX(MUSTERILER!$K$7:$K$156,$AF132)="","",INDEX(MUSTERILER!$K$7:$K$156,$AF132)))</f>
        <v/>
      </c>
      <c r="U132" s="76" t="str">
        <f t="shared" ca="1" si="61"/>
        <v/>
      </c>
      <c r="V132" s="68" t="str">
        <f t="shared" si="62"/>
        <v/>
      </c>
      <c r="W132" s="65" t="str">
        <f t="shared" si="63"/>
        <v/>
      </c>
      <c r="X132" s="2">
        <f>IF($B132="",0,SUMIFS(UCRETLER!$J$7:$J$606,UCRETLER!$B$7:$B$606,$B132))</f>
        <v>0</v>
      </c>
      <c r="Y132" s="2">
        <f>IF($B132="",0,SUMIFS(UCRETLER!$K$7:$K$606,UCRETLER!$B$7:$B$606,$B132))</f>
        <v>0</v>
      </c>
      <c r="Z132" s="1">
        <f>IF($B132="",0,SUMIFS(UCRETLER!$L$7:$L$606,UCRETLER!$B$7:$B$606,$B132))</f>
        <v>0</v>
      </c>
      <c r="AA132" s="1">
        <f t="shared" si="64"/>
        <v>0</v>
      </c>
      <c r="AB132" s="1">
        <f t="shared" si="65"/>
        <v>0</v>
      </c>
      <c r="AC132" s="1">
        <f t="shared" si="66"/>
        <v>0</v>
      </c>
      <c r="AD132" s="1">
        <f t="shared" si="67"/>
        <v>0</v>
      </c>
      <c r="AE132" s="1">
        <f t="shared" si="68"/>
        <v>0</v>
      </c>
      <c r="AF132" s="1" t="str">
        <f>IFERROR(MATCH(ROW()-6,MUSTERILER!$U$7:$U$156,0),"")</f>
        <v/>
      </c>
      <c r="AG132" s="1">
        <f>IF($B132="",0,SUMIFS(GELIR_GIDER!$G$7:$G$3006,GELIR_GIDER!$T$7:$T$3006,$B132))</f>
        <v>0</v>
      </c>
    </row>
    <row r="133" spans="1:33" ht="18" customHeight="1" x14ac:dyDescent="0.3">
      <c r="A133" s="2"/>
      <c r="B133" s="65" t="str">
        <f>IF($AF133="","",INDEX(MUSTERILER!$B$7:$B$156,$AF133))</f>
        <v/>
      </c>
      <c r="C133" s="74" t="str">
        <f>IF($AF133="","",INDEX(MUSTERILER!$C$7:$C$156,$AF133))</f>
        <v/>
      </c>
      <c r="D133" s="68" t="str">
        <f>IF($B133="","",SUMIFS(UCRETLER!$G$7:$G$606,UCRETLER!$B$7:$B$606,$B133,UCRETLER!$F$7:$F$606,"Haftalık",UCRETLER!$H$7:$H$606,"Aktif"))</f>
        <v/>
      </c>
      <c r="E133" s="68" t="str">
        <f>IF($B133="","",SUMIFS(UCRETLER!$G$7:$G$606,UCRETLER!$B$7:$B$606,$B133,UCRETLER!$F$7:$F$606,"Aylık",UCRETLER!$H$7:$H$606,"Aktif"))</f>
        <v/>
      </c>
      <c r="F133" s="68" t="str">
        <f>IF($B133="","",SUMIFS(MUSTERILER!$J$7:$J$156,MUSTERILER!$B$7:$B$156,$B133))</f>
        <v/>
      </c>
      <c r="G133" s="68" t="str">
        <f>IF($B133="","",SUMIFS(UCRETLER!$I$7:$I$606,UCRETLER!$B$7:$B$606,$B133)+SUMIFS(GELIR_GIDER!$G$7:$G$3006,GELIR_GIDER!$T$7:$T$3006,$B133))</f>
        <v/>
      </c>
      <c r="H133" s="68" t="str">
        <f t="shared" si="52"/>
        <v/>
      </c>
      <c r="I133" s="68" t="str">
        <f>IF($B133="","",SUMIFS(TAHSILAT!$F$7:$F$2506,TAHSILAT!$C$7:$C$2506,$B133))</f>
        <v/>
      </c>
      <c r="J133" s="68" t="str">
        <f t="shared" si="53"/>
        <v/>
      </c>
      <c r="K133" s="68" t="str">
        <f t="shared" si="54"/>
        <v/>
      </c>
      <c r="L133" s="68" t="str">
        <f t="shared" si="55"/>
        <v/>
      </c>
      <c r="M133" s="68" t="str">
        <f t="shared" si="56"/>
        <v/>
      </c>
      <c r="N133" s="68" t="str">
        <f t="shared" si="57"/>
        <v/>
      </c>
      <c r="O133" s="86" t="str">
        <f t="shared" si="58"/>
        <v/>
      </c>
      <c r="P133" s="70" t="str">
        <f>IF($B133="","",IFERROR(LOOKUP(2,1/(TAHSILAT!$C$7:$C$2506=$B133),TAHSILAT!$E$7:$E$2506),""))</f>
        <v/>
      </c>
      <c r="Q133" s="65" t="str">
        <f t="shared" si="59"/>
        <v/>
      </c>
      <c r="R133" s="74" t="str">
        <f t="shared" si="60"/>
        <v/>
      </c>
      <c r="S133" s="76" t="str">
        <f>IF($B133="","",COUNTIFS(AKTIVITE!$D$7:$D$1006,$B133,AKTIVITE!$J$7:$J$1006,"&lt;&gt;Tamamlandı"))</f>
        <v/>
      </c>
      <c r="T133" s="70" t="str">
        <f>IF(OR($B133="",$AF133=""),"",IF(INDEX(MUSTERILER!$K$7:$K$156,$AF133)="","",INDEX(MUSTERILER!$K$7:$K$156,$AF133)))</f>
        <v/>
      </c>
      <c r="U133" s="76" t="str">
        <f t="shared" ca="1" si="61"/>
        <v/>
      </c>
      <c r="V133" s="68" t="str">
        <f t="shared" si="62"/>
        <v/>
      </c>
      <c r="W133" s="65" t="str">
        <f t="shared" si="63"/>
        <v/>
      </c>
      <c r="X133" s="2">
        <f>IF($B133="",0,SUMIFS(UCRETLER!$J$7:$J$606,UCRETLER!$B$7:$B$606,$B133))</f>
        <v>0</v>
      </c>
      <c r="Y133" s="2">
        <f>IF($B133="",0,SUMIFS(UCRETLER!$K$7:$K$606,UCRETLER!$B$7:$B$606,$B133))</f>
        <v>0</v>
      </c>
      <c r="Z133" s="1">
        <f>IF($B133="",0,SUMIFS(UCRETLER!$L$7:$L$606,UCRETLER!$B$7:$B$606,$B133))</f>
        <v>0</v>
      </c>
      <c r="AA133" s="1">
        <f t="shared" si="64"/>
        <v>0</v>
      </c>
      <c r="AB133" s="1">
        <f t="shared" si="65"/>
        <v>0</v>
      </c>
      <c r="AC133" s="1">
        <f t="shared" si="66"/>
        <v>0</v>
      </c>
      <c r="AD133" s="1">
        <f t="shared" si="67"/>
        <v>0</v>
      </c>
      <c r="AE133" s="1">
        <f t="shared" si="68"/>
        <v>0</v>
      </c>
      <c r="AF133" s="1" t="str">
        <f>IFERROR(MATCH(ROW()-6,MUSTERILER!$U$7:$U$156,0),"")</f>
        <v/>
      </c>
      <c r="AG133" s="1">
        <f>IF($B133="",0,SUMIFS(GELIR_GIDER!$G$7:$G$3006,GELIR_GIDER!$T$7:$T$3006,$B133))</f>
        <v>0</v>
      </c>
    </row>
    <row r="134" spans="1:33" ht="18" customHeight="1" x14ac:dyDescent="0.3">
      <c r="A134" s="2"/>
      <c r="B134" s="65" t="str">
        <f>IF($AF134="","",INDEX(MUSTERILER!$B$7:$B$156,$AF134))</f>
        <v/>
      </c>
      <c r="C134" s="74" t="str">
        <f>IF($AF134="","",INDEX(MUSTERILER!$C$7:$C$156,$AF134))</f>
        <v/>
      </c>
      <c r="D134" s="68" t="str">
        <f>IF($B134="","",SUMIFS(UCRETLER!$G$7:$G$606,UCRETLER!$B$7:$B$606,$B134,UCRETLER!$F$7:$F$606,"Haftalık",UCRETLER!$H$7:$H$606,"Aktif"))</f>
        <v/>
      </c>
      <c r="E134" s="68" t="str">
        <f>IF($B134="","",SUMIFS(UCRETLER!$G$7:$G$606,UCRETLER!$B$7:$B$606,$B134,UCRETLER!$F$7:$F$606,"Aylık",UCRETLER!$H$7:$H$606,"Aktif"))</f>
        <v/>
      </c>
      <c r="F134" s="68" t="str">
        <f>IF($B134="","",SUMIFS(MUSTERILER!$J$7:$J$156,MUSTERILER!$B$7:$B$156,$B134))</f>
        <v/>
      </c>
      <c r="G134" s="68" t="str">
        <f>IF($B134="","",SUMIFS(UCRETLER!$I$7:$I$606,UCRETLER!$B$7:$B$606,$B134)+SUMIFS(GELIR_GIDER!$G$7:$G$3006,GELIR_GIDER!$T$7:$T$3006,$B134))</f>
        <v/>
      </c>
      <c r="H134" s="68" t="str">
        <f t="shared" si="52"/>
        <v/>
      </c>
      <c r="I134" s="68" t="str">
        <f>IF($B134="","",SUMIFS(TAHSILAT!$F$7:$F$2506,TAHSILAT!$C$7:$C$2506,$B134))</f>
        <v/>
      </c>
      <c r="J134" s="68" t="str">
        <f t="shared" si="53"/>
        <v/>
      </c>
      <c r="K134" s="68" t="str">
        <f t="shared" si="54"/>
        <v/>
      </c>
      <c r="L134" s="68" t="str">
        <f t="shared" si="55"/>
        <v/>
      </c>
      <c r="M134" s="68" t="str">
        <f t="shared" si="56"/>
        <v/>
      </c>
      <c r="N134" s="68" t="str">
        <f t="shared" si="57"/>
        <v/>
      </c>
      <c r="O134" s="86" t="str">
        <f t="shared" si="58"/>
        <v/>
      </c>
      <c r="P134" s="70" t="str">
        <f>IF($B134="","",IFERROR(LOOKUP(2,1/(TAHSILAT!$C$7:$C$2506=$B134),TAHSILAT!$E$7:$E$2506),""))</f>
        <v/>
      </c>
      <c r="Q134" s="65" t="str">
        <f t="shared" si="59"/>
        <v/>
      </c>
      <c r="R134" s="74" t="str">
        <f t="shared" si="60"/>
        <v/>
      </c>
      <c r="S134" s="76" t="str">
        <f>IF($B134="","",COUNTIFS(AKTIVITE!$D$7:$D$1006,$B134,AKTIVITE!$J$7:$J$1006,"&lt;&gt;Tamamlandı"))</f>
        <v/>
      </c>
      <c r="T134" s="70" t="str">
        <f>IF(OR($B134="",$AF134=""),"",IF(INDEX(MUSTERILER!$K$7:$K$156,$AF134)="","",INDEX(MUSTERILER!$K$7:$K$156,$AF134)))</f>
        <v/>
      </c>
      <c r="U134" s="76" t="str">
        <f t="shared" ca="1" si="61"/>
        <v/>
      </c>
      <c r="V134" s="68" t="str">
        <f t="shared" si="62"/>
        <v/>
      </c>
      <c r="W134" s="65" t="str">
        <f t="shared" si="63"/>
        <v/>
      </c>
      <c r="X134" s="2">
        <f>IF($B134="",0,SUMIFS(UCRETLER!$J$7:$J$606,UCRETLER!$B$7:$B$606,$B134))</f>
        <v>0</v>
      </c>
      <c r="Y134" s="2">
        <f>IF($B134="",0,SUMIFS(UCRETLER!$K$7:$K$606,UCRETLER!$B$7:$B$606,$B134))</f>
        <v>0</v>
      </c>
      <c r="Z134" s="1">
        <f>IF($B134="",0,SUMIFS(UCRETLER!$L$7:$L$606,UCRETLER!$B$7:$B$606,$B134))</f>
        <v>0</v>
      </c>
      <c r="AA134" s="1">
        <f t="shared" si="64"/>
        <v>0</v>
      </c>
      <c r="AB134" s="1">
        <f t="shared" si="65"/>
        <v>0</v>
      </c>
      <c r="AC134" s="1">
        <f t="shared" si="66"/>
        <v>0</v>
      </c>
      <c r="AD134" s="1">
        <f t="shared" si="67"/>
        <v>0</v>
      </c>
      <c r="AE134" s="1">
        <f t="shared" si="68"/>
        <v>0</v>
      </c>
      <c r="AF134" s="1" t="str">
        <f>IFERROR(MATCH(ROW()-6,MUSTERILER!$U$7:$U$156,0),"")</f>
        <v/>
      </c>
      <c r="AG134" s="1">
        <f>IF($B134="",0,SUMIFS(GELIR_GIDER!$G$7:$G$3006,GELIR_GIDER!$T$7:$T$3006,$B134))</f>
        <v>0</v>
      </c>
    </row>
    <row r="135" spans="1:33" ht="18" customHeight="1" x14ac:dyDescent="0.3">
      <c r="A135" s="2"/>
      <c r="B135" s="65" t="str">
        <f>IF($AF135="","",INDEX(MUSTERILER!$B$7:$B$156,$AF135))</f>
        <v/>
      </c>
      <c r="C135" s="74" t="str">
        <f>IF($AF135="","",INDEX(MUSTERILER!$C$7:$C$156,$AF135))</f>
        <v/>
      </c>
      <c r="D135" s="68" t="str">
        <f>IF($B135="","",SUMIFS(UCRETLER!$G$7:$G$606,UCRETLER!$B$7:$B$606,$B135,UCRETLER!$F$7:$F$606,"Haftalık",UCRETLER!$H$7:$H$606,"Aktif"))</f>
        <v/>
      </c>
      <c r="E135" s="68" t="str">
        <f>IF($B135="","",SUMIFS(UCRETLER!$G$7:$G$606,UCRETLER!$B$7:$B$606,$B135,UCRETLER!$F$7:$F$606,"Aylık",UCRETLER!$H$7:$H$606,"Aktif"))</f>
        <v/>
      </c>
      <c r="F135" s="68" t="str">
        <f>IF($B135="","",SUMIFS(MUSTERILER!$J$7:$J$156,MUSTERILER!$B$7:$B$156,$B135))</f>
        <v/>
      </c>
      <c r="G135" s="68" t="str">
        <f>IF($B135="","",SUMIFS(UCRETLER!$I$7:$I$606,UCRETLER!$B$7:$B$606,$B135)+SUMIFS(GELIR_GIDER!$G$7:$G$3006,GELIR_GIDER!$T$7:$T$3006,$B135))</f>
        <v/>
      </c>
      <c r="H135" s="68" t="str">
        <f t="shared" ref="H135:H156" si="69">IF($B135="","",$F135+$G135)</f>
        <v/>
      </c>
      <c r="I135" s="68" t="str">
        <f>IF($B135="","",SUMIFS(TAHSILAT!$F$7:$F$2506,TAHSILAT!$C$7:$C$2506,$B135))</f>
        <v/>
      </c>
      <c r="J135" s="68" t="str">
        <f t="shared" ref="J135:J156" si="70">IF($B135="","",MAX(0,$H135-$I135))</f>
        <v/>
      </c>
      <c r="K135" s="68" t="str">
        <f t="shared" ref="K135:K156" si="71">IF($B135="","",MAX(0,$J135-$L135-$M135-$N135))</f>
        <v/>
      </c>
      <c r="L135" s="68" t="str">
        <f t="shared" ref="L135:L156" si="72">IF($B135="","",($AC135-$AD135)+IF(AND($AB135&gt;0,$T135&lt;&gt;"",$U135&gt;=8,$U135&lt;15),$AB135,0))</f>
        <v/>
      </c>
      <c r="M135" s="68" t="str">
        <f t="shared" ref="M135:M156" si="73">IF($B135="","",($AD135-$AE135)+IF(AND($AB135&gt;0,$T135&lt;&gt;"",$U135&gt;=15,$U135&lt;29),$AB135,0))</f>
        <v/>
      </c>
      <c r="N135" s="68" t="str">
        <f t="shared" ref="N135:N156" si="74">IF($B135="","",$AE135+IF(AND($AB135&gt;0,OR($T135="",$U135&gt;=29)),$AB135,0))</f>
        <v/>
      </c>
      <c r="O135" s="86" t="str">
        <f t="shared" ref="O135:O156" si="75">IF($B135="","",IFERROR($I135/$H135,0))</f>
        <v/>
      </c>
      <c r="P135" s="70" t="str">
        <f>IF($B135="","",IFERROR(LOOKUP(2,1/(TAHSILAT!$C$7:$C$2506=$B135),TAHSILAT!$E$7:$E$2506),""))</f>
        <v/>
      </c>
      <c r="Q135" s="65" t="str">
        <f t="shared" ref="Q135:Q156" si="76">IF($B135="","",IF($N135&gt;0,"KRİTİK",IF($M135&gt;0,"YÜKSEK",IF($L135&gt;0,"ORTA",IF($J135&gt;0,"İZLE","TEMİZ")))))</f>
        <v/>
      </c>
      <c r="R135" s="74" t="str">
        <f t="shared" ref="R135:R156" si="77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76" t="str">
        <f>IF($B135="","",COUNTIFS(AKTIVITE!$D$7:$D$1006,$B135,AKTIVITE!$J$7:$J$1006,"&lt;&gt;Tamamlandı"))</f>
        <v/>
      </c>
      <c r="T135" s="70" t="str">
        <f>IF(OR($B135="",$AF135=""),"",IF(INDEX(MUSTERILER!$K$7:$K$156,$AF135)="","",INDEX(MUSTERILER!$K$7:$K$156,$AF135)))</f>
        <v/>
      </c>
      <c r="U135" s="76" t="str">
        <f t="shared" ref="U135:U156" ca="1" si="78">IF(OR($B135="",$T135=""),"",TODAY()-$T135)</f>
        <v/>
      </c>
      <c r="V135" s="68" t="str">
        <f t="shared" ref="V135:V156" si="79">IF($B135="","",MAX(0,$I135-$H135))</f>
        <v/>
      </c>
      <c r="W135" s="65" t="str">
        <f t="shared" ref="W135:W156" si="80">IF($B135="","",IF(AND(ABS($J135-($K135+$L135+$M135+$N135))&lt;0.01,ABS(($J135-$V135)-($H135-$I135))&lt;0.01),"UYGUN","İNCELE"))</f>
        <v/>
      </c>
      <c r="X135" s="2">
        <f>IF($B135="",0,SUMIFS(UCRETLER!$J$7:$J$606,UCRETLER!$B$7:$B$606,$B135))</f>
        <v>0</v>
      </c>
      <c r="Y135" s="2">
        <f>IF($B135="",0,SUMIFS(UCRETLER!$K$7:$K$606,UCRETLER!$B$7:$B$606,$B135))</f>
        <v>0</v>
      </c>
      <c r="Z135" s="1">
        <f>IF($B135="",0,SUMIFS(UCRETLER!$L$7:$L$606,UCRETLER!$B$7:$B$606,$B135))</f>
        <v>0</v>
      </c>
      <c r="AA135" s="1">
        <f t="shared" ref="AA135:AA156" si="81">IF($B135="",0,MAX(0,$I135-$F135))</f>
        <v>0</v>
      </c>
      <c r="AB135" s="1">
        <f t="shared" ref="AB135:AB156" si="82">IF($B135="",0,MAX(0,$F135-$I135))</f>
        <v>0</v>
      </c>
      <c r="AC135" s="1">
        <f t="shared" ref="AC135:AC156" si="83">IF($B135="",0,MAX(0,$X135-$AA135))</f>
        <v>0</v>
      </c>
      <c r="AD135" s="1">
        <f t="shared" ref="AD135:AD156" si="84">IF($B135="",0,MAX(0,$Y135-$AA135))</f>
        <v>0</v>
      </c>
      <c r="AE135" s="1">
        <f t="shared" ref="AE135:AE156" si="85">IF($B135="",0,MAX(0,$Z135-$AA135))</f>
        <v>0</v>
      </c>
      <c r="AF135" s="1" t="str">
        <f>IFERROR(MATCH(ROW()-6,MUSTERILER!$U$7:$U$156,0),"")</f>
        <v/>
      </c>
      <c r="AG135" s="1">
        <f>IF($B135="",0,SUMIFS(GELIR_GIDER!$G$7:$G$3006,GELIR_GIDER!$T$7:$T$3006,$B135))</f>
        <v>0</v>
      </c>
    </row>
    <row r="136" spans="1:33" ht="18" customHeight="1" x14ac:dyDescent="0.3">
      <c r="A136" s="2"/>
      <c r="B136" s="65" t="str">
        <f>IF($AF136="","",INDEX(MUSTERILER!$B$7:$B$156,$AF136))</f>
        <v/>
      </c>
      <c r="C136" s="74" t="str">
        <f>IF($AF136="","",INDEX(MUSTERILER!$C$7:$C$156,$AF136))</f>
        <v/>
      </c>
      <c r="D136" s="68" t="str">
        <f>IF($B136="","",SUMIFS(UCRETLER!$G$7:$G$606,UCRETLER!$B$7:$B$606,$B136,UCRETLER!$F$7:$F$606,"Haftalık",UCRETLER!$H$7:$H$606,"Aktif"))</f>
        <v/>
      </c>
      <c r="E136" s="68" t="str">
        <f>IF($B136="","",SUMIFS(UCRETLER!$G$7:$G$606,UCRETLER!$B$7:$B$606,$B136,UCRETLER!$F$7:$F$606,"Aylık",UCRETLER!$H$7:$H$606,"Aktif"))</f>
        <v/>
      </c>
      <c r="F136" s="68" t="str">
        <f>IF($B136="","",SUMIFS(MUSTERILER!$J$7:$J$156,MUSTERILER!$B$7:$B$156,$B136))</f>
        <v/>
      </c>
      <c r="G136" s="68" t="str">
        <f>IF($B136="","",SUMIFS(UCRETLER!$I$7:$I$606,UCRETLER!$B$7:$B$606,$B136)+SUMIFS(GELIR_GIDER!$G$7:$G$3006,GELIR_GIDER!$T$7:$T$3006,$B136))</f>
        <v/>
      </c>
      <c r="H136" s="68" t="str">
        <f t="shared" si="69"/>
        <v/>
      </c>
      <c r="I136" s="68" t="str">
        <f>IF($B136="","",SUMIFS(TAHSILAT!$F$7:$F$2506,TAHSILAT!$C$7:$C$2506,$B136))</f>
        <v/>
      </c>
      <c r="J136" s="68" t="str">
        <f t="shared" si="70"/>
        <v/>
      </c>
      <c r="K136" s="68" t="str">
        <f t="shared" si="71"/>
        <v/>
      </c>
      <c r="L136" s="68" t="str">
        <f t="shared" si="72"/>
        <v/>
      </c>
      <c r="M136" s="68" t="str">
        <f t="shared" si="73"/>
        <v/>
      </c>
      <c r="N136" s="68" t="str">
        <f t="shared" si="74"/>
        <v/>
      </c>
      <c r="O136" s="86" t="str">
        <f t="shared" si="75"/>
        <v/>
      </c>
      <c r="P136" s="70" t="str">
        <f>IF($B136="","",IFERROR(LOOKUP(2,1/(TAHSILAT!$C$7:$C$2506=$B136),TAHSILAT!$E$7:$E$2506),""))</f>
        <v/>
      </c>
      <c r="Q136" s="65" t="str">
        <f t="shared" si="76"/>
        <v/>
      </c>
      <c r="R136" s="74" t="str">
        <f t="shared" si="77"/>
        <v/>
      </c>
      <c r="S136" s="76" t="str">
        <f>IF($B136="","",COUNTIFS(AKTIVITE!$D$7:$D$1006,$B136,AKTIVITE!$J$7:$J$1006,"&lt;&gt;Tamamlandı"))</f>
        <v/>
      </c>
      <c r="T136" s="70" t="str">
        <f>IF(OR($B136="",$AF136=""),"",IF(INDEX(MUSTERILER!$K$7:$K$156,$AF136)="","",INDEX(MUSTERILER!$K$7:$K$156,$AF136)))</f>
        <v/>
      </c>
      <c r="U136" s="76" t="str">
        <f t="shared" ca="1" si="78"/>
        <v/>
      </c>
      <c r="V136" s="68" t="str">
        <f t="shared" si="79"/>
        <v/>
      </c>
      <c r="W136" s="65" t="str">
        <f t="shared" si="80"/>
        <v/>
      </c>
      <c r="X136" s="2">
        <f>IF($B136="",0,SUMIFS(UCRETLER!$J$7:$J$606,UCRETLER!$B$7:$B$606,$B136))</f>
        <v>0</v>
      </c>
      <c r="Y136" s="2">
        <f>IF($B136="",0,SUMIFS(UCRETLER!$K$7:$K$606,UCRETLER!$B$7:$B$606,$B136))</f>
        <v>0</v>
      </c>
      <c r="Z136" s="1">
        <f>IF($B136="",0,SUMIFS(UCRETLER!$L$7:$L$606,UCRETLER!$B$7:$B$606,$B136))</f>
        <v>0</v>
      </c>
      <c r="AA136" s="1">
        <f t="shared" si="81"/>
        <v>0</v>
      </c>
      <c r="AB136" s="1">
        <f t="shared" si="82"/>
        <v>0</v>
      </c>
      <c r="AC136" s="1">
        <f t="shared" si="83"/>
        <v>0</v>
      </c>
      <c r="AD136" s="1">
        <f t="shared" si="84"/>
        <v>0</v>
      </c>
      <c r="AE136" s="1">
        <f t="shared" si="85"/>
        <v>0</v>
      </c>
      <c r="AF136" s="1" t="str">
        <f>IFERROR(MATCH(ROW()-6,MUSTERILER!$U$7:$U$156,0),"")</f>
        <v/>
      </c>
      <c r="AG136" s="1">
        <f>IF($B136="",0,SUMIFS(GELIR_GIDER!$G$7:$G$3006,GELIR_GIDER!$T$7:$T$3006,$B136))</f>
        <v>0</v>
      </c>
    </row>
    <row r="137" spans="1:33" ht="18" customHeight="1" x14ac:dyDescent="0.3">
      <c r="A137" s="2"/>
      <c r="B137" s="65" t="str">
        <f>IF($AF137="","",INDEX(MUSTERILER!$B$7:$B$156,$AF137))</f>
        <v/>
      </c>
      <c r="C137" s="74" t="str">
        <f>IF($AF137="","",INDEX(MUSTERILER!$C$7:$C$156,$AF137))</f>
        <v/>
      </c>
      <c r="D137" s="68" t="str">
        <f>IF($B137="","",SUMIFS(UCRETLER!$G$7:$G$606,UCRETLER!$B$7:$B$606,$B137,UCRETLER!$F$7:$F$606,"Haftalık",UCRETLER!$H$7:$H$606,"Aktif"))</f>
        <v/>
      </c>
      <c r="E137" s="68" t="str">
        <f>IF($B137="","",SUMIFS(UCRETLER!$G$7:$G$606,UCRETLER!$B$7:$B$606,$B137,UCRETLER!$F$7:$F$606,"Aylık",UCRETLER!$H$7:$H$606,"Aktif"))</f>
        <v/>
      </c>
      <c r="F137" s="68" t="str">
        <f>IF($B137="","",SUMIFS(MUSTERILER!$J$7:$J$156,MUSTERILER!$B$7:$B$156,$B137))</f>
        <v/>
      </c>
      <c r="G137" s="68" t="str">
        <f>IF($B137="","",SUMIFS(UCRETLER!$I$7:$I$606,UCRETLER!$B$7:$B$606,$B137)+SUMIFS(GELIR_GIDER!$G$7:$G$3006,GELIR_GIDER!$T$7:$T$3006,$B137))</f>
        <v/>
      </c>
      <c r="H137" s="68" t="str">
        <f t="shared" si="69"/>
        <v/>
      </c>
      <c r="I137" s="68" t="str">
        <f>IF($B137="","",SUMIFS(TAHSILAT!$F$7:$F$2506,TAHSILAT!$C$7:$C$2506,$B137))</f>
        <v/>
      </c>
      <c r="J137" s="68" t="str">
        <f t="shared" si="70"/>
        <v/>
      </c>
      <c r="K137" s="68" t="str">
        <f t="shared" si="71"/>
        <v/>
      </c>
      <c r="L137" s="68" t="str">
        <f t="shared" si="72"/>
        <v/>
      </c>
      <c r="M137" s="68" t="str">
        <f t="shared" si="73"/>
        <v/>
      </c>
      <c r="N137" s="68" t="str">
        <f t="shared" si="74"/>
        <v/>
      </c>
      <c r="O137" s="86" t="str">
        <f t="shared" si="75"/>
        <v/>
      </c>
      <c r="P137" s="70" t="str">
        <f>IF($B137="","",IFERROR(LOOKUP(2,1/(TAHSILAT!$C$7:$C$2506=$B137),TAHSILAT!$E$7:$E$2506),""))</f>
        <v/>
      </c>
      <c r="Q137" s="65" t="str">
        <f t="shared" si="76"/>
        <v/>
      </c>
      <c r="R137" s="74" t="str">
        <f t="shared" si="77"/>
        <v/>
      </c>
      <c r="S137" s="76" t="str">
        <f>IF($B137="","",COUNTIFS(AKTIVITE!$D$7:$D$1006,$B137,AKTIVITE!$J$7:$J$1006,"&lt;&gt;Tamamlandı"))</f>
        <v/>
      </c>
      <c r="T137" s="70" t="str">
        <f>IF(OR($B137="",$AF137=""),"",IF(INDEX(MUSTERILER!$K$7:$K$156,$AF137)="","",INDEX(MUSTERILER!$K$7:$K$156,$AF137)))</f>
        <v/>
      </c>
      <c r="U137" s="76" t="str">
        <f t="shared" ca="1" si="78"/>
        <v/>
      </c>
      <c r="V137" s="68" t="str">
        <f t="shared" si="79"/>
        <v/>
      </c>
      <c r="W137" s="65" t="str">
        <f t="shared" si="80"/>
        <v/>
      </c>
      <c r="X137" s="2">
        <f>IF($B137="",0,SUMIFS(UCRETLER!$J$7:$J$606,UCRETLER!$B$7:$B$606,$B137))</f>
        <v>0</v>
      </c>
      <c r="Y137" s="2">
        <f>IF($B137="",0,SUMIFS(UCRETLER!$K$7:$K$606,UCRETLER!$B$7:$B$606,$B137))</f>
        <v>0</v>
      </c>
      <c r="Z137" s="1">
        <f>IF($B137="",0,SUMIFS(UCRETLER!$L$7:$L$606,UCRETLER!$B$7:$B$606,$B137))</f>
        <v>0</v>
      </c>
      <c r="AA137" s="1">
        <f t="shared" si="81"/>
        <v>0</v>
      </c>
      <c r="AB137" s="1">
        <f t="shared" si="82"/>
        <v>0</v>
      </c>
      <c r="AC137" s="1">
        <f t="shared" si="83"/>
        <v>0</v>
      </c>
      <c r="AD137" s="1">
        <f t="shared" si="84"/>
        <v>0</v>
      </c>
      <c r="AE137" s="1">
        <f t="shared" si="85"/>
        <v>0</v>
      </c>
      <c r="AF137" s="1" t="str">
        <f>IFERROR(MATCH(ROW()-6,MUSTERILER!$U$7:$U$156,0),"")</f>
        <v/>
      </c>
      <c r="AG137" s="1">
        <f>IF($B137="",0,SUMIFS(GELIR_GIDER!$G$7:$G$3006,GELIR_GIDER!$T$7:$T$3006,$B137))</f>
        <v>0</v>
      </c>
    </row>
    <row r="138" spans="1:33" ht="18" customHeight="1" x14ac:dyDescent="0.3">
      <c r="A138" s="2"/>
      <c r="B138" s="65" t="str">
        <f>IF($AF138="","",INDEX(MUSTERILER!$B$7:$B$156,$AF138))</f>
        <v/>
      </c>
      <c r="C138" s="74" t="str">
        <f>IF($AF138="","",INDEX(MUSTERILER!$C$7:$C$156,$AF138))</f>
        <v/>
      </c>
      <c r="D138" s="68" t="str">
        <f>IF($B138="","",SUMIFS(UCRETLER!$G$7:$G$606,UCRETLER!$B$7:$B$606,$B138,UCRETLER!$F$7:$F$606,"Haftalık",UCRETLER!$H$7:$H$606,"Aktif"))</f>
        <v/>
      </c>
      <c r="E138" s="68" t="str">
        <f>IF($B138="","",SUMIFS(UCRETLER!$G$7:$G$606,UCRETLER!$B$7:$B$606,$B138,UCRETLER!$F$7:$F$606,"Aylık",UCRETLER!$H$7:$H$606,"Aktif"))</f>
        <v/>
      </c>
      <c r="F138" s="68" t="str">
        <f>IF($B138="","",SUMIFS(MUSTERILER!$J$7:$J$156,MUSTERILER!$B$7:$B$156,$B138))</f>
        <v/>
      </c>
      <c r="G138" s="68" t="str">
        <f>IF($B138="","",SUMIFS(UCRETLER!$I$7:$I$606,UCRETLER!$B$7:$B$606,$B138)+SUMIFS(GELIR_GIDER!$G$7:$G$3006,GELIR_GIDER!$T$7:$T$3006,$B138))</f>
        <v/>
      </c>
      <c r="H138" s="68" t="str">
        <f t="shared" si="69"/>
        <v/>
      </c>
      <c r="I138" s="68" t="str">
        <f>IF($B138="","",SUMIFS(TAHSILAT!$F$7:$F$2506,TAHSILAT!$C$7:$C$2506,$B138))</f>
        <v/>
      </c>
      <c r="J138" s="68" t="str">
        <f t="shared" si="70"/>
        <v/>
      </c>
      <c r="K138" s="68" t="str">
        <f t="shared" si="71"/>
        <v/>
      </c>
      <c r="L138" s="68" t="str">
        <f t="shared" si="72"/>
        <v/>
      </c>
      <c r="M138" s="68" t="str">
        <f t="shared" si="73"/>
        <v/>
      </c>
      <c r="N138" s="68" t="str">
        <f t="shared" si="74"/>
        <v/>
      </c>
      <c r="O138" s="86" t="str">
        <f t="shared" si="75"/>
        <v/>
      </c>
      <c r="P138" s="70" t="str">
        <f>IF($B138="","",IFERROR(LOOKUP(2,1/(TAHSILAT!$C$7:$C$2506=$B138),TAHSILAT!$E$7:$E$2506),""))</f>
        <v/>
      </c>
      <c r="Q138" s="65" t="str">
        <f t="shared" si="76"/>
        <v/>
      </c>
      <c r="R138" s="74" t="str">
        <f t="shared" si="77"/>
        <v/>
      </c>
      <c r="S138" s="76" t="str">
        <f>IF($B138="","",COUNTIFS(AKTIVITE!$D$7:$D$1006,$B138,AKTIVITE!$J$7:$J$1006,"&lt;&gt;Tamamlandı"))</f>
        <v/>
      </c>
      <c r="T138" s="70" t="str">
        <f>IF(OR($B138="",$AF138=""),"",IF(INDEX(MUSTERILER!$K$7:$K$156,$AF138)="","",INDEX(MUSTERILER!$K$7:$K$156,$AF138)))</f>
        <v/>
      </c>
      <c r="U138" s="76" t="str">
        <f t="shared" ca="1" si="78"/>
        <v/>
      </c>
      <c r="V138" s="68" t="str">
        <f t="shared" si="79"/>
        <v/>
      </c>
      <c r="W138" s="65" t="str">
        <f t="shared" si="80"/>
        <v/>
      </c>
      <c r="X138" s="2">
        <f>IF($B138="",0,SUMIFS(UCRETLER!$J$7:$J$606,UCRETLER!$B$7:$B$606,$B138))</f>
        <v>0</v>
      </c>
      <c r="Y138" s="2">
        <f>IF($B138="",0,SUMIFS(UCRETLER!$K$7:$K$606,UCRETLER!$B$7:$B$606,$B138))</f>
        <v>0</v>
      </c>
      <c r="Z138" s="1">
        <f>IF($B138="",0,SUMIFS(UCRETLER!$L$7:$L$606,UCRETLER!$B$7:$B$606,$B138))</f>
        <v>0</v>
      </c>
      <c r="AA138" s="1">
        <f t="shared" si="81"/>
        <v>0</v>
      </c>
      <c r="AB138" s="1">
        <f t="shared" si="82"/>
        <v>0</v>
      </c>
      <c r="AC138" s="1">
        <f t="shared" si="83"/>
        <v>0</v>
      </c>
      <c r="AD138" s="1">
        <f t="shared" si="84"/>
        <v>0</v>
      </c>
      <c r="AE138" s="1">
        <f t="shared" si="85"/>
        <v>0</v>
      </c>
      <c r="AF138" s="1" t="str">
        <f>IFERROR(MATCH(ROW()-6,MUSTERILER!$U$7:$U$156,0),"")</f>
        <v/>
      </c>
      <c r="AG138" s="1">
        <f>IF($B138="",0,SUMIFS(GELIR_GIDER!$G$7:$G$3006,GELIR_GIDER!$T$7:$T$3006,$B138))</f>
        <v>0</v>
      </c>
    </row>
    <row r="139" spans="1:33" ht="18" customHeight="1" x14ac:dyDescent="0.3">
      <c r="A139" s="2"/>
      <c r="B139" s="65" t="str">
        <f>IF($AF139="","",INDEX(MUSTERILER!$B$7:$B$156,$AF139))</f>
        <v/>
      </c>
      <c r="C139" s="74" t="str">
        <f>IF($AF139="","",INDEX(MUSTERILER!$C$7:$C$156,$AF139))</f>
        <v/>
      </c>
      <c r="D139" s="68" t="str">
        <f>IF($B139="","",SUMIFS(UCRETLER!$G$7:$G$606,UCRETLER!$B$7:$B$606,$B139,UCRETLER!$F$7:$F$606,"Haftalık",UCRETLER!$H$7:$H$606,"Aktif"))</f>
        <v/>
      </c>
      <c r="E139" s="68" t="str">
        <f>IF($B139="","",SUMIFS(UCRETLER!$G$7:$G$606,UCRETLER!$B$7:$B$606,$B139,UCRETLER!$F$7:$F$606,"Aylık",UCRETLER!$H$7:$H$606,"Aktif"))</f>
        <v/>
      </c>
      <c r="F139" s="68" t="str">
        <f>IF($B139="","",SUMIFS(MUSTERILER!$J$7:$J$156,MUSTERILER!$B$7:$B$156,$B139))</f>
        <v/>
      </c>
      <c r="G139" s="68" t="str">
        <f>IF($B139="","",SUMIFS(UCRETLER!$I$7:$I$606,UCRETLER!$B$7:$B$606,$B139)+SUMIFS(GELIR_GIDER!$G$7:$G$3006,GELIR_GIDER!$T$7:$T$3006,$B139))</f>
        <v/>
      </c>
      <c r="H139" s="68" t="str">
        <f t="shared" si="69"/>
        <v/>
      </c>
      <c r="I139" s="68" t="str">
        <f>IF($B139="","",SUMIFS(TAHSILAT!$F$7:$F$2506,TAHSILAT!$C$7:$C$2506,$B139))</f>
        <v/>
      </c>
      <c r="J139" s="68" t="str">
        <f t="shared" si="70"/>
        <v/>
      </c>
      <c r="K139" s="68" t="str">
        <f t="shared" si="71"/>
        <v/>
      </c>
      <c r="L139" s="68" t="str">
        <f t="shared" si="72"/>
        <v/>
      </c>
      <c r="M139" s="68" t="str">
        <f t="shared" si="73"/>
        <v/>
      </c>
      <c r="N139" s="68" t="str">
        <f t="shared" si="74"/>
        <v/>
      </c>
      <c r="O139" s="86" t="str">
        <f t="shared" si="75"/>
        <v/>
      </c>
      <c r="P139" s="70" t="str">
        <f>IF($B139="","",IFERROR(LOOKUP(2,1/(TAHSILAT!$C$7:$C$2506=$B139),TAHSILAT!$E$7:$E$2506),""))</f>
        <v/>
      </c>
      <c r="Q139" s="65" t="str">
        <f t="shared" si="76"/>
        <v/>
      </c>
      <c r="R139" s="74" t="str">
        <f t="shared" si="77"/>
        <v/>
      </c>
      <c r="S139" s="76" t="str">
        <f>IF($B139="","",COUNTIFS(AKTIVITE!$D$7:$D$1006,$B139,AKTIVITE!$J$7:$J$1006,"&lt;&gt;Tamamlandı"))</f>
        <v/>
      </c>
      <c r="T139" s="70" t="str">
        <f>IF(OR($B139="",$AF139=""),"",IF(INDEX(MUSTERILER!$K$7:$K$156,$AF139)="","",INDEX(MUSTERILER!$K$7:$K$156,$AF139)))</f>
        <v/>
      </c>
      <c r="U139" s="76" t="str">
        <f t="shared" ca="1" si="78"/>
        <v/>
      </c>
      <c r="V139" s="68" t="str">
        <f t="shared" si="79"/>
        <v/>
      </c>
      <c r="W139" s="65" t="str">
        <f t="shared" si="80"/>
        <v/>
      </c>
      <c r="X139" s="2">
        <f>IF($B139="",0,SUMIFS(UCRETLER!$J$7:$J$606,UCRETLER!$B$7:$B$606,$B139))</f>
        <v>0</v>
      </c>
      <c r="Y139" s="2">
        <f>IF($B139="",0,SUMIFS(UCRETLER!$K$7:$K$606,UCRETLER!$B$7:$B$606,$B139))</f>
        <v>0</v>
      </c>
      <c r="Z139" s="1">
        <f>IF($B139="",0,SUMIFS(UCRETLER!$L$7:$L$606,UCRETLER!$B$7:$B$606,$B139))</f>
        <v>0</v>
      </c>
      <c r="AA139" s="1">
        <f t="shared" si="81"/>
        <v>0</v>
      </c>
      <c r="AB139" s="1">
        <f t="shared" si="82"/>
        <v>0</v>
      </c>
      <c r="AC139" s="1">
        <f t="shared" si="83"/>
        <v>0</v>
      </c>
      <c r="AD139" s="1">
        <f t="shared" si="84"/>
        <v>0</v>
      </c>
      <c r="AE139" s="1">
        <f t="shared" si="85"/>
        <v>0</v>
      </c>
      <c r="AF139" s="1" t="str">
        <f>IFERROR(MATCH(ROW()-6,MUSTERILER!$U$7:$U$156,0),"")</f>
        <v/>
      </c>
      <c r="AG139" s="1">
        <f>IF($B139="",0,SUMIFS(GELIR_GIDER!$G$7:$G$3006,GELIR_GIDER!$T$7:$T$3006,$B139))</f>
        <v>0</v>
      </c>
    </row>
    <row r="140" spans="1:33" ht="18" customHeight="1" x14ac:dyDescent="0.3">
      <c r="A140" s="2"/>
      <c r="B140" s="65" t="str">
        <f>IF($AF140="","",INDEX(MUSTERILER!$B$7:$B$156,$AF140))</f>
        <v/>
      </c>
      <c r="C140" s="74" t="str">
        <f>IF($AF140="","",INDEX(MUSTERILER!$C$7:$C$156,$AF140))</f>
        <v/>
      </c>
      <c r="D140" s="68" t="str">
        <f>IF($B140="","",SUMIFS(UCRETLER!$G$7:$G$606,UCRETLER!$B$7:$B$606,$B140,UCRETLER!$F$7:$F$606,"Haftalık",UCRETLER!$H$7:$H$606,"Aktif"))</f>
        <v/>
      </c>
      <c r="E140" s="68" t="str">
        <f>IF($B140="","",SUMIFS(UCRETLER!$G$7:$G$606,UCRETLER!$B$7:$B$606,$B140,UCRETLER!$F$7:$F$606,"Aylık",UCRETLER!$H$7:$H$606,"Aktif"))</f>
        <v/>
      </c>
      <c r="F140" s="68" t="str">
        <f>IF($B140="","",SUMIFS(MUSTERILER!$J$7:$J$156,MUSTERILER!$B$7:$B$156,$B140))</f>
        <v/>
      </c>
      <c r="G140" s="68" t="str">
        <f>IF($B140="","",SUMIFS(UCRETLER!$I$7:$I$606,UCRETLER!$B$7:$B$606,$B140)+SUMIFS(GELIR_GIDER!$G$7:$G$3006,GELIR_GIDER!$T$7:$T$3006,$B140))</f>
        <v/>
      </c>
      <c r="H140" s="68" t="str">
        <f t="shared" si="69"/>
        <v/>
      </c>
      <c r="I140" s="68" t="str">
        <f>IF($B140="","",SUMIFS(TAHSILAT!$F$7:$F$2506,TAHSILAT!$C$7:$C$2506,$B140))</f>
        <v/>
      </c>
      <c r="J140" s="68" t="str">
        <f t="shared" si="70"/>
        <v/>
      </c>
      <c r="K140" s="68" t="str">
        <f t="shared" si="71"/>
        <v/>
      </c>
      <c r="L140" s="68" t="str">
        <f t="shared" si="72"/>
        <v/>
      </c>
      <c r="M140" s="68" t="str">
        <f t="shared" si="73"/>
        <v/>
      </c>
      <c r="N140" s="68" t="str">
        <f t="shared" si="74"/>
        <v/>
      </c>
      <c r="O140" s="86" t="str">
        <f t="shared" si="75"/>
        <v/>
      </c>
      <c r="P140" s="70" t="str">
        <f>IF($B140="","",IFERROR(LOOKUP(2,1/(TAHSILAT!$C$7:$C$2506=$B140),TAHSILAT!$E$7:$E$2506),""))</f>
        <v/>
      </c>
      <c r="Q140" s="65" t="str">
        <f t="shared" si="76"/>
        <v/>
      </c>
      <c r="R140" s="74" t="str">
        <f t="shared" si="77"/>
        <v/>
      </c>
      <c r="S140" s="76" t="str">
        <f>IF($B140="","",COUNTIFS(AKTIVITE!$D$7:$D$1006,$B140,AKTIVITE!$J$7:$J$1006,"&lt;&gt;Tamamlandı"))</f>
        <v/>
      </c>
      <c r="T140" s="70" t="str">
        <f>IF(OR($B140="",$AF140=""),"",IF(INDEX(MUSTERILER!$K$7:$K$156,$AF140)="","",INDEX(MUSTERILER!$K$7:$K$156,$AF140)))</f>
        <v/>
      </c>
      <c r="U140" s="76" t="str">
        <f t="shared" ca="1" si="78"/>
        <v/>
      </c>
      <c r="V140" s="68" t="str">
        <f t="shared" si="79"/>
        <v/>
      </c>
      <c r="W140" s="65" t="str">
        <f t="shared" si="80"/>
        <v/>
      </c>
      <c r="X140" s="2">
        <f>IF($B140="",0,SUMIFS(UCRETLER!$J$7:$J$606,UCRETLER!$B$7:$B$606,$B140))</f>
        <v>0</v>
      </c>
      <c r="Y140" s="2">
        <f>IF($B140="",0,SUMIFS(UCRETLER!$K$7:$K$606,UCRETLER!$B$7:$B$606,$B140))</f>
        <v>0</v>
      </c>
      <c r="Z140" s="1">
        <f>IF($B140="",0,SUMIFS(UCRETLER!$L$7:$L$606,UCRETLER!$B$7:$B$606,$B140))</f>
        <v>0</v>
      </c>
      <c r="AA140" s="1">
        <f t="shared" si="81"/>
        <v>0</v>
      </c>
      <c r="AB140" s="1">
        <f t="shared" si="82"/>
        <v>0</v>
      </c>
      <c r="AC140" s="1">
        <f t="shared" si="83"/>
        <v>0</v>
      </c>
      <c r="AD140" s="1">
        <f t="shared" si="84"/>
        <v>0</v>
      </c>
      <c r="AE140" s="1">
        <f t="shared" si="85"/>
        <v>0</v>
      </c>
      <c r="AF140" s="1" t="str">
        <f>IFERROR(MATCH(ROW()-6,MUSTERILER!$U$7:$U$156,0),"")</f>
        <v/>
      </c>
      <c r="AG140" s="1">
        <f>IF($B140="",0,SUMIFS(GELIR_GIDER!$G$7:$G$3006,GELIR_GIDER!$T$7:$T$3006,$B140))</f>
        <v>0</v>
      </c>
    </row>
    <row r="141" spans="1:33" ht="18" customHeight="1" x14ac:dyDescent="0.3">
      <c r="A141" s="2"/>
      <c r="B141" s="65" t="str">
        <f>IF($AF141="","",INDEX(MUSTERILER!$B$7:$B$156,$AF141))</f>
        <v/>
      </c>
      <c r="C141" s="74" t="str">
        <f>IF($AF141="","",INDEX(MUSTERILER!$C$7:$C$156,$AF141))</f>
        <v/>
      </c>
      <c r="D141" s="68" t="str">
        <f>IF($B141="","",SUMIFS(UCRETLER!$G$7:$G$606,UCRETLER!$B$7:$B$606,$B141,UCRETLER!$F$7:$F$606,"Haftalık",UCRETLER!$H$7:$H$606,"Aktif"))</f>
        <v/>
      </c>
      <c r="E141" s="68" t="str">
        <f>IF($B141="","",SUMIFS(UCRETLER!$G$7:$G$606,UCRETLER!$B$7:$B$606,$B141,UCRETLER!$F$7:$F$606,"Aylık",UCRETLER!$H$7:$H$606,"Aktif"))</f>
        <v/>
      </c>
      <c r="F141" s="68" t="str">
        <f>IF($B141="","",SUMIFS(MUSTERILER!$J$7:$J$156,MUSTERILER!$B$7:$B$156,$B141))</f>
        <v/>
      </c>
      <c r="G141" s="68" t="str">
        <f>IF($B141="","",SUMIFS(UCRETLER!$I$7:$I$606,UCRETLER!$B$7:$B$606,$B141)+SUMIFS(GELIR_GIDER!$G$7:$G$3006,GELIR_GIDER!$T$7:$T$3006,$B141))</f>
        <v/>
      </c>
      <c r="H141" s="68" t="str">
        <f t="shared" si="69"/>
        <v/>
      </c>
      <c r="I141" s="68" t="str">
        <f>IF($B141="","",SUMIFS(TAHSILAT!$F$7:$F$2506,TAHSILAT!$C$7:$C$2506,$B141))</f>
        <v/>
      </c>
      <c r="J141" s="68" t="str">
        <f t="shared" si="70"/>
        <v/>
      </c>
      <c r="K141" s="68" t="str">
        <f t="shared" si="71"/>
        <v/>
      </c>
      <c r="L141" s="68" t="str">
        <f t="shared" si="72"/>
        <v/>
      </c>
      <c r="M141" s="68" t="str">
        <f t="shared" si="73"/>
        <v/>
      </c>
      <c r="N141" s="68" t="str">
        <f t="shared" si="74"/>
        <v/>
      </c>
      <c r="O141" s="86" t="str">
        <f t="shared" si="75"/>
        <v/>
      </c>
      <c r="P141" s="70" t="str">
        <f>IF($B141="","",IFERROR(LOOKUP(2,1/(TAHSILAT!$C$7:$C$2506=$B141),TAHSILAT!$E$7:$E$2506),""))</f>
        <v/>
      </c>
      <c r="Q141" s="65" t="str">
        <f t="shared" si="76"/>
        <v/>
      </c>
      <c r="R141" s="74" t="str">
        <f t="shared" si="77"/>
        <v/>
      </c>
      <c r="S141" s="76" t="str">
        <f>IF($B141="","",COUNTIFS(AKTIVITE!$D$7:$D$1006,$B141,AKTIVITE!$J$7:$J$1006,"&lt;&gt;Tamamlandı"))</f>
        <v/>
      </c>
      <c r="T141" s="70" t="str">
        <f>IF(OR($B141="",$AF141=""),"",IF(INDEX(MUSTERILER!$K$7:$K$156,$AF141)="","",INDEX(MUSTERILER!$K$7:$K$156,$AF141)))</f>
        <v/>
      </c>
      <c r="U141" s="76" t="str">
        <f t="shared" ca="1" si="78"/>
        <v/>
      </c>
      <c r="V141" s="68" t="str">
        <f t="shared" si="79"/>
        <v/>
      </c>
      <c r="W141" s="65" t="str">
        <f t="shared" si="80"/>
        <v/>
      </c>
      <c r="X141" s="2">
        <f>IF($B141="",0,SUMIFS(UCRETLER!$J$7:$J$606,UCRETLER!$B$7:$B$606,$B141))</f>
        <v>0</v>
      </c>
      <c r="Y141" s="2">
        <f>IF($B141="",0,SUMIFS(UCRETLER!$K$7:$K$606,UCRETLER!$B$7:$B$606,$B141))</f>
        <v>0</v>
      </c>
      <c r="Z141" s="1">
        <f>IF($B141="",0,SUMIFS(UCRETLER!$L$7:$L$606,UCRETLER!$B$7:$B$606,$B141))</f>
        <v>0</v>
      </c>
      <c r="AA141" s="1">
        <f t="shared" si="81"/>
        <v>0</v>
      </c>
      <c r="AB141" s="1">
        <f t="shared" si="82"/>
        <v>0</v>
      </c>
      <c r="AC141" s="1">
        <f t="shared" si="83"/>
        <v>0</v>
      </c>
      <c r="AD141" s="1">
        <f t="shared" si="84"/>
        <v>0</v>
      </c>
      <c r="AE141" s="1">
        <f t="shared" si="85"/>
        <v>0</v>
      </c>
      <c r="AF141" s="1" t="str">
        <f>IFERROR(MATCH(ROW()-6,MUSTERILER!$U$7:$U$156,0),"")</f>
        <v/>
      </c>
      <c r="AG141" s="1">
        <f>IF($B141="",0,SUMIFS(GELIR_GIDER!$G$7:$G$3006,GELIR_GIDER!$T$7:$T$3006,$B141))</f>
        <v>0</v>
      </c>
    </row>
    <row r="142" spans="1:33" ht="18" customHeight="1" x14ac:dyDescent="0.3">
      <c r="A142" s="2"/>
      <c r="B142" s="65" t="str">
        <f>IF($AF142="","",INDEX(MUSTERILER!$B$7:$B$156,$AF142))</f>
        <v/>
      </c>
      <c r="C142" s="74" t="str">
        <f>IF($AF142="","",INDEX(MUSTERILER!$C$7:$C$156,$AF142))</f>
        <v/>
      </c>
      <c r="D142" s="68" t="str">
        <f>IF($B142="","",SUMIFS(UCRETLER!$G$7:$G$606,UCRETLER!$B$7:$B$606,$B142,UCRETLER!$F$7:$F$606,"Haftalık",UCRETLER!$H$7:$H$606,"Aktif"))</f>
        <v/>
      </c>
      <c r="E142" s="68" t="str">
        <f>IF($B142="","",SUMIFS(UCRETLER!$G$7:$G$606,UCRETLER!$B$7:$B$606,$B142,UCRETLER!$F$7:$F$606,"Aylık",UCRETLER!$H$7:$H$606,"Aktif"))</f>
        <v/>
      </c>
      <c r="F142" s="68" t="str">
        <f>IF($B142="","",SUMIFS(MUSTERILER!$J$7:$J$156,MUSTERILER!$B$7:$B$156,$B142))</f>
        <v/>
      </c>
      <c r="G142" s="68" t="str">
        <f>IF($B142="","",SUMIFS(UCRETLER!$I$7:$I$606,UCRETLER!$B$7:$B$606,$B142)+SUMIFS(GELIR_GIDER!$G$7:$G$3006,GELIR_GIDER!$T$7:$T$3006,$B142))</f>
        <v/>
      </c>
      <c r="H142" s="68" t="str">
        <f t="shared" si="69"/>
        <v/>
      </c>
      <c r="I142" s="68" t="str">
        <f>IF($B142="","",SUMIFS(TAHSILAT!$F$7:$F$2506,TAHSILAT!$C$7:$C$2506,$B142))</f>
        <v/>
      </c>
      <c r="J142" s="68" t="str">
        <f t="shared" si="70"/>
        <v/>
      </c>
      <c r="K142" s="68" t="str">
        <f t="shared" si="71"/>
        <v/>
      </c>
      <c r="L142" s="68" t="str">
        <f t="shared" si="72"/>
        <v/>
      </c>
      <c r="M142" s="68" t="str">
        <f t="shared" si="73"/>
        <v/>
      </c>
      <c r="N142" s="68" t="str">
        <f t="shared" si="74"/>
        <v/>
      </c>
      <c r="O142" s="86" t="str">
        <f t="shared" si="75"/>
        <v/>
      </c>
      <c r="P142" s="70" t="str">
        <f>IF($B142="","",IFERROR(LOOKUP(2,1/(TAHSILAT!$C$7:$C$2506=$B142),TAHSILAT!$E$7:$E$2506),""))</f>
        <v/>
      </c>
      <c r="Q142" s="65" t="str">
        <f t="shared" si="76"/>
        <v/>
      </c>
      <c r="R142" s="74" t="str">
        <f t="shared" si="77"/>
        <v/>
      </c>
      <c r="S142" s="76" t="str">
        <f>IF($B142="","",COUNTIFS(AKTIVITE!$D$7:$D$1006,$B142,AKTIVITE!$J$7:$J$1006,"&lt;&gt;Tamamlandı"))</f>
        <v/>
      </c>
      <c r="T142" s="70" t="str">
        <f>IF(OR($B142="",$AF142=""),"",IF(INDEX(MUSTERILER!$K$7:$K$156,$AF142)="","",INDEX(MUSTERILER!$K$7:$K$156,$AF142)))</f>
        <v/>
      </c>
      <c r="U142" s="76" t="str">
        <f t="shared" ca="1" si="78"/>
        <v/>
      </c>
      <c r="V142" s="68" t="str">
        <f t="shared" si="79"/>
        <v/>
      </c>
      <c r="W142" s="65" t="str">
        <f t="shared" si="80"/>
        <v/>
      </c>
      <c r="X142" s="2">
        <f>IF($B142="",0,SUMIFS(UCRETLER!$J$7:$J$606,UCRETLER!$B$7:$B$606,$B142))</f>
        <v>0</v>
      </c>
      <c r="Y142" s="2">
        <f>IF($B142="",0,SUMIFS(UCRETLER!$K$7:$K$606,UCRETLER!$B$7:$B$606,$B142))</f>
        <v>0</v>
      </c>
      <c r="Z142" s="1">
        <f>IF($B142="",0,SUMIFS(UCRETLER!$L$7:$L$606,UCRETLER!$B$7:$B$606,$B142))</f>
        <v>0</v>
      </c>
      <c r="AA142" s="1">
        <f t="shared" si="81"/>
        <v>0</v>
      </c>
      <c r="AB142" s="1">
        <f t="shared" si="82"/>
        <v>0</v>
      </c>
      <c r="AC142" s="1">
        <f t="shared" si="83"/>
        <v>0</v>
      </c>
      <c r="AD142" s="1">
        <f t="shared" si="84"/>
        <v>0</v>
      </c>
      <c r="AE142" s="1">
        <f t="shared" si="85"/>
        <v>0</v>
      </c>
      <c r="AF142" s="1" t="str">
        <f>IFERROR(MATCH(ROW()-6,MUSTERILER!$U$7:$U$156,0),"")</f>
        <v/>
      </c>
      <c r="AG142" s="1">
        <f>IF($B142="",0,SUMIFS(GELIR_GIDER!$G$7:$G$3006,GELIR_GIDER!$T$7:$T$3006,$B142))</f>
        <v>0</v>
      </c>
    </row>
    <row r="143" spans="1:33" ht="18" customHeight="1" x14ac:dyDescent="0.3">
      <c r="A143" s="2"/>
      <c r="B143" s="65" t="str">
        <f>IF($AF143="","",INDEX(MUSTERILER!$B$7:$B$156,$AF143))</f>
        <v/>
      </c>
      <c r="C143" s="74" t="str">
        <f>IF($AF143="","",INDEX(MUSTERILER!$C$7:$C$156,$AF143))</f>
        <v/>
      </c>
      <c r="D143" s="68" t="str">
        <f>IF($B143="","",SUMIFS(UCRETLER!$G$7:$G$606,UCRETLER!$B$7:$B$606,$B143,UCRETLER!$F$7:$F$606,"Haftalık",UCRETLER!$H$7:$H$606,"Aktif"))</f>
        <v/>
      </c>
      <c r="E143" s="68" t="str">
        <f>IF($B143="","",SUMIFS(UCRETLER!$G$7:$G$606,UCRETLER!$B$7:$B$606,$B143,UCRETLER!$F$7:$F$606,"Aylık",UCRETLER!$H$7:$H$606,"Aktif"))</f>
        <v/>
      </c>
      <c r="F143" s="68" t="str">
        <f>IF($B143="","",SUMIFS(MUSTERILER!$J$7:$J$156,MUSTERILER!$B$7:$B$156,$B143))</f>
        <v/>
      </c>
      <c r="G143" s="68" t="str">
        <f>IF($B143="","",SUMIFS(UCRETLER!$I$7:$I$606,UCRETLER!$B$7:$B$606,$B143)+SUMIFS(GELIR_GIDER!$G$7:$G$3006,GELIR_GIDER!$T$7:$T$3006,$B143))</f>
        <v/>
      </c>
      <c r="H143" s="68" t="str">
        <f t="shared" si="69"/>
        <v/>
      </c>
      <c r="I143" s="68" t="str">
        <f>IF($B143="","",SUMIFS(TAHSILAT!$F$7:$F$2506,TAHSILAT!$C$7:$C$2506,$B143))</f>
        <v/>
      </c>
      <c r="J143" s="68" t="str">
        <f t="shared" si="70"/>
        <v/>
      </c>
      <c r="K143" s="68" t="str">
        <f t="shared" si="71"/>
        <v/>
      </c>
      <c r="L143" s="68" t="str">
        <f t="shared" si="72"/>
        <v/>
      </c>
      <c r="M143" s="68" t="str">
        <f t="shared" si="73"/>
        <v/>
      </c>
      <c r="N143" s="68" t="str">
        <f t="shared" si="74"/>
        <v/>
      </c>
      <c r="O143" s="86" t="str">
        <f t="shared" si="75"/>
        <v/>
      </c>
      <c r="P143" s="70" t="str">
        <f>IF($B143="","",IFERROR(LOOKUP(2,1/(TAHSILAT!$C$7:$C$2506=$B143),TAHSILAT!$E$7:$E$2506),""))</f>
        <v/>
      </c>
      <c r="Q143" s="65" t="str">
        <f t="shared" si="76"/>
        <v/>
      </c>
      <c r="R143" s="74" t="str">
        <f t="shared" si="77"/>
        <v/>
      </c>
      <c r="S143" s="76" t="str">
        <f>IF($B143="","",COUNTIFS(AKTIVITE!$D$7:$D$1006,$B143,AKTIVITE!$J$7:$J$1006,"&lt;&gt;Tamamlandı"))</f>
        <v/>
      </c>
      <c r="T143" s="70" t="str">
        <f>IF(OR($B143="",$AF143=""),"",IF(INDEX(MUSTERILER!$K$7:$K$156,$AF143)="","",INDEX(MUSTERILER!$K$7:$K$156,$AF143)))</f>
        <v/>
      </c>
      <c r="U143" s="76" t="str">
        <f t="shared" ca="1" si="78"/>
        <v/>
      </c>
      <c r="V143" s="68" t="str">
        <f t="shared" si="79"/>
        <v/>
      </c>
      <c r="W143" s="65" t="str">
        <f t="shared" si="80"/>
        <v/>
      </c>
      <c r="X143" s="2">
        <f>IF($B143="",0,SUMIFS(UCRETLER!$J$7:$J$606,UCRETLER!$B$7:$B$606,$B143))</f>
        <v>0</v>
      </c>
      <c r="Y143" s="2">
        <f>IF($B143="",0,SUMIFS(UCRETLER!$K$7:$K$606,UCRETLER!$B$7:$B$606,$B143))</f>
        <v>0</v>
      </c>
      <c r="Z143" s="1">
        <f>IF($B143="",0,SUMIFS(UCRETLER!$L$7:$L$606,UCRETLER!$B$7:$B$606,$B143))</f>
        <v>0</v>
      </c>
      <c r="AA143" s="1">
        <f t="shared" si="81"/>
        <v>0</v>
      </c>
      <c r="AB143" s="1">
        <f t="shared" si="82"/>
        <v>0</v>
      </c>
      <c r="AC143" s="1">
        <f t="shared" si="83"/>
        <v>0</v>
      </c>
      <c r="AD143" s="1">
        <f t="shared" si="84"/>
        <v>0</v>
      </c>
      <c r="AE143" s="1">
        <f t="shared" si="85"/>
        <v>0</v>
      </c>
      <c r="AF143" s="1" t="str">
        <f>IFERROR(MATCH(ROW()-6,MUSTERILER!$U$7:$U$156,0),"")</f>
        <v/>
      </c>
      <c r="AG143" s="1">
        <f>IF($B143="",0,SUMIFS(GELIR_GIDER!$G$7:$G$3006,GELIR_GIDER!$T$7:$T$3006,$B143))</f>
        <v>0</v>
      </c>
    </row>
    <row r="144" spans="1:33" ht="18" customHeight="1" x14ac:dyDescent="0.3">
      <c r="A144" s="2"/>
      <c r="B144" s="65" t="str">
        <f>IF($AF144="","",INDEX(MUSTERILER!$B$7:$B$156,$AF144))</f>
        <v/>
      </c>
      <c r="C144" s="74" t="str">
        <f>IF($AF144="","",INDEX(MUSTERILER!$C$7:$C$156,$AF144))</f>
        <v/>
      </c>
      <c r="D144" s="68" t="str">
        <f>IF($B144="","",SUMIFS(UCRETLER!$G$7:$G$606,UCRETLER!$B$7:$B$606,$B144,UCRETLER!$F$7:$F$606,"Haftalık",UCRETLER!$H$7:$H$606,"Aktif"))</f>
        <v/>
      </c>
      <c r="E144" s="68" t="str">
        <f>IF($B144="","",SUMIFS(UCRETLER!$G$7:$G$606,UCRETLER!$B$7:$B$606,$B144,UCRETLER!$F$7:$F$606,"Aylık",UCRETLER!$H$7:$H$606,"Aktif"))</f>
        <v/>
      </c>
      <c r="F144" s="68" t="str">
        <f>IF($B144="","",SUMIFS(MUSTERILER!$J$7:$J$156,MUSTERILER!$B$7:$B$156,$B144))</f>
        <v/>
      </c>
      <c r="G144" s="68" t="str">
        <f>IF($B144="","",SUMIFS(UCRETLER!$I$7:$I$606,UCRETLER!$B$7:$B$606,$B144)+SUMIFS(GELIR_GIDER!$G$7:$G$3006,GELIR_GIDER!$T$7:$T$3006,$B144))</f>
        <v/>
      </c>
      <c r="H144" s="68" t="str">
        <f t="shared" si="69"/>
        <v/>
      </c>
      <c r="I144" s="68" t="str">
        <f>IF($B144="","",SUMIFS(TAHSILAT!$F$7:$F$2506,TAHSILAT!$C$7:$C$2506,$B144))</f>
        <v/>
      </c>
      <c r="J144" s="68" t="str">
        <f t="shared" si="70"/>
        <v/>
      </c>
      <c r="K144" s="68" t="str">
        <f t="shared" si="71"/>
        <v/>
      </c>
      <c r="L144" s="68" t="str">
        <f t="shared" si="72"/>
        <v/>
      </c>
      <c r="M144" s="68" t="str">
        <f t="shared" si="73"/>
        <v/>
      </c>
      <c r="N144" s="68" t="str">
        <f t="shared" si="74"/>
        <v/>
      </c>
      <c r="O144" s="86" t="str">
        <f t="shared" si="75"/>
        <v/>
      </c>
      <c r="P144" s="70" t="str">
        <f>IF($B144="","",IFERROR(LOOKUP(2,1/(TAHSILAT!$C$7:$C$2506=$B144),TAHSILAT!$E$7:$E$2506),""))</f>
        <v/>
      </c>
      <c r="Q144" s="65" t="str">
        <f t="shared" si="76"/>
        <v/>
      </c>
      <c r="R144" s="74" t="str">
        <f t="shared" si="77"/>
        <v/>
      </c>
      <c r="S144" s="76" t="str">
        <f>IF($B144="","",COUNTIFS(AKTIVITE!$D$7:$D$1006,$B144,AKTIVITE!$J$7:$J$1006,"&lt;&gt;Tamamlandı"))</f>
        <v/>
      </c>
      <c r="T144" s="70" t="str">
        <f>IF(OR($B144="",$AF144=""),"",IF(INDEX(MUSTERILER!$K$7:$K$156,$AF144)="","",INDEX(MUSTERILER!$K$7:$K$156,$AF144)))</f>
        <v/>
      </c>
      <c r="U144" s="76" t="str">
        <f t="shared" ca="1" si="78"/>
        <v/>
      </c>
      <c r="V144" s="68" t="str">
        <f t="shared" si="79"/>
        <v/>
      </c>
      <c r="W144" s="65" t="str">
        <f t="shared" si="80"/>
        <v/>
      </c>
      <c r="X144" s="2">
        <f>IF($B144="",0,SUMIFS(UCRETLER!$J$7:$J$606,UCRETLER!$B$7:$B$606,$B144))</f>
        <v>0</v>
      </c>
      <c r="Y144" s="2">
        <f>IF($B144="",0,SUMIFS(UCRETLER!$K$7:$K$606,UCRETLER!$B$7:$B$606,$B144))</f>
        <v>0</v>
      </c>
      <c r="Z144" s="1">
        <f>IF($B144="",0,SUMIFS(UCRETLER!$L$7:$L$606,UCRETLER!$B$7:$B$606,$B144))</f>
        <v>0</v>
      </c>
      <c r="AA144" s="1">
        <f t="shared" si="81"/>
        <v>0</v>
      </c>
      <c r="AB144" s="1">
        <f t="shared" si="82"/>
        <v>0</v>
      </c>
      <c r="AC144" s="1">
        <f t="shared" si="83"/>
        <v>0</v>
      </c>
      <c r="AD144" s="1">
        <f t="shared" si="84"/>
        <v>0</v>
      </c>
      <c r="AE144" s="1">
        <f t="shared" si="85"/>
        <v>0</v>
      </c>
      <c r="AF144" s="1" t="str">
        <f>IFERROR(MATCH(ROW()-6,MUSTERILER!$U$7:$U$156,0),"")</f>
        <v/>
      </c>
      <c r="AG144" s="1">
        <f>IF($B144="",0,SUMIFS(GELIR_GIDER!$G$7:$G$3006,GELIR_GIDER!$T$7:$T$3006,$B144))</f>
        <v>0</v>
      </c>
    </row>
    <row r="145" spans="1:33" ht="18" customHeight="1" x14ac:dyDescent="0.3">
      <c r="A145" s="2"/>
      <c r="B145" s="65" t="str">
        <f>IF($AF145="","",INDEX(MUSTERILER!$B$7:$B$156,$AF145))</f>
        <v/>
      </c>
      <c r="C145" s="74" t="str">
        <f>IF($AF145="","",INDEX(MUSTERILER!$C$7:$C$156,$AF145))</f>
        <v/>
      </c>
      <c r="D145" s="68" t="str">
        <f>IF($B145="","",SUMIFS(UCRETLER!$G$7:$G$606,UCRETLER!$B$7:$B$606,$B145,UCRETLER!$F$7:$F$606,"Haftalık",UCRETLER!$H$7:$H$606,"Aktif"))</f>
        <v/>
      </c>
      <c r="E145" s="68" t="str">
        <f>IF($B145="","",SUMIFS(UCRETLER!$G$7:$G$606,UCRETLER!$B$7:$B$606,$B145,UCRETLER!$F$7:$F$606,"Aylık",UCRETLER!$H$7:$H$606,"Aktif"))</f>
        <v/>
      </c>
      <c r="F145" s="68" t="str">
        <f>IF($B145="","",SUMIFS(MUSTERILER!$J$7:$J$156,MUSTERILER!$B$7:$B$156,$B145))</f>
        <v/>
      </c>
      <c r="G145" s="68" t="str">
        <f>IF($B145="","",SUMIFS(UCRETLER!$I$7:$I$606,UCRETLER!$B$7:$B$606,$B145)+SUMIFS(GELIR_GIDER!$G$7:$G$3006,GELIR_GIDER!$T$7:$T$3006,$B145))</f>
        <v/>
      </c>
      <c r="H145" s="68" t="str">
        <f t="shared" si="69"/>
        <v/>
      </c>
      <c r="I145" s="68" t="str">
        <f>IF($B145="","",SUMIFS(TAHSILAT!$F$7:$F$2506,TAHSILAT!$C$7:$C$2506,$B145))</f>
        <v/>
      </c>
      <c r="J145" s="68" t="str">
        <f t="shared" si="70"/>
        <v/>
      </c>
      <c r="K145" s="68" t="str">
        <f t="shared" si="71"/>
        <v/>
      </c>
      <c r="L145" s="68" t="str">
        <f t="shared" si="72"/>
        <v/>
      </c>
      <c r="M145" s="68" t="str">
        <f t="shared" si="73"/>
        <v/>
      </c>
      <c r="N145" s="68" t="str">
        <f t="shared" si="74"/>
        <v/>
      </c>
      <c r="O145" s="86" t="str">
        <f t="shared" si="75"/>
        <v/>
      </c>
      <c r="P145" s="70" t="str">
        <f>IF($B145="","",IFERROR(LOOKUP(2,1/(TAHSILAT!$C$7:$C$2506=$B145),TAHSILAT!$E$7:$E$2506),""))</f>
        <v/>
      </c>
      <c r="Q145" s="65" t="str">
        <f t="shared" si="76"/>
        <v/>
      </c>
      <c r="R145" s="74" t="str">
        <f t="shared" si="77"/>
        <v/>
      </c>
      <c r="S145" s="76" t="str">
        <f>IF($B145="","",COUNTIFS(AKTIVITE!$D$7:$D$1006,$B145,AKTIVITE!$J$7:$J$1006,"&lt;&gt;Tamamlandı"))</f>
        <v/>
      </c>
      <c r="T145" s="70" t="str">
        <f>IF(OR($B145="",$AF145=""),"",IF(INDEX(MUSTERILER!$K$7:$K$156,$AF145)="","",INDEX(MUSTERILER!$K$7:$K$156,$AF145)))</f>
        <v/>
      </c>
      <c r="U145" s="76" t="str">
        <f t="shared" ca="1" si="78"/>
        <v/>
      </c>
      <c r="V145" s="68" t="str">
        <f t="shared" si="79"/>
        <v/>
      </c>
      <c r="W145" s="65" t="str">
        <f t="shared" si="80"/>
        <v/>
      </c>
      <c r="X145" s="2">
        <f>IF($B145="",0,SUMIFS(UCRETLER!$J$7:$J$606,UCRETLER!$B$7:$B$606,$B145))</f>
        <v>0</v>
      </c>
      <c r="Y145" s="2">
        <f>IF($B145="",0,SUMIFS(UCRETLER!$K$7:$K$606,UCRETLER!$B$7:$B$606,$B145))</f>
        <v>0</v>
      </c>
      <c r="Z145" s="1">
        <f>IF($B145="",0,SUMIFS(UCRETLER!$L$7:$L$606,UCRETLER!$B$7:$B$606,$B145))</f>
        <v>0</v>
      </c>
      <c r="AA145" s="1">
        <f t="shared" si="81"/>
        <v>0</v>
      </c>
      <c r="AB145" s="1">
        <f t="shared" si="82"/>
        <v>0</v>
      </c>
      <c r="AC145" s="1">
        <f t="shared" si="83"/>
        <v>0</v>
      </c>
      <c r="AD145" s="1">
        <f t="shared" si="84"/>
        <v>0</v>
      </c>
      <c r="AE145" s="1">
        <f t="shared" si="85"/>
        <v>0</v>
      </c>
      <c r="AF145" s="1" t="str">
        <f>IFERROR(MATCH(ROW()-6,MUSTERILER!$U$7:$U$156,0),"")</f>
        <v/>
      </c>
      <c r="AG145" s="1">
        <f>IF($B145="",0,SUMIFS(GELIR_GIDER!$G$7:$G$3006,GELIR_GIDER!$T$7:$T$3006,$B145))</f>
        <v>0</v>
      </c>
    </row>
    <row r="146" spans="1:33" ht="18" customHeight="1" x14ac:dyDescent="0.3">
      <c r="A146" s="2"/>
      <c r="B146" s="65" t="str">
        <f>IF($AF146="","",INDEX(MUSTERILER!$B$7:$B$156,$AF146))</f>
        <v/>
      </c>
      <c r="C146" s="74" t="str">
        <f>IF($AF146="","",INDEX(MUSTERILER!$C$7:$C$156,$AF146))</f>
        <v/>
      </c>
      <c r="D146" s="68" t="str">
        <f>IF($B146="","",SUMIFS(UCRETLER!$G$7:$G$606,UCRETLER!$B$7:$B$606,$B146,UCRETLER!$F$7:$F$606,"Haftalık",UCRETLER!$H$7:$H$606,"Aktif"))</f>
        <v/>
      </c>
      <c r="E146" s="68" t="str">
        <f>IF($B146="","",SUMIFS(UCRETLER!$G$7:$G$606,UCRETLER!$B$7:$B$606,$B146,UCRETLER!$F$7:$F$606,"Aylık",UCRETLER!$H$7:$H$606,"Aktif"))</f>
        <v/>
      </c>
      <c r="F146" s="68" t="str">
        <f>IF($B146="","",SUMIFS(MUSTERILER!$J$7:$J$156,MUSTERILER!$B$7:$B$156,$B146))</f>
        <v/>
      </c>
      <c r="G146" s="68" t="str">
        <f>IF($B146="","",SUMIFS(UCRETLER!$I$7:$I$606,UCRETLER!$B$7:$B$606,$B146)+SUMIFS(GELIR_GIDER!$G$7:$G$3006,GELIR_GIDER!$T$7:$T$3006,$B146))</f>
        <v/>
      </c>
      <c r="H146" s="68" t="str">
        <f t="shared" si="69"/>
        <v/>
      </c>
      <c r="I146" s="68" t="str">
        <f>IF($B146="","",SUMIFS(TAHSILAT!$F$7:$F$2506,TAHSILAT!$C$7:$C$2506,$B146))</f>
        <v/>
      </c>
      <c r="J146" s="68" t="str">
        <f t="shared" si="70"/>
        <v/>
      </c>
      <c r="K146" s="68" t="str">
        <f t="shared" si="71"/>
        <v/>
      </c>
      <c r="L146" s="68" t="str">
        <f t="shared" si="72"/>
        <v/>
      </c>
      <c r="M146" s="68" t="str">
        <f t="shared" si="73"/>
        <v/>
      </c>
      <c r="N146" s="68" t="str">
        <f t="shared" si="74"/>
        <v/>
      </c>
      <c r="O146" s="86" t="str">
        <f t="shared" si="75"/>
        <v/>
      </c>
      <c r="P146" s="70" t="str">
        <f>IF($B146="","",IFERROR(LOOKUP(2,1/(TAHSILAT!$C$7:$C$2506=$B146),TAHSILAT!$E$7:$E$2506),""))</f>
        <v/>
      </c>
      <c r="Q146" s="65" t="str">
        <f t="shared" si="76"/>
        <v/>
      </c>
      <c r="R146" s="74" t="str">
        <f t="shared" si="77"/>
        <v/>
      </c>
      <c r="S146" s="76" t="str">
        <f>IF($B146="","",COUNTIFS(AKTIVITE!$D$7:$D$1006,$B146,AKTIVITE!$J$7:$J$1006,"&lt;&gt;Tamamlandı"))</f>
        <v/>
      </c>
      <c r="T146" s="70" t="str">
        <f>IF(OR($B146="",$AF146=""),"",IF(INDEX(MUSTERILER!$K$7:$K$156,$AF146)="","",INDEX(MUSTERILER!$K$7:$K$156,$AF146)))</f>
        <v/>
      </c>
      <c r="U146" s="76" t="str">
        <f t="shared" ca="1" si="78"/>
        <v/>
      </c>
      <c r="V146" s="68" t="str">
        <f t="shared" si="79"/>
        <v/>
      </c>
      <c r="W146" s="65" t="str">
        <f t="shared" si="80"/>
        <v/>
      </c>
      <c r="X146" s="2">
        <f>IF($B146="",0,SUMIFS(UCRETLER!$J$7:$J$606,UCRETLER!$B$7:$B$606,$B146))</f>
        <v>0</v>
      </c>
      <c r="Y146" s="2">
        <f>IF($B146="",0,SUMIFS(UCRETLER!$K$7:$K$606,UCRETLER!$B$7:$B$606,$B146))</f>
        <v>0</v>
      </c>
      <c r="Z146" s="1">
        <f>IF($B146="",0,SUMIFS(UCRETLER!$L$7:$L$606,UCRETLER!$B$7:$B$606,$B146))</f>
        <v>0</v>
      </c>
      <c r="AA146" s="1">
        <f t="shared" si="81"/>
        <v>0</v>
      </c>
      <c r="AB146" s="1">
        <f t="shared" si="82"/>
        <v>0</v>
      </c>
      <c r="AC146" s="1">
        <f t="shared" si="83"/>
        <v>0</v>
      </c>
      <c r="AD146" s="1">
        <f t="shared" si="84"/>
        <v>0</v>
      </c>
      <c r="AE146" s="1">
        <f t="shared" si="85"/>
        <v>0</v>
      </c>
      <c r="AF146" s="1" t="str">
        <f>IFERROR(MATCH(ROW()-6,MUSTERILER!$U$7:$U$156,0),"")</f>
        <v/>
      </c>
      <c r="AG146" s="1">
        <f>IF($B146="",0,SUMIFS(GELIR_GIDER!$G$7:$G$3006,GELIR_GIDER!$T$7:$T$3006,$B146))</f>
        <v>0</v>
      </c>
    </row>
    <row r="147" spans="1:33" ht="18" customHeight="1" x14ac:dyDescent="0.3">
      <c r="A147" s="2"/>
      <c r="B147" s="65" t="str">
        <f>IF($AF147="","",INDEX(MUSTERILER!$B$7:$B$156,$AF147))</f>
        <v/>
      </c>
      <c r="C147" s="74" t="str">
        <f>IF($AF147="","",INDEX(MUSTERILER!$C$7:$C$156,$AF147))</f>
        <v/>
      </c>
      <c r="D147" s="68" t="str">
        <f>IF($B147="","",SUMIFS(UCRETLER!$G$7:$G$606,UCRETLER!$B$7:$B$606,$B147,UCRETLER!$F$7:$F$606,"Haftalık",UCRETLER!$H$7:$H$606,"Aktif"))</f>
        <v/>
      </c>
      <c r="E147" s="68" t="str">
        <f>IF($B147="","",SUMIFS(UCRETLER!$G$7:$G$606,UCRETLER!$B$7:$B$606,$B147,UCRETLER!$F$7:$F$606,"Aylık",UCRETLER!$H$7:$H$606,"Aktif"))</f>
        <v/>
      </c>
      <c r="F147" s="68" t="str">
        <f>IF($B147="","",SUMIFS(MUSTERILER!$J$7:$J$156,MUSTERILER!$B$7:$B$156,$B147))</f>
        <v/>
      </c>
      <c r="G147" s="68" t="str">
        <f>IF($B147="","",SUMIFS(UCRETLER!$I$7:$I$606,UCRETLER!$B$7:$B$606,$B147)+SUMIFS(GELIR_GIDER!$G$7:$G$3006,GELIR_GIDER!$T$7:$T$3006,$B147))</f>
        <v/>
      </c>
      <c r="H147" s="68" t="str">
        <f t="shared" si="69"/>
        <v/>
      </c>
      <c r="I147" s="68" t="str">
        <f>IF($B147="","",SUMIFS(TAHSILAT!$F$7:$F$2506,TAHSILAT!$C$7:$C$2506,$B147))</f>
        <v/>
      </c>
      <c r="J147" s="68" t="str">
        <f t="shared" si="70"/>
        <v/>
      </c>
      <c r="K147" s="68" t="str">
        <f t="shared" si="71"/>
        <v/>
      </c>
      <c r="L147" s="68" t="str">
        <f t="shared" si="72"/>
        <v/>
      </c>
      <c r="M147" s="68" t="str">
        <f t="shared" si="73"/>
        <v/>
      </c>
      <c r="N147" s="68" t="str">
        <f t="shared" si="74"/>
        <v/>
      </c>
      <c r="O147" s="86" t="str">
        <f t="shared" si="75"/>
        <v/>
      </c>
      <c r="P147" s="70" t="str">
        <f>IF($B147="","",IFERROR(LOOKUP(2,1/(TAHSILAT!$C$7:$C$2506=$B147),TAHSILAT!$E$7:$E$2506),""))</f>
        <v/>
      </c>
      <c r="Q147" s="65" t="str">
        <f t="shared" si="76"/>
        <v/>
      </c>
      <c r="R147" s="74" t="str">
        <f t="shared" si="77"/>
        <v/>
      </c>
      <c r="S147" s="76" t="str">
        <f>IF($B147="","",COUNTIFS(AKTIVITE!$D$7:$D$1006,$B147,AKTIVITE!$J$7:$J$1006,"&lt;&gt;Tamamlandı"))</f>
        <v/>
      </c>
      <c r="T147" s="70" t="str">
        <f>IF(OR($B147="",$AF147=""),"",IF(INDEX(MUSTERILER!$K$7:$K$156,$AF147)="","",INDEX(MUSTERILER!$K$7:$K$156,$AF147)))</f>
        <v/>
      </c>
      <c r="U147" s="76" t="str">
        <f t="shared" ca="1" si="78"/>
        <v/>
      </c>
      <c r="V147" s="68" t="str">
        <f t="shared" si="79"/>
        <v/>
      </c>
      <c r="W147" s="65" t="str">
        <f t="shared" si="80"/>
        <v/>
      </c>
      <c r="X147" s="2">
        <f>IF($B147="",0,SUMIFS(UCRETLER!$J$7:$J$606,UCRETLER!$B$7:$B$606,$B147))</f>
        <v>0</v>
      </c>
      <c r="Y147" s="2">
        <f>IF($B147="",0,SUMIFS(UCRETLER!$K$7:$K$606,UCRETLER!$B$7:$B$606,$B147))</f>
        <v>0</v>
      </c>
      <c r="Z147" s="1">
        <f>IF($B147="",0,SUMIFS(UCRETLER!$L$7:$L$606,UCRETLER!$B$7:$B$606,$B147))</f>
        <v>0</v>
      </c>
      <c r="AA147" s="1">
        <f t="shared" si="81"/>
        <v>0</v>
      </c>
      <c r="AB147" s="1">
        <f t="shared" si="82"/>
        <v>0</v>
      </c>
      <c r="AC147" s="1">
        <f t="shared" si="83"/>
        <v>0</v>
      </c>
      <c r="AD147" s="1">
        <f t="shared" si="84"/>
        <v>0</v>
      </c>
      <c r="AE147" s="1">
        <f t="shared" si="85"/>
        <v>0</v>
      </c>
      <c r="AF147" s="1" t="str">
        <f>IFERROR(MATCH(ROW()-6,MUSTERILER!$U$7:$U$156,0),"")</f>
        <v/>
      </c>
      <c r="AG147" s="1">
        <f>IF($B147="",0,SUMIFS(GELIR_GIDER!$G$7:$G$3006,GELIR_GIDER!$T$7:$T$3006,$B147))</f>
        <v>0</v>
      </c>
    </row>
    <row r="148" spans="1:33" ht="18" customHeight="1" x14ac:dyDescent="0.3">
      <c r="A148" s="2"/>
      <c r="B148" s="65" t="str">
        <f>IF($AF148="","",INDEX(MUSTERILER!$B$7:$B$156,$AF148))</f>
        <v/>
      </c>
      <c r="C148" s="74" t="str">
        <f>IF($AF148="","",INDEX(MUSTERILER!$C$7:$C$156,$AF148))</f>
        <v/>
      </c>
      <c r="D148" s="68" t="str">
        <f>IF($B148="","",SUMIFS(UCRETLER!$G$7:$G$606,UCRETLER!$B$7:$B$606,$B148,UCRETLER!$F$7:$F$606,"Haftalık",UCRETLER!$H$7:$H$606,"Aktif"))</f>
        <v/>
      </c>
      <c r="E148" s="68" t="str">
        <f>IF($B148="","",SUMIFS(UCRETLER!$G$7:$G$606,UCRETLER!$B$7:$B$606,$B148,UCRETLER!$F$7:$F$606,"Aylık",UCRETLER!$H$7:$H$606,"Aktif"))</f>
        <v/>
      </c>
      <c r="F148" s="68" t="str">
        <f>IF($B148="","",SUMIFS(MUSTERILER!$J$7:$J$156,MUSTERILER!$B$7:$B$156,$B148))</f>
        <v/>
      </c>
      <c r="G148" s="68" t="str">
        <f>IF($B148="","",SUMIFS(UCRETLER!$I$7:$I$606,UCRETLER!$B$7:$B$606,$B148)+SUMIFS(GELIR_GIDER!$G$7:$G$3006,GELIR_GIDER!$T$7:$T$3006,$B148))</f>
        <v/>
      </c>
      <c r="H148" s="68" t="str">
        <f t="shared" si="69"/>
        <v/>
      </c>
      <c r="I148" s="68" t="str">
        <f>IF($B148="","",SUMIFS(TAHSILAT!$F$7:$F$2506,TAHSILAT!$C$7:$C$2506,$B148))</f>
        <v/>
      </c>
      <c r="J148" s="68" t="str">
        <f t="shared" si="70"/>
        <v/>
      </c>
      <c r="K148" s="68" t="str">
        <f t="shared" si="71"/>
        <v/>
      </c>
      <c r="L148" s="68" t="str">
        <f t="shared" si="72"/>
        <v/>
      </c>
      <c r="M148" s="68" t="str">
        <f t="shared" si="73"/>
        <v/>
      </c>
      <c r="N148" s="68" t="str">
        <f t="shared" si="74"/>
        <v/>
      </c>
      <c r="O148" s="86" t="str">
        <f t="shared" si="75"/>
        <v/>
      </c>
      <c r="P148" s="70" t="str">
        <f>IF($B148="","",IFERROR(LOOKUP(2,1/(TAHSILAT!$C$7:$C$2506=$B148),TAHSILAT!$E$7:$E$2506),""))</f>
        <v/>
      </c>
      <c r="Q148" s="65" t="str">
        <f t="shared" si="76"/>
        <v/>
      </c>
      <c r="R148" s="74" t="str">
        <f t="shared" si="77"/>
        <v/>
      </c>
      <c r="S148" s="76" t="str">
        <f>IF($B148="","",COUNTIFS(AKTIVITE!$D$7:$D$1006,$B148,AKTIVITE!$J$7:$J$1006,"&lt;&gt;Tamamlandı"))</f>
        <v/>
      </c>
      <c r="T148" s="70" t="str">
        <f>IF(OR($B148="",$AF148=""),"",IF(INDEX(MUSTERILER!$K$7:$K$156,$AF148)="","",INDEX(MUSTERILER!$K$7:$K$156,$AF148)))</f>
        <v/>
      </c>
      <c r="U148" s="76" t="str">
        <f t="shared" ca="1" si="78"/>
        <v/>
      </c>
      <c r="V148" s="68" t="str">
        <f t="shared" si="79"/>
        <v/>
      </c>
      <c r="W148" s="65" t="str">
        <f t="shared" si="80"/>
        <v/>
      </c>
      <c r="X148" s="2">
        <f>IF($B148="",0,SUMIFS(UCRETLER!$J$7:$J$606,UCRETLER!$B$7:$B$606,$B148))</f>
        <v>0</v>
      </c>
      <c r="Y148" s="2">
        <f>IF($B148="",0,SUMIFS(UCRETLER!$K$7:$K$606,UCRETLER!$B$7:$B$606,$B148))</f>
        <v>0</v>
      </c>
      <c r="Z148" s="1">
        <f>IF($B148="",0,SUMIFS(UCRETLER!$L$7:$L$606,UCRETLER!$B$7:$B$606,$B148))</f>
        <v>0</v>
      </c>
      <c r="AA148" s="1">
        <f t="shared" si="81"/>
        <v>0</v>
      </c>
      <c r="AB148" s="1">
        <f t="shared" si="82"/>
        <v>0</v>
      </c>
      <c r="AC148" s="1">
        <f t="shared" si="83"/>
        <v>0</v>
      </c>
      <c r="AD148" s="1">
        <f t="shared" si="84"/>
        <v>0</v>
      </c>
      <c r="AE148" s="1">
        <f t="shared" si="85"/>
        <v>0</v>
      </c>
      <c r="AF148" s="1" t="str">
        <f>IFERROR(MATCH(ROW()-6,MUSTERILER!$U$7:$U$156,0),"")</f>
        <v/>
      </c>
      <c r="AG148" s="1">
        <f>IF($B148="",0,SUMIFS(GELIR_GIDER!$G$7:$G$3006,GELIR_GIDER!$T$7:$T$3006,$B148))</f>
        <v>0</v>
      </c>
    </row>
    <row r="149" spans="1:33" ht="18" customHeight="1" x14ac:dyDescent="0.3">
      <c r="A149" s="2"/>
      <c r="B149" s="65" t="str">
        <f>IF($AF149="","",INDEX(MUSTERILER!$B$7:$B$156,$AF149))</f>
        <v/>
      </c>
      <c r="C149" s="74" t="str">
        <f>IF($AF149="","",INDEX(MUSTERILER!$C$7:$C$156,$AF149))</f>
        <v/>
      </c>
      <c r="D149" s="68" t="str">
        <f>IF($B149="","",SUMIFS(UCRETLER!$G$7:$G$606,UCRETLER!$B$7:$B$606,$B149,UCRETLER!$F$7:$F$606,"Haftalık",UCRETLER!$H$7:$H$606,"Aktif"))</f>
        <v/>
      </c>
      <c r="E149" s="68" t="str">
        <f>IF($B149="","",SUMIFS(UCRETLER!$G$7:$G$606,UCRETLER!$B$7:$B$606,$B149,UCRETLER!$F$7:$F$606,"Aylık",UCRETLER!$H$7:$H$606,"Aktif"))</f>
        <v/>
      </c>
      <c r="F149" s="68" t="str">
        <f>IF($B149="","",SUMIFS(MUSTERILER!$J$7:$J$156,MUSTERILER!$B$7:$B$156,$B149))</f>
        <v/>
      </c>
      <c r="G149" s="68" t="str">
        <f>IF($B149="","",SUMIFS(UCRETLER!$I$7:$I$606,UCRETLER!$B$7:$B$606,$B149)+SUMIFS(GELIR_GIDER!$G$7:$G$3006,GELIR_GIDER!$T$7:$T$3006,$B149))</f>
        <v/>
      </c>
      <c r="H149" s="68" t="str">
        <f t="shared" si="69"/>
        <v/>
      </c>
      <c r="I149" s="68" t="str">
        <f>IF($B149="","",SUMIFS(TAHSILAT!$F$7:$F$2506,TAHSILAT!$C$7:$C$2506,$B149))</f>
        <v/>
      </c>
      <c r="J149" s="68" t="str">
        <f t="shared" si="70"/>
        <v/>
      </c>
      <c r="K149" s="68" t="str">
        <f t="shared" si="71"/>
        <v/>
      </c>
      <c r="L149" s="68" t="str">
        <f t="shared" si="72"/>
        <v/>
      </c>
      <c r="M149" s="68" t="str">
        <f t="shared" si="73"/>
        <v/>
      </c>
      <c r="N149" s="68" t="str">
        <f t="shared" si="74"/>
        <v/>
      </c>
      <c r="O149" s="86" t="str">
        <f t="shared" si="75"/>
        <v/>
      </c>
      <c r="P149" s="70" t="str">
        <f>IF($B149="","",IFERROR(LOOKUP(2,1/(TAHSILAT!$C$7:$C$2506=$B149),TAHSILAT!$E$7:$E$2506),""))</f>
        <v/>
      </c>
      <c r="Q149" s="65" t="str">
        <f t="shared" si="76"/>
        <v/>
      </c>
      <c r="R149" s="74" t="str">
        <f t="shared" si="77"/>
        <v/>
      </c>
      <c r="S149" s="76" t="str">
        <f>IF($B149="","",COUNTIFS(AKTIVITE!$D$7:$D$1006,$B149,AKTIVITE!$J$7:$J$1006,"&lt;&gt;Tamamlandı"))</f>
        <v/>
      </c>
      <c r="T149" s="70" t="str">
        <f>IF(OR($B149="",$AF149=""),"",IF(INDEX(MUSTERILER!$K$7:$K$156,$AF149)="","",INDEX(MUSTERILER!$K$7:$K$156,$AF149)))</f>
        <v/>
      </c>
      <c r="U149" s="76" t="str">
        <f t="shared" ca="1" si="78"/>
        <v/>
      </c>
      <c r="V149" s="68" t="str">
        <f t="shared" si="79"/>
        <v/>
      </c>
      <c r="W149" s="65" t="str">
        <f t="shared" si="80"/>
        <v/>
      </c>
      <c r="X149" s="2">
        <f>IF($B149="",0,SUMIFS(UCRETLER!$J$7:$J$606,UCRETLER!$B$7:$B$606,$B149))</f>
        <v>0</v>
      </c>
      <c r="Y149" s="2">
        <f>IF($B149="",0,SUMIFS(UCRETLER!$K$7:$K$606,UCRETLER!$B$7:$B$606,$B149))</f>
        <v>0</v>
      </c>
      <c r="Z149" s="1">
        <f>IF($B149="",0,SUMIFS(UCRETLER!$L$7:$L$606,UCRETLER!$B$7:$B$606,$B149))</f>
        <v>0</v>
      </c>
      <c r="AA149" s="1">
        <f t="shared" si="81"/>
        <v>0</v>
      </c>
      <c r="AB149" s="1">
        <f t="shared" si="82"/>
        <v>0</v>
      </c>
      <c r="AC149" s="1">
        <f t="shared" si="83"/>
        <v>0</v>
      </c>
      <c r="AD149" s="1">
        <f t="shared" si="84"/>
        <v>0</v>
      </c>
      <c r="AE149" s="1">
        <f t="shared" si="85"/>
        <v>0</v>
      </c>
      <c r="AF149" s="1" t="str">
        <f>IFERROR(MATCH(ROW()-6,MUSTERILER!$U$7:$U$156,0),"")</f>
        <v/>
      </c>
      <c r="AG149" s="1">
        <f>IF($B149="",0,SUMIFS(GELIR_GIDER!$G$7:$G$3006,GELIR_GIDER!$T$7:$T$3006,$B149))</f>
        <v>0</v>
      </c>
    </row>
    <row r="150" spans="1:33" ht="18" customHeight="1" x14ac:dyDescent="0.3">
      <c r="A150" s="2"/>
      <c r="B150" s="65" t="str">
        <f>IF($AF150="","",INDEX(MUSTERILER!$B$7:$B$156,$AF150))</f>
        <v/>
      </c>
      <c r="C150" s="74" t="str">
        <f>IF($AF150="","",INDEX(MUSTERILER!$C$7:$C$156,$AF150))</f>
        <v/>
      </c>
      <c r="D150" s="68" t="str">
        <f>IF($B150="","",SUMIFS(UCRETLER!$G$7:$G$606,UCRETLER!$B$7:$B$606,$B150,UCRETLER!$F$7:$F$606,"Haftalık",UCRETLER!$H$7:$H$606,"Aktif"))</f>
        <v/>
      </c>
      <c r="E150" s="68" t="str">
        <f>IF($B150="","",SUMIFS(UCRETLER!$G$7:$G$606,UCRETLER!$B$7:$B$606,$B150,UCRETLER!$F$7:$F$606,"Aylık",UCRETLER!$H$7:$H$606,"Aktif"))</f>
        <v/>
      </c>
      <c r="F150" s="68" t="str">
        <f>IF($B150="","",SUMIFS(MUSTERILER!$J$7:$J$156,MUSTERILER!$B$7:$B$156,$B150))</f>
        <v/>
      </c>
      <c r="G150" s="68" t="str">
        <f>IF($B150="","",SUMIFS(UCRETLER!$I$7:$I$606,UCRETLER!$B$7:$B$606,$B150)+SUMIFS(GELIR_GIDER!$G$7:$G$3006,GELIR_GIDER!$T$7:$T$3006,$B150))</f>
        <v/>
      </c>
      <c r="H150" s="68" t="str">
        <f t="shared" si="69"/>
        <v/>
      </c>
      <c r="I150" s="68" t="str">
        <f>IF($B150="","",SUMIFS(TAHSILAT!$F$7:$F$2506,TAHSILAT!$C$7:$C$2506,$B150))</f>
        <v/>
      </c>
      <c r="J150" s="68" t="str">
        <f t="shared" si="70"/>
        <v/>
      </c>
      <c r="K150" s="68" t="str">
        <f t="shared" si="71"/>
        <v/>
      </c>
      <c r="L150" s="68" t="str">
        <f t="shared" si="72"/>
        <v/>
      </c>
      <c r="M150" s="68" t="str">
        <f t="shared" si="73"/>
        <v/>
      </c>
      <c r="N150" s="68" t="str">
        <f t="shared" si="74"/>
        <v/>
      </c>
      <c r="O150" s="86" t="str">
        <f t="shared" si="75"/>
        <v/>
      </c>
      <c r="P150" s="70" t="str">
        <f>IF($B150="","",IFERROR(LOOKUP(2,1/(TAHSILAT!$C$7:$C$2506=$B150),TAHSILAT!$E$7:$E$2506),""))</f>
        <v/>
      </c>
      <c r="Q150" s="65" t="str">
        <f t="shared" si="76"/>
        <v/>
      </c>
      <c r="R150" s="74" t="str">
        <f t="shared" si="77"/>
        <v/>
      </c>
      <c r="S150" s="76" t="str">
        <f>IF($B150="","",COUNTIFS(AKTIVITE!$D$7:$D$1006,$B150,AKTIVITE!$J$7:$J$1006,"&lt;&gt;Tamamlandı"))</f>
        <v/>
      </c>
      <c r="T150" s="70" t="str">
        <f>IF(OR($B150="",$AF150=""),"",IF(INDEX(MUSTERILER!$K$7:$K$156,$AF150)="","",INDEX(MUSTERILER!$K$7:$K$156,$AF150)))</f>
        <v/>
      </c>
      <c r="U150" s="76" t="str">
        <f t="shared" ca="1" si="78"/>
        <v/>
      </c>
      <c r="V150" s="68" t="str">
        <f t="shared" si="79"/>
        <v/>
      </c>
      <c r="W150" s="65" t="str">
        <f t="shared" si="80"/>
        <v/>
      </c>
      <c r="X150" s="2">
        <f>IF($B150="",0,SUMIFS(UCRETLER!$J$7:$J$606,UCRETLER!$B$7:$B$606,$B150))</f>
        <v>0</v>
      </c>
      <c r="Y150" s="2">
        <f>IF($B150="",0,SUMIFS(UCRETLER!$K$7:$K$606,UCRETLER!$B$7:$B$606,$B150))</f>
        <v>0</v>
      </c>
      <c r="Z150" s="1">
        <f>IF($B150="",0,SUMIFS(UCRETLER!$L$7:$L$606,UCRETLER!$B$7:$B$606,$B150))</f>
        <v>0</v>
      </c>
      <c r="AA150" s="1">
        <f t="shared" si="81"/>
        <v>0</v>
      </c>
      <c r="AB150" s="1">
        <f t="shared" si="82"/>
        <v>0</v>
      </c>
      <c r="AC150" s="1">
        <f t="shared" si="83"/>
        <v>0</v>
      </c>
      <c r="AD150" s="1">
        <f t="shared" si="84"/>
        <v>0</v>
      </c>
      <c r="AE150" s="1">
        <f t="shared" si="85"/>
        <v>0</v>
      </c>
      <c r="AF150" s="1" t="str">
        <f>IFERROR(MATCH(ROW()-6,MUSTERILER!$U$7:$U$156,0),"")</f>
        <v/>
      </c>
      <c r="AG150" s="1">
        <f>IF($B150="",0,SUMIFS(GELIR_GIDER!$G$7:$G$3006,GELIR_GIDER!$T$7:$T$3006,$B150))</f>
        <v>0</v>
      </c>
    </row>
    <row r="151" spans="1:33" ht="18" customHeight="1" x14ac:dyDescent="0.3">
      <c r="A151" s="2"/>
      <c r="B151" s="65" t="str">
        <f>IF($AF151="","",INDEX(MUSTERILER!$B$7:$B$156,$AF151))</f>
        <v/>
      </c>
      <c r="C151" s="74" t="str">
        <f>IF($AF151="","",INDEX(MUSTERILER!$C$7:$C$156,$AF151))</f>
        <v/>
      </c>
      <c r="D151" s="68" t="str">
        <f>IF($B151="","",SUMIFS(UCRETLER!$G$7:$G$606,UCRETLER!$B$7:$B$606,$B151,UCRETLER!$F$7:$F$606,"Haftalık",UCRETLER!$H$7:$H$606,"Aktif"))</f>
        <v/>
      </c>
      <c r="E151" s="68" t="str">
        <f>IF($B151="","",SUMIFS(UCRETLER!$G$7:$G$606,UCRETLER!$B$7:$B$606,$B151,UCRETLER!$F$7:$F$606,"Aylık",UCRETLER!$H$7:$H$606,"Aktif"))</f>
        <v/>
      </c>
      <c r="F151" s="68" t="str">
        <f>IF($B151="","",SUMIFS(MUSTERILER!$J$7:$J$156,MUSTERILER!$B$7:$B$156,$B151))</f>
        <v/>
      </c>
      <c r="G151" s="68" t="str">
        <f>IF($B151="","",SUMIFS(UCRETLER!$I$7:$I$606,UCRETLER!$B$7:$B$606,$B151)+SUMIFS(GELIR_GIDER!$G$7:$G$3006,GELIR_GIDER!$T$7:$T$3006,$B151))</f>
        <v/>
      </c>
      <c r="H151" s="68" t="str">
        <f t="shared" si="69"/>
        <v/>
      </c>
      <c r="I151" s="68" t="str">
        <f>IF($B151="","",SUMIFS(TAHSILAT!$F$7:$F$2506,TAHSILAT!$C$7:$C$2506,$B151))</f>
        <v/>
      </c>
      <c r="J151" s="68" t="str">
        <f t="shared" si="70"/>
        <v/>
      </c>
      <c r="K151" s="68" t="str">
        <f t="shared" si="71"/>
        <v/>
      </c>
      <c r="L151" s="68" t="str">
        <f t="shared" si="72"/>
        <v/>
      </c>
      <c r="M151" s="68" t="str">
        <f t="shared" si="73"/>
        <v/>
      </c>
      <c r="N151" s="68" t="str">
        <f t="shared" si="74"/>
        <v/>
      </c>
      <c r="O151" s="86" t="str">
        <f t="shared" si="75"/>
        <v/>
      </c>
      <c r="P151" s="70" t="str">
        <f>IF($B151="","",IFERROR(LOOKUP(2,1/(TAHSILAT!$C$7:$C$2506=$B151),TAHSILAT!$E$7:$E$2506),""))</f>
        <v/>
      </c>
      <c r="Q151" s="65" t="str">
        <f t="shared" si="76"/>
        <v/>
      </c>
      <c r="R151" s="74" t="str">
        <f t="shared" si="77"/>
        <v/>
      </c>
      <c r="S151" s="76" t="str">
        <f>IF($B151="","",COUNTIFS(AKTIVITE!$D$7:$D$1006,$B151,AKTIVITE!$J$7:$J$1006,"&lt;&gt;Tamamlandı"))</f>
        <v/>
      </c>
      <c r="T151" s="70" t="str">
        <f>IF(OR($B151="",$AF151=""),"",IF(INDEX(MUSTERILER!$K$7:$K$156,$AF151)="","",INDEX(MUSTERILER!$K$7:$K$156,$AF151)))</f>
        <v/>
      </c>
      <c r="U151" s="76" t="str">
        <f t="shared" ca="1" si="78"/>
        <v/>
      </c>
      <c r="V151" s="68" t="str">
        <f t="shared" si="79"/>
        <v/>
      </c>
      <c r="W151" s="65" t="str">
        <f t="shared" si="80"/>
        <v/>
      </c>
      <c r="X151" s="2">
        <f>IF($B151="",0,SUMIFS(UCRETLER!$J$7:$J$606,UCRETLER!$B$7:$B$606,$B151))</f>
        <v>0</v>
      </c>
      <c r="Y151" s="2">
        <f>IF($B151="",0,SUMIFS(UCRETLER!$K$7:$K$606,UCRETLER!$B$7:$B$606,$B151))</f>
        <v>0</v>
      </c>
      <c r="Z151" s="1">
        <f>IF($B151="",0,SUMIFS(UCRETLER!$L$7:$L$606,UCRETLER!$B$7:$B$606,$B151))</f>
        <v>0</v>
      </c>
      <c r="AA151" s="1">
        <f t="shared" si="81"/>
        <v>0</v>
      </c>
      <c r="AB151" s="1">
        <f t="shared" si="82"/>
        <v>0</v>
      </c>
      <c r="AC151" s="1">
        <f t="shared" si="83"/>
        <v>0</v>
      </c>
      <c r="AD151" s="1">
        <f t="shared" si="84"/>
        <v>0</v>
      </c>
      <c r="AE151" s="1">
        <f t="shared" si="85"/>
        <v>0</v>
      </c>
      <c r="AF151" s="1" t="str">
        <f>IFERROR(MATCH(ROW()-6,MUSTERILER!$U$7:$U$156,0),"")</f>
        <v/>
      </c>
      <c r="AG151" s="1">
        <f>IF($B151="",0,SUMIFS(GELIR_GIDER!$G$7:$G$3006,GELIR_GIDER!$T$7:$T$3006,$B151))</f>
        <v>0</v>
      </c>
    </row>
    <row r="152" spans="1:33" ht="18" customHeight="1" x14ac:dyDescent="0.3">
      <c r="A152" s="2"/>
      <c r="B152" s="65" t="str">
        <f>IF($AF152="","",INDEX(MUSTERILER!$B$7:$B$156,$AF152))</f>
        <v/>
      </c>
      <c r="C152" s="74" t="str">
        <f>IF($AF152="","",INDEX(MUSTERILER!$C$7:$C$156,$AF152))</f>
        <v/>
      </c>
      <c r="D152" s="68" t="str">
        <f>IF($B152="","",SUMIFS(UCRETLER!$G$7:$G$606,UCRETLER!$B$7:$B$606,$B152,UCRETLER!$F$7:$F$606,"Haftalık",UCRETLER!$H$7:$H$606,"Aktif"))</f>
        <v/>
      </c>
      <c r="E152" s="68" t="str">
        <f>IF($B152="","",SUMIFS(UCRETLER!$G$7:$G$606,UCRETLER!$B$7:$B$606,$B152,UCRETLER!$F$7:$F$606,"Aylık",UCRETLER!$H$7:$H$606,"Aktif"))</f>
        <v/>
      </c>
      <c r="F152" s="68" t="str">
        <f>IF($B152="","",SUMIFS(MUSTERILER!$J$7:$J$156,MUSTERILER!$B$7:$B$156,$B152))</f>
        <v/>
      </c>
      <c r="G152" s="68" t="str">
        <f>IF($B152="","",SUMIFS(UCRETLER!$I$7:$I$606,UCRETLER!$B$7:$B$606,$B152)+SUMIFS(GELIR_GIDER!$G$7:$G$3006,GELIR_GIDER!$T$7:$T$3006,$B152))</f>
        <v/>
      </c>
      <c r="H152" s="68" t="str">
        <f t="shared" si="69"/>
        <v/>
      </c>
      <c r="I152" s="68" t="str">
        <f>IF($B152="","",SUMIFS(TAHSILAT!$F$7:$F$2506,TAHSILAT!$C$7:$C$2506,$B152))</f>
        <v/>
      </c>
      <c r="J152" s="68" t="str">
        <f t="shared" si="70"/>
        <v/>
      </c>
      <c r="K152" s="68" t="str">
        <f t="shared" si="71"/>
        <v/>
      </c>
      <c r="L152" s="68" t="str">
        <f t="shared" si="72"/>
        <v/>
      </c>
      <c r="M152" s="68" t="str">
        <f t="shared" si="73"/>
        <v/>
      </c>
      <c r="N152" s="68" t="str">
        <f t="shared" si="74"/>
        <v/>
      </c>
      <c r="O152" s="86" t="str">
        <f t="shared" si="75"/>
        <v/>
      </c>
      <c r="P152" s="70" t="str">
        <f>IF($B152="","",IFERROR(LOOKUP(2,1/(TAHSILAT!$C$7:$C$2506=$B152),TAHSILAT!$E$7:$E$2506),""))</f>
        <v/>
      </c>
      <c r="Q152" s="65" t="str">
        <f t="shared" si="76"/>
        <v/>
      </c>
      <c r="R152" s="74" t="str">
        <f t="shared" si="77"/>
        <v/>
      </c>
      <c r="S152" s="76" t="str">
        <f>IF($B152="","",COUNTIFS(AKTIVITE!$D$7:$D$1006,$B152,AKTIVITE!$J$7:$J$1006,"&lt;&gt;Tamamlandı"))</f>
        <v/>
      </c>
      <c r="T152" s="70" t="str">
        <f>IF(OR($B152="",$AF152=""),"",IF(INDEX(MUSTERILER!$K$7:$K$156,$AF152)="","",INDEX(MUSTERILER!$K$7:$K$156,$AF152)))</f>
        <v/>
      </c>
      <c r="U152" s="76" t="str">
        <f t="shared" ca="1" si="78"/>
        <v/>
      </c>
      <c r="V152" s="68" t="str">
        <f t="shared" si="79"/>
        <v/>
      </c>
      <c r="W152" s="65" t="str">
        <f t="shared" si="80"/>
        <v/>
      </c>
      <c r="X152" s="2">
        <f>IF($B152="",0,SUMIFS(UCRETLER!$J$7:$J$606,UCRETLER!$B$7:$B$606,$B152))</f>
        <v>0</v>
      </c>
      <c r="Y152" s="2">
        <f>IF($B152="",0,SUMIFS(UCRETLER!$K$7:$K$606,UCRETLER!$B$7:$B$606,$B152))</f>
        <v>0</v>
      </c>
      <c r="Z152" s="1">
        <f>IF($B152="",0,SUMIFS(UCRETLER!$L$7:$L$606,UCRETLER!$B$7:$B$606,$B152))</f>
        <v>0</v>
      </c>
      <c r="AA152" s="1">
        <f t="shared" si="81"/>
        <v>0</v>
      </c>
      <c r="AB152" s="1">
        <f t="shared" si="82"/>
        <v>0</v>
      </c>
      <c r="AC152" s="1">
        <f t="shared" si="83"/>
        <v>0</v>
      </c>
      <c r="AD152" s="1">
        <f t="shared" si="84"/>
        <v>0</v>
      </c>
      <c r="AE152" s="1">
        <f t="shared" si="85"/>
        <v>0</v>
      </c>
      <c r="AF152" s="1" t="str">
        <f>IFERROR(MATCH(ROW()-6,MUSTERILER!$U$7:$U$156,0),"")</f>
        <v/>
      </c>
      <c r="AG152" s="1">
        <f>IF($B152="",0,SUMIFS(GELIR_GIDER!$G$7:$G$3006,GELIR_GIDER!$T$7:$T$3006,$B152))</f>
        <v>0</v>
      </c>
    </row>
    <row r="153" spans="1:33" ht="18" customHeight="1" x14ac:dyDescent="0.3">
      <c r="A153" s="2"/>
      <c r="B153" s="65" t="str">
        <f>IF($AF153="","",INDEX(MUSTERILER!$B$7:$B$156,$AF153))</f>
        <v/>
      </c>
      <c r="C153" s="74" t="str">
        <f>IF($AF153="","",INDEX(MUSTERILER!$C$7:$C$156,$AF153))</f>
        <v/>
      </c>
      <c r="D153" s="68" t="str">
        <f>IF($B153="","",SUMIFS(UCRETLER!$G$7:$G$606,UCRETLER!$B$7:$B$606,$B153,UCRETLER!$F$7:$F$606,"Haftalık",UCRETLER!$H$7:$H$606,"Aktif"))</f>
        <v/>
      </c>
      <c r="E153" s="68" t="str">
        <f>IF($B153="","",SUMIFS(UCRETLER!$G$7:$G$606,UCRETLER!$B$7:$B$606,$B153,UCRETLER!$F$7:$F$606,"Aylık",UCRETLER!$H$7:$H$606,"Aktif"))</f>
        <v/>
      </c>
      <c r="F153" s="68" t="str">
        <f>IF($B153="","",SUMIFS(MUSTERILER!$J$7:$J$156,MUSTERILER!$B$7:$B$156,$B153))</f>
        <v/>
      </c>
      <c r="G153" s="68" t="str">
        <f>IF($B153="","",SUMIFS(UCRETLER!$I$7:$I$606,UCRETLER!$B$7:$B$606,$B153)+SUMIFS(GELIR_GIDER!$G$7:$G$3006,GELIR_GIDER!$T$7:$T$3006,$B153))</f>
        <v/>
      </c>
      <c r="H153" s="68" t="str">
        <f t="shared" si="69"/>
        <v/>
      </c>
      <c r="I153" s="68" t="str">
        <f>IF($B153="","",SUMIFS(TAHSILAT!$F$7:$F$2506,TAHSILAT!$C$7:$C$2506,$B153))</f>
        <v/>
      </c>
      <c r="J153" s="68" t="str">
        <f t="shared" si="70"/>
        <v/>
      </c>
      <c r="K153" s="68" t="str">
        <f t="shared" si="71"/>
        <v/>
      </c>
      <c r="L153" s="68" t="str">
        <f t="shared" si="72"/>
        <v/>
      </c>
      <c r="M153" s="68" t="str">
        <f t="shared" si="73"/>
        <v/>
      </c>
      <c r="N153" s="68" t="str">
        <f t="shared" si="74"/>
        <v/>
      </c>
      <c r="O153" s="86" t="str">
        <f t="shared" si="75"/>
        <v/>
      </c>
      <c r="P153" s="70" t="str">
        <f>IF($B153="","",IFERROR(LOOKUP(2,1/(TAHSILAT!$C$7:$C$2506=$B153),TAHSILAT!$E$7:$E$2506),""))</f>
        <v/>
      </c>
      <c r="Q153" s="65" t="str">
        <f t="shared" si="76"/>
        <v/>
      </c>
      <c r="R153" s="74" t="str">
        <f t="shared" si="77"/>
        <v/>
      </c>
      <c r="S153" s="76" t="str">
        <f>IF($B153="","",COUNTIFS(AKTIVITE!$D$7:$D$1006,$B153,AKTIVITE!$J$7:$J$1006,"&lt;&gt;Tamamlandı"))</f>
        <v/>
      </c>
      <c r="T153" s="70" t="str">
        <f>IF(OR($B153="",$AF153=""),"",IF(INDEX(MUSTERILER!$K$7:$K$156,$AF153)="","",INDEX(MUSTERILER!$K$7:$K$156,$AF153)))</f>
        <v/>
      </c>
      <c r="U153" s="76" t="str">
        <f t="shared" ca="1" si="78"/>
        <v/>
      </c>
      <c r="V153" s="68" t="str">
        <f t="shared" si="79"/>
        <v/>
      </c>
      <c r="W153" s="65" t="str">
        <f t="shared" si="80"/>
        <v/>
      </c>
      <c r="X153" s="2">
        <f>IF($B153="",0,SUMIFS(UCRETLER!$J$7:$J$606,UCRETLER!$B$7:$B$606,$B153))</f>
        <v>0</v>
      </c>
      <c r="Y153" s="2">
        <f>IF($B153="",0,SUMIFS(UCRETLER!$K$7:$K$606,UCRETLER!$B$7:$B$606,$B153))</f>
        <v>0</v>
      </c>
      <c r="Z153" s="1">
        <f>IF($B153="",0,SUMIFS(UCRETLER!$L$7:$L$606,UCRETLER!$B$7:$B$606,$B153))</f>
        <v>0</v>
      </c>
      <c r="AA153" s="1">
        <f t="shared" si="81"/>
        <v>0</v>
      </c>
      <c r="AB153" s="1">
        <f t="shared" si="82"/>
        <v>0</v>
      </c>
      <c r="AC153" s="1">
        <f t="shared" si="83"/>
        <v>0</v>
      </c>
      <c r="AD153" s="1">
        <f t="shared" si="84"/>
        <v>0</v>
      </c>
      <c r="AE153" s="1">
        <f t="shared" si="85"/>
        <v>0</v>
      </c>
      <c r="AF153" s="1" t="str">
        <f>IFERROR(MATCH(ROW()-6,MUSTERILER!$U$7:$U$156,0),"")</f>
        <v/>
      </c>
      <c r="AG153" s="1">
        <f>IF($B153="",0,SUMIFS(GELIR_GIDER!$G$7:$G$3006,GELIR_GIDER!$T$7:$T$3006,$B153))</f>
        <v>0</v>
      </c>
    </row>
    <row r="154" spans="1:33" ht="18" customHeight="1" x14ac:dyDescent="0.3">
      <c r="A154" s="2"/>
      <c r="B154" s="65" t="str">
        <f>IF($AF154="","",INDEX(MUSTERILER!$B$7:$B$156,$AF154))</f>
        <v/>
      </c>
      <c r="C154" s="74" t="str">
        <f>IF($AF154="","",INDEX(MUSTERILER!$C$7:$C$156,$AF154))</f>
        <v/>
      </c>
      <c r="D154" s="68" t="str">
        <f>IF($B154="","",SUMIFS(UCRETLER!$G$7:$G$606,UCRETLER!$B$7:$B$606,$B154,UCRETLER!$F$7:$F$606,"Haftalık",UCRETLER!$H$7:$H$606,"Aktif"))</f>
        <v/>
      </c>
      <c r="E154" s="68" t="str">
        <f>IF($B154="","",SUMIFS(UCRETLER!$G$7:$G$606,UCRETLER!$B$7:$B$606,$B154,UCRETLER!$F$7:$F$606,"Aylık",UCRETLER!$H$7:$H$606,"Aktif"))</f>
        <v/>
      </c>
      <c r="F154" s="68" t="str">
        <f>IF($B154="","",SUMIFS(MUSTERILER!$J$7:$J$156,MUSTERILER!$B$7:$B$156,$B154))</f>
        <v/>
      </c>
      <c r="G154" s="68" t="str">
        <f>IF($B154="","",SUMIFS(UCRETLER!$I$7:$I$606,UCRETLER!$B$7:$B$606,$B154)+SUMIFS(GELIR_GIDER!$G$7:$G$3006,GELIR_GIDER!$T$7:$T$3006,$B154))</f>
        <v/>
      </c>
      <c r="H154" s="68" t="str">
        <f t="shared" si="69"/>
        <v/>
      </c>
      <c r="I154" s="68" t="str">
        <f>IF($B154="","",SUMIFS(TAHSILAT!$F$7:$F$2506,TAHSILAT!$C$7:$C$2506,$B154))</f>
        <v/>
      </c>
      <c r="J154" s="68" t="str">
        <f t="shared" si="70"/>
        <v/>
      </c>
      <c r="K154" s="68" t="str">
        <f t="shared" si="71"/>
        <v/>
      </c>
      <c r="L154" s="68" t="str">
        <f t="shared" si="72"/>
        <v/>
      </c>
      <c r="M154" s="68" t="str">
        <f t="shared" si="73"/>
        <v/>
      </c>
      <c r="N154" s="68" t="str">
        <f t="shared" si="74"/>
        <v/>
      </c>
      <c r="O154" s="86" t="str">
        <f t="shared" si="75"/>
        <v/>
      </c>
      <c r="P154" s="70" t="str">
        <f>IF($B154="","",IFERROR(LOOKUP(2,1/(TAHSILAT!$C$7:$C$2506=$B154),TAHSILAT!$E$7:$E$2506),""))</f>
        <v/>
      </c>
      <c r="Q154" s="65" t="str">
        <f t="shared" si="76"/>
        <v/>
      </c>
      <c r="R154" s="74" t="str">
        <f t="shared" si="77"/>
        <v/>
      </c>
      <c r="S154" s="76" t="str">
        <f>IF($B154="","",COUNTIFS(AKTIVITE!$D$7:$D$1006,$B154,AKTIVITE!$J$7:$J$1006,"&lt;&gt;Tamamlandı"))</f>
        <v/>
      </c>
      <c r="T154" s="70" t="str">
        <f>IF(OR($B154="",$AF154=""),"",IF(INDEX(MUSTERILER!$K$7:$K$156,$AF154)="","",INDEX(MUSTERILER!$K$7:$K$156,$AF154)))</f>
        <v/>
      </c>
      <c r="U154" s="76" t="str">
        <f t="shared" ca="1" si="78"/>
        <v/>
      </c>
      <c r="V154" s="68" t="str">
        <f t="shared" si="79"/>
        <v/>
      </c>
      <c r="W154" s="65" t="str">
        <f t="shared" si="80"/>
        <v/>
      </c>
      <c r="X154" s="2">
        <f>IF($B154="",0,SUMIFS(UCRETLER!$J$7:$J$606,UCRETLER!$B$7:$B$606,$B154))</f>
        <v>0</v>
      </c>
      <c r="Y154" s="2">
        <f>IF($B154="",0,SUMIFS(UCRETLER!$K$7:$K$606,UCRETLER!$B$7:$B$606,$B154))</f>
        <v>0</v>
      </c>
      <c r="Z154" s="1">
        <f>IF($B154="",0,SUMIFS(UCRETLER!$L$7:$L$606,UCRETLER!$B$7:$B$606,$B154))</f>
        <v>0</v>
      </c>
      <c r="AA154" s="1">
        <f t="shared" si="81"/>
        <v>0</v>
      </c>
      <c r="AB154" s="1">
        <f t="shared" si="82"/>
        <v>0</v>
      </c>
      <c r="AC154" s="1">
        <f t="shared" si="83"/>
        <v>0</v>
      </c>
      <c r="AD154" s="1">
        <f t="shared" si="84"/>
        <v>0</v>
      </c>
      <c r="AE154" s="1">
        <f t="shared" si="85"/>
        <v>0</v>
      </c>
      <c r="AF154" s="1" t="str">
        <f>IFERROR(MATCH(ROW()-6,MUSTERILER!$U$7:$U$156,0),"")</f>
        <v/>
      </c>
      <c r="AG154" s="1">
        <f>IF($B154="",0,SUMIFS(GELIR_GIDER!$G$7:$G$3006,GELIR_GIDER!$T$7:$T$3006,$B154))</f>
        <v>0</v>
      </c>
    </row>
    <row r="155" spans="1:33" ht="18" customHeight="1" x14ac:dyDescent="0.3">
      <c r="A155" s="2"/>
      <c r="B155" s="65" t="str">
        <f>IF($AF155="","",INDEX(MUSTERILER!$B$7:$B$156,$AF155))</f>
        <v/>
      </c>
      <c r="C155" s="74" t="str">
        <f>IF($AF155="","",INDEX(MUSTERILER!$C$7:$C$156,$AF155))</f>
        <v/>
      </c>
      <c r="D155" s="68" t="str">
        <f>IF($B155="","",SUMIFS(UCRETLER!$G$7:$G$606,UCRETLER!$B$7:$B$606,$B155,UCRETLER!$F$7:$F$606,"Haftalık",UCRETLER!$H$7:$H$606,"Aktif"))</f>
        <v/>
      </c>
      <c r="E155" s="68" t="str">
        <f>IF($B155="","",SUMIFS(UCRETLER!$G$7:$G$606,UCRETLER!$B$7:$B$606,$B155,UCRETLER!$F$7:$F$606,"Aylık",UCRETLER!$H$7:$H$606,"Aktif"))</f>
        <v/>
      </c>
      <c r="F155" s="68" t="str">
        <f>IF($B155="","",SUMIFS(MUSTERILER!$J$7:$J$156,MUSTERILER!$B$7:$B$156,$B155))</f>
        <v/>
      </c>
      <c r="G155" s="68" t="str">
        <f>IF($B155="","",SUMIFS(UCRETLER!$I$7:$I$606,UCRETLER!$B$7:$B$606,$B155)+SUMIFS(GELIR_GIDER!$G$7:$G$3006,GELIR_GIDER!$T$7:$T$3006,$B155))</f>
        <v/>
      </c>
      <c r="H155" s="68" t="str">
        <f t="shared" si="69"/>
        <v/>
      </c>
      <c r="I155" s="68" t="str">
        <f>IF($B155="","",SUMIFS(TAHSILAT!$F$7:$F$2506,TAHSILAT!$C$7:$C$2506,$B155))</f>
        <v/>
      </c>
      <c r="J155" s="68" t="str">
        <f t="shared" si="70"/>
        <v/>
      </c>
      <c r="K155" s="68" t="str">
        <f t="shared" si="71"/>
        <v/>
      </c>
      <c r="L155" s="68" t="str">
        <f t="shared" si="72"/>
        <v/>
      </c>
      <c r="M155" s="68" t="str">
        <f t="shared" si="73"/>
        <v/>
      </c>
      <c r="N155" s="68" t="str">
        <f t="shared" si="74"/>
        <v/>
      </c>
      <c r="O155" s="86" t="str">
        <f t="shared" si="75"/>
        <v/>
      </c>
      <c r="P155" s="70" t="str">
        <f>IF($B155="","",IFERROR(LOOKUP(2,1/(TAHSILAT!$C$7:$C$2506=$B155),TAHSILAT!$E$7:$E$2506),""))</f>
        <v/>
      </c>
      <c r="Q155" s="65" t="str">
        <f t="shared" si="76"/>
        <v/>
      </c>
      <c r="R155" s="74" t="str">
        <f t="shared" si="77"/>
        <v/>
      </c>
      <c r="S155" s="76" t="str">
        <f>IF($B155="","",COUNTIFS(AKTIVITE!$D$7:$D$1006,$B155,AKTIVITE!$J$7:$J$1006,"&lt;&gt;Tamamlandı"))</f>
        <v/>
      </c>
      <c r="T155" s="70" t="str">
        <f>IF(OR($B155="",$AF155=""),"",IF(INDEX(MUSTERILER!$K$7:$K$156,$AF155)="","",INDEX(MUSTERILER!$K$7:$K$156,$AF155)))</f>
        <v/>
      </c>
      <c r="U155" s="76" t="str">
        <f t="shared" ca="1" si="78"/>
        <v/>
      </c>
      <c r="V155" s="68" t="str">
        <f t="shared" si="79"/>
        <v/>
      </c>
      <c r="W155" s="65" t="str">
        <f t="shared" si="80"/>
        <v/>
      </c>
      <c r="X155" s="2">
        <f>IF($B155="",0,SUMIFS(UCRETLER!$J$7:$J$606,UCRETLER!$B$7:$B$606,$B155))</f>
        <v>0</v>
      </c>
      <c r="Y155" s="2">
        <f>IF($B155="",0,SUMIFS(UCRETLER!$K$7:$K$606,UCRETLER!$B$7:$B$606,$B155))</f>
        <v>0</v>
      </c>
      <c r="Z155" s="1">
        <f>IF($B155="",0,SUMIFS(UCRETLER!$L$7:$L$606,UCRETLER!$B$7:$B$606,$B155))</f>
        <v>0</v>
      </c>
      <c r="AA155" s="1">
        <f t="shared" si="81"/>
        <v>0</v>
      </c>
      <c r="AB155" s="1">
        <f t="shared" si="82"/>
        <v>0</v>
      </c>
      <c r="AC155" s="1">
        <f t="shared" si="83"/>
        <v>0</v>
      </c>
      <c r="AD155" s="1">
        <f t="shared" si="84"/>
        <v>0</v>
      </c>
      <c r="AE155" s="1">
        <f t="shared" si="85"/>
        <v>0</v>
      </c>
      <c r="AF155" s="1" t="str">
        <f>IFERROR(MATCH(ROW()-6,MUSTERILER!$U$7:$U$156,0),"")</f>
        <v/>
      </c>
      <c r="AG155" s="1">
        <f>IF($B155="",0,SUMIFS(GELIR_GIDER!$G$7:$G$3006,GELIR_GIDER!$T$7:$T$3006,$B155))</f>
        <v>0</v>
      </c>
    </row>
    <row r="156" spans="1:33" ht="18" customHeight="1" x14ac:dyDescent="0.3">
      <c r="A156" s="2"/>
      <c r="B156" s="65" t="str">
        <f>IF($AF156="","",INDEX(MUSTERILER!$B$7:$B$156,$AF156))</f>
        <v/>
      </c>
      <c r="C156" s="74" t="str">
        <f>IF($AF156="","",INDEX(MUSTERILER!$C$7:$C$156,$AF156))</f>
        <v/>
      </c>
      <c r="D156" s="68" t="str">
        <f>IF($B156="","",SUMIFS(UCRETLER!$G$7:$G$606,UCRETLER!$B$7:$B$606,$B156,UCRETLER!$F$7:$F$606,"Haftalık",UCRETLER!$H$7:$H$606,"Aktif"))</f>
        <v/>
      </c>
      <c r="E156" s="68" t="str">
        <f>IF($B156="","",SUMIFS(UCRETLER!$G$7:$G$606,UCRETLER!$B$7:$B$606,$B156,UCRETLER!$F$7:$F$606,"Aylık",UCRETLER!$H$7:$H$606,"Aktif"))</f>
        <v/>
      </c>
      <c r="F156" s="68" t="str">
        <f>IF($B156="","",SUMIFS(MUSTERILER!$J$7:$J$156,MUSTERILER!$B$7:$B$156,$B156))</f>
        <v/>
      </c>
      <c r="G156" s="68" t="str">
        <f>IF($B156="","",SUMIFS(UCRETLER!$I$7:$I$606,UCRETLER!$B$7:$B$606,$B156)+SUMIFS(GELIR_GIDER!$G$7:$G$3006,GELIR_GIDER!$T$7:$T$3006,$B156))</f>
        <v/>
      </c>
      <c r="H156" s="68" t="str">
        <f t="shared" si="69"/>
        <v/>
      </c>
      <c r="I156" s="68" t="str">
        <f>IF($B156="","",SUMIFS(TAHSILAT!$F$7:$F$2506,TAHSILAT!$C$7:$C$2506,$B156))</f>
        <v/>
      </c>
      <c r="J156" s="68" t="str">
        <f t="shared" si="70"/>
        <v/>
      </c>
      <c r="K156" s="68" t="str">
        <f t="shared" si="71"/>
        <v/>
      </c>
      <c r="L156" s="68" t="str">
        <f t="shared" si="72"/>
        <v/>
      </c>
      <c r="M156" s="68" t="str">
        <f t="shared" si="73"/>
        <v/>
      </c>
      <c r="N156" s="68" t="str">
        <f t="shared" si="74"/>
        <v/>
      </c>
      <c r="O156" s="86" t="str">
        <f t="shared" si="75"/>
        <v/>
      </c>
      <c r="P156" s="70" t="str">
        <f>IF($B156="","",IFERROR(LOOKUP(2,1/(TAHSILAT!$C$7:$C$2506=$B156),TAHSILAT!$E$7:$E$2506),""))</f>
        <v/>
      </c>
      <c r="Q156" s="65" t="str">
        <f t="shared" si="76"/>
        <v/>
      </c>
      <c r="R156" s="74" t="str">
        <f t="shared" si="77"/>
        <v/>
      </c>
      <c r="S156" s="76" t="str">
        <f>IF($B156="","",COUNTIFS(AKTIVITE!$D$7:$D$1006,$B156,AKTIVITE!$J$7:$J$1006,"&lt;&gt;Tamamlandı"))</f>
        <v/>
      </c>
      <c r="T156" s="70" t="str">
        <f>IF(OR($B156="",$AF156=""),"",IF(INDEX(MUSTERILER!$K$7:$K$156,$AF156)="","",INDEX(MUSTERILER!$K$7:$K$156,$AF156)))</f>
        <v/>
      </c>
      <c r="U156" s="76" t="str">
        <f t="shared" ca="1" si="78"/>
        <v/>
      </c>
      <c r="V156" s="68" t="str">
        <f t="shared" si="79"/>
        <v/>
      </c>
      <c r="W156" s="65" t="str">
        <f t="shared" si="80"/>
        <v/>
      </c>
      <c r="X156" s="2">
        <f>IF($B156="",0,SUMIFS(UCRETLER!$J$7:$J$606,UCRETLER!$B$7:$B$606,$B156))</f>
        <v>0</v>
      </c>
      <c r="Y156" s="2">
        <f>IF($B156="",0,SUMIFS(UCRETLER!$K$7:$K$606,UCRETLER!$B$7:$B$606,$B156))</f>
        <v>0</v>
      </c>
      <c r="Z156" s="1">
        <f>IF($B156="",0,SUMIFS(UCRETLER!$L$7:$L$606,UCRETLER!$B$7:$B$606,$B156))</f>
        <v>0</v>
      </c>
      <c r="AA156" s="1">
        <f t="shared" si="81"/>
        <v>0</v>
      </c>
      <c r="AB156" s="1">
        <f t="shared" si="82"/>
        <v>0</v>
      </c>
      <c r="AC156" s="1">
        <f t="shared" si="83"/>
        <v>0</v>
      </c>
      <c r="AD156" s="1">
        <f t="shared" si="84"/>
        <v>0</v>
      </c>
      <c r="AE156" s="1">
        <f t="shared" si="85"/>
        <v>0</v>
      </c>
      <c r="AF156" s="1" t="str">
        <f>IFERROR(MATCH(ROW()-6,MUSTERILER!$U$7:$U$156,0),"")</f>
        <v/>
      </c>
      <c r="AG156" s="1">
        <f>IF($B156="",0,SUMIFS(GELIR_GIDER!$G$7:$G$3006,GELIR_GIDER!$T$7:$T$3006,$B156))</f>
        <v>0</v>
      </c>
    </row>
    <row r="157" spans="1:33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1"/>
      <c r="AA157" s="1"/>
      <c r="AB157" s="1"/>
      <c r="AC157" s="1"/>
      <c r="AD157" s="1"/>
      <c r="AE157" s="1"/>
      <c r="AF157" s="1"/>
      <c r="AG157" s="1"/>
    </row>
    <row r="158" spans="1:33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1"/>
      <c r="AA158" s="1"/>
      <c r="AB158" s="1"/>
      <c r="AC158" s="1"/>
      <c r="AD158" s="1"/>
      <c r="AE158" s="1"/>
      <c r="AF158" s="1"/>
      <c r="AG158" s="1"/>
    </row>
  </sheetData>
  <sheetProtection password="CC3D" sheet="1" formatCells="0" formatColumns="0" formatRows="0" sort="0" autoFilter="0"/>
  <autoFilter ref="B6:W156" xr:uid="{00000000-0009-0000-0000-000009000000}"/>
  <mergeCells count="3">
    <mergeCell ref="A1:E1"/>
    <mergeCell ref="F1:W1"/>
    <mergeCell ref="A2:W2"/>
  </mergeCells>
  <conditionalFormatting sqref="J7:J156">
    <cfRule type="dataBar" priority="9">
      <dataBar>
        <cfvo type="num" val="0"/>
        <cfvo type="max"/>
        <color rgb="FF9FB8D0"/>
      </dataBar>
      <extLst>
        <ext xmlns:x14="http://schemas.microsoft.com/office/spreadsheetml/2009/9/main" uri="{B025F937-C7B1-47D3-B67F-A62EFF666E3E}">
          <x14:id>{3549A3DC-2C16-4D74-80FF-C4721BB5DDFC}</x14:id>
        </ext>
      </extLst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49A3DC-2C16-4D74-80FF-C4721BB5DDFC}">
            <x14:dataBar axisPosition="none">
              <x14:cfvo type="num">
                <xm:f>0</xm:f>
              </x14:cfvo>
              <x14:cfvo type="max"/>
              <x14:negativeFillColor rgb="FF9FB8D0"/>
            </x14:dataBar>
          </x14:cfRule>
          <xm:sqref>J7:J156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5803D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E1"/>
    </sheetView>
  </sheetViews>
  <sheetFormatPr defaultColWidth="8.5703125" defaultRowHeight="14.25" x14ac:dyDescent="0.25"/>
  <cols>
    <col min="1" max="1" width="2.42578125" customWidth="1"/>
    <col min="2" max="2" width="24" customWidth="1"/>
    <col min="3" max="4" width="12" customWidth="1"/>
    <col min="5" max="5" width="16" customWidth="1"/>
    <col min="6" max="6" width="17" customWidth="1"/>
    <col min="7" max="7" width="15" customWidth="1"/>
    <col min="8" max="8" width="34.140625" customWidth="1"/>
    <col min="9" max="10" width="15" customWidth="1"/>
    <col min="11" max="11" width="18" customWidth="1"/>
    <col min="12" max="13" width="2.42578125" customWidth="1"/>
  </cols>
  <sheetData>
    <row r="1" spans="1:13" ht="37.5" customHeight="1" x14ac:dyDescent="0.3">
      <c r="A1" s="150" t="s">
        <v>546</v>
      </c>
      <c r="B1" s="150"/>
      <c r="C1" s="150"/>
      <c r="D1" s="150"/>
      <c r="E1" s="150"/>
      <c r="F1" s="151" t="s">
        <v>933</v>
      </c>
      <c r="G1" s="151"/>
      <c r="H1" s="151"/>
      <c r="I1" s="151"/>
      <c r="J1" s="151"/>
      <c r="K1" s="151"/>
      <c r="L1" s="151"/>
      <c r="M1" s="13"/>
    </row>
    <row r="2" spans="1:13" ht="21.75" customHeight="1" x14ac:dyDescent="0.3">
      <c r="A2" s="152" t="s">
        <v>934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4"/>
    </row>
    <row r="3" spans="1:13" ht="19.5" customHeight="1" x14ac:dyDescent="0.3">
      <c r="A3" s="2"/>
      <c r="B3" s="50" t="s">
        <v>935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HYPERLINK("#VIRMAN!A1","Virman")</f>
        <v>Virman</v>
      </c>
      <c r="G4" s="2"/>
      <c r="H4" s="52" t="s">
        <v>936</v>
      </c>
      <c r="I4" s="2"/>
      <c r="J4" s="2"/>
      <c r="K4" s="2"/>
      <c r="L4" s="2"/>
      <c r="M4" s="2"/>
    </row>
    <row r="5" spans="1:13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39.75" customHeight="1" x14ac:dyDescent="0.3">
      <c r="A6" s="2"/>
      <c r="B6" s="58" t="s">
        <v>937</v>
      </c>
      <c r="C6" s="57" t="s">
        <v>749</v>
      </c>
      <c r="D6" s="57" t="s">
        <v>553</v>
      </c>
      <c r="E6" s="59" t="s">
        <v>938</v>
      </c>
      <c r="F6" s="59" t="s">
        <v>939</v>
      </c>
      <c r="G6" s="59" t="s">
        <v>940</v>
      </c>
      <c r="H6" s="59" t="s">
        <v>941</v>
      </c>
      <c r="I6" s="59" t="s">
        <v>942</v>
      </c>
      <c r="J6" s="59" t="s">
        <v>943</v>
      </c>
      <c r="K6" s="59" t="s">
        <v>944</v>
      </c>
      <c r="L6" s="2"/>
      <c r="M6" s="2"/>
    </row>
    <row r="7" spans="1:13" ht="18" customHeight="1" x14ac:dyDescent="0.3">
      <c r="A7" s="2"/>
      <c r="B7" s="61" t="s">
        <v>713</v>
      </c>
      <c r="C7" s="60" t="s">
        <v>945</v>
      </c>
      <c r="D7" s="60" t="s">
        <v>567</v>
      </c>
      <c r="E7" s="67">
        <v>0</v>
      </c>
      <c r="F7" s="68">
        <f>IF($B7="","",SUMIFS(TAHSILAT!$F$7:$F$2506,TAHSILAT!$G$7:$G$2506,$B7,TAHSILAT!$H$7:$H$2506,"&lt;&gt;Mahsup"))</f>
        <v>1639350</v>
      </c>
      <c r="G7" s="68">
        <f>IF($B7="","",SUMIFS(GELIR_GIDER!$G$7:$G$3006,GELIR_GIDER!$D$7:$D$3006,"Gelir",GELIR_GIDER!$H$7:$H$3006,$B7,GELIR_GIDER!$I$7:$I$3006,"Evet"))</f>
        <v>44500</v>
      </c>
      <c r="H7" s="68">
        <f>IF($B7="","",SUMIFS(GELIR_GIDER!$G$7:$G$3006,GELIR_GIDER!$D$7:$D$3006,"Gider",GELIR_GIDER!$H$7:$H$3006,$B7,GELIR_GIDER!$I$7:$I$3006,"Evet"))</f>
        <v>1174887.98</v>
      </c>
      <c r="I7" s="68">
        <f>IF($B7="","",SUMIFS(VIRMAN!$F$7:$F$406,VIRMAN!$E$7:$E$406,$B7))</f>
        <v>15000</v>
      </c>
      <c r="J7" s="68">
        <f>IF($B7="","",SUMIFS(VIRMAN!$F$7:$F$406,VIRMAN!$D$7:$D$406,$B7))</f>
        <v>245000</v>
      </c>
      <c r="K7" s="68">
        <f t="shared" ref="K7:K16" si="0">IF($B7="","",$E7+$F7+$G7-$H7+$I7-$J7)</f>
        <v>278962.02</v>
      </c>
      <c r="L7" s="2"/>
      <c r="M7" s="2"/>
    </row>
    <row r="8" spans="1:13" ht="18" customHeight="1" x14ac:dyDescent="0.3">
      <c r="A8" s="2"/>
      <c r="B8" s="61" t="s">
        <v>946</v>
      </c>
      <c r="C8" s="60" t="s">
        <v>945</v>
      </c>
      <c r="D8" s="60" t="s">
        <v>567</v>
      </c>
      <c r="E8" s="67">
        <v>0</v>
      </c>
      <c r="F8" s="68">
        <f>IF($B8="","",SUMIFS(TAHSILAT!$F$7:$F$2506,TAHSILAT!$G$7:$G$2506,$B8,TAHSILAT!$H$7:$H$2506,"&lt;&gt;Mahsup"))</f>
        <v>0</v>
      </c>
      <c r="G8" s="68">
        <f>IF($B8="","",SUMIFS(GELIR_GIDER!$G$7:$G$3006,GELIR_GIDER!$D$7:$D$3006,"Gelir",GELIR_GIDER!$H$7:$H$3006,$B8,GELIR_GIDER!$I$7:$I$3006,"Evet"))</f>
        <v>0</v>
      </c>
      <c r="H8" s="68">
        <f>IF($B8="","",SUMIFS(GELIR_GIDER!$G$7:$G$3006,GELIR_GIDER!$D$7:$D$3006,"Gider",GELIR_GIDER!$H$7:$H$3006,$B8,GELIR_GIDER!$I$7:$I$3006,"Evet"))</f>
        <v>0</v>
      </c>
      <c r="I8" s="68">
        <f>IF($B8="","",SUMIFS(VIRMAN!$F$7:$F$406,VIRMAN!$E$7:$E$406,$B8))</f>
        <v>0</v>
      </c>
      <c r="J8" s="68">
        <f>IF($B8="","",SUMIFS(VIRMAN!$F$7:$F$406,VIRMAN!$D$7:$D$406,$B8))</f>
        <v>0</v>
      </c>
      <c r="K8" s="68">
        <f t="shared" si="0"/>
        <v>0</v>
      </c>
      <c r="L8" s="2"/>
      <c r="M8" s="2"/>
    </row>
    <row r="9" spans="1:13" ht="18" customHeight="1" x14ac:dyDescent="0.3">
      <c r="A9" s="2"/>
      <c r="B9" s="61" t="s">
        <v>715</v>
      </c>
      <c r="C9" s="60" t="s">
        <v>945</v>
      </c>
      <c r="D9" s="60" t="s">
        <v>567</v>
      </c>
      <c r="E9" s="67">
        <v>0</v>
      </c>
      <c r="F9" s="68">
        <f>IF($B9="","",SUMIFS(TAHSILAT!$F$7:$F$2506,TAHSILAT!$G$7:$G$2506,$B9,TAHSILAT!$H$7:$H$2506,"&lt;&gt;Mahsup"))</f>
        <v>506650</v>
      </c>
      <c r="G9" s="68">
        <f>IF($B9="","",SUMIFS(GELIR_GIDER!$G$7:$G$3006,GELIR_GIDER!$D$7:$D$3006,"Gelir",GELIR_GIDER!$H$7:$H$3006,$B9,GELIR_GIDER!$I$7:$I$3006,"Evet"))</f>
        <v>5000</v>
      </c>
      <c r="H9" s="68">
        <f>IF($B9="","",SUMIFS(GELIR_GIDER!$G$7:$G$3006,GELIR_GIDER!$D$7:$D$3006,"Gider",GELIR_GIDER!$H$7:$H$3006,$B9,GELIR_GIDER!$I$7:$I$3006,"Evet"))</f>
        <v>0</v>
      </c>
      <c r="I9" s="68">
        <f>IF($B9="","",SUMIFS(VIRMAN!$F$7:$F$406,VIRMAN!$E$7:$E$406,$B9))</f>
        <v>245000</v>
      </c>
      <c r="J9" s="68">
        <f>IF($B9="","",SUMIFS(VIRMAN!$F$7:$F$406,VIRMAN!$D$7:$D$406,$B9))</f>
        <v>15000</v>
      </c>
      <c r="K9" s="68">
        <f t="shared" si="0"/>
        <v>741650</v>
      </c>
      <c r="L9" s="2"/>
      <c r="M9" s="2"/>
    </row>
    <row r="10" spans="1:13" ht="18" customHeight="1" x14ac:dyDescent="0.3">
      <c r="A10" s="2"/>
      <c r="B10" s="61" t="s">
        <v>947</v>
      </c>
      <c r="C10" s="60" t="s">
        <v>948</v>
      </c>
      <c r="D10" s="60" t="s">
        <v>567</v>
      </c>
      <c r="E10" s="67">
        <v>0</v>
      </c>
      <c r="F10" s="68">
        <f>IF($B10="","",SUMIFS(TAHSILAT!$F$7:$F$2506,TAHSILAT!$G$7:$G$2506,$B10,TAHSILAT!$H$7:$H$2506,"&lt;&gt;Mahsup"))</f>
        <v>0</v>
      </c>
      <c r="G10" s="68">
        <f>IF($B10="","",SUMIFS(GELIR_GIDER!$G$7:$G$3006,GELIR_GIDER!$D$7:$D$3006,"Gelir",GELIR_GIDER!$H$7:$H$3006,$B10,GELIR_GIDER!$I$7:$I$3006,"Evet"))</f>
        <v>0</v>
      </c>
      <c r="H10" s="68">
        <f>IF($B10="","",SUMIFS(GELIR_GIDER!$G$7:$G$3006,GELIR_GIDER!$D$7:$D$3006,"Gider",GELIR_GIDER!$H$7:$H$3006,$B10,GELIR_GIDER!$I$7:$I$3006,"Evet"))</f>
        <v>0</v>
      </c>
      <c r="I10" s="68">
        <f>IF($B10="","",SUMIFS(VIRMAN!$F$7:$F$406,VIRMAN!$E$7:$E$406,$B10))</f>
        <v>0</v>
      </c>
      <c r="J10" s="68">
        <f>IF($B10="","",SUMIFS(VIRMAN!$F$7:$F$406,VIRMAN!$D$7:$D$406,$B10))</f>
        <v>0</v>
      </c>
      <c r="K10" s="68">
        <f t="shared" si="0"/>
        <v>0</v>
      </c>
      <c r="L10" s="2"/>
      <c r="M10" s="2"/>
    </row>
    <row r="11" spans="1:13" ht="18" customHeight="1" x14ac:dyDescent="0.3">
      <c r="A11" s="2"/>
      <c r="B11" s="61" t="s">
        <v>949</v>
      </c>
      <c r="C11" s="60" t="s">
        <v>948</v>
      </c>
      <c r="D11" s="60" t="s">
        <v>567</v>
      </c>
      <c r="E11" s="67">
        <v>0</v>
      </c>
      <c r="F11" s="68">
        <f>IF($B11="","",SUMIFS(TAHSILAT!$F$7:$F$2506,TAHSILAT!$G$7:$G$2506,$B11,TAHSILAT!$H$7:$H$2506,"&lt;&gt;Mahsup"))</f>
        <v>0</v>
      </c>
      <c r="G11" s="68">
        <f>IF($B11="","",SUMIFS(GELIR_GIDER!$G$7:$G$3006,GELIR_GIDER!$D$7:$D$3006,"Gelir",GELIR_GIDER!$H$7:$H$3006,$B11,GELIR_GIDER!$I$7:$I$3006,"Evet"))</f>
        <v>0</v>
      </c>
      <c r="H11" s="68">
        <f>IF($B11="","",SUMIFS(GELIR_GIDER!$G$7:$G$3006,GELIR_GIDER!$D$7:$D$3006,"Gider",GELIR_GIDER!$H$7:$H$3006,$B11,GELIR_GIDER!$I$7:$I$3006,"Evet"))</f>
        <v>0</v>
      </c>
      <c r="I11" s="68">
        <f>IF($B11="","",SUMIFS(VIRMAN!$F$7:$F$406,VIRMAN!$E$7:$E$406,$B11))</f>
        <v>0</v>
      </c>
      <c r="J11" s="68">
        <f>IF($B11="","",SUMIFS(VIRMAN!$F$7:$F$406,VIRMAN!$D$7:$D$406,$B11))</f>
        <v>0</v>
      </c>
      <c r="K11" s="68">
        <f t="shared" si="0"/>
        <v>0</v>
      </c>
      <c r="L11" s="2"/>
      <c r="M11" s="2"/>
    </row>
    <row r="12" spans="1:13" ht="18" customHeight="1" x14ac:dyDescent="0.3">
      <c r="A12" s="2"/>
      <c r="B12" s="61"/>
      <c r="C12" s="60"/>
      <c r="D12" s="60"/>
      <c r="E12" s="67"/>
      <c r="F12" s="68" t="str">
        <f>IF($B12="","",SUMIFS(TAHSILAT!$F$7:$F$2506,TAHSILAT!$G$7:$G$2506,$B12,TAHSILAT!$H$7:$H$2506,"&lt;&gt;Mahsup"))</f>
        <v/>
      </c>
      <c r="G12" s="68" t="str">
        <f>IF($B12="","",SUMIFS(GELIR_GIDER!$G$7:$G$3006,GELIR_GIDER!$D$7:$D$3006,"Gelir",GELIR_GIDER!$H$7:$H$3006,$B12,GELIR_GIDER!$I$7:$I$3006,"Evet"))</f>
        <v/>
      </c>
      <c r="H12" s="68" t="str">
        <f>IF($B12="","",SUMIFS(GELIR_GIDER!$G$7:$G$3006,GELIR_GIDER!$D$7:$D$3006,"Gider",GELIR_GIDER!$H$7:$H$3006,$B12,GELIR_GIDER!$I$7:$I$3006,"Evet"))</f>
        <v/>
      </c>
      <c r="I12" s="68" t="str">
        <f>IF($B12="","",SUMIFS(VIRMAN!$F$7:$F$406,VIRMAN!$E$7:$E$406,$B12))</f>
        <v/>
      </c>
      <c r="J12" s="68" t="str">
        <f>IF($B12="","",SUMIFS(VIRMAN!$F$7:$F$406,VIRMAN!$D$7:$D$406,$B12))</f>
        <v/>
      </c>
      <c r="K12" s="68" t="str">
        <f t="shared" si="0"/>
        <v/>
      </c>
      <c r="L12" s="2"/>
      <c r="M12" s="2"/>
    </row>
    <row r="13" spans="1:13" ht="18" customHeight="1" x14ac:dyDescent="0.3">
      <c r="A13" s="2"/>
      <c r="B13" s="61"/>
      <c r="C13" s="60"/>
      <c r="D13" s="60"/>
      <c r="E13" s="67"/>
      <c r="F13" s="68" t="str">
        <f>IF($B13="","",SUMIFS(TAHSILAT!$F$7:$F$2506,TAHSILAT!$G$7:$G$2506,$B13,TAHSILAT!$H$7:$H$2506,"&lt;&gt;Mahsup"))</f>
        <v/>
      </c>
      <c r="G13" s="68" t="str">
        <f>IF($B13="","",SUMIFS(GELIR_GIDER!$G$7:$G$3006,GELIR_GIDER!$D$7:$D$3006,"Gelir",GELIR_GIDER!$H$7:$H$3006,$B13,GELIR_GIDER!$I$7:$I$3006,"Evet"))</f>
        <v/>
      </c>
      <c r="H13" s="68" t="str">
        <f>IF($B13="","",SUMIFS(GELIR_GIDER!$G$7:$G$3006,GELIR_GIDER!$D$7:$D$3006,"Gider",GELIR_GIDER!$H$7:$H$3006,$B13,GELIR_GIDER!$I$7:$I$3006,"Evet"))</f>
        <v/>
      </c>
      <c r="I13" s="68" t="str">
        <f>IF($B13="","",SUMIFS(VIRMAN!$F$7:$F$406,VIRMAN!$E$7:$E$406,$B13))</f>
        <v/>
      </c>
      <c r="J13" s="68" t="str">
        <f>IF($B13="","",SUMIFS(VIRMAN!$F$7:$F$406,VIRMAN!$D$7:$D$406,$B13))</f>
        <v/>
      </c>
      <c r="K13" s="68" t="str">
        <f t="shared" si="0"/>
        <v/>
      </c>
      <c r="L13" s="2"/>
      <c r="M13" s="2"/>
    </row>
    <row r="14" spans="1:13" ht="18" customHeight="1" x14ac:dyDescent="0.3">
      <c r="A14" s="2"/>
      <c r="B14" s="61"/>
      <c r="C14" s="60"/>
      <c r="D14" s="60"/>
      <c r="E14" s="67"/>
      <c r="F14" s="68" t="str">
        <f>IF($B14="","",SUMIFS(TAHSILAT!$F$7:$F$2506,TAHSILAT!$G$7:$G$2506,$B14,TAHSILAT!$H$7:$H$2506,"&lt;&gt;Mahsup"))</f>
        <v/>
      </c>
      <c r="G14" s="68" t="str">
        <f>IF($B14="","",SUMIFS(GELIR_GIDER!$G$7:$G$3006,GELIR_GIDER!$D$7:$D$3006,"Gelir",GELIR_GIDER!$H$7:$H$3006,$B14,GELIR_GIDER!$I$7:$I$3006,"Evet"))</f>
        <v/>
      </c>
      <c r="H14" s="68" t="str">
        <f>IF($B14="","",SUMIFS(GELIR_GIDER!$G$7:$G$3006,GELIR_GIDER!$D$7:$D$3006,"Gider",GELIR_GIDER!$H$7:$H$3006,$B14,GELIR_GIDER!$I$7:$I$3006,"Evet"))</f>
        <v/>
      </c>
      <c r="I14" s="68" t="str">
        <f>IF($B14="","",SUMIFS(VIRMAN!$F$7:$F$406,VIRMAN!$E$7:$E$406,$B14))</f>
        <v/>
      </c>
      <c r="J14" s="68" t="str">
        <f>IF($B14="","",SUMIFS(VIRMAN!$F$7:$F$406,VIRMAN!$D$7:$D$406,$B14))</f>
        <v/>
      </c>
      <c r="K14" s="68" t="str">
        <f t="shared" si="0"/>
        <v/>
      </c>
      <c r="L14" s="2"/>
      <c r="M14" s="2"/>
    </row>
    <row r="15" spans="1:13" ht="18" customHeight="1" x14ac:dyDescent="0.3">
      <c r="A15" s="2"/>
      <c r="B15" s="61"/>
      <c r="C15" s="60"/>
      <c r="D15" s="60"/>
      <c r="E15" s="67"/>
      <c r="F15" s="68" t="str">
        <f>IF($B15="","",SUMIFS(TAHSILAT!$F$7:$F$2506,TAHSILAT!$G$7:$G$2506,$B15,TAHSILAT!$H$7:$H$2506,"&lt;&gt;Mahsup"))</f>
        <v/>
      </c>
      <c r="G15" s="68" t="str">
        <f>IF($B15="","",SUMIFS(GELIR_GIDER!$G$7:$G$3006,GELIR_GIDER!$D$7:$D$3006,"Gelir",GELIR_GIDER!$H$7:$H$3006,$B15,GELIR_GIDER!$I$7:$I$3006,"Evet"))</f>
        <v/>
      </c>
      <c r="H15" s="68" t="str">
        <f>IF($B15="","",SUMIFS(GELIR_GIDER!$G$7:$G$3006,GELIR_GIDER!$D$7:$D$3006,"Gider",GELIR_GIDER!$H$7:$H$3006,$B15,GELIR_GIDER!$I$7:$I$3006,"Evet"))</f>
        <v/>
      </c>
      <c r="I15" s="68" t="str">
        <f>IF($B15="","",SUMIFS(VIRMAN!$F$7:$F$406,VIRMAN!$E$7:$E$406,$B15))</f>
        <v/>
      </c>
      <c r="J15" s="68" t="str">
        <f>IF($B15="","",SUMIFS(VIRMAN!$F$7:$F$406,VIRMAN!$D$7:$D$406,$B15))</f>
        <v/>
      </c>
      <c r="K15" s="68" t="str">
        <f t="shared" si="0"/>
        <v/>
      </c>
      <c r="L15" s="2"/>
      <c r="M15" s="2"/>
    </row>
    <row r="16" spans="1:13" ht="18" customHeight="1" x14ac:dyDescent="0.3">
      <c r="A16" s="2"/>
      <c r="B16" s="61"/>
      <c r="C16" s="60"/>
      <c r="D16" s="60"/>
      <c r="E16" s="67"/>
      <c r="F16" s="68" t="str">
        <f>IF($B16="","",SUMIFS(TAHSILAT!$F$7:$F$2506,TAHSILAT!$G$7:$G$2506,$B16,TAHSILAT!$H$7:$H$2506,"&lt;&gt;Mahsup"))</f>
        <v/>
      </c>
      <c r="G16" s="68" t="str">
        <f>IF($B16="","",SUMIFS(GELIR_GIDER!$G$7:$G$3006,GELIR_GIDER!$D$7:$D$3006,"Gelir",GELIR_GIDER!$H$7:$H$3006,$B16,GELIR_GIDER!$I$7:$I$3006,"Evet"))</f>
        <v/>
      </c>
      <c r="H16" s="68" t="str">
        <f>IF($B16="","",SUMIFS(GELIR_GIDER!$G$7:$G$3006,GELIR_GIDER!$D$7:$D$3006,"Gider",GELIR_GIDER!$H$7:$H$3006,$B16,GELIR_GIDER!$I$7:$I$3006,"Evet"))</f>
        <v/>
      </c>
      <c r="I16" s="68" t="str">
        <f>IF($B16="","",SUMIFS(VIRMAN!$F$7:$F$406,VIRMAN!$E$7:$E$406,$B16))</f>
        <v/>
      </c>
      <c r="J16" s="68" t="str">
        <f>IF($B16="","",SUMIFS(VIRMAN!$F$7:$F$406,VIRMAN!$D$7:$D$406,$B16))</f>
        <v/>
      </c>
      <c r="K16" s="68" t="str">
        <f t="shared" si="0"/>
        <v/>
      </c>
      <c r="L16" s="2"/>
      <c r="M16" s="2"/>
    </row>
    <row r="17" spans="1:13" ht="18" customHeight="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ht="27.75" customHeight="1" x14ac:dyDescent="0.3">
      <c r="A18" s="2"/>
      <c r="B18" s="54" t="s">
        <v>950</v>
      </c>
      <c r="C18" s="53"/>
      <c r="D18" s="53"/>
      <c r="E18" s="53"/>
      <c r="F18" s="53"/>
      <c r="G18" s="53"/>
      <c r="H18" s="53"/>
      <c r="I18" s="53"/>
      <c r="J18" s="53"/>
      <c r="K18" s="87">
        <f>SUM($K$7:$K$16)</f>
        <v>1020612.02</v>
      </c>
      <c r="L18" s="2"/>
      <c r="M18" s="2"/>
    </row>
    <row r="19" spans="1:13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</sheetData>
  <sheetProtection password="CC3D" sheet="1" formatCells="0" formatColumns="0" formatRows="0" sort="0" autoFilter="0"/>
  <mergeCells count="3">
    <mergeCell ref="A1:E1"/>
    <mergeCell ref="F1:L1"/>
    <mergeCell ref="A2:L2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 veya Banka seçin." promptTitle="Geçersiz tür" prompt="Kasa veya Banka seçin." sqref="C7:C16" xr:uid="{00000000-0002-0000-0A00-000000000000}">
      <formula1>"Kasa,Banka"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E22CE"/>
    <pageSetUpPr fitToPage="1"/>
  </sheetPr>
  <dimension ref="A1:AA44"/>
  <sheetViews>
    <sheetView showGridLines="0" zoomScaleNormal="100"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E1"/>
    </sheetView>
  </sheetViews>
  <sheetFormatPr defaultColWidth="8.5703125" defaultRowHeight="14.25" x14ac:dyDescent="0.25"/>
  <cols>
    <col min="1" max="1" width="2.42578125" customWidth="1"/>
    <col min="2" max="2" width="15" customWidth="1"/>
    <col min="3" max="3" width="23" customWidth="1"/>
    <col min="4" max="4" width="17" customWidth="1"/>
    <col min="5" max="5" width="14" customWidth="1"/>
    <col min="6" max="7" width="16" customWidth="1"/>
    <col min="8" max="8" width="17.42578125" customWidth="1"/>
    <col min="9" max="9" width="17.85546875" customWidth="1"/>
    <col min="10" max="10" width="13" customWidth="1"/>
    <col min="11" max="11" width="14" customWidth="1"/>
    <col min="12" max="12" width="18" customWidth="1"/>
    <col min="13" max="14" width="15" customWidth="1"/>
    <col min="15" max="15" width="12" customWidth="1"/>
    <col min="16" max="17" width="15" customWidth="1"/>
    <col min="18" max="18" width="16" customWidth="1"/>
    <col min="19" max="19" width="17" customWidth="1"/>
    <col min="20" max="20" width="14" customWidth="1"/>
    <col min="21" max="22" width="2.42578125" customWidth="1"/>
    <col min="24" max="27" width="13" hidden="1" customWidth="1"/>
  </cols>
  <sheetData>
    <row r="1" spans="1:27" ht="37.5" customHeight="1" x14ac:dyDescent="0.3">
      <c r="A1" s="169" t="s">
        <v>951</v>
      </c>
      <c r="B1" s="169"/>
      <c r="C1" s="169"/>
      <c r="D1" s="169"/>
      <c r="E1" s="169"/>
      <c r="F1" s="151" t="s">
        <v>952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3"/>
      <c r="V1" s="13"/>
      <c r="W1" s="1"/>
      <c r="X1" s="1"/>
      <c r="Y1" s="1"/>
      <c r="Z1" s="1"/>
      <c r="AA1" s="1"/>
    </row>
    <row r="2" spans="1:27" ht="21.75" customHeight="1" x14ac:dyDescent="0.3">
      <c r="A2" s="170" t="s">
        <v>953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4"/>
      <c r="V2" s="14"/>
      <c r="W2" s="1"/>
      <c r="X2" s="1"/>
      <c r="Y2" s="1"/>
      <c r="Z2" s="1"/>
      <c r="AA2" s="1"/>
    </row>
    <row r="3" spans="1:27" ht="19.5" customHeight="1" x14ac:dyDescent="0.3">
      <c r="A3" s="2"/>
      <c r="B3" s="50" t="s">
        <v>954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HYPERLINK("#SISTEM!A1","Sistem")</f>
        <v>Sistem</v>
      </c>
      <c r="E4" s="2"/>
      <c r="F4" s="51" t="str">
        <f>HYPERLINK("#HESAPLAR!A1","Hesaplar")</f>
        <v>Hesaplar</v>
      </c>
      <c r="G4" s="2"/>
      <c r="H4" s="52" t="s">
        <v>955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</row>
    <row r="5" spans="1:27" ht="25.5" customHeight="1" x14ac:dyDescent="0.3">
      <c r="A5" s="2"/>
      <c r="B5" s="54" t="s">
        <v>956</v>
      </c>
      <c r="C5" s="56">
        <f t="shared" ref="C5:I5" si="0">SUM(C7:C42)</f>
        <v>17038400</v>
      </c>
      <c r="D5" s="56">
        <f t="shared" si="0"/>
        <v>2146000</v>
      </c>
      <c r="E5" s="56">
        <f t="shared" si="0"/>
        <v>49500</v>
      </c>
      <c r="F5" s="56">
        <f t="shared" si="0"/>
        <v>2195500</v>
      </c>
      <c r="G5" s="56">
        <f t="shared" si="0"/>
        <v>1174887.98</v>
      </c>
      <c r="H5" s="56">
        <f t="shared" si="0"/>
        <v>15913012.02</v>
      </c>
      <c r="I5" s="56">
        <f t="shared" si="0"/>
        <v>1020612.0199999999</v>
      </c>
      <c r="J5" s="53"/>
      <c r="K5" s="53"/>
      <c r="L5" s="56">
        <f>SUM(L7:L42)</f>
        <v>32610234.84999999</v>
      </c>
      <c r="M5" s="56">
        <f>SUM(M7:M42)</f>
        <v>510306.00999999995</v>
      </c>
      <c r="N5" s="56">
        <f>SUM(N7:N42)</f>
        <v>510306.00999999995</v>
      </c>
      <c r="O5" s="53"/>
      <c r="P5" s="53"/>
      <c r="Q5" s="53"/>
      <c r="R5" s="53"/>
      <c r="S5" s="53"/>
      <c r="T5" s="53"/>
      <c r="U5" s="2"/>
      <c r="V5" s="2"/>
      <c r="W5" s="1"/>
      <c r="X5" s="1"/>
      <c r="Y5" s="1"/>
      <c r="Z5" s="1"/>
      <c r="AA5" s="1"/>
    </row>
    <row r="6" spans="1:27" ht="39.75" customHeight="1" x14ac:dyDescent="0.3">
      <c r="A6" s="2"/>
      <c r="B6" s="57" t="s">
        <v>711</v>
      </c>
      <c r="C6" s="59" t="s">
        <v>957</v>
      </c>
      <c r="D6" s="59" t="s">
        <v>958</v>
      </c>
      <c r="E6" s="59" t="s">
        <v>940</v>
      </c>
      <c r="F6" s="59" t="s">
        <v>959</v>
      </c>
      <c r="G6" s="59" t="s">
        <v>960</v>
      </c>
      <c r="H6" s="59" t="s">
        <v>961</v>
      </c>
      <c r="I6" s="59" t="s">
        <v>962</v>
      </c>
      <c r="J6" s="57" t="s">
        <v>44</v>
      </c>
      <c r="K6" s="59" t="s">
        <v>963</v>
      </c>
      <c r="L6" s="59" t="s">
        <v>964</v>
      </c>
      <c r="M6" s="59" t="s">
        <v>965</v>
      </c>
      <c r="N6" s="59" t="s">
        <v>966</v>
      </c>
      <c r="O6" s="57" t="s">
        <v>967</v>
      </c>
      <c r="P6" s="59" t="s">
        <v>968</v>
      </c>
      <c r="Q6" s="59" t="s">
        <v>969</v>
      </c>
      <c r="R6" s="59" t="s">
        <v>970</v>
      </c>
      <c r="S6" s="57" t="s">
        <v>686</v>
      </c>
      <c r="T6" s="57" t="s">
        <v>162</v>
      </c>
      <c r="U6" s="2"/>
      <c r="V6" s="2"/>
      <c r="W6" s="1"/>
      <c r="X6" s="1"/>
      <c r="Y6" s="1"/>
      <c r="Z6" s="1"/>
      <c r="AA6" s="1"/>
    </row>
    <row r="7" spans="1:27" ht="18" customHeight="1" x14ac:dyDescent="0.3">
      <c r="A7" s="2"/>
      <c r="B7" s="73">
        <v>46023</v>
      </c>
      <c r="C7" s="88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$3006,GELIR_GIDER!$V$7:$V$3006,1,GELIR_GIDER!$C$7:$C$3006,"&gt;="&amp;$B7,GELIR_GIDER!$C$7:$C$3006,"&lt;"&amp;EDATE($B7,1))</f>
        <v>452250</v>
      </c>
      <c r="D7" s="88">
        <f>SUMIFS(TAHSILAT!$F$7:$F$2506,TAHSILAT!$E$7:$E$2506,"&gt;="&amp;$B7,TAHSILAT!$E$7:$E$2506,"&lt;"&amp;EDATE($B7,1),TAHSILAT!$H$7:$H$2506,"&lt;&gt;Mahsup")</f>
        <v>317150</v>
      </c>
      <c r="E7" s="88">
        <f>SUMIFS(GELIR_GIDER!$G$7:$G$3006,GELIR_GIDER!$D$7:$D$3006,"Gelir",GELIR_GIDER!$C$7:$C$3006,"&gt;="&amp;$B7,GELIR_GIDER!$C$7:$C$3006,"&lt;"&amp;EDATE($B7,1),GELIR_GIDER!$I$7:$I$3006,"Evet")</f>
        <v>0</v>
      </c>
      <c r="F7" s="88">
        <f t="shared" ref="F7:F42" si="1">$D7+$E7</f>
        <v>317150</v>
      </c>
      <c r="G7" s="88">
        <f>SUMIFS(GELIR_GIDER!$G$7:$G$3006,GELIR_GIDER!$D$7:$D$3006,"Gider",GELIR_GIDER!$C$7:$C$3006,"&gt;="&amp;$B7,GELIR_GIDER!$C$7:$C$3006,"&lt;"&amp;EDATE($B7,1),GELIR_GIDER!$I$7:$I$3006,"Evet",GELIR_GIDER!$E$7:$E$3006,"&lt;&gt;Kâr Payı *")</f>
        <v>88283.82</v>
      </c>
      <c r="H7" s="88">
        <f>$C7+$E7-SUMIFS(GELIR_GIDER!$G$7:$G$3006,GELIR_GIDER!$D$7:$D$3006,"Gider",GELIR_GIDER!$C$7:$C$3006,"&gt;="&amp;$B7,GELIR_GIDER!$C$7:$C$3006,"&lt;"&amp;EDATE($B7,1),GELIR_GIDER!$E$7:$E$3006,"&lt;&gt;Kâr Payı *")</f>
        <v>363966.18</v>
      </c>
      <c r="I7" s="88">
        <f t="shared" ref="I7:I42" si="2">$F7-$G7</f>
        <v>228866.18</v>
      </c>
      <c r="J7" s="86">
        <f t="shared" ref="J7:J42" si="3">IFERROR($D7/$C7,0)</f>
        <v>0.70127142067440573</v>
      </c>
      <c r="K7" s="88">
        <f>SISTEM!$C$13</f>
        <v>0</v>
      </c>
      <c r="L7" s="88">
        <f>MAX(0,SUM($I$7:$I7)-$K7)</f>
        <v>228866.18</v>
      </c>
      <c r="M7" s="88">
        <f t="shared" ref="M7:M42" si="4">$Y7*$Z7</f>
        <v>114433.09</v>
      </c>
      <c r="N7" s="88">
        <f t="shared" ref="N7:N42" si="5">$Y7*$AA7</f>
        <v>114433.09</v>
      </c>
      <c r="O7" s="60"/>
      <c r="P7" s="88"/>
      <c r="Q7" s="88"/>
      <c r="R7" s="88">
        <f>SUM($M$7:$M7)+SUM($N$7:$N7)-SUM($P$7:$P7)-SUM($Q$7:$Q7)</f>
        <v>228866.18</v>
      </c>
      <c r="S7" s="65" t="str">
        <f ca="1">IF($B7&gt;=DATE(YEAR(TODAY()),MONTH(TODAY()),1),"AÇIK",IF(COUNTIFS(SISTEM!$C$23:$C$70,"KRİTİK",SISTEM!$F$23:$F$70,"KALDI")&gt;0,"KAPATILAMAZ",IF(COUNTIF(SISTEM!$F$23:$F$70,"KALDI")=0,"KAPANABİLİR","UYARI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7" s="65" t="str">
        <f t="shared" ref="T7:T42" si="6">IF(ABS($Y7-$M7-$N7)&gt;0.01,"PAY HATASI",IF($O7="Evet","KAPANDI","AÇIK"))</f>
        <v>AÇIK</v>
      </c>
      <c r="U7" s="2"/>
      <c r="V7" s="2"/>
      <c r="W7" s="1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$3006,GELIR_GIDER!$V$7:$V$3006,1,GELIR_GIDER!$C$7:$C$3006,"&lt;="&amp;EOMONTH($B7,0))</f>
        <v>452250</v>
      </c>
      <c r="Y7" s="1">
        <f t="shared" ref="Y7:Y42" si="7">$L7-N($L6)</f>
        <v>228866.18</v>
      </c>
      <c r="Z7" s="1">
        <f>SUMIFS(ORTAKLAR!$E$14:$E$33,ORTAKLAR!$B$14:$B$33,SISTEM!$C$9,ORTAKLAR!$C$14:$C$33,"&lt;="&amp;$B7,ORTAKLAR!$K$14:$K$33,"&gt;="&amp;$B7)</f>
        <v>0.5</v>
      </c>
      <c r="AA7" s="1">
        <f>SUMIFS(ORTAKLAR!$E$14:$E$33,ORTAKLAR!$B$14:$B$33,SISTEM!$C$10,ORTAKLAR!$C$14:$C$33,"&lt;="&amp;$B7,ORTAKLAR!$K$14:$K$33,"&gt;="&amp;$B7)</f>
        <v>0.5</v>
      </c>
    </row>
    <row r="8" spans="1:27" ht="18" customHeight="1" x14ac:dyDescent="0.3">
      <c r="A8" s="2"/>
      <c r="B8" s="73">
        <v>46054</v>
      </c>
      <c r="C8" s="88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$3006,GELIR_GIDER!$V$7:$V$3006,1,GELIR_GIDER!$C$7:$C$3006,"&gt;="&amp;$B8,GELIR_GIDER!$C$7:$C$3006,"&lt;"&amp;EDATE($B8,1))</f>
        <v>430500</v>
      </c>
      <c r="D8" s="88">
        <f>SUMIFS(TAHSILAT!$F$7:$F$2506,TAHSILAT!$E$7:$E$2506,"&gt;="&amp;$B8,TAHSILAT!$E$7:$E$2506,"&lt;"&amp;EDATE($B8,1),TAHSILAT!$H$7:$H$2506,"&lt;&gt;Mahsup")</f>
        <v>159500</v>
      </c>
      <c r="E8" s="88">
        <f>SUMIFS(GELIR_GIDER!$G$7:$G$3006,GELIR_GIDER!$D$7:$D$3006,"Gelir",GELIR_GIDER!$C$7:$C$3006,"&gt;="&amp;$B8,GELIR_GIDER!$C$7:$C$3006,"&lt;"&amp;EDATE($B8,1),GELIR_GIDER!$I$7:$I$3006,"Evet")</f>
        <v>0</v>
      </c>
      <c r="F8" s="88">
        <f t="shared" si="1"/>
        <v>159500</v>
      </c>
      <c r="G8" s="88">
        <f>SUMIFS(GELIR_GIDER!$G$7:$G$3006,GELIR_GIDER!$D$7:$D$3006,"Gider",GELIR_GIDER!$C$7:$C$3006,"&gt;="&amp;$B8,GELIR_GIDER!$C$7:$C$3006,"&lt;"&amp;EDATE($B8,1),GELIR_GIDER!$I$7:$I$3006,"Evet",GELIR_GIDER!$E$7:$E$3006,"&lt;&gt;Kâr Payı *")</f>
        <v>282078.19000000006</v>
      </c>
      <c r="H8" s="88">
        <f>$C8+$E8-SUMIFS(GELIR_GIDER!$G$7:$G$3006,GELIR_GIDER!$D$7:$D$3006,"Gider",GELIR_GIDER!$C$7:$C$3006,"&gt;="&amp;$B8,GELIR_GIDER!$C$7:$C$3006,"&lt;"&amp;EDATE($B8,1),GELIR_GIDER!$E$7:$E$3006,"&lt;&gt;Kâr Payı *")</f>
        <v>148421.80999999994</v>
      </c>
      <c r="I8" s="88">
        <f t="shared" si="2"/>
        <v>-122578.19000000006</v>
      </c>
      <c r="J8" s="86">
        <f t="shared" si="3"/>
        <v>0.37049941927990709</v>
      </c>
      <c r="K8" s="88">
        <f>SISTEM!$C$13</f>
        <v>0</v>
      </c>
      <c r="L8" s="88">
        <f>MAX(0,SUM($I$7:$I8)-$K8)</f>
        <v>106287.98999999993</v>
      </c>
      <c r="M8" s="88">
        <f t="shared" si="4"/>
        <v>-61289.09500000003</v>
      </c>
      <c r="N8" s="88">
        <f t="shared" si="5"/>
        <v>-61289.09500000003</v>
      </c>
      <c r="O8" s="60"/>
      <c r="P8" s="88"/>
      <c r="Q8" s="88"/>
      <c r="R8" s="88">
        <f>SUM($M$7:$M8)+SUM($N$7:$N8)-SUM($P$7:$P8)-SUM($Q$7:$Q8)</f>
        <v>106287.98999999993</v>
      </c>
      <c r="S8" s="65" t="str">
        <f ca="1">IF($B8&gt;=DATE(YEAR(TODAY()),MONTH(TODAY()),1),"AÇIK",IF(COUNTIFS(SISTEM!$C$23:$C$70,"KRİTİK",SISTEM!$F$23:$F$70,"KALDI")&gt;0,"KAPATILAMAZ",IF(COUNTIF(SISTEM!$F$23:$F$70,"KALDI")=0,"KAPANABİLİR","UYARI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8" s="65" t="str">
        <f t="shared" si="6"/>
        <v>AÇIK</v>
      </c>
      <c r="U8" s="2"/>
      <c r="V8" s="2"/>
      <c r="W8" s="1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$3006,GELIR_GIDER!$V$7:$V$3006,1,GELIR_GIDER!$C$7:$C$3006,"&lt;="&amp;EOMONTH($B8,0))</f>
        <v>882750</v>
      </c>
      <c r="Y8" s="1">
        <f t="shared" si="7"/>
        <v>-122578.19000000006</v>
      </c>
      <c r="Z8" s="1">
        <f>SUMIFS(ORTAKLAR!$E$14:$E$33,ORTAKLAR!$B$14:$B$33,SISTEM!$C$9,ORTAKLAR!$C$14:$C$33,"&lt;="&amp;$B8,ORTAKLAR!$K$14:$K$33,"&gt;="&amp;$B8)</f>
        <v>0.5</v>
      </c>
      <c r="AA8" s="1">
        <f>SUMIFS(ORTAKLAR!$E$14:$E$33,ORTAKLAR!$B$14:$B$33,SISTEM!$C$10,ORTAKLAR!$C$14:$C$33,"&lt;="&amp;$B8,ORTAKLAR!$K$14:$K$33,"&gt;="&amp;$B8)</f>
        <v>0.5</v>
      </c>
    </row>
    <row r="9" spans="1:27" ht="18" customHeight="1" x14ac:dyDescent="0.3">
      <c r="A9" s="2"/>
      <c r="B9" s="73">
        <v>46082</v>
      </c>
      <c r="C9" s="88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$3006,GELIR_GIDER!$V$7:$V$3006,1,GELIR_GIDER!$C$7:$C$3006,"&gt;="&amp;$B9,GELIR_GIDER!$C$7:$C$3006,"&lt;"&amp;EDATE($B9,1))</f>
        <v>448500</v>
      </c>
      <c r="D9" s="88">
        <f>SUMIFS(TAHSILAT!$F$7:$F$2506,TAHSILAT!$E$7:$E$2506,"&gt;="&amp;$B9,TAHSILAT!$E$7:$E$2506,"&lt;"&amp;EDATE($B9,1),TAHSILAT!$H$7:$H$2506,"&lt;&gt;Mahsup")</f>
        <v>262750</v>
      </c>
      <c r="E9" s="88">
        <f>SUMIFS(GELIR_GIDER!$G$7:$G$3006,GELIR_GIDER!$D$7:$D$3006,"Gelir",GELIR_GIDER!$C$7:$C$3006,"&gt;="&amp;$B9,GELIR_GIDER!$C$7:$C$3006,"&lt;"&amp;EDATE($B9,1),GELIR_GIDER!$I$7:$I$3006,"Evet")</f>
        <v>0</v>
      </c>
      <c r="F9" s="88">
        <f t="shared" si="1"/>
        <v>262750</v>
      </c>
      <c r="G9" s="88">
        <f>SUMIFS(GELIR_GIDER!$G$7:$G$3006,GELIR_GIDER!$D$7:$D$3006,"Gider",GELIR_GIDER!$C$7:$C$3006,"&gt;="&amp;$B9,GELIR_GIDER!$C$7:$C$3006,"&lt;"&amp;EDATE($B9,1),GELIR_GIDER!$I$7:$I$3006,"Evet",GELIR_GIDER!$E$7:$E$3006,"&lt;&gt;Kâr Payı *")</f>
        <v>158657.97</v>
      </c>
      <c r="H9" s="88">
        <f>$C9+$E9-SUMIFS(GELIR_GIDER!$G$7:$G$3006,GELIR_GIDER!$D$7:$D$3006,"Gider",GELIR_GIDER!$C$7:$C$3006,"&gt;="&amp;$B9,GELIR_GIDER!$C$7:$C$3006,"&lt;"&amp;EDATE($B9,1),GELIR_GIDER!$E$7:$E$3006,"&lt;&gt;Kâr Payı *")</f>
        <v>289842.03000000003</v>
      </c>
      <c r="I9" s="88">
        <f t="shared" si="2"/>
        <v>104092.03</v>
      </c>
      <c r="J9" s="86">
        <f t="shared" si="3"/>
        <v>0.58584169453734669</v>
      </c>
      <c r="K9" s="88">
        <f>SISTEM!$C$13</f>
        <v>0</v>
      </c>
      <c r="L9" s="88">
        <f>MAX(0,SUM($I$7:$I9)-$K9)</f>
        <v>210380.01999999993</v>
      </c>
      <c r="M9" s="88">
        <f t="shared" si="4"/>
        <v>52046.014999999999</v>
      </c>
      <c r="N9" s="88">
        <f t="shared" si="5"/>
        <v>52046.014999999999</v>
      </c>
      <c r="O9" s="60"/>
      <c r="P9" s="88"/>
      <c r="Q9" s="88"/>
      <c r="R9" s="88">
        <f>SUM($M$7:$M9)+SUM($N$7:$N9)-SUM($P$7:$P9)-SUM($Q$7:$Q9)</f>
        <v>210380.01999999993</v>
      </c>
      <c r="S9" s="65" t="str">
        <f ca="1">IF($B9&gt;=DATE(YEAR(TODAY()),MONTH(TODAY()),1),"AÇIK",IF(COUNTIFS(SISTEM!$C$23:$C$70,"KRİTİK",SISTEM!$F$23:$F$70,"KALDI")&gt;0,"KAPATILAMAZ",IF(COUNTIF(SISTEM!$F$23:$F$70,"KALDI")=0,"KAPANABİLİR","UYARI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9" s="65" t="str">
        <f t="shared" si="6"/>
        <v>AÇIK</v>
      </c>
      <c r="U9" s="2"/>
      <c r="V9" s="2"/>
      <c r="W9" s="1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$3006,GELIR_GIDER!$V$7:$V$3006,1,GELIR_GIDER!$C$7:$C$3006,"&lt;="&amp;EOMONTH($B9,0))</f>
        <v>1331250</v>
      </c>
      <c r="Y9" s="1">
        <f t="shared" si="7"/>
        <v>104092.03</v>
      </c>
      <c r="Z9" s="1">
        <f>SUMIFS(ORTAKLAR!$E$14:$E$33,ORTAKLAR!$B$14:$B$33,SISTEM!$C$9,ORTAKLAR!$C$14:$C$33,"&lt;="&amp;$B9,ORTAKLAR!$K$14:$K$33,"&gt;="&amp;$B9)</f>
        <v>0.5</v>
      </c>
      <c r="AA9" s="1">
        <f>SUMIFS(ORTAKLAR!$E$14:$E$33,ORTAKLAR!$B$14:$B$33,SISTEM!$C$10,ORTAKLAR!$C$14:$C$33,"&lt;="&amp;$B9,ORTAKLAR!$K$14:$K$33,"&gt;="&amp;$B9)</f>
        <v>0.5</v>
      </c>
    </row>
    <row r="10" spans="1:27" ht="18" customHeight="1" x14ac:dyDescent="0.3">
      <c r="A10" s="2"/>
      <c r="B10" s="73">
        <v>46113</v>
      </c>
      <c r="C10" s="88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$3006,GELIR_GIDER!$V$7:$V$3006,1,GELIR_GIDER!$C$7:$C$3006,"&gt;="&amp;$B10,GELIR_GIDER!$C$7:$C$3006,"&lt;"&amp;EDATE($B10,1))</f>
        <v>530500</v>
      </c>
      <c r="D10" s="88">
        <f>SUMIFS(TAHSILAT!$F$7:$F$2506,TAHSILAT!$E$7:$E$2506,"&gt;="&amp;$B10,TAHSILAT!$E$7:$E$2506,"&lt;"&amp;EDATE($B10,1),TAHSILAT!$H$7:$H$2506,"&lt;&gt;Mahsup")</f>
        <v>278200</v>
      </c>
      <c r="E10" s="88">
        <f>SUMIFS(GELIR_GIDER!$G$7:$G$3006,GELIR_GIDER!$D$7:$D$3006,"Gelir",GELIR_GIDER!$C$7:$C$3006,"&gt;="&amp;$B10,GELIR_GIDER!$C$7:$C$3006,"&lt;"&amp;EDATE($B10,1),GELIR_GIDER!$I$7:$I$3006,"Evet")</f>
        <v>30400</v>
      </c>
      <c r="F10" s="88">
        <f t="shared" si="1"/>
        <v>308600</v>
      </c>
      <c r="G10" s="88">
        <f>SUMIFS(GELIR_GIDER!$G$7:$G$3006,GELIR_GIDER!$D$7:$D$3006,"Gider",GELIR_GIDER!$C$7:$C$3006,"&gt;="&amp;$B10,GELIR_GIDER!$C$7:$C$3006,"&lt;"&amp;EDATE($B10,1),GELIR_GIDER!$I$7:$I$3006,"Evet",GELIR_GIDER!$E$7:$E$3006,"&lt;&gt;Kâr Payı *")</f>
        <v>154094</v>
      </c>
      <c r="H10" s="88">
        <f>$C10+$E10-SUMIFS(GELIR_GIDER!$G$7:$G$3006,GELIR_GIDER!$D$7:$D$3006,"Gider",GELIR_GIDER!$C$7:$C$3006,"&gt;="&amp;$B10,GELIR_GIDER!$C$7:$C$3006,"&lt;"&amp;EDATE($B10,1),GELIR_GIDER!$E$7:$E$3006,"&lt;&gt;Kâr Payı *")</f>
        <v>406806</v>
      </c>
      <c r="I10" s="88">
        <f t="shared" si="2"/>
        <v>154506</v>
      </c>
      <c r="J10" s="86">
        <f t="shared" si="3"/>
        <v>0.52441093308199815</v>
      </c>
      <c r="K10" s="88">
        <f>SISTEM!$C$13</f>
        <v>0</v>
      </c>
      <c r="L10" s="88">
        <f>MAX(0,SUM($I$7:$I10)-$K10)</f>
        <v>364886.0199999999</v>
      </c>
      <c r="M10" s="88">
        <f t="shared" si="4"/>
        <v>77252.999999999985</v>
      </c>
      <c r="N10" s="88">
        <f t="shared" si="5"/>
        <v>77252.999999999985</v>
      </c>
      <c r="O10" s="60"/>
      <c r="P10" s="88"/>
      <c r="Q10" s="88"/>
      <c r="R10" s="88">
        <f>SUM($M$7:$M10)+SUM($N$7:$N10)-SUM($P$7:$P10)-SUM($Q$7:$Q10)</f>
        <v>364886.0199999999</v>
      </c>
      <c r="S10" s="65" t="str">
        <f ca="1">IF($B10&gt;=DATE(YEAR(TODAY()),MONTH(TODAY()),1),"AÇIK",IF(COUNTIFS(SISTEM!$C$23:$C$70,"KRİTİK",SISTEM!$F$23:$F$70,"KALDI")&gt;0,"KAPATILAMAZ",IF(COUNTIF(SISTEM!$F$23:$F$70,"KALDI")=0,"KAPANABİLİR","UYARI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0" s="65" t="str">
        <f t="shared" si="6"/>
        <v>AÇIK</v>
      </c>
      <c r="U10" s="2"/>
      <c r="V10" s="2"/>
      <c r="W10" s="1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$3006,GELIR_GIDER!$V$7:$V$3006,1,GELIR_GIDER!$C$7:$C$3006,"&lt;="&amp;EOMONTH($B10,0))</f>
        <v>1861750</v>
      </c>
      <c r="Y10" s="1">
        <f t="shared" si="7"/>
        <v>154505.99999999997</v>
      </c>
      <c r="Z10" s="1">
        <f>SUMIFS(ORTAKLAR!$E$14:$E$33,ORTAKLAR!$B$14:$B$33,SISTEM!$C$9,ORTAKLAR!$C$14:$C$33,"&lt;="&amp;$B10,ORTAKLAR!$K$14:$K$33,"&gt;="&amp;$B10)</f>
        <v>0.5</v>
      </c>
      <c r="AA10" s="1">
        <f>SUMIFS(ORTAKLAR!$E$14:$E$33,ORTAKLAR!$B$14:$B$33,SISTEM!$C$10,ORTAKLAR!$C$14:$C$33,"&lt;="&amp;$B10,ORTAKLAR!$K$14:$K$33,"&gt;="&amp;$B10)</f>
        <v>0.5</v>
      </c>
    </row>
    <row r="11" spans="1:27" ht="18" customHeight="1" x14ac:dyDescent="0.3">
      <c r="A11" s="2"/>
      <c r="B11" s="73">
        <v>46143</v>
      </c>
      <c r="C11" s="88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$3006,GELIR_GIDER!$V$7:$V$3006,1,GELIR_GIDER!$C$7:$C$3006,"&gt;="&amp;$B11,GELIR_GIDER!$C$7:$C$3006,"&lt;"&amp;EDATE($B11,1))</f>
        <v>547400</v>
      </c>
      <c r="D11" s="88">
        <f>SUMIFS(TAHSILAT!$F$7:$F$2506,TAHSILAT!$E$7:$E$2506,"&gt;="&amp;$B11,TAHSILAT!$E$7:$E$2506,"&lt;"&amp;EDATE($B11,1),TAHSILAT!$H$7:$H$2506,"&lt;&gt;Mahsup")</f>
        <v>342650</v>
      </c>
      <c r="E11" s="88">
        <f>SUMIFS(GELIR_GIDER!$G$7:$G$3006,GELIR_GIDER!$D$7:$D$3006,"Gelir",GELIR_GIDER!$C$7:$C$3006,"&gt;="&amp;$B11,GELIR_GIDER!$C$7:$C$3006,"&lt;"&amp;EDATE($B11,1),GELIR_GIDER!$I$7:$I$3006,"Evet")</f>
        <v>19100</v>
      </c>
      <c r="F11" s="88">
        <f t="shared" si="1"/>
        <v>361750</v>
      </c>
      <c r="G11" s="88">
        <f>SUMIFS(GELIR_GIDER!$G$7:$G$3006,GELIR_GIDER!$D$7:$D$3006,"Gider",GELIR_GIDER!$C$7:$C$3006,"&gt;="&amp;$B11,GELIR_GIDER!$C$7:$C$3006,"&lt;"&amp;EDATE($B11,1),GELIR_GIDER!$I$7:$I$3006,"Evet",GELIR_GIDER!$E$7:$E$3006,"&lt;&gt;Kâr Payı *")</f>
        <v>195354</v>
      </c>
      <c r="H11" s="88">
        <f>$C11+$E11-SUMIFS(GELIR_GIDER!$G$7:$G$3006,GELIR_GIDER!$D$7:$D$3006,"Gider",GELIR_GIDER!$C$7:$C$3006,"&gt;="&amp;$B11,GELIR_GIDER!$C$7:$C$3006,"&lt;"&amp;EDATE($B11,1),GELIR_GIDER!$E$7:$E$3006,"&lt;&gt;Kâr Payı *")</f>
        <v>371146</v>
      </c>
      <c r="I11" s="88">
        <f t="shared" si="2"/>
        <v>166396</v>
      </c>
      <c r="J11" s="86">
        <f t="shared" si="3"/>
        <v>0.6259590792838875</v>
      </c>
      <c r="K11" s="88">
        <f>SISTEM!$C$13</f>
        <v>0</v>
      </c>
      <c r="L11" s="88">
        <f>MAX(0,SUM($I$7:$I11)-$K11)</f>
        <v>531282.0199999999</v>
      </c>
      <c r="M11" s="88">
        <f t="shared" si="4"/>
        <v>83198</v>
      </c>
      <c r="N11" s="88">
        <f t="shared" si="5"/>
        <v>83198</v>
      </c>
      <c r="O11" s="60"/>
      <c r="P11" s="88"/>
      <c r="Q11" s="88"/>
      <c r="R11" s="88">
        <f>SUM($M$7:$M11)+SUM($N$7:$N11)-SUM($P$7:$P11)-SUM($Q$7:$Q11)</f>
        <v>531282.0199999999</v>
      </c>
      <c r="S11" s="65" t="str">
        <f ca="1">IF($B11&gt;=DATE(YEAR(TODAY()),MONTH(TODAY()),1),"AÇIK",IF(COUNTIFS(SISTEM!$C$23:$C$70,"KRİTİK",SISTEM!$F$23:$F$70,"KALDI")&gt;0,"KAPATILAMAZ",IF(COUNTIF(SISTEM!$F$23:$F$70,"KALDI")=0,"KAPANABİLİR","UYARI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1" s="65" t="str">
        <f t="shared" si="6"/>
        <v>AÇIK</v>
      </c>
      <c r="U11" s="2"/>
      <c r="V11" s="2"/>
      <c r="W11" s="1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$3006,GELIR_GIDER!$V$7:$V$3006,1,GELIR_GIDER!$C$7:$C$3006,"&lt;="&amp;EOMONTH($B11,0))</f>
        <v>2409150</v>
      </c>
      <c r="Y11" s="1">
        <f t="shared" si="7"/>
        <v>166396</v>
      </c>
      <c r="Z11" s="1">
        <f>SUMIFS(ORTAKLAR!$E$14:$E$33,ORTAKLAR!$B$14:$B$33,SISTEM!$C$9,ORTAKLAR!$C$14:$C$33,"&lt;="&amp;$B11,ORTAKLAR!$K$14:$K$33,"&gt;="&amp;$B11)</f>
        <v>0.5</v>
      </c>
      <c r="AA11" s="1">
        <f>SUMIFS(ORTAKLAR!$E$14:$E$33,ORTAKLAR!$B$14:$B$33,SISTEM!$C$10,ORTAKLAR!$C$14:$C$33,"&lt;="&amp;$B11,ORTAKLAR!$K$14:$K$33,"&gt;="&amp;$B11)</f>
        <v>0.5</v>
      </c>
    </row>
    <row r="12" spans="1:27" ht="18" customHeight="1" x14ac:dyDescent="0.3">
      <c r="A12" s="2"/>
      <c r="B12" s="73">
        <v>46174</v>
      </c>
      <c r="C12" s="88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$3006,GELIR_GIDER!$V$7:$V$3006,1,GELIR_GIDER!$C$7:$C$3006,"&gt;="&amp;$B12,GELIR_GIDER!$C$7:$C$3006,"&lt;"&amp;EDATE($B12,1))</f>
        <v>424000</v>
      </c>
      <c r="D12" s="88">
        <f>SUMIFS(TAHSILAT!$F$7:$F$2506,TAHSILAT!$E$7:$E$2506,"&gt;="&amp;$B12,TAHSILAT!$E$7:$E$2506,"&lt;"&amp;EDATE($B12,1),TAHSILAT!$H$7:$H$2506,"&lt;&gt;Mahsup")</f>
        <v>305350</v>
      </c>
      <c r="E12" s="88">
        <f>SUMIFS(GELIR_GIDER!$G$7:$G$3006,GELIR_GIDER!$D$7:$D$3006,"Gelir",GELIR_GIDER!$C$7:$C$3006,"&gt;="&amp;$B12,GELIR_GIDER!$C$7:$C$3006,"&lt;"&amp;EDATE($B12,1),GELIR_GIDER!$I$7:$I$3006,"Evet")</f>
        <v>0</v>
      </c>
      <c r="F12" s="88">
        <f t="shared" si="1"/>
        <v>305350</v>
      </c>
      <c r="G12" s="88">
        <f>SUMIFS(GELIR_GIDER!$G$7:$G$3006,GELIR_GIDER!$D$7:$D$3006,"Gider",GELIR_GIDER!$C$7:$C$3006,"&gt;="&amp;$B12,GELIR_GIDER!$C$7:$C$3006,"&lt;"&amp;EDATE($B12,1),GELIR_GIDER!$I$7:$I$3006,"Evet",GELIR_GIDER!$E$7:$E$3006,"&lt;&gt;Kâr Payı *")</f>
        <v>99110</v>
      </c>
      <c r="H12" s="88">
        <f>$C12+$E12-SUMIFS(GELIR_GIDER!$G$7:$G$3006,GELIR_GIDER!$D$7:$D$3006,"Gider",GELIR_GIDER!$C$7:$C$3006,"&gt;="&amp;$B12,GELIR_GIDER!$C$7:$C$3006,"&lt;"&amp;EDATE($B12,1),GELIR_GIDER!$E$7:$E$3006,"&lt;&gt;Kâr Payı *")</f>
        <v>324890</v>
      </c>
      <c r="I12" s="88">
        <f t="shared" si="2"/>
        <v>206240</v>
      </c>
      <c r="J12" s="86">
        <f t="shared" si="3"/>
        <v>0.72016509433962261</v>
      </c>
      <c r="K12" s="88">
        <f>SISTEM!$C$13</f>
        <v>0</v>
      </c>
      <c r="L12" s="88">
        <f>MAX(0,SUM($I$7:$I12)-$K12)</f>
        <v>737522.0199999999</v>
      </c>
      <c r="M12" s="88">
        <f t="shared" si="4"/>
        <v>103120</v>
      </c>
      <c r="N12" s="88">
        <f t="shared" si="5"/>
        <v>103120</v>
      </c>
      <c r="O12" s="60"/>
      <c r="P12" s="88"/>
      <c r="Q12" s="88"/>
      <c r="R12" s="88">
        <f>SUM($M$7:$M12)+SUM($N$7:$N12)-SUM($P$7:$P12)-SUM($Q$7:$Q12)</f>
        <v>737522.0199999999</v>
      </c>
      <c r="S12" s="65" t="str">
        <f ca="1">IF($B12&gt;=DATE(YEAR(TODAY()),MONTH(TODAY()),1),"AÇIK",IF(COUNTIFS(SISTEM!$C$23:$C$70,"KRİTİK",SISTEM!$F$23:$F$70,"KALDI")&gt;0,"KAPATILAMAZ",IF(COUNTIF(SISTEM!$F$23:$F$70,"KALDI")=0,"KAPANABİLİR","UYARI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2" s="65" t="str">
        <f t="shared" si="6"/>
        <v>AÇIK</v>
      </c>
      <c r="U12" s="2"/>
      <c r="V12" s="2"/>
      <c r="W12" s="1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$3006,GELIR_GIDER!$V$7:$V$3006,1,GELIR_GIDER!$C$7:$C$3006,"&lt;="&amp;EOMONTH($B12,0))</f>
        <v>2833150</v>
      </c>
      <c r="Y12" s="1">
        <f t="shared" si="7"/>
        <v>206240</v>
      </c>
      <c r="Z12" s="1">
        <f>SUMIFS(ORTAKLAR!$E$14:$E$33,ORTAKLAR!$B$14:$B$33,SISTEM!$C$9,ORTAKLAR!$C$14:$C$33,"&lt;="&amp;$B12,ORTAKLAR!$K$14:$K$33,"&gt;="&amp;$B12)</f>
        <v>0.5</v>
      </c>
      <c r="AA12" s="1">
        <f>SUMIFS(ORTAKLAR!$E$14:$E$33,ORTAKLAR!$B$14:$B$33,SISTEM!$C$10,ORTAKLAR!$C$14:$C$33,"&lt;="&amp;$B12,ORTAKLAR!$K$14:$K$33,"&gt;="&amp;$B12)</f>
        <v>0.5</v>
      </c>
    </row>
    <row r="13" spans="1:27" ht="18" customHeight="1" x14ac:dyDescent="0.3">
      <c r="A13" s="2"/>
      <c r="B13" s="73">
        <v>46204</v>
      </c>
      <c r="C13" s="88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$3006,GELIR_GIDER!$V$7:$V$3006,1,GELIR_GIDER!$C$7:$C$3006,"&gt;="&amp;$B13,GELIR_GIDER!$C$7:$C$3006,"&lt;"&amp;EDATE($B13,1))</f>
        <v>418000</v>
      </c>
      <c r="D13" s="88">
        <f>SUMIFS(TAHSILAT!$F$7:$F$2506,TAHSILAT!$E$7:$E$2506,"&gt;="&amp;$B13,TAHSILAT!$E$7:$E$2506,"&lt;"&amp;EDATE($B13,1),TAHSILAT!$H$7:$H$2506,"&lt;&gt;Mahsup")</f>
        <v>203250</v>
      </c>
      <c r="E13" s="88">
        <f>SUMIFS(GELIR_GIDER!$G$7:$G$3006,GELIR_GIDER!$D$7:$D$3006,"Gelir",GELIR_GIDER!$C$7:$C$3006,"&gt;="&amp;$B13,GELIR_GIDER!$C$7:$C$3006,"&lt;"&amp;EDATE($B13,1),GELIR_GIDER!$I$7:$I$3006,"Evet")</f>
        <v>0</v>
      </c>
      <c r="F13" s="88">
        <f t="shared" si="1"/>
        <v>203250</v>
      </c>
      <c r="G13" s="88">
        <f>SUMIFS(GELIR_GIDER!$G$7:$G$3006,GELIR_GIDER!$D$7:$D$3006,"Gider",GELIR_GIDER!$C$7:$C$3006,"&gt;="&amp;$B13,GELIR_GIDER!$C$7:$C$3006,"&lt;"&amp;EDATE($B13,1),GELIR_GIDER!$I$7:$I$3006,"Evet",GELIR_GIDER!$E$7:$E$3006,"&lt;&gt;Kâr Payı *")</f>
        <v>107510</v>
      </c>
      <c r="H13" s="88">
        <f>$C13+$E13-SUMIFS(GELIR_GIDER!$G$7:$G$3006,GELIR_GIDER!$D$7:$D$3006,"Gider",GELIR_GIDER!$C$7:$C$3006,"&gt;="&amp;$B13,GELIR_GIDER!$C$7:$C$3006,"&lt;"&amp;EDATE($B13,1),GELIR_GIDER!$E$7:$E$3006,"&lt;&gt;Kâr Payı *")</f>
        <v>310490</v>
      </c>
      <c r="I13" s="88">
        <f t="shared" si="2"/>
        <v>95740</v>
      </c>
      <c r="J13" s="86">
        <f t="shared" si="3"/>
        <v>0.48624401913875598</v>
      </c>
      <c r="K13" s="88">
        <f>SISTEM!$C$13</f>
        <v>0</v>
      </c>
      <c r="L13" s="88">
        <f>MAX(0,SUM($I$7:$I13)-$K13)</f>
        <v>833262.0199999999</v>
      </c>
      <c r="M13" s="88">
        <f t="shared" si="4"/>
        <v>47870</v>
      </c>
      <c r="N13" s="88">
        <f t="shared" si="5"/>
        <v>47870</v>
      </c>
      <c r="O13" s="60"/>
      <c r="P13" s="88"/>
      <c r="Q13" s="88"/>
      <c r="R13" s="88">
        <f>SUM($M$7:$M13)+SUM($N$7:$N13)-SUM($P$7:$P13)-SUM($Q$7:$Q13)</f>
        <v>833262.0199999999</v>
      </c>
      <c r="S13" s="65" t="str">
        <f ca="1">IF($B13&gt;=DATE(YEAR(TODAY()),MONTH(TODAY()),1),"AÇIK",IF(COUNTIFS(SISTEM!$C$23:$C$70,"KRİTİK",SISTEM!$F$23:$F$70,"KALDI")&gt;0,"KAPATILAMAZ",IF(COUNTIF(SISTEM!$F$23:$F$70,"KALDI")=0,"KAPANABİLİR","UYARI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3" s="65" t="str">
        <f t="shared" si="6"/>
        <v>AÇIK</v>
      </c>
      <c r="U13" s="2"/>
      <c r="V13" s="2"/>
      <c r="W13" s="1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$3006,GELIR_GIDER!$V$7:$V$3006,1,GELIR_GIDER!$C$7:$C$3006,"&lt;="&amp;EOMONTH($B13,0))</f>
        <v>3251150</v>
      </c>
      <c r="Y13" s="1">
        <f t="shared" si="7"/>
        <v>95740</v>
      </c>
      <c r="Z13" s="1">
        <f>SUMIFS(ORTAKLAR!$E$14:$E$33,ORTAKLAR!$B$14:$B$33,SISTEM!$C$9,ORTAKLAR!$C$14:$C$33,"&lt;="&amp;$B13,ORTAKLAR!$K$14:$K$33,"&gt;="&amp;$B13)</f>
        <v>0.5</v>
      </c>
      <c r="AA13" s="1">
        <f>SUMIFS(ORTAKLAR!$E$14:$E$33,ORTAKLAR!$B$14:$B$33,SISTEM!$C$10,ORTAKLAR!$C$14:$C$33,"&lt;="&amp;$B13,ORTAKLAR!$K$14:$K$33,"&gt;="&amp;$B13)</f>
        <v>0.5</v>
      </c>
    </row>
    <row r="14" spans="1:27" ht="18" customHeight="1" x14ac:dyDescent="0.3">
      <c r="A14" s="2"/>
      <c r="B14" s="73">
        <v>46235</v>
      </c>
      <c r="C14" s="88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$3006,GELIR_GIDER!$V$7:$V$3006,1,GELIR_GIDER!$C$7:$C$3006,"&gt;="&amp;$B14,GELIR_GIDER!$C$7:$C$3006,"&lt;"&amp;EDATE($B14,1))</f>
        <v>511750</v>
      </c>
      <c r="D14" s="88">
        <f>SUMIFS(TAHSILAT!$F$7:$F$2506,TAHSILAT!$E$7:$E$2506,"&gt;="&amp;$B14,TAHSILAT!$E$7:$E$2506,"&lt;"&amp;EDATE($B14,1),TAHSILAT!$H$7:$H$2506,"&lt;&gt;Mahsup")</f>
        <v>277150</v>
      </c>
      <c r="E14" s="88">
        <f>SUMIFS(GELIR_GIDER!$G$7:$G$3006,GELIR_GIDER!$D$7:$D$3006,"Gelir",GELIR_GIDER!$C$7:$C$3006,"&gt;="&amp;$B14,GELIR_GIDER!$C$7:$C$3006,"&lt;"&amp;EDATE($B14,1),GELIR_GIDER!$I$7:$I$3006,"Evet")</f>
        <v>0</v>
      </c>
      <c r="F14" s="88">
        <f t="shared" si="1"/>
        <v>277150</v>
      </c>
      <c r="G14" s="88">
        <f>SUMIFS(GELIR_GIDER!$G$7:$G$3006,GELIR_GIDER!$D$7:$D$3006,"Gider",GELIR_GIDER!$C$7:$C$3006,"&gt;="&amp;$B14,GELIR_GIDER!$C$7:$C$3006,"&lt;"&amp;EDATE($B14,1),GELIR_GIDER!$I$7:$I$3006,"Evet",GELIR_GIDER!$E$7:$E$3006,"&lt;&gt;Kâr Payı *")</f>
        <v>89800</v>
      </c>
      <c r="H14" s="88">
        <f>$C14+$E14-SUMIFS(GELIR_GIDER!$G$7:$G$3006,GELIR_GIDER!$D$7:$D$3006,"Gider",GELIR_GIDER!$C$7:$C$3006,"&gt;="&amp;$B14,GELIR_GIDER!$C$7:$C$3006,"&lt;"&amp;EDATE($B14,1),GELIR_GIDER!$E$7:$E$3006,"&lt;&gt;Kâr Payı *")</f>
        <v>421950</v>
      </c>
      <c r="I14" s="88">
        <f t="shared" si="2"/>
        <v>187350</v>
      </c>
      <c r="J14" s="86">
        <f t="shared" si="3"/>
        <v>0.54157303370786514</v>
      </c>
      <c r="K14" s="88">
        <f>SISTEM!$C$13</f>
        <v>0</v>
      </c>
      <c r="L14" s="88">
        <f>MAX(0,SUM($I$7:$I14)-$K14)</f>
        <v>1020612.0199999999</v>
      </c>
      <c r="M14" s="88">
        <f t="shared" si="4"/>
        <v>93675</v>
      </c>
      <c r="N14" s="88">
        <f t="shared" si="5"/>
        <v>93675</v>
      </c>
      <c r="O14" s="60"/>
      <c r="P14" s="88"/>
      <c r="Q14" s="88"/>
      <c r="R14" s="88">
        <f>SUM($M$7:$M14)+SUM($N$7:$N14)-SUM($P$7:$P14)-SUM($Q$7:$Q14)</f>
        <v>1020612.0199999999</v>
      </c>
      <c r="S14" s="65" t="str">
        <f ca="1">IF($B14&gt;=DATE(YEAR(TODAY()),MONTH(TODAY()),1),"AÇIK",IF(COUNTIFS(SISTEM!$C$23:$C$70,"KRİTİK",SISTEM!$F$23:$F$70,"KALDI")&gt;0,"KAPATILAMAZ",IF(COUNTIF(SISTEM!$F$23:$F$70,"KALDI")=0,"KAPANABİLİR","UYARI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4" s="65" t="str">
        <f t="shared" si="6"/>
        <v>AÇIK</v>
      </c>
      <c r="U14" s="2"/>
      <c r="V14" s="2"/>
      <c r="W14" s="1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$3006,GELIR_GIDER!$V$7:$V$3006,1,GELIR_GIDER!$C$7:$C$3006,"&lt;="&amp;EOMONTH($B14,0))</f>
        <v>3762900</v>
      </c>
      <c r="Y14" s="1">
        <f t="shared" si="7"/>
        <v>187350</v>
      </c>
      <c r="Z14" s="1">
        <f>SUMIFS(ORTAKLAR!$E$14:$E$33,ORTAKLAR!$B$14:$B$33,SISTEM!$C$9,ORTAKLAR!$C$14:$C$33,"&lt;="&amp;$B14,ORTAKLAR!$K$14:$K$33,"&gt;="&amp;$B14)</f>
        <v>0.5</v>
      </c>
      <c r="AA14" s="1">
        <f>SUMIFS(ORTAKLAR!$E$14:$E$33,ORTAKLAR!$B$14:$B$33,SISTEM!$C$10,ORTAKLAR!$C$14:$C$33,"&lt;="&amp;$B14,ORTAKLAR!$K$14:$K$33,"&gt;="&amp;$B14)</f>
        <v>0.5</v>
      </c>
    </row>
    <row r="15" spans="1:27" ht="18" customHeight="1" x14ac:dyDescent="0.3">
      <c r="A15" s="2"/>
      <c r="B15" s="73">
        <v>46266</v>
      </c>
      <c r="C15" s="88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$3006,GELIR_GIDER!$V$7:$V$3006,1,GELIR_GIDER!$C$7:$C$3006,"&gt;="&amp;$B15,GELIR_GIDER!$C$7:$C$3006,"&lt;"&amp;EDATE($B15,1))</f>
        <v>446000</v>
      </c>
      <c r="D15" s="88">
        <f>SUMIFS(TAHSILAT!$F$7:$F$2506,TAHSILAT!$E$7:$E$2506,"&gt;="&amp;$B15,TAHSILAT!$E$7:$E$2506,"&lt;"&amp;EDATE($B15,1),TAHSILAT!$H$7:$H$2506,"&lt;&gt;Mahsup")</f>
        <v>0</v>
      </c>
      <c r="E15" s="88">
        <f>SUMIFS(GELIR_GIDER!$G$7:$G$3006,GELIR_GIDER!$D$7:$D$3006,"Gelir",GELIR_GIDER!$C$7:$C$3006,"&gt;="&amp;$B15,GELIR_GIDER!$C$7:$C$3006,"&lt;"&amp;EDATE($B15,1),GELIR_GIDER!$I$7:$I$3006,"Evet")</f>
        <v>0</v>
      </c>
      <c r="F15" s="88">
        <f t="shared" si="1"/>
        <v>0</v>
      </c>
      <c r="G15" s="88">
        <f>SUMIFS(GELIR_GIDER!$G$7:$G$3006,GELIR_GIDER!$D$7:$D$3006,"Gider",GELIR_GIDER!$C$7:$C$3006,"&gt;="&amp;$B15,GELIR_GIDER!$C$7:$C$3006,"&lt;"&amp;EDATE($B15,1),GELIR_GIDER!$I$7:$I$3006,"Evet",GELIR_GIDER!$E$7:$E$3006,"&lt;&gt;Kâr Payı *")</f>
        <v>0</v>
      </c>
      <c r="H15" s="88">
        <f>$C15+$E15-SUMIFS(GELIR_GIDER!$G$7:$G$3006,GELIR_GIDER!$D$7:$D$3006,"Gider",GELIR_GIDER!$C$7:$C$3006,"&gt;="&amp;$B15,GELIR_GIDER!$C$7:$C$3006,"&lt;"&amp;EDATE($B15,1),GELIR_GIDER!$E$7:$E$3006,"&lt;&gt;Kâr Payı *")</f>
        <v>446000</v>
      </c>
      <c r="I15" s="88">
        <f t="shared" si="2"/>
        <v>0</v>
      </c>
      <c r="J15" s="86">
        <f t="shared" si="3"/>
        <v>0</v>
      </c>
      <c r="K15" s="88">
        <f>SISTEM!$C$13</f>
        <v>0</v>
      </c>
      <c r="L15" s="88">
        <f>MAX(0,SUM($I$7:$I15)-$K15)</f>
        <v>1020612.0199999999</v>
      </c>
      <c r="M15" s="88">
        <f t="shared" si="4"/>
        <v>0</v>
      </c>
      <c r="N15" s="88">
        <f t="shared" si="5"/>
        <v>0</v>
      </c>
      <c r="O15" s="60"/>
      <c r="P15" s="88"/>
      <c r="Q15" s="88"/>
      <c r="R15" s="88">
        <f>SUM($M$7:$M15)+SUM($N$7:$N15)-SUM($P$7:$P15)-SUM($Q$7:$Q15)</f>
        <v>1020612.0199999999</v>
      </c>
      <c r="S15" s="65" t="str">
        <f ca="1">IF($B15&gt;=DATE(YEAR(TODAY()),MONTH(TODAY()),1),"AÇIK",IF(COUNTIFS(SISTEM!$C$23:$C$70,"KRİTİK",SISTEM!$F$23:$F$70,"KALDI")&gt;0,"KAPATILAMAZ",IF(COUNTIF(SISTEM!$F$23:$F$70,"KALDI")=0,"KAPANABİLİR","UYARI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5" s="65" t="str">
        <f t="shared" si="6"/>
        <v>AÇIK</v>
      </c>
      <c r="U15" s="2"/>
      <c r="V15" s="2"/>
      <c r="W15" s="1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$3006,GELIR_GIDER!$V$7:$V$3006,1,GELIR_GIDER!$C$7:$C$3006,"&lt;="&amp;EOMONTH($B15,0))</f>
        <v>4208900</v>
      </c>
      <c r="Y15" s="1">
        <f t="shared" si="7"/>
        <v>0</v>
      </c>
      <c r="Z15" s="1">
        <f>SUMIFS(ORTAKLAR!$E$14:$E$33,ORTAKLAR!$B$14:$B$33,SISTEM!$C$9,ORTAKLAR!$C$14:$C$33,"&lt;="&amp;$B15,ORTAKLAR!$K$14:$K$33,"&gt;="&amp;$B15)</f>
        <v>0.5</v>
      </c>
      <c r="AA15" s="1">
        <f>SUMIFS(ORTAKLAR!$E$14:$E$33,ORTAKLAR!$B$14:$B$33,SISTEM!$C$10,ORTAKLAR!$C$14:$C$33,"&lt;="&amp;$B15,ORTAKLAR!$K$14:$K$33,"&gt;="&amp;$B15)</f>
        <v>0.5</v>
      </c>
    </row>
    <row r="16" spans="1:27" ht="18" customHeight="1" x14ac:dyDescent="0.3">
      <c r="A16" s="2"/>
      <c r="B16" s="73">
        <v>46296</v>
      </c>
      <c r="C16" s="88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$3006,GELIR_GIDER!$V$7:$V$3006,1,GELIR_GIDER!$C$7:$C$3006,"&gt;="&amp;$B16,GELIR_GIDER!$C$7:$C$3006,"&lt;"&amp;EDATE($B16,1))</f>
        <v>524750</v>
      </c>
      <c r="D16" s="88">
        <f>SUMIFS(TAHSILAT!$F$7:$F$2506,TAHSILAT!$E$7:$E$2506,"&gt;="&amp;$B16,TAHSILAT!$E$7:$E$2506,"&lt;"&amp;EDATE($B16,1),TAHSILAT!$H$7:$H$2506,"&lt;&gt;Mahsup")</f>
        <v>0</v>
      </c>
      <c r="E16" s="88">
        <f>SUMIFS(GELIR_GIDER!$G$7:$G$3006,GELIR_GIDER!$D$7:$D$3006,"Gelir",GELIR_GIDER!$C$7:$C$3006,"&gt;="&amp;$B16,GELIR_GIDER!$C$7:$C$3006,"&lt;"&amp;EDATE($B16,1),GELIR_GIDER!$I$7:$I$3006,"Evet")</f>
        <v>0</v>
      </c>
      <c r="F16" s="88">
        <f t="shared" si="1"/>
        <v>0</v>
      </c>
      <c r="G16" s="88">
        <f>SUMIFS(GELIR_GIDER!$G$7:$G$3006,GELIR_GIDER!$D$7:$D$3006,"Gider",GELIR_GIDER!$C$7:$C$3006,"&gt;="&amp;$B16,GELIR_GIDER!$C$7:$C$3006,"&lt;"&amp;EDATE($B16,1),GELIR_GIDER!$I$7:$I$3006,"Evet",GELIR_GIDER!$E$7:$E$3006,"&lt;&gt;Kâr Payı *")</f>
        <v>0</v>
      </c>
      <c r="H16" s="88">
        <f>$C16+$E16-SUMIFS(GELIR_GIDER!$G$7:$G$3006,GELIR_GIDER!$D$7:$D$3006,"Gider",GELIR_GIDER!$C$7:$C$3006,"&gt;="&amp;$B16,GELIR_GIDER!$C$7:$C$3006,"&lt;"&amp;EDATE($B16,1),GELIR_GIDER!$E$7:$E$3006,"&lt;&gt;Kâr Payı *")</f>
        <v>524750</v>
      </c>
      <c r="I16" s="88">
        <f t="shared" si="2"/>
        <v>0</v>
      </c>
      <c r="J16" s="86">
        <f t="shared" si="3"/>
        <v>0</v>
      </c>
      <c r="K16" s="88">
        <f>SISTEM!$C$13</f>
        <v>0</v>
      </c>
      <c r="L16" s="88">
        <f>MAX(0,SUM($I$7:$I16)-$K16)</f>
        <v>1020612.0199999999</v>
      </c>
      <c r="M16" s="88">
        <f t="shared" si="4"/>
        <v>0</v>
      </c>
      <c r="N16" s="88">
        <f t="shared" si="5"/>
        <v>0</v>
      </c>
      <c r="O16" s="60"/>
      <c r="P16" s="88"/>
      <c r="Q16" s="88"/>
      <c r="R16" s="88">
        <f>SUM($M$7:$M16)+SUM($N$7:$N16)-SUM($P$7:$P16)-SUM($Q$7:$Q16)</f>
        <v>1020612.0199999999</v>
      </c>
      <c r="S16" s="65" t="str">
        <f ca="1">IF($B16&gt;=DATE(YEAR(TODAY()),MONTH(TODAY()),1),"AÇIK",IF(COUNTIFS(SISTEM!$C$23:$C$70,"KRİTİK",SISTEM!$F$23:$F$70,"KALDI")&gt;0,"KAPATILAMAZ",IF(COUNTIF(SISTEM!$F$23:$F$70,"KALDI")=0,"KAPANABİLİR","UYARI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6" s="65" t="str">
        <f t="shared" si="6"/>
        <v>AÇIK</v>
      </c>
      <c r="U16" s="2"/>
      <c r="V16" s="2"/>
      <c r="W16" s="1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$3006,GELIR_GIDER!$V$7:$V$3006,1,GELIR_GIDER!$C$7:$C$3006,"&lt;="&amp;EOMONTH($B16,0))</f>
        <v>4733650</v>
      </c>
      <c r="Y16" s="1">
        <f t="shared" si="7"/>
        <v>0</v>
      </c>
      <c r="Z16" s="1">
        <f>SUMIFS(ORTAKLAR!$E$14:$E$33,ORTAKLAR!$B$14:$B$33,SISTEM!$C$9,ORTAKLAR!$C$14:$C$33,"&lt;="&amp;$B16,ORTAKLAR!$K$14:$K$33,"&gt;="&amp;$B16)</f>
        <v>0.5</v>
      </c>
      <c r="AA16" s="1">
        <f>SUMIFS(ORTAKLAR!$E$14:$E$33,ORTAKLAR!$B$14:$B$33,SISTEM!$C$10,ORTAKLAR!$C$14:$C$33,"&lt;="&amp;$B16,ORTAKLAR!$K$14:$K$33,"&gt;="&amp;$B16)</f>
        <v>0.5</v>
      </c>
    </row>
    <row r="17" spans="1:27" ht="18" customHeight="1" x14ac:dyDescent="0.3">
      <c r="A17" s="2"/>
      <c r="B17" s="73">
        <v>46327</v>
      </c>
      <c r="C17" s="88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$3006,GELIR_GIDER!$V$7:$V$3006,1,GELIR_GIDER!$C$7:$C$3006,"&gt;="&amp;$B17,GELIR_GIDER!$C$7:$C$3006,"&lt;"&amp;EDATE($B17,1))</f>
        <v>446000</v>
      </c>
      <c r="D17" s="88">
        <f>SUMIFS(TAHSILAT!$F$7:$F$2506,TAHSILAT!$E$7:$E$2506,"&gt;="&amp;$B17,TAHSILAT!$E$7:$E$2506,"&lt;"&amp;EDATE($B17,1),TAHSILAT!$H$7:$H$2506,"&lt;&gt;Mahsup")</f>
        <v>0</v>
      </c>
      <c r="E17" s="88">
        <f>SUMIFS(GELIR_GIDER!$G$7:$G$3006,GELIR_GIDER!$D$7:$D$3006,"Gelir",GELIR_GIDER!$C$7:$C$3006,"&gt;="&amp;$B17,GELIR_GIDER!$C$7:$C$3006,"&lt;"&amp;EDATE($B17,1),GELIR_GIDER!$I$7:$I$3006,"Evet")</f>
        <v>0</v>
      </c>
      <c r="F17" s="88">
        <f t="shared" si="1"/>
        <v>0</v>
      </c>
      <c r="G17" s="88">
        <f>SUMIFS(GELIR_GIDER!$G$7:$G$3006,GELIR_GIDER!$D$7:$D$3006,"Gider",GELIR_GIDER!$C$7:$C$3006,"&gt;="&amp;$B17,GELIR_GIDER!$C$7:$C$3006,"&lt;"&amp;EDATE($B17,1),GELIR_GIDER!$I$7:$I$3006,"Evet",GELIR_GIDER!$E$7:$E$3006,"&lt;&gt;Kâr Payı *")</f>
        <v>0</v>
      </c>
      <c r="H17" s="88">
        <f>$C17+$E17-SUMIFS(GELIR_GIDER!$G$7:$G$3006,GELIR_GIDER!$D$7:$D$3006,"Gider",GELIR_GIDER!$C$7:$C$3006,"&gt;="&amp;$B17,GELIR_GIDER!$C$7:$C$3006,"&lt;"&amp;EDATE($B17,1),GELIR_GIDER!$E$7:$E$3006,"&lt;&gt;Kâr Payı *")</f>
        <v>446000</v>
      </c>
      <c r="I17" s="88">
        <f t="shared" si="2"/>
        <v>0</v>
      </c>
      <c r="J17" s="86">
        <f t="shared" si="3"/>
        <v>0</v>
      </c>
      <c r="K17" s="88">
        <f>SISTEM!$C$13</f>
        <v>0</v>
      </c>
      <c r="L17" s="88">
        <f>MAX(0,SUM($I$7:$I17)-$K17)</f>
        <v>1020612.0199999999</v>
      </c>
      <c r="M17" s="88">
        <f t="shared" si="4"/>
        <v>0</v>
      </c>
      <c r="N17" s="88">
        <f t="shared" si="5"/>
        <v>0</v>
      </c>
      <c r="O17" s="60"/>
      <c r="P17" s="88"/>
      <c r="Q17" s="88"/>
      <c r="R17" s="88">
        <f>SUM($M$7:$M17)+SUM($N$7:$N17)-SUM($P$7:$P17)-SUM($Q$7:$Q17)</f>
        <v>1020612.0199999999</v>
      </c>
      <c r="S17" s="65" t="str">
        <f ca="1">IF($B17&gt;=DATE(YEAR(TODAY()),MONTH(TODAY()),1),"AÇIK",IF(COUNTIFS(SISTEM!$C$23:$C$70,"KRİTİK",SISTEM!$F$23:$F$70,"KALDI")&gt;0,"KAPATILAMAZ",IF(COUNTIF(SISTEM!$F$23:$F$70,"KALDI")=0,"KAPANABİLİR","UYARI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7" s="65" t="str">
        <f t="shared" si="6"/>
        <v>AÇIK</v>
      </c>
      <c r="U17" s="2"/>
      <c r="V17" s="2"/>
      <c r="W17" s="1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$3006,GELIR_GIDER!$V$7:$V$3006,1,GELIR_GIDER!$C$7:$C$3006,"&lt;="&amp;EOMONTH($B17,0))</f>
        <v>5179650</v>
      </c>
      <c r="Y17" s="1">
        <f t="shared" si="7"/>
        <v>0</v>
      </c>
      <c r="Z17" s="1">
        <f>SUMIFS(ORTAKLAR!$E$14:$E$33,ORTAKLAR!$B$14:$B$33,SISTEM!$C$9,ORTAKLAR!$C$14:$C$33,"&lt;="&amp;$B17,ORTAKLAR!$K$14:$K$33,"&gt;="&amp;$B17)</f>
        <v>0.5</v>
      </c>
      <c r="AA17" s="1">
        <f>SUMIFS(ORTAKLAR!$E$14:$E$33,ORTAKLAR!$B$14:$B$33,SISTEM!$C$10,ORTAKLAR!$C$14:$C$33,"&lt;="&amp;$B17,ORTAKLAR!$K$14:$K$33,"&gt;="&amp;$B17)</f>
        <v>0.5</v>
      </c>
    </row>
    <row r="18" spans="1:27" ht="18" customHeight="1" x14ac:dyDescent="0.3">
      <c r="A18" s="2"/>
      <c r="B18" s="73">
        <v>46357</v>
      </c>
      <c r="C18" s="88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$3006,GELIR_GIDER!$V$7:$V$3006,1,GELIR_GIDER!$C$7:$C$3006,"&gt;="&amp;$B18,GELIR_GIDER!$C$7:$C$3006,"&lt;"&amp;EDATE($B18,1))</f>
        <v>446000</v>
      </c>
      <c r="D18" s="88">
        <f>SUMIFS(TAHSILAT!$F$7:$F$2506,TAHSILAT!$E$7:$E$2506,"&gt;="&amp;$B18,TAHSILAT!$E$7:$E$2506,"&lt;"&amp;EDATE($B18,1),TAHSILAT!$H$7:$H$2506,"&lt;&gt;Mahsup")</f>
        <v>0</v>
      </c>
      <c r="E18" s="88">
        <f>SUMIFS(GELIR_GIDER!$G$7:$G$3006,GELIR_GIDER!$D$7:$D$3006,"Gelir",GELIR_GIDER!$C$7:$C$3006,"&gt;="&amp;$B18,GELIR_GIDER!$C$7:$C$3006,"&lt;"&amp;EDATE($B18,1),GELIR_GIDER!$I$7:$I$3006,"Evet")</f>
        <v>0</v>
      </c>
      <c r="F18" s="88">
        <f t="shared" si="1"/>
        <v>0</v>
      </c>
      <c r="G18" s="88">
        <f>SUMIFS(GELIR_GIDER!$G$7:$G$3006,GELIR_GIDER!$D$7:$D$3006,"Gider",GELIR_GIDER!$C$7:$C$3006,"&gt;="&amp;$B18,GELIR_GIDER!$C$7:$C$3006,"&lt;"&amp;EDATE($B18,1),GELIR_GIDER!$I$7:$I$3006,"Evet",GELIR_GIDER!$E$7:$E$3006,"&lt;&gt;Kâr Payı *")</f>
        <v>0</v>
      </c>
      <c r="H18" s="88">
        <f>$C18+$E18-SUMIFS(GELIR_GIDER!$G$7:$G$3006,GELIR_GIDER!$D$7:$D$3006,"Gider",GELIR_GIDER!$C$7:$C$3006,"&gt;="&amp;$B18,GELIR_GIDER!$C$7:$C$3006,"&lt;"&amp;EDATE($B18,1),GELIR_GIDER!$E$7:$E$3006,"&lt;&gt;Kâr Payı *")</f>
        <v>446000</v>
      </c>
      <c r="I18" s="88">
        <f t="shared" si="2"/>
        <v>0</v>
      </c>
      <c r="J18" s="86">
        <f t="shared" si="3"/>
        <v>0</v>
      </c>
      <c r="K18" s="88">
        <f>SISTEM!$C$13</f>
        <v>0</v>
      </c>
      <c r="L18" s="88">
        <f>MAX(0,SUM($I$7:$I18)-$K18)</f>
        <v>1020612.0199999999</v>
      </c>
      <c r="M18" s="88">
        <f t="shared" si="4"/>
        <v>0</v>
      </c>
      <c r="N18" s="88">
        <f t="shared" si="5"/>
        <v>0</v>
      </c>
      <c r="O18" s="60"/>
      <c r="P18" s="88"/>
      <c r="Q18" s="88"/>
      <c r="R18" s="88">
        <f>SUM($M$7:$M18)+SUM($N$7:$N18)-SUM($P$7:$P18)-SUM($Q$7:$Q18)</f>
        <v>1020612.0199999999</v>
      </c>
      <c r="S18" s="65" t="str">
        <f ca="1">IF($B18&gt;=DATE(YEAR(TODAY()),MONTH(TODAY()),1),"AÇIK",IF(COUNTIFS(SISTEM!$C$23:$C$70,"KRİTİK",SISTEM!$F$23:$F$70,"KALDI")&gt;0,"KAPATILAMAZ",IF(COUNTIF(SISTEM!$F$23:$F$70,"KALDI")=0,"KAPANABİLİR","UYARI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8" s="65" t="str">
        <f t="shared" si="6"/>
        <v>AÇIK</v>
      </c>
      <c r="U18" s="2"/>
      <c r="V18" s="2"/>
      <c r="W18" s="1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$3006,GELIR_GIDER!$V$7:$V$3006,1,GELIR_GIDER!$C$7:$C$3006,"&lt;="&amp;EOMONTH($B18,0))</f>
        <v>5625650</v>
      </c>
      <c r="Y18" s="1">
        <f t="shared" si="7"/>
        <v>0</v>
      </c>
      <c r="Z18" s="1">
        <f>SUMIFS(ORTAKLAR!$E$14:$E$33,ORTAKLAR!$B$14:$B$33,SISTEM!$C$9,ORTAKLAR!$C$14:$C$33,"&lt;="&amp;$B18,ORTAKLAR!$K$14:$K$33,"&gt;="&amp;$B18)</f>
        <v>0.5</v>
      </c>
      <c r="AA18" s="1">
        <f>SUMIFS(ORTAKLAR!$E$14:$E$33,ORTAKLAR!$B$14:$B$33,SISTEM!$C$10,ORTAKLAR!$C$14:$C$33,"&lt;="&amp;$B18,ORTAKLAR!$K$14:$K$33,"&gt;="&amp;$B18)</f>
        <v>0.5</v>
      </c>
    </row>
    <row r="19" spans="1:27" ht="18" customHeight="1" x14ac:dyDescent="0.3">
      <c r="A19" s="2"/>
      <c r="B19" s="73">
        <v>46388</v>
      </c>
      <c r="C19" s="88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$3006,GELIR_GIDER!$V$7:$V$3006,1,GELIR_GIDER!$C$7:$C$3006,"&gt;="&amp;$B19,GELIR_GIDER!$C$7:$C$3006,"&lt;"&amp;EDATE($B19,1))</f>
        <v>524750</v>
      </c>
      <c r="D19" s="88">
        <f>SUMIFS(TAHSILAT!$F$7:$F$2506,TAHSILAT!$E$7:$E$2506,"&gt;="&amp;$B19,TAHSILAT!$E$7:$E$2506,"&lt;"&amp;EDATE($B19,1),TAHSILAT!$H$7:$H$2506,"&lt;&gt;Mahsup")</f>
        <v>0</v>
      </c>
      <c r="E19" s="88">
        <f>SUMIFS(GELIR_GIDER!$G$7:$G$3006,GELIR_GIDER!$D$7:$D$3006,"Gelir",GELIR_GIDER!$C$7:$C$3006,"&gt;="&amp;$B19,GELIR_GIDER!$C$7:$C$3006,"&lt;"&amp;EDATE($B19,1),GELIR_GIDER!$I$7:$I$3006,"Evet")</f>
        <v>0</v>
      </c>
      <c r="F19" s="88">
        <f t="shared" si="1"/>
        <v>0</v>
      </c>
      <c r="G19" s="88">
        <f>SUMIFS(GELIR_GIDER!$G$7:$G$3006,GELIR_GIDER!$D$7:$D$3006,"Gider",GELIR_GIDER!$C$7:$C$3006,"&gt;="&amp;$B19,GELIR_GIDER!$C$7:$C$3006,"&lt;"&amp;EDATE($B19,1),GELIR_GIDER!$I$7:$I$3006,"Evet",GELIR_GIDER!$E$7:$E$3006,"&lt;&gt;Kâr Payı *")</f>
        <v>0</v>
      </c>
      <c r="H19" s="88">
        <f>$C19+$E19-SUMIFS(GELIR_GIDER!$G$7:$G$3006,GELIR_GIDER!$D$7:$D$3006,"Gider",GELIR_GIDER!$C$7:$C$3006,"&gt;="&amp;$B19,GELIR_GIDER!$C$7:$C$3006,"&lt;"&amp;EDATE($B19,1),GELIR_GIDER!$E$7:$E$3006,"&lt;&gt;Kâr Payı *")</f>
        <v>524750</v>
      </c>
      <c r="I19" s="88">
        <f t="shared" si="2"/>
        <v>0</v>
      </c>
      <c r="J19" s="86">
        <f t="shared" si="3"/>
        <v>0</v>
      </c>
      <c r="K19" s="88">
        <f>SISTEM!$C$13</f>
        <v>0</v>
      </c>
      <c r="L19" s="88">
        <f>MAX(0,SUM($I$7:$I19)-$K19)</f>
        <v>1020612.0199999999</v>
      </c>
      <c r="M19" s="88">
        <f t="shared" si="4"/>
        <v>0</v>
      </c>
      <c r="N19" s="88">
        <f t="shared" si="5"/>
        <v>0</v>
      </c>
      <c r="O19" s="60"/>
      <c r="P19" s="88"/>
      <c r="Q19" s="88"/>
      <c r="R19" s="88">
        <f>SUM($M$7:$M19)+SUM($N$7:$N19)-SUM($P$7:$P19)-SUM($Q$7:$Q19)</f>
        <v>1020612.0199999999</v>
      </c>
      <c r="S19" s="65" t="str">
        <f ca="1">IF($B19&gt;=DATE(YEAR(TODAY()),MONTH(TODAY()),1),"AÇIK",IF(COUNTIFS(SISTEM!$C$23:$C$70,"KRİTİK",SISTEM!$F$23:$F$70,"KALDI")&gt;0,"KAPATILAMAZ",IF(COUNTIF(SISTEM!$F$23:$F$70,"KALDI")=0,"KAPANABİLİR","UYARI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9" s="65" t="str">
        <f t="shared" si="6"/>
        <v>AÇIK</v>
      </c>
      <c r="U19" s="2"/>
      <c r="V19" s="2"/>
      <c r="W19" s="1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$3006,GELIR_GIDER!$V$7:$V$3006,1,GELIR_GIDER!$C$7:$C$3006,"&lt;="&amp;EOMONTH($B19,0))</f>
        <v>6150400</v>
      </c>
      <c r="Y19" s="1">
        <f t="shared" si="7"/>
        <v>0</v>
      </c>
      <c r="Z19" s="1">
        <f>SUMIFS(ORTAKLAR!$E$14:$E$33,ORTAKLAR!$B$14:$B$33,SISTEM!$C$9,ORTAKLAR!$C$14:$C$33,"&lt;="&amp;$B19,ORTAKLAR!$K$14:$K$33,"&gt;="&amp;$B19)</f>
        <v>0.5</v>
      </c>
      <c r="AA19" s="1">
        <f>SUMIFS(ORTAKLAR!$E$14:$E$33,ORTAKLAR!$B$14:$B$33,SISTEM!$C$10,ORTAKLAR!$C$14:$C$33,"&lt;="&amp;$B19,ORTAKLAR!$K$14:$K$33,"&gt;="&amp;$B19)</f>
        <v>0.5</v>
      </c>
    </row>
    <row r="20" spans="1:27" ht="18" customHeight="1" x14ac:dyDescent="0.3">
      <c r="A20" s="2"/>
      <c r="B20" s="73">
        <v>46419</v>
      </c>
      <c r="C20" s="88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$3006,GELIR_GIDER!$V$7:$V$3006,1,GELIR_GIDER!$C$7:$C$3006,"&gt;="&amp;$B20,GELIR_GIDER!$C$7:$C$3006,"&lt;"&amp;EDATE($B20,1))</f>
        <v>446000</v>
      </c>
      <c r="D20" s="88">
        <f>SUMIFS(TAHSILAT!$F$7:$F$2506,TAHSILAT!$E$7:$E$2506,"&gt;="&amp;$B20,TAHSILAT!$E$7:$E$2506,"&lt;"&amp;EDATE($B20,1),TAHSILAT!$H$7:$H$2506,"&lt;&gt;Mahsup")</f>
        <v>0</v>
      </c>
      <c r="E20" s="88">
        <f>SUMIFS(GELIR_GIDER!$G$7:$G$3006,GELIR_GIDER!$D$7:$D$3006,"Gelir",GELIR_GIDER!$C$7:$C$3006,"&gt;="&amp;$B20,GELIR_GIDER!$C$7:$C$3006,"&lt;"&amp;EDATE($B20,1),GELIR_GIDER!$I$7:$I$3006,"Evet")</f>
        <v>0</v>
      </c>
      <c r="F20" s="88">
        <f t="shared" si="1"/>
        <v>0</v>
      </c>
      <c r="G20" s="88">
        <f>SUMIFS(GELIR_GIDER!$G$7:$G$3006,GELIR_GIDER!$D$7:$D$3006,"Gider",GELIR_GIDER!$C$7:$C$3006,"&gt;="&amp;$B20,GELIR_GIDER!$C$7:$C$3006,"&lt;"&amp;EDATE($B20,1),GELIR_GIDER!$I$7:$I$3006,"Evet",GELIR_GIDER!$E$7:$E$3006,"&lt;&gt;Kâr Payı *")</f>
        <v>0</v>
      </c>
      <c r="H20" s="88">
        <f>$C20+$E20-SUMIFS(GELIR_GIDER!$G$7:$G$3006,GELIR_GIDER!$D$7:$D$3006,"Gider",GELIR_GIDER!$C$7:$C$3006,"&gt;="&amp;$B20,GELIR_GIDER!$C$7:$C$3006,"&lt;"&amp;EDATE($B20,1),GELIR_GIDER!$E$7:$E$3006,"&lt;&gt;Kâr Payı *")</f>
        <v>446000</v>
      </c>
      <c r="I20" s="88">
        <f t="shared" si="2"/>
        <v>0</v>
      </c>
      <c r="J20" s="86">
        <f t="shared" si="3"/>
        <v>0</v>
      </c>
      <c r="K20" s="88">
        <f>SISTEM!$C$13</f>
        <v>0</v>
      </c>
      <c r="L20" s="88">
        <f>MAX(0,SUM($I$7:$I20)-$K20)</f>
        <v>1020612.0199999999</v>
      </c>
      <c r="M20" s="88">
        <f t="shared" si="4"/>
        <v>0</v>
      </c>
      <c r="N20" s="88">
        <f t="shared" si="5"/>
        <v>0</v>
      </c>
      <c r="O20" s="60"/>
      <c r="P20" s="88"/>
      <c r="Q20" s="88"/>
      <c r="R20" s="88">
        <f>SUM($M$7:$M20)+SUM($N$7:$N20)-SUM($P$7:$P20)-SUM($Q$7:$Q20)</f>
        <v>1020612.0199999999</v>
      </c>
      <c r="S20" s="65" t="str">
        <f ca="1">IF($B20&gt;=DATE(YEAR(TODAY()),MONTH(TODAY()),1),"AÇIK",IF(COUNTIFS(SISTEM!$C$23:$C$70,"KRİTİK",SISTEM!$F$23:$F$70,"KALDI")&gt;0,"KAPATILAMAZ",IF(COUNTIF(SISTEM!$F$23:$F$70,"KALDI")=0,"KAPANABİLİR","UYARI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0" s="65" t="str">
        <f t="shared" si="6"/>
        <v>AÇIK</v>
      </c>
      <c r="U20" s="2"/>
      <c r="V20" s="2"/>
      <c r="W20" s="1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$3006,GELIR_GIDER!$V$7:$V$3006,1,GELIR_GIDER!$C$7:$C$3006,"&lt;="&amp;EOMONTH($B20,0))</f>
        <v>6596400</v>
      </c>
      <c r="Y20" s="1">
        <f t="shared" si="7"/>
        <v>0</v>
      </c>
      <c r="Z20" s="1">
        <f>SUMIFS(ORTAKLAR!$E$14:$E$33,ORTAKLAR!$B$14:$B$33,SISTEM!$C$9,ORTAKLAR!$C$14:$C$33,"&lt;="&amp;$B20,ORTAKLAR!$K$14:$K$33,"&gt;="&amp;$B20)</f>
        <v>0.5</v>
      </c>
      <c r="AA20" s="1">
        <f>SUMIFS(ORTAKLAR!$E$14:$E$33,ORTAKLAR!$B$14:$B$33,SISTEM!$C$10,ORTAKLAR!$C$14:$C$33,"&lt;="&amp;$B20,ORTAKLAR!$K$14:$K$33,"&gt;="&amp;$B20)</f>
        <v>0.5</v>
      </c>
    </row>
    <row r="21" spans="1:27" ht="18" customHeight="1" x14ac:dyDescent="0.3">
      <c r="A21" s="2"/>
      <c r="B21" s="73">
        <v>46447</v>
      </c>
      <c r="C21" s="88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$3006,GELIR_GIDER!$V$7:$V$3006,1,GELIR_GIDER!$C$7:$C$3006,"&gt;="&amp;$B21,GELIR_GIDER!$C$7:$C$3006,"&lt;"&amp;EDATE($B21,1))</f>
        <v>446000</v>
      </c>
      <c r="D21" s="88">
        <f>SUMIFS(TAHSILAT!$F$7:$F$2506,TAHSILAT!$E$7:$E$2506,"&gt;="&amp;$B21,TAHSILAT!$E$7:$E$2506,"&lt;"&amp;EDATE($B21,1),TAHSILAT!$H$7:$H$2506,"&lt;&gt;Mahsup")</f>
        <v>0</v>
      </c>
      <c r="E21" s="88">
        <f>SUMIFS(GELIR_GIDER!$G$7:$G$3006,GELIR_GIDER!$D$7:$D$3006,"Gelir",GELIR_GIDER!$C$7:$C$3006,"&gt;="&amp;$B21,GELIR_GIDER!$C$7:$C$3006,"&lt;"&amp;EDATE($B21,1),GELIR_GIDER!$I$7:$I$3006,"Evet")</f>
        <v>0</v>
      </c>
      <c r="F21" s="88">
        <f t="shared" si="1"/>
        <v>0</v>
      </c>
      <c r="G21" s="88">
        <f>SUMIFS(GELIR_GIDER!$G$7:$G$3006,GELIR_GIDER!$D$7:$D$3006,"Gider",GELIR_GIDER!$C$7:$C$3006,"&gt;="&amp;$B21,GELIR_GIDER!$C$7:$C$3006,"&lt;"&amp;EDATE($B21,1),GELIR_GIDER!$I$7:$I$3006,"Evet",GELIR_GIDER!$E$7:$E$3006,"&lt;&gt;Kâr Payı *")</f>
        <v>0</v>
      </c>
      <c r="H21" s="88">
        <f>$C21+$E21-SUMIFS(GELIR_GIDER!$G$7:$G$3006,GELIR_GIDER!$D$7:$D$3006,"Gider",GELIR_GIDER!$C$7:$C$3006,"&gt;="&amp;$B21,GELIR_GIDER!$C$7:$C$3006,"&lt;"&amp;EDATE($B21,1),GELIR_GIDER!$E$7:$E$3006,"&lt;&gt;Kâr Payı *")</f>
        <v>446000</v>
      </c>
      <c r="I21" s="88">
        <f t="shared" si="2"/>
        <v>0</v>
      </c>
      <c r="J21" s="86">
        <f t="shared" si="3"/>
        <v>0</v>
      </c>
      <c r="K21" s="88">
        <f>SISTEM!$C$13</f>
        <v>0</v>
      </c>
      <c r="L21" s="88">
        <f>MAX(0,SUM($I$7:$I21)-$K21)</f>
        <v>1020612.0199999999</v>
      </c>
      <c r="M21" s="88">
        <f t="shared" si="4"/>
        <v>0</v>
      </c>
      <c r="N21" s="88">
        <f t="shared" si="5"/>
        <v>0</v>
      </c>
      <c r="O21" s="60"/>
      <c r="P21" s="88"/>
      <c r="Q21" s="88"/>
      <c r="R21" s="88">
        <f>SUM($M$7:$M21)+SUM($N$7:$N21)-SUM($P$7:$P21)-SUM($Q$7:$Q21)</f>
        <v>1020612.0199999999</v>
      </c>
      <c r="S21" s="65" t="str">
        <f ca="1">IF($B21&gt;=DATE(YEAR(TODAY()),MONTH(TODAY()),1),"AÇIK",IF(COUNTIFS(SISTEM!$C$23:$C$70,"KRİTİK",SISTEM!$F$23:$F$70,"KALDI")&gt;0,"KAPATILAMAZ",IF(COUNTIF(SISTEM!$F$23:$F$70,"KALDI")=0,"KAPANABİLİR","UYARI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1" s="65" t="str">
        <f t="shared" si="6"/>
        <v>AÇIK</v>
      </c>
      <c r="U21" s="2"/>
      <c r="V21" s="2"/>
      <c r="W21" s="1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$3006,GELIR_GIDER!$V$7:$V$3006,1,GELIR_GIDER!$C$7:$C$3006,"&lt;="&amp;EOMONTH($B21,0))</f>
        <v>7042400</v>
      </c>
      <c r="Y21" s="1">
        <f t="shared" si="7"/>
        <v>0</v>
      </c>
      <c r="Z21" s="1">
        <f>SUMIFS(ORTAKLAR!$E$14:$E$33,ORTAKLAR!$B$14:$B$33,SISTEM!$C$9,ORTAKLAR!$C$14:$C$33,"&lt;="&amp;$B21,ORTAKLAR!$K$14:$K$33,"&gt;="&amp;$B21)</f>
        <v>0.5</v>
      </c>
      <c r="AA21" s="1">
        <f>SUMIFS(ORTAKLAR!$E$14:$E$33,ORTAKLAR!$B$14:$B$33,SISTEM!$C$10,ORTAKLAR!$C$14:$C$33,"&lt;="&amp;$B21,ORTAKLAR!$K$14:$K$33,"&gt;="&amp;$B21)</f>
        <v>0.5</v>
      </c>
    </row>
    <row r="22" spans="1:27" ht="18" customHeight="1" x14ac:dyDescent="0.3">
      <c r="A22" s="2"/>
      <c r="B22" s="73">
        <v>46478</v>
      </c>
      <c r="C22" s="88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$3006,GELIR_GIDER!$V$7:$V$3006,1,GELIR_GIDER!$C$7:$C$3006,"&gt;="&amp;$B22,GELIR_GIDER!$C$7:$C$3006,"&lt;"&amp;EDATE($B22,1))</f>
        <v>446000</v>
      </c>
      <c r="D22" s="88">
        <f>SUMIFS(TAHSILAT!$F$7:$F$2506,TAHSILAT!$E$7:$E$2506,"&gt;="&amp;$B22,TAHSILAT!$E$7:$E$2506,"&lt;"&amp;EDATE($B22,1),TAHSILAT!$H$7:$H$2506,"&lt;&gt;Mahsup")</f>
        <v>0</v>
      </c>
      <c r="E22" s="88">
        <f>SUMIFS(GELIR_GIDER!$G$7:$G$3006,GELIR_GIDER!$D$7:$D$3006,"Gelir",GELIR_GIDER!$C$7:$C$3006,"&gt;="&amp;$B22,GELIR_GIDER!$C$7:$C$3006,"&lt;"&amp;EDATE($B22,1),GELIR_GIDER!$I$7:$I$3006,"Evet")</f>
        <v>0</v>
      </c>
      <c r="F22" s="88">
        <f t="shared" si="1"/>
        <v>0</v>
      </c>
      <c r="G22" s="88">
        <f>SUMIFS(GELIR_GIDER!$G$7:$G$3006,GELIR_GIDER!$D$7:$D$3006,"Gider",GELIR_GIDER!$C$7:$C$3006,"&gt;="&amp;$B22,GELIR_GIDER!$C$7:$C$3006,"&lt;"&amp;EDATE($B22,1),GELIR_GIDER!$I$7:$I$3006,"Evet",GELIR_GIDER!$E$7:$E$3006,"&lt;&gt;Kâr Payı *")</f>
        <v>0</v>
      </c>
      <c r="H22" s="88">
        <f>$C22+$E22-SUMIFS(GELIR_GIDER!$G$7:$G$3006,GELIR_GIDER!$D$7:$D$3006,"Gider",GELIR_GIDER!$C$7:$C$3006,"&gt;="&amp;$B22,GELIR_GIDER!$C$7:$C$3006,"&lt;"&amp;EDATE($B22,1),GELIR_GIDER!$E$7:$E$3006,"&lt;&gt;Kâr Payı *")</f>
        <v>446000</v>
      </c>
      <c r="I22" s="88">
        <f t="shared" si="2"/>
        <v>0</v>
      </c>
      <c r="J22" s="86">
        <f t="shared" si="3"/>
        <v>0</v>
      </c>
      <c r="K22" s="88">
        <f>SISTEM!$C$13</f>
        <v>0</v>
      </c>
      <c r="L22" s="88">
        <f>MAX(0,SUM($I$7:$I22)-$K22)</f>
        <v>1020612.0199999999</v>
      </c>
      <c r="M22" s="88">
        <f t="shared" si="4"/>
        <v>0</v>
      </c>
      <c r="N22" s="88">
        <f t="shared" si="5"/>
        <v>0</v>
      </c>
      <c r="O22" s="60"/>
      <c r="P22" s="88"/>
      <c r="Q22" s="88"/>
      <c r="R22" s="88">
        <f>SUM($M$7:$M22)+SUM($N$7:$N22)-SUM($P$7:$P22)-SUM($Q$7:$Q22)</f>
        <v>1020612.0199999999</v>
      </c>
      <c r="S22" s="65" t="str">
        <f ca="1">IF($B22&gt;=DATE(YEAR(TODAY()),MONTH(TODAY()),1),"AÇIK",IF(COUNTIFS(SISTEM!$C$23:$C$70,"KRİTİK",SISTEM!$F$23:$F$70,"KALDI")&gt;0,"KAPATILAMAZ",IF(COUNTIF(SISTEM!$F$23:$F$70,"KALDI")=0,"KAPANABİLİR","UYARI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2" s="65" t="str">
        <f t="shared" si="6"/>
        <v>AÇIK</v>
      </c>
      <c r="U22" s="2"/>
      <c r="V22" s="2"/>
      <c r="W22" s="1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$3006,GELIR_GIDER!$V$7:$V$3006,1,GELIR_GIDER!$C$7:$C$3006,"&lt;="&amp;EOMONTH($B22,0))</f>
        <v>7488400</v>
      </c>
      <c r="Y22" s="1">
        <f t="shared" si="7"/>
        <v>0</v>
      </c>
      <c r="Z22" s="1">
        <f>SUMIFS(ORTAKLAR!$E$14:$E$33,ORTAKLAR!$B$14:$B$33,SISTEM!$C$9,ORTAKLAR!$C$14:$C$33,"&lt;="&amp;$B22,ORTAKLAR!$K$14:$K$33,"&gt;="&amp;$B22)</f>
        <v>0.5</v>
      </c>
      <c r="AA22" s="1">
        <f>SUMIFS(ORTAKLAR!$E$14:$E$33,ORTAKLAR!$B$14:$B$33,SISTEM!$C$10,ORTAKLAR!$C$14:$C$33,"&lt;="&amp;$B22,ORTAKLAR!$K$14:$K$33,"&gt;="&amp;$B22)</f>
        <v>0.5</v>
      </c>
    </row>
    <row r="23" spans="1:27" ht="18" customHeight="1" x14ac:dyDescent="0.3">
      <c r="A23" s="2"/>
      <c r="B23" s="73">
        <v>46508</v>
      </c>
      <c r="C23" s="88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$3006,GELIR_GIDER!$V$7:$V$3006,1,GELIR_GIDER!$C$7:$C$3006,"&gt;="&amp;$B23,GELIR_GIDER!$C$7:$C$3006,"&lt;"&amp;EDATE($B23,1))</f>
        <v>524750</v>
      </c>
      <c r="D23" s="88">
        <f>SUMIFS(TAHSILAT!$F$7:$F$2506,TAHSILAT!$E$7:$E$2506,"&gt;="&amp;$B23,TAHSILAT!$E$7:$E$2506,"&lt;"&amp;EDATE($B23,1),TAHSILAT!$H$7:$H$2506,"&lt;&gt;Mahsup")</f>
        <v>0</v>
      </c>
      <c r="E23" s="88">
        <f>SUMIFS(GELIR_GIDER!$G$7:$G$3006,GELIR_GIDER!$D$7:$D$3006,"Gelir",GELIR_GIDER!$C$7:$C$3006,"&gt;="&amp;$B23,GELIR_GIDER!$C$7:$C$3006,"&lt;"&amp;EDATE($B23,1),GELIR_GIDER!$I$7:$I$3006,"Evet")</f>
        <v>0</v>
      </c>
      <c r="F23" s="88">
        <f t="shared" si="1"/>
        <v>0</v>
      </c>
      <c r="G23" s="88">
        <f>SUMIFS(GELIR_GIDER!$G$7:$G$3006,GELIR_GIDER!$D$7:$D$3006,"Gider",GELIR_GIDER!$C$7:$C$3006,"&gt;="&amp;$B23,GELIR_GIDER!$C$7:$C$3006,"&lt;"&amp;EDATE($B23,1),GELIR_GIDER!$I$7:$I$3006,"Evet",GELIR_GIDER!$E$7:$E$3006,"&lt;&gt;Kâr Payı *")</f>
        <v>0</v>
      </c>
      <c r="H23" s="88">
        <f>$C23+$E23-SUMIFS(GELIR_GIDER!$G$7:$G$3006,GELIR_GIDER!$D$7:$D$3006,"Gider",GELIR_GIDER!$C$7:$C$3006,"&gt;="&amp;$B23,GELIR_GIDER!$C$7:$C$3006,"&lt;"&amp;EDATE($B23,1),GELIR_GIDER!$E$7:$E$3006,"&lt;&gt;Kâr Payı *")</f>
        <v>524750</v>
      </c>
      <c r="I23" s="88">
        <f t="shared" si="2"/>
        <v>0</v>
      </c>
      <c r="J23" s="86">
        <f t="shared" si="3"/>
        <v>0</v>
      </c>
      <c r="K23" s="88">
        <f>SISTEM!$C$13</f>
        <v>0</v>
      </c>
      <c r="L23" s="88">
        <f>MAX(0,SUM($I$7:$I23)-$K23)</f>
        <v>1020612.0199999999</v>
      </c>
      <c r="M23" s="88">
        <f t="shared" si="4"/>
        <v>0</v>
      </c>
      <c r="N23" s="88">
        <f t="shared" si="5"/>
        <v>0</v>
      </c>
      <c r="O23" s="60"/>
      <c r="P23" s="88"/>
      <c r="Q23" s="88"/>
      <c r="R23" s="88">
        <f>SUM($M$7:$M23)+SUM($N$7:$N23)-SUM($P$7:$P23)-SUM($Q$7:$Q23)</f>
        <v>1020612.0199999999</v>
      </c>
      <c r="S23" s="65" t="str">
        <f ca="1">IF($B23&gt;=DATE(YEAR(TODAY()),MONTH(TODAY()),1),"AÇIK",IF(COUNTIFS(SISTEM!$C$23:$C$70,"KRİTİK",SISTEM!$F$23:$F$70,"KALDI")&gt;0,"KAPATILAMAZ",IF(COUNTIF(SISTEM!$F$23:$F$70,"KALDI")=0,"KAPANABİLİR","UYARI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3" s="65" t="str">
        <f t="shared" si="6"/>
        <v>AÇIK</v>
      </c>
      <c r="U23" s="2"/>
      <c r="V23" s="2"/>
      <c r="W23" s="1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$3006,GELIR_GIDER!$V$7:$V$3006,1,GELIR_GIDER!$C$7:$C$3006,"&lt;="&amp;EOMONTH($B23,0))</f>
        <v>8013150</v>
      </c>
      <c r="Y23" s="1">
        <f t="shared" si="7"/>
        <v>0</v>
      </c>
      <c r="Z23" s="1">
        <f>SUMIFS(ORTAKLAR!$E$14:$E$33,ORTAKLAR!$B$14:$B$33,SISTEM!$C$9,ORTAKLAR!$C$14:$C$33,"&lt;="&amp;$B23,ORTAKLAR!$K$14:$K$33,"&gt;="&amp;$B23)</f>
        <v>0.5</v>
      </c>
      <c r="AA23" s="1">
        <f>SUMIFS(ORTAKLAR!$E$14:$E$33,ORTAKLAR!$B$14:$B$33,SISTEM!$C$10,ORTAKLAR!$C$14:$C$33,"&lt;="&amp;$B23,ORTAKLAR!$K$14:$K$33,"&gt;="&amp;$B23)</f>
        <v>0.5</v>
      </c>
    </row>
    <row r="24" spans="1:27" ht="18" customHeight="1" x14ac:dyDescent="0.3">
      <c r="A24" s="2"/>
      <c r="B24" s="73">
        <v>46539</v>
      </c>
      <c r="C24" s="88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$3006,GELIR_GIDER!$V$7:$V$3006,1,GELIR_GIDER!$C$7:$C$3006,"&gt;="&amp;$B24,GELIR_GIDER!$C$7:$C$3006,"&lt;"&amp;EDATE($B24,1))</f>
        <v>446000</v>
      </c>
      <c r="D24" s="88">
        <f>SUMIFS(TAHSILAT!$F$7:$F$2506,TAHSILAT!$E$7:$E$2506,"&gt;="&amp;$B24,TAHSILAT!$E$7:$E$2506,"&lt;"&amp;EDATE($B24,1),TAHSILAT!$H$7:$H$2506,"&lt;&gt;Mahsup")</f>
        <v>0</v>
      </c>
      <c r="E24" s="88">
        <f>SUMIFS(GELIR_GIDER!$G$7:$G$3006,GELIR_GIDER!$D$7:$D$3006,"Gelir",GELIR_GIDER!$C$7:$C$3006,"&gt;="&amp;$B24,GELIR_GIDER!$C$7:$C$3006,"&lt;"&amp;EDATE($B24,1),GELIR_GIDER!$I$7:$I$3006,"Evet")</f>
        <v>0</v>
      </c>
      <c r="F24" s="88">
        <f t="shared" si="1"/>
        <v>0</v>
      </c>
      <c r="G24" s="88">
        <f>SUMIFS(GELIR_GIDER!$G$7:$G$3006,GELIR_GIDER!$D$7:$D$3006,"Gider",GELIR_GIDER!$C$7:$C$3006,"&gt;="&amp;$B24,GELIR_GIDER!$C$7:$C$3006,"&lt;"&amp;EDATE($B24,1),GELIR_GIDER!$I$7:$I$3006,"Evet",GELIR_GIDER!$E$7:$E$3006,"&lt;&gt;Kâr Payı *")</f>
        <v>0</v>
      </c>
      <c r="H24" s="88">
        <f>$C24+$E24-SUMIFS(GELIR_GIDER!$G$7:$G$3006,GELIR_GIDER!$D$7:$D$3006,"Gider",GELIR_GIDER!$C$7:$C$3006,"&gt;="&amp;$B24,GELIR_GIDER!$C$7:$C$3006,"&lt;"&amp;EDATE($B24,1),GELIR_GIDER!$E$7:$E$3006,"&lt;&gt;Kâr Payı *")</f>
        <v>446000</v>
      </c>
      <c r="I24" s="88">
        <f t="shared" si="2"/>
        <v>0</v>
      </c>
      <c r="J24" s="86">
        <f t="shared" si="3"/>
        <v>0</v>
      </c>
      <c r="K24" s="88">
        <f>SISTEM!$C$13</f>
        <v>0</v>
      </c>
      <c r="L24" s="88">
        <f>MAX(0,SUM($I$7:$I24)-$K24)</f>
        <v>1020612.0199999999</v>
      </c>
      <c r="M24" s="88">
        <f t="shared" si="4"/>
        <v>0</v>
      </c>
      <c r="N24" s="88">
        <f t="shared" si="5"/>
        <v>0</v>
      </c>
      <c r="O24" s="60"/>
      <c r="P24" s="88"/>
      <c r="Q24" s="88"/>
      <c r="R24" s="88">
        <f>SUM($M$7:$M24)+SUM($N$7:$N24)-SUM($P$7:$P24)-SUM($Q$7:$Q24)</f>
        <v>1020612.0199999999</v>
      </c>
      <c r="S24" s="65" t="str">
        <f ca="1">IF($B24&gt;=DATE(YEAR(TODAY()),MONTH(TODAY()),1),"AÇIK",IF(COUNTIFS(SISTEM!$C$23:$C$70,"KRİTİK",SISTEM!$F$23:$F$70,"KALDI")&gt;0,"KAPATILAMAZ",IF(COUNTIF(SISTEM!$F$23:$F$70,"KALDI")=0,"KAPANABİLİR","UYARI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4" s="65" t="str">
        <f t="shared" si="6"/>
        <v>AÇIK</v>
      </c>
      <c r="U24" s="2"/>
      <c r="V24" s="2"/>
      <c r="W24" s="1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$3006,GELIR_GIDER!$V$7:$V$3006,1,GELIR_GIDER!$C$7:$C$3006,"&lt;="&amp;EOMONTH($B24,0))</f>
        <v>8459150</v>
      </c>
      <c r="Y24" s="1">
        <f t="shared" si="7"/>
        <v>0</v>
      </c>
      <c r="Z24" s="1">
        <f>SUMIFS(ORTAKLAR!$E$14:$E$33,ORTAKLAR!$B$14:$B$33,SISTEM!$C$9,ORTAKLAR!$C$14:$C$33,"&lt;="&amp;$B24,ORTAKLAR!$K$14:$K$33,"&gt;="&amp;$B24)</f>
        <v>0.5</v>
      </c>
      <c r="AA24" s="1">
        <f>SUMIFS(ORTAKLAR!$E$14:$E$33,ORTAKLAR!$B$14:$B$33,SISTEM!$C$10,ORTAKLAR!$C$14:$C$33,"&lt;="&amp;$B24,ORTAKLAR!$K$14:$K$33,"&gt;="&amp;$B24)</f>
        <v>0.5</v>
      </c>
    </row>
    <row r="25" spans="1:27" ht="18" customHeight="1" x14ac:dyDescent="0.3">
      <c r="A25" s="2"/>
      <c r="B25" s="73">
        <v>46569</v>
      </c>
      <c r="C25" s="88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$3006,GELIR_GIDER!$V$7:$V$3006,1,GELIR_GIDER!$C$7:$C$3006,"&gt;="&amp;$B25,GELIR_GIDER!$C$7:$C$3006,"&lt;"&amp;EDATE($B25,1))</f>
        <v>524750</v>
      </c>
      <c r="D25" s="88">
        <f>SUMIFS(TAHSILAT!$F$7:$F$2506,TAHSILAT!$E$7:$E$2506,"&gt;="&amp;$B25,TAHSILAT!$E$7:$E$2506,"&lt;"&amp;EDATE($B25,1),TAHSILAT!$H$7:$H$2506,"&lt;&gt;Mahsup")</f>
        <v>0</v>
      </c>
      <c r="E25" s="88">
        <f>SUMIFS(GELIR_GIDER!$G$7:$G$3006,GELIR_GIDER!$D$7:$D$3006,"Gelir",GELIR_GIDER!$C$7:$C$3006,"&gt;="&amp;$B25,GELIR_GIDER!$C$7:$C$3006,"&lt;"&amp;EDATE($B25,1),GELIR_GIDER!$I$7:$I$3006,"Evet")</f>
        <v>0</v>
      </c>
      <c r="F25" s="88">
        <f t="shared" si="1"/>
        <v>0</v>
      </c>
      <c r="G25" s="88">
        <f>SUMIFS(GELIR_GIDER!$G$7:$G$3006,GELIR_GIDER!$D$7:$D$3006,"Gider",GELIR_GIDER!$C$7:$C$3006,"&gt;="&amp;$B25,GELIR_GIDER!$C$7:$C$3006,"&lt;"&amp;EDATE($B25,1),GELIR_GIDER!$I$7:$I$3006,"Evet",GELIR_GIDER!$E$7:$E$3006,"&lt;&gt;Kâr Payı *")</f>
        <v>0</v>
      </c>
      <c r="H25" s="88">
        <f>$C25+$E25-SUMIFS(GELIR_GIDER!$G$7:$G$3006,GELIR_GIDER!$D$7:$D$3006,"Gider",GELIR_GIDER!$C$7:$C$3006,"&gt;="&amp;$B25,GELIR_GIDER!$C$7:$C$3006,"&lt;"&amp;EDATE($B25,1),GELIR_GIDER!$E$7:$E$3006,"&lt;&gt;Kâr Payı *")</f>
        <v>524750</v>
      </c>
      <c r="I25" s="88">
        <f t="shared" si="2"/>
        <v>0</v>
      </c>
      <c r="J25" s="86">
        <f t="shared" si="3"/>
        <v>0</v>
      </c>
      <c r="K25" s="88">
        <f>SISTEM!$C$13</f>
        <v>0</v>
      </c>
      <c r="L25" s="88">
        <f>MAX(0,SUM($I$7:$I25)-$K25)</f>
        <v>1020612.0199999999</v>
      </c>
      <c r="M25" s="88">
        <f t="shared" si="4"/>
        <v>0</v>
      </c>
      <c r="N25" s="88">
        <f t="shared" si="5"/>
        <v>0</v>
      </c>
      <c r="O25" s="60"/>
      <c r="P25" s="88"/>
      <c r="Q25" s="88"/>
      <c r="R25" s="88">
        <f>SUM($M$7:$M25)+SUM($N$7:$N25)-SUM($P$7:$P25)-SUM($Q$7:$Q25)</f>
        <v>1020612.0199999999</v>
      </c>
      <c r="S25" s="65" t="str">
        <f ca="1">IF($B25&gt;=DATE(YEAR(TODAY()),MONTH(TODAY()),1),"AÇIK",IF(COUNTIFS(SISTEM!$C$23:$C$70,"KRİTİK",SISTEM!$F$23:$F$70,"KALDI")&gt;0,"KAPATILAMAZ",IF(COUNTIF(SISTEM!$F$23:$F$70,"KALDI")=0,"KAPANABİLİR","UYARI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5" s="65" t="str">
        <f t="shared" si="6"/>
        <v>AÇIK</v>
      </c>
      <c r="U25" s="2"/>
      <c r="V25" s="2"/>
      <c r="W25" s="1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$3006,GELIR_GIDER!$V$7:$V$3006,1,GELIR_GIDER!$C$7:$C$3006,"&lt;="&amp;EOMONTH($B25,0))</f>
        <v>8983900</v>
      </c>
      <c r="Y25" s="1">
        <f t="shared" si="7"/>
        <v>0</v>
      </c>
      <c r="Z25" s="1">
        <f>SUMIFS(ORTAKLAR!$E$14:$E$33,ORTAKLAR!$B$14:$B$33,SISTEM!$C$9,ORTAKLAR!$C$14:$C$33,"&lt;="&amp;$B25,ORTAKLAR!$K$14:$K$33,"&gt;="&amp;$B25)</f>
        <v>0.5</v>
      </c>
      <c r="AA25" s="1">
        <f>SUMIFS(ORTAKLAR!$E$14:$E$33,ORTAKLAR!$B$14:$B$33,SISTEM!$C$10,ORTAKLAR!$C$14:$C$33,"&lt;="&amp;$B25,ORTAKLAR!$K$14:$K$33,"&gt;="&amp;$B25)</f>
        <v>0.5</v>
      </c>
    </row>
    <row r="26" spans="1:27" ht="18" customHeight="1" x14ac:dyDescent="0.3">
      <c r="A26" s="2"/>
      <c r="B26" s="73">
        <v>46600</v>
      </c>
      <c r="C26" s="88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$3006,GELIR_GIDER!$V$7:$V$3006,1,GELIR_GIDER!$C$7:$C$3006,"&gt;="&amp;$B26,GELIR_GIDER!$C$7:$C$3006,"&lt;"&amp;EDATE($B26,1))</f>
        <v>446000</v>
      </c>
      <c r="D26" s="88">
        <f>SUMIFS(TAHSILAT!$F$7:$F$2506,TAHSILAT!$E$7:$E$2506,"&gt;="&amp;$B26,TAHSILAT!$E$7:$E$2506,"&lt;"&amp;EDATE($B26,1),TAHSILAT!$H$7:$H$2506,"&lt;&gt;Mahsup")</f>
        <v>0</v>
      </c>
      <c r="E26" s="88">
        <f>SUMIFS(GELIR_GIDER!$G$7:$G$3006,GELIR_GIDER!$D$7:$D$3006,"Gelir",GELIR_GIDER!$C$7:$C$3006,"&gt;="&amp;$B26,GELIR_GIDER!$C$7:$C$3006,"&lt;"&amp;EDATE($B26,1),GELIR_GIDER!$I$7:$I$3006,"Evet")</f>
        <v>0</v>
      </c>
      <c r="F26" s="88">
        <f t="shared" si="1"/>
        <v>0</v>
      </c>
      <c r="G26" s="88">
        <f>SUMIFS(GELIR_GIDER!$G$7:$G$3006,GELIR_GIDER!$D$7:$D$3006,"Gider",GELIR_GIDER!$C$7:$C$3006,"&gt;="&amp;$B26,GELIR_GIDER!$C$7:$C$3006,"&lt;"&amp;EDATE($B26,1),GELIR_GIDER!$I$7:$I$3006,"Evet",GELIR_GIDER!$E$7:$E$3006,"&lt;&gt;Kâr Payı *")</f>
        <v>0</v>
      </c>
      <c r="H26" s="88">
        <f>$C26+$E26-SUMIFS(GELIR_GIDER!$G$7:$G$3006,GELIR_GIDER!$D$7:$D$3006,"Gider",GELIR_GIDER!$C$7:$C$3006,"&gt;="&amp;$B26,GELIR_GIDER!$C$7:$C$3006,"&lt;"&amp;EDATE($B26,1),GELIR_GIDER!$E$7:$E$3006,"&lt;&gt;Kâr Payı *")</f>
        <v>446000</v>
      </c>
      <c r="I26" s="88">
        <f t="shared" si="2"/>
        <v>0</v>
      </c>
      <c r="J26" s="86">
        <f t="shared" si="3"/>
        <v>0</v>
      </c>
      <c r="K26" s="88">
        <f>SISTEM!$C$13</f>
        <v>0</v>
      </c>
      <c r="L26" s="88">
        <f>MAX(0,SUM($I$7:$I26)-$K26)</f>
        <v>1020612.0199999999</v>
      </c>
      <c r="M26" s="88">
        <f t="shared" si="4"/>
        <v>0</v>
      </c>
      <c r="N26" s="88">
        <f t="shared" si="5"/>
        <v>0</v>
      </c>
      <c r="O26" s="60"/>
      <c r="P26" s="88"/>
      <c r="Q26" s="88"/>
      <c r="R26" s="88">
        <f>SUM($M$7:$M26)+SUM($N$7:$N26)-SUM($P$7:$P26)-SUM($Q$7:$Q26)</f>
        <v>1020612.0199999999</v>
      </c>
      <c r="S26" s="65" t="str">
        <f ca="1">IF($B26&gt;=DATE(YEAR(TODAY()),MONTH(TODAY()),1),"AÇIK",IF(COUNTIFS(SISTEM!$C$23:$C$70,"KRİTİK",SISTEM!$F$23:$F$70,"KALDI")&gt;0,"KAPATILAMAZ",IF(COUNTIF(SISTEM!$F$23:$F$70,"KALDI")=0,"KAPANABİLİR","UYARI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6" s="65" t="str">
        <f t="shared" si="6"/>
        <v>AÇIK</v>
      </c>
      <c r="U26" s="2"/>
      <c r="V26" s="2"/>
      <c r="W26" s="1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$3006,GELIR_GIDER!$V$7:$V$3006,1,GELIR_GIDER!$C$7:$C$3006,"&lt;="&amp;EOMONTH($B26,0))</f>
        <v>9429900</v>
      </c>
      <c r="Y26" s="1">
        <f t="shared" si="7"/>
        <v>0</v>
      </c>
      <c r="Z26" s="1">
        <f>SUMIFS(ORTAKLAR!$E$14:$E$33,ORTAKLAR!$B$14:$B$33,SISTEM!$C$9,ORTAKLAR!$C$14:$C$33,"&lt;="&amp;$B26,ORTAKLAR!$K$14:$K$33,"&gt;="&amp;$B26)</f>
        <v>0.5</v>
      </c>
      <c r="AA26" s="1">
        <f>SUMIFS(ORTAKLAR!$E$14:$E$33,ORTAKLAR!$B$14:$B$33,SISTEM!$C$10,ORTAKLAR!$C$14:$C$33,"&lt;="&amp;$B26,ORTAKLAR!$K$14:$K$33,"&gt;="&amp;$B26)</f>
        <v>0.5</v>
      </c>
    </row>
    <row r="27" spans="1:27" ht="18" customHeight="1" x14ac:dyDescent="0.3">
      <c r="A27" s="2"/>
      <c r="B27" s="73">
        <v>46631</v>
      </c>
      <c r="C27" s="88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$3006,GELIR_GIDER!$V$7:$V$3006,1,GELIR_GIDER!$C$7:$C$3006,"&gt;="&amp;$B27,GELIR_GIDER!$C$7:$C$3006,"&lt;"&amp;EDATE($B27,1))</f>
        <v>446000</v>
      </c>
      <c r="D27" s="88">
        <f>SUMIFS(TAHSILAT!$F$7:$F$2506,TAHSILAT!$E$7:$E$2506,"&gt;="&amp;$B27,TAHSILAT!$E$7:$E$2506,"&lt;"&amp;EDATE($B27,1),TAHSILAT!$H$7:$H$2506,"&lt;&gt;Mahsup")</f>
        <v>0</v>
      </c>
      <c r="E27" s="88">
        <f>SUMIFS(GELIR_GIDER!$G$7:$G$3006,GELIR_GIDER!$D$7:$D$3006,"Gelir",GELIR_GIDER!$C$7:$C$3006,"&gt;="&amp;$B27,GELIR_GIDER!$C$7:$C$3006,"&lt;"&amp;EDATE($B27,1),GELIR_GIDER!$I$7:$I$3006,"Evet")</f>
        <v>0</v>
      </c>
      <c r="F27" s="88">
        <f t="shared" si="1"/>
        <v>0</v>
      </c>
      <c r="G27" s="88">
        <f>SUMIFS(GELIR_GIDER!$G$7:$G$3006,GELIR_GIDER!$D$7:$D$3006,"Gider",GELIR_GIDER!$C$7:$C$3006,"&gt;="&amp;$B27,GELIR_GIDER!$C$7:$C$3006,"&lt;"&amp;EDATE($B27,1),GELIR_GIDER!$I$7:$I$3006,"Evet",GELIR_GIDER!$E$7:$E$3006,"&lt;&gt;Kâr Payı *")</f>
        <v>0</v>
      </c>
      <c r="H27" s="88">
        <f>$C27+$E27-SUMIFS(GELIR_GIDER!$G$7:$G$3006,GELIR_GIDER!$D$7:$D$3006,"Gider",GELIR_GIDER!$C$7:$C$3006,"&gt;="&amp;$B27,GELIR_GIDER!$C$7:$C$3006,"&lt;"&amp;EDATE($B27,1),GELIR_GIDER!$E$7:$E$3006,"&lt;&gt;Kâr Payı *")</f>
        <v>446000</v>
      </c>
      <c r="I27" s="88">
        <f t="shared" si="2"/>
        <v>0</v>
      </c>
      <c r="J27" s="86">
        <f t="shared" si="3"/>
        <v>0</v>
      </c>
      <c r="K27" s="88">
        <f>SISTEM!$C$13</f>
        <v>0</v>
      </c>
      <c r="L27" s="88">
        <f>MAX(0,SUM($I$7:$I27)-$K27)</f>
        <v>1020612.0199999999</v>
      </c>
      <c r="M27" s="88">
        <f t="shared" si="4"/>
        <v>0</v>
      </c>
      <c r="N27" s="88">
        <f t="shared" si="5"/>
        <v>0</v>
      </c>
      <c r="O27" s="60"/>
      <c r="P27" s="88"/>
      <c r="Q27" s="88"/>
      <c r="R27" s="88">
        <f>SUM($M$7:$M27)+SUM($N$7:$N27)-SUM($P$7:$P27)-SUM($Q$7:$Q27)</f>
        <v>1020612.0199999999</v>
      </c>
      <c r="S27" s="65" t="str">
        <f ca="1">IF($B27&gt;=DATE(YEAR(TODAY()),MONTH(TODAY()),1),"AÇIK",IF(COUNTIFS(SISTEM!$C$23:$C$70,"KRİTİK",SISTEM!$F$23:$F$70,"KALDI")&gt;0,"KAPATILAMAZ",IF(COUNTIF(SISTEM!$F$23:$F$70,"KALDI")=0,"KAPANABİLİR","UYARI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7" s="65" t="str">
        <f t="shared" si="6"/>
        <v>AÇIK</v>
      </c>
      <c r="U27" s="2"/>
      <c r="V27" s="2"/>
      <c r="W27" s="1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$3006,GELIR_GIDER!$V$7:$V$3006,1,GELIR_GIDER!$C$7:$C$3006,"&lt;="&amp;EOMONTH($B27,0))</f>
        <v>9875900</v>
      </c>
      <c r="Y27" s="1">
        <f t="shared" si="7"/>
        <v>0</v>
      </c>
      <c r="Z27" s="1">
        <f>SUMIFS(ORTAKLAR!$E$14:$E$33,ORTAKLAR!$B$14:$B$33,SISTEM!$C$9,ORTAKLAR!$C$14:$C$33,"&lt;="&amp;$B27,ORTAKLAR!$K$14:$K$33,"&gt;="&amp;$B27)</f>
        <v>0.5</v>
      </c>
      <c r="AA27" s="1">
        <f>SUMIFS(ORTAKLAR!$E$14:$E$33,ORTAKLAR!$B$14:$B$33,SISTEM!$C$10,ORTAKLAR!$C$14:$C$33,"&lt;="&amp;$B27,ORTAKLAR!$K$14:$K$33,"&gt;="&amp;$B27)</f>
        <v>0.5</v>
      </c>
    </row>
    <row r="28" spans="1:27" ht="18" customHeight="1" x14ac:dyDescent="0.3">
      <c r="A28" s="2"/>
      <c r="B28" s="73">
        <v>46661</v>
      </c>
      <c r="C28" s="88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$3006,GELIR_GIDER!$V$7:$V$3006,1,GELIR_GIDER!$C$7:$C$3006,"&gt;="&amp;$B28,GELIR_GIDER!$C$7:$C$3006,"&lt;"&amp;EDATE($B28,1))</f>
        <v>524750</v>
      </c>
      <c r="D28" s="88">
        <f>SUMIFS(TAHSILAT!$F$7:$F$2506,TAHSILAT!$E$7:$E$2506,"&gt;="&amp;$B28,TAHSILAT!$E$7:$E$2506,"&lt;"&amp;EDATE($B28,1),TAHSILAT!$H$7:$H$2506,"&lt;&gt;Mahsup")</f>
        <v>0</v>
      </c>
      <c r="E28" s="88">
        <f>SUMIFS(GELIR_GIDER!$G$7:$G$3006,GELIR_GIDER!$D$7:$D$3006,"Gelir",GELIR_GIDER!$C$7:$C$3006,"&gt;="&amp;$B28,GELIR_GIDER!$C$7:$C$3006,"&lt;"&amp;EDATE($B28,1),GELIR_GIDER!$I$7:$I$3006,"Evet")</f>
        <v>0</v>
      </c>
      <c r="F28" s="88">
        <f t="shared" si="1"/>
        <v>0</v>
      </c>
      <c r="G28" s="88">
        <f>SUMIFS(GELIR_GIDER!$G$7:$G$3006,GELIR_GIDER!$D$7:$D$3006,"Gider",GELIR_GIDER!$C$7:$C$3006,"&gt;="&amp;$B28,GELIR_GIDER!$C$7:$C$3006,"&lt;"&amp;EDATE($B28,1),GELIR_GIDER!$I$7:$I$3006,"Evet",GELIR_GIDER!$E$7:$E$3006,"&lt;&gt;Kâr Payı *")</f>
        <v>0</v>
      </c>
      <c r="H28" s="88">
        <f>$C28+$E28-SUMIFS(GELIR_GIDER!$G$7:$G$3006,GELIR_GIDER!$D$7:$D$3006,"Gider",GELIR_GIDER!$C$7:$C$3006,"&gt;="&amp;$B28,GELIR_GIDER!$C$7:$C$3006,"&lt;"&amp;EDATE($B28,1),GELIR_GIDER!$E$7:$E$3006,"&lt;&gt;Kâr Payı *")</f>
        <v>524750</v>
      </c>
      <c r="I28" s="88">
        <f t="shared" si="2"/>
        <v>0</v>
      </c>
      <c r="J28" s="86">
        <f t="shared" si="3"/>
        <v>0</v>
      </c>
      <c r="K28" s="88">
        <f>SISTEM!$C$13</f>
        <v>0</v>
      </c>
      <c r="L28" s="88">
        <f>MAX(0,SUM($I$7:$I28)-$K28)</f>
        <v>1020612.0199999999</v>
      </c>
      <c r="M28" s="88">
        <f t="shared" si="4"/>
        <v>0</v>
      </c>
      <c r="N28" s="88">
        <f t="shared" si="5"/>
        <v>0</v>
      </c>
      <c r="O28" s="60"/>
      <c r="P28" s="88"/>
      <c r="Q28" s="88"/>
      <c r="R28" s="88">
        <f>SUM($M$7:$M28)+SUM($N$7:$N28)-SUM($P$7:$P28)-SUM($Q$7:$Q28)</f>
        <v>1020612.0199999999</v>
      </c>
      <c r="S28" s="65" t="str">
        <f ca="1">IF($B28&gt;=DATE(YEAR(TODAY()),MONTH(TODAY()),1),"AÇIK",IF(COUNTIFS(SISTEM!$C$23:$C$70,"KRİTİK",SISTEM!$F$23:$F$70,"KALDI")&gt;0,"KAPATILAMAZ",IF(COUNTIF(SISTEM!$F$23:$F$70,"KALDI")=0,"KAPANABİLİR","UYARI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8" s="65" t="str">
        <f t="shared" si="6"/>
        <v>AÇIK</v>
      </c>
      <c r="U28" s="2"/>
      <c r="V28" s="2"/>
      <c r="W28" s="1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$3006,GELIR_GIDER!$V$7:$V$3006,1,GELIR_GIDER!$C$7:$C$3006,"&lt;="&amp;EOMONTH($B28,0))</f>
        <v>10400650</v>
      </c>
      <c r="Y28" s="1">
        <f t="shared" si="7"/>
        <v>0</v>
      </c>
      <c r="Z28" s="1">
        <f>SUMIFS(ORTAKLAR!$E$14:$E$33,ORTAKLAR!$B$14:$B$33,SISTEM!$C$9,ORTAKLAR!$C$14:$C$33,"&lt;="&amp;$B28,ORTAKLAR!$K$14:$K$33,"&gt;="&amp;$B28)</f>
        <v>0.5</v>
      </c>
      <c r="AA28" s="1">
        <f>SUMIFS(ORTAKLAR!$E$14:$E$33,ORTAKLAR!$B$14:$B$33,SISTEM!$C$10,ORTAKLAR!$C$14:$C$33,"&lt;="&amp;$B28,ORTAKLAR!$K$14:$K$33,"&gt;="&amp;$B28)</f>
        <v>0.5</v>
      </c>
    </row>
    <row r="29" spans="1:27" ht="18" customHeight="1" x14ac:dyDescent="0.3">
      <c r="A29" s="2"/>
      <c r="B29" s="73">
        <v>46692</v>
      </c>
      <c r="C29" s="88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$3006,GELIR_GIDER!$V$7:$V$3006,1,GELIR_GIDER!$C$7:$C$3006,"&gt;="&amp;$B29,GELIR_GIDER!$C$7:$C$3006,"&lt;"&amp;EDATE($B29,1))</f>
        <v>446000</v>
      </c>
      <c r="D29" s="88">
        <f>SUMIFS(TAHSILAT!$F$7:$F$2506,TAHSILAT!$E$7:$E$2506,"&gt;="&amp;$B29,TAHSILAT!$E$7:$E$2506,"&lt;"&amp;EDATE($B29,1),TAHSILAT!$H$7:$H$2506,"&lt;&gt;Mahsup")</f>
        <v>0</v>
      </c>
      <c r="E29" s="88">
        <f>SUMIFS(GELIR_GIDER!$G$7:$G$3006,GELIR_GIDER!$D$7:$D$3006,"Gelir",GELIR_GIDER!$C$7:$C$3006,"&gt;="&amp;$B29,GELIR_GIDER!$C$7:$C$3006,"&lt;"&amp;EDATE($B29,1),GELIR_GIDER!$I$7:$I$3006,"Evet")</f>
        <v>0</v>
      </c>
      <c r="F29" s="88">
        <f t="shared" si="1"/>
        <v>0</v>
      </c>
      <c r="G29" s="88">
        <f>SUMIFS(GELIR_GIDER!$G$7:$G$3006,GELIR_GIDER!$D$7:$D$3006,"Gider",GELIR_GIDER!$C$7:$C$3006,"&gt;="&amp;$B29,GELIR_GIDER!$C$7:$C$3006,"&lt;"&amp;EDATE($B29,1),GELIR_GIDER!$I$7:$I$3006,"Evet",GELIR_GIDER!$E$7:$E$3006,"&lt;&gt;Kâr Payı *")</f>
        <v>0</v>
      </c>
      <c r="H29" s="88">
        <f>$C29+$E29-SUMIFS(GELIR_GIDER!$G$7:$G$3006,GELIR_GIDER!$D$7:$D$3006,"Gider",GELIR_GIDER!$C$7:$C$3006,"&gt;="&amp;$B29,GELIR_GIDER!$C$7:$C$3006,"&lt;"&amp;EDATE($B29,1),GELIR_GIDER!$E$7:$E$3006,"&lt;&gt;Kâr Payı *")</f>
        <v>446000</v>
      </c>
      <c r="I29" s="88">
        <f t="shared" si="2"/>
        <v>0</v>
      </c>
      <c r="J29" s="86">
        <f t="shared" si="3"/>
        <v>0</v>
      </c>
      <c r="K29" s="88">
        <f>SISTEM!$C$13</f>
        <v>0</v>
      </c>
      <c r="L29" s="88">
        <f>MAX(0,SUM($I$7:$I29)-$K29)</f>
        <v>1020612.0199999999</v>
      </c>
      <c r="M29" s="88">
        <f t="shared" si="4"/>
        <v>0</v>
      </c>
      <c r="N29" s="88">
        <f t="shared" si="5"/>
        <v>0</v>
      </c>
      <c r="O29" s="60"/>
      <c r="P29" s="88"/>
      <c r="Q29" s="88"/>
      <c r="R29" s="88">
        <f>SUM($M$7:$M29)+SUM($N$7:$N29)-SUM($P$7:$P29)-SUM($Q$7:$Q29)</f>
        <v>1020612.0199999999</v>
      </c>
      <c r="S29" s="65" t="str">
        <f ca="1">IF($B29&gt;=DATE(YEAR(TODAY()),MONTH(TODAY()),1),"AÇIK",IF(COUNTIFS(SISTEM!$C$23:$C$70,"KRİTİK",SISTEM!$F$23:$F$70,"KALDI")&gt;0,"KAPATILAMAZ",IF(COUNTIF(SISTEM!$F$23:$F$70,"KALDI")=0,"KAPANABİLİR","UYARI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9" s="65" t="str">
        <f t="shared" si="6"/>
        <v>AÇIK</v>
      </c>
      <c r="U29" s="2"/>
      <c r="V29" s="2"/>
      <c r="W29" s="1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$3006,GELIR_GIDER!$V$7:$V$3006,1,GELIR_GIDER!$C$7:$C$3006,"&lt;="&amp;EOMONTH($B29,0))</f>
        <v>10846650</v>
      </c>
      <c r="Y29" s="1">
        <f t="shared" si="7"/>
        <v>0</v>
      </c>
      <c r="Z29" s="1">
        <f>SUMIFS(ORTAKLAR!$E$14:$E$33,ORTAKLAR!$B$14:$B$33,SISTEM!$C$9,ORTAKLAR!$C$14:$C$33,"&lt;="&amp;$B29,ORTAKLAR!$K$14:$K$33,"&gt;="&amp;$B29)</f>
        <v>0.5</v>
      </c>
      <c r="AA29" s="1">
        <f>SUMIFS(ORTAKLAR!$E$14:$E$33,ORTAKLAR!$B$14:$B$33,SISTEM!$C$10,ORTAKLAR!$C$14:$C$33,"&lt;="&amp;$B29,ORTAKLAR!$K$14:$K$33,"&gt;="&amp;$B29)</f>
        <v>0.5</v>
      </c>
    </row>
    <row r="30" spans="1:27" ht="18" customHeight="1" x14ac:dyDescent="0.3">
      <c r="A30" s="2"/>
      <c r="B30" s="73">
        <v>46722</v>
      </c>
      <c r="C30" s="88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$3006,GELIR_GIDER!$V$7:$V$3006,1,GELIR_GIDER!$C$7:$C$3006,"&gt;="&amp;$B30,GELIR_GIDER!$C$7:$C$3006,"&lt;"&amp;EDATE($B30,1))</f>
        <v>446000</v>
      </c>
      <c r="D30" s="88">
        <f>SUMIFS(TAHSILAT!$F$7:$F$2506,TAHSILAT!$E$7:$E$2506,"&gt;="&amp;$B30,TAHSILAT!$E$7:$E$2506,"&lt;"&amp;EDATE($B30,1),TAHSILAT!$H$7:$H$2506,"&lt;&gt;Mahsup")</f>
        <v>0</v>
      </c>
      <c r="E30" s="88">
        <f>SUMIFS(GELIR_GIDER!$G$7:$G$3006,GELIR_GIDER!$D$7:$D$3006,"Gelir",GELIR_GIDER!$C$7:$C$3006,"&gt;="&amp;$B30,GELIR_GIDER!$C$7:$C$3006,"&lt;"&amp;EDATE($B30,1),GELIR_GIDER!$I$7:$I$3006,"Evet")</f>
        <v>0</v>
      </c>
      <c r="F30" s="88">
        <f t="shared" si="1"/>
        <v>0</v>
      </c>
      <c r="G30" s="88">
        <f>SUMIFS(GELIR_GIDER!$G$7:$G$3006,GELIR_GIDER!$D$7:$D$3006,"Gider",GELIR_GIDER!$C$7:$C$3006,"&gt;="&amp;$B30,GELIR_GIDER!$C$7:$C$3006,"&lt;"&amp;EDATE($B30,1),GELIR_GIDER!$I$7:$I$3006,"Evet",GELIR_GIDER!$E$7:$E$3006,"&lt;&gt;Kâr Payı *")</f>
        <v>0</v>
      </c>
      <c r="H30" s="88">
        <f>$C30+$E30-SUMIFS(GELIR_GIDER!$G$7:$G$3006,GELIR_GIDER!$D$7:$D$3006,"Gider",GELIR_GIDER!$C$7:$C$3006,"&gt;="&amp;$B30,GELIR_GIDER!$C$7:$C$3006,"&lt;"&amp;EDATE($B30,1),GELIR_GIDER!$E$7:$E$3006,"&lt;&gt;Kâr Payı *")</f>
        <v>446000</v>
      </c>
      <c r="I30" s="88">
        <f t="shared" si="2"/>
        <v>0</v>
      </c>
      <c r="J30" s="86">
        <f t="shared" si="3"/>
        <v>0</v>
      </c>
      <c r="K30" s="88">
        <f>SISTEM!$C$13</f>
        <v>0</v>
      </c>
      <c r="L30" s="88">
        <f>MAX(0,SUM($I$7:$I30)-$K30)</f>
        <v>1020612.0199999999</v>
      </c>
      <c r="M30" s="88">
        <f t="shared" si="4"/>
        <v>0</v>
      </c>
      <c r="N30" s="88">
        <f t="shared" si="5"/>
        <v>0</v>
      </c>
      <c r="O30" s="60"/>
      <c r="P30" s="88"/>
      <c r="Q30" s="88"/>
      <c r="R30" s="88">
        <f>SUM($M$7:$M30)+SUM($N$7:$N30)-SUM($P$7:$P30)-SUM($Q$7:$Q30)</f>
        <v>1020612.0199999999</v>
      </c>
      <c r="S30" s="65" t="str">
        <f ca="1">IF($B30&gt;=DATE(YEAR(TODAY()),MONTH(TODAY()),1),"AÇIK",IF(COUNTIFS(SISTEM!$C$23:$C$70,"KRİTİK",SISTEM!$F$23:$F$70,"KALDI")&gt;0,"KAPATILAMAZ",IF(COUNTIF(SISTEM!$F$23:$F$70,"KALDI")=0,"KAPANABİLİR","UYARI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0" s="65" t="str">
        <f t="shared" si="6"/>
        <v>AÇIK</v>
      </c>
      <c r="U30" s="2"/>
      <c r="V30" s="2"/>
      <c r="W30" s="1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$3006,GELIR_GIDER!$V$7:$V$3006,1,GELIR_GIDER!$C$7:$C$3006,"&lt;="&amp;EOMONTH($B30,0))</f>
        <v>11292650</v>
      </c>
      <c r="Y30" s="1">
        <f t="shared" si="7"/>
        <v>0</v>
      </c>
      <c r="Z30" s="1">
        <f>SUMIFS(ORTAKLAR!$E$14:$E$33,ORTAKLAR!$B$14:$B$33,SISTEM!$C$9,ORTAKLAR!$C$14:$C$33,"&lt;="&amp;$B30,ORTAKLAR!$K$14:$K$33,"&gt;="&amp;$B30)</f>
        <v>0.5</v>
      </c>
      <c r="AA30" s="1">
        <f>SUMIFS(ORTAKLAR!$E$14:$E$33,ORTAKLAR!$B$14:$B$33,SISTEM!$C$10,ORTAKLAR!$C$14:$C$33,"&lt;="&amp;$B30,ORTAKLAR!$K$14:$K$33,"&gt;="&amp;$B30)</f>
        <v>0.5</v>
      </c>
    </row>
    <row r="31" spans="1:27" ht="18" customHeight="1" x14ac:dyDescent="0.3">
      <c r="A31" s="2"/>
      <c r="B31" s="73">
        <v>46753</v>
      </c>
      <c r="C31" s="88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$3006,GELIR_GIDER!$V$7:$V$3006,1,GELIR_GIDER!$C$7:$C$3006,"&gt;="&amp;$B31,GELIR_GIDER!$C$7:$C$3006,"&lt;"&amp;EDATE($B31,1))</f>
        <v>524750</v>
      </c>
      <c r="D31" s="88">
        <f>SUMIFS(TAHSILAT!$F$7:$F$2506,TAHSILAT!$E$7:$E$2506,"&gt;="&amp;$B31,TAHSILAT!$E$7:$E$2506,"&lt;"&amp;EDATE($B31,1),TAHSILAT!$H$7:$H$2506,"&lt;&gt;Mahsup")</f>
        <v>0</v>
      </c>
      <c r="E31" s="88">
        <f>SUMIFS(GELIR_GIDER!$G$7:$G$3006,GELIR_GIDER!$D$7:$D$3006,"Gelir",GELIR_GIDER!$C$7:$C$3006,"&gt;="&amp;$B31,GELIR_GIDER!$C$7:$C$3006,"&lt;"&amp;EDATE($B31,1),GELIR_GIDER!$I$7:$I$3006,"Evet")</f>
        <v>0</v>
      </c>
      <c r="F31" s="88">
        <f t="shared" si="1"/>
        <v>0</v>
      </c>
      <c r="G31" s="88">
        <f>SUMIFS(GELIR_GIDER!$G$7:$G$3006,GELIR_GIDER!$D$7:$D$3006,"Gider",GELIR_GIDER!$C$7:$C$3006,"&gt;="&amp;$B31,GELIR_GIDER!$C$7:$C$3006,"&lt;"&amp;EDATE($B31,1),GELIR_GIDER!$I$7:$I$3006,"Evet",GELIR_GIDER!$E$7:$E$3006,"&lt;&gt;Kâr Payı *")</f>
        <v>0</v>
      </c>
      <c r="H31" s="88">
        <f>$C31+$E31-SUMIFS(GELIR_GIDER!$G$7:$G$3006,GELIR_GIDER!$D$7:$D$3006,"Gider",GELIR_GIDER!$C$7:$C$3006,"&gt;="&amp;$B31,GELIR_GIDER!$C$7:$C$3006,"&lt;"&amp;EDATE($B31,1),GELIR_GIDER!$E$7:$E$3006,"&lt;&gt;Kâr Payı *")</f>
        <v>524750</v>
      </c>
      <c r="I31" s="88">
        <f t="shared" si="2"/>
        <v>0</v>
      </c>
      <c r="J31" s="86">
        <f t="shared" si="3"/>
        <v>0</v>
      </c>
      <c r="K31" s="88">
        <f>SISTEM!$C$13</f>
        <v>0</v>
      </c>
      <c r="L31" s="88">
        <f>MAX(0,SUM($I$7:$I31)-$K31)</f>
        <v>1020612.0199999999</v>
      </c>
      <c r="M31" s="88">
        <f t="shared" si="4"/>
        <v>0</v>
      </c>
      <c r="N31" s="88">
        <f t="shared" si="5"/>
        <v>0</v>
      </c>
      <c r="O31" s="60"/>
      <c r="P31" s="88"/>
      <c r="Q31" s="88"/>
      <c r="R31" s="88">
        <f>SUM($M$7:$M31)+SUM($N$7:$N31)-SUM($P$7:$P31)-SUM($Q$7:$Q31)</f>
        <v>1020612.0199999999</v>
      </c>
      <c r="S31" s="65" t="str">
        <f ca="1">IF($B31&gt;=DATE(YEAR(TODAY()),MONTH(TODAY()),1),"AÇIK",IF(COUNTIFS(SISTEM!$C$23:$C$70,"KRİTİK",SISTEM!$F$23:$F$70,"KALDI")&gt;0,"KAPATILAMAZ",IF(COUNTIF(SISTEM!$F$23:$F$70,"KALDI")=0,"KAPANABİLİR","UYARI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1" s="65" t="str">
        <f t="shared" si="6"/>
        <v>AÇIK</v>
      </c>
      <c r="U31" s="2"/>
      <c r="V31" s="2"/>
      <c r="W31" s="1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$3006,GELIR_GIDER!$V$7:$V$3006,1,GELIR_GIDER!$C$7:$C$3006,"&lt;="&amp;EOMONTH($B31,0))</f>
        <v>11817400</v>
      </c>
      <c r="Y31" s="1">
        <f t="shared" si="7"/>
        <v>0</v>
      </c>
      <c r="Z31" s="1">
        <f>SUMIFS(ORTAKLAR!$E$14:$E$33,ORTAKLAR!$B$14:$B$33,SISTEM!$C$9,ORTAKLAR!$C$14:$C$33,"&lt;="&amp;$B31,ORTAKLAR!$K$14:$K$33,"&gt;="&amp;$B31)</f>
        <v>0.5</v>
      </c>
      <c r="AA31" s="1">
        <f>SUMIFS(ORTAKLAR!$E$14:$E$33,ORTAKLAR!$B$14:$B$33,SISTEM!$C$10,ORTAKLAR!$C$14:$C$33,"&lt;="&amp;$B31,ORTAKLAR!$K$14:$K$33,"&gt;="&amp;$B31)</f>
        <v>0.5</v>
      </c>
    </row>
    <row r="32" spans="1:27" ht="18" customHeight="1" x14ac:dyDescent="0.3">
      <c r="A32" s="2"/>
      <c r="B32" s="73">
        <v>46784</v>
      </c>
      <c r="C32" s="88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$3006,GELIR_GIDER!$V$7:$V$3006,1,GELIR_GIDER!$C$7:$C$3006,"&gt;="&amp;$B32,GELIR_GIDER!$C$7:$C$3006,"&lt;"&amp;EDATE($B32,1))</f>
        <v>446000</v>
      </c>
      <c r="D32" s="88">
        <f>SUMIFS(TAHSILAT!$F$7:$F$2506,TAHSILAT!$E$7:$E$2506,"&gt;="&amp;$B32,TAHSILAT!$E$7:$E$2506,"&lt;"&amp;EDATE($B32,1),TAHSILAT!$H$7:$H$2506,"&lt;&gt;Mahsup")</f>
        <v>0</v>
      </c>
      <c r="E32" s="88">
        <f>SUMIFS(GELIR_GIDER!$G$7:$G$3006,GELIR_GIDER!$D$7:$D$3006,"Gelir",GELIR_GIDER!$C$7:$C$3006,"&gt;="&amp;$B32,GELIR_GIDER!$C$7:$C$3006,"&lt;"&amp;EDATE($B32,1),GELIR_GIDER!$I$7:$I$3006,"Evet")</f>
        <v>0</v>
      </c>
      <c r="F32" s="88">
        <f t="shared" si="1"/>
        <v>0</v>
      </c>
      <c r="G32" s="88">
        <f>SUMIFS(GELIR_GIDER!$G$7:$G$3006,GELIR_GIDER!$D$7:$D$3006,"Gider",GELIR_GIDER!$C$7:$C$3006,"&gt;="&amp;$B32,GELIR_GIDER!$C$7:$C$3006,"&lt;"&amp;EDATE($B32,1),GELIR_GIDER!$I$7:$I$3006,"Evet",GELIR_GIDER!$E$7:$E$3006,"&lt;&gt;Kâr Payı *")</f>
        <v>0</v>
      </c>
      <c r="H32" s="88">
        <f>$C32+$E32-SUMIFS(GELIR_GIDER!$G$7:$G$3006,GELIR_GIDER!$D$7:$D$3006,"Gider",GELIR_GIDER!$C$7:$C$3006,"&gt;="&amp;$B32,GELIR_GIDER!$C$7:$C$3006,"&lt;"&amp;EDATE($B32,1),GELIR_GIDER!$E$7:$E$3006,"&lt;&gt;Kâr Payı *")</f>
        <v>446000</v>
      </c>
      <c r="I32" s="88">
        <f t="shared" si="2"/>
        <v>0</v>
      </c>
      <c r="J32" s="86">
        <f t="shared" si="3"/>
        <v>0</v>
      </c>
      <c r="K32" s="88">
        <f>SISTEM!$C$13</f>
        <v>0</v>
      </c>
      <c r="L32" s="88">
        <f>MAX(0,SUM($I$7:$I32)-$K32)</f>
        <v>1020612.0199999999</v>
      </c>
      <c r="M32" s="88">
        <f t="shared" si="4"/>
        <v>0</v>
      </c>
      <c r="N32" s="88">
        <f t="shared" si="5"/>
        <v>0</v>
      </c>
      <c r="O32" s="60"/>
      <c r="P32" s="88"/>
      <c r="Q32" s="88"/>
      <c r="R32" s="88">
        <f>SUM($M$7:$M32)+SUM($N$7:$N32)-SUM($P$7:$P32)-SUM($Q$7:$Q32)</f>
        <v>1020612.0199999999</v>
      </c>
      <c r="S32" s="65" t="str">
        <f ca="1">IF($B32&gt;=DATE(YEAR(TODAY()),MONTH(TODAY()),1),"AÇIK",IF(COUNTIFS(SISTEM!$C$23:$C$70,"KRİTİK",SISTEM!$F$23:$F$70,"KALDI")&gt;0,"KAPATILAMAZ",IF(COUNTIF(SISTEM!$F$23:$F$70,"KALDI")=0,"KAPANABİLİR","UYARI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2" s="65" t="str">
        <f t="shared" si="6"/>
        <v>AÇIK</v>
      </c>
      <c r="U32" s="2"/>
      <c r="V32" s="2"/>
      <c r="W32" s="1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$3006,GELIR_GIDER!$V$7:$V$3006,1,GELIR_GIDER!$C$7:$C$3006,"&lt;="&amp;EOMONTH($B32,0))</f>
        <v>12263400</v>
      </c>
      <c r="Y32" s="1">
        <f t="shared" si="7"/>
        <v>0</v>
      </c>
      <c r="Z32" s="1">
        <f>SUMIFS(ORTAKLAR!$E$14:$E$33,ORTAKLAR!$B$14:$B$33,SISTEM!$C$9,ORTAKLAR!$C$14:$C$33,"&lt;="&amp;$B32,ORTAKLAR!$K$14:$K$33,"&gt;="&amp;$B32)</f>
        <v>0.5</v>
      </c>
      <c r="AA32" s="1">
        <f>SUMIFS(ORTAKLAR!$E$14:$E$33,ORTAKLAR!$B$14:$B$33,SISTEM!$C$10,ORTAKLAR!$C$14:$C$33,"&lt;="&amp;$B32,ORTAKLAR!$K$14:$K$33,"&gt;="&amp;$B32)</f>
        <v>0.5</v>
      </c>
    </row>
    <row r="33" spans="1:27" ht="18" customHeight="1" x14ac:dyDescent="0.3">
      <c r="A33" s="2"/>
      <c r="B33" s="73">
        <v>46813</v>
      </c>
      <c r="C33" s="88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$3006,GELIR_GIDER!$V$7:$V$3006,1,GELIR_GIDER!$C$7:$C$3006,"&gt;="&amp;$B33,GELIR_GIDER!$C$7:$C$3006,"&lt;"&amp;EDATE($B33,1))</f>
        <v>446000</v>
      </c>
      <c r="D33" s="88">
        <f>SUMIFS(TAHSILAT!$F$7:$F$2506,TAHSILAT!$E$7:$E$2506,"&gt;="&amp;$B33,TAHSILAT!$E$7:$E$2506,"&lt;"&amp;EDATE($B33,1),TAHSILAT!$H$7:$H$2506,"&lt;&gt;Mahsup")</f>
        <v>0</v>
      </c>
      <c r="E33" s="88">
        <f>SUMIFS(GELIR_GIDER!$G$7:$G$3006,GELIR_GIDER!$D$7:$D$3006,"Gelir",GELIR_GIDER!$C$7:$C$3006,"&gt;="&amp;$B33,GELIR_GIDER!$C$7:$C$3006,"&lt;"&amp;EDATE($B33,1),GELIR_GIDER!$I$7:$I$3006,"Evet")</f>
        <v>0</v>
      </c>
      <c r="F33" s="88">
        <f t="shared" si="1"/>
        <v>0</v>
      </c>
      <c r="G33" s="88">
        <f>SUMIFS(GELIR_GIDER!$G$7:$G$3006,GELIR_GIDER!$D$7:$D$3006,"Gider",GELIR_GIDER!$C$7:$C$3006,"&gt;="&amp;$B33,GELIR_GIDER!$C$7:$C$3006,"&lt;"&amp;EDATE($B33,1),GELIR_GIDER!$I$7:$I$3006,"Evet",GELIR_GIDER!$E$7:$E$3006,"&lt;&gt;Kâr Payı *")</f>
        <v>0</v>
      </c>
      <c r="H33" s="88">
        <f>$C33+$E33-SUMIFS(GELIR_GIDER!$G$7:$G$3006,GELIR_GIDER!$D$7:$D$3006,"Gider",GELIR_GIDER!$C$7:$C$3006,"&gt;="&amp;$B33,GELIR_GIDER!$C$7:$C$3006,"&lt;"&amp;EDATE($B33,1),GELIR_GIDER!$E$7:$E$3006,"&lt;&gt;Kâr Payı *")</f>
        <v>446000</v>
      </c>
      <c r="I33" s="88">
        <f t="shared" si="2"/>
        <v>0</v>
      </c>
      <c r="J33" s="86">
        <f t="shared" si="3"/>
        <v>0</v>
      </c>
      <c r="K33" s="88">
        <f>SISTEM!$C$13</f>
        <v>0</v>
      </c>
      <c r="L33" s="88">
        <f>MAX(0,SUM($I$7:$I33)-$K33)</f>
        <v>1020612.0199999999</v>
      </c>
      <c r="M33" s="88">
        <f t="shared" si="4"/>
        <v>0</v>
      </c>
      <c r="N33" s="88">
        <f t="shared" si="5"/>
        <v>0</v>
      </c>
      <c r="O33" s="60"/>
      <c r="P33" s="88"/>
      <c r="Q33" s="88"/>
      <c r="R33" s="88">
        <f>SUM($M$7:$M33)+SUM($N$7:$N33)-SUM($P$7:$P33)-SUM($Q$7:$Q33)</f>
        <v>1020612.0199999999</v>
      </c>
      <c r="S33" s="65" t="str">
        <f ca="1">IF($B33&gt;=DATE(YEAR(TODAY()),MONTH(TODAY()),1),"AÇIK",IF(COUNTIFS(SISTEM!$C$23:$C$70,"KRİTİK",SISTEM!$F$23:$F$70,"KALDI")&gt;0,"KAPATILAMAZ",IF(COUNTIF(SISTEM!$F$23:$F$70,"KALDI")=0,"KAPANABİLİR","UYARI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3" s="65" t="str">
        <f t="shared" si="6"/>
        <v>AÇIK</v>
      </c>
      <c r="U33" s="2"/>
      <c r="V33" s="2"/>
      <c r="W33" s="1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$3006,GELIR_GIDER!$V$7:$V$3006,1,GELIR_GIDER!$C$7:$C$3006,"&lt;="&amp;EOMONTH($B33,0))</f>
        <v>12709400</v>
      </c>
      <c r="Y33" s="1">
        <f t="shared" si="7"/>
        <v>0</v>
      </c>
      <c r="Z33" s="1">
        <f>SUMIFS(ORTAKLAR!$E$14:$E$33,ORTAKLAR!$B$14:$B$33,SISTEM!$C$9,ORTAKLAR!$C$14:$C$33,"&lt;="&amp;$B33,ORTAKLAR!$K$14:$K$33,"&gt;="&amp;$B33)</f>
        <v>0.5</v>
      </c>
      <c r="AA33" s="1">
        <f>SUMIFS(ORTAKLAR!$E$14:$E$33,ORTAKLAR!$B$14:$B$33,SISTEM!$C$10,ORTAKLAR!$C$14:$C$33,"&lt;="&amp;$B33,ORTAKLAR!$K$14:$K$33,"&gt;="&amp;$B33)</f>
        <v>0.5</v>
      </c>
    </row>
    <row r="34" spans="1:27" ht="18" customHeight="1" x14ac:dyDescent="0.3">
      <c r="A34" s="2"/>
      <c r="B34" s="73">
        <v>46844</v>
      </c>
      <c r="C34" s="88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$3006,GELIR_GIDER!$V$7:$V$3006,1,GELIR_GIDER!$C$7:$C$3006,"&gt;="&amp;$B34,GELIR_GIDER!$C$7:$C$3006,"&lt;"&amp;EDATE($B34,1))</f>
        <v>524750</v>
      </c>
      <c r="D34" s="88">
        <f>SUMIFS(TAHSILAT!$F$7:$F$2506,TAHSILAT!$E$7:$E$2506,"&gt;="&amp;$B34,TAHSILAT!$E$7:$E$2506,"&lt;"&amp;EDATE($B34,1),TAHSILAT!$H$7:$H$2506,"&lt;&gt;Mahsup")</f>
        <v>0</v>
      </c>
      <c r="E34" s="88">
        <f>SUMIFS(GELIR_GIDER!$G$7:$G$3006,GELIR_GIDER!$D$7:$D$3006,"Gelir",GELIR_GIDER!$C$7:$C$3006,"&gt;="&amp;$B34,GELIR_GIDER!$C$7:$C$3006,"&lt;"&amp;EDATE($B34,1),GELIR_GIDER!$I$7:$I$3006,"Evet")</f>
        <v>0</v>
      </c>
      <c r="F34" s="88">
        <f t="shared" si="1"/>
        <v>0</v>
      </c>
      <c r="G34" s="88">
        <f>SUMIFS(GELIR_GIDER!$G$7:$G$3006,GELIR_GIDER!$D$7:$D$3006,"Gider",GELIR_GIDER!$C$7:$C$3006,"&gt;="&amp;$B34,GELIR_GIDER!$C$7:$C$3006,"&lt;"&amp;EDATE($B34,1),GELIR_GIDER!$I$7:$I$3006,"Evet",GELIR_GIDER!$E$7:$E$3006,"&lt;&gt;Kâr Payı *")</f>
        <v>0</v>
      </c>
      <c r="H34" s="88">
        <f>$C34+$E34-SUMIFS(GELIR_GIDER!$G$7:$G$3006,GELIR_GIDER!$D$7:$D$3006,"Gider",GELIR_GIDER!$C$7:$C$3006,"&gt;="&amp;$B34,GELIR_GIDER!$C$7:$C$3006,"&lt;"&amp;EDATE($B34,1),GELIR_GIDER!$E$7:$E$3006,"&lt;&gt;Kâr Payı *")</f>
        <v>524750</v>
      </c>
      <c r="I34" s="88">
        <f t="shared" si="2"/>
        <v>0</v>
      </c>
      <c r="J34" s="86">
        <f t="shared" si="3"/>
        <v>0</v>
      </c>
      <c r="K34" s="88">
        <f>SISTEM!$C$13</f>
        <v>0</v>
      </c>
      <c r="L34" s="88">
        <f>MAX(0,SUM($I$7:$I34)-$K34)</f>
        <v>1020612.0199999999</v>
      </c>
      <c r="M34" s="88">
        <f t="shared" si="4"/>
        <v>0</v>
      </c>
      <c r="N34" s="88">
        <f t="shared" si="5"/>
        <v>0</v>
      </c>
      <c r="O34" s="60"/>
      <c r="P34" s="88"/>
      <c r="Q34" s="88"/>
      <c r="R34" s="88">
        <f>SUM($M$7:$M34)+SUM($N$7:$N34)-SUM($P$7:$P34)-SUM($Q$7:$Q34)</f>
        <v>1020612.0199999999</v>
      </c>
      <c r="S34" s="65" t="str">
        <f ca="1">IF($B34&gt;=DATE(YEAR(TODAY()),MONTH(TODAY()),1),"AÇIK",IF(COUNTIFS(SISTEM!$C$23:$C$70,"KRİTİK",SISTEM!$F$23:$F$70,"KALDI")&gt;0,"KAPATILAMAZ",IF(COUNTIF(SISTEM!$F$23:$F$70,"KALDI")=0,"KAPANABİLİR","UYARI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4" s="65" t="str">
        <f t="shared" si="6"/>
        <v>AÇIK</v>
      </c>
      <c r="U34" s="2"/>
      <c r="V34" s="2"/>
      <c r="W34" s="1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$3006,GELIR_GIDER!$V$7:$V$3006,1,GELIR_GIDER!$C$7:$C$3006,"&lt;="&amp;EOMONTH($B34,0))</f>
        <v>13234150</v>
      </c>
      <c r="Y34" s="1">
        <f t="shared" si="7"/>
        <v>0</v>
      </c>
      <c r="Z34" s="1">
        <f>SUMIFS(ORTAKLAR!$E$14:$E$33,ORTAKLAR!$B$14:$B$33,SISTEM!$C$9,ORTAKLAR!$C$14:$C$33,"&lt;="&amp;$B34,ORTAKLAR!$K$14:$K$33,"&gt;="&amp;$B34)</f>
        <v>0.5</v>
      </c>
      <c r="AA34" s="1">
        <f>SUMIFS(ORTAKLAR!$E$14:$E$33,ORTAKLAR!$B$14:$B$33,SISTEM!$C$10,ORTAKLAR!$C$14:$C$33,"&lt;="&amp;$B34,ORTAKLAR!$K$14:$K$33,"&gt;="&amp;$B34)</f>
        <v>0.5</v>
      </c>
    </row>
    <row r="35" spans="1:27" ht="18" customHeight="1" x14ac:dyDescent="0.3">
      <c r="A35" s="2"/>
      <c r="B35" s="73">
        <v>46874</v>
      </c>
      <c r="C35" s="88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$3006,GELIR_GIDER!$V$7:$V$3006,1,GELIR_GIDER!$C$7:$C$3006,"&gt;="&amp;$B35,GELIR_GIDER!$C$7:$C$3006,"&lt;"&amp;EDATE($B35,1))</f>
        <v>446000</v>
      </c>
      <c r="D35" s="88">
        <f>SUMIFS(TAHSILAT!$F$7:$F$2506,TAHSILAT!$E$7:$E$2506,"&gt;="&amp;$B35,TAHSILAT!$E$7:$E$2506,"&lt;"&amp;EDATE($B35,1),TAHSILAT!$H$7:$H$2506,"&lt;&gt;Mahsup")</f>
        <v>0</v>
      </c>
      <c r="E35" s="88">
        <f>SUMIFS(GELIR_GIDER!$G$7:$G$3006,GELIR_GIDER!$D$7:$D$3006,"Gelir",GELIR_GIDER!$C$7:$C$3006,"&gt;="&amp;$B35,GELIR_GIDER!$C$7:$C$3006,"&lt;"&amp;EDATE($B35,1),GELIR_GIDER!$I$7:$I$3006,"Evet")</f>
        <v>0</v>
      </c>
      <c r="F35" s="88">
        <f t="shared" si="1"/>
        <v>0</v>
      </c>
      <c r="G35" s="88">
        <f>SUMIFS(GELIR_GIDER!$G$7:$G$3006,GELIR_GIDER!$D$7:$D$3006,"Gider",GELIR_GIDER!$C$7:$C$3006,"&gt;="&amp;$B35,GELIR_GIDER!$C$7:$C$3006,"&lt;"&amp;EDATE($B35,1),GELIR_GIDER!$I$7:$I$3006,"Evet",GELIR_GIDER!$E$7:$E$3006,"&lt;&gt;Kâr Payı *")</f>
        <v>0</v>
      </c>
      <c r="H35" s="88">
        <f>$C35+$E35-SUMIFS(GELIR_GIDER!$G$7:$G$3006,GELIR_GIDER!$D$7:$D$3006,"Gider",GELIR_GIDER!$C$7:$C$3006,"&gt;="&amp;$B35,GELIR_GIDER!$C$7:$C$3006,"&lt;"&amp;EDATE($B35,1),GELIR_GIDER!$E$7:$E$3006,"&lt;&gt;Kâr Payı *")</f>
        <v>446000</v>
      </c>
      <c r="I35" s="88">
        <f t="shared" si="2"/>
        <v>0</v>
      </c>
      <c r="J35" s="86">
        <f t="shared" si="3"/>
        <v>0</v>
      </c>
      <c r="K35" s="88">
        <f>SISTEM!$C$13</f>
        <v>0</v>
      </c>
      <c r="L35" s="88">
        <f>MAX(0,SUM($I$7:$I35)-$K35)</f>
        <v>1020612.0199999999</v>
      </c>
      <c r="M35" s="88">
        <f t="shared" si="4"/>
        <v>0</v>
      </c>
      <c r="N35" s="88">
        <f t="shared" si="5"/>
        <v>0</v>
      </c>
      <c r="O35" s="60"/>
      <c r="P35" s="88"/>
      <c r="Q35" s="88"/>
      <c r="R35" s="88">
        <f>SUM($M$7:$M35)+SUM($N$7:$N35)-SUM($P$7:$P35)-SUM($Q$7:$Q35)</f>
        <v>1020612.0199999999</v>
      </c>
      <c r="S35" s="65" t="str">
        <f ca="1">IF($B35&gt;=DATE(YEAR(TODAY()),MONTH(TODAY()),1),"AÇIK",IF(COUNTIFS(SISTEM!$C$23:$C$70,"KRİTİK",SISTEM!$F$23:$F$70,"KALDI")&gt;0,"KAPATILAMAZ",IF(COUNTIF(SISTEM!$F$23:$F$70,"KALDI")=0,"KAPANABİLİR","UYARI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5" s="65" t="str">
        <f t="shared" si="6"/>
        <v>AÇIK</v>
      </c>
      <c r="U35" s="2"/>
      <c r="V35" s="2"/>
      <c r="W35" s="1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$3006,GELIR_GIDER!$V$7:$V$3006,1,GELIR_GIDER!$C$7:$C$3006,"&lt;="&amp;EOMONTH($B35,0))</f>
        <v>13680150</v>
      </c>
      <c r="Y35" s="1">
        <f t="shared" si="7"/>
        <v>0</v>
      </c>
      <c r="Z35" s="1">
        <f>SUMIFS(ORTAKLAR!$E$14:$E$33,ORTAKLAR!$B$14:$B$33,SISTEM!$C$9,ORTAKLAR!$C$14:$C$33,"&lt;="&amp;$B35,ORTAKLAR!$K$14:$K$33,"&gt;="&amp;$B35)</f>
        <v>0.5</v>
      </c>
      <c r="AA35" s="1">
        <f>SUMIFS(ORTAKLAR!$E$14:$E$33,ORTAKLAR!$B$14:$B$33,SISTEM!$C$10,ORTAKLAR!$C$14:$C$33,"&lt;="&amp;$B35,ORTAKLAR!$K$14:$K$33,"&gt;="&amp;$B35)</f>
        <v>0.5</v>
      </c>
    </row>
    <row r="36" spans="1:27" ht="18" customHeight="1" x14ac:dyDescent="0.3">
      <c r="A36" s="2"/>
      <c r="B36" s="73">
        <v>46905</v>
      </c>
      <c r="C36" s="88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$3006,GELIR_GIDER!$V$7:$V$3006,1,GELIR_GIDER!$C$7:$C$3006,"&gt;="&amp;$B36,GELIR_GIDER!$C$7:$C$3006,"&lt;"&amp;EDATE($B36,1))</f>
        <v>446000</v>
      </c>
      <c r="D36" s="88">
        <f>SUMIFS(TAHSILAT!$F$7:$F$2506,TAHSILAT!$E$7:$E$2506,"&gt;="&amp;$B36,TAHSILAT!$E$7:$E$2506,"&lt;"&amp;EDATE($B36,1),TAHSILAT!$H$7:$H$2506,"&lt;&gt;Mahsup")</f>
        <v>0</v>
      </c>
      <c r="E36" s="88">
        <f>SUMIFS(GELIR_GIDER!$G$7:$G$3006,GELIR_GIDER!$D$7:$D$3006,"Gelir",GELIR_GIDER!$C$7:$C$3006,"&gt;="&amp;$B36,GELIR_GIDER!$C$7:$C$3006,"&lt;"&amp;EDATE($B36,1),GELIR_GIDER!$I$7:$I$3006,"Evet")</f>
        <v>0</v>
      </c>
      <c r="F36" s="88">
        <f t="shared" si="1"/>
        <v>0</v>
      </c>
      <c r="G36" s="88">
        <f>SUMIFS(GELIR_GIDER!$G$7:$G$3006,GELIR_GIDER!$D$7:$D$3006,"Gider",GELIR_GIDER!$C$7:$C$3006,"&gt;="&amp;$B36,GELIR_GIDER!$C$7:$C$3006,"&lt;"&amp;EDATE($B36,1),GELIR_GIDER!$I$7:$I$3006,"Evet",GELIR_GIDER!$E$7:$E$3006,"&lt;&gt;Kâr Payı *")</f>
        <v>0</v>
      </c>
      <c r="H36" s="88">
        <f>$C36+$E36-SUMIFS(GELIR_GIDER!$G$7:$G$3006,GELIR_GIDER!$D$7:$D$3006,"Gider",GELIR_GIDER!$C$7:$C$3006,"&gt;="&amp;$B36,GELIR_GIDER!$C$7:$C$3006,"&lt;"&amp;EDATE($B36,1),GELIR_GIDER!$E$7:$E$3006,"&lt;&gt;Kâr Payı *")</f>
        <v>446000</v>
      </c>
      <c r="I36" s="88">
        <f t="shared" si="2"/>
        <v>0</v>
      </c>
      <c r="J36" s="86">
        <f t="shared" si="3"/>
        <v>0</v>
      </c>
      <c r="K36" s="88">
        <f>SISTEM!$C$13</f>
        <v>0</v>
      </c>
      <c r="L36" s="88">
        <f>MAX(0,SUM($I$7:$I36)-$K36)</f>
        <v>1020612.0199999999</v>
      </c>
      <c r="M36" s="88">
        <f t="shared" si="4"/>
        <v>0</v>
      </c>
      <c r="N36" s="88">
        <f t="shared" si="5"/>
        <v>0</v>
      </c>
      <c r="O36" s="60"/>
      <c r="P36" s="88"/>
      <c r="Q36" s="88"/>
      <c r="R36" s="88">
        <f>SUM($M$7:$M36)+SUM($N$7:$N36)-SUM($P$7:$P36)-SUM($Q$7:$Q36)</f>
        <v>1020612.0199999999</v>
      </c>
      <c r="S36" s="65" t="str">
        <f ca="1">IF($B36&gt;=DATE(YEAR(TODAY()),MONTH(TODAY()),1),"AÇIK",IF(COUNTIFS(SISTEM!$C$23:$C$70,"KRİTİK",SISTEM!$F$23:$F$70,"KALDI")&gt;0,"KAPATILAMAZ",IF(COUNTIF(SISTEM!$F$23:$F$70,"KALDI")=0,"KAPANABİLİR","UYARI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6" s="65" t="str">
        <f t="shared" si="6"/>
        <v>AÇIK</v>
      </c>
      <c r="U36" s="2"/>
      <c r="V36" s="2"/>
      <c r="W36" s="1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$3006,GELIR_GIDER!$V$7:$V$3006,1,GELIR_GIDER!$C$7:$C$3006,"&lt;="&amp;EOMONTH($B36,0))</f>
        <v>14126150</v>
      </c>
      <c r="Y36" s="1">
        <f t="shared" si="7"/>
        <v>0</v>
      </c>
      <c r="Z36" s="1">
        <f>SUMIFS(ORTAKLAR!$E$14:$E$33,ORTAKLAR!$B$14:$B$33,SISTEM!$C$9,ORTAKLAR!$C$14:$C$33,"&lt;="&amp;$B36,ORTAKLAR!$K$14:$K$33,"&gt;="&amp;$B36)</f>
        <v>0.5</v>
      </c>
      <c r="AA36" s="1">
        <f>SUMIFS(ORTAKLAR!$E$14:$E$33,ORTAKLAR!$B$14:$B$33,SISTEM!$C$10,ORTAKLAR!$C$14:$C$33,"&lt;="&amp;$B36,ORTAKLAR!$K$14:$K$33,"&gt;="&amp;$B36)</f>
        <v>0.5</v>
      </c>
    </row>
    <row r="37" spans="1:27" ht="18" customHeight="1" x14ac:dyDescent="0.3">
      <c r="A37" s="2"/>
      <c r="B37" s="73">
        <v>46935</v>
      </c>
      <c r="C37" s="88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$3006,GELIR_GIDER!$V$7:$V$3006,1,GELIR_GIDER!$C$7:$C$3006,"&gt;="&amp;$B37,GELIR_GIDER!$C$7:$C$3006,"&lt;"&amp;EDATE($B37,1))</f>
        <v>524750</v>
      </c>
      <c r="D37" s="88">
        <f>SUMIFS(TAHSILAT!$F$7:$F$2506,TAHSILAT!$E$7:$E$2506,"&gt;="&amp;$B37,TAHSILAT!$E$7:$E$2506,"&lt;"&amp;EDATE($B37,1),TAHSILAT!$H$7:$H$2506,"&lt;&gt;Mahsup")</f>
        <v>0</v>
      </c>
      <c r="E37" s="88">
        <f>SUMIFS(GELIR_GIDER!$G$7:$G$3006,GELIR_GIDER!$D$7:$D$3006,"Gelir",GELIR_GIDER!$C$7:$C$3006,"&gt;="&amp;$B37,GELIR_GIDER!$C$7:$C$3006,"&lt;"&amp;EDATE($B37,1),GELIR_GIDER!$I$7:$I$3006,"Evet")</f>
        <v>0</v>
      </c>
      <c r="F37" s="88">
        <f t="shared" si="1"/>
        <v>0</v>
      </c>
      <c r="G37" s="88">
        <f>SUMIFS(GELIR_GIDER!$G$7:$G$3006,GELIR_GIDER!$D$7:$D$3006,"Gider",GELIR_GIDER!$C$7:$C$3006,"&gt;="&amp;$B37,GELIR_GIDER!$C$7:$C$3006,"&lt;"&amp;EDATE($B37,1),GELIR_GIDER!$I$7:$I$3006,"Evet",GELIR_GIDER!$E$7:$E$3006,"&lt;&gt;Kâr Payı *")</f>
        <v>0</v>
      </c>
      <c r="H37" s="88">
        <f>$C37+$E37-SUMIFS(GELIR_GIDER!$G$7:$G$3006,GELIR_GIDER!$D$7:$D$3006,"Gider",GELIR_GIDER!$C$7:$C$3006,"&gt;="&amp;$B37,GELIR_GIDER!$C$7:$C$3006,"&lt;"&amp;EDATE($B37,1),GELIR_GIDER!$E$7:$E$3006,"&lt;&gt;Kâr Payı *")</f>
        <v>524750</v>
      </c>
      <c r="I37" s="88">
        <f t="shared" si="2"/>
        <v>0</v>
      </c>
      <c r="J37" s="86">
        <f t="shared" si="3"/>
        <v>0</v>
      </c>
      <c r="K37" s="88">
        <f>SISTEM!$C$13</f>
        <v>0</v>
      </c>
      <c r="L37" s="88">
        <f>MAX(0,SUM($I$7:$I37)-$K37)</f>
        <v>1020612.0199999999</v>
      </c>
      <c r="M37" s="88">
        <f t="shared" si="4"/>
        <v>0</v>
      </c>
      <c r="N37" s="88">
        <f t="shared" si="5"/>
        <v>0</v>
      </c>
      <c r="O37" s="60"/>
      <c r="P37" s="88"/>
      <c r="Q37" s="88"/>
      <c r="R37" s="88">
        <f>SUM($M$7:$M37)+SUM($N$7:$N37)-SUM($P$7:$P37)-SUM($Q$7:$Q37)</f>
        <v>1020612.0199999999</v>
      </c>
      <c r="S37" s="65" t="str">
        <f ca="1">IF($B37&gt;=DATE(YEAR(TODAY()),MONTH(TODAY()),1),"AÇIK",IF(COUNTIFS(SISTEM!$C$23:$C$70,"KRİTİK",SISTEM!$F$23:$F$70,"KALDI")&gt;0,"KAPATILAMAZ",IF(COUNTIF(SISTEM!$F$23:$F$70,"KALDI")=0,"KAPANABİLİR","UYARI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7" s="65" t="str">
        <f t="shared" si="6"/>
        <v>AÇIK</v>
      </c>
      <c r="U37" s="2"/>
      <c r="V37" s="2"/>
      <c r="W37" s="1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$3006,GELIR_GIDER!$V$7:$V$3006,1,GELIR_GIDER!$C$7:$C$3006,"&lt;="&amp;EOMONTH($B37,0))</f>
        <v>14650900</v>
      </c>
      <c r="Y37" s="1">
        <f t="shared" si="7"/>
        <v>0</v>
      </c>
      <c r="Z37" s="1">
        <f>SUMIFS(ORTAKLAR!$E$14:$E$33,ORTAKLAR!$B$14:$B$33,SISTEM!$C$9,ORTAKLAR!$C$14:$C$33,"&lt;="&amp;$B37,ORTAKLAR!$K$14:$K$33,"&gt;="&amp;$B37)</f>
        <v>0.5</v>
      </c>
      <c r="AA37" s="1">
        <f>SUMIFS(ORTAKLAR!$E$14:$E$33,ORTAKLAR!$B$14:$B$33,SISTEM!$C$10,ORTAKLAR!$C$14:$C$33,"&lt;="&amp;$B37,ORTAKLAR!$K$14:$K$33,"&gt;="&amp;$B37)</f>
        <v>0.5</v>
      </c>
    </row>
    <row r="38" spans="1:27" ht="18" customHeight="1" x14ac:dyDescent="0.3">
      <c r="A38" s="2"/>
      <c r="B38" s="73">
        <v>46966</v>
      </c>
      <c r="C38" s="88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$3006,GELIR_GIDER!$V$7:$V$3006,1,GELIR_GIDER!$C$7:$C$3006,"&gt;="&amp;$B38,GELIR_GIDER!$C$7:$C$3006,"&lt;"&amp;EDATE($B38,1))</f>
        <v>446000</v>
      </c>
      <c r="D38" s="88">
        <f>SUMIFS(TAHSILAT!$F$7:$F$2506,TAHSILAT!$E$7:$E$2506,"&gt;="&amp;$B38,TAHSILAT!$E$7:$E$2506,"&lt;"&amp;EDATE($B38,1),TAHSILAT!$H$7:$H$2506,"&lt;&gt;Mahsup")</f>
        <v>0</v>
      </c>
      <c r="E38" s="88">
        <f>SUMIFS(GELIR_GIDER!$G$7:$G$3006,GELIR_GIDER!$D$7:$D$3006,"Gelir",GELIR_GIDER!$C$7:$C$3006,"&gt;="&amp;$B38,GELIR_GIDER!$C$7:$C$3006,"&lt;"&amp;EDATE($B38,1),GELIR_GIDER!$I$7:$I$3006,"Evet")</f>
        <v>0</v>
      </c>
      <c r="F38" s="88">
        <f t="shared" si="1"/>
        <v>0</v>
      </c>
      <c r="G38" s="88">
        <f>SUMIFS(GELIR_GIDER!$G$7:$G$3006,GELIR_GIDER!$D$7:$D$3006,"Gider",GELIR_GIDER!$C$7:$C$3006,"&gt;="&amp;$B38,GELIR_GIDER!$C$7:$C$3006,"&lt;"&amp;EDATE($B38,1),GELIR_GIDER!$I$7:$I$3006,"Evet",GELIR_GIDER!$E$7:$E$3006,"&lt;&gt;Kâr Payı *")</f>
        <v>0</v>
      </c>
      <c r="H38" s="88">
        <f>$C38+$E38-SUMIFS(GELIR_GIDER!$G$7:$G$3006,GELIR_GIDER!$D$7:$D$3006,"Gider",GELIR_GIDER!$C$7:$C$3006,"&gt;="&amp;$B38,GELIR_GIDER!$C$7:$C$3006,"&lt;"&amp;EDATE($B38,1),GELIR_GIDER!$E$7:$E$3006,"&lt;&gt;Kâr Payı *")</f>
        <v>446000</v>
      </c>
      <c r="I38" s="88">
        <f t="shared" si="2"/>
        <v>0</v>
      </c>
      <c r="J38" s="86">
        <f t="shared" si="3"/>
        <v>0</v>
      </c>
      <c r="K38" s="88">
        <f>SISTEM!$C$13</f>
        <v>0</v>
      </c>
      <c r="L38" s="88">
        <f>MAX(0,SUM($I$7:$I38)-$K38)</f>
        <v>1020612.0199999999</v>
      </c>
      <c r="M38" s="88">
        <f t="shared" si="4"/>
        <v>0</v>
      </c>
      <c r="N38" s="88">
        <f t="shared" si="5"/>
        <v>0</v>
      </c>
      <c r="O38" s="60"/>
      <c r="P38" s="88"/>
      <c r="Q38" s="88"/>
      <c r="R38" s="88">
        <f>SUM($M$7:$M38)+SUM($N$7:$N38)-SUM($P$7:$P38)-SUM($Q$7:$Q38)</f>
        <v>1020612.0199999999</v>
      </c>
      <c r="S38" s="65" t="str">
        <f ca="1">IF($B38&gt;=DATE(YEAR(TODAY()),MONTH(TODAY()),1),"AÇIK",IF(COUNTIFS(SISTEM!$C$23:$C$70,"KRİTİK",SISTEM!$F$23:$F$70,"KALDI")&gt;0,"KAPATILAMAZ",IF(COUNTIF(SISTEM!$F$23:$F$70,"KALDI")=0,"KAPANABİLİR","UYARI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8" s="65" t="str">
        <f t="shared" si="6"/>
        <v>AÇIK</v>
      </c>
      <c r="U38" s="2"/>
      <c r="V38" s="2"/>
      <c r="W38" s="1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$3006,GELIR_GIDER!$V$7:$V$3006,1,GELIR_GIDER!$C$7:$C$3006,"&lt;="&amp;EOMONTH($B38,0))</f>
        <v>15096900</v>
      </c>
      <c r="Y38" s="1">
        <f t="shared" si="7"/>
        <v>0</v>
      </c>
      <c r="Z38" s="1">
        <f>SUMIFS(ORTAKLAR!$E$14:$E$33,ORTAKLAR!$B$14:$B$33,SISTEM!$C$9,ORTAKLAR!$C$14:$C$33,"&lt;="&amp;$B38,ORTAKLAR!$K$14:$K$33,"&gt;="&amp;$B38)</f>
        <v>0.5</v>
      </c>
      <c r="AA38" s="1">
        <f>SUMIFS(ORTAKLAR!$E$14:$E$33,ORTAKLAR!$B$14:$B$33,SISTEM!$C$10,ORTAKLAR!$C$14:$C$33,"&lt;="&amp;$B38,ORTAKLAR!$K$14:$K$33,"&gt;="&amp;$B38)</f>
        <v>0.5</v>
      </c>
    </row>
    <row r="39" spans="1:27" ht="18" customHeight="1" x14ac:dyDescent="0.3">
      <c r="A39" s="2"/>
      <c r="B39" s="73">
        <v>46997</v>
      </c>
      <c r="C39" s="88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$3006,GELIR_GIDER!$V$7:$V$3006,1,GELIR_GIDER!$C$7:$C$3006,"&gt;="&amp;$B39,GELIR_GIDER!$C$7:$C$3006,"&lt;"&amp;EDATE($B39,1))</f>
        <v>524750</v>
      </c>
      <c r="D39" s="88">
        <f>SUMIFS(TAHSILAT!$F$7:$F$2506,TAHSILAT!$E$7:$E$2506,"&gt;="&amp;$B39,TAHSILAT!$E$7:$E$2506,"&lt;"&amp;EDATE($B39,1),TAHSILAT!$H$7:$H$2506,"&lt;&gt;Mahsup")</f>
        <v>0</v>
      </c>
      <c r="E39" s="88">
        <f>SUMIFS(GELIR_GIDER!$G$7:$G$3006,GELIR_GIDER!$D$7:$D$3006,"Gelir",GELIR_GIDER!$C$7:$C$3006,"&gt;="&amp;$B39,GELIR_GIDER!$C$7:$C$3006,"&lt;"&amp;EDATE($B39,1),GELIR_GIDER!$I$7:$I$3006,"Evet")</f>
        <v>0</v>
      </c>
      <c r="F39" s="88">
        <f t="shared" si="1"/>
        <v>0</v>
      </c>
      <c r="G39" s="88">
        <f>SUMIFS(GELIR_GIDER!$G$7:$G$3006,GELIR_GIDER!$D$7:$D$3006,"Gider",GELIR_GIDER!$C$7:$C$3006,"&gt;="&amp;$B39,GELIR_GIDER!$C$7:$C$3006,"&lt;"&amp;EDATE($B39,1),GELIR_GIDER!$I$7:$I$3006,"Evet",GELIR_GIDER!$E$7:$E$3006,"&lt;&gt;Kâr Payı *")</f>
        <v>0</v>
      </c>
      <c r="H39" s="88">
        <f>$C39+$E39-SUMIFS(GELIR_GIDER!$G$7:$G$3006,GELIR_GIDER!$D$7:$D$3006,"Gider",GELIR_GIDER!$C$7:$C$3006,"&gt;="&amp;$B39,GELIR_GIDER!$C$7:$C$3006,"&lt;"&amp;EDATE($B39,1),GELIR_GIDER!$E$7:$E$3006,"&lt;&gt;Kâr Payı *")</f>
        <v>524750</v>
      </c>
      <c r="I39" s="88">
        <f t="shared" si="2"/>
        <v>0</v>
      </c>
      <c r="J39" s="86">
        <f t="shared" si="3"/>
        <v>0</v>
      </c>
      <c r="K39" s="88">
        <f>SISTEM!$C$13</f>
        <v>0</v>
      </c>
      <c r="L39" s="88">
        <f>MAX(0,SUM($I$7:$I39)-$K39)</f>
        <v>1020612.0199999999</v>
      </c>
      <c r="M39" s="88">
        <f t="shared" si="4"/>
        <v>0</v>
      </c>
      <c r="N39" s="88">
        <f t="shared" si="5"/>
        <v>0</v>
      </c>
      <c r="O39" s="60"/>
      <c r="P39" s="88"/>
      <c r="Q39" s="88"/>
      <c r="R39" s="88">
        <f>SUM($M$7:$M39)+SUM($N$7:$N39)-SUM($P$7:$P39)-SUM($Q$7:$Q39)</f>
        <v>1020612.0199999999</v>
      </c>
      <c r="S39" s="65" t="str">
        <f ca="1">IF($B39&gt;=DATE(YEAR(TODAY()),MONTH(TODAY()),1),"AÇIK",IF(COUNTIFS(SISTEM!$C$23:$C$70,"KRİTİK",SISTEM!$F$23:$F$70,"KALDI")&gt;0,"KAPATILAMAZ",IF(COUNTIF(SISTEM!$F$23:$F$70,"KALDI")=0,"KAPANABİLİR","UYARI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9" s="65" t="str">
        <f t="shared" si="6"/>
        <v>AÇIK</v>
      </c>
      <c r="U39" s="2"/>
      <c r="V39" s="2"/>
      <c r="W39" s="1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$3006,GELIR_GIDER!$V$7:$V$3006,1,GELIR_GIDER!$C$7:$C$3006,"&lt;="&amp;EOMONTH($B39,0))</f>
        <v>15621650</v>
      </c>
      <c r="Y39" s="1">
        <f t="shared" si="7"/>
        <v>0</v>
      </c>
      <c r="Z39" s="1">
        <f>SUMIFS(ORTAKLAR!$E$14:$E$33,ORTAKLAR!$B$14:$B$33,SISTEM!$C$9,ORTAKLAR!$C$14:$C$33,"&lt;="&amp;$B39,ORTAKLAR!$K$14:$K$33,"&gt;="&amp;$B39)</f>
        <v>0.5</v>
      </c>
      <c r="AA39" s="1">
        <f>SUMIFS(ORTAKLAR!$E$14:$E$33,ORTAKLAR!$B$14:$B$33,SISTEM!$C$10,ORTAKLAR!$C$14:$C$33,"&lt;="&amp;$B39,ORTAKLAR!$K$14:$K$33,"&gt;="&amp;$B39)</f>
        <v>0.5</v>
      </c>
    </row>
    <row r="40" spans="1:27" ht="18" customHeight="1" x14ac:dyDescent="0.3">
      <c r="A40" s="2"/>
      <c r="B40" s="73">
        <v>47027</v>
      </c>
      <c r="C40" s="88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$3006,GELIR_GIDER!$V$7:$V$3006,1,GELIR_GIDER!$C$7:$C$3006,"&gt;="&amp;$B40,GELIR_GIDER!$C$7:$C$3006,"&lt;"&amp;EDATE($B40,1))</f>
        <v>446000</v>
      </c>
      <c r="D40" s="88">
        <f>SUMIFS(TAHSILAT!$F$7:$F$2506,TAHSILAT!$E$7:$E$2506,"&gt;="&amp;$B40,TAHSILAT!$E$7:$E$2506,"&lt;"&amp;EDATE($B40,1),TAHSILAT!$H$7:$H$2506,"&lt;&gt;Mahsup")</f>
        <v>0</v>
      </c>
      <c r="E40" s="88">
        <f>SUMIFS(GELIR_GIDER!$G$7:$G$3006,GELIR_GIDER!$D$7:$D$3006,"Gelir",GELIR_GIDER!$C$7:$C$3006,"&gt;="&amp;$B40,GELIR_GIDER!$C$7:$C$3006,"&lt;"&amp;EDATE($B40,1),GELIR_GIDER!$I$7:$I$3006,"Evet")</f>
        <v>0</v>
      </c>
      <c r="F40" s="88">
        <f t="shared" si="1"/>
        <v>0</v>
      </c>
      <c r="G40" s="88">
        <f>SUMIFS(GELIR_GIDER!$G$7:$G$3006,GELIR_GIDER!$D$7:$D$3006,"Gider",GELIR_GIDER!$C$7:$C$3006,"&gt;="&amp;$B40,GELIR_GIDER!$C$7:$C$3006,"&lt;"&amp;EDATE($B40,1),GELIR_GIDER!$I$7:$I$3006,"Evet",GELIR_GIDER!$E$7:$E$3006,"&lt;&gt;Kâr Payı *")</f>
        <v>0</v>
      </c>
      <c r="H40" s="88">
        <f>$C40+$E40-SUMIFS(GELIR_GIDER!$G$7:$G$3006,GELIR_GIDER!$D$7:$D$3006,"Gider",GELIR_GIDER!$C$7:$C$3006,"&gt;="&amp;$B40,GELIR_GIDER!$C$7:$C$3006,"&lt;"&amp;EDATE($B40,1),GELIR_GIDER!$E$7:$E$3006,"&lt;&gt;Kâr Payı *")</f>
        <v>446000</v>
      </c>
      <c r="I40" s="88">
        <f t="shared" si="2"/>
        <v>0</v>
      </c>
      <c r="J40" s="86">
        <f t="shared" si="3"/>
        <v>0</v>
      </c>
      <c r="K40" s="88">
        <f>SISTEM!$C$13</f>
        <v>0</v>
      </c>
      <c r="L40" s="88">
        <f>MAX(0,SUM($I$7:$I40)-$K40)</f>
        <v>1020612.0199999999</v>
      </c>
      <c r="M40" s="88">
        <f t="shared" si="4"/>
        <v>0</v>
      </c>
      <c r="N40" s="88">
        <f t="shared" si="5"/>
        <v>0</v>
      </c>
      <c r="O40" s="60"/>
      <c r="P40" s="88"/>
      <c r="Q40" s="88"/>
      <c r="R40" s="88">
        <f>SUM($M$7:$M40)+SUM($N$7:$N40)-SUM($P$7:$P40)-SUM($Q$7:$Q40)</f>
        <v>1020612.0199999999</v>
      </c>
      <c r="S40" s="65" t="str">
        <f ca="1">IF($B40&gt;=DATE(YEAR(TODAY()),MONTH(TODAY()),1),"AÇIK",IF(COUNTIFS(SISTEM!$C$23:$C$70,"KRİTİK",SISTEM!$F$23:$F$70,"KALDI")&gt;0,"KAPATILAMAZ",IF(COUNTIF(SISTEM!$F$23:$F$70,"KALDI")=0,"KAPANABİLİR","UYARI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40" s="65" t="str">
        <f t="shared" si="6"/>
        <v>AÇIK</v>
      </c>
      <c r="U40" s="2"/>
      <c r="V40" s="2"/>
      <c r="W40" s="1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$3006,GELIR_GIDER!$V$7:$V$3006,1,GELIR_GIDER!$C$7:$C$3006,"&lt;="&amp;EOMONTH($B40,0))</f>
        <v>16067650</v>
      </c>
      <c r="Y40" s="1">
        <f t="shared" si="7"/>
        <v>0</v>
      </c>
      <c r="Z40" s="1">
        <f>SUMIFS(ORTAKLAR!$E$14:$E$33,ORTAKLAR!$B$14:$B$33,SISTEM!$C$9,ORTAKLAR!$C$14:$C$33,"&lt;="&amp;$B40,ORTAKLAR!$K$14:$K$33,"&gt;="&amp;$B40)</f>
        <v>0.5</v>
      </c>
      <c r="AA40" s="1">
        <f>SUMIFS(ORTAKLAR!$E$14:$E$33,ORTAKLAR!$B$14:$B$33,SISTEM!$C$10,ORTAKLAR!$C$14:$C$33,"&lt;="&amp;$B40,ORTAKLAR!$K$14:$K$33,"&gt;="&amp;$B40)</f>
        <v>0.5</v>
      </c>
    </row>
    <row r="41" spans="1:27" ht="18" customHeight="1" x14ac:dyDescent="0.3">
      <c r="A41" s="2"/>
      <c r="B41" s="73">
        <v>47058</v>
      </c>
      <c r="C41" s="88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$3006,GELIR_GIDER!$V$7:$V$3006,1,GELIR_GIDER!$C$7:$C$3006,"&gt;="&amp;$B41,GELIR_GIDER!$C$7:$C$3006,"&lt;"&amp;EDATE($B41,1))</f>
        <v>446000</v>
      </c>
      <c r="D41" s="88">
        <f>SUMIFS(TAHSILAT!$F$7:$F$2506,TAHSILAT!$E$7:$E$2506,"&gt;="&amp;$B41,TAHSILAT!$E$7:$E$2506,"&lt;"&amp;EDATE($B41,1),TAHSILAT!$H$7:$H$2506,"&lt;&gt;Mahsup")</f>
        <v>0</v>
      </c>
      <c r="E41" s="88">
        <f>SUMIFS(GELIR_GIDER!$G$7:$G$3006,GELIR_GIDER!$D$7:$D$3006,"Gelir",GELIR_GIDER!$C$7:$C$3006,"&gt;="&amp;$B41,GELIR_GIDER!$C$7:$C$3006,"&lt;"&amp;EDATE($B41,1),GELIR_GIDER!$I$7:$I$3006,"Evet")</f>
        <v>0</v>
      </c>
      <c r="F41" s="88">
        <f t="shared" si="1"/>
        <v>0</v>
      </c>
      <c r="G41" s="88">
        <f>SUMIFS(GELIR_GIDER!$G$7:$G$3006,GELIR_GIDER!$D$7:$D$3006,"Gider",GELIR_GIDER!$C$7:$C$3006,"&gt;="&amp;$B41,GELIR_GIDER!$C$7:$C$3006,"&lt;"&amp;EDATE($B41,1),GELIR_GIDER!$I$7:$I$3006,"Evet",GELIR_GIDER!$E$7:$E$3006,"&lt;&gt;Kâr Payı *")</f>
        <v>0</v>
      </c>
      <c r="H41" s="88">
        <f>$C41+$E41-SUMIFS(GELIR_GIDER!$G$7:$G$3006,GELIR_GIDER!$D$7:$D$3006,"Gider",GELIR_GIDER!$C$7:$C$3006,"&gt;="&amp;$B41,GELIR_GIDER!$C$7:$C$3006,"&lt;"&amp;EDATE($B41,1),GELIR_GIDER!$E$7:$E$3006,"&lt;&gt;Kâr Payı *")</f>
        <v>446000</v>
      </c>
      <c r="I41" s="88">
        <f t="shared" si="2"/>
        <v>0</v>
      </c>
      <c r="J41" s="86">
        <f t="shared" si="3"/>
        <v>0</v>
      </c>
      <c r="K41" s="88">
        <f>SISTEM!$C$13</f>
        <v>0</v>
      </c>
      <c r="L41" s="88">
        <f>MAX(0,SUM($I$7:$I41)-$K41)</f>
        <v>1020612.0199999999</v>
      </c>
      <c r="M41" s="88">
        <f t="shared" si="4"/>
        <v>0</v>
      </c>
      <c r="N41" s="88">
        <f t="shared" si="5"/>
        <v>0</v>
      </c>
      <c r="O41" s="60"/>
      <c r="P41" s="88"/>
      <c r="Q41" s="88"/>
      <c r="R41" s="88">
        <f>SUM($M$7:$M41)+SUM($N$7:$N41)-SUM($P$7:$P41)-SUM($Q$7:$Q41)</f>
        <v>1020612.0199999999</v>
      </c>
      <c r="S41" s="65" t="str">
        <f ca="1">IF($B41&gt;=DATE(YEAR(TODAY()),MONTH(TODAY()),1),"AÇIK",IF(COUNTIFS(SISTEM!$C$23:$C$70,"KRİTİK",SISTEM!$F$23:$F$70,"KALDI")&gt;0,"KAPATILAMAZ",IF(COUNTIF(SISTEM!$F$23:$F$70,"KALDI")=0,"KAPANABİLİR","UYARI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41" s="65" t="str">
        <f t="shared" si="6"/>
        <v>AÇIK</v>
      </c>
      <c r="U41" s="2"/>
      <c r="V41" s="2"/>
      <c r="W41" s="1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$3006,GELIR_GIDER!$V$7:$V$3006,1,GELIR_GIDER!$C$7:$C$3006,"&lt;="&amp;EOMONTH($B41,0))</f>
        <v>16513650</v>
      </c>
      <c r="Y41" s="1">
        <f t="shared" si="7"/>
        <v>0</v>
      </c>
      <c r="Z41" s="1">
        <f>SUMIFS(ORTAKLAR!$E$14:$E$33,ORTAKLAR!$B$14:$B$33,SISTEM!$C$9,ORTAKLAR!$C$14:$C$33,"&lt;="&amp;$B41,ORTAKLAR!$K$14:$K$33,"&gt;="&amp;$B41)</f>
        <v>0.5</v>
      </c>
      <c r="AA41" s="1">
        <f>SUMIFS(ORTAKLAR!$E$14:$E$33,ORTAKLAR!$B$14:$B$33,SISTEM!$C$10,ORTAKLAR!$C$14:$C$33,"&lt;="&amp;$B41,ORTAKLAR!$K$14:$K$33,"&gt;="&amp;$B41)</f>
        <v>0.5</v>
      </c>
    </row>
    <row r="42" spans="1:27" ht="18" customHeight="1" x14ac:dyDescent="0.3">
      <c r="A42" s="2"/>
      <c r="B42" s="73">
        <v>47088</v>
      </c>
      <c r="C42" s="88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$3006,GELIR_GIDER!$V$7:$V$3006,1,GELIR_GIDER!$C$7:$C$3006,"&gt;="&amp;$B42,GELIR_GIDER!$C$7:$C$3006,"&lt;"&amp;EDATE($B42,1))</f>
        <v>524750</v>
      </c>
      <c r="D42" s="88">
        <f>SUMIFS(TAHSILAT!$F$7:$F$2506,TAHSILAT!$E$7:$E$2506,"&gt;="&amp;$B42,TAHSILAT!$E$7:$E$2506,"&lt;"&amp;EDATE($B42,1),TAHSILAT!$H$7:$H$2506,"&lt;&gt;Mahsup")</f>
        <v>0</v>
      </c>
      <c r="E42" s="88">
        <f>SUMIFS(GELIR_GIDER!$G$7:$G$3006,GELIR_GIDER!$D$7:$D$3006,"Gelir",GELIR_GIDER!$C$7:$C$3006,"&gt;="&amp;$B42,GELIR_GIDER!$C$7:$C$3006,"&lt;"&amp;EDATE($B42,1),GELIR_GIDER!$I$7:$I$3006,"Evet")</f>
        <v>0</v>
      </c>
      <c r="F42" s="88">
        <f t="shared" si="1"/>
        <v>0</v>
      </c>
      <c r="G42" s="88">
        <f>SUMIFS(GELIR_GIDER!$G$7:$G$3006,GELIR_GIDER!$D$7:$D$3006,"Gider",GELIR_GIDER!$C$7:$C$3006,"&gt;="&amp;$B42,GELIR_GIDER!$C$7:$C$3006,"&lt;"&amp;EDATE($B42,1),GELIR_GIDER!$I$7:$I$3006,"Evet",GELIR_GIDER!$E$7:$E$3006,"&lt;&gt;Kâr Payı *")</f>
        <v>0</v>
      </c>
      <c r="H42" s="88">
        <f>$C42+$E42-SUMIFS(GELIR_GIDER!$G$7:$G$3006,GELIR_GIDER!$D$7:$D$3006,"Gider",GELIR_GIDER!$C$7:$C$3006,"&gt;="&amp;$B42,GELIR_GIDER!$C$7:$C$3006,"&lt;"&amp;EDATE($B42,1),GELIR_GIDER!$E$7:$E$3006,"&lt;&gt;Kâr Payı *")</f>
        <v>524750</v>
      </c>
      <c r="I42" s="88">
        <f t="shared" si="2"/>
        <v>0</v>
      </c>
      <c r="J42" s="86">
        <f t="shared" si="3"/>
        <v>0</v>
      </c>
      <c r="K42" s="88">
        <f>SISTEM!$C$13</f>
        <v>0</v>
      </c>
      <c r="L42" s="88">
        <f>MAX(0,SUM($I$7:$I42)-$K42)</f>
        <v>1020612.0199999999</v>
      </c>
      <c r="M42" s="88">
        <f t="shared" si="4"/>
        <v>0</v>
      </c>
      <c r="N42" s="88">
        <f t="shared" si="5"/>
        <v>0</v>
      </c>
      <c r="O42" s="60"/>
      <c r="P42" s="88"/>
      <c r="Q42" s="88"/>
      <c r="R42" s="88">
        <f>SUM($M$7:$M42)+SUM($N$7:$N42)-SUM($P$7:$P42)-SUM($Q$7:$Q42)</f>
        <v>1020612.0199999999</v>
      </c>
      <c r="S42" s="65" t="str">
        <f ca="1">IF($B42&gt;=DATE(YEAR(TODAY()),MONTH(TODAY()),1),"AÇIK",IF(COUNTIFS(SISTEM!$C$23:$C$70,"KRİTİK",SISTEM!$F$23:$F$70,"KALDI")&gt;0,"KAPATILAMAZ",IF(COUNTIF(SISTEM!$F$23:$F$70,"KALDI")=0,"KAPANABİLİR","UYARI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42" s="65" t="str">
        <f t="shared" si="6"/>
        <v>AÇIK</v>
      </c>
      <c r="U42" s="2"/>
      <c r="V42" s="2"/>
      <c r="W42" s="1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$3006,GELIR_GIDER!$V$7:$V$3006,1,GELIR_GIDER!$C$7:$C$3006,"&lt;="&amp;EOMONTH($B42,0))</f>
        <v>17038400</v>
      </c>
      <c r="Y42" s="1">
        <f t="shared" si="7"/>
        <v>0</v>
      </c>
      <c r="Z42" s="1">
        <f>SUMIFS(ORTAKLAR!$E$14:$E$33,ORTAKLAR!$B$14:$B$33,SISTEM!$C$9,ORTAKLAR!$C$14:$C$33,"&lt;="&amp;$B42,ORTAKLAR!$K$14:$K$33,"&gt;="&amp;$B42)</f>
        <v>0.5</v>
      </c>
      <c r="AA42" s="1">
        <f>SUMIFS(ORTAKLAR!$E$14:$E$33,ORTAKLAR!$B$14:$B$33,SISTEM!$C$10,ORTAKLAR!$C$14:$C$33,"&lt;="&amp;$B42,ORTAKLAR!$K$14:$K$33,"&gt;="&amp;$B42)</f>
        <v>0.5</v>
      </c>
    </row>
    <row r="43" spans="1:27" ht="18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1"/>
      <c r="Y43" s="1"/>
      <c r="Z43" s="1"/>
      <c r="AA43" s="1"/>
    </row>
    <row r="44" spans="1:27" ht="18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1"/>
      <c r="Y44" s="1"/>
      <c r="Z44" s="1"/>
      <c r="AA44" s="1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F1:T1"/>
    <mergeCell ref="A2:T2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E22CE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sqref="A1:E1"/>
    </sheetView>
  </sheetViews>
  <sheetFormatPr defaultColWidth="8.5703125" defaultRowHeight="14.25" x14ac:dyDescent="0.25"/>
  <cols>
    <col min="1" max="1" width="2.42578125" customWidth="1"/>
    <col min="2" max="2" width="26" customWidth="1"/>
    <col min="3" max="3" width="18" customWidth="1"/>
    <col min="4" max="4" width="12" customWidth="1"/>
    <col min="5" max="5" width="16" customWidth="1"/>
    <col min="6" max="6" width="32" customWidth="1"/>
    <col min="7" max="8" width="18" customWidth="1"/>
    <col min="9" max="9" width="20" customWidth="1"/>
    <col min="10" max="10" width="2.42578125" customWidth="1"/>
    <col min="11" max="11" width="2.42578125" hidden="1" customWidth="1"/>
    <col min="12" max="12" width="18" customWidth="1"/>
    <col min="13" max="23" width="13" hidden="1" customWidth="1"/>
  </cols>
  <sheetData>
    <row r="1" spans="1:23" ht="37.5" customHeight="1" x14ac:dyDescent="0.3">
      <c r="A1" s="169" t="s">
        <v>951</v>
      </c>
      <c r="B1" s="169"/>
      <c r="C1" s="169"/>
      <c r="D1" s="169"/>
      <c r="E1" s="169"/>
      <c r="F1" s="151" t="s">
        <v>971</v>
      </c>
      <c r="G1" s="151"/>
      <c r="H1" s="151"/>
      <c r="I1" s="15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170" t="s">
        <v>972</v>
      </c>
      <c r="B2" s="170"/>
      <c r="C2" s="170"/>
      <c r="D2" s="170"/>
      <c r="E2" s="170"/>
      <c r="F2" s="170"/>
      <c r="G2" s="170"/>
      <c r="H2" s="170"/>
      <c r="I2" s="17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973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89" t="str">
        <f>HYPERLINK("#ORTAKLAR!B5","▸ 1  Ortak Tanımları")</f>
        <v>▸ 1  Ortak Tanımları</v>
      </c>
      <c r="E4" s="89" t="str">
        <f>HYPERLINK("#ORTAKLAR!B12","▸ 2  Pay Oranları")</f>
        <v>▸ 2  Pay Oranları</v>
      </c>
      <c r="F4" s="90" t="str">
        <f>HYPERLINK("#ORTAKLAR!B35","▸ 3  CARİ EKSTRE")</f>
        <v>▸ 3  CARİ EKSTRE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IFERROR(MATCH($C$36,$B$7:$B$10,0),0)</f>
        <v>1</v>
      </c>
      <c r="V4" s="1"/>
      <c r="W4" s="1"/>
    </row>
    <row r="5" spans="1:23" ht="27.75" customHeight="1" x14ac:dyDescent="0.3">
      <c r="A5" s="2"/>
      <c r="B5" s="127" t="s">
        <v>974</v>
      </c>
      <c r="C5" s="127"/>
      <c r="D5" s="127"/>
      <c r="E5" s="127"/>
      <c r="F5" s="127"/>
      <c r="G5" s="127"/>
      <c r="H5" s="127"/>
      <c r="I5" s="127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IF($U$4=0,"",IF($C$36=SISTEM!$C$9,"M",IF($C$36=SISTEM!$C$10,"N","")))</f>
        <v>M</v>
      </c>
      <c r="V5" s="1"/>
      <c r="W5" s="1"/>
    </row>
    <row r="6" spans="1:23" ht="33.75" customHeight="1" x14ac:dyDescent="0.3">
      <c r="A6" s="2"/>
      <c r="B6" s="57" t="s">
        <v>975</v>
      </c>
      <c r="C6" s="57" t="s">
        <v>976</v>
      </c>
      <c r="D6" s="57" t="s">
        <v>553</v>
      </c>
      <c r="E6" s="57" t="s">
        <v>977</v>
      </c>
      <c r="F6" s="57" t="s">
        <v>978</v>
      </c>
      <c r="G6" s="57" t="s">
        <v>979</v>
      </c>
      <c r="H6" s="57" t="s">
        <v>980</v>
      </c>
      <c r="I6" s="57" t="s">
        <v>981</v>
      </c>
      <c r="J6" s="2"/>
      <c r="K6" s="2"/>
      <c r="L6" s="91" t="s">
        <v>162</v>
      </c>
      <c r="M6" s="1"/>
      <c r="N6" s="1"/>
      <c r="O6" s="1"/>
      <c r="P6" s="1"/>
      <c r="Q6" s="1"/>
      <c r="R6" s="1"/>
      <c r="S6" s="1"/>
      <c r="T6" s="1"/>
      <c r="U6" s="1" t="str">
        <f>IF($U$4=0,"",INDEX($F$7:$F$10,$U$4))</f>
        <v>Kâr Payı – ALİ KILIÇ</v>
      </c>
      <c r="V6" s="1"/>
      <c r="W6" s="1"/>
    </row>
    <row r="7" spans="1:23" ht="19.5" customHeight="1" x14ac:dyDescent="0.3">
      <c r="A7" s="2"/>
      <c r="B7" s="61" t="s">
        <v>946</v>
      </c>
      <c r="C7" s="60" t="s">
        <v>946</v>
      </c>
      <c r="D7" s="60" t="s">
        <v>567</v>
      </c>
      <c r="E7" s="68">
        <f>IF($B7="","",IFERROR(INDEX(HESAPLAR!$K$7:$K$16,MATCH($C7,HESAPLAR!$B$7:$B$16,0)),0))</f>
        <v>0</v>
      </c>
      <c r="F7" s="61" t="s">
        <v>982</v>
      </c>
      <c r="G7" s="68">
        <f>IF($B7="","",IF($B7=SISTEM!$C$9,SUM(AY_SONU!$M$7:$M$42),IF($B7=SISTEM!$C$10,SUM(AY_SONU!$N$7:$N$42),0)))</f>
        <v>510306.00999999995</v>
      </c>
      <c r="H7" s="68">
        <f>IF($B7="","",SUMIFS(GELIR_GIDER!$G$7:$G$3006,GELIR_GIDER!$E$7:$E$3006,$F7))</f>
        <v>0</v>
      </c>
      <c r="I7" s="92">
        <f>IF($B7="","",$G7-$H7)</f>
        <v>510306.00999999995</v>
      </c>
      <c r="J7" s="2"/>
      <c r="K7" s="2"/>
      <c r="L7" s="93" t="str">
        <f>IF($B7="","",IF($F7="","KALEM SEÇİLMEDİ",IF(COUNTIF($F$7:$F$10,$F7)&gt;1,"KALEM ÇAKIŞMASI","UYGUN")))</f>
        <v>UYGUN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customHeight="1" x14ac:dyDescent="0.3">
      <c r="A8" s="2"/>
      <c r="B8" s="61" t="s">
        <v>715</v>
      </c>
      <c r="C8" s="60" t="s">
        <v>715</v>
      </c>
      <c r="D8" s="60" t="s">
        <v>567</v>
      </c>
      <c r="E8" s="68">
        <f>IF($B8="","",IFERROR(INDEX(HESAPLAR!$K$7:$K$16,MATCH($C8,HESAPLAR!$B$7:$B$16,0)),0))</f>
        <v>741650</v>
      </c>
      <c r="F8" s="61" t="s">
        <v>983</v>
      </c>
      <c r="G8" s="68">
        <f>IF($B8="","",IF($B8=SISTEM!$C$9,SUM(AY_SONU!$M$7:$M$42),IF($B8=SISTEM!$C$10,SUM(AY_SONU!$N$7:$N$42),0)))</f>
        <v>510306.00999999995</v>
      </c>
      <c r="H8" s="68">
        <f>IF($B8="","",SUMIFS(GELIR_GIDER!$G$7:$G$3006,GELIR_GIDER!$E$7:$E$3006,$F8))</f>
        <v>0</v>
      </c>
      <c r="I8" s="92">
        <f>IF($B8="","",$G8-$H8)</f>
        <v>510306.00999999995</v>
      </c>
      <c r="J8" s="2"/>
      <c r="K8" s="2"/>
      <c r="L8" s="93" t="str">
        <f>IF($B8="","",IF($F8="","KALEM SEÇİLMEDİ",IF(COUNTIF($F$7:$F$10,$F8)&gt;1,"KALEM ÇAKIŞMASI","UYGUN")))</f>
        <v>UYGUN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customHeight="1" x14ac:dyDescent="0.3">
      <c r="A9" s="2"/>
      <c r="B9" s="61"/>
      <c r="C9" s="60"/>
      <c r="D9" s="60"/>
      <c r="E9" s="68" t="str">
        <f>IF($B9="","",IFERROR(INDEX(HESAPLAR!$K$7:$K$16,MATCH($C9,HESAPLAR!$B$7:$B$16,0)),0))</f>
        <v/>
      </c>
      <c r="F9" s="61"/>
      <c r="G9" s="68" t="str">
        <f>IF($B9="","",IF($B9=SISTEM!$C$9,SUM(AY_SONU!$M$7:$M$42),IF($B9=SISTEM!$C$10,SUM(AY_SONU!$N$7:$N$42),0)))</f>
        <v/>
      </c>
      <c r="H9" s="68" t="str">
        <f>IF($B9="","",SUMIFS(GELIR_GIDER!$G$7:$G$3006,GELIR_GIDER!$E$7:$E$3006,$F9))</f>
        <v/>
      </c>
      <c r="I9" s="92" t="str">
        <f>IF($B9="","",$G9-$H9)</f>
        <v/>
      </c>
      <c r="J9" s="2"/>
      <c r="K9" s="2"/>
      <c r="L9" s="93" t="str">
        <f>IF($B9="","",IF($F9="","KALEM SEÇİLMEDİ",IF(COUNTIF($F$7:$F$10,$F9)&gt;1,"KALEM ÇAKIŞMASI","UYGUN")))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3">
      <c r="A10" s="2"/>
      <c r="B10" s="61"/>
      <c r="C10" s="60"/>
      <c r="D10" s="60"/>
      <c r="E10" s="68" t="str">
        <f>IF($B10="","",IFERROR(INDEX(HESAPLAR!$K$7:$K$16,MATCH($C10,HESAPLAR!$B$7:$B$16,0)),0))</f>
        <v/>
      </c>
      <c r="F10" s="61"/>
      <c r="G10" s="68" t="str">
        <f>IF($B10="","",IF($B10=SISTEM!$C$9,SUM(AY_SONU!$M$7:$M$42),IF($B10=SISTEM!$C$10,SUM(AY_SONU!$N$7:$N$42),0)))</f>
        <v/>
      </c>
      <c r="H10" s="68" t="str">
        <f>IF($B10="","",SUMIFS(GELIR_GIDER!$G$7:$G$3006,GELIR_GIDER!$E$7:$E$3006,$F10))</f>
        <v/>
      </c>
      <c r="I10" s="92" t="str">
        <f>IF($B10="","",$G10-$H10)</f>
        <v/>
      </c>
      <c r="J10" s="2"/>
      <c r="K10" s="2"/>
      <c r="L10" s="93" t="str">
        <f>IF($B10="","",IF($F10="","KALEM SEÇİLMEDİ",IF(COUNTIF($F$7:$F$10,$F10)&gt;1,"KALEM ÇAKIŞMASI","UYGUN")))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3">
      <c r="A11" s="2"/>
      <c r="B11" s="173" t="str">
        <f>"▪  ELINDEKİ KASA = ofisin parası, ortağın elinde duruyor (ortağın kendi parası DEĞİL).   ▪  KALAN ALACAK = hak ettiği ama henüz almadığı kâr payı.   ▪  Her ortağın Kâr Payı Gider Kalemi FARKLI olmalı."</f>
        <v>▪  ELINDEKİ KASA = ofisin parası, ortağın elinde duruyor (ortağın kendi parası DEĞİL).   ▪  KALAN ALACAK = hak ettiği ama henüz almadığı kâr payı.   ▪  Her ortağın Kâr Payı Gider Kalemi FARKLI olmalı.</v>
      </c>
      <c r="C11" s="173"/>
      <c r="D11" s="173"/>
      <c r="E11" s="173"/>
      <c r="F11" s="173"/>
      <c r="G11" s="173"/>
      <c r="H11" s="173"/>
      <c r="I11" s="173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 x14ac:dyDescent="0.3">
      <c r="A12" s="2"/>
      <c r="B12" s="127" t="s">
        <v>984</v>
      </c>
      <c r="C12" s="127"/>
      <c r="D12" s="127"/>
      <c r="E12" s="127"/>
      <c r="F12" s="127"/>
      <c r="G12" s="127"/>
      <c r="H12" s="127"/>
      <c r="I12" s="127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customHeight="1" x14ac:dyDescent="0.3">
      <c r="A13" s="2"/>
      <c r="B13" s="57" t="s">
        <v>985</v>
      </c>
      <c r="C13" s="57" t="s">
        <v>986</v>
      </c>
      <c r="D13" s="57" t="s">
        <v>987</v>
      </c>
      <c r="E13" s="57" t="s">
        <v>988</v>
      </c>
      <c r="F13" s="57" t="s">
        <v>694</v>
      </c>
      <c r="G13" s="57"/>
      <c r="H13" s="57"/>
      <c r="I13" s="57" t="s">
        <v>692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 x14ac:dyDescent="0.3">
      <c r="A14" s="2"/>
      <c r="B14" s="61" t="s">
        <v>946</v>
      </c>
      <c r="C14" s="94">
        <v>46023</v>
      </c>
      <c r="D14" s="94"/>
      <c r="E14" s="95">
        <v>0.5</v>
      </c>
      <c r="F14" s="61" t="s">
        <v>989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96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3">
      <c r="A15" s="2"/>
      <c r="B15" s="61" t="s">
        <v>715</v>
      </c>
      <c r="C15" s="94">
        <v>46023</v>
      </c>
      <c r="D15" s="94"/>
      <c r="E15" s="95">
        <v>0.5</v>
      </c>
      <c r="F15" s="61" t="s">
        <v>989</v>
      </c>
      <c r="G15" s="74"/>
      <c r="H15" s="74"/>
      <c r="I15" s="65" t="str">
        <f t="shared" si="0"/>
        <v>UYGUN</v>
      </c>
      <c r="J15" s="2"/>
      <c r="K15" s="96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 x14ac:dyDescent="0.3">
      <c r="A16" s="2"/>
      <c r="B16" s="61"/>
      <c r="C16" s="94"/>
      <c r="D16" s="94"/>
      <c r="E16" s="95"/>
      <c r="F16" s="61"/>
      <c r="G16" s="74"/>
      <c r="H16" s="74"/>
      <c r="I16" s="65" t="str">
        <f t="shared" si="0"/>
        <v/>
      </c>
      <c r="J16" s="2"/>
      <c r="K16" s="96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 x14ac:dyDescent="0.3">
      <c r="A17" s="2"/>
      <c r="B17" s="61"/>
      <c r="C17" s="94"/>
      <c r="D17" s="94"/>
      <c r="E17" s="95"/>
      <c r="F17" s="61"/>
      <c r="G17" s="74"/>
      <c r="H17" s="74"/>
      <c r="I17" s="65" t="str">
        <f t="shared" si="0"/>
        <v/>
      </c>
      <c r="J17" s="2"/>
      <c r="K17" s="96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 x14ac:dyDescent="0.3">
      <c r="A18" s="2"/>
      <c r="B18" s="61"/>
      <c r="C18" s="94"/>
      <c r="D18" s="94"/>
      <c r="E18" s="95"/>
      <c r="F18" s="61"/>
      <c r="G18" s="74"/>
      <c r="H18" s="74"/>
      <c r="I18" s="65" t="str">
        <f t="shared" si="0"/>
        <v/>
      </c>
      <c r="J18" s="2"/>
      <c r="K18" s="96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3">
      <c r="A19" s="2"/>
      <c r="B19" s="61"/>
      <c r="C19" s="94"/>
      <c r="D19" s="94"/>
      <c r="E19" s="95"/>
      <c r="F19" s="61"/>
      <c r="G19" s="74"/>
      <c r="H19" s="74"/>
      <c r="I19" s="65" t="str">
        <f t="shared" si="0"/>
        <v/>
      </c>
      <c r="J19" s="2"/>
      <c r="K19" s="96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3">
      <c r="A20" s="2"/>
      <c r="B20" s="61"/>
      <c r="C20" s="94"/>
      <c r="D20" s="94"/>
      <c r="E20" s="95"/>
      <c r="F20" s="61"/>
      <c r="G20" s="74"/>
      <c r="H20" s="74"/>
      <c r="I20" s="65" t="str">
        <f t="shared" si="0"/>
        <v/>
      </c>
      <c r="J20" s="2"/>
      <c r="K20" s="96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3">
      <c r="A21" s="2"/>
      <c r="B21" s="61"/>
      <c r="C21" s="94"/>
      <c r="D21" s="94"/>
      <c r="E21" s="95"/>
      <c r="F21" s="61"/>
      <c r="G21" s="74"/>
      <c r="H21" s="74"/>
      <c r="I21" s="65" t="str">
        <f t="shared" si="0"/>
        <v/>
      </c>
      <c r="J21" s="2"/>
      <c r="K21" s="96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3">
      <c r="A22" s="2"/>
      <c r="B22" s="61"/>
      <c r="C22" s="94"/>
      <c r="D22" s="94"/>
      <c r="E22" s="95"/>
      <c r="F22" s="61"/>
      <c r="G22" s="74"/>
      <c r="H22" s="74"/>
      <c r="I22" s="65" t="str">
        <f t="shared" si="0"/>
        <v/>
      </c>
      <c r="J22" s="2"/>
      <c r="K22" s="96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3">
      <c r="A23" s="2"/>
      <c r="B23" s="61"/>
      <c r="C23" s="94"/>
      <c r="D23" s="94"/>
      <c r="E23" s="95"/>
      <c r="F23" s="61"/>
      <c r="G23" s="74"/>
      <c r="H23" s="74"/>
      <c r="I23" s="65" t="str">
        <f t="shared" si="0"/>
        <v/>
      </c>
      <c r="J23" s="2"/>
      <c r="K23" s="96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3">
      <c r="A24" s="2"/>
      <c r="B24" s="61"/>
      <c r="C24" s="94"/>
      <c r="D24" s="94"/>
      <c r="E24" s="95"/>
      <c r="F24" s="61"/>
      <c r="G24" s="74"/>
      <c r="H24" s="74"/>
      <c r="I24" s="65" t="str">
        <f t="shared" si="0"/>
        <v/>
      </c>
      <c r="J24" s="2"/>
      <c r="K24" s="96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3">
      <c r="A25" s="2"/>
      <c r="B25" s="61"/>
      <c r="C25" s="94"/>
      <c r="D25" s="94"/>
      <c r="E25" s="95"/>
      <c r="F25" s="61"/>
      <c r="G25" s="74"/>
      <c r="H25" s="74"/>
      <c r="I25" s="65" t="str">
        <f t="shared" si="0"/>
        <v/>
      </c>
      <c r="J25" s="2"/>
      <c r="K25" s="96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3">
      <c r="A26" s="2"/>
      <c r="B26" s="61"/>
      <c r="C26" s="94"/>
      <c r="D26" s="94"/>
      <c r="E26" s="95"/>
      <c r="F26" s="61"/>
      <c r="G26" s="74"/>
      <c r="H26" s="74"/>
      <c r="I26" s="65" t="str">
        <f t="shared" si="0"/>
        <v/>
      </c>
      <c r="J26" s="2"/>
      <c r="K26" s="96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3">
      <c r="A27" s="2"/>
      <c r="B27" s="61"/>
      <c r="C27" s="94"/>
      <c r="D27" s="94"/>
      <c r="E27" s="95"/>
      <c r="F27" s="61"/>
      <c r="G27" s="74"/>
      <c r="H27" s="74"/>
      <c r="I27" s="65" t="str">
        <f t="shared" si="0"/>
        <v/>
      </c>
      <c r="J27" s="2"/>
      <c r="K27" s="96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3">
      <c r="A28" s="2"/>
      <c r="B28" s="61"/>
      <c r="C28" s="94"/>
      <c r="D28" s="94"/>
      <c r="E28" s="95"/>
      <c r="F28" s="61"/>
      <c r="G28" s="74"/>
      <c r="H28" s="74"/>
      <c r="I28" s="65" t="str">
        <f t="shared" si="0"/>
        <v/>
      </c>
      <c r="J28" s="2"/>
      <c r="K28" s="96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3">
      <c r="A29" s="2"/>
      <c r="B29" s="61"/>
      <c r="C29" s="94"/>
      <c r="D29" s="94"/>
      <c r="E29" s="95"/>
      <c r="F29" s="61"/>
      <c r="G29" s="74"/>
      <c r="H29" s="74"/>
      <c r="I29" s="65" t="str">
        <f t="shared" si="0"/>
        <v/>
      </c>
      <c r="J29" s="2"/>
      <c r="K29" s="96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3">
      <c r="A30" s="2"/>
      <c r="B30" s="61"/>
      <c r="C30" s="94"/>
      <c r="D30" s="94"/>
      <c r="E30" s="95"/>
      <c r="F30" s="61"/>
      <c r="G30" s="74"/>
      <c r="H30" s="74"/>
      <c r="I30" s="65" t="str">
        <f t="shared" si="0"/>
        <v/>
      </c>
      <c r="J30" s="2"/>
      <c r="K30" s="96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3">
      <c r="A31" s="2"/>
      <c r="B31" s="61"/>
      <c r="C31" s="94"/>
      <c r="D31" s="94"/>
      <c r="E31" s="95"/>
      <c r="F31" s="61"/>
      <c r="G31" s="74"/>
      <c r="H31" s="74"/>
      <c r="I31" s="65" t="str">
        <f t="shared" si="0"/>
        <v/>
      </c>
      <c r="J31" s="2"/>
      <c r="K31" s="96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2"/>
      <c r="B32" s="61"/>
      <c r="C32" s="94"/>
      <c r="D32" s="94"/>
      <c r="E32" s="95"/>
      <c r="F32" s="61"/>
      <c r="G32" s="74"/>
      <c r="H32" s="74"/>
      <c r="I32" s="65" t="str">
        <f t="shared" si="0"/>
        <v/>
      </c>
      <c r="J32" s="2"/>
      <c r="K32" s="96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3">
      <c r="A33" s="2"/>
      <c r="B33" s="61"/>
      <c r="C33" s="94"/>
      <c r="D33" s="94"/>
      <c r="E33" s="95"/>
      <c r="F33" s="61"/>
      <c r="G33" s="74"/>
      <c r="H33" s="74"/>
      <c r="I33" s="65" t="str">
        <f t="shared" si="0"/>
        <v/>
      </c>
      <c r="J33" s="2"/>
      <c r="K33" s="96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customHeight="1" x14ac:dyDescent="0.3">
      <c r="A34" s="2"/>
      <c r="B34" s="173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73"/>
      <c r="D34" s="173"/>
      <c r="E34" s="173"/>
      <c r="F34" s="173"/>
      <c r="G34" s="173"/>
      <c r="H34" s="173"/>
      <c r="I34" s="173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27" t="s">
        <v>990</v>
      </c>
      <c r="C35" s="127"/>
      <c r="D35" s="127"/>
      <c r="E35" s="127"/>
      <c r="F35" s="127"/>
      <c r="G35" s="127"/>
      <c r="H35" s="127"/>
      <c r="I35" s="127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77" t="s">
        <v>991</v>
      </c>
      <c r="C36" s="166" t="s">
        <v>946</v>
      </c>
      <c r="D36" s="166"/>
      <c r="E36" s="166"/>
      <c r="F36" s="174" t="str">
        <f>IF($C$36="","Lütfen soldan bir ortak seçin",$C$36&amp;"   │   KALAN ALACAK: "&amp;TEXT(IFERROR(INDEX($I$7:$I$10,MATCH($C$36,$B$7:$B$10,0)),0),"#,##0")&amp;" ₺"&amp;"   │   Elindeki kasa: "&amp;TEXT(IFERROR(INDEX($E$7:$E$10,MATCH($C$36,$B$7:$B$10,0)),0),"#,##0")&amp;" ₺")</f>
        <v>ALİ KILIÇ   │   KALAN ALACAK: 510306,010 ₺   │   Elindeki kasa: ,0 ₺</v>
      </c>
      <c r="G36" s="174"/>
      <c r="H36" s="174"/>
      <c r="I36" s="174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916</v>
      </c>
      <c r="C37" s="57" t="s">
        <v>705</v>
      </c>
      <c r="D37" s="172" t="s">
        <v>54</v>
      </c>
      <c r="E37" s="172"/>
      <c r="F37" s="57" t="s">
        <v>917</v>
      </c>
      <c r="G37" s="57" t="s">
        <v>992</v>
      </c>
      <c r="H37" s="57" t="s">
        <v>993</v>
      </c>
      <c r="I37" s="57" t="s">
        <v>920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69" si="2">IF($C38="","",ROW()-37)</f>
        <v>1</v>
      </c>
      <c r="C38" s="70">
        <f t="shared" ref="C38:C69" si="3">IF($W38="","",IF(INDEX($N$38:$N$193,$W38)="","",INDEX($N$38:$N$193,$W38)))</f>
        <v>46053</v>
      </c>
      <c r="D38" s="171" t="str">
        <f t="shared" ref="D38:D69" si="4">IF($C38="","",INDEX($O$38:$O$193,$W38))</f>
        <v>ALİ KILIÇ  –  2026 Ocak ayı kâr payı hak edişi  (pay oranı %50)</v>
      </c>
      <c r="E38" s="171"/>
      <c r="F38" s="65" t="str">
        <f t="shared" ref="F38:F69" si="5">IF($C38="","",INDEX($P$38:$P$193,$W38))</f>
        <v>HAK EDİŞ</v>
      </c>
      <c r="G38" s="68">
        <f t="shared" ref="G38:G69" si="6">IF($C38="","",INDEX($Q$38:$Q$193,$W38))</f>
        <v>114433.09</v>
      </c>
      <c r="H38" s="68">
        <f t="shared" ref="H38:H69" si="7">IF($C38="","",INDEX($R$38:$R$193,$W38))</f>
        <v>0</v>
      </c>
      <c r="I38" s="68">
        <f t="shared" ref="I38:I69" si="8">IF($C38="","",N($I37)+$G38-$H38)</f>
        <v>114433.09</v>
      </c>
      <c r="J38" s="2"/>
      <c r="K38" s="2"/>
      <c r="L38" s="1"/>
      <c r="M38" s="1">
        <v>1</v>
      </c>
      <c r="N38" s="1">
        <f>IF($Q38&lt;=0,"",EOMONTH(AY_SONU!$B7,0))</f>
        <v>46053</v>
      </c>
      <c r="O38" s="1" t="str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>ALİ KILIÇ  –  2026 Ocak ayı kâr payı hak edişi  (pay oranı %50)</v>
      </c>
      <c r="P38" s="1" t="str">
        <f t="shared" ref="P38:P73" si="9">IF($N38="","","HAK EDİŞ")</f>
        <v>HAK EDİŞ</v>
      </c>
      <c r="Q38" s="84">
        <f>IF($U$5="",0,IF($U$5="M",AY_SONU!$M7,AY_SONU!$N7))</f>
        <v>114433.09</v>
      </c>
      <c r="R38" s="1">
        <v>0</v>
      </c>
      <c r="S38" s="1">
        <f t="shared" ref="S38:S69" si="10">IF($N38="",10000000000,$N38*100000+$M38)</f>
        <v>4605300001</v>
      </c>
      <c r="T38" s="1"/>
      <c r="U38" s="1"/>
      <c r="V38" s="1">
        <f t="shared" ref="V38:V69" si="11">IFERROR(SMALL($S$38:$S$193,ROW()-37),"")</f>
        <v>4605300001</v>
      </c>
      <c r="W38" s="1">
        <f t="shared" ref="W38:W69" si="12">IFERROR(MATCH($V38,$S$38:$S$193,0),"")</f>
        <v>1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46112</v>
      </c>
      <c r="D39" s="171" t="str">
        <f t="shared" si="4"/>
        <v>ALİ KILIÇ  –  2026 Mart ayı kâr payı hak edişi  (pay oranı %50)</v>
      </c>
      <c r="E39" s="171"/>
      <c r="F39" s="65" t="str">
        <f t="shared" si="5"/>
        <v>HAK EDİŞ</v>
      </c>
      <c r="G39" s="68">
        <f t="shared" si="6"/>
        <v>52046.014999999999</v>
      </c>
      <c r="H39" s="68">
        <f t="shared" si="7"/>
        <v>0</v>
      </c>
      <c r="I39" s="68">
        <f t="shared" si="8"/>
        <v>166479.10499999998</v>
      </c>
      <c r="J39" s="2"/>
      <c r="K39" s="2"/>
      <c r="L39" s="1"/>
      <c r="M39" s="1">
        <v>2</v>
      </c>
      <c r="N39" s="1" t="str">
        <f>IF($Q39&lt;=0,"",EOMONTH(AY_SONU!$B8,0))</f>
        <v/>
      </c>
      <c r="O39" s="1" t="str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1" t="str">
        <f t="shared" si="9"/>
        <v/>
      </c>
      <c r="Q39" s="84">
        <f>IF($U$5="",0,IF($U$5="M",AY_SONU!$M8,AY_SONU!$N8))</f>
        <v>-61289.09500000003</v>
      </c>
      <c r="R39" s="1">
        <v>0</v>
      </c>
      <c r="S39" s="1">
        <f t="shared" si="10"/>
        <v>10000000000</v>
      </c>
      <c r="T39" s="1"/>
      <c r="U39" s="1"/>
      <c r="V39" s="1">
        <f t="shared" si="11"/>
        <v>4611200003</v>
      </c>
      <c r="W39" s="1">
        <f t="shared" si="12"/>
        <v>3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46142</v>
      </c>
      <c r="D40" s="171" t="str">
        <f t="shared" si="4"/>
        <v>ALİ KILIÇ  –  2026 Nisan ayı kâr payı hak edişi  (pay oranı %50)</v>
      </c>
      <c r="E40" s="171"/>
      <c r="F40" s="65" t="str">
        <f t="shared" si="5"/>
        <v>HAK EDİŞ</v>
      </c>
      <c r="G40" s="68">
        <f t="shared" si="6"/>
        <v>77252.999999999985</v>
      </c>
      <c r="H40" s="68">
        <f t="shared" si="7"/>
        <v>0</v>
      </c>
      <c r="I40" s="68">
        <f t="shared" si="8"/>
        <v>243732.10499999998</v>
      </c>
      <c r="J40" s="2"/>
      <c r="K40" s="2"/>
      <c r="L40" s="1"/>
      <c r="M40" s="1">
        <v>3</v>
      </c>
      <c r="N40" s="1">
        <f>IF($Q40&lt;=0,"",EOMONTH(AY_SONU!$B9,0))</f>
        <v>46112</v>
      </c>
      <c r="O40" s="1" t="str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>ALİ KILIÇ  –  2026 Mart ayı kâr payı hak edişi  (pay oranı %50)</v>
      </c>
      <c r="P40" s="1" t="str">
        <f t="shared" si="9"/>
        <v>HAK EDİŞ</v>
      </c>
      <c r="Q40" s="84">
        <f>IF($U$5="",0,IF($U$5="M",AY_SONU!$M9,AY_SONU!$N9))</f>
        <v>52046.014999999999</v>
      </c>
      <c r="R40" s="1">
        <v>0</v>
      </c>
      <c r="S40" s="1">
        <f t="shared" si="10"/>
        <v>4611200003</v>
      </c>
      <c r="T40" s="1"/>
      <c r="U40" s="1"/>
      <c r="V40" s="1">
        <f t="shared" si="11"/>
        <v>4614200004</v>
      </c>
      <c r="W40" s="1">
        <f t="shared" si="12"/>
        <v>4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46173</v>
      </c>
      <c r="D41" s="171" t="str">
        <f t="shared" si="4"/>
        <v>ALİ KILIÇ  –  2026 Mayıs ayı kâr payı hak edişi  (pay oranı %50)</v>
      </c>
      <c r="E41" s="171"/>
      <c r="F41" s="65" t="str">
        <f t="shared" si="5"/>
        <v>HAK EDİŞ</v>
      </c>
      <c r="G41" s="68">
        <f t="shared" si="6"/>
        <v>83198</v>
      </c>
      <c r="H41" s="68">
        <f t="shared" si="7"/>
        <v>0</v>
      </c>
      <c r="I41" s="68">
        <f t="shared" si="8"/>
        <v>326930.10499999998</v>
      </c>
      <c r="J41" s="2"/>
      <c r="K41" s="2"/>
      <c r="L41" s="1"/>
      <c r="M41" s="1">
        <v>4</v>
      </c>
      <c r="N41" s="1">
        <f>IF($Q41&lt;=0,"",EOMONTH(AY_SONU!$B10,0))</f>
        <v>46142</v>
      </c>
      <c r="O41" s="1" t="str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>ALİ KILIÇ  –  2026 Nisan ayı kâr payı hak edişi  (pay oranı %50)</v>
      </c>
      <c r="P41" s="1" t="str">
        <f t="shared" si="9"/>
        <v>HAK EDİŞ</v>
      </c>
      <c r="Q41" s="84">
        <f>IF($U$5="",0,IF($U$5="M",AY_SONU!$M10,AY_SONU!$N10))</f>
        <v>77252.999999999985</v>
      </c>
      <c r="R41" s="1">
        <v>0</v>
      </c>
      <c r="S41" s="1">
        <f t="shared" si="10"/>
        <v>4614200004</v>
      </c>
      <c r="T41" s="1"/>
      <c r="U41" s="1"/>
      <c r="V41" s="1">
        <f t="shared" si="11"/>
        <v>4617300005</v>
      </c>
      <c r="W41" s="1">
        <f t="shared" si="12"/>
        <v>5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46203</v>
      </c>
      <c r="D42" s="171" t="str">
        <f t="shared" si="4"/>
        <v>ALİ KILIÇ  –  2026 Haziran ayı kâr payı hak edişi  (pay oranı %50)</v>
      </c>
      <c r="E42" s="171"/>
      <c r="F42" s="65" t="str">
        <f t="shared" si="5"/>
        <v>HAK EDİŞ</v>
      </c>
      <c r="G42" s="68">
        <f t="shared" si="6"/>
        <v>103120</v>
      </c>
      <c r="H42" s="68">
        <f t="shared" si="7"/>
        <v>0</v>
      </c>
      <c r="I42" s="68">
        <f t="shared" si="8"/>
        <v>430050.10499999998</v>
      </c>
      <c r="J42" s="2"/>
      <c r="K42" s="2"/>
      <c r="L42" s="1"/>
      <c r="M42" s="1">
        <v>5</v>
      </c>
      <c r="N42" s="1">
        <f>IF($Q42&lt;=0,"",EOMONTH(AY_SONU!$B11,0))</f>
        <v>46173</v>
      </c>
      <c r="O42" s="1" t="str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>ALİ KILIÇ  –  2026 Mayıs ayı kâr payı hak edişi  (pay oranı %50)</v>
      </c>
      <c r="P42" s="1" t="str">
        <f t="shared" si="9"/>
        <v>HAK EDİŞ</v>
      </c>
      <c r="Q42" s="84">
        <f>IF($U$5="",0,IF($U$5="M",AY_SONU!$M11,AY_SONU!$N11))</f>
        <v>83198</v>
      </c>
      <c r="R42" s="1">
        <v>0</v>
      </c>
      <c r="S42" s="1">
        <f t="shared" si="10"/>
        <v>4617300005</v>
      </c>
      <c r="T42" s="1"/>
      <c r="U42" s="1"/>
      <c r="V42" s="1">
        <f t="shared" si="11"/>
        <v>4620300006</v>
      </c>
      <c r="W42" s="1">
        <f t="shared" si="12"/>
        <v>6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46234</v>
      </c>
      <c r="D43" s="171" t="str">
        <f t="shared" si="4"/>
        <v>ALİ KILIÇ  –  2026 Temmuz ayı kâr payı hak edişi  (pay oranı %50)</v>
      </c>
      <c r="E43" s="171"/>
      <c r="F43" s="65" t="str">
        <f t="shared" si="5"/>
        <v>HAK EDİŞ</v>
      </c>
      <c r="G43" s="68">
        <f t="shared" si="6"/>
        <v>47870</v>
      </c>
      <c r="H43" s="68">
        <f t="shared" si="7"/>
        <v>0</v>
      </c>
      <c r="I43" s="68">
        <f t="shared" si="8"/>
        <v>477920.10499999998</v>
      </c>
      <c r="J43" s="2"/>
      <c r="K43" s="2"/>
      <c r="L43" s="1"/>
      <c r="M43" s="1">
        <v>6</v>
      </c>
      <c r="N43" s="1">
        <f>IF($Q43&lt;=0,"",EOMONTH(AY_SONU!$B12,0))</f>
        <v>46203</v>
      </c>
      <c r="O43" s="1" t="str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>ALİ KILIÇ  –  2026 Haziran ayı kâr payı hak edişi  (pay oranı %50)</v>
      </c>
      <c r="P43" s="1" t="str">
        <f t="shared" si="9"/>
        <v>HAK EDİŞ</v>
      </c>
      <c r="Q43" s="84">
        <f>IF($U$5="",0,IF($U$5="M",AY_SONU!$M12,AY_SONU!$N12))</f>
        <v>103120</v>
      </c>
      <c r="R43" s="1">
        <v>0</v>
      </c>
      <c r="S43" s="1">
        <f t="shared" si="10"/>
        <v>4620300006</v>
      </c>
      <c r="T43" s="1"/>
      <c r="U43" s="1"/>
      <c r="V43" s="1">
        <f t="shared" si="11"/>
        <v>4623400007</v>
      </c>
      <c r="W43" s="1">
        <f t="shared" si="12"/>
        <v>7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46265</v>
      </c>
      <c r="D44" s="171" t="str">
        <f t="shared" si="4"/>
        <v>ALİ KILIÇ  –  2026 Ağustos ayı kâr payı hak edişi  (pay oranı %50)</v>
      </c>
      <c r="E44" s="171"/>
      <c r="F44" s="65" t="str">
        <f t="shared" si="5"/>
        <v>HAK EDİŞ</v>
      </c>
      <c r="G44" s="68">
        <f t="shared" si="6"/>
        <v>93675</v>
      </c>
      <c r="H44" s="68">
        <f t="shared" si="7"/>
        <v>0</v>
      </c>
      <c r="I44" s="68">
        <f t="shared" si="8"/>
        <v>571595.10499999998</v>
      </c>
      <c r="J44" s="2"/>
      <c r="K44" s="2"/>
      <c r="L44" s="1"/>
      <c r="M44" s="1">
        <v>7</v>
      </c>
      <c r="N44" s="1">
        <f>IF($Q44&lt;=0,"",EOMONTH(AY_SONU!$B13,0))</f>
        <v>46234</v>
      </c>
      <c r="O44" s="1" t="str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>ALİ KILIÇ  –  2026 Temmuz ayı kâr payı hak edişi  (pay oranı %50)</v>
      </c>
      <c r="P44" s="1" t="str">
        <f t="shared" si="9"/>
        <v>HAK EDİŞ</v>
      </c>
      <c r="Q44" s="84">
        <f>IF($U$5="",0,IF($U$5="M",AY_SONU!$M13,AY_SONU!$N13))</f>
        <v>47870</v>
      </c>
      <c r="R44" s="1">
        <v>0</v>
      </c>
      <c r="S44" s="1">
        <f t="shared" si="10"/>
        <v>4623400007</v>
      </c>
      <c r="T44" s="1"/>
      <c r="U44" s="1"/>
      <c r="V44" s="1">
        <f t="shared" si="11"/>
        <v>4626500008</v>
      </c>
      <c r="W44" s="1">
        <f t="shared" si="12"/>
        <v>8</v>
      </c>
    </row>
    <row r="45" spans="1:23" ht="19.5" customHeight="1" x14ac:dyDescent="0.3">
      <c r="A45" s="2"/>
      <c r="B45" s="65" t="str">
        <f t="shared" si="2"/>
        <v/>
      </c>
      <c r="C45" s="70" t="str">
        <f t="shared" si="3"/>
        <v/>
      </c>
      <c r="D45" s="171" t="str">
        <f t="shared" si="4"/>
        <v/>
      </c>
      <c r="E45" s="171"/>
      <c r="F45" s="65" t="str">
        <f t="shared" si="5"/>
        <v/>
      </c>
      <c r="G45" s="68" t="str">
        <f t="shared" si="6"/>
        <v/>
      </c>
      <c r="H45" s="68" t="str">
        <f t="shared" si="7"/>
        <v/>
      </c>
      <c r="I45" s="68" t="str">
        <f t="shared" si="8"/>
        <v/>
      </c>
      <c r="J45" s="2"/>
      <c r="K45" s="2"/>
      <c r="L45" s="1"/>
      <c r="M45" s="1">
        <v>8</v>
      </c>
      <c r="N45" s="1">
        <f>IF($Q45&lt;=0,"",EOMONTH(AY_SONU!$B14,0))</f>
        <v>46265</v>
      </c>
      <c r="O45" s="1" t="str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>ALİ KILIÇ  –  2026 Ağustos ayı kâr payı hak edişi  (pay oranı %50)</v>
      </c>
      <c r="P45" s="1" t="str">
        <f t="shared" si="9"/>
        <v>HAK EDİŞ</v>
      </c>
      <c r="Q45" s="84">
        <f>IF($U$5="",0,IF($U$5="M",AY_SONU!$M14,AY_SONU!$N14))</f>
        <v>93675</v>
      </c>
      <c r="R45" s="1">
        <v>0</v>
      </c>
      <c r="S45" s="1">
        <f t="shared" si="10"/>
        <v>4626500008</v>
      </c>
      <c r="T45" s="1"/>
      <c r="U45" s="1"/>
      <c r="V45" s="1">
        <f t="shared" si="11"/>
        <v>10000000000</v>
      </c>
      <c r="W45" s="1">
        <f t="shared" si="12"/>
        <v>2</v>
      </c>
    </row>
    <row r="46" spans="1:23" ht="19.5" customHeight="1" x14ac:dyDescent="0.3">
      <c r="A46" s="2"/>
      <c r="B46" s="65" t="str">
        <f t="shared" si="2"/>
        <v/>
      </c>
      <c r="C46" s="70" t="str">
        <f t="shared" si="3"/>
        <v/>
      </c>
      <c r="D46" s="171" t="str">
        <f t="shared" si="4"/>
        <v/>
      </c>
      <c r="E46" s="171"/>
      <c r="F46" s="65" t="str">
        <f t="shared" si="5"/>
        <v/>
      </c>
      <c r="G46" s="68" t="str">
        <f t="shared" si="6"/>
        <v/>
      </c>
      <c r="H46" s="68" t="str">
        <f t="shared" si="7"/>
        <v/>
      </c>
      <c r="I46" s="68" t="str">
        <f t="shared" si="8"/>
        <v/>
      </c>
      <c r="J46" s="2"/>
      <c r="K46" s="2"/>
      <c r="L46" s="1"/>
      <c r="M46" s="1">
        <v>9</v>
      </c>
      <c r="N46" s="1" t="str">
        <f>IF($Q46&lt;=0,"",EOMONTH(AY_SONU!$B15,0))</f>
        <v/>
      </c>
      <c r="O46" s="1" t="str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" t="str">
        <f t="shared" si="9"/>
        <v/>
      </c>
      <c r="Q46" s="84">
        <f>IF($U$5="",0,IF($U$5="M",AY_SONU!$M15,AY_SONU!$N15))</f>
        <v>0</v>
      </c>
      <c r="R46" s="1">
        <v>0</v>
      </c>
      <c r="S46" s="1">
        <f t="shared" si="10"/>
        <v>10000000000</v>
      </c>
      <c r="T46" s="1"/>
      <c r="U46" s="1"/>
      <c r="V46" s="1">
        <f t="shared" si="11"/>
        <v>10000000000</v>
      </c>
      <c r="W46" s="1">
        <f t="shared" si="12"/>
        <v>2</v>
      </c>
    </row>
    <row r="47" spans="1:23" ht="19.5" customHeight="1" x14ac:dyDescent="0.3">
      <c r="A47" s="2"/>
      <c r="B47" s="65" t="str">
        <f t="shared" si="2"/>
        <v/>
      </c>
      <c r="C47" s="70" t="str">
        <f t="shared" si="3"/>
        <v/>
      </c>
      <c r="D47" s="171" t="str">
        <f t="shared" si="4"/>
        <v/>
      </c>
      <c r="E47" s="171"/>
      <c r="F47" s="65" t="str">
        <f t="shared" si="5"/>
        <v/>
      </c>
      <c r="G47" s="68" t="str">
        <f t="shared" si="6"/>
        <v/>
      </c>
      <c r="H47" s="68" t="str">
        <f t="shared" si="7"/>
        <v/>
      </c>
      <c r="I47" s="68" t="str">
        <f t="shared" si="8"/>
        <v/>
      </c>
      <c r="J47" s="2"/>
      <c r="K47" s="2"/>
      <c r="L47" s="1"/>
      <c r="M47" s="1">
        <v>10</v>
      </c>
      <c r="N47" s="1" t="str">
        <f>IF($Q47&lt;=0,"",EOMONTH(AY_SONU!$B16,0))</f>
        <v/>
      </c>
      <c r="O47" s="1" t="str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" t="str">
        <f t="shared" si="9"/>
        <v/>
      </c>
      <c r="Q47" s="84">
        <f>IF($U$5="",0,IF($U$5="M",AY_SONU!$M16,AY_SONU!$N16))</f>
        <v>0</v>
      </c>
      <c r="R47" s="1">
        <v>0</v>
      </c>
      <c r="S47" s="1">
        <f t="shared" si="10"/>
        <v>10000000000</v>
      </c>
      <c r="T47" s="1"/>
      <c r="U47" s="1"/>
      <c r="V47" s="1">
        <f t="shared" si="11"/>
        <v>10000000000</v>
      </c>
      <c r="W47" s="1">
        <f t="shared" si="12"/>
        <v>2</v>
      </c>
    </row>
    <row r="48" spans="1:23" ht="19.5" customHeight="1" x14ac:dyDescent="0.3">
      <c r="A48" s="2"/>
      <c r="B48" s="65" t="str">
        <f t="shared" si="2"/>
        <v/>
      </c>
      <c r="C48" s="70" t="str">
        <f t="shared" si="3"/>
        <v/>
      </c>
      <c r="D48" s="171" t="str">
        <f t="shared" si="4"/>
        <v/>
      </c>
      <c r="E48" s="171"/>
      <c r="F48" s="65" t="str">
        <f t="shared" si="5"/>
        <v/>
      </c>
      <c r="G48" s="68" t="str">
        <f t="shared" si="6"/>
        <v/>
      </c>
      <c r="H48" s="68" t="str">
        <f t="shared" si="7"/>
        <v/>
      </c>
      <c r="I48" s="68" t="str">
        <f t="shared" si="8"/>
        <v/>
      </c>
      <c r="J48" s="2"/>
      <c r="K48" s="2"/>
      <c r="L48" s="1"/>
      <c r="M48" s="1">
        <v>11</v>
      </c>
      <c r="N48" s="1" t="str">
        <f>IF($Q48&lt;=0,"",EOMONTH(AY_SONU!$B17,0))</f>
        <v/>
      </c>
      <c r="O48" s="1" t="str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" t="str">
        <f t="shared" si="9"/>
        <v/>
      </c>
      <c r="Q48" s="84">
        <f>IF($U$5="",0,IF($U$5="M",AY_SONU!$M17,AY_SONU!$N17))</f>
        <v>0</v>
      </c>
      <c r="R48" s="1">
        <v>0</v>
      </c>
      <c r="S48" s="1">
        <f t="shared" si="10"/>
        <v>10000000000</v>
      </c>
      <c r="T48" s="1"/>
      <c r="U48" s="1"/>
      <c r="V48" s="1">
        <f t="shared" si="11"/>
        <v>10000000000</v>
      </c>
      <c r="W48" s="1">
        <f t="shared" si="12"/>
        <v>2</v>
      </c>
    </row>
    <row r="49" spans="1:23" ht="19.5" customHeight="1" x14ac:dyDescent="0.3">
      <c r="A49" s="2"/>
      <c r="B49" s="65" t="str">
        <f t="shared" si="2"/>
        <v/>
      </c>
      <c r="C49" s="70" t="str">
        <f t="shared" si="3"/>
        <v/>
      </c>
      <c r="D49" s="171" t="str">
        <f t="shared" si="4"/>
        <v/>
      </c>
      <c r="E49" s="171"/>
      <c r="F49" s="65" t="str">
        <f t="shared" si="5"/>
        <v/>
      </c>
      <c r="G49" s="68" t="str">
        <f t="shared" si="6"/>
        <v/>
      </c>
      <c r="H49" s="68" t="str">
        <f t="shared" si="7"/>
        <v/>
      </c>
      <c r="I49" s="68" t="str">
        <f t="shared" si="8"/>
        <v/>
      </c>
      <c r="J49" s="2"/>
      <c r="K49" s="2"/>
      <c r="L49" s="1"/>
      <c r="M49" s="1">
        <v>12</v>
      </c>
      <c r="N49" s="1" t="str">
        <f>IF($Q49&lt;=0,"",EOMONTH(AY_SONU!$B18,0))</f>
        <v/>
      </c>
      <c r="O49" s="1" t="str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" t="str">
        <f t="shared" si="9"/>
        <v/>
      </c>
      <c r="Q49" s="84">
        <f>IF($U$5="",0,IF($U$5="M",AY_SONU!$M18,AY_SONU!$N18))</f>
        <v>0</v>
      </c>
      <c r="R49" s="1">
        <v>0</v>
      </c>
      <c r="S49" s="1">
        <f t="shared" si="10"/>
        <v>10000000000</v>
      </c>
      <c r="T49" s="1"/>
      <c r="U49" s="1"/>
      <c r="V49" s="1">
        <f t="shared" si="11"/>
        <v>10000000000</v>
      </c>
      <c r="W49" s="1">
        <f t="shared" si="12"/>
        <v>2</v>
      </c>
    </row>
    <row r="50" spans="1:23" ht="19.5" customHeight="1" x14ac:dyDescent="0.3">
      <c r="A50" s="2"/>
      <c r="B50" s="65" t="str">
        <f t="shared" si="2"/>
        <v/>
      </c>
      <c r="C50" s="70" t="str">
        <f t="shared" si="3"/>
        <v/>
      </c>
      <c r="D50" s="171" t="str">
        <f t="shared" si="4"/>
        <v/>
      </c>
      <c r="E50" s="171"/>
      <c r="F50" s="65" t="str">
        <f t="shared" si="5"/>
        <v/>
      </c>
      <c r="G50" s="68" t="str">
        <f t="shared" si="6"/>
        <v/>
      </c>
      <c r="H50" s="68" t="str">
        <f t="shared" si="7"/>
        <v/>
      </c>
      <c r="I50" s="68" t="str">
        <f t="shared" si="8"/>
        <v/>
      </c>
      <c r="J50" s="2"/>
      <c r="K50" s="2"/>
      <c r="L50" s="1"/>
      <c r="M50" s="1">
        <v>13</v>
      </c>
      <c r="N50" s="1" t="str">
        <f>IF($Q50&lt;=0,"",EOMONTH(AY_SONU!$B19,0))</f>
        <v/>
      </c>
      <c r="O50" s="1" t="str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" t="str">
        <f t="shared" si="9"/>
        <v/>
      </c>
      <c r="Q50" s="84">
        <f>IF($U$5="",0,IF($U$5="M",AY_SONU!$M19,AY_SONU!$N19))</f>
        <v>0</v>
      </c>
      <c r="R50" s="1">
        <v>0</v>
      </c>
      <c r="S50" s="1">
        <f t="shared" si="10"/>
        <v>10000000000</v>
      </c>
      <c r="T50" s="1"/>
      <c r="U50" s="1"/>
      <c r="V50" s="1">
        <f t="shared" si="11"/>
        <v>10000000000</v>
      </c>
      <c r="W50" s="1">
        <f t="shared" si="12"/>
        <v>2</v>
      </c>
    </row>
    <row r="51" spans="1:23" ht="19.5" customHeight="1" x14ac:dyDescent="0.3">
      <c r="A51" s="2"/>
      <c r="B51" s="65" t="str">
        <f t="shared" si="2"/>
        <v/>
      </c>
      <c r="C51" s="70" t="str">
        <f t="shared" si="3"/>
        <v/>
      </c>
      <c r="D51" s="171" t="str">
        <f t="shared" si="4"/>
        <v/>
      </c>
      <c r="E51" s="171"/>
      <c r="F51" s="65" t="str">
        <f t="shared" si="5"/>
        <v/>
      </c>
      <c r="G51" s="68" t="str">
        <f t="shared" si="6"/>
        <v/>
      </c>
      <c r="H51" s="68" t="str">
        <f t="shared" si="7"/>
        <v/>
      </c>
      <c r="I51" s="68" t="str">
        <f t="shared" si="8"/>
        <v/>
      </c>
      <c r="J51" s="2"/>
      <c r="K51" s="2"/>
      <c r="L51" s="1"/>
      <c r="M51" s="1">
        <v>14</v>
      </c>
      <c r="N51" s="1" t="str">
        <f>IF($Q51&lt;=0,"",EOMONTH(AY_SONU!$B20,0))</f>
        <v/>
      </c>
      <c r="O51" s="1" t="str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" t="str">
        <f t="shared" si="9"/>
        <v/>
      </c>
      <c r="Q51" s="84">
        <f>IF($U$5="",0,IF($U$5="M",AY_SONU!$M20,AY_SONU!$N20))</f>
        <v>0</v>
      </c>
      <c r="R51" s="1">
        <v>0</v>
      </c>
      <c r="S51" s="1">
        <f t="shared" si="10"/>
        <v>10000000000</v>
      </c>
      <c r="T51" s="1"/>
      <c r="U51" s="1"/>
      <c r="V51" s="1">
        <f t="shared" si="11"/>
        <v>10000000000</v>
      </c>
      <c r="W51" s="1">
        <f t="shared" si="12"/>
        <v>2</v>
      </c>
    </row>
    <row r="52" spans="1:23" ht="19.5" customHeight="1" x14ac:dyDescent="0.3">
      <c r="A52" s="2"/>
      <c r="B52" s="65" t="str">
        <f t="shared" si="2"/>
        <v/>
      </c>
      <c r="C52" s="70" t="str">
        <f t="shared" si="3"/>
        <v/>
      </c>
      <c r="D52" s="171" t="str">
        <f t="shared" si="4"/>
        <v/>
      </c>
      <c r="E52" s="171"/>
      <c r="F52" s="65" t="str">
        <f t="shared" si="5"/>
        <v/>
      </c>
      <c r="G52" s="68" t="str">
        <f t="shared" si="6"/>
        <v/>
      </c>
      <c r="H52" s="68" t="str">
        <f t="shared" si="7"/>
        <v/>
      </c>
      <c r="I52" s="68" t="str">
        <f t="shared" si="8"/>
        <v/>
      </c>
      <c r="J52" s="2"/>
      <c r="K52" s="2"/>
      <c r="L52" s="1"/>
      <c r="M52" s="1">
        <v>15</v>
      </c>
      <c r="N52" s="1" t="str">
        <f>IF($Q52&lt;=0,"",EOMONTH(AY_SONU!$B21,0))</f>
        <v/>
      </c>
      <c r="O52" s="1" t="str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" t="str">
        <f t="shared" si="9"/>
        <v/>
      </c>
      <c r="Q52" s="84">
        <f>IF($U$5="",0,IF($U$5="M",AY_SONU!$M21,AY_SONU!$N21))</f>
        <v>0</v>
      </c>
      <c r="R52" s="1">
        <v>0</v>
      </c>
      <c r="S52" s="1">
        <f t="shared" si="10"/>
        <v>10000000000</v>
      </c>
      <c r="T52" s="1"/>
      <c r="U52" s="1"/>
      <c r="V52" s="1">
        <f t="shared" si="11"/>
        <v>10000000000</v>
      </c>
      <c r="W52" s="1">
        <f t="shared" si="12"/>
        <v>2</v>
      </c>
    </row>
    <row r="53" spans="1:23" ht="19.5" customHeight="1" x14ac:dyDescent="0.3">
      <c r="A53" s="2"/>
      <c r="B53" s="65" t="str">
        <f t="shared" si="2"/>
        <v/>
      </c>
      <c r="C53" s="70" t="str">
        <f t="shared" si="3"/>
        <v/>
      </c>
      <c r="D53" s="171" t="str">
        <f t="shared" si="4"/>
        <v/>
      </c>
      <c r="E53" s="171"/>
      <c r="F53" s="65" t="str">
        <f t="shared" si="5"/>
        <v/>
      </c>
      <c r="G53" s="68" t="str">
        <f t="shared" si="6"/>
        <v/>
      </c>
      <c r="H53" s="68" t="str">
        <f t="shared" si="7"/>
        <v/>
      </c>
      <c r="I53" s="68" t="str">
        <f t="shared" si="8"/>
        <v/>
      </c>
      <c r="J53" s="2"/>
      <c r="K53" s="2"/>
      <c r="L53" s="1"/>
      <c r="M53" s="1">
        <v>16</v>
      </c>
      <c r="N53" s="1" t="str">
        <f>IF($Q53&lt;=0,"",EOMONTH(AY_SONU!$B22,0))</f>
        <v/>
      </c>
      <c r="O53" s="1" t="str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" t="str">
        <f t="shared" si="9"/>
        <v/>
      </c>
      <c r="Q53" s="84">
        <f>IF($U$5="",0,IF($U$5="M",AY_SONU!$M22,AY_SONU!$N22))</f>
        <v>0</v>
      </c>
      <c r="R53" s="1">
        <v>0</v>
      </c>
      <c r="S53" s="1">
        <f t="shared" si="10"/>
        <v>10000000000</v>
      </c>
      <c r="T53" s="1"/>
      <c r="U53" s="1"/>
      <c r="V53" s="1">
        <f t="shared" si="11"/>
        <v>10000000000</v>
      </c>
      <c r="W53" s="1">
        <f t="shared" si="12"/>
        <v>2</v>
      </c>
    </row>
    <row r="54" spans="1:23" ht="19.5" customHeight="1" x14ac:dyDescent="0.3">
      <c r="A54" s="2"/>
      <c r="B54" s="65" t="str">
        <f t="shared" si="2"/>
        <v/>
      </c>
      <c r="C54" s="70" t="str">
        <f t="shared" si="3"/>
        <v/>
      </c>
      <c r="D54" s="171" t="str">
        <f t="shared" si="4"/>
        <v/>
      </c>
      <c r="E54" s="171"/>
      <c r="F54" s="65" t="str">
        <f t="shared" si="5"/>
        <v/>
      </c>
      <c r="G54" s="68" t="str">
        <f t="shared" si="6"/>
        <v/>
      </c>
      <c r="H54" s="68" t="str">
        <f t="shared" si="7"/>
        <v/>
      </c>
      <c r="I54" s="68" t="str">
        <f t="shared" si="8"/>
        <v/>
      </c>
      <c r="J54" s="2"/>
      <c r="K54" s="2"/>
      <c r="L54" s="1"/>
      <c r="M54" s="1">
        <v>17</v>
      </c>
      <c r="N54" s="1" t="str">
        <f>IF($Q54&lt;=0,"",EOMONTH(AY_SONU!$B23,0))</f>
        <v/>
      </c>
      <c r="O54" s="1" t="str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" t="str">
        <f t="shared" si="9"/>
        <v/>
      </c>
      <c r="Q54" s="84">
        <f>IF($U$5="",0,IF($U$5="M",AY_SONU!$M23,AY_SONU!$N23))</f>
        <v>0</v>
      </c>
      <c r="R54" s="1">
        <v>0</v>
      </c>
      <c r="S54" s="1">
        <f t="shared" si="10"/>
        <v>10000000000</v>
      </c>
      <c r="T54" s="1"/>
      <c r="U54" s="1"/>
      <c r="V54" s="1">
        <f t="shared" si="11"/>
        <v>10000000000</v>
      </c>
      <c r="W54" s="1">
        <f t="shared" si="12"/>
        <v>2</v>
      </c>
    </row>
    <row r="55" spans="1:23" ht="19.5" customHeight="1" x14ac:dyDescent="0.3">
      <c r="A55" s="2"/>
      <c r="B55" s="65" t="str">
        <f t="shared" si="2"/>
        <v/>
      </c>
      <c r="C55" s="70" t="str">
        <f t="shared" si="3"/>
        <v/>
      </c>
      <c r="D55" s="171" t="str">
        <f t="shared" si="4"/>
        <v/>
      </c>
      <c r="E55" s="171"/>
      <c r="F55" s="65" t="str">
        <f t="shared" si="5"/>
        <v/>
      </c>
      <c r="G55" s="68" t="str">
        <f t="shared" si="6"/>
        <v/>
      </c>
      <c r="H55" s="68" t="str">
        <f t="shared" si="7"/>
        <v/>
      </c>
      <c r="I55" s="68" t="str">
        <f t="shared" si="8"/>
        <v/>
      </c>
      <c r="J55" s="2"/>
      <c r="K55" s="2"/>
      <c r="L55" s="1"/>
      <c r="M55" s="1">
        <v>18</v>
      </c>
      <c r="N55" s="1" t="str">
        <f>IF($Q55&lt;=0,"",EOMONTH(AY_SONU!$B24,0))</f>
        <v/>
      </c>
      <c r="O55" s="1" t="str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" t="str">
        <f t="shared" si="9"/>
        <v/>
      </c>
      <c r="Q55" s="84">
        <f>IF($U$5="",0,IF($U$5="M",AY_SONU!$M24,AY_SONU!$N24))</f>
        <v>0</v>
      </c>
      <c r="R55" s="1">
        <v>0</v>
      </c>
      <c r="S55" s="1">
        <f t="shared" si="10"/>
        <v>10000000000</v>
      </c>
      <c r="T55" s="1"/>
      <c r="U55" s="1"/>
      <c r="V55" s="1">
        <f t="shared" si="11"/>
        <v>10000000000</v>
      </c>
      <c r="W55" s="1">
        <f t="shared" si="12"/>
        <v>2</v>
      </c>
    </row>
    <row r="56" spans="1:23" ht="19.5" customHeight="1" x14ac:dyDescent="0.3">
      <c r="A56" s="2"/>
      <c r="B56" s="65" t="str">
        <f t="shared" si="2"/>
        <v/>
      </c>
      <c r="C56" s="70" t="str">
        <f t="shared" si="3"/>
        <v/>
      </c>
      <c r="D56" s="171" t="str">
        <f t="shared" si="4"/>
        <v/>
      </c>
      <c r="E56" s="171"/>
      <c r="F56" s="65" t="str">
        <f t="shared" si="5"/>
        <v/>
      </c>
      <c r="G56" s="68" t="str">
        <f t="shared" si="6"/>
        <v/>
      </c>
      <c r="H56" s="68" t="str">
        <f t="shared" si="7"/>
        <v/>
      </c>
      <c r="I56" s="68" t="str">
        <f t="shared" si="8"/>
        <v/>
      </c>
      <c r="J56" s="2"/>
      <c r="K56" s="2"/>
      <c r="L56" s="1"/>
      <c r="M56" s="1">
        <v>19</v>
      </c>
      <c r="N56" s="1" t="str">
        <f>IF($Q56&lt;=0,"",EOMONTH(AY_SONU!$B25,0))</f>
        <v/>
      </c>
      <c r="O56" s="1" t="str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" t="str">
        <f t="shared" si="9"/>
        <v/>
      </c>
      <c r="Q56" s="84">
        <f>IF($U$5="",0,IF($U$5="M",AY_SONU!$M25,AY_SONU!$N25))</f>
        <v>0</v>
      </c>
      <c r="R56" s="1">
        <v>0</v>
      </c>
      <c r="S56" s="1">
        <f t="shared" si="10"/>
        <v>10000000000</v>
      </c>
      <c r="T56" s="1"/>
      <c r="U56" s="1"/>
      <c r="V56" s="1">
        <f t="shared" si="11"/>
        <v>10000000000</v>
      </c>
      <c r="W56" s="1">
        <f t="shared" si="12"/>
        <v>2</v>
      </c>
    </row>
    <row r="57" spans="1:23" ht="19.5" customHeight="1" x14ac:dyDescent="0.3">
      <c r="A57" s="2"/>
      <c r="B57" s="65" t="str">
        <f t="shared" si="2"/>
        <v/>
      </c>
      <c r="C57" s="70" t="str">
        <f t="shared" si="3"/>
        <v/>
      </c>
      <c r="D57" s="171" t="str">
        <f t="shared" si="4"/>
        <v/>
      </c>
      <c r="E57" s="171"/>
      <c r="F57" s="65" t="str">
        <f t="shared" si="5"/>
        <v/>
      </c>
      <c r="G57" s="68" t="str">
        <f t="shared" si="6"/>
        <v/>
      </c>
      <c r="H57" s="68" t="str">
        <f t="shared" si="7"/>
        <v/>
      </c>
      <c r="I57" s="68" t="str">
        <f t="shared" si="8"/>
        <v/>
      </c>
      <c r="J57" s="2"/>
      <c r="K57" s="2"/>
      <c r="L57" s="1"/>
      <c r="M57" s="1">
        <v>20</v>
      </c>
      <c r="N57" s="1" t="str">
        <f>IF($Q57&lt;=0,"",EOMONTH(AY_SONU!$B26,0))</f>
        <v/>
      </c>
      <c r="O57" s="1" t="str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" t="str">
        <f t="shared" si="9"/>
        <v/>
      </c>
      <c r="Q57" s="84">
        <f>IF($U$5="",0,IF($U$5="M",AY_SONU!$M26,AY_SONU!$N26))</f>
        <v>0</v>
      </c>
      <c r="R57" s="1">
        <v>0</v>
      </c>
      <c r="S57" s="1">
        <f t="shared" si="10"/>
        <v>10000000000</v>
      </c>
      <c r="T57" s="1"/>
      <c r="U57" s="1"/>
      <c r="V57" s="1">
        <f t="shared" si="11"/>
        <v>10000000000</v>
      </c>
      <c r="W57" s="1">
        <f t="shared" si="12"/>
        <v>2</v>
      </c>
    </row>
    <row r="58" spans="1:23" ht="19.5" customHeight="1" x14ac:dyDescent="0.3">
      <c r="A58" s="2"/>
      <c r="B58" s="65" t="str">
        <f t="shared" si="2"/>
        <v/>
      </c>
      <c r="C58" s="70" t="str">
        <f t="shared" si="3"/>
        <v/>
      </c>
      <c r="D58" s="171" t="str">
        <f t="shared" si="4"/>
        <v/>
      </c>
      <c r="E58" s="171"/>
      <c r="F58" s="65" t="str">
        <f t="shared" si="5"/>
        <v/>
      </c>
      <c r="G58" s="68" t="str">
        <f t="shared" si="6"/>
        <v/>
      </c>
      <c r="H58" s="68" t="str">
        <f t="shared" si="7"/>
        <v/>
      </c>
      <c r="I58" s="68" t="str">
        <f t="shared" si="8"/>
        <v/>
      </c>
      <c r="J58" s="2"/>
      <c r="K58" s="2"/>
      <c r="L58" s="1"/>
      <c r="M58" s="1">
        <v>21</v>
      </c>
      <c r="N58" s="1" t="str">
        <f>IF($Q58&lt;=0,"",EOMONTH(AY_SONU!$B27,0))</f>
        <v/>
      </c>
      <c r="O58" s="1" t="str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" t="str">
        <f t="shared" si="9"/>
        <v/>
      </c>
      <c r="Q58" s="84">
        <f>IF($U$5="",0,IF($U$5="M",AY_SONU!$M27,AY_SONU!$N27))</f>
        <v>0</v>
      </c>
      <c r="R58" s="1">
        <v>0</v>
      </c>
      <c r="S58" s="1">
        <f t="shared" si="10"/>
        <v>10000000000</v>
      </c>
      <c r="T58" s="1"/>
      <c r="U58" s="1"/>
      <c r="V58" s="1">
        <f t="shared" si="11"/>
        <v>10000000000</v>
      </c>
      <c r="W58" s="1">
        <f t="shared" si="12"/>
        <v>2</v>
      </c>
    </row>
    <row r="59" spans="1:23" ht="19.5" customHeight="1" x14ac:dyDescent="0.3">
      <c r="A59" s="2"/>
      <c r="B59" s="65" t="str">
        <f t="shared" si="2"/>
        <v/>
      </c>
      <c r="C59" s="70" t="str">
        <f t="shared" si="3"/>
        <v/>
      </c>
      <c r="D59" s="171" t="str">
        <f t="shared" si="4"/>
        <v/>
      </c>
      <c r="E59" s="171"/>
      <c r="F59" s="65" t="str">
        <f t="shared" si="5"/>
        <v/>
      </c>
      <c r="G59" s="68" t="str">
        <f t="shared" si="6"/>
        <v/>
      </c>
      <c r="H59" s="68" t="str">
        <f t="shared" si="7"/>
        <v/>
      </c>
      <c r="I59" s="68" t="str">
        <f t="shared" si="8"/>
        <v/>
      </c>
      <c r="J59" s="2"/>
      <c r="K59" s="2"/>
      <c r="L59" s="1"/>
      <c r="M59" s="1">
        <v>22</v>
      </c>
      <c r="N59" s="1" t="str">
        <f>IF($Q59&lt;=0,"",EOMONTH(AY_SONU!$B28,0))</f>
        <v/>
      </c>
      <c r="O59" s="1" t="str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" t="str">
        <f t="shared" si="9"/>
        <v/>
      </c>
      <c r="Q59" s="84">
        <f>IF($U$5="",0,IF($U$5="M",AY_SONU!$M28,AY_SONU!$N28))</f>
        <v>0</v>
      </c>
      <c r="R59" s="1">
        <v>0</v>
      </c>
      <c r="S59" s="1">
        <f t="shared" si="10"/>
        <v>10000000000</v>
      </c>
      <c r="T59" s="1"/>
      <c r="U59" s="1"/>
      <c r="V59" s="1">
        <f t="shared" si="11"/>
        <v>10000000000</v>
      </c>
      <c r="W59" s="1">
        <f t="shared" si="12"/>
        <v>2</v>
      </c>
    </row>
    <row r="60" spans="1:23" ht="19.5" customHeight="1" x14ac:dyDescent="0.3">
      <c r="A60" s="2"/>
      <c r="B60" s="65" t="str">
        <f t="shared" si="2"/>
        <v/>
      </c>
      <c r="C60" s="70" t="str">
        <f t="shared" si="3"/>
        <v/>
      </c>
      <c r="D60" s="171" t="str">
        <f t="shared" si="4"/>
        <v/>
      </c>
      <c r="E60" s="171"/>
      <c r="F60" s="65" t="str">
        <f t="shared" si="5"/>
        <v/>
      </c>
      <c r="G60" s="68" t="str">
        <f t="shared" si="6"/>
        <v/>
      </c>
      <c r="H60" s="68" t="str">
        <f t="shared" si="7"/>
        <v/>
      </c>
      <c r="I60" s="68" t="str">
        <f t="shared" si="8"/>
        <v/>
      </c>
      <c r="J60" s="2"/>
      <c r="K60" s="2"/>
      <c r="L60" s="1"/>
      <c r="M60" s="1">
        <v>23</v>
      </c>
      <c r="N60" s="1" t="str">
        <f>IF($Q60&lt;=0,"",EOMONTH(AY_SONU!$B29,0))</f>
        <v/>
      </c>
      <c r="O60" s="1" t="str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" t="str">
        <f t="shared" si="9"/>
        <v/>
      </c>
      <c r="Q60" s="84">
        <f>IF($U$5="",0,IF($U$5="M",AY_SONU!$M29,AY_SONU!$N29))</f>
        <v>0</v>
      </c>
      <c r="R60" s="1">
        <v>0</v>
      </c>
      <c r="S60" s="1">
        <f t="shared" si="10"/>
        <v>10000000000</v>
      </c>
      <c r="T60" s="1"/>
      <c r="U60" s="1"/>
      <c r="V60" s="1">
        <f t="shared" si="11"/>
        <v>10000000000</v>
      </c>
      <c r="W60" s="1">
        <f t="shared" si="12"/>
        <v>2</v>
      </c>
    </row>
    <row r="61" spans="1:23" ht="19.5" customHeight="1" x14ac:dyDescent="0.3">
      <c r="A61" s="2"/>
      <c r="B61" s="65" t="str">
        <f t="shared" si="2"/>
        <v/>
      </c>
      <c r="C61" s="70" t="str">
        <f t="shared" si="3"/>
        <v/>
      </c>
      <c r="D61" s="171" t="str">
        <f t="shared" si="4"/>
        <v/>
      </c>
      <c r="E61" s="171"/>
      <c r="F61" s="65" t="str">
        <f t="shared" si="5"/>
        <v/>
      </c>
      <c r="G61" s="68" t="str">
        <f t="shared" si="6"/>
        <v/>
      </c>
      <c r="H61" s="68" t="str">
        <f t="shared" si="7"/>
        <v/>
      </c>
      <c r="I61" s="68" t="str">
        <f t="shared" si="8"/>
        <v/>
      </c>
      <c r="J61" s="2"/>
      <c r="K61" s="2"/>
      <c r="L61" s="1"/>
      <c r="M61" s="1">
        <v>24</v>
      </c>
      <c r="N61" s="1" t="str">
        <f>IF($Q61&lt;=0,"",EOMONTH(AY_SONU!$B30,0))</f>
        <v/>
      </c>
      <c r="O61" s="1" t="str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" t="str">
        <f t="shared" si="9"/>
        <v/>
      </c>
      <c r="Q61" s="84">
        <f>IF($U$5="",0,IF($U$5="M",AY_SONU!$M30,AY_SONU!$N30))</f>
        <v>0</v>
      </c>
      <c r="R61" s="1">
        <v>0</v>
      </c>
      <c r="S61" s="1">
        <f t="shared" si="10"/>
        <v>10000000000</v>
      </c>
      <c r="T61" s="1"/>
      <c r="U61" s="1"/>
      <c r="V61" s="1">
        <f t="shared" si="11"/>
        <v>10000000000</v>
      </c>
      <c r="W61" s="1">
        <f t="shared" si="12"/>
        <v>2</v>
      </c>
    </row>
    <row r="62" spans="1:23" ht="19.5" customHeight="1" x14ac:dyDescent="0.3">
      <c r="A62" s="2"/>
      <c r="B62" s="65" t="str">
        <f t="shared" si="2"/>
        <v/>
      </c>
      <c r="C62" s="70" t="str">
        <f t="shared" si="3"/>
        <v/>
      </c>
      <c r="D62" s="171" t="str">
        <f t="shared" si="4"/>
        <v/>
      </c>
      <c r="E62" s="171"/>
      <c r="F62" s="65" t="str">
        <f t="shared" si="5"/>
        <v/>
      </c>
      <c r="G62" s="68" t="str">
        <f t="shared" si="6"/>
        <v/>
      </c>
      <c r="H62" s="68" t="str">
        <f t="shared" si="7"/>
        <v/>
      </c>
      <c r="I62" s="68" t="str">
        <f t="shared" si="8"/>
        <v/>
      </c>
      <c r="J62" s="2"/>
      <c r="K62" s="2"/>
      <c r="L62" s="1"/>
      <c r="M62" s="1">
        <v>25</v>
      </c>
      <c r="N62" s="1" t="str">
        <f>IF($Q62&lt;=0,"",EOMONTH(AY_SONU!$B31,0))</f>
        <v/>
      </c>
      <c r="O62" s="1" t="str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" t="str">
        <f t="shared" si="9"/>
        <v/>
      </c>
      <c r="Q62" s="84">
        <f>IF($U$5="",0,IF($U$5="M",AY_SONU!$M31,AY_SONU!$N31))</f>
        <v>0</v>
      </c>
      <c r="R62" s="1">
        <v>0</v>
      </c>
      <c r="S62" s="1">
        <f t="shared" si="10"/>
        <v>10000000000</v>
      </c>
      <c r="T62" s="1"/>
      <c r="U62" s="1"/>
      <c r="V62" s="1">
        <f t="shared" si="11"/>
        <v>10000000000</v>
      </c>
      <c r="W62" s="1">
        <f t="shared" si="12"/>
        <v>2</v>
      </c>
    </row>
    <row r="63" spans="1:23" ht="19.5" customHeight="1" x14ac:dyDescent="0.3">
      <c r="A63" s="2"/>
      <c r="B63" s="65" t="str">
        <f t="shared" si="2"/>
        <v/>
      </c>
      <c r="C63" s="70" t="str">
        <f t="shared" si="3"/>
        <v/>
      </c>
      <c r="D63" s="171" t="str">
        <f t="shared" si="4"/>
        <v/>
      </c>
      <c r="E63" s="171"/>
      <c r="F63" s="65" t="str">
        <f t="shared" si="5"/>
        <v/>
      </c>
      <c r="G63" s="68" t="str">
        <f t="shared" si="6"/>
        <v/>
      </c>
      <c r="H63" s="68" t="str">
        <f t="shared" si="7"/>
        <v/>
      </c>
      <c r="I63" s="68" t="str">
        <f t="shared" si="8"/>
        <v/>
      </c>
      <c r="J63" s="2"/>
      <c r="K63" s="2"/>
      <c r="L63" s="1"/>
      <c r="M63" s="1">
        <v>26</v>
      </c>
      <c r="N63" s="1" t="str">
        <f>IF($Q63&lt;=0,"",EOMONTH(AY_SONU!$B32,0))</f>
        <v/>
      </c>
      <c r="O63" s="1" t="str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" t="str">
        <f t="shared" si="9"/>
        <v/>
      </c>
      <c r="Q63" s="84">
        <f>IF($U$5="",0,IF($U$5="M",AY_SONU!$M32,AY_SONU!$N32))</f>
        <v>0</v>
      </c>
      <c r="R63" s="1">
        <v>0</v>
      </c>
      <c r="S63" s="1">
        <f t="shared" si="10"/>
        <v>10000000000</v>
      </c>
      <c r="T63" s="1"/>
      <c r="U63" s="1"/>
      <c r="V63" s="1">
        <f t="shared" si="11"/>
        <v>10000000000</v>
      </c>
      <c r="W63" s="1">
        <f t="shared" si="12"/>
        <v>2</v>
      </c>
    </row>
    <row r="64" spans="1:23" ht="19.5" customHeight="1" x14ac:dyDescent="0.3">
      <c r="A64" s="2"/>
      <c r="B64" s="65" t="str">
        <f t="shared" si="2"/>
        <v/>
      </c>
      <c r="C64" s="70" t="str">
        <f t="shared" si="3"/>
        <v/>
      </c>
      <c r="D64" s="171" t="str">
        <f t="shared" si="4"/>
        <v/>
      </c>
      <c r="E64" s="171"/>
      <c r="F64" s="65" t="str">
        <f t="shared" si="5"/>
        <v/>
      </c>
      <c r="G64" s="68" t="str">
        <f t="shared" si="6"/>
        <v/>
      </c>
      <c r="H64" s="68" t="str">
        <f t="shared" si="7"/>
        <v/>
      </c>
      <c r="I64" s="68" t="str">
        <f t="shared" si="8"/>
        <v/>
      </c>
      <c r="J64" s="2"/>
      <c r="K64" s="2"/>
      <c r="L64" s="1"/>
      <c r="M64" s="1">
        <v>27</v>
      </c>
      <c r="N64" s="1" t="str">
        <f>IF($Q64&lt;=0,"",EOMONTH(AY_SONU!$B33,0))</f>
        <v/>
      </c>
      <c r="O64" s="1" t="str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" t="str">
        <f t="shared" si="9"/>
        <v/>
      </c>
      <c r="Q64" s="84">
        <f>IF($U$5="",0,IF($U$5="M",AY_SONU!$M33,AY_SONU!$N33))</f>
        <v>0</v>
      </c>
      <c r="R64" s="1">
        <v>0</v>
      </c>
      <c r="S64" s="1">
        <f t="shared" si="10"/>
        <v>10000000000</v>
      </c>
      <c r="T64" s="1"/>
      <c r="U64" s="1"/>
      <c r="V64" s="1">
        <f t="shared" si="11"/>
        <v>10000000000</v>
      </c>
      <c r="W64" s="1">
        <f t="shared" si="12"/>
        <v>2</v>
      </c>
    </row>
    <row r="65" spans="1:23" ht="19.5" customHeight="1" x14ac:dyDescent="0.3">
      <c r="A65" s="2"/>
      <c r="B65" s="65" t="str">
        <f t="shared" si="2"/>
        <v/>
      </c>
      <c r="C65" s="70" t="str">
        <f t="shared" si="3"/>
        <v/>
      </c>
      <c r="D65" s="171" t="str">
        <f t="shared" si="4"/>
        <v/>
      </c>
      <c r="E65" s="171"/>
      <c r="F65" s="65" t="str">
        <f t="shared" si="5"/>
        <v/>
      </c>
      <c r="G65" s="68" t="str">
        <f t="shared" si="6"/>
        <v/>
      </c>
      <c r="H65" s="68" t="str">
        <f t="shared" si="7"/>
        <v/>
      </c>
      <c r="I65" s="68" t="str">
        <f t="shared" si="8"/>
        <v/>
      </c>
      <c r="J65" s="2"/>
      <c r="K65" s="2"/>
      <c r="L65" s="1"/>
      <c r="M65" s="1">
        <v>28</v>
      </c>
      <c r="N65" s="1" t="str">
        <f>IF($Q65&lt;=0,"",EOMONTH(AY_SONU!$B34,0))</f>
        <v/>
      </c>
      <c r="O65" s="1" t="str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" t="str">
        <f t="shared" si="9"/>
        <v/>
      </c>
      <c r="Q65" s="84">
        <f>IF($U$5="",0,IF($U$5="M",AY_SONU!$M34,AY_SONU!$N34))</f>
        <v>0</v>
      </c>
      <c r="R65" s="1">
        <v>0</v>
      </c>
      <c r="S65" s="1">
        <f t="shared" si="10"/>
        <v>10000000000</v>
      </c>
      <c r="T65" s="1"/>
      <c r="U65" s="1"/>
      <c r="V65" s="1">
        <f t="shared" si="11"/>
        <v>10000000000</v>
      </c>
      <c r="W65" s="1">
        <f t="shared" si="12"/>
        <v>2</v>
      </c>
    </row>
    <row r="66" spans="1:23" ht="19.5" customHeight="1" x14ac:dyDescent="0.3">
      <c r="A66" s="2"/>
      <c r="B66" s="65" t="str">
        <f t="shared" si="2"/>
        <v/>
      </c>
      <c r="C66" s="70" t="str">
        <f t="shared" si="3"/>
        <v/>
      </c>
      <c r="D66" s="171" t="str">
        <f t="shared" si="4"/>
        <v/>
      </c>
      <c r="E66" s="171"/>
      <c r="F66" s="65" t="str">
        <f t="shared" si="5"/>
        <v/>
      </c>
      <c r="G66" s="68" t="str">
        <f t="shared" si="6"/>
        <v/>
      </c>
      <c r="H66" s="68" t="str">
        <f t="shared" si="7"/>
        <v/>
      </c>
      <c r="I66" s="68" t="str">
        <f t="shared" si="8"/>
        <v/>
      </c>
      <c r="J66" s="2"/>
      <c r="K66" s="2"/>
      <c r="L66" s="1"/>
      <c r="M66" s="1">
        <v>29</v>
      </c>
      <c r="N66" s="1" t="str">
        <f>IF($Q66&lt;=0,"",EOMONTH(AY_SONU!$B35,0))</f>
        <v/>
      </c>
      <c r="O66" s="1" t="str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" t="str">
        <f t="shared" si="9"/>
        <v/>
      </c>
      <c r="Q66" s="84">
        <f>IF($U$5="",0,IF($U$5="M",AY_SONU!$M35,AY_SONU!$N35))</f>
        <v>0</v>
      </c>
      <c r="R66" s="1">
        <v>0</v>
      </c>
      <c r="S66" s="1">
        <f t="shared" si="10"/>
        <v>10000000000</v>
      </c>
      <c r="T66" s="1"/>
      <c r="U66" s="1"/>
      <c r="V66" s="1">
        <f t="shared" si="11"/>
        <v>10000000000</v>
      </c>
      <c r="W66" s="1">
        <f t="shared" si="12"/>
        <v>2</v>
      </c>
    </row>
    <row r="67" spans="1:23" ht="19.5" customHeight="1" x14ac:dyDescent="0.3">
      <c r="A67" s="2"/>
      <c r="B67" s="65" t="str">
        <f t="shared" si="2"/>
        <v/>
      </c>
      <c r="C67" s="70" t="str">
        <f t="shared" si="3"/>
        <v/>
      </c>
      <c r="D67" s="171" t="str">
        <f t="shared" si="4"/>
        <v/>
      </c>
      <c r="E67" s="171"/>
      <c r="F67" s="65" t="str">
        <f t="shared" si="5"/>
        <v/>
      </c>
      <c r="G67" s="68" t="str">
        <f t="shared" si="6"/>
        <v/>
      </c>
      <c r="H67" s="68" t="str">
        <f t="shared" si="7"/>
        <v/>
      </c>
      <c r="I67" s="68" t="str">
        <f t="shared" si="8"/>
        <v/>
      </c>
      <c r="J67" s="2"/>
      <c r="K67" s="2"/>
      <c r="L67" s="1"/>
      <c r="M67" s="1">
        <v>30</v>
      </c>
      <c r="N67" s="1" t="str">
        <f>IF($Q67&lt;=0,"",EOMONTH(AY_SONU!$B36,0))</f>
        <v/>
      </c>
      <c r="O67" s="1" t="str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" t="str">
        <f t="shared" si="9"/>
        <v/>
      </c>
      <c r="Q67" s="84">
        <f>IF($U$5="",0,IF($U$5="M",AY_SONU!$M36,AY_SONU!$N36))</f>
        <v>0</v>
      </c>
      <c r="R67" s="1">
        <v>0</v>
      </c>
      <c r="S67" s="1">
        <f t="shared" si="10"/>
        <v>10000000000</v>
      </c>
      <c r="T67" s="1"/>
      <c r="U67" s="1"/>
      <c r="V67" s="1">
        <f t="shared" si="11"/>
        <v>10000000000</v>
      </c>
      <c r="W67" s="1">
        <f t="shared" si="12"/>
        <v>2</v>
      </c>
    </row>
    <row r="68" spans="1:23" ht="19.5" customHeight="1" x14ac:dyDescent="0.3">
      <c r="A68" s="2"/>
      <c r="B68" s="65" t="str">
        <f t="shared" si="2"/>
        <v/>
      </c>
      <c r="C68" s="70" t="str">
        <f t="shared" si="3"/>
        <v/>
      </c>
      <c r="D68" s="171" t="str">
        <f t="shared" si="4"/>
        <v/>
      </c>
      <c r="E68" s="171"/>
      <c r="F68" s="65" t="str">
        <f t="shared" si="5"/>
        <v/>
      </c>
      <c r="G68" s="68" t="str">
        <f t="shared" si="6"/>
        <v/>
      </c>
      <c r="H68" s="68" t="str">
        <f t="shared" si="7"/>
        <v/>
      </c>
      <c r="I68" s="68" t="str">
        <f t="shared" si="8"/>
        <v/>
      </c>
      <c r="J68" s="2"/>
      <c r="K68" s="2"/>
      <c r="L68" s="1"/>
      <c r="M68" s="1">
        <v>31</v>
      </c>
      <c r="N68" s="1" t="str">
        <f>IF($Q68&lt;=0,"",EOMONTH(AY_SONU!$B37,0))</f>
        <v/>
      </c>
      <c r="O68" s="1" t="str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" t="str">
        <f t="shared" si="9"/>
        <v/>
      </c>
      <c r="Q68" s="84">
        <f>IF($U$5="",0,IF($U$5="M",AY_SONU!$M37,AY_SONU!$N37))</f>
        <v>0</v>
      </c>
      <c r="R68" s="1">
        <v>0</v>
      </c>
      <c r="S68" s="1">
        <f t="shared" si="10"/>
        <v>10000000000</v>
      </c>
      <c r="T68" s="1"/>
      <c r="U68" s="1"/>
      <c r="V68" s="1">
        <f t="shared" si="11"/>
        <v>10000000000</v>
      </c>
      <c r="W68" s="1">
        <f t="shared" si="12"/>
        <v>2</v>
      </c>
    </row>
    <row r="69" spans="1:23" ht="19.5" customHeight="1" x14ac:dyDescent="0.3">
      <c r="A69" s="2"/>
      <c r="B69" s="65" t="str">
        <f t="shared" si="2"/>
        <v/>
      </c>
      <c r="C69" s="70" t="str">
        <f t="shared" si="3"/>
        <v/>
      </c>
      <c r="D69" s="171" t="str">
        <f t="shared" si="4"/>
        <v/>
      </c>
      <c r="E69" s="171"/>
      <c r="F69" s="65" t="str">
        <f t="shared" si="5"/>
        <v/>
      </c>
      <c r="G69" s="68" t="str">
        <f t="shared" si="6"/>
        <v/>
      </c>
      <c r="H69" s="68" t="str">
        <f t="shared" si="7"/>
        <v/>
      </c>
      <c r="I69" s="68" t="str">
        <f t="shared" si="8"/>
        <v/>
      </c>
      <c r="J69" s="2"/>
      <c r="K69" s="2"/>
      <c r="L69" s="1"/>
      <c r="M69" s="1">
        <v>32</v>
      </c>
      <c r="N69" s="1" t="str">
        <f>IF($Q69&lt;=0,"",EOMONTH(AY_SONU!$B38,0))</f>
        <v/>
      </c>
      <c r="O69" s="1" t="str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" t="str">
        <f t="shared" si="9"/>
        <v/>
      </c>
      <c r="Q69" s="84">
        <f>IF($U$5="",0,IF($U$5="M",AY_SONU!$M38,AY_SONU!$N38))</f>
        <v>0</v>
      </c>
      <c r="R69" s="1">
        <v>0</v>
      </c>
      <c r="S69" s="1">
        <f t="shared" si="10"/>
        <v>10000000000</v>
      </c>
      <c r="T69" s="1"/>
      <c r="U69" s="1"/>
      <c r="V69" s="1">
        <f t="shared" si="11"/>
        <v>10000000000</v>
      </c>
      <c r="W69" s="1">
        <f t="shared" si="12"/>
        <v>2</v>
      </c>
    </row>
    <row r="70" spans="1:23" ht="19.5" customHeight="1" x14ac:dyDescent="0.3">
      <c r="A70" s="2"/>
      <c r="B70" s="65" t="str">
        <f t="shared" ref="B70:B101" si="13">IF($C70="","",ROW()-37)</f>
        <v/>
      </c>
      <c r="C70" s="70" t="str">
        <f t="shared" ref="C70:C101" si="14">IF($W70="","",IF(INDEX($N$38:$N$193,$W70)="","",INDEX($N$38:$N$193,$W70)))</f>
        <v/>
      </c>
      <c r="D70" s="171" t="str">
        <f t="shared" ref="D70:D101" si="15">IF($C70="","",INDEX($O$38:$O$193,$W70))</f>
        <v/>
      </c>
      <c r="E70" s="171"/>
      <c r="F70" s="65" t="str">
        <f t="shared" ref="F70:F101" si="16">IF($C70="","",INDEX($P$38:$P$193,$W70))</f>
        <v/>
      </c>
      <c r="G70" s="68" t="str">
        <f t="shared" ref="G70:G101" si="17">IF($C70="","",INDEX($Q$38:$Q$193,$W70))</f>
        <v/>
      </c>
      <c r="H70" s="68" t="str">
        <f t="shared" ref="H70:H101" si="18">IF($C70="","",INDEX($R$38:$R$193,$W70))</f>
        <v/>
      </c>
      <c r="I70" s="68" t="str">
        <f t="shared" ref="I70:I101" si="19">IF($C70="","",N($I69)+$G70-$H70)</f>
        <v/>
      </c>
      <c r="J70" s="2"/>
      <c r="K70" s="2"/>
      <c r="L70" s="1"/>
      <c r="M70" s="1">
        <v>33</v>
      </c>
      <c r="N70" s="1" t="str">
        <f>IF($Q70&lt;=0,"",EOMONTH(AY_SONU!$B39,0))</f>
        <v/>
      </c>
      <c r="O70" s="1" t="str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" t="str">
        <f t="shared" si="9"/>
        <v/>
      </c>
      <c r="Q70" s="84">
        <f>IF($U$5="",0,IF($U$5="M",AY_SONU!$M39,AY_SONU!$N39))</f>
        <v>0</v>
      </c>
      <c r="R70" s="1">
        <v>0</v>
      </c>
      <c r="S70" s="1">
        <f t="shared" ref="S70:S101" si="20">IF($N70="",10000000000,$N70*100000+$M70)</f>
        <v>10000000000</v>
      </c>
      <c r="T70" s="1"/>
      <c r="U70" s="1"/>
      <c r="V70" s="1">
        <f t="shared" ref="V70:V101" si="21">IFERROR(SMALL($S$38:$S$193,ROW()-37),"")</f>
        <v>10000000000</v>
      </c>
      <c r="W70" s="1">
        <f t="shared" ref="W70:W101" si="22">IFERROR(MATCH($V70,$S$38:$S$193,0),"")</f>
        <v>2</v>
      </c>
    </row>
    <row r="71" spans="1:23" ht="19.5" customHeight="1" x14ac:dyDescent="0.3">
      <c r="A71" s="2"/>
      <c r="B71" s="65" t="str">
        <f t="shared" si="13"/>
        <v/>
      </c>
      <c r="C71" s="70" t="str">
        <f t="shared" si="14"/>
        <v/>
      </c>
      <c r="D71" s="171" t="str">
        <f t="shared" si="15"/>
        <v/>
      </c>
      <c r="E71" s="171"/>
      <c r="F71" s="65" t="str">
        <f t="shared" si="16"/>
        <v/>
      </c>
      <c r="G71" s="68" t="str">
        <f t="shared" si="17"/>
        <v/>
      </c>
      <c r="H71" s="68" t="str">
        <f t="shared" si="18"/>
        <v/>
      </c>
      <c r="I71" s="68" t="str">
        <f t="shared" si="19"/>
        <v/>
      </c>
      <c r="J71" s="2"/>
      <c r="K71" s="2"/>
      <c r="L71" s="1"/>
      <c r="M71" s="1">
        <v>34</v>
      </c>
      <c r="N71" s="1" t="str">
        <f>IF($Q71&lt;=0,"",EOMONTH(AY_SONU!$B40,0))</f>
        <v/>
      </c>
      <c r="O71" s="1" t="str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" t="str">
        <f t="shared" si="9"/>
        <v/>
      </c>
      <c r="Q71" s="84">
        <f>IF($U$5="",0,IF($U$5="M",AY_SONU!$M40,AY_SONU!$N40))</f>
        <v>0</v>
      </c>
      <c r="R71" s="1">
        <v>0</v>
      </c>
      <c r="S71" s="1">
        <f t="shared" si="20"/>
        <v>10000000000</v>
      </c>
      <c r="T71" s="1"/>
      <c r="U71" s="1"/>
      <c r="V71" s="1">
        <f t="shared" si="21"/>
        <v>10000000000</v>
      </c>
      <c r="W71" s="1">
        <f t="shared" si="22"/>
        <v>2</v>
      </c>
    </row>
    <row r="72" spans="1:23" ht="19.5" customHeight="1" x14ac:dyDescent="0.3">
      <c r="A72" s="2"/>
      <c r="B72" s="65" t="str">
        <f t="shared" si="13"/>
        <v/>
      </c>
      <c r="C72" s="70" t="str">
        <f t="shared" si="14"/>
        <v/>
      </c>
      <c r="D72" s="171" t="str">
        <f t="shared" si="15"/>
        <v/>
      </c>
      <c r="E72" s="171"/>
      <c r="F72" s="65" t="str">
        <f t="shared" si="16"/>
        <v/>
      </c>
      <c r="G72" s="68" t="str">
        <f t="shared" si="17"/>
        <v/>
      </c>
      <c r="H72" s="68" t="str">
        <f t="shared" si="18"/>
        <v/>
      </c>
      <c r="I72" s="68" t="str">
        <f t="shared" si="19"/>
        <v/>
      </c>
      <c r="J72" s="2"/>
      <c r="K72" s="2"/>
      <c r="L72" s="1"/>
      <c r="M72" s="1">
        <v>35</v>
      </c>
      <c r="N72" s="1" t="str">
        <f>IF($Q72&lt;=0,"",EOMONTH(AY_SONU!$B41,0))</f>
        <v/>
      </c>
      <c r="O72" s="1" t="str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" t="str">
        <f t="shared" si="9"/>
        <v/>
      </c>
      <c r="Q72" s="84">
        <f>IF($U$5="",0,IF($U$5="M",AY_SONU!$M41,AY_SONU!$N41))</f>
        <v>0</v>
      </c>
      <c r="R72" s="1">
        <v>0</v>
      </c>
      <c r="S72" s="1">
        <f t="shared" si="20"/>
        <v>10000000000</v>
      </c>
      <c r="T72" s="1"/>
      <c r="U72" s="1"/>
      <c r="V72" s="1">
        <f t="shared" si="21"/>
        <v>10000000000</v>
      </c>
      <c r="W72" s="1">
        <f t="shared" si="22"/>
        <v>2</v>
      </c>
    </row>
    <row r="73" spans="1:23" ht="19.5" customHeight="1" x14ac:dyDescent="0.3">
      <c r="A73" s="2"/>
      <c r="B73" s="65" t="str">
        <f t="shared" si="13"/>
        <v/>
      </c>
      <c r="C73" s="70" t="str">
        <f t="shared" si="14"/>
        <v/>
      </c>
      <c r="D73" s="171" t="str">
        <f t="shared" si="15"/>
        <v/>
      </c>
      <c r="E73" s="171"/>
      <c r="F73" s="65" t="str">
        <f t="shared" si="16"/>
        <v/>
      </c>
      <c r="G73" s="68" t="str">
        <f t="shared" si="17"/>
        <v/>
      </c>
      <c r="H73" s="68" t="str">
        <f t="shared" si="18"/>
        <v/>
      </c>
      <c r="I73" s="68" t="str">
        <f t="shared" si="19"/>
        <v/>
      </c>
      <c r="J73" s="2"/>
      <c r="K73" s="2"/>
      <c r="L73" s="1"/>
      <c r="M73" s="1">
        <v>36</v>
      </c>
      <c r="N73" s="1" t="str">
        <f>IF($Q73&lt;=0,"",EOMONTH(AY_SONU!$B42,0))</f>
        <v/>
      </c>
      <c r="O73" s="1" t="str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" t="str">
        <f t="shared" si="9"/>
        <v/>
      </c>
      <c r="Q73" s="84">
        <f>IF($U$5="",0,IF($U$5="M",AY_SONU!$M42,AY_SONU!$N42))</f>
        <v>0</v>
      </c>
      <c r="R73" s="1">
        <v>0</v>
      </c>
      <c r="S73" s="1">
        <f t="shared" si="20"/>
        <v>10000000000</v>
      </c>
      <c r="T73" s="1"/>
      <c r="U73" s="1"/>
      <c r="V73" s="1">
        <f t="shared" si="21"/>
        <v>10000000000</v>
      </c>
      <c r="W73" s="1">
        <f t="shared" si="22"/>
        <v>2</v>
      </c>
    </row>
    <row r="74" spans="1:23" ht="19.5" customHeight="1" x14ac:dyDescent="0.3">
      <c r="A74" s="2"/>
      <c r="B74" s="65" t="str">
        <f t="shared" si="13"/>
        <v/>
      </c>
      <c r="C74" s="70" t="str">
        <f t="shared" si="14"/>
        <v/>
      </c>
      <c r="D74" s="171" t="str">
        <f t="shared" si="15"/>
        <v/>
      </c>
      <c r="E74" s="171"/>
      <c r="F74" s="65" t="str">
        <f t="shared" si="16"/>
        <v/>
      </c>
      <c r="G74" s="68" t="str">
        <f t="shared" si="17"/>
        <v/>
      </c>
      <c r="H74" s="68" t="str">
        <f t="shared" si="18"/>
        <v/>
      </c>
      <c r="I74" s="68" t="str">
        <f t="shared" si="19"/>
        <v/>
      </c>
      <c r="J74" s="2"/>
      <c r="K74" s="2"/>
      <c r="L74" s="1"/>
      <c r="M74" s="1">
        <v>37</v>
      </c>
      <c r="N74" s="1" t="str">
        <f>IF($T74=0,"",INDEX(GELIR_GIDER!$C$7:$C$3006,$T74))</f>
        <v/>
      </c>
      <c r="O74" s="1" t="str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1" t="str">
        <f t="shared" ref="P74:P105" si="23">IF($N74="","","ÖDEME")</f>
        <v/>
      </c>
      <c r="Q74" s="1">
        <v>0</v>
      </c>
      <c r="R74" s="1">
        <f>IF($N74="",0,INDEX(GELIR_GIDER!$G$7:$G$3006,$T74))</f>
        <v>0</v>
      </c>
      <c r="S74" s="1">
        <f t="shared" si="20"/>
        <v>10000000000</v>
      </c>
      <c r="T74" s="1">
        <f>IFERROR(MATCH($U$6&amp;"|1",GELIR_GIDER!$AE$7:$AE$3006,0),0)</f>
        <v>0</v>
      </c>
      <c r="U74" s="1"/>
      <c r="V74" s="1">
        <f t="shared" si="21"/>
        <v>10000000000</v>
      </c>
      <c r="W74" s="1">
        <f t="shared" si="22"/>
        <v>2</v>
      </c>
    </row>
    <row r="75" spans="1:23" ht="19.5" customHeight="1" x14ac:dyDescent="0.3">
      <c r="A75" s="2"/>
      <c r="B75" s="65" t="str">
        <f t="shared" si="13"/>
        <v/>
      </c>
      <c r="C75" s="70" t="str">
        <f t="shared" si="14"/>
        <v/>
      </c>
      <c r="D75" s="171" t="str">
        <f t="shared" si="15"/>
        <v/>
      </c>
      <c r="E75" s="171"/>
      <c r="F75" s="65" t="str">
        <f t="shared" si="16"/>
        <v/>
      </c>
      <c r="G75" s="68" t="str">
        <f t="shared" si="17"/>
        <v/>
      </c>
      <c r="H75" s="68" t="str">
        <f t="shared" si="18"/>
        <v/>
      </c>
      <c r="I75" s="68" t="str">
        <f t="shared" si="19"/>
        <v/>
      </c>
      <c r="J75" s="2"/>
      <c r="K75" s="2"/>
      <c r="L75" s="1"/>
      <c r="M75" s="1">
        <v>38</v>
      </c>
      <c r="N75" s="1" t="str">
        <f>IF($T75=0,"",INDEX(GELIR_GIDER!$C$7:$C$3006,$T75))</f>
        <v/>
      </c>
      <c r="O75" s="1" t="str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1" t="str">
        <f t="shared" si="23"/>
        <v/>
      </c>
      <c r="Q75" s="1">
        <v>0</v>
      </c>
      <c r="R75" s="1">
        <f>IF($N75="",0,INDEX(GELIR_GIDER!$G$7:$G$3006,$T75))</f>
        <v>0</v>
      </c>
      <c r="S75" s="1">
        <f t="shared" si="20"/>
        <v>10000000000</v>
      </c>
      <c r="T75" s="1">
        <f>IFERROR(MATCH($U$6&amp;"|2",GELIR_GIDER!$AE$7:$AE$3006,0),0)</f>
        <v>0</v>
      </c>
      <c r="U75" s="1"/>
      <c r="V75" s="1">
        <f t="shared" si="21"/>
        <v>10000000000</v>
      </c>
      <c r="W75" s="1">
        <f t="shared" si="22"/>
        <v>2</v>
      </c>
    </row>
    <row r="76" spans="1:23" ht="19.5" customHeight="1" x14ac:dyDescent="0.3">
      <c r="A76" s="2"/>
      <c r="B76" s="65" t="str">
        <f t="shared" si="13"/>
        <v/>
      </c>
      <c r="C76" s="70" t="str">
        <f t="shared" si="14"/>
        <v/>
      </c>
      <c r="D76" s="171" t="str">
        <f t="shared" si="15"/>
        <v/>
      </c>
      <c r="E76" s="171"/>
      <c r="F76" s="65" t="str">
        <f t="shared" si="16"/>
        <v/>
      </c>
      <c r="G76" s="68" t="str">
        <f t="shared" si="17"/>
        <v/>
      </c>
      <c r="H76" s="68" t="str">
        <f t="shared" si="18"/>
        <v/>
      </c>
      <c r="I76" s="68" t="str">
        <f t="shared" si="19"/>
        <v/>
      </c>
      <c r="J76" s="2"/>
      <c r="K76" s="2"/>
      <c r="L76" s="1"/>
      <c r="M76" s="1">
        <v>39</v>
      </c>
      <c r="N76" s="1" t="str">
        <f>IF($T76=0,"",INDEX(GELIR_GIDER!$C$7:$C$3006,$T76))</f>
        <v/>
      </c>
      <c r="O76" s="1" t="str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1" t="str">
        <f t="shared" si="23"/>
        <v/>
      </c>
      <c r="Q76" s="1">
        <v>0</v>
      </c>
      <c r="R76" s="1">
        <f>IF($N76="",0,INDEX(GELIR_GIDER!$G$7:$G$3006,$T76))</f>
        <v>0</v>
      </c>
      <c r="S76" s="1">
        <f t="shared" si="20"/>
        <v>10000000000</v>
      </c>
      <c r="T76" s="1">
        <f>IFERROR(MATCH($U$6&amp;"|3",GELIR_GIDER!$AE$7:$AE$3006,0),0)</f>
        <v>0</v>
      </c>
      <c r="U76" s="1"/>
      <c r="V76" s="1">
        <f t="shared" si="21"/>
        <v>10000000000</v>
      </c>
      <c r="W76" s="1">
        <f t="shared" si="22"/>
        <v>2</v>
      </c>
    </row>
    <row r="77" spans="1:23" ht="19.5" customHeight="1" x14ac:dyDescent="0.3">
      <c r="A77" s="2"/>
      <c r="B77" s="65" t="str">
        <f t="shared" si="13"/>
        <v/>
      </c>
      <c r="C77" s="70" t="str">
        <f t="shared" si="14"/>
        <v/>
      </c>
      <c r="D77" s="171" t="str">
        <f t="shared" si="15"/>
        <v/>
      </c>
      <c r="E77" s="171"/>
      <c r="F77" s="65" t="str">
        <f t="shared" si="16"/>
        <v/>
      </c>
      <c r="G77" s="68" t="str">
        <f t="shared" si="17"/>
        <v/>
      </c>
      <c r="H77" s="68" t="str">
        <f t="shared" si="18"/>
        <v/>
      </c>
      <c r="I77" s="68" t="str">
        <f t="shared" si="19"/>
        <v/>
      </c>
      <c r="J77" s="2"/>
      <c r="K77" s="2"/>
      <c r="L77" s="1"/>
      <c r="M77" s="1">
        <v>40</v>
      </c>
      <c r="N77" s="1" t="str">
        <f>IF($T77=0,"",INDEX(GELIR_GIDER!$C$7:$C$3006,$T77))</f>
        <v/>
      </c>
      <c r="O77" s="1" t="str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1" t="str">
        <f t="shared" si="23"/>
        <v/>
      </c>
      <c r="Q77" s="1">
        <v>0</v>
      </c>
      <c r="R77" s="1">
        <f>IF($N77="",0,INDEX(GELIR_GIDER!$G$7:$G$3006,$T77))</f>
        <v>0</v>
      </c>
      <c r="S77" s="1">
        <f t="shared" si="20"/>
        <v>10000000000</v>
      </c>
      <c r="T77" s="1">
        <f>IFERROR(MATCH($U$6&amp;"|4",GELIR_GIDER!$AE$7:$AE$3006,0),0)</f>
        <v>0</v>
      </c>
      <c r="U77" s="1"/>
      <c r="V77" s="1">
        <f t="shared" si="21"/>
        <v>10000000000</v>
      </c>
      <c r="W77" s="1">
        <f t="shared" si="22"/>
        <v>2</v>
      </c>
    </row>
    <row r="78" spans="1:23" ht="19.5" customHeight="1" x14ac:dyDescent="0.3">
      <c r="A78" s="2"/>
      <c r="B78" s="65" t="str">
        <f t="shared" si="13"/>
        <v/>
      </c>
      <c r="C78" s="70" t="str">
        <f t="shared" si="14"/>
        <v/>
      </c>
      <c r="D78" s="171" t="str">
        <f t="shared" si="15"/>
        <v/>
      </c>
      <c r="E78" s="171"/>
      <c r="F78" s="65" t="str">
        <f t="shared" si="16"/>
        <v/>
      </c>
      <c r="G78" s="68" t="str">
        <f t="shared" si="17"/>
        <v/>
      </c>
      <c r="H78" s="68" t="str">
        <f t="shared" si="18"/>
        <v/>
      </c>
      <c r="I78" s="68" t="str">
        <f t="shared" si="19"/>
        <v/>
      </c>
      <c r="J78" s="2"/>
      <c r="K78" s="2"/>
      <c r="L78" s="1"/>
      <c r="M78" s="1">
        <v>41</v>
      </c>
      <c r="N78" s="1" t="str">
        <f>IF($T78=0,"",INDEX(GELIR_GIDER!$C$7:$C$3006,$T78))</f>
        <v/>
      </c>
      <c r="O78" s="1" t="str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1" t="str">
        <f t="shared" si="23"/>
        <v/>
      </c>
      <c r="Q78" s="1">
        <v>0</v>
      </c>
      <c r="R78" s="1">
        <f>IF($N78="",0,INDEX(GELIR_GIDER!$G$7:$G$3006,$T78))</f>
        <v>0</v>
      </c>
      <c r="S78" s="1">
        <f t="shared" si="20"/>
        <v>10000000000</v>
      </c>
      <c r="T78" s="1">
        <f>IFERROR(MATCH($U$6&amp;"|5",GELIR_GIDER!$AE$7:$AE$3006,0),0)</f>
        <v>0</v>
      </c>
      <c r="U78" s="1"/>
      <c r="V78" s="1">
        <f t="shared" si="21"/>
        <v>10000000000</v>
      </c>
      <c r="W78" s="1">
        <f t="shared" si="22"/>
        <v>2</v>
      </c>
    </row>
    <row r="79" spans="1:23" ht="19.5" customHeight="1" x14ac:dyDescent="0.3">
      <c r="A79" s="2"/>
      <c r="B79" s="65" t="str">
        <f t="shared" si="13"/>
        <v/>
      </c>
      <c r="C79" s="70" t="str">
        <f t="shared" si="14"/>
        <v/>
      </c>
      <c r="D79" s="171" t="str">
        <f t="shared" si="15"/>
        <v/>
      </c>
      <c r="E79" s="171"/>
      <c r="F79" s="65" t="str">
        <f t="shared" si="16"/>
        <v/>
      </c>
      <c r="G79" s="68" t="str">
        <f t="shared" si="17"/>
        <v/>
      </c>
      <c r="H79" s="68" t="str">
        <f t="shared" si="18"/>
        <v/>
      </c>
      <c r="I79" s="68" t="str">
        <f t="shared" si="19"/>
        <v/>
      </c>
      <c r="J79" s="2"/>
      <c r="K79" s="2"/>
      <c r="L79" s="1"/>
      <c r="M79" s="1">
        <v>42</v>
      </c>
      <c r="N79" s="1" t="str">
        <f>IF($T79=0,"",INDEX(GELIR_GIDER!$C$7:$C$3006,$T79))</f>
        <v/>
      </c>
      <c r="O79" s="1" t="str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1" t="str">
        <f t="shared" si="23"/>
        <v/>
      </c>
      <c r="Q79" s="1">
        <v>0</v>
      </c>
      <c r="R79" s="1">
        <f>IF($N79="",0,INDEX(GELIR_GIDER!$G$7:$G$3006,$T79))</f>
        <v>0</v>
      </c>
      <c r="S79" s="1">
        <f t="shared" si="20"/>
        <v>10000000000</v>
      </c>
      <c r="T79" s="1">
        <f>IFERROR(MATCH($U$6&amp;"|6",GELIR_GIDER!$AE$7:$AE$3006,0),0)</f>
        <v>0</v>
      </c>
      <c r="U79" s="1"/>
      <c r="V79" s="1">
        <f t="shared" si="21"/>
        <v>10000000000</v>
      </c>
      <c r="W79" s="1">
        <f t="shared" si="22"/>
        <v>2</v>
      </c>
    </row>
    <row r="80" spans="1:23" ht="19.5" customHeight="1" x14ac:dyDescent="0.3">
      <c r="A80" s="2"/>
      <c r="B80" s="65" t="str">
        <f t="shared" si="13"/>
        <v/>
      </c>
      <c r="C80" s="70" t="str">
        <f t="shared" si="14"/>
        <v/>
      </c>
      <c r="D80" s="171" t="str">
        <f t="shared" si="15"/>
        <v/>
      </c>
      <c r="E80" s="171"/>
      <c r="F80" s="65" t="str">
        <f t="shared" si="16"/>
        <v/>
      </c>
      <c r="G80" s="68" t="str">
        <f t="shared" si="17"/>
        <v/>
      </c>
      <c r="H80" s="68" t="str">
        <f t="shared" si="18"/>
        <v/>
      </c>
      <c r="I80" s="68" t="str">
        <f t="shared" si="19"/>
        <v/>
      </c>
      <c r="J80" s="2"/>
      <c r="K80" s="2"/>
      <c r="L80" s="1"/>
      <c r="M80" s="1">
        <v>43</v>
      </c>
      <c r="N80" s="1" t="str">
        <f>IF($T80=0,"",INDEX(GELIR_GIDER!$C$7:$C$3006,$T80))</f>
        <v/>
      </c>
      <c r="O80" s="1" t="str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1" t="str">
        <f t="shared" si="23"/>
        <v/>
      </c>
      <c r="Q80" s="1">
        <v>0</v>
      </c>
      <c r="R80" s="1">
        <f>IF($N80="",0,INDEX(GELIR_GIDER!$G$7:$G$3006,$T80))</f>
        <v>0</v>
      </c>
      <c r="S80" s="1">
        <f t="shared" si="20"/>
        <v>10000000000</v>
      </c>
      <c r="T80" s="1">
        <f>IFERROR(MATCH($U$6&amp;"|7",GELIR_GIDER!$AE$7:$AE$3006,0),0)</f>
        <v>0</v>
      </c>
      <c r="U80" s="1"/>
      <c r="V80" s="1">
        <f t="shared" si="21"/>
        <v>10000000000</v>
      </c>
      <c r="W80" s="1">
        <f t="shared" si="22"/>
        <v>2</v>
      </c>
    </row>
    <row r="81" spans="1:23" ht="19.5" customHeight="1" x14ac:dyDescent="0.3">
      <c r="A81" s="2"/>
      <c r="B81" s="65" t="str">
        <f t="shared" si="13"/>
        <v/>
      </c>
      <c r="C81" s="70" t="str">
        <f t="shared" si="14"/>
        <v/>
      </c>
      <c r="D81" s="171" t="str">
        <f t="shared" si="15"/>
        <v/>
      </c>
      <c r="E81" s="171"/>
      <c r="F81" s="65" t="str">
        <f t="shared" si="16"/>
        <v/>
      </c>
      <c r="G81" s="68" t="str">
        <f t="shared" si="17"/>
        <v/>
      </c>
      <c r="H81" s="68" t="str">
        <f t="shared" si="18"/>
        <v/>
      </c>
      <c r="I81" s="68" t="str">
        <f t="shared" si="19"/>
        <v/>
      </c>
      <c r="J81" s="2"/>
      <c r="K81" s="2"/>
      <c r="L81" s="1"/>
      <c r="M81" s="1">
        <v>44</v>
      </c>
      <c r="N81" s="1" t="str">
        <f>IF($T81=0,"",INDEX(GELIR_GIDER!$C$7:$C$3006,$T81))</f>
        <v/>
      </c>
      <c r="O81" s="1" t="str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1" t="str">
        <f t="shared" si="23"/>
        <v/>
      </c>
      <c r="Q81" s="1">
        <v>0</v>
      </c>
      <c r="R81" s="1">
        <f>IF($N81="",0,INDEX(GELIR_GIDER!$G$7:$G$3006,$T81))</f>
        <v>0</v>
      </c>
      <c r="S81" s="1">
        <f t="shared" si="20"/>
        <v>10000000000</v>
      </c>
      <c r="T81" s="1">
        <f>IFERROR(MATCH($U$6&amp;"|8",GELIR_GIDER!$AE$7:$AE$3006,0),0)</f>
        <v>0</v>
      </c>
      <c r="U81" s="1"/>
      <c r="V81" s="1">
        <f t="shared" si="21"/>
        <v>10000000000</v>
      </c>
      <c r="W81" s="1">
        <f t="shared" si="22"/>
        <v>2</v>
      </c>
    </row>
    <row r="82" spans="1:23" ht="19.5" customHeight="1" x14ac:dyDescent="0.3">
      <c r="A82" s="2"/>
      <c r="B82" s="65" t="str">
        <f t="shared" si="13"/>
        <v/>
      </c>
      <c r="C82" s="70" t="str">
        <f t="shared" si="14"/>
        <v/>
      </c>
      <c r="D82" s="171" t="str">
        <f t="shared" si="15"/>
        <v/>
      </c>
      <c r="E82" s="171"/>
      <c r="F82" s="65" t="str">
        <f t="shared" si="16"/>
        <v/>
      </c>
      <c r="G82" s="68" t="str">
        <f t="shared" si="17"/>
        <v/>
      </c>
      <c r="H82" s="68" t="str">
        <f t="shared" si="18"/>
        <v/>
      </c>
      <c r="I82" s="68" t="str">
        <f t="shared" si="19"/>
        <v/>
      </c>
      <c r="J82" s="2"/>
      <c r="K82" s="2"/>
      <c r="L82" s="1"/>
      <c r="M82" s="1">
        <v>45</v>
      </c>
      <c r="N82" s="1" t="str">
        <f>IF($T82=0,"",INDEX(GELIR_GIDER!$C$7:$C$3006,$T82))</f>
        <v/>
      </c>
      <c r="O82" s="1" t="str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1" t="str">
        <f t="shared" si="23"/>
        <v/>
      </c>
      <c r="Q82" s="1">
        <v>0</v>
      </c>
      <c r="R82" s="1">
        <f>IF($N82="",0,INDEX(GELIR_GIDER!$G$7:$G$3006,$T82))</f>
        <v>0</v>
      </c>
      <c r="S82" s="1">
        <f t="shared" si="20"/>
        <v>10000000000</v>
      </c>
      <c r="T82" s="1">
        <f>IFERROR(MATCH($U$6&amp;"|9",GELIR_GIDER!$AE$7:$AE$3006,0),0)</f>
        <v>0</v>
      </c>
      <c r="U82" s="1"/>
      <c r="V82" s="1">
        <f t="shared" si="21"/>
        <v>10000000000</v>
      </c>
      <c r="W82" s="1">
        <f t="shared" si="22"/>
        <v>2</v>
      </c>
    </row>
    <row r="83" spans="1:23" ht="19.5" customHeight="1" x14ac:dyDescent="0.3">
      <c r="A83" s="2"/>
      <c r="B83" s="65" t="str">
        <f t="shared" si="13"/>
        <v/>
      </c>
      <c r="C83" s="70" t="str">
        <f t="shared" si="14"/>
        <v/>
      </c>
      <c r="D83" s="171" t="str">
        <f t="shared" si="15"/>
        <v/>
      </c>
      <c r="E83" s="171"/>
      <c r="F83" s="65" t="str">
        <f t="shared" si="16"/>
        <v/>
      </c>
      <c r="G83" s="68" t="str">
        <f t="shared" si="17"/>
        <v/>
      </c>
      <c r="H83" s="68" t="str">
        <f t="shared" si="18"/>
        <v/>
      </c>
      <c r="I83" s="68" t="str">
        <f t="shared" si="19"/>
        <v/>
      </c>
      <c r="J83" s="2"/>
      <c r="K83" s="2"/>
      <c r="L83" s="1"/>
      <c r="M83" s="1">
        <v>46</v>
      </c>
      <c r="N83" s="1" t="str">
        <f>IF($T83=0,"",INDEX(GELIR_GIDER!$C$7:$C$3006,$T83))</f>
        <v/>
      </c>
      <c r="O83" s="1" t="str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1" t="str">
        <f t="shared" si="23"/>
        <v/>
      </c>
      <c r="Q83" s="1">
        <v>0</v>
      </c>
      <c r="R83" s="1">
        <f>IF($N83="",0,INDEX(GELIR_GIDER!$G$7:$G$3006,$T83))</f>
        <v>0</v>
      </c>
      <c r="S83" s="1">
        <f t="shared" si="20"/>
        <v>10000000000</v>
      </c>
      <c r="T83" s="1">
        <f>IFERROR(MATCH($U$6&amp;"|10",GELIR_GIDER!$AE$7:$AE$3006,0),0)</f>
        <v>0</v>
      </c>
      <c r="U83" s="1"/>
      <c r="V83" s="1">
        <f t="shared" si="21"/>
        <v>10000000000</v>
      </c>
      <c r="W83" s="1">
        <f t="shared" si="22"/>
        <v>2</v>
      </c>
    </row>
    <row r="84" spans="1:23" ht="19.5" customHeight="1" x14ac:dyDescent="0.3">
      <c r="A84" s="2"/>
      <c r="B84" s="65" t="str">
        <f t="shared" si="13"/>
        <v/>
      </c>
      <c r="C84" s="70" t="str">
        <f t="shared" si="14"/>
        <v/>
      </c>
      <c r="D84" s="171" t="str">
        <f t="shared" si="15"/>
        <v/>
      </c>
      <c r="E84" s="171"/>
      <c r="F84" s="65" t="str">
        <f t="shared" si="16"/>
        <v/>
      </c>
      <c r="G84" s="68" t="str">
        <f t="shared" si="17"/>
        <v/>
      </c>
      <c r="H84" s="68" t="str">
        <f t="shared" si="18"/>
        <v/>
      </c>
      <c r="I84" s="68" t="str">
        <f t="shared" si="19"/>
        <v/>
      </c>
      <c r="J84" s="2"/>
      <c r="K84" s="2"/>
      <c r="L84" s="1"/>
      <c r="M84" s="1">
        <v>47</v>
      </c>
      <c r="N84" s="1" t="str">
        <f>IF($T84=0,"",INDEX(GELIR_GIDER!$C$7:$C$3006,$T84))</f>
        <v/>
      </c>
      <c r="O84" s="1" t="str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1" t="str">
        <f t="shared" si="23"/>
        <v/>
      </c>
      <c r="Q84" s="1">
        <v>0</v>
      </c>
      <c r="R84" s="1">
        <f>IF($N84="",0,INDEX(GELIR_GIDER!$G$7:$G$3006,$T84))</f>
        <v>0</v>
      </c>
      <c r="S84" s="1">
        <f t="shared" si="20"/>
        <v>10000000000</v>
      </c>
      <c r="T84" s="1">
        <f>IFERROR(MATCH($U$6&amp;"|11",GELIR_GIDER!$AE$7:$AE$3006,0),0)</f>
        <v>0</v>
      </c>
      <c r="U84" s="1"/>
      <c r="V84" s="1">
        <f t="shared" si="21"/>
        <v>10000000000</v>
      </c>
      <c r="W84" s="1">
        <f t="shared" si="22"/>
        <v>2</v>
      </c>
    </row>
    <row r="85" spans="1:23" ht="19.5" customHeight="1" x14ac:dyDescent="0.3">
      <c r="A85" s="2"/>
      <c r="B85" s="65" t="str">
        <f t="shared" si="13"/>
        <v/>
      </c>
      <c r="C85" s="70" t="str">
        <f t="shared" si="14"/>
        <v/>
      </c>
      <c r="D85" s="171" t="str">
        <f t="shared" si="15"/>
        <v/>
      </c>
      <c r="E85" s="171"/>
      <c r="F85" s="65" t="str">
        <f t="shared" si="16"/>
        <v/>
      </c>
      <c r="G85" s="68" t="str">
        <f t="shared" si="17"/>
        <v/>
      </c>
      <c r="H85" s="68" t="str">
        <f t="shared" si="18"/>
        <v/>
      </c>
      <c r="I85" s="68" t="str">
        <f t="shared" si="19"/>
        <v/>
      </c>
      <c r="J85" s="2"/>
      <c r="K85" s="2"/>
      <c r="L85" s="1"/>
      <c r="M85" s="1">
        <v>48</v>
      </c>
      <c r="N85" s="1" t="str">
        <f>IF($T85=0,"",INDEX(GELIR_GIDER!$C$7:$C$3006,$T85))</f>
        <v/>
      </c>
      <c r="O85" s="1" t="str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1" t="str">
        <f t="shared" si="23"/>
        <v/>
      </c>
      <c r="Q85" s="1">
        <v>0</v>
      </c>
      <c r="R85" s="1">
        <f>IF($N85="",0,INDEX(GELIR_GIDER!$G$7:$G$3006,$T85))</f>
        <v>0</v>
      </c>
      <c r="S85" s="1">
        <f t="shared" si="20"/>
        <v>10000000000</v>
      </c>
      <c r="T85" s="1">
        <f>IFERROR(MATCH($U$6&amp;"|12",GELIR_GIDER!$AE$7:$AE$3006,0),0)</f>
        <v>0</v>
      </c>
      <c r="U85" s="1"/>
      <c r="V85" s="1">
        <f t="shared" si="21"/>
        <v>10000000000</v>
      </c>
      <c r="W85" s="1">
        <f t="shared" si="22"/>
        <v>2</v>
      </c>
    </row>
    <row r="86" spans="1:23" ht="19.5" customHeight="1" x14ac:dyDescent="0.3">
      <c r="A86" s="2"/>
      <c r="B86" s="65" t="str">
        <f t="shared" si="13"/>
        <v/>
      </c>
      <c r="C86" s="70" t="str">
        <f t="shared" si="14"/>
        <v/>
      </c>
      <c r="D86" s="171" t="str">
        <f t="shared" si="15"/>
        <v/>
      </c>
      <c r="E86" s="171"/>
      <c r="F86" s="65" t="str">
        <f t="shared" si="16"/>
        <v/>
      </c>
      <c r="G86" s="68" t="str">
        <f t="shared" si="17"/>
        <v/>
      </c>
      <c r="H86" s="68" t="str">
        <f t="shared" si="18"/>
        <v/>
      </c>
      <c r="I86" s="68" t="str">
        <f t="shared" si="19"/>
        <v/>
      </c>
      <c r="J86" s="2"/>
      <c r="K86" s="2"/>
      <c r="L86" s="1"/>
      <c r="M86" s="1">
        <v>49</v>
      </c>
      <c r="N86" s="1" t="str">
        <f>IF($T86=0,"",INDEX(GELIR_GIDER!$C$7:$C$3006,$T86))</f>
        <v/>
      </c>
      <c r="O86" s="1" t="str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1" t="str">
        <f t="shared" si="23"/>
        <v/>
      </c>
      <c r="Q86" s="1">
        <v>0</v>
      </c>
      <c r="R86" s="1">
        <f>IF($N86="",0,INDEX(GELIR_GIDER!$G$7:$G$3006,$T86))</f>
        <v>0</v>
      </c>
      <c r="S86" s="1">
        <f t="shared" si="20"/>
        <v>10000000000</v>
      </c>
      <c r="T86" s="1">
        <f>IFERROR(MATCH($U$6&amp;"|13",GELIR_GIDER!$AE$7:$AE$3006,0),0)</f>
        <v>0</v>
      </c>
      <c r="U86" s="1"/>
      <c r="V86" s="1">
        <f t="shared" si="21"/>
        <v>10000000000</v>
      </c>
      <c r="W86" s="1">
        <f t="shared" si="22"/>
        <v>2</v>
      </c>
    </row>
    <row r="87" spans="1:23" ht="19.5" customHeight="1" x14ac:dyDescent="0.3">
      <c r="A87" s="2"/>
      <c r="B87" s="65" t="str">
        <f t="shared" si="13"/>
        <v/>
      </c>
      <c r="C87" s="70" t="str">
        <f t="shared" si="14"/>
        <v/>
      </c>
      <c r="D87" s="171" t="str">
        <f t="shared" si="15"/>
        <v/>
      </c>
      <c r="E87" s="171"/>
      <c r="F87" s="65" t="str">
        <f t="shared" si="16"/>
        <v/>
      </c>
      <c r="G87" s="68" t="str">
        <f t="shared" si="17"/>
        <v/>
      </c>
      <c r="H87" s="68" t="str">
        <f t="shared" si="18"/>
        <v/>
      </c>
      <c r="I87" s="68" t="str">
        <f t="shared" si="19"/>
        <v/>
      </c>
      <c r="J87" s="2"/>
      <c r="K87" s="2"/>
      <c r="L87" s="1"/>
      <c r="M87" s="1">
        <v>50</v>
      </c>
      <c r="N87" s="1" t="str">
        <f>IF($T87=0,"",INDEX(GELIR_GIDER!$C$7:$C$3006,$T87))</f>
        <v/>
      </c>
      <c r="O87" s="1" t="str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1" t="str">
        <f t="shared" si="23"/>
        <v/>
      </c>
      <c r="Q87" s="1">
        <v>0</v>
      </c>
      <c r="R87" s="1">
        <f>IF($N87="",0,INDEX(GELIR_GIDER!$G$7:$G$3006,$T87))</f>
        <v>0</v>
      </c>
      <c r="S87" s="1">
        <f t="shared" si="20"/>
        <v>10000000000</v>
      </c>
      <c r="T87" s="1">
        <f>IFERROR(MATCH($U$6&amp;"|14",GELIR_GIDER!$AE$7:$AE$3006,0),0)</f>
        <v>0</v>
      </c>
      <c r="U87" s="1"/>
      <c r="V87" s="1">
        <f t="shared" si="21"/>
        <v>10000000000</v>
      </c>
      <c r="W87" s="1">
        <f t="shared" si="22"/>
        <v>2</v>
      </c>
    </row>
    <row r="88" spans="1:23" ht="19.5" customHeight="1" x14ac:dyDescent="0.3">
      <c r="A88" s="2"/>
      <c r="B88" s="65" t="str">
        <f t="shared" si="13"/>
        <v/>
      </c>
      <c r="C88" s="70" t="str">
        <f t="shared" si="14"/>
        <v/>
      </c>
      <c r="D88" s="171" t="str">
        <f t="shared" si="15"/>
        <v/>
      </c>
      <c r="E88" s="171"/>
      <c r="F88" s="65" t="str">
        <f t="shared" si="16"/>
        <v/>
      </c>
      <c r="G88" s="68" t="str">
        <f t="shared" si="17"/>
        <v/>
      </c>
      <c r="H88" s="68" t="str">
        <f t="shared" si="18"/>
        <v/>
      </c>
      <c r="I88" s="68" t="str">
        <f t="shared" si="19"/>
        <v/>
      </c>
      <c r="J88" s="2"/>
      <c r="K88" s="2"/>
      <c r="L88" s="1"/>
      <c r="M88" s="1">
        <v>51</v>
      </c>
      <c r="N88" s="1" t="str">
        <f>IF($T88=0,"",INDEX(GELIR_GIDER!$C$7:$C$3006,$T88))</f>
        <v/>
      </c>
      <c r="O88" s="1" t="str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1" t="str">
        <f t="shared" si="23"/>
        <v/>
      </c>
      <c r="Q88" s="1">
        <v>0</v>
      </c>
      <c r="R88" s="1">
        <f>IF($N88="",0,INDEX(GELIR_GIDER!$G$7:$G$3006,$T88))</f>
        <v>0</v>
      </c>
      <c r="S88" s="1">
        <f t="shared" si="20"/>
        <v>10000000000</v>
      </c>
      <c r="T88" s="1">
        <f>IFERROR(MATCH($U$6&amp;"|15",GELIR_GIDER!$AE$7:$AE$3006,0),0)</f>
        <v>0</v>
      </c>
      <c r="U88" s="1"/>
      <c r="V88" s="1">
        <f t="shared" si="21"/>
        <v>10000000000</v>
      </c>
      <c r="W88" s="1">
        <f t="shared" si="22"/>
        <v>2</v>
      </c>
    </row>
    <row r="89" spans="1:23" ht="19.5" customHeight="1" x14ac:dyDescent="0.3">
      <c r="A89" s="2"/>
      <c r="B89" s="65" t="str">
        <f t="shared" si="13"/>
        <v/>
      </c>
      <c r="C89" s="70" t="str">
        <f t="shared" si="14"/>
        <v/>
      </c>
      <c r="D89" s="171" t="str">
        <f t="shared" si="15"/>
        <v/>
      </c>
      <c r="E89" s="171"/>
      <c r="F89" s="65" t="str">
        <f t="shared" si="16"/>
        <v/>
      </c>
      <c r="G89" s="68" t="str">
        <f t="shared" si="17"/>
        <v/>
      </c>
      <c r="H89" s="68" t="str">
        <f t="shared" si="18"/>
        <v/>
      </c>
      <c r="I89" s="68" t="str">
        <f t="shared" si="19"/>
        <v/>
      </c>
      <c r="J89" s="2"/>
      <c r="K89" s="2"/>
      <c r="L89" s="1"/>
      <c r="M89" s="1">
        <v>52</v>
      </c>
      <c r="N89" s="1" t="str">
        <f>IF($T89=0,"",INDEX(GELIR_GIDER!$C$7:$C$3006,$T89))</f>
        <v/>
      </c>
      <c r="O89" s="1" t="str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1" t="str">
        <f t="shared" si="23"/>
        <v/>
      </c>
      <c r="Q89" s="1">
        <v>0</v>
      </c>
      <c r="R89" s="1">
        <f>IF($N89="",0,INDEX(GELIR_GIDER!$G$7:$G$3006,$T89))</f>
        <v>0</v>
      </c>
      <c r="S89" s="1">
        <f t="shared" si="20"/>
        <v>10000000000</v>
      </c>
      <c r="T89" s="1">
        <f>IFERROR(MATCH($U$6&amp;"|16",GELIR_GIDER!$AE$7:$AE$3006,0),0)</f>
        <v>0</v>
      </c>
      <c r="U89" s="1"/>
      <c r="V89" s="1">
        <f t="shared" si="21"/>
        <v>10000000000</v>
      </c>
      <c r="W89" s="1">
        <f t="shared" si="22"/>
        <v>2</v>
      </c>
    </row>
    <row r="90" spans="1:23" ht="19.5" customHeight="1" x14ac:dyDescent="0.3">
      <c r="A90" s="2"/>
      <c r="B90" s="65" t="str">
        <f t="shared" si="13"/>
        <v/>
      </c>
      <c r="C90" s="70" t="str">
        <f t="shared" si="14"/>
        <v/>
      </c>
      <c r="D90" s="171" t="str">
        <f t="shared" si="15"/>
        <v/>
      </c>
      <c r="E90" s="171"/>
      <c r="F90" s="65" t="str">
        <f t="shared" si="16"/>
        <v/>
      </c>
      <c r="G90" s="68" t="str">
        <f t="shared" si="17"/>
        <v/>
      </c>
      <c r="H90" s="68" t="str">
        <f t="shared" si="18"/>
        <v/>
      </c>
      <c r="I90" s="68" t="str">
        <f t="shared" si="19"/>
        <v/>
      </c>
      <c r="J90" s="2"/>
      <c r="K90" s="2"/>
      <c r="L90" s="1"/>
      <c r="M90" s="1">
        <v>53</v>
      </c>
      <c r="N90" s="1" t="str">
        <f>IF($T90=0,"",INDEX(GELIR_GIDER!$C$7:$C$3006,$T90))</f>
        <v/>
      </c>
      <c r="O90" s="1" t="str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1" t="str">
        <f t="shared" si="23"/>
        <v/>
      </c>
      <c r="Q90" s="1">
        <v>0</v>
      </c>
      <c r="R90" s="1">
        <f>IF($N90="",0,INDEX(GELIR_GIDER!$G$7:$G$3006,$T90))</f>
        <v>0</v>
      </c>
      <c r="S90" s="1">
        <f t="shared" si="20"/>
        <v>10000000000</v>
      </c>
      <c r="T90" s="1">
        <f>IFERROR(MATCH($U$6&amp;"|17",GELIR_GIDER!$AE$7:$AE$3006,0),0)</f>
        <v>0</v>
      </c>
      <c r="U90" s="1"/>
      <c r="V90" s="1">
        <f t="shared" si="21"/>
        <v>10000000000</v>
      </c>
      <c r="W90" s="1">
        <f t="shared" si="22"/>
        <v>2</v>
      </c>
    </row>
    <row r="91" spans="1:23" ht="19.5" customHeight="1" x14ac:dyDescent="0.3">
      <c r="A91" s="2"/>
      <c r="B91" s="65" t="str">
        <f t="shared" si="13"/>
        <v/>
      </c>
      <c r="C91" s="70" t="str">
        <f t="shared" si="14"/>
        <v/>
      </c>
      <c r="D91" s="171" t="str">
        <f t="shared" si="15"/>
        <v/>
      </c>
      <c r="E91" s="171"/>
      <c r="F91" s="65" t="str">
        <f t="shared" si="16"/>
        <v/>
      </c>
      <c r="G91" s="68" t="str">
        <f t="shared" si="17"/>
        <v/>
      </c>
      <c r="H91" s="68" t="str">
        <f t="shared" si="18"/>
        <v/>
      </c>
      <c r="I91" s="68" t="str">
        <f t="shared" si="19"/>
        <v/>
      </c>
      <c r="J91" s="2"/>
      <c r="K91" s="2"/>
      <c r="L91" s="1"/>
      <c r="M91" s="1">
        <v>54</v>
      </c>
      <c r="N91" s="1" t="str">
        <f>IF($T91=0,"",INDEX(GELIR_GIDER!$C$7:$C$3006,$T91))</f>
        <v/>
      </c>
      <c r="O91" s="1" t="str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1" t="str">
        <f t="shared" si="23"/>
        <v/>
      </c>
      <c r="Q91" s="1">
        <v>0</v>
      </c>
      <c r="R91" s="1">
        <f>IF($N91="",0,INDEX(GELIR_GIDER!$G$7:$G$3006,$T91))</f>
        <v>0</v>
      </c>
      <c r="S91" s="1">
        <f t="shared" si="20"/>
        <v>10000000000</v>
      </c>
      <c r="T91" s="1">
        <f>IFERROR(MATCH($U$6&amp;"|18",GELIR_GIDER!$AE$7:$AE$3006,0),0)</f>
        <v>0</v>
      </c>
      <c r="U91" s="1"/>
      <c r="V91" s="1">
        <f t="shared" si="21"/>
        <v>10000000000</v>
      </c>
      <c r="W91" s="1">
        <f t="shared" si="22"/>
        <v>2</v>
      </c>
    </row>
    <row r="92" spans="1:23" ht="19.5" customHeight="1" x14ac:dyDescent="0.3">
      <c r="A92" s="2"/>
      <c r="B92" s="65" t="str">
        <f t="shared" si="13"/>
        <v/>
      </c>
      <c r="C92" s="70" t="str">
        <f t="shared" si="14"/>
        <v/>
      </c>
      <c r="D92" s="171" t="str">
        <f t="shared" si="15"/>
        <v/>
      </c>
      <c r="E92" s="171"/>
      <c r="F92" s="65" t="str">
        <f t="shared" si="16"/>
        <v/>
      </c>
      <c r="G92" s="68" t="str">
        <f t="shared" si="17"/>
        <v/>
      </c>
      <c r="H92" s="68" t="str">
        <f t="shared" si="18"/>
        <v/>
      </c>
      <c r="I92" s="68" t="str">
        <f t="shared" si="19"/>
        <v/>
      </c>
      <c r="J92" s="2"/>
      <c r="K92" s="2"/>
      <c r="L92" s="1"/>
      <c r="M92" s="1">
        <v>55</v>
      </c>
      <c r="N92" s="1" t="str">
        <f>IF($T92=0,"",INDEX(GELIR_GIDER!$C$7:$C$3006,$T92))</f>
        <v/>
      </c>
      <c r="O92" s="1" t="str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1" t="str">
        <f t="shared" si="23"/>
        <v/>
      </c>
      <c r="Q92" s="1">
        <v>0</v>
      </c>
      <c r="R92" s="1">
        <f>IF($N92="",0,INDEX(GELIR_GIDER!$G$7:$G$3006,$T92))</f>
        <v>0</v>
      </c>
      <c r="S92" s="1">
        <f t="shared" si="20"/>
        <v>10000000000</v>
      </c>
      <c r="T92" s="1">
        <f>IFERROR(MATCH($U$6&amp;"|19",GELIR_GIDER!$AE$7:$AE$3006,0),0)</f>
        <v>0</v>
      </c>
      <c r="U92" s="1"/>
      <c r="V92" s="1">
        <f t="shared" si="21"/>
        <v>10000000000</v>
      </c>
      <c r="W92" s="1">
        <f t="shared" si="22"/>
        <v>2</v>
      </c>
    </row>
    <row r="93" spans="1:23" ht="19.5" customHeight="1" x14ac:dyDescent="0.3">
      <c r="A93" s="2"/>
      <c r="B93" s="65" t="str">
        <f t="shared" si="13"/>
        <v/>
      </c>
      <c r="C93" s="70" t="str">
        <f t="shared" si="14"/>
        <v/>
      </c>
      <c r="D93" s="171" t="str">
        <f t="shared" si="15"/>
        <v/>
      </c>
      <c r="E93" s="171"/>
      <c r="F93" s="65" t="str">
        <f t="shared" si="16"/>
        <v/>
      </c>
      <c r="G93" s="68" t="str">
        <f t="shared" si="17"/>
        <v/>
      </c>
      <c r="H93" s="68" t="str">
        <f t="shared" si="18"/>
        <v/>
      </c>
      <c r="I93" s="68" t="str">
        <f t="shared" si="19"/>
        <v/>
      </c>
      <c r="J93" s="2"/>
      <c r="K93" s="2"/>
      <c r="L93" s="1"/>
      <c r="M93" s="1">
        <v>56</v>
      </c>
      <c r="N93" s="1" t="str">
        <f>IF($T93=0,"",INDEX(GELIR_GIDER!$C$7:$C$3006,$T93))</f>
        <v/>
      </c>
      <c r="O93" s="1" t="str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1" t="str">
        <f t="shared" si="23"/>
        <v/>
      </c>
      <c r="Q93" s="1">
        <v>0</v>
      </c>
      <c r="R93" s="1">
        <f>IF($N93="",0,INDEX(GELIR_GIDER!$G$7:$G$3006,$T93))</f>
        <v>0</v>
      </c>
      <c r="S93" s="1">
        <f t="shared" si="20"/>
        <v>10000000000</v>
      </c>
      <c r="T93" s="1">
        <f>IFERROR(MATCH($U$6&amp;"|20",GELIR_GIDER!$AE$7:$AE$3006,0),0)</f>
        <v>0</v>
      </c>
      <c r="U93" s="1"/>
      <c r="V93" s="1">
        <f t="shared" si="21"/>
        <v>10000000000</v>
      </c>
      <c r="W93" s="1">
        <f t="shared" si="22"/>
        <v>2</v>
      </c>
    </row>
    <row r="94" spans="1:23" ht="19.5" customHeight="1" x14ac:dyDescent="0.3">
      <c r="A94" s="2"/>
      <c r="B94" s="65" t="str">
        <f t="shared" si="13"/>
        <v/>
      </c>
      <c r="C94" s="70" t="str">
        <f t="shared" si="14"/>
        <v/>
      </c>
      <c r="D94" s="171" t="str">
        <f t="shared" si="15"/>
        <v/>
      </c>
      <c r="E94" s="171"/>
      <c r="F94" s="65" t="str">
        <f t="shared" si="16"/>
        <v/>
      </c>
      <c r="G94" s="68" t="str">
        <f t="shared" si="17"/>
        <v/>
      </c>
      <c r="H94" s="68" t="str">
        <f t="shared" si="18"/>
        <v/>
      </c>
      <c r="I94" s="68" t="str">
        <f t="shared" si="19"/>
        <v/>
      </c>
      <c r="J94" s="2"/>
      <c r="K94" s="2"/>
      <c r="L94" s="1"/>
      <c r="M94" s="1">
        <v>57</v>
      </c>
      <c r="N94" s="1" t="str">
        <f>IF($T94=0,"",INDEX(GELIR_GIDER!$C$7:$C$3006,$T94))</f>
        <v/>
      </c>
      <c r="O94" s="1" t="str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1" t="str">
        <f t="shared" si="23"/>
        <v/>
      </c>
      <c r="Q94" s="1">
        <v>0</v>
      </c>
      <c r="R94" s="1">
        <f>IF($N94="",0,INDEX(GELIR_GIDER!$G$7:$G$3006,$T94))</f>
        <v>0</v>
      </c>
      <c r="S94" s="1">
        <f t="shared" si="20"/>
        <v>10000000000</v>
      </c>
      <c r="T94" s="1">
        <f>IFERROR(MATCH($U$6&amp;"|21",GELIR_GIDER!$AE$7:$AE$3006,0),0)</f>
        <v>0</v>
      </c>
      <c r="U94" s="1"/>
      <c r="V94" s="1">
        <f t="shared" si="21"/>
        <v>10000000000</v>
      </c>
      <c r="W94" s="1">
        <f t="shared" si="22"/>
        <v>2</v>
      </c>
    </row>
    <row r="95" spans="1:23" ht="19.5" customHeight="1" x14ac:dyDescent="0.3">
      <c r="A95" s="2"/>
      <c r="B95" s="65" t="str">
        <f t="shared" si="13"/>
        <v/>
      </c>
      <c r="C95" s="70" t="str">
        <f t="shared" si="14"/>
        <v/>
      </c>
      <c r="D95" s="171" t="str">
        <f t="shared" si="15"/>
        <v/>
      </c>
      <c r="E95" s="171"/>
      <c r="F95" s="65" t="str">
        <f t="shared" si="16"/>
        <v/>
      </c>
      <c r="G95" s="68" t="str">
        <f t="shared" si="17"/>
        <v/>
      </c>
      <c r="H95" s="68" t="str">
        <f t="shared" si="18"/>
        <v/>
      </c>
      <c r="I95" s="68" t="str">
        <f t="shared" si="19"/>
        <v/>
      </c>
      <c r="J95" s="2"/>
      <c r="K95" s="2"/>
      <c r="L95" s="1"/>
      <c r="M95" s="1">
        <v>58</v>
      </c>
      <c r="N95" s="1" t="str">
        <f>IF($T95=0,"",INDEX(GELIR_GIDER!$C$7:$C$3006,$T95))</f>
        <v/>
      </c>
      <c r="O95" s="1" t="str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1" t="str">
        <f t="shared" si="23"/>
        <v/>
      </c>
      <c r="Q95" s="1">
        <v>0</v>
      </c>
      <c r="R95" s="1">
        <f>IF($N95="",0,INDEX(GELIR_GIDER!$G$7:$G$3006,$T95))</f>
        <v>0</v>
      </c>
      <c r="S95" s="1">
        <f t="shared" si="20"/>
        <v>10000000000</v>
      </c>
      <c r="T95" s="1">
        <f>IFERROR(MATCH($U$6&amp;"|22",GELIR_GIDER!$AE$7:$AE$3006,0),0)</f>
        <v>0</v>
      </c>
      <c r="U95" s="1"/>
      <c r="V95" s="1">
        <f t="shared" si="21"/>
        <v>10000000000</v>
      </c>
      <c r="W95" s="1">
        <f t="shared" si="22"/>
        <v>2</v>
      </c>
    </row>
    <row r="96" spans="1:23" ht="19.5" customHeight="1" x14ac:dyDescent="0.3">
      <c r="A96" s="2"/>
      <c r="B96" s="65" t="str">
        <f t="shared" si="13"/>
        <v/>
      </c>
      <c r="C96" s="70" t="str">
        <f t="shared" si="14"/>
        <v/>
      </c>
      <c r="D96" s="171" t="str">
        <f t="shared" si="15"/>
        <v/>
      </c>
      <c r="E96" s="171"/>
      <c r="F96" s="65" t="str">
        <f t="shared" si="16"/>
        <v/>
      </c>
      <c r="G96" s="68" t="str">
        <f t="shared" si="17"/>
        <v/>
      </c>
      <c r="H96" s="68" t="str">
        <f t="shared" si="18"/>
        <v/>
      </c>
      <c r="I96" s="68" t="str">
        <f t="shared" si="19"/>
        <v/>
      </c>
      <c r="J96" s="2"/>
      <c r="K96" s="2"/>
      <c r="L96" s="1"/>
      <c r="M96" s="1">
        <v>59</v>
      </c>
      <c r="N96" s="1" t="str">
        <f>IF($T96=0,"",INDEX(GELIR_GIDER!$C$7:$C$3006,$T96))</f>
        <v/>
      </c>
      <c r="O96" s="1" t="str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1" t="str">
        <f t="shared" si="23"/>
        <v/>
      </c>
      <c r="Q96" s="1">
        <v>0</v>
      </c>
      <c r="R96" s="1">
        <f>IF($N96="",0,INDEX(GELIR_GIDER!$G$7:$G$3006,$T96))</f>
        <v>0</v>
      </c>
      <c r="S96" s="1">
        <f t="shared" si="20"/>
        <v>10000000000</v>
      </c>
      <c r="T96" s="1">
        <f>IFERROR(MATCH($U$6&amp;"|23",GELIR_GIDER!$AE$7:$AE$3006,0),0)</f>
        <v>0</v>
      </c>
      <c r="U96" s="1"/>
      <c r="V96" s="1">
        <f t="shared" si="21"/>
        <v>10000000000</v>
      </c>
      <c r="W96" s="1">
        <f t="shared" si="22"/>
        <v>2</v>
      </c>
    </row>
    <row r="97" spans="1:23" ht="19.5" customHeight="1" x14ac:dyDescent="0.3">
      <c r="A97" s="2"/>
      <c r="B97" s="65" t="str">
        <f t="shared" si="13"/>
        <v/>
      </c>
      <c r="C97" s="70" t="str">
        <f t="shared" si="14"/>
        <v/>
      </c>
      <c r="D97" s="171" t="str">
        <f t="shared" si="15"/>
        <v/>
      </c>
      <c r="E97" s="171"/>
      <c r="F97" s="65" t="str">
        <f t="shared" si="16"/>
        <v/>
      </c>
      <c r="G97" s="68" t="str">
        <f t="shared" si="17"/>
        <v/>
      </c>
      <c r="H97" s="68" t="str">
        <f t="shared" si="18"/>
        <v/>
      </c>
      <c r="I97" s="68" t="str">
        <f t="shared" si="19"/>
        <v/>
      </c>
      <c r="J97" s="2"/>
      <c r="K97" s="2"/>
      <c r="L97" s="1"/>
      <c r="M97" s="1">
        <v>60</v>
      </c>
      <c r="N97" s="1" t="str">
        <f>IF($T97=0,"",INDEX(GELIR_GIDER!$C$7:$C$3006,$T97))</f>
        <v/>
      </c>
      <c r="O97" s="1" t="str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1" t="str">
        <f t="shared" si="23"/>
        <v/>
      </c>
      <c r="Q97" s="1">
        <v>0</v>
      </c>
      <c r="R97" s="1">
        <f>IF($N97="",0,INDEX(GELIR_GIDER!$G$7:$G$3006,$T97))</f>
        <v>0</v>
      </c>
      <c r="S97" s="1">
        <f t="shared" si="20"/>
        <v>10000000000</v>
      </c>
      <c r="T97" s="1">
        <f>IFERROR(MATCH($U$6&amp;"|24",GELIR_GIDER!$AE$7:$AE$3006,0),0)</f>
        <v>0</v>
      </c>
      <c r="U97" s="1"/>
      <c r="V97" s="1">
        <f t="shared" si="21"/>
        <v>10000000000</v>
      </c>
      <c r="W97" s="1">
        <f t="shared" si="22"/>
        <v>2</v>
      </c>
    </row>
    <row r="98" spans="1:23" ht="19.5" customHeight="1" x14ac:dyDescent="0.3">
      <c r="A98" s="2"/>
      <c r="B98" s="65" t="str">
        <f t="shared" si="13"/>
        <v/>
      </c>
      <c r="C98" s="70" t="str">
        <f t="shared" si="14"/>
        <v/>
      </c>
      <c r="D98" s="171" t="str">
        <f t="shared" si="15"/>
        <v/>
      </c>
      <c r="E98" s="171"/>
      <c r="F98" s="65" t="str">
        <f t="shared" si="16"/>
        <v/>
      </c>
      <c r="G98" s="68" t="str">
        <f t="shared" si="17"/>
        <v/>
      </c>
      <c r="H98" s="68" t="str">
        <f t="shared" si="18"/>
        <v/>
      </c>
      <c r="I98" s="68" t="str">
        <f t="shared" si="19"/>
        <v/>
      </c>
      <c r="J98" s="2"/>
      <c r="K98" s="2"/>
      <c r="L98" s="1"/>
      <c r="M98" s="1">
        <v>61</v>
      </c>
      <c r="N98" s="1" t="str">
        <f>IF($T98=0,"",INDEX(GELIR_GIDER!$C$7:$C$3006,$T98))</f>
        <v/>
      </c>
      <c r="O98" s="1" t="str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1" t="str">
        <f t="shared" si="23"/>
        <v/>
      </c>
      <c r="Q98" s="1">
        <v>0</v>
      </c>
      <c r="R98" s="1">
        <f>IF($N98="",0,INDEX(GELIR_GIDER!$G$7:$G$3006,$T98))</f>
        <v>0</v>
      </c>
      <c r="S98" s="1">
        <f t="shared" si="20"/>
        <v>10000000000</v>
      </c>
      <c r="T98" s="1">
        <f>IFERROR(MATCH($U$6&amp;"|25",GELIR_GIDER!$AE$7:$AE$3006,0),0)</f>
        <v>0</v>
      </c>
      <c r="U98" s="1"/>
      <c r="V98" s="1">
        <f t="shared" si="21"/>
        <v>10000000000</v>
      </c>
      <c r="W98" s="1">
        <f t="shared" si="22"/>
        <v>2</v>
      </c>
    </row>
    <row r="99" spans="1:23" ht="19.5" customHeight="1" x14ac:dyDescent="0.3">
      <c r="A99" s="2"/>
      <c r="B99" s="65" t="str">
        <f t="shared" si="13"/>
        <v/>
      </c>
      <c r="C99" s="70" t="str">
        <f t="shared" si="14"/>
        <v/>
      </c>
      <c r="D99" s="171" t="str">
        <f t="shared" si="15"/>
        <v/>
      </c>
      <c r="E99" s="171"/>
      <c r="F99" s="65" t="str">
        <f t="shared" si="16"/>
        <v/>
      </c>
      <c r="G99" s="68" t="str">
        <f t="shared" si="17"/>
        <v/>
      </c>
      <c r="H99" s="68" t="str">
        <f t="shared" si="18"/>
        <v/>
      </c>
      <c r="I99" s="68" t="str">
        <f t="shared" si="19"/>
        <v/>
      </c>
      <c r="J99" s="2"/>
      <c r="K99" s="2"/>
      <c r="L99" s="1"/>
      <c r="M99" s="1">
        <v>62</v>
      </c>
      <c r="N99" s="1" t="str">
        <f>IF($T99=0,"",INDEX(GELIR_GIDER!$C$7:$C$3006,$T99))</f>
        <v/>
      </c>
      <c r="O99" s="1" t="str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1" t="str">
        <f t="shared" si="23"/>
        <v/>
      </c>
      <c r="Q99" s="1">
        <v>0</v>
      </c>
      <c r="R99" s="1">
        <f>IF($N99="",0,INDEX(GELIR_GIDER!$G$7:$G$3006,$T99))</f>
        <v>0</v>
      </c>
      <c r="S99" s="1">
        <f t="shared" si="20"/>
        <v>10000000000</v>
      </c>
      <c r="T99" s="1">
        <f>IFERROR(MATCH($U$6&amp;"|26",GELIR_GIDER!$AE$7:$AE$3006,0),0)</f>
        <v>0</v>
      </c>
      <c r="U99" s="1"/>
      <c r="V99" s="1">
        <f t="shared" si="21"/>
        <v>10000000000</v>
      </c>
      <c r="W99" s="1">
        <f t="shared" si="22"/>
        <v>2</v>
      </c>
    </row>
    <row r="100" spans="1:23" ht="19.5" customHeight="1" x14ac:dyDescent="0.3">
      <c r="A100" s="2"/>
      <c r="B100" s="65" t="str">
        <f t="shared" si="13"/>
        <v/>
      </c>
      <c r="C100" s="70" t="str">
        <f t="shared" si="14"/>
        <v/>
      </c>
      <c r="D100" s="171" t="str">
        <f t="shared" si="15"/>
        <v/>
      </c>
      <c r="E100" s="171"/>
      <c r="F100" s="65" t="str">
        <f t="shared" si="16"/>
        <v/>
      </c>
      <c r="G100" s="68" t="str">
        <f t="shared" si="17"/>
        <v/>
      </c>
      <c r="H100" s="68" t="str">
        <f t="shared" si="18"/>
        <v/>
      </c>
      <c r="I100" s="68" t="str">
        <f t="shared" si="19"/>
        <v/>
      </c>
      <c r="J100" s="2"/>
      <c r="K100" s="2"/>
      <c r="L100" s="1"/>
      <c r="M100" s="1">
        <v>63</v>
      </c>
      <c r="N100" s="1" t="str">
        <f>IF($T100=0,"",INDEX(GELIR_GIDER!$C$7:$C$3006,$T100))</f>
        <v/>
      </c>
      <c r="O100" s="1" t="str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1" t="str">
        <f t="shared" si="23"/>
        <v/>
      </c>
      <c r="Q100" s="1">
        <v>0</v>
      </c>
      <c r="R100" s="1">
        <f>IF($N100="",0,INDEX(GELIR_GIDER!$G$7:$G$3006,$T100))</f>
        <v>0</v>
      </c>
      <c r="S100" s="1">
        <f t="shared" si="20"/>
        <v>10000000000</v>
      </c>
      <c r="T100" s="1">
        <f>IFERROR(MATCH($U$6&amp;"|27",GELIR_GIDER!$AE$7:$AE$3006,0),0)</f>
        <v>0</v>
      </c>
      <c r="U100" s="1"/>
      <c r="V100" s="1">
        <f t="shared" si="21"/>
        <v>10000000000</v>
      </c>
      <c r="W100" s="1">
        <f t="shared" si="22"/>
        <v>2</v>
      </c>
    </row>
    <row r="101" spans="1:23" ht="19.5" customHeight="1" x14ac:dyDescent="0.3">
      <c r="A101" s="2"/>
      <c r="B101" s="65" t="str">
        <f t="shared" si="13"/>
        <v/>
      </c>
      <c r="C101" s="70" t="str">
        <f t="shared" si="14"/>
        <v/>
      </c>
      <c r="D101" s="171" t="str">
        <f t="shared" si="15"/>
        <v/>
      </c>
      <c r="E101" s="171"/>
      <c r="F101" s="65" t="str">
        <f t="shared" si="16"/>
        <v/>
      </c>
      <c r="G101" s="68" t="str">
        <f t="shared" si="17"/>
        <v/>
      </c>
      <c r="H101" s="68" t="str">
        <f t="shared" si="18"/>
        <v/>
      </c>
      <c r="I101" s="68" t="str">
        <f t="shared" si="19"/>
        <v/>
      </c>
      <c r="J101" s="2"/>
      <c r="K101" s="2"/>
      <c r="L101" s="1"/>
      <c r="M101" s="1">
        <v>64</v>
      </c>
      <c r="N101" s="1" t="str">
        <f>IF($T101=0,"",INDEX(GELIR_GIDER!$C$7:$C$3006,$T101))</f>
        <v/>
      </c>
      <c r="O101" s="1" t="str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1" t="str">
        <f t="shared" si="23"/>
        <v/>
      </c>
      <c r="Q101" s="1">
        <v>0</v>
      </c>
      <c r="R101" s="1">
        <f>IF($N101="",0,INDEX(GELIR_GIDER!$G$7:$G$3006,$T101))</f>
        <v>0</v>
      </c>
      <c r="S101" s="1">
        <f t="shared" si="20"/>
        <v>10000000000</v>
      </c>
      <c r="T101" s="1">
        <f>IFERROR(MATCH($U$6&amp;"|28",GELIR_GIDER!$AE$7:$AE$3006,0),0)</f>
        <v>0</v>
      </c>
      <c r="U101" s="1"/>
      <c r="V101" s="1">
        <f t="shared" si="21"/>
        <v>10000000000</v>
      </c>
      <c r="W101" s="1">
        <f t="shared" si="22"/>
        <v>2</v>
      </c>
    </row>
    <row r="102" spans="1:23" ht="19.5" customHeight="1" x14ac:dyDescent="0.3">
      <c r="A102" s="2"/>
      <c r="B102" s="65" t="str">
        <f t="shared" ref="B102:B133" si="24">IF($C102="","",ROW()-37)</f>
        <v/>
      </c>
      <c r="C102" s="70" t="str">
        <f t="shared" ref="C102:C133" si="25">IF($W102="","",IF(INDEX($N$38:$N$193,$W102)="","",INDEX($N$38:$N$193,$W102)))</f>
        <v/>
      </c>
      <c r="D102" s="171" t="str">
        <f t="shared" ref="D102:D133" si="26">IF($C102="","",INDEX($O$38:$O$193,$W102))</f>
        <v/>
      </c>
      <c r="E102" s="171"/>
      <c r="F102" s="65" t="str">
        <f t="shared" ref="F102:F133" si="27">IF($C102="","",INDEX($P$38:$P$193,$W102))</f>
        <v/>
      </c>
      <c r="G102" s="68" t="str">
        <f t="shared" ref="G102:G133" si="28">IF($C102="","",INDEX($Q$38:$Q$193,$W102))</f>
        <v/>
      </c>
      <c r="H102" s="68" t="str">
        <f t="shared" ref="H102:H133" si="29">IF($C102="","",INDEX($R$38:$R$193,$W102))</f>
        <v/>
      </c>
      <c r="I102" s="68" t="str">
        <f t="shared" ref="I102:I133" si="30">IF($C102="","",N($I101)+$G102-$H102)</f>
        <v/>
      </c>
      <c r="J102" s="2"/>
      <c r="K102" s="2"/>
      <c r="L102" s="1"/>
      <c r="M102" s="1">
        <v>65</v>
      </c>
      <c r="N102" s="1" t="str">
        <f>IF($T102=0,"",INDEX(GELIR_GIDER!$C$7:$C$3006,$T102))</f>
        <v/>
      </c>
      <c r="O102" s="1" t="str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1" t="str">
        <f t="shared" si="23"/>
        <v/>
      </c>
      <c r="Q102" s="1">
        <v>0</v>
      </c>
      <c r="R102" s="1">
        <f>IF($N102="",0,INDEX(GELIR_GIDER!$G$7:$G$3006,$T102))</f>
        <v>0</v>
      </c>
      <c r="S102" s="1">
        <f t="shared" ref="S102:S133" si="31">IF($N102="",10000000000,$N102*100000+$M102)</f>
        <v>10000000000</v>
      </c>
      <c r="T102" s="1">
        <f>IFERROR(MATCH($U$6&amp;"|29",GELIR_GIDER!$AE$7:$AE$3006,0),0)</f>
        <v>0</v>
      </c>
      <c r="U102" s="1"/>
      <c r="V102" s="1">
        <f t="shared" ref="V102:V133" si="32">IFERROR(SMALL($S$38:$S$193,ROW()-37),"")</f>
        <v>10000000000</v>
      </c>
      <c r="W102" s="1">
        <f t="shared" ref="W102:W133" si="33">IFERROR(MATCH($V102,$S$38:$S$193,0),"")</f>
        <v>2</v>
      </c>
    </row>
    <row r="103" spans="1:23" ht="19.5" customHeight="1" x14ac:dyDescent="0.3">
      <c r="A103" s="2"/>
      <c r="B103" s="65" t="str">
        <f t="shared" si="24"/>
        <v/>
      </c>
      <c r="C103" s="70" t="str">
        <f t="shared" si="25"/>
        <v/>
      </c>
      <c r="D103" s="171" t="str">
        <f t="shared" si="26"/>
        <v/>
      </c>
      <c r="E103" s="171"/>
      <c r="F103" s="65" t="str">
        <f t="shared" si="27"/>
        <v/>
      </c>
      <c r="G103" s="68" t="str">
        <f t="shared" si="28"/>
        <v/>
      </c>
      <c r="H103" s="68" t="str">
        <f t="shared" si="29"/>
        <v/>
      </c>
      <c r="I103" s="68" t="str">
        <f t="shared" si="30"/>
        <v/>
      </c>
      <c r="J103" s="2"/>
      <c r="K103" s="2"/>
      <c r="L103" s="1"/>
      <c r="M103" s="1">
        <v>66</v>
      </c>
      <c r="N103" s="1" t="str">
        <f>IF($T103=0,"",INDEX(GELIR_GIDER!$C$7:$C$3006,$T103))</f>
        <v/>
      </c>
      <c r="O103" s="1" t="str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1" t="str">
        <f t="shared" si="23"/>
        <v/>
      </c>
      <c r="Q103" s="1">
        <v>0</v>
      </c>
      <c r="R103" s="1">
        <f>IF($N103="",0,INDEX(GELIR_GIDER!$G$7:$G$3006,$T103))</f>
        <v>0</v>
      </c>
      <c r="S103" s="1">
        <f t="shared" si="31"/>
        <v>10000000000</v>
      </c>
      <c r="T103" s="1">
        <f>IFERROR(MATCH($U$6&amp;"|30",GELIR_GIDER!$AE$7:$AE$3006,0),0)</f>
        <v>0</v>
      </c>
      <c r="U103" s="1"/>
      <c r="V103" s="1">
        <f t="shared" si="32"/>
        <v>10000000000</v>
      </c>
      <c r="W103" s="1">
        <f t="shared" si="33"/>
        <v>2</v>
      </c>
    </row>
    <row r="104" spans="1:23" ht="19.5" customHeight="1" x14ac:dyDescent="0.3">
      <c r="A104" s="2"/>
      <c r="B104" s="65" t="str">
        <f t="shared" si="24"/>
        <v/>
      </c>
      <c r="C104" s="70" t="str">
        <f t="shared" si="25"/>
        <v/>
      </c>
      <c r="D104" s="171" t="str">
        <f t="shared" si="26"/>
        <v/>
      </c>
      <c r="E104" s="171"/>
      <c r="F104" s="65" t="str">
        <f t="shared" si="27"/>
        <v/>
      </c>
      <c r="G104" s="68" t="str">
        <f t="shared" si="28"/>
        <v/>
      </c>
      <c r="H104" s="68" t="str">
        <f t="shared" si="29"/>
        <v/>
      </c>
      <c r="I104" s="68" t="str">
        <f t="shared" si="30"/>
        <v/>
      </c>
      <c r="J104" s="2"/>
      <c r="K104" s="2"/>
      <c r="L104" s="1"/>
      <c r="M104" s="1">
        <v>67</v>
      </c>
      <c r="N104" s="1" t="str">
        <f>IF($T104=0,"",INDEX(GELIR_GIDER!$C$7:$C$3006,$T104))</f>
        <v/>
      </c>
      <c r="O104" s="1" t="str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1" t="str">
        <f t="shared" si="23"/>
        <v/>
      </c>
      <c r="Q104" s="1">
        <v>0</v>
      </c>
      <c r="R104" s="1">
        <f>IF($N104="",0,INDEX(GELIR_GIDER!$G$7:$G$3006,$T104))</f>
        <v>0</v>
      </c>
      <c r="S104" s="1">
        <f t="shared" si="31"/>
        <v>10000000000</v>
      </c>
      <c r="T104" s="1">
        <f>IFERROR(MATCH($U$6&amp;"|31",GELIR_GIDER!$AE$7:$AE$3006,0),0)</f>
        <v>0</v>
      </c>
      <c r="U104" s="1"/>
      <c r="V104" s="1">
        <f t="shared" si="32"/>
        <v>10000000000</v>
      </c>
      <c r="W104" s="1">
        <f t="shared" si="33"/>
        <v>2</v>
      </c>
    </row>
    <row r="105" spans="1:23" ht="19.5" customHeight="1" x14ac:dyDescent="0.3">
      <c r="A105" s="2"/>
      <c r="B105" s="65" t="str">
        <f t="shared" si="24"/>
        <v/>
      </c>
      <c r="C105" s="70" t="str">
        <f t="shared" si="25"/>
        <v/>
      </c>
      <c r="D105" s="171" t="str">
        <f t="shared" si="26"/>
        <v/>
      </c>
      <c r="E105" s="171"/>
      <c r="F105" s="65" t="str">
        <f t="shared" si="27"/>
        <v/>
      </c>
      <c r="G105" s="68" t="str">
        <f t="shared" si="28"/>
        <v/>
      </c>
      <c r="H105" s="68" t="str">
        <f t="shared" si="29"/>
        <v/>
      </c>
      <c r="I105" s="68" t="str">
        <f t="shared" si="30"/>
        <v/>
      </c>
      <c r="J105" s="2"/>
      <c r="K105" s="2"/>
      <c r="L105" s="1"/>
      <c r="M105" s="1">
        <v>68</v>
      </c>
      <c r="N105" s="1" t="str">
        <f>IF($T105=0,"",INDEX(GELIR_GIDER!$C$7:$C$3006,$T105))</f>
        <v/>
      </c>
      <c r="O105" s="1" t="str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1" t="str">
        <f t="shared" si="23"/>
        <v/>
      </c>
      <c r="Q105" s="1">
        <v>0</v>
      </c>
      <c r="R105" s="1">
        <f>IF($N105="",0,INDEX(GELIR_GIDER!$G$7:$G$3006,$T105))</f>
        <v>0</v>
      </c>
      <c r="S105" s="1">
        <f t="shared" si="31"/>
        <v>10000000000</v>
      </c>
      <c r="T105" s="1">
        <f>IFERROR(MATCH($U$6&amp;"|32",GELIR_GIDER!$AE$7:$AE$3006,0),0)</f>
        <v>0</v>
      </c>
      <c r="U105" s="1"/>
      <c r="V105" s="1">
        <f t="shared" si="32"/>
        <v>10000000000</v>
      </c>
      <c r="W105" s="1">
        <f t="shared" si="33"/>
        <v>2</v>
      </c>
    </row>
    <row r="106" spans="1:23" ht="19.5" customHeight="1" x14ac:dyDescent="0.3">
      <c r="A106" s="2"/>
      <c r="B106" s="65" t="str">
        <f t="shared" si="24"/>
        <v/>
      </c>
      <c r="C106" s="70" t="str">
        <f t="shared" si="25"/>
        <v/>
      </c>
      <c r="D106" s="171" t="str">
        <f t="shared" si="26"/>
        <v/>
      </c>
      <c r="E106" s="171"/>
      <c r="F106" s="65" t="str">
        <f t="shared" si="27"/>
        <v/>
      </c>
      <c r="G106" s="68" t="str">
        <f t="shared" si="28"/>
        <v/>
      </c>
      <c r="H106" s="68" t="str">
        <f t="shared" si="29"/>
        <v/>
      </c>
      <c r="I106" s="68" t="str">
        <f t="shared" si="30"/>
        <v/>
      </c>
      <c r="J106" s="2"/>
      <c r="K106" s="2"/>
      <c r="L106" s="1"/>
      <c r="M106" s="1">
        <v>69</v>
      </c>
      <c r="N106" s="1" t="str">
        <f>IF($T106=0,"",INDEX(GELIR_GIDER!$C$7:$C$3006,$T106))</f>
        <v/>
      </c>
      <c r="O106" s="1" t="str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1" t="str">
        <f t="shared" ref="P106:P137" si="34">IF($N106="","","ÖDEME")</f>
        <v/>
      </c>
      <c r="Q106" s="1">
        <v>0</v>
      </c>
      <c r="R106" s="1">
        <f>IF($N106="",0,INDEX(GELIR_GIDER!$G$7:$G$3006,$T106))</f>
        <v>0</v>
      </c>
      <c r="S106" s="1">
        <f t="shared" si="31"/>
        <v>10000000000</v>
      </c>
      <c r="T106" s="1">
        <f>IFERROR(MATCH($U$6&amp;"|33",GELIR_GIDER!$AE$7:$AE$3006,0),0)</f>
        <v>0</v>
      </c>
      <c r="U106" s="1"/>
      <c r="V106" s="1">
        <f t="shared" si="32"/>
        <v>10000000000</v>
      </c>
      <c r="W106" s="1">
        <f t="shared" si="33"/>
        <v>2</v>
      </c>
    </row>
    <row r="107" spans="1:23" ht="19.5" customHeight="1" x14ac:dyDescent="0.3">
      <c r="A107" s="2"/>
      <c r="B107" s="65" t="str">
        <f t="shared" si="24"/>
        <v/>
      </c>
      <c r="C107" s="70" t="str">
        <f t="shared" si="25"/>
        <v/>
      </c>
      <c r="D107" s="171" t="str">
        <f t="shared" si="26"/>
        <v/>
      </c>
      <c r="E107" s="171"/>
      <c r="F107" s="65" t="str">
        <f t="shared" si="27"/>
        <v/>
      </c>
      <c r="G107" s="68" t="str">
        <f t="shared" si="28"/>
        <v/>
      </c>
      <c r="H107" s="68" t="str">
        <f t="shared" si="29"/>
        <v/>
      </c>
      <c r="I107" s="68" t="str">
        <f t="shared" si="30"/>
        <v/>
      </c>
      <c r="J107" s="2"/>
      <c r="K107" s="2"/>
      <c r="L107" s="1"/>
      <c r="M107" s="1">
        <v>70</v>
      </c>
      <c r="N107" s="1" t="str">
        <f>IF($T107=0,"",INDEX(GELIR_GIDER!$C$7:$C$3006,$T107))</f>
        <v/>
      </c>
      <c r="O107" s="1" t="str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1" t="str">
        <f t="shared" si="34"/>
        <v/>
      </c>
      <c r="Q107" s="1">
        <v>0</v>
      </c>
      <c r="R107" s="1">
        <f>IF($N107="",0,INDEX(GELIR_GIDER!$G$7:$G$3006,$T107))</f>
        <v>0</v>
      </c>
      <c r="S107" s="1">
        <f t="shared" si="31"/>
        <v>10000000000</v>
      </c>
      <c r="T107" s="1">
        <f>IFERROR(MATCH($U$6&amp;"|34",GELIR_GIDER!$AE$7:$AE$3006,0),0)</f>
        <v>0</v>
      </c>
      <c r="U107" s="1"/>
      <c r="V107" s="1">
        <f t="shared" si="32"/>
        <v>10000000000</v>
      </c>
      <c r="W107" s="1">
        <f t="shared" si="33"/>
        <v>2</v>
      </c>
    </row>
    <row r="108" spans="1:23" ht="19.5" customHeight="1" x14ac:dyDescent="0.3">
      <c r="A108" s="2"/>
      <c r="B108" s="65" t="str">
        <f t="shared" si="24"/>
        <v/>
      </c>
      <c r="C108" s="70" t="str">
        <f t="shared" si="25"/>
        <v/>
      </c>
      <c r="D108" s="171" t="str">
        <f t="shared" si="26"/>
        <v/>
      </c>
      <c r="E108" s="171"/>
      <c r="F108" s="65" t="str">
        <f t="shared" si="27"/>
        <v/>
      </c>
      <c r="G108" s="68" t="str">
        <f t="shared" si="28"/>
        <v/>
      </c>
      <c r="H108" s="68" t="str">
        <f t="shared" si="29"/>
        <v/>
      </c>
      <c r="I108" s="68" t="str">
        <f t="shared" si="30"/>
        <v/>
      </c>
      <c r="J108" s="2"/>
      <c r="K108" s="2"/>
      <c r="L108" s="1"/>
      <c r="M108" s="1">
        <v>71</v>
      </c>
      <c r="N108" s="1" t="str">
        <f>IF($T108=0,"",INDEX(GELIR_GIDER!$C$7:$C$3006,$T108))</f>
        <v/>
      </c>
      <c r="O108" s="1" t="str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1" t="str">
        <f t="shared" si="34"/>
        <v/>
      </c>
      <c r="Q108" s="1">
        <v>0</v>
      </c>
      <c r="R108" s="1">
        <f>IF($N108="",0,INDEX(GELIR_GIDER!$G$7:$G$3006,$T108))</f>
        <v>0</v>
      </c>
      <c r="S108" s="1">
        <f t="shared" si="31"/>
        <v>10000000000</v>
      </c>
      <c r="T108" s="1">
        <f>IFERROR(MATCH($U$6&amp;"|35",GELIR_GIDER!$AE$7:$AE$3006,0),0)</f>
        <v>0</v>
      </c>
      <c r="U108" s="1"/>
      <c r="V108" s="1">
        <f t="shared" si="32"/>
        <v>10000000000</v>
      </c>
      <c r="W108" s="1">
        <f t="shared" si="33"/>
        <v>2</v>
      </c>
    </row>
    <row r="109" spans="1:23" ht="19.5" customHeight="1" x14ac:dyDescent="0.3">
      <c r="A109" s="2"/>
      <c r="B109" s="65" t="str">
        <f t="shared" si="24"/>
        <v/>
      </c>
      <c r="C109" s="70" t="str">
        <f t="shared" si="25"/>
        <v/>
      </c>
      <c r="D109" s="171" t="str">
        <f t="shared" si="26"/>
        <v/>
      </c>
      <c r="E109" s="171"/>
      <c r="F109" s="65" t="str">
        <f t="shared" si="27"/>
        <v/>
      </c>
      <c r="G109" s="68" t="str">
        <f t="shared" si="28"/>
        <v/>
      </c>
      <c r="H109" s="68" t="str">
        <f t="shared" si="29"/>
        <v/>
      </c>
      <c r="I109" s="68" t="str">
        <f t="shared" si="30"/>
        <v/>
      </c>
      <c r="J109" s="2"/>
      <c r="K109" s="2"/>
      <c r="L109" s="1"/>
      <c r="M109" s="1">
        <v>72</v>
      </c>
      <c r="N109" s="1" t="str">
        <f>IF($T109=0,"",INDEX(GELIR_GIDER!$C$7:$C$3006,$T109))</f>
        <v/>
      </c>
      <c r="O109" s="1" t="str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1" t="str">
        <f t="shared" si="34"/>
        <v/>
      </c>
      <c r="Q109" s="1">
        <v>0</v>
      </c>
      <c r="R109" s="1">
        <f>IF($N109="",0,INDEX(GELIR_GIDER!$G$7:$G$3006,$T109))</f>
        <v>0</v>
      </c>
      <c r="S109" s="1">
        <f t="shared" si="31"/>
        <v>10000000000</v>
      </c>
      <c r="T109" s="1">
        <f>IFERROR(MATCH($U$6&amp;"|36",GELIR_GIDER!$AE$7:$AE$3006,0),0)</f>
        <v>0</v>
      </c>
      <c r="U109" s="1"/>
      <c r="V109" s="1">
        <f t="shared" si="32"/>
        <v>10000000000</v>
      </c>
      <c r="W109" s="1">
        <f t="shared" si="33"/>
        <v>2</v>
      </c>
    </row>
    <row r="110" spans="1:23" ht="19.5" customHeight="1" x14ac:dyDescent="0.3">
      <c r="A110" s="2"/>
      <c r="B110" s="65" t="str">
        <f t="shared" si="24"/>
        <v/>
      </c>
      <c r="C110" s="70" t="str">
        <f t="shared" si="25"/>
        <v/>
      </c>
      <c r="D110" s="171" t="str">
        <f t="shared" si="26"/>
        <v/>
      </c>
      <c r="E110" s="171"/>
      <c r="F110" s="65" t="str">
        <f t="shared" si="27"/>
        <v/>
      </c>
      <c r="G110" s="68" t="str">
        <f t="shared" si="28"/>
        <v/>
      </c>
      <c r="H110" s="68" t="str">
        <f t="shared" si="29"/>
        <v/>
      </c>
      <c r="I110" s="68" t="str">
        <f t="shared" si="30"/>
        <v/>
      </c>
      <c r="J110" s="2"/>
      <c r="K110" s="2"/>
      <c r="L110" s="1"/>
      <c r="M110" s="1">
        <v>73</v>
      </c>
      <c r="N110" s="1" t="str">
        <f>IF($T110=0,"",INDEX(GELIR_GIDER!$C$7:$C$3006,$T110))</f>
        <v/>
      </c>
      <c r="O110" s="1" t="str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1" t="str">
        <f t="shared" si="34"/>
        <v/>
      </c>
      <c r="Q110" s="1">
        <v>0</v>
      </c>
      <c r="R110" s="1">
        <f>IF($N110="",0,INDEX(GELIR_GIDER!$G$7:$G$3006,$T110))</f>
        <v>0</v>
      </c>
      <c r="S110" s="1">
        <f t="shared" si="31"/>
        <v>10000000000</v>
      </c>
      <c r="T110" s="1">
        <f>IFERROR(MATCH($U$6&amp;"|37",GELIR_GIDER!$AE$7:$AE$3006,0),0)</f>
        <v>0</v>
      </c>
      <c r="U110" s="1"/>
      <c r="V110" s="1">
        <f t="shared" si="32"/>
        <v>10000000000</v>
      </c>
      <c r="W110" s="1">
        <f t="shared" si="33"/>
        <v>2</v>
      </c>
    </row>
    <row r="111" spans="1:23" ht="19.5" customHeight="1" x14ac:dyDescent="0.3">
      <c r="A111" s="2"/>
      <c r="B111" s="65" t="str">
        <f t="shared" si="24"/>
        <v/>
      </c>
      <c r="C111" s="70" t="str">
        <f t="shared" si="25"/>
        <v/>
      </c>
      <c r="D111" s="171" t="str">
        <f t="shared" si="26"/>
        <v/>
      </c>
      <c r="E111" s="171"/>
      <c r="F111" s="65" t="str">
        <f t="shared" si="27"/>
        <v/>
      </c>
      <c r="G111" s="68" t="str">
        <f t="shared" si="28"/>
        <v/>
      </c>
      <c r="H111" s="68" t="str">
        <f t="shared" si="29"/>
        <v/>
      </c>
      <c r="I111" s="68" t="str">
        <f t="shared" si="30"/>
        <v/>
      </c>
      <c r="J111" s="2"/>
      <c r="K111" s="2"/>
      <c r="L111" s="1"/>
      <c r="M111" s="1">
        <v>74</v>
      </c>
      <c r="N111" s="1" t="str">
        <f>IF($T111=0,"",INDEX(GELIR_GIDER!$C$7:$C$3006,$T111))</f>
        <v/>
      </c>
      <c r="O111" s="1" t="str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1" t="str">
        <f t="shared" si="34"/>
        <v/>
      </c>
      <c r="Q111" s="1">
        <v>0</v>
      </c>
      <c r="R111" s="1">
        <f>IF($N111="",0,INDEX(GELIR_GIDER!$G$7:$G$3006,$T111))</f>
        <v>0</v>
      </c>
      <c r="S111" s="1">
        <f t="shared" si="31"/>
        <v>10000000000</v>
      </c>
      <c r="T111" s="1">
        <f>IFERROR(MATCH($U$6&amp;"|38",GELIR_GIDER!$AE$7:$AE$3006,0),0)</f>
        <v>0</v>
      </c>
      <c r="U111" s="1"/>
      <c r="V111" s="1">
        <f t="shared" si="32"/>
        <v>10000000000</v>
      </c>
      <c r="W111" s="1">
        <f t="shared" si="33"/>
        <v>2</v>
      </c>
    </row>
    <row r="112" spans="1:23" ht="19.5" customHeight="1" x14ac:dyDescent="0.3">
      <c r="A112" s="2"/>
      <c r="B112" s="65" t="str">
        <f t="shared" si="24"/>
        <v/>
      </c>
      <c r="C112" s="70" t="str">
        <f t="shared" si="25"/>
        <v/>
      </c>
      <c r="D112" s="171" t="str">
        <f t="shared" si="26"/>
        <v/>
      </c>
      <c r="E112" s="171"/>
      <c r="F112" s="65" t="str">
        <f t="shared" si="27"/>
        <v/>
      </c>
      <c r="G112" s="68" t="str">
        <f t="shared" si="28"/>
        <v/>
      </c>
      <c r="H112" s="68" t="str">
        <f t="shared" si="29"/>
        <v/>
      </c>
      <c r="I112" s="68" t="str">
        <f t="shared" si="30"/>
        <v/>
      </c>
      <c r="J112" s="2"/>
      <c r="K112" s="2"/>
      <c r="L112" s="1"/>
      <c r="M112" s="1">
        <v>75</v>
      </c>
      <c r="N112" s="1" t="str">
        <f>IF($T112=0,"",INDEX(GELIR_GIDER!$C$7:$C$3006,$T112))</f>
        <v/>
      </c>
      <c r="O112" s="1" t="str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1" t="str">
        <f t="shared" si="34"/>
        <v/>
      </c>
      <c r="Q112" s="1">
        <v>0</v>
      </c>
      <c r="R112" s="1">
        <f>IF($N112="",0,INDEX(GELIR_GIDER!$G$7:$G$3006,$T112))</f>
        <v>0</v>
      </c>
      <c r="S112" s="1">
        <f t="shared" si="31"/>
        <v>10000000000</v>
      </c>
      <c r="T112" s="1">
        <f>IFERROR(MATCH($U$6&amp;"|39",GELIR_GIDER!$AE$7:$AE$3006,0),0)</f>
        <v>0</v>
      </c>
      <c r="U112" s="1"/>
      <c r="V112" s="1">
        <f t="shared" si="32"/>
        <v>10000000000</v>
      </c>
      <c r="W112" s="1">
        <f t="shared" si="33"/>
        <v>2</v>
      </c>
    </row>
    <row r="113" spans="1:23" ht="19.5" customHeight="1" x14ac:dyDescent="0.3">
      <c r="A113" s="2"/>
      <c r="B113" s="65" t="str">
        <f t="shared" si="24"/>
        <v/>
      </c>
      <c r="C113" s="70" t="str">
        <f t="shared" si="25"/>
        <v/>
      </c>
      <c r="D113" s="171" t="str">
        <f t="shared" si="26"/>
        <v/>
      </c>
      <c r="E113" s="171"/>
      <c r="F113" s="65" t="str">
        <f t="shared" si="27"/>
        <v/>
      </c>
      <c r="G113" s="68" t="str">
        <f t="shared" si="28"/>
        <v/>
      </c>
      <c r="H113" s="68" t="str">
        <f t="shared" si="29"/>
        <v/>
      </c>
      <c r="I113" s="68" t="str">
        <f t="shared" si="30"/>
        <v/>
      </c>
      <c r="J113" s="2"/>
      <c r="K113" s="2"/>
      <c r="L113" s="1"/>
      <c r="M113" s="1">
        <v>76</v>
      </c>
      <c r="N113" s="1" t="str">
        <f>IF($T113=0,"",INDEX(GELIR_GIDER!$C$7:$C$3006,$T113))</f>
        <v/>
      </c>
      <c r="O113" s="1" t="str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1" t="str">
        <f t="shared" si="34"/>
        <v/>
      </c>
      <c r="Q113" s="1">
        <v>0</v>
      </c>
      <c r="R113" s="1">
        <f>IF($N113="",0,INDEX(GELIR_GIDER!$G$7:$G$3006,$T113))</f>
        <v>0</v>
      </c>
      <c r="S113" s="1">
        <f t="shared" si="31"/>
        <v>10000000000</v>
      </c>
      <c r="T113" s="1">
        <f>IFERROR(MATCH($U$6&amp;"|40",GELIR_GIDER!$AE$7:$AE$3006,0),0)</f>
        <v>0</v>
      </c>
      <c r="U113" s="1"/>
      <c r="V113" s="1">
        <f t="shared" si="32"/>
        <v>10000000000</v>
      </c>
      <c r="W113" s="1">
        <f t="shared" si="33"/>
        <v>2</v>
      </c>
    </row>
    <row r="114" spans="1:23" ht="19.5" customHeight="1" x14ac:dyDescent="0.3">
      <c r="A114" s="2"/>
      <c r="B114" s="65" t="str">
        <f t="shared" si="24"/>
        <v/>
      </c>
      <c r="C114" s="70" t="str">
        <f t="shared" si="25"/>
        <v/>
      </c>
      <c r="D114" s="171" t="str">
        <f t="shared" si="26"/>
        <v/>
      </c>
      <c r="E114" s="171"/>
      <c r="F114" s="65" t="str">
        <f t="shared" si="27"/>
        <v/>
      </c>
      <c r="G114" s="68" t="str">
        <f t="shared" si="28"/>
        <v/>
      </c>
      <c r="H114" s="68" t="str">
        <f t="shared" si="29"/>
        <v/>
      </c>
      <c r="I114" s="68" t="str">
        <f t="shared" si="30"/>
        <v/>
      </c>
      <c r="J114" s="2"/>
      <c r="K114" s="2"/>
      <c r="L114" s="1"/>
      <c r="M114" s="1">
        <v>77</v>
      </c>
      <c r="N114" s="1" t="str">
        <f>IF($T114=0,"",INDEX(GELIR_GIDER!$C$7:$C$3006,$T114))</f>
        <v/>
      </c>
      <c r="O114" s="1" t="str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1" t="str">
        <f t="shared" si="34"/>
        <v/>
      </c>
      <c r="Q114" s="1">
        <v>0</v>
      </c>
      <c r="R114" s="1">
        <f>IF($N114="",0,INDEX(GELIR_GIDER!$G$7:$G$3006,$T114))</f>
        <v>0</v>
      </c>
      <c r="S114" s="1">
        <f t="shared" si="31"/>
        <v>10000000000</v>
      </c>
      <c r="T114" s="1">
        <f>IFERROR(MATCH($U$6&amp;"|41",GELIR_GIDER!$AE$7:$AE$3006,0),0)</f>
        <v>0</v>
      </c>
      <c r="U114" s="1"/>
      <c r="V114" s="1">
        <f t="shared" si="32"/>
        <v>10000000000</v>
      </c>
      <c r="W114" s="1">
        <f t="shared" si="33"/>
        <v>2</v>
      </c>
    </row>
    <row r="115" spans="1:23" ht="19.5" customHeight="1" x14ac:dyDescent="0.3">
      <c r="A115" s="2"/>
      <c r="B115" s="65" t="str">
        <f t="shared" si="24"/>
        <v/>
      </c>
      <c r="C115" s="70" t="str">
        <f t="shared" si="25"/>
        <v/>
      </c>
      <c r="D115" s="171" t="str">
        <f t="shared" si="26"/>
        <v/>
      </c>
      <c r="E115" s="171"/>
      <c r="F115" s="65" t="str">
        <f t="shared" si="27"/>
        <v/>
      </c>
      <c r="G115" s="68" t="str">
        <f t="shared" si="28"/>
        <v/>
      </c>
      <c r="H115" s="68" t="str">
        <f t="shared" si="29"/>
        <v/>
      </c>
      <c r="I115" s="68" t="str">
        <f t="shared" si="30"/>
        <v/>
      </c>
      <c r="J115" s="2"/>
      <c r="K115" s="2"/>
      <c r="L115" s="1"/>
      <c r="M115" s="1">
        <v>78</v>
      </c>
      <c r="N115" s="1" t="str">
        <f>IF($T115=0,"",INDEX(GELIR_GIDER!$C$7:$C$3006,$T115))</f>
        <v/>
      </c>
      <c r="O115" s="1" t="str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1" t="str">
        <f t="shared" si="34"/>
        <v/>
      </c>
      <c r="Q115" s="1">
        <v>0</v>
      </c>
      <c r="R115" s="1">
        <f>IF($N115="",0,INDEX(GELIR_GIDER!$G$7:$G$3006,$T115))</f>
        <v>0</v>
      </c>
      <c r="S115" s="1">
        <f t="shared" si="31"/>
        <v>10000000000</v>
      </c>
      <c r="T115" s="1">
        <f>IFERROR(MATCH($U$6&amp;"|42",GELIR_GIDER!$AE$7:$AE$3006,0),0)</f>
        <v>0</v>
      </c>
      <c r="U115" s="1"/>
      <c r="V115" s="1">
        <f t="shared" si="32"/>
        <v>10000000000</v>
      </c>
      <c r="W115" s="1">
        <f t="shared" si="33"/>
        <v>2</v>
      </c>
    </row>
    <row r="116" spans="1:23" ht="19.5" customHeight="1" x14ac:dyDescent="0.3">
      <c r="A116" s="2"/>
      <c r="B116" s="65" t="str">
        <f t="shared" si="24"/>
        <v/>
      </c>
      <c r="C116" s="70" t="str">
        <f t="shared" si="25"/>
        <v/>
      </c>
      <c r="D116" s="171" t="str">
        <f t="shared" si="26"/>
        <v/>
      </c>
      <c r="E116" s="171"/>
      <c r="F116" s="65" t="str">
        <f t="shared" si="27"/>
        <v/>
      </c>
      <c r="G116" s="68" t="str">
        <f t="shared" si="28"/>
        <v/>
      </c>
      <c r="H116" s="68" t="str">
        <f t="shared" si="29"/>
        <v/>
      </c>
      <c r="I116" s="68" t="str">
        <f t="shared" si="30"/>
        <v/>
      </c>
      <c r="J116" s="2"/>
      <c r="K116" s="2"/>
      <c r="L116" s="1"/>
      <c r="M116" s="1">
        <v>79</v>
      </c>
      <c r="N116" s="1" t="str">
        <f>IF($T116=0,"",INDEX(GELIR_GIDER!$C$7:$C$3006,$T116))</f>
        <v/>
      </c>
      <c r="O116" s="1" t="str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1" t="str">
        <f t="shared" si="34"/>
        <v/>
      </c>
      <c r="Q116" s="1">
        <v>0</v>
      </c>
      <c r="R116" s="1">
        <f>IF($N116="",0,INDEX(GELIR_GIDER!$G$7:$G$3006,$T116))</f>
        <v>0</v>
      </c>
      <c r="S116" s="1">
        <f t="shared" si="31"/>
        <v>10000000000</v>
      </c>
      <c r="T116" s="1">
        <f>IFERROR(MATCH($U$6&amp;"|43",GELIR_GIDER!$AE$7:$AE$3006,0),0)</f>
        <v>0</v>
      </c>
      <c r="U116" s="1"/>
      <c r="V116" s="1">
        <f t="shared" si="32"/>
        <v>10000000000</v>
      </c>
      <c r="W116" s="1">
        <f t="shared" si="33"/>
        <v>2</v>
      </c>
    </row>
    <row r="117" spans="1:23" ht="19.5" customHeight="1" x14ac:dyDescent="0.3">
      <c r="A117" s="2"/>
      <c r="B117" s="65" t="str">
        <f t="shared" si="24"/>
        <v/>
      </c>
      <c r="C117" s="70" t="str">
        <f t="shared" si="25"/>
        <v/>
      </c>
      <c r="D117" s="171" t="str">
        <f t="shared" si="26"/>
        <v/>
      </c>
      <c r="E117" s="171"/>
      <c r="F117" s="65" t="str">
        <f t="shared" si="27"/>
        <v/>
      </c>
      <c r="G117" s="68" t="str">
        <f t="shared" si="28"/>
        <v/>
      </c>
      <c r="H117" s="68" t="str">
        <f t="shared" si="29"/>
        <v/>
      </c>
      <c r="I117" s="68" t="str">
        <f t="shared" si="30"/>
        <v/>
      </c>
      <c r="J117" s="2"/>
      <c r="K117" s="2"/>
      <c r="L117" s="1"/>
      <c r="M117" s="1">
        <v>80</v>
      </c>
      <c r="N117" s="1" t="str">
        <f>IF($T117=0,"",INDEX(GELIR_GIDER!$C$7:$C$3006,$T117))</f>
        <v/>
      </c>
      <c r="O117" s="1" t="str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1" t="str">
        <f t="shared" si="34"/>
        <v/>
      </c>
      <c r="Q117" s="1">
        <v>0</v>
      </c>
      <c r="R117" s="1">
        <f>IF($N117="",0,INDEX(GELIR_GIDER!$G$7:$G$3006,$T117))</f>
        <v>0</v>
      </c>
      <c r="S117" s="1">
        <f t="shared" si="31"/>
        <v>10000000000</v>
      </c>
      <c r="T117" s="1">
        <f>IFERROR(MATCH($U$6&amp;"|44",GELIR_GIDER!$AE$7:$AE$3006,0),0)</f>
        <v>0</v>
      </c>
      <c r="U117" s="1"/>
      <c r="V117" s="1">
        <f t="shared" si="32"/>
        <v>10000000000</v>
      </c>
      <c r="W117" s="1">
        <f t="shared" si="33"/>
        <v>2</v>
      </c>
    </row>
    <row r="118" spans="1:23" ht="19.5" customHeight="1" x14ac:dyDescent="0.3">
      <c r="A118" s="2"/>
      <c r="B118" s="65" t="str">
        <f t="shared" si="24"/>
        <v/>
      </c>
      <c r="C118" s="70" t="str">
        <f t="shared" si="25"/>
        <v/>
      </c>
      <c r="D118" s="171" t="str">
        <f t="shared" si="26"/>
        <v/>
      </c>
      <c r="E118" s="171"/>
      <c r="F118" s="65" t="str">
        <f t="shared" si="27"/>
        <v/>
      </c>
      <c r="G118" s="68" t="str">
        <f t="shared" si="28"/>
        <v/>
      </c>
      <c r="H118" s="68" t="str">
        <f t="shared" si="29"/>
        <v/>
      </c>
      <c r="I118" s="68" t="str">
        <f t="shared" si="30"/>
        <v/>
      </c>
      <c r="J118" s="2"/>
      <c r="K118" s="2"/>
      <c r="L118" s="1"/>
      <c r="M118" s="1">
        <v>81</v>
      </c>
      <c r="N118" s="1" t="str">
        <f>IF($T118=0,"",INDEX(GELIR_GIDER!$C$7:$C$3006,$T118))</f>
        <v/>
      </c>
      <c r="O118" s="1" t="str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1" t="str">
        <f t="shared" si="34"/>
        <v/>
      </c>
      <c r="Q118" s="1">
        <v>0</v>
      </c>
      <c r="R118" s="1">
        <f>IF($N118="",0,INDEX(GELIR_GIDER!$G$7:$G$3006,$T118))</f>
        <v>0</v>
      </c>
      <c r="S118" s="1">
        <f t="shared" si="31"/>
        <v>10000000000</v>
      </c>
      <c r="T118" s="1">
        <f>IFERROR(MATCH($U$6&amp;"|45",GELIR_GIDER!$AE$7:$AE$3006,0),0)</f>
        <v>0</v>
      </c>
      <c r="U118" s="1"/>
      <c r="V118" s="1">
        <f t="shared" si="32"/>
        <v>10000000000</v>
      </c>
      <c r="W118" s="1">
        <f t="shared" si="33"/>
        <v>2</v>
      </c>
    </row>
    <row r="119" spans="1:23" ht="19.5" customHeight="1" x14ac:dyDescent="0.3">
      <c r="A119" s="2"/>
      <c r="B119" s="65" t="str">
        <f t="shared" si="24"/>
        <v/>
      </c>
      <c r="C119" s="70" t="str">
        <f t="shared" si="25"/>
        <v/>
      </c>
      <c r="D119" s="171" t="str">
        <f t="shared" si="26"/>
        <v/>
      </c>
      <c r="E119" s="171"/>
      <c r="F119" s="65" t="str">
        <f t="shared" si="27"/>
        <v/>
      </c>
      <c r="G119" s="68" t="str">
        <f t="shared" si="28"/>
        <v/>
      </c>
      <c r="H119" s="68" t="str">
        <f t="shared" si="29"/>
        <v/>
      </c>
      <c r="I119" s="68" t="str">
        <f t="shared" si="30"/>
        <v/>
      </c>
      <c r="J119" s="2"/>
      <c r="K119" s="2"/>
      <c r="L119" s="1"/>
      <c r="M119" s="1">
        <v>82</v>
      </c>
      <c r="N119" s="1" t="str">
        <f>IF($T119=0,"",INDEX(GELIR_GIDER!$C$7:$C$3006,$T119))</f>
        <v/>
      </c>
      <c r="O119" s="1" t="str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1" t="str">
        <f t="shared" si="34"/>
        <v/>
      </c>
      <c r="Q119" s="1">
        <v>0</v>
      </c>
      <c r="R119" s="1">
        <f>IF($N119="",0,INDEX(GELIR_GIDER!$G$7:$G$3006,$T119))</f>
        <v>0</v>
      </c>
      <c r="S119" s="1">
        <f t="shared" si="31"/>
        <v>10000000000</v>
      </c>
      <c r="T119" s="1">
        <f>IFERROR(MATCH($U$6&amp;"|46",GELIR_GIDER!$AE$7:$AE$3006,0),0)</f>
        <v>0</v>
      </c>
      <c r="U119" s="1"/>
      <c r="V119" s="1">
        <f t="shared" si="32"/>
        <v>10000000000</v>
      </c>
      <c r="W119" s="1">
        <f t="shared" si="33"/>
        <v>2</v>
      </c>
    </row>
    <row r="120" spans="1:23" ht="19.5" customHeight="1" x14ac:dyDescent="0.3">
      <c r="A120" s="2"/>
      <c r="B120" s="65" t="str">
        <f t="shared" si="24"/>
        <v/>
      </c>
      <c r="C120" s="70" t="str">
        <f t="shared" si="25"/>
        <v/>
      </c>
      <c r="D120" s="171" t="str">
        <f t="shared" si="26"/>
        <v/>
      </c>
      <c r="E120" s="171"/>
      <c r="F120" s="65" t="str">
        <f t="shared" si="27"/>
        <v/>
      </c>
      <c r="G120" s="68" t="str">
        <f t="shared" si="28"/>
        <v/>
      </c>
      <c r="H120" s="68" t="str">
        <f t="shared" si="29"/>
        <v/>
      </c>
      <c r="I120" s="68" t="str">
        <f t="shared" si="30"/>
        <v/>
      </c>
      <c r="J120" s="2"/>
      <c r="K120" s="2"/>
      <c r="L120" s="1"/>
      <c r="M120" s="1">
        <v>83</v>
      </c>
      <c r="N120" s="1" t="str">
        <f>IF($T120=0,"",INDEX(GELIR_GIDER!$C$7:$C$3006,$T120))</f>
        <v/>
      </c>
      <c r="O120" s="1" t="str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1" t="str">
        <f t="shared" si="34"/>
        <v/>
      </c>
      <c r="Q120" s="1">
        <v>0</v>
      </c>
      <c r="R120" s="1">
        <f>IF($N120="",0,INDEX(GELIR_GIDER!$G$7:$G$3006,$T120))</f>
        <v>0</v>
      </c>
      <c r="S120" s="1">
        <f t="shared" si="31"/>
        <v>10000000000</v>
      </c>
      <c r="T120" s="1">
        <f>IFERROR(MATCH($U$6&amp;"|47",GELIR_GIDER!$AE$7:$AE$3006,0),0)</f>
        <v>0</v>
      </c>
      <c r="U120" s="1"/>
      <c r="V120" s="1">
        <f t="shared" si="32"/>
        <v>10000000000</v>
      </c>
      <c r="W120" s="1">
        <f t="shared" si="33"/>
        <v>2</v>
      </c>
    </row>
    <row r="121" spans="1:23" ht="19.5" customHeight="1" x14ac:dyDescent="0.3">
      <c r="A121" s="2"/>
      <c r="B121" s="65" t="str">
        <f t="shared" si="24"/>
        <v/>
      </c>
      <c r="C121" s="70" t="str">
        <f t="shared" si="25"/>
        <v/>
      </c>
      <c r="D121" s="171" t="str">
        <f t="shared" si="26"/>
        <v/>
      </c>
      <c r="E121" s="171"/>
      <c r="F121" s="65" t="str">
        <f t="shared" si="27"/>
        <v/>
      </c>
      <c r="G121" s="68" t="str">
        <f t="shared" si="28"/>
        <v/>
      </c>
      <c r="H121" s="68" t="str">
        <f t="shared" si="29"/>
        <v/>
      </c>
      <c r="I121" s="68" t="str">
        <f t="shared" si="30"/>
        <v/>
      </c>
      <c r="J121" s="2"/>
      <c r="K121" s="2"/>
      <c r="L121" s="1"/>
      <c r="M121" s="1">
        <v>84</v>
      </c>
      <c r="N121" s="1" t="str">
        <f>IF($T121=0,"",INDEX(GELIR_GIDER!$C$7:$C$3006,$T121))</f>
        <v/>
      </c>
      <c r="O121" s="1" t="str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1" t="str">
        <f t="shared" si="34"/>
        <v/>
      </c>
      <c r="Q121" s="1">
        <v>0</v>
      </c>
      <c r="R121" s="1">
        <f>IF($N121="",0,INDEX(GELIR_GIDER!$G$7:$G$3006,$T121))</f>
        <v>0</v>
      </c>
      <c r="S121" s="1">
        <f t="shared" si="31"/>
        <v>10000000000</v>
      </c>
      <c r="T121" s="1">
        <f>IFERROR(MATCH($U$6&amp;"|48",GELIR_GIDER!$AE$7:$AE$3006,0),0)</f>
        <v>0</v>
      </c>
      <c r="U121" s="1"/>
      <c r="V121" s="1">
        <f t="shared" si="32"/>
        <v>10000000000</v>
      </c>
      <c r="W121" s="1">
        <f t="shared" si="33"/>
        <v>2</v>
      </c>
    </row>
    <row r="122" spans="1:23" ht="19.5" customHeight="1" x14ac:dyDescent="0.3">
      <c r="A122" s="2"/>
      <c r="B122" s="65" t="str">
        <f t="shared" si="24"/>
        <v/>
      </c>
      <c r="C122" s="70" t="str">
        <f t="shared" si="25"/>
        <v/>
      </c>
      <c r="D122" s="171" t="str">
        <f t="shared" si="26"/>
        <v/>
      </c>
      <c r="E122" s="171"/>
      <c r="F122" s="65" t="str">
        <f t="shared" si="27"/>
        <v/>
      </c>
      <c r="G122" s="68" t="str">
        <f t="shared" si="28"/>
        <v/>
      </c>
      <c r="H122" s="68" t="str">
        <f t="shared" si="29"/>
        <v/>
      </c>
      <c r="I122" s="68" t="str">
        <f t="shared" si="30"/>
        <v/>
      </c>
      <c r="J122" s="2"/>
      <c r="K122" s="2"/>
      <c r="L122" s="1"/>
      <c r="M122" s="1">
        <v>85</v>
      </c>
      <c r="N122" s="1" t="str">
        <f>IF($T122=0,"",INDEX(GELIR_GIDER!$C$7:$C$3006,$T122))</f>
        <v/>
      </c>
      <c r="O122" s="1" t="str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1" t="str">
        <f t="shared" si="34"/>
        <v/>
      </c>
      <c r="Q122" s="1">
        <v>0</v>
      </c>
      <c r="R122" s="1">
        <f>IF($N122="",0,INDEX(GELIR_GIDER!$G$7:$G$3006,$T122))</f>
        <v>0</v>
      </c>
      <c r="S122" s="1">
        <f t="shared" si="31"/>
        <v>10000000000</v>
      </c>
      <c r="T122" s="1">
        <f>IFERROR(MATCH($U$6&amp;"|49",GELIR_GIDER!$AE$7:$AE$3006,0),0)</f>
        <v>0</v>
      </c>
      <c r="U122" s="1"/>
      <c r="V122" s="1">
        <f t="shared" si="32"/>
        <v>10000000000</v>
      </c>
      <c r="W122" s="1">
        <f t="shared" si="33"/>
        <v>2</v>
      </c>
    </row>
    <row r="123" spans="1:23" ht="19.5" customHeight="1" x14ac:dyDescent="0.3">
      <c r="A123" s="2"/>
      <c r="B123" s="65" t="str">
        <f t="shared" si="24"/>
        <v/>
      </c>
      <c r="C123" s="70" t="str">
        <f t="shared" si="25"/>
        <v/>
      </c>
      <c r="D123" s="171" t="str">
        <f t="shared" si="26"/>
        <v/>
      </c>
      <c r="E123" s="171"/>
      <c r="F123" s="65" t="str">
        <f t="shared" si="27"/>
        <v/>
      </c>
      <c r="G123" s="68" t="str">
        <f t="shared" si="28"/>
        <v/>
      </c>
      <c r="H123" s="68" t="str">
        <f t="shared" si="29"/>
        <v/>
      </c>
      <c r="I123" s="68" t="str">
        <f t="shared" si="30"/>
        <v/>
      </c>
      <c r="J123" s="2"/>
      <c r="K123" s="2"/>
      <c r="L123" s="1"/>
      <c r="M123" s="1">
        <v>86</v>
      </c>
      <c r="N123" s="1" t="str">
        <f>IF($T123=0,"",INDEX(GELIR_GIDER!$C$7:$C$3006,$T123))</f>
        <v/>
      </c>
      <c r="O123" s="1" t="str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1" t="str">
        <f t="shared" si="34"/>
        <v/>
      </c>
      <c r="Q123" s="1">
        <v>0</v>
      </c>
      <c r="R123" s="1">
        <f>IF($N123="",0,INDEX(GELIR_GIDER!$G$7:$G$3006,$T123))</f>
        <v>0</v>
      </c>
      <c r="S123" s="1">
        <f t="shared" si="31"/>
        <v>10000000000</v>
      </c>
      <c r="T123" s="1">
        <f>IFERROR(MATCH($U$6&amp;"|50",GELIR_GIDER!$AE$7:$AE$3006,0),0)</f>
        <v>0</v>
      </c>
      <c r="U123" s="1"/>
      <c r="V123" s="1">
        <f t="shared" si="32"/>
        <v>10000000000</v>
      </c>
      <c r="W123" s="1">
        <f t="shared" si="33"/>
        <v>2</v>
      </c>
    </row>
    <row r="124" spans="1:23" ht="19.5" customHeight="1" x14ac:dyDescent="0.3">
      <c r="A124" s="2"/>
      <c r="B124" s="65" t="str">
        <f t="shared" si="24"/>
        <v/>
      </c>
      <c r="C124" s="70" t="str">
        <f t="shared" si="25"/>
        <v/>
      </c>
      <c r="D124" s="171" t="str">
        <f t="shared" si="26"/>
        <v/>
      </c>
      <c r="E124" s="171"/>
      <c r="F124" s="65" t="str">
        <f t="shared" si="27"/>
        <v/>
      </c>
      <c r="G124" s="68" t="str">
        <f t="shared" si="28"/>
        <v/>
      </c>
      <c r="H124" s="68" t="str">
        <f t="shared" si="29"/>
        <v/>
      </c>
      <c r="I124" s="68" t="str">
        <f t="shared" si="30"/>
        <v/>
      </c>
      <c r="J124" s="2"/>
      <c r="K124" s="2"/>
      <c r="L124" s="1"/>
      <c r="M124" s="1">
        <v>87</v>
      </c>
      <c r="N124" s="1" t="str">
        <f>IF($T124=0,"",INDEX(GELIR_GIDER!$C$7:$C$3006,$T124))</f>
        <v/>
      </c>
      <c r="O124" s="1" t="str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1" t="str">
        <f t="shared" si="34"/>
        <v/>
      </c>
      <c r="Q124" s="1">
        <v>0</v>
      </c>
      <c r="R124" s="1">
        <f>IF($N124="",0,INDEX(GELIR_GIDER!$G$7:$G$3006,$T124))</f>
        <v>0</v>
      </c>
      <c r="S124" s="1">
        <f t="shared" si="31"/>
        <v>10000000000</v>
      </c>
      <c r="T124" s="1">
        <f>IFERROR(MATCH($U$6&amp;"|51",GELIR_GIDER!$AE$7:$AE$3006,0),0)</f>
        <v>0</v>
      </c>
      <c r="U124" s="1"/>
      <c r="V124" s="1">
        <f t="shared" si="32"/>
        <v>10000000000</v>
      </c>
      <c r="W124" s="1">
        <f t="shared" si="33"/>
        <v>2</v>
      </c>
    </row>
    <row r="125" spans="1:23" ht="19.5" customHeight="1" x14ac:dyDescent="0.3">
      <c r="A125" s="2"/>
      <c r="B125" s="65" t="str">
        <f t="shared" si="24"/>
        <v/>
      </c>
      <c r="C125" s="70" t="str">
        <f t="shared" si="25"/>
        <v/>
      </c>
      <c r="D125" s="171" t="str">
        <f t="shared" si="26"/>
        <v/>
      </c>
      <c r="E125" s="171"/>
      <c r="F125" s="65" t="str">
        <f t="shared" si="27"/>
        <v/>
      </c>
      <c r="G125" s="68" t="str">
        <f t="shared" si="28"/>
        <v/>
      </c>
      <c r="H125" s="68" t="str">
        <f t="shared" si="29"/>
        <v/>
      </c>
      <c r="I125" s="68" t="str">
        <f t="shared" si="30"/>
        <v/>
      </c>
      <c r="J125" s="2"/>
      <c r="K125" s="2"/>
      <c r="L125" s="1"/>
      <c r="M125" s="1">
        <v>88</v>
      </c>
      <c r="N125" s="1" t="str">
        <f>IF($T125=0,"",INDEX(GELIR_GIDER!$C$7:$C$3006,$T125))</f>
        <v/>
      </c>
      <c r="O125" s="1" t="str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1" t="str">
        <f t="shared" si="34"/>
        <v/>
      </c>
      <c r="Q125" s="1">
        <v>0</v>
      </c>
      <c r="R125" s="1">
        <f>IF($N125="",0,INDEX(GELIR_GIDER!$G$7:$G$3006,$T125))</f>
        <v>0</v>
      </c>
      <c r="S125" s="1">
        <f t="shared" si="31"/>
        <v>10000000000</v>
      </c>
      <c r="T125" s="1">
        <f>IFERROR(MATCH($U$6&amp;"|52",GELIR_GIDER!$AE$7:$AE$3006,0),0)</f>
        <v>0</v>
      </c>
      <c r="U125" s="1"/>
      <c r="V125" s="1">
        <f t="shared" si="32"/>
        <v>10000000000</v>
      </c>
      <c r="W125" s="1">
        <f t="shared" si="33"/>
        <v>2</v>
      </c>
    </row>
    <row r="126" spans="1:23" ht="19.5" customHeight="1" x14ac:dyDescent="0.3">
      <c r="A126" s="2"/>
      <c r="B126" s="65" t="str">
        <f t="shared" si="24"/>
        <v/>
      </c>
      <c r="C126" s="70" t="str">
        <f t="shared" si="25"/>
        <v/>
      </c>
      <c r="D126" s="171" t="str">
        <f t="shared" si="26"/>
        <v/>
      </c>
      <c r="E126" s="171"/>
      <c r="F126" s="65" t="str">
        <f t="shared" si="27"/>
        <v/>
      </c>
      <c r="G126" s="68" t="str">
        <f t="shared" si="28"/>
        <v/>
      </c>
      <c r="H126" s="68" t="str">
        <f t="shared" si="29"/>
        <v/>
      </c>
      <c r="I126" s="68" t="str">
        <f t="shared" si="30"/>
        <v/>
      </c>
      <c r="J126" s="2"/>
      <c r="K126" s="2"/>
      <c r="L126" s="1"/>
      <c r="M126" s="1">
        <v>89</v>
      </c>
      <c r="N126" s="1" t="str">
        <f>IF($T126=0,"",INDEX(GELIR_GIDER!$C$7:$C$3006,$T126))</f>
        <v/>
      </c>
      <c r="O126" s="1" t="str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1" t="str">
        <f t="shared" si="34"/>
        <v/>
      </c>
      <c r="Q126" s="1">
        <v>0</v>
      </c>
      <c r="R126" s="1">
        <f>IF($N126="",0,INDEX(GELIR_GIDER!$G$7:$G$3006,$T126))</f>
        <v>0</v>
      </c>
      <c r="S126" s="1">
        <f t="shared" si="31"/>
        <v>10000000000</v>
      </c>
      <c r="T126" s="1">
        <f>IFERROR(MATCH($U$6&amp;"|53",GELIR_GIDER!$AE$7:$AE$3006,0),0)</f>
        <v>0</v>
      </c>
      <c r="U126" s="1"/>
      <c r="V126" s="1">
        <f t="shared" si="32"/>
        <v>10000000000</v>
      </c>
      <c r="W126" s="1">
        <f t="shared" si="33"/>
        <v>2</v>
      </c>
    </row>
    <row r="127" spans="1:23" ht="19.5" customHeight="1" x14ac:dyDescent="0.3">
      <c r="A127" s="2"/>
      <c r="B127" s="65" t="str">
        <f t="shared" si="24"/>
        <v/>
      </c>
      <c r="C127" s="70" t="str">
        <f t="shared" si="25"/>
        <v/>
      </c>
      <c r="D127" s="171" t="str">
        <f t="shared" si="26"/>
        <v/>
      </c>
      <c r="E127" s="171"/>
      <c r="F127" s="65" t="str">
        <f t="shared" si="27"/>
        <v/>
      </c>
      <c r="G127" s="68" t="str">
        <f t="shared" si="28"/>
        <v/>
      </c>
      <c r="H127" s="68" t="str">
        <f t="shared" si="29"/>
        <v/>
      </c>
      <c r="I127" s="68" t="str">
        <f t="shared" si="30"/>
        <v/>
      </c>
      <c r="J127" s="2"/>
      <c r="K127" s="2"/>
      <c r="L127" s="1"/>
      <c r="M127" s="1">
        <v>90</v>
      </c>
      <c r="N127" s="1" t="str">
        <f>IF($T127=0,"",INDEX(GELIR_GIDER!$C$7:$C$3006,$T127))</f>
        <v/>
      </c>
      <c r="O127" s="1" t="str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1" t="str">
        <f t="shared" si="34"/>
        <v/>
      </c>
      <c r="Q127" s="1">
        <v>0</v>
      </c>
      <c r="R127" s="1">
        <f>IF($N127="",0,INDEX(GELIR_GIDER!$G$7:$G$3006,$T127))</f>
        <v>0</v>
      </c>
      <c r="S127" s="1">
        <f t="shared" si="31"/>
        <v>10000000000</v>
      </c>
      <c r="T127" s="1">
        <f>IFERROR(MATCH($U$6&amp;"|54",GELIR_GIDER!$AE$7:$AE$3006,0),0)</f>
        <v>0</v>
      </c>
      <c r="U127" s="1"/>
      <c r="V127" s="1">
        <f t="shared" si="32"/>
        <v>10000000000</v>
      </c>
      <c r="W127" s="1">
        <f t="shared" si="33"/>
        <v>2</v>
      </c>
    </row>
    <row r="128" spans="1:23" ht="19.5" customHeight="1" x14ac:dyDescent="0.3">
      <c r="A128" s="2"/>
      <c r="B128" s="65" t="str">
        <f t="shared" si="24"/>
        <v/>
      </c>
      <c r="C128" s="70" t="str">
        <f t="shared" si="25"/>
        <v/>
      </c>
      <c r="D128" s="171" t="str">
        <f t="shared" si="26"/>
        <v/>
      </c>
      <c r="E128" s="171"/>
      <c r="F128" s="65" t="str">
        <f t="shared" si="27"/>
        <v/>
      </c>
      <c r="G128" s="68" t="str">
        <f t="shared" si="28"/>
        <v/>
      </c>
      <c r="H128" s="68" t="str">
        <f t="shared" si="29"/>
        <v/>
      </c>
      <c r="I128" s="68" t="str">
        <f t="shared" si="30"/>
        <v/>
      </c>
      <c r="J128" s="2"/>
      <c r="K128" s="2"/>
      <c r="L128" s="1"/>
      <c r="M128" s="1">
        <v>91</v>
      </c>
      <c r="N128" s="1" t="str">
        <f>IF($T128=0,"",INDEX(GELIR_GIDER!$C$7:$C$3006,$T128))</f>
        <v/>
      </c>
      <c r="O128" s="1" t="str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1" t="str">
        <f t="shared" si="34"/>
        <v/>
      </c>
      <c r="Q128" s="1">
        <v>0</v>
      </c>
      <c r="R128" s="1">
        <f>IF($N128="",0,INDEX(GELIR_GIDER!$G$7:$G$3006,$T128))</f>
        <v>0</v>
      </c>
      <c r="S128" s="1">
        <f t="shared" si="31"/>
        <v>10000000000</v>
      </c>
      <c r="T128" s="1">
        <f>IFERROR(MATCH($U$6&amp;"|55",GELIR_GIDER!$AE$7:$AE$3006,0),0)</f>
        <v>0</v>
      </c>
      <c r="U128" s="1"/>
      <c r="V128" s="1">
        <f t="shared" si="32"/>
        <v>10000000000</v>
      </c>
      <c r="W128" s="1">
        <f t="shared" si="33"/>
        <v>2</v>
      </c>
    </row>
    <row r="129" spans="1:23" ht="19.5" customHeight="1" x14ac:dyDescent="0.3">
      <c r="A129" s="2"/>
      <c r="B129" s="65" t="str">
        <f t="shared" si="24"/>
        <v/>
      </c>
      <c r="C129" s="70" t="str">
        <f t="shared" si="25"/>
        <v/>
      </c>
      <c r="D129" s="171" t="str">
        <f t="shared" si="26"/>
        <v/>
      </c>
      <c r="E129" s="171"/>
      <c r="F129" s="65" t="str">
        <f t="shared" si="27"/>
        <v/>
      </c>
      <c r="G129" s="68" t="str">
        <f t="shared" si="28"/>
        <v/>
      </c>
      <c r="H129" s="68" t="str">
        <f t="shared" si="29"/>
        <v/>
      </c>
      <c r="I129" s="68" t="str">
        <f t="shared" si="30"/>
        <v/>
      </c>
      <c r="J129" s="2"/>
      <c r="K129" s="2"/>
      <c r="L129" s="1"/>
      <c r="M129" s="1">
        <v>92</v>
      </c>
      <c r="N129" s="1" t="str">
        <f>IF($T129=0,"",INDEX(GELIR_GIDER!$C$7:$C$3006,$T129))</f>
        <v/>
      </c>
      <c r="O129" s="1" t="str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1" t="str">
        <f t="shared" si="34"/>
        <v/>
      </c>
      <c r="Q129" s="1">
        <v>0</v>
      </c>
      <c r="R129" s="1">
        <f>IF($N129="",0,INDEX(GELIR_GIDER!$G$7:$G$3006,$T129))</f>
        <v>0</v>
      </c>
      <c r="S129" s="1">
        <f t="shared" si="31"/>
        <v>10000000000</v>
      </c>
      <c r="T129" s="1">
        <f>IFERROR(MATCH($U$6&amp;"|56",GELIR_GIDER!$AE$7:$AE$3006,0),0)</f>
        <v>0</v>
      </c>
      <c r="U129" s="1"/>
      <c r="V129" s="1">
        <f t="shared" si="32"/>
        <v>10000000000</v>
      </c>
      <c r="W129" s="1">
        <f t="shared" si="33"/>
        <v>2</v>
      </c>
    </row>
    <row r="130" spans="1:23" ht="19.5" customHeight="1" x14ac:dyDescent="0.3">
      <c r="A130" s="2"/>
      <c r="B130" s="65" t="str">
        <f t="shared" si="24"/>
        <v/>
      </c>
      <c r="C130" s="70" t="str">
        <f t="shared" si="25"/>
        <v/>
      </c>
      <c r="D130" s="171" t="str">
        <f t="shared" si="26"/>
        <v/>
      </c>
      <c r="E130" s="171"/>
      <c r="F130" s="65" t="str">
        <f t="shared" si="27"/>
        <v/>
      </c>
      <c r="G130" s="68" t="str">
        <f t="shared" si="28"/>
        <v/>
      </c>
      <c r="H130" s="68" t="str">
        <f t="shared" si="29"/>
        <v/>
      </c>
      <c r="I130" s="68" t="str">
        <f t="shared" si="30"/>
        <v/>
      </c>
      <c r="J130" s="2"/>
      <c r="K130" s="2"/>
      <c r="L130" s="1"/>
      <c r="M130" s="1">
        <v>93</v>
      </c>
      <c r="N130" s="1" t="str">
        <f>IF($T130=0,"",INDEX(GELIR_GIDER!$C$7:$C$3006,$T130))</f>
        <v/>
      </c>
      <c r="O130" s="1" t="str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1" t="str">
        <f t="shared" si="34"/>
        <v/>
      </c>
      <c r="Q130" s="1">
        <v>0</v>
      </c>
      <c r="R130" s="1">
        <f>IF($N130="",0,INDEX(GELIR_GIDER!$G$7:$G$3006,$T130))</f>
        <v>0</v>
      </c>
      <c r="S130" s="1">
        <f t="shared" si="31"/>
        <v>10000000000</v>
      </c>
      <c r="T130" s="1">
        <f>IFERROR(MATCH($U$6&amp;"|57",GELIR_GIDER!$AE$7:$AE$3006,0),0)</f>
        <v>0</v>
      </c>
      <c r="U130" s="1"/>
      <c r="V130" s="1">
        <f t="shared" si="32"/>
        <v>10000000000</v>
      </c>
      <c r="W130" s="1">
        <f t="shared" si="33"/>
        <v>2</v>
      </c>
    </row>
    <row r="131" spans="1:23" ht="19.5" customHeight="1" x14ac:dyDescent="0.3">
      <c r="A131" s="2"/>
      <c r="B131" s="65" t="str">
        <f t="shared" si="24"/>
        <v/>
      </c>
      <c r="C131" s="70" t="str">
        <f t="shared" si="25"/>
        <v/>
      </c>
      <c r="D131" s="171" t="str">
        <f t="shared" si="26"/>
        <v/>
      </c>
      <c r="E131" s="171"/>
      <c r="F131" s="65" t="str">
        <f t="shared" si="27"/>
        <v/>
      </c>
      <c r="G131" s="68" t="str">
        <f t="shared" si="28"/>
        <v/>
      </c>
      <c r="H131" s="68" t="str">
        <f t="shared" si="29"/>
        <v/>
      </c>
      <c r="I131" s="68" t="str">
        <f t="shared" si="30"/>
        <v/>
      </c>
      <c r="J131" s="2"/>
      <c r="K131" s="2"/>
      <c r="L131" s="1"/>
      <c r="M131" s="1">
        <v>94</v>
      </c>
      <c r="N131" s="1" t="str">
        <f>IF($T131=0,"",INDEX(GELIR_GIDER!$C$7:$C$3006,$T131))</f>
        <v/>
      </c>
      <c r="O131" s="1" t="str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1" t="str">
        <f t="shared" si="34"/>
        <v/>
      </c>
      <c r="Q131" s="1">
        <v>0</v>
      </c>
      <c r="R131" s="1">
        <f>IF($N131="",0,INDEX(GELIR_GIDER!$G$7:$G$3006,$T131))</f>
        <v>0</v>
      </c>
      <c r="S131" s="1">
        <f t="shared" si="31"/>
        <v>10000000000</v>
      </c>
      <c r="T131" s="1">
        <f>IFERROR(MATCH($U$6&amp;"|58",GELIR_GIDER!$AE$7:$AE$3006,0),0)</f>
        <v>0</v>
      </c>
      <c r="U131" s="1"/>
      <c r="V131" s="1">
        <f t="shared" si="32"/>
        <v>10000000000</v>
      </c>
      <c r="W131" s="1">
        <f t="shared" si="33"/>
        <v>2</v>
      </c>
    </row>
    <row r="132" spans="1:23" ht="19.5" customHeight="1" x14ac:dyDescent="0.3">
      <c r="A132" s="2"/>
      <c r="B132" s="65" t="str">
        <f t="shared" si="24"/>
        <v/>
      </c>
      <c r="C132" s="70" t="str">
        <f t="shared" si="25"/>
        <v/>
      </c>
      <c r="D132" s="171" t="str">
        <f t="shared" si="26"/>
        <v/>
      </c>
      <c r="E132" s="171"/>
      <c r="F132" s="65" t="str">
        <f t="shared" si="27"/>
        <v/>
      </c>
      <c r="G132" s="68" t="str">
        <f t="shared" si="28"/>
        <v/>
      </c>
      <c r="H132" s="68" t="str">
        <f t="shared" si="29"/>
        <v/>
      </c>
      <c r="I132" s="68" t="str">
        <f t="shared" si="30"/>
        <v/>
      </c>
      <c r="J132" s="2"/>
      <c r="K132" s="2"/>
      <c r="L132" s="1"/>
      <c r="M132" s="1">
        <v>95</v>
      </c>
      <c r="N132" s="1" t="str">
        <f>IF($T132=0,"",INDEX(GELIR_GIDER!$C$7:$C$3006,$T132))</f>
        <v/>
      </c>
      <c r="O132" s="1" t="str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1" t="str">
        <f t="shared" si="34"/>
        <v/>
      </c>
      <c r="Q132" s="1">
        <v>0</v>
      </c>
      <c r="R132" s="1">
        <f>IF($N132="",0,INDEX(GELIR_GIDER!$G$7:$G$3006,$T132))</f>
        <v>0</v>
      </c>
      <c r="S132" s="1">
        <f t="shared" si="31"/>
        <v>10000000000</v>
      </c>
      <c r="T132" s="1">
        <f>IFERROR(MATCH($U$6&amp;"|59",GELIR_GIDER!$AE$7:$AE$3006,0),0)</f>
        <v>0</v>
      </c>
      <c r="U132" s="1"/>
      <c r="V132" s="1">
        <f t="shared" si="32"/>
        <v>10000000000</v>
      </c>
      <c r="W132" s="1">
        <f t="shared" si="33"/>
        <v>2</v>
      </c>
    </row>
    <row r="133" spans="1:23" ht="19.5" customHeight="1" x14ac:dyDescent="0.3">
      <c r="A133" s="2"/>
      <c r="B133" s="65" t="str">
        <f t="shared" si="24"/>
        <v/>
      </c>
      <c r="C133" s="70" t="str">
        <f t="shared" si="25"/>
        <v/>
      </c>
      <c r="D133" s="171" t="str">
        <f t="shared" si="26"/>
        <v/>
      </c>
      <c r="E133" s="171"/>
      <c r="F133" s="65" t="str">
        <f t="shared" si="27"/>
        <v/>
      </c>
      <c r="G133" s="68" t="str">
        <f t="shared" si="28"/>
        <v/>
      </c>
      <c r="H133" s="68" t="str">
        <f t="shared" si="29"/>
        <v/>
      </c>
      <c r="I133" s="68" t="str">
        <f t="shared" si="30"/>
        <v/>
      </c>
      <c r="J133" s="2"/>
      <c r="K133" s="2"/>
      <c r="L133" s="1"/>
      <c r="M133" s="1">
        <v>96</v>
      </c>
      <c r="N133" s="1" t="str">
        <f>IF($T133=0,"",INDEX(GELIR_GIDER!$C$7:$C$3006,$T133))</f>
        <v/>
      </c>
      <c r="O133" s="1" t="str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1" t="str">
        <f t="shared" si="34"/>
        <v/>
      </c>
      <c r="Q133" s="1">
        <v>0</v>
      </c>
      <c r="R133" s="1">
        <f>IF($N133="",0,INDEX(GELIR_GIDER!$G$7:$G$3006,$T133))</f>
        <v>0</v>
      </c>
      <c r="S133" s="1">
        <f t="shared" si="31"/>
        <v>10000000000</v>
      </c>
      <c r="T133" s="1">
        <f>IFERROR(MATCH($U$6&amp;"|60",GELIR_GIDER!$AE$7:$AE$3006,0),0)</f>
        <v>0</v>
      </c>
      <c r="U133" s="1"/>
      <c r="V133" s="1">
        <f t="shared" si="32"/>
        <v>10000000000</v>
      </c>
      <c r="W133" s="1">
        <f t="shared" si="33"/>
        <v>2</v>
      </c>
    </row>
    <row r="134" spans="1:23" ht="19.5" customHeight="1" x14ac:dyDescent="0.3">
      <c r="A134" s="2"/>
      <c r="B134" s="65" t="str">
        <f t="shared" ref="B134:B165" si="35">IF($C134="","",ROW()-37)</f>
        <v/>
      </c>
      <c r="C134" s="70" t="str">
        <f t="shared" ref="C134:C165" si="36">IF($W134="","",IF(INDEX($N$38:$N$193,$W134)="","",INDEX($N$38:$N$193,$W134)))</f>
        <v/>
      </c>
      <c r="D134" s="171" t="str">
        <f t="shared" ref="D134:D165" si="37">IF($C134="","",INDEX($O$38:$O$193,$W134))</f>
        <v/>
      </c>
      <c r="E134" s="171"/>
      <c r="F134" s="65" t="str">
        <f t="shared" ref="F134:F165" si="38">IF($C134="","",INDEX($P$38:$P$193,$W134))</f>
        <v/>
      </c>
      <c r="G134" s="68" t="str">
        <f t="shared" ref="G134:G165" si="39">IF($C134="","",INDEX($Q$38:$Q$193,$W134))</f>
        <v/>
      </c>
      <c r="H134" s="68" t="str">
        <f t="shared" ref="H134:H165" si="40">IF($C134="","",INDEX($R$38:$R$193,$W134))</f>
        <v/>
      </c>
      <c r="I134" s="68" t="str">
        <f t="shared" ref="I134:I165" si="41">IF($C134="","",N($I133)+$G134-$H134)</f>
        <v/>
      </c>
      <c r="J134" s="2"/>
      <c r="K134" s="2"/>
      <c r="L134" s="1"/>
      <c r="M134" s="1">
        <v>97</v>
      </c>
      <c r="N134" s="1" t="str">
        <f>IF($T134=0,"",INDEX(GELIR_GIDER!$C$7:$C$3006,$T134))</f>
        <v/>
      </c>
      <c r="O134" s="1" t="str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1" t="str">
        <f t="shared" si="34"/>
        <v/>
      </c>
      <c r="Q134" s="1">
        <v>0</v>
      </c>
      <c r="R134" s="1">
        <f>IF($N134="",0,INDEX(GELIR_GIDER!$G$7:$G$3006,$T134))</f>
        <v>0</v>
      </c>
      <c r="S134" s="1">
        <f t="shared" ref="S134:S165" si="42">IF($N134="",10000000000,$N134*100000+$M134)</f>
        <v>10000000000</v>
      </c>
      <c r="T134" s="1">
        <f>IFERROR(MATCH($U$6&amp;"|61",GELIR_GIDER!$AE$7:$AE$3006,0),0)</f>
        <v>0</v>
      </c>
      <c r="U134" s="1"/>
      <c r="V134" s="1">
        <f t="shared" ref="V134:V165" si="43">IFERROR(SMALL($S$38:$S$193,ROW()-37),"")</f>
        <v>10000000000</v>
      </c>
      <c r="W134" s="1">
        <f t="shared" ref="W134:W165" si="44">IFERROR(MATCH($V134,$S$38:$S$193,0),"")</f>
        <v>2</v>
      </c>
    </row>
    <row r="135" spans="1:23" ht="19.5" customHeight="1" x14ac:dyDescent="0.3">
      <c r="A135" s="2"/>
      <c r="B135" s="65" t="str">
        <f t="shared" si="35"/>
        <v/>
      </c>
      <c r="C135" s="70" t="str">
        <f t="shared" si="36"/>
        <v/>
      </c>
      <c r="D135" s="171" t="str">
        <f t="shared" si="37"/>
        <v/>
      </c>
      <c r="E135" s="171"/>
      <c r="F135" s="65" t="str">
        <f t="shared" si="38"/>
        <v/>
      </c>
      <c r="G135" s="68" t="str">
        <f t="shared" si="39"/>
        <v/>
      </c>
      <c r="H135" s="68" t="str">
        <f t="shared" si="40"/>
        <v/>
      </c>
      <c r="I135" s="68" t="str">
        <f t="shared" si="41"/>
        <v/>
      </c>
      <c r="J135" s="2"/>
      <c r="K135" s="2"/>
      <c r="L135" s="1"/>
      <c r="M135" s="1">
        <v>98</v>
      </c>
      <c r="N135" s="1" t="str">
        <f>IF($T135=0,"",INDEX(GELIR_GIDER!$C$7:$C$3006,$T135))</f>
        <v/>
      </c>
      <c r="O135" s="1" t="str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1" t="str">
        <f t="shared" si="34"/>
        <v/>
      </c>
      <c r="Q135" s="1">
        <v>0</v>
      </c>
      <c r="R135" s="1">
        <f>IF($N135="",0,INDEX(GELIR_GIDER!$G$7:$G$3006,$T135))</f>
        <v>0</v>
      </c>
      <c r="S135" s="1">
        <f t="shared" si="42"/>
        <v>10000000000</v>
      </c>
      <c r="T135" s="1">
        <f>IFERROR(MATCH($U$6&amp;"|62",GELIR_GIDER!$AE$7:$AE$3006,0),0)</f>
        <v>0</v>
      </c>
      <c r="U135" s="1"/>
      <c r="V135" s="1">
        <f t="shared" si="43"/>
        <v>10000000000</v>
      </c>
      <c r="W135" s="1">
        <f t="shared" si="44"/>
        <v>2</v>
      </c>
    </row>
    <row r="136" spans="1:23" ht="19.5" customHeight="1" x14ac:dyDescent="0.3">
      <c r="A136" s="2"/>
      <c r="B136" s="65" t="str">
        <f t="shared" si="35"/>
        <v/>
      </c>
      <c r="C136" s="70" t="str">
        <f t="shared" si="36"/>
        <v/>
      </c>
      <c r="D136" s="171" t="str">
        <f t="shared" si="37"/>
        <v/>
      </c>
      <c r="E136" s="171"/>
      <c r="F136" s="65" t="str">
        <f t="shared" si="38"/>
        <v/>
      </c>
      <c r="G136" s="68" t="str">
        <f t="shared" si="39"/>
        <v/>
      </c>
      <c r="H136" s="68" t="str">
        <f t="shared" si="40"/>
        <v/>
      </c>
      <c r="I136" s="68" t="str">
        <f t="shared" si="41"/>
        <v/>
      </c>
      <c r="J136" s="2"/>
      <c r="K136" s="2"/>
      <c r="L136" s="1"/>
      <c r="M136" s="1">
        <v>99</v>
      </c>
      <c r="N136" s="1" t="str">
        <f>IF($T136=0,"",INDEX(GELIR_GIDER!$C$7:$C$3006,$T136))</f>
        <v/>
      </c>
      <c r="O136" s="1" t="str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1" t="str">
        <f t="shared" si="34"/>
        <v/>
      </c>
      <c r="Q136" s="1">
        <v>0</v>
      </c>
      <c r="R136" s="1">
        <f>IF($N136="",0,INDEX(GELIR_GIDER!$G$7:$G$3006,$T136))</f>
        <v>0</v>
      </c>
      <c r="S136" s="1">
        <f t="shared" si="42"/>
        <v>10000000000</v>
      </c>
      <c r="T136" s="1">
        <f>IFERROR(MATCH($U$6&amp;"|63",GELIR_GIDER!$AE$7:$AE$3006,0),0)</f>
        <v>0</v>
      </c>
      <c r="U136" s="1"/>
      <c r="V136" s="1">
        <f t="shared" si="43"/>
        <v>10000000000</v>
      </c>
      <c r="W136" s="1">
        <f t="shared" si="44"/>
        <v>2</v>
      </c>
    </row>
    <row r="137" spans="1:23" ht="19.5" customHeight="1" x14ac:dyDescent="0.3">
      <c r="A137" s="2"/>
      <c r="B137" s="65" t="str">
        <f t="shared" si="35"/>
        <v/>
      </c>
      <c r="C137" s="70" t="str">
        <f t="shared" si="36"/>
        <v/>
      </c>
      <c r="D137" s="171" t="str">
        <f t="shared" si="37"/>
        <v/>
      </c>
      <c r="E137" s="171"/>
      <c r="F137" s="65" t="str">
        <f t="shared" si="38"/>
        <v/>
      </c>
      <c r="G137" s="68" t="str">
        <f t="shared" si="39"/>
        <v/>
      </c>
      <c r="H137" s="68" t="str">
        <f t="shared" si="40"/>
        <v/>
      </c>
      <c r="I137" s="68" t="str">
        <f t="shared" si="41"/>
        <v/>
      </c>
      <c r="J137" s="2"/>
      <c r="K137" s="2"/>
      <c r="L137" s="1"/>
      <c r="M137" s="1">
        <v>100</v>
      </c>
      <c r="N137" s="1" t="str">
        <f>IF($T137=0,"",INDEX(GELIR_GIDER!$C$7:$C$3006,$T137))</f>
        <v/>
      </c>
      <c r="O137" s="1" t="str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1" t="str">
        <f t="shared" si="34"/>
        <v/>
      </c>
      <c r="Q137" s="1">
        <v>0</v>
      </c>
      <c r="R137" s="1">
        <f>IF($N137="",0,INDEX(GELIR_GIDER!$G$7:$G$3006,$T137))</f>
        <v>0</v>
      </c>
      <c r="S137" s="1">
        <f t="shared" si="42"/>
        <v>10000000000</v>
      </c>
      <c r="T137" s="1">
        <f>IFERROR(MATCH($U$6&amp;"|64",GELIR_GIDER!$AE$7:$AE$3006,0),0)</f>
        <v>0</v>
      </c>
      <c r="U137" s="1"/>
      <c r="V137" s="1">
        <f t="shared" si="43"/>
        <v>10000000000</v>
      </c>
      <c r="W137" s="1">
        <f t="shared" si="44"/>
        <v>2</v>
      </c>
    </row>
    <row r="138" spans="1:23" ht="19.5" customHeight="1" x14ac:dyDescent="0.3">
      <c r="A138" s="2"/>
      <c r="B138" s="65" t="str">
        <f t="shared" si="35"/>
        <v/>
      </c>
      <c r="C138" s="70" t="str">
        <f t="shared" si="36"/>
        <v/>
      </c>
      <c r="D138" s="171" t="str">
        <f t="shared" si="37"/>
        <v/>
      </c>
      <c r="E138" s="171"/>
      <c r="F138" s="65" t="str">
        <f t="shared" si="38"/>
        <v/>
      </c>
      <c r="G138" s="68" t="str">
        <f t="shared" si="39"/>
        <v/>
      </c>
      <c r="H138" s="68" t="str">
        <f t="shared" si="40"/>
        <v/>
      </c>
      <c r="I138" s="68" t="str">
        <f t="shared" si="41"/>
        <v/>
      </c>
      <c r="J138" s="2"/>
      <c r="K138" s="2"/>
      <c r="L138" s="1"/>
      <c r="M138" s="1">
        <v>101</v>
      </c>
      <c r="N138" s="1" t="str">
        <f>IF($T138=0,"",INDEX(GELIR_GIDER!$C$7:$C$3006,$T138))</f>
        <v/>
      </c>
      <c r="O138" s="1" t="str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1" t="str">
        <f t="shared" ref="P138:P169" si="45">IF($N138="","","ÖDEME")</f>
        <v/>
      </c>
      <c r="Q138" s="1">
        <v>0</v>
      </c>
      <c r="R138" s="1">
        <f>IF($N138="",0,INDEX(GELIR_GIDER!$G$7:$G$3006,$T138))</f>
        <v>0</v>
      </c>
      <c r="S138" s="1">
        <f t="shared" si="42"/>
        <v>10000000000</v>
      </c>
      <c r="T138" s="1">
        <f>IFERROR(MATCH($U$6&amp;"|65",GELIR_GIDER!$AE$7:$AE$3006,0),0)</f>
        <v>0</v>
      </c>
      <c r="U138" s="1"/>
      <c r="V138" s="1">
        <f t="shared" si="43"/>
        <v>10000000000</v>
      </c>
      <c r="W138" s="1">
        <f t="shared" si="44"/>
        <v>2</v>
      </c>
    </row>
    <row r="139" spans="1:23" ht="19.5" customHeight="1" x14ac:dyDescent="0.3">
      <c r="A139" s="2"/>
      <c r="B139" s="65" t="str">
        <f t="shared" si="35"/>
        <v/>
      </c>
      <c r="C139" s="70" t="str">
        <f t="shared" si="36"/>
        <v/>
      </c>
      <c r="D139" s="171" t="str">
        <f t="shared" si="37"/>
        <v/>
      </c>
      <c r="E139" s="171"/>
      <c r="F139" s="65" t="str">
        <f t="shared" si="38"/>
        <v/>
      </c>
      <c r="G139" s="68" t="str">
        <f t="shared" si="39"/>
        <v/>
      </c>
      <c r="H139" s="68" t="str">
        <f t="shared" si="40"/>
        <v/>
      </c>
      <c r="I139" s="68" t="str">
        <f t="shared" si="41"/>
        <v/>
      </c>
      <c r="J139" s="2"/>
      <c r="K139" s="2"/>
      <c r="L139" s="1"/>
      <c r="M139" s="1">
        <v>102</v>
      </c>
      <c r="N139" s="1" t="str">
        <f>IF($T139=0,"",INDEX(GELIR_GIDER!$C$7:$C$3006,$T139))</f>
        <v/>
      </c>
      <c r="O139" s="1" t="str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1" t="str">
        <f t="shared" si="45"/>
        <v/>
      </c>
      <c r="Q139" s="1">
        <v>0</v>
      </c>
      <c r="R139" s="1">
        <f>IF($N139="",0,INDEX(GELIR_GIDER!$G$7:$G$3006,$T139))</f>
        <v>0</v>
      </c>
      <c r="S139" s="1">
        <f t="shared" si="42"/>
        <v>10000000000</v>
      </c>
      <c r="T139" s="1">
        <f>IFERROR(MATCH($U$6&amp;"|66",GELIR_GIDER!$AE$7:$AE$3006,0),0)</f>
        <v>0</v>
      </c>
      <c r="U139" s="1"/>
      <c r="V139" s="1">
        <f t="shared" si="43"/>
        <v>10000000000</v>
      </c>
      <c r="W139" s="1">
        <f t="shared" si="44"/>
        <v>2</v>
      </c>
    </row>
    <row r="140" spans="1:23" ht="19.5" customHeight="1" x14ac:dyDescent="0.3">
      <c r="A140" s="2"/>
      <c r="B140" s="65" t="str">
        <f t="shared" si="35"/>
        <v/>
      </c>
      <c r="C140" s="70" t="str">
        <f t="shared" si="36"/>
        <v/>
      </c>
      <c r="D140" s="171" t="str">
        <f t="shared" si="37"/>
        <v/>
      </c>
      <c r="E140" s="171"/>
      <c r="F140" s="65" t="str">
        <f t="shared" si="38"/>
        <v/>
      </c>
      <c r="G140" s="68" t="str">
        <f t="shared" si="39"/>
        <v/>
      </c>
      <c r="H140" s="68" t="str">
        <f t="shared" si="40"/>
        <v/>
      </c>
      <c r="I140" s="68" t="str">
        <f t="shared" si="41"/>
        <v/>
      </c>
      <c r="J140" s="2"/>
      <c r="K140" s="2"/>
      <c r="L140" s="1"/>
      <c r="M140" s="1">
        <v>103</v>
      </c>
      <c r="N140" s="1" t="str">
        <f>IF($T140=0,"",INDEX(GELIR_GIDER!$C$7:$C$3006,$T140))</f>
        <v/>
      </c>
      <c r="O140" s="1" t="str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1" t="str">
        <f t="shared" si="45"/>
        <v/>
      </c>
      <c r="Q140" s="1">
        <v>0</v>
      </c>
      <c r="R140" s="1">
        <f>IF($N140="",0,INDEX(GELIR_GIDER!$G$7:$G$3006,$T140))</f>
        <v>0</v>
      </c>
      <c r="S140" s="1">
        <f t="shared" si="42"/>
        <v>10000000000</v>
      </c>
      <c r="T140" s="1">
        <f>IFERROR(MATCH($U$6&amp;"|67",GELIR_GIDER!$AE$7:$AE$3006,0),0)</f>
        <v>0</v>
      </c>
      <c r="U140" s="1"/>
      <c r="V140" s="1">
        <f t="shared" si="43"/>
        <v>10000000000</v>
      </c>
      <c r="W140" s="1">
        <f t="shared" si="44"/>
        <v>2</v>
      </c>
    </row>
    <row r="141" spans="1:23" ht="19.5" customHeight="1" x14ac:dyDescent="0.3">
      <c r="A141" s="2"/>
      <c r="B141" s="65" t="str">
        <f t="shared" si="35"/>
        <v/>
      </c>
      <c r="C141" s="70" t="str">
        <f t="shared" si="36"/>
        <v/>
      </c>
      <c r="D141" s="171" t="str">
        <f t="shared" si="37"/>
        <v/>
      </c>
      <c r="E141" s="171"/>
      <c r="F141" s="65" t="str">
        <f t="shared" si="38"/>
        <v/>
      </c>
      <c r="G141" s="68" t="str">
        <f t="shared" si="39"/>
        <v/>
      </c>
      <c r="H141" s="68" t="str">
        <f t="shared" si="40"/>
        <v/>
      </c>
      <c r="I141" s="68" t="str">
        <f t="shared" si="41"/>
        <v/>
      </c>
      <c r="J141" s="2"/>
      <c r="K141" s="2"/>
      <c r="L141" s="1"/>
      <c r="M141" s="1">
        <v>104</v>
      </c>
      <c r="N141" s="1" t="str">
        <f>IF($T141=0,"",INDEX(GELIR_GIDER!$C$7:$C$3006,$T141))</f>
        <v/>
      </c>
      <c r="O141" s="1" t="str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1" t="str">
        <f t="shared" si="45"/>
        <v/>
      </c>
      <c r="Q141" s="1">
        <v>0</v>
      </c>
      <c r="R141" s="1">
        <f>IF($N141="",0,INDEX(GELIR_GIDER!$G$7:$G$3006,$T141))</f>
        <v>0</v>
      </c>
      <c r="S141" s="1">
        <f t="shared" si="42"/>
        <v>10000000000</v>
      </c>
      <c r="T141" s="1">
        <f>IFERROR(MATCH($U$6&amp;"|68",GELIR_GIDER!$AE$7:$AE$3006,0),0)</f>
        <v>0</v>
      </c>
      <c r="U141" s="1"/>
      <c r="V141" s="1">
        <f t="shared" si="43"/>
        <v>10000000000</v>
      </c>
      <c r="W141" s="1">
        <f t="shared" si="44"/>
        <v>2</v>
      </c>
    </row>
    <row r="142" spans="1:23" ht="19.5" customHeight="1" x14ac:dyDescent="0.3">
      <c r="A142" s="2"/>
      <c r="B142" s="65" t="str">
        <f t="shared" si="35"/>
        <v/>
      </c>
      <c r="C142" s="70" t="str">
        <f t="shared" si="36"/>
        <v/>
      </c>
      <c r="D142" s="171" t="str">
        <f t="shared" si="37"/>
        <v/>
      </c>
      <c r="E142" s="171"/>
      <c r="F142" s="65" t="str">
        <f t="shared" si="38"/>
        <v/>
      </c>
      <c r="G142" s="68" t="str">
        <f t="shared" si="39"/>
        <v/>
      </c>
      <c r="H142" s="68" t="str">
        <f t="shared" si="40"/>
        <v/>
      </c>
      <c r="I142" s="68" t="str">
        <f t="shared" si="41"/>
        <v/>
      </c>
      <c r="J142" s="2"/>
      <c r="K142" s="2"/>
      <c r="L142" s="1"/>
      <c r="M142" s="1">
        <v>105</v>
      </c>
      <c r="N142" s="1" t="str">
        <f>IF($T142=0,"",INDEX(GELIR_GIDER!$C$7:$C$3006,$T142))</f>
        <v/>
      </c>
      <c r="O142" s="1" t="str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1" t="str">
        <f t="shared" si="45"/>
        <v/>
      </c>
      <c r="Q142" s="1">
        <v>0</v>
      </c>
      <c r="R142" s="1">
        <f>IF($N142="",0,INDEX(GELIR_GIDER!$G$7:$G$3006,$T142))</f>
        <v>0</v>
      </c>
      <c r="S142" s="1">
        <f t="shared" si="42"/>
        <v>10000000000</v>
      </c>
      <c r="T142" s="1">
        <f>IFERROR(MATCH($U$6&amp;"|69",GELIR_GIDER!$AE$7:$AE$3006,0),0)</f>
        <v>0</v>
      </c>
      <c r="U142" s="1"/>
      <c r="V142" s="1">
        <f t="shared" si="43"/>
        <v>10000000000</v>
      </c>
      <c r="W142" s="1">
        <f t="shared" si="44"/>
        <v>2</v>
      </c>
    </row>
    <row r="143" spans="1:23" ht="19.5" customHeight="1" x14ac:dyDescent="0.3">
      <c r="A143" s="2"/>
      <c r="B143" s="65" t="str">
        <f t="shared" si="35"/>
        <v/>
      </c>
      <c r="C143" s="70" t="str">
        <f t="shared" si="36"/>
        <v/>
      </c>
      <c r="D143" s="171" t="str">
        <f t="shared" si="37"/>
        <v/>
      </c>
      <c r="E143" s="171"/>
      <c r="F143" s="65" t="str">
        <f t="shared" si="38"/>
        <v/>
      </c>
      <c r="G143" s="68" t="str">
        <f t="shared" si="39"/>
        <v/>
      </c>
      <c r="H143" s="68" t="str">
        <f t="shared" si="40"/>
        <v/>
      </c>
      <c r="I143" s="68" t="str">
        <f t="shared" si="41"/>
        <v/>
      </c>
      <c r="J143" s="2"/>
      <c r="K143" s="2"/>
      <c r="L143" s="1"/>
      <c r="M143" s="1">
        <v>106</v>
      </c>
      <c r="N143" s="1" t="str">
        <f>IF($T143=0,"",INDEX(GELIR_GIDER!$C$7:$C$3006,$T143))</f>
        <v/>
      </c>
      <c r="O143" s="1" t="str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1" t="str">
        <f t="shared" si="45"/>
        <v/>
      </c>
      <c r="Q143" s="1">
        <v>0</v>
      </c>
      <c r="R143" s="1">
        <f>IF($N143="",0,INDEX(GELIR_GIDER!$G$7:$G$3006,$T143))</f>
        <v>0</v>
      </c>
      <c r="S143" s="1">
        <f t="shared" si="42"/>
        <v>10000000000</v>
      </c>
      <c r="T143" s="1">
        <f>IFERROR(MATCH($U$6&amp;"|70",GELIR_GIDER!$AE$7:$AE$3006,0),0)</f>
        <v>0</v>
      </c>
      <c r="U143" s="1"/>
      <c r="V143" s="1">
        <f t="shared" si="43"/>
        <v>10000000000</v>
      </c>
      <c r="W143" s="1">
        <f t="shared" si="44"/>
        <v>2</v>
      </c>
    </row>
    <row r="144" spans="1:23" ht="19.5" customHeight="1" x14ac:dyDescent="0.3">
      <c r="A144" s="2"/>
      <c r="B144" s="65" t="str">
        <f t="shared" si="35"/>
        <v/>
      </c>
      <c r="C144" s="70" t="str">
        <f t="shared" si="36"/>
        <v/>
      </c>
      <c r="D144" s="171" t="str">
        <f t="shared" si="37"/>
        <v/>
      </c>
      <c r="E144" s="171"/>
      <c r="F144" s="65" t="str">
        <f t="shared" si="38"/>
        <v/>
      </c>
      <c r="G144" s="68" t="str">
        <f t="shared" si="39"/>
        <v/>
      </c>
      <c r="H144" s="68" t="str">
        <f t="shared" si="40"/>
        <v/>
      </c>
      <c r="I144" s="68" t="str">
        <f t="shared" si="41"/>
        <v/>
      </c>
      <c r="J144" s="2"/>
      <c r="K144" s="2"/>
      <c r="L144" s="1"/>
      <c r="M144" s="1">
        <v>107</v>
      </c>
      <c r="N144" s="1" t="str">
        <f>IF($T144=0,"",INDEX(GELIR_GIDER!$C$7:$C$3006,$T144))</f>
        <v/>
      </c>
      <c r="O144" s="1" t="str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1" t="str">
        <f t="shared" si="45"/>
        <v/>
      </c>
      <c r="Q144" s="1">
        <v>0</v>
      </c>
      <c r="R144" s="1">
        <f>IF($N144="",0,INDEX(GELIR_GIDER!$G$7:$G$3006,$T144))</f>
        <v>0</v>
      </c>
      <c r="S144" s="1">
        <f t="shared" si="42"/>
        <v>10000000000</v>
      </c>
      <c r="T144" s="1">
        <f>IFERROR(MATCH($U$6&amp;"|71",GELIR_GIDER!$AE$7:$AE$3006,0),0)</f>
        <v>0</v>
      </c>
      <c r="U144" s="1"/>
      <c r="V144" s="1">
        <f t="shared" si="43"/>
        <v>10000000000</v>
      </c>
      <c r="W144" s="1">
        <f t="shared" si="44"/>
        <v>2</v>
      </c>
    </row>
    <row r="145" spans="1:23" ht="19.5" customHeight="1" x14ac:dyDescent="0.3">
      <c r="A145" s="2"/>
      <c r="B145" s="65" t="str">
        <f t="shared" si="35"/>
        <v/>
      </c>
      <c r="C145" s="70" t="str">
        <f t="shared" si="36"/>
        <v/>
      </c>
      <c r="D145" s="171" t="str">
        <f t="shared" si="37"/>
        <v/>
      </c>
      <c r="E145" s="171"/>
      <c r="F145" s="65" t="str">
        <f t="shared" si="38"/>
        <v/>
      </c>
      <c r="G145" s="68" t="str">
        <f t="shared" si="39"/>
        <v/>
      </c>
      <c r="H145" s="68" t="str">
        <f t="shared" si="40"/>
        <v/>
      </c>
      <c r="I145" s="68" t="str">
        <f t="shared" si="41"/>
        <v/>
      </c>
      <c r="J145" s="2"/>
      <c r="K145" s="2"/>
      <c r="L145" s="1"/>
      <c r="M145" s="1">
        <v>108</v>
      </c>
      <c r="N145" s="1" t="str">
        <f>IF($T145=0,"",INDEX(GELIR_GIDER!$C$7:$C$3006,$T145))</f>
        <v/>
      </c>
      <c r="O145" s="1" t="str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1" t="str">
        <f t="shared" si="45"/>
        <v/>
      </c>
      <c r="Q145" s="1">
        <v>0</v>
      </c>
      <c r="R145" s="1">
        <f>IF($N145="",0,INDEX(GELIR_GIDER!$G$7:$G$3006,$T145))</f>
        <v>0</v>
      </c>
      <c r="S145" s="1">
        <f t="shared" si="42"/>
        <v>10000000000</v>
      </c>
      <c r="T145" s="1">
        <f>IFERROR(MATCH($U$6&amp;"|72",GELIR_GIDER!$AE$7:$AE$3006,0),0)</f>
        <v>0</v>
      </c>
      <c r="U145" s="1"/>
      <c r="V145" s="1">
        <f t="shared" si="43"/>
        <v>10000000000</v>
      </c>
      <c r="W145" s="1">
        <f t="shared" si="44"/>
        <v>2</v>
      </c>
    </row>
    <row r="146" spans="1:23" ht="19.5" customHeight="1" x14ac:dyDescent="0.3">
      <c r="A146" s="2"/>
      <c r="B146" s="65" t="str">
        <f t="shared" si="35"/>
        <v/>
      </c>
      <c r="C146" s="70" t="str">
        <f t="shared" si="36"/>
        <v/>
      </c>
      <c r="D146" s="171" t="str">
        <f t="shared" si="37"/>
        <v/>
      </c>
      <c r="E146" s="171"/>
      <c r="F146" s="65" t="str">
        <f t="shared" si="38"/>
        <v/>
      </c>
      <c r="G146" s="68" t="str">
        <f t="shared" si="39"/>
        <v/>
      </c>
      <c r="H146" s="68" t="str">
        <f t="shared" si="40"/>
        <v/>
      </c>
      <c r="I146" s="68" t="str">
        <f t="shared" si="41"/>
        <v/>
      </c>
      <c r="J146" s="2"/>
      <c r="K146" s="2"/>
      <c r="L146" s="1"/>
      <c r="M146" s="1">
        <v>109</v>
      </c>
      <c r="N146" s="1" t="str">
        <f>IF($T146=0,"",INDEX(GELIR_GIDER!$C$7:$C$3006,$T146))</f>
        <v/>
      </c>
      <c r="O146" s="1" t="str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1" t="str">
        <f t="shared" si="45"/>
        <v/>
      </c>
      <c r="Q146" s="1">
        <v>0</v>
      </c>
      <c r="R146" s="1">
        <f>IF($N146="",0,INDEX(GELIR_GIDER!$G$7:$G$3006,$T146))</f>
        <v>0</v>
      </c>
      <c r="S146" s="1">
        <f t="shared" si="42"/>
        <v>10000000000</v>
      </c>
      <c r="T146" s="1">
        <f>IFERROR(MATCH($U$6&amp;"|73",GELIR_GIDER!$AE$7:$AE$3006,0),0)</f>
        <v>0</v>
      </c>
      <c r="U146" s="1"/>
      <c r="V146" s="1">
        <f t="shared" si="43"/>
        <v>10000000000</v>
      </c>
      <c r="W146" s="1">
        <f t="shared" si="44"/>
        <v>2</v>
      </c>
    </row>
    <row r="147" spans="1:23" ht="19.5" customHeight="1" x14ac:dyDescent="0.3">
      <c r="A147" s="2"/>
      <c r="B147" s="65" t="str">
        <f t="shared" si="35"/>
        <v/>
      </c>
      <c r="C147" s="70" t="str">
        <f t="shared" si="36"/>
        <v/>
      </c>
      <c r="D147" s="171" t="str">
        <f t="shared" si="37"/>
        <v/>
      </c>
      <c r="E147" s="171"/>
      <c r="F147" s="65" t="str">
        <f t="shared" si="38"/>
        <v/>
      </c>
      <c r="G147" s="68" t="str">
        <f t="shared" si="39"/>
        <v/>
      </c>
      <c r="H147" s="68" t="str">
        <f t="shared" si="40"/>
        <v/>
      </c>
      <c r="I147" s="68" t="str">
        <f t="shared" si="41"/>
        <v/>
      </c>
      <c r="J147" s="2"/>
      <c r="K147" s="2"/>
      <c r="L147" s="1"/>
      <c r="M147" s="1">
        <v>110</v>
      </c>
      <c r="N147" s="1" t="str">
        <f>IF($T147=0,"",INDEX(GELIR_GIDER!$C$7:$C$3006,$T147))</f>
        <v/>
      </c>
      <c r="O147" s="1" t="str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1" t="str">
        <f t="shared" si="45"/>
        <v/>
      </c>
      <c r="Q147" s="1">
        <v>0</v>
      </c>
      <c r="R147" s="1">
        <f>IF($N147="",0,INDEX(GELIR_GIDER!$G$7:$G$3006,$T147))</f>
        <v>0</v>
      </c>
      <c r="S147" s="1">
        <f t="shared" si="42"/>
        <v>10000000000</v>
      </c>
      <c r="T147" s="1">
        <f>IFERROR(MATCH($U$6&amp;"|74",GELIR_GIDER!$AE$7:$AE$3006,0),0)</f>
        <v>0</v>
      </c>
      <c r="U147" s="1"/>
      <c r="V147" s="1">
        <f t="shared" si="43"/>
        <v>10000000000</v>
      </c>
      <c r="W147" s="1">
        <f t="shared" si="44"/>
        <v>2</v>
      </c>
    </row>
    <row r="148" spans="1:23" ht="19.5" customHeight="1" x14ac:dyDescent="0.3">
      <c r="A148" s="2"/>
      <c r="B148" s="65" t="str">
        <f t="shared" si="35"/>
        <v/>
      </c>
      <c r="C148" s="70" t="str">
        <f t="shared" si="36"/>
        <v/>
      </c>
      <c r="D148" s="171" t="str">
        <f t="shared" si="37"/>
        <v/>
      </c>
      <c r="E148" s="171"/>
      <c r="F148" s="65" t="str">
        <f t="shared" si="38"/>
        <v/>
      </c>
      <c r="G148" s="68" t="str">
        <f t="shared" si="39"/>
        <v/>
      </c>
      <c r="H148" s="68" t="str">
        <f t="shared" si="40"/>
        <v/>
      </c>
      <c r="I148" s="68" t="str">
        <f t="shared" si="41"/>
        <v/>
      </c>
      <c r="J148" s="2"/>
      <c r="K148" s="2"/>
      <c r="L148" s="1"/>
      <c r="M148" s="1">
        <v>111</v>
      </c>
      <c r="N148" s="1" t="str">
        <f>IF($T148=0,"",INDEX(GELIR_GIDER!$C$7:$C$3006,$T148))</f>
        <v/>
      </c>
      <c r="O148" s="1" t="str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1" t="str">
        <f t="shared" si="45"/>
        <v/>
      </c>
      <c r="Q148" s="1">
        <v>0</v>
      </c>
      <c r="R148" s="1">
        <f>IF($N148="",0,INDEX(GELIR_GIDER!$G$7:$G$3006,$T148))</f>
        <v>0</v>
      </c>
      <c r="S148" s="1">
        <f t="shared" si="42"/>
        <v>10000000000</v>
      </c>
      <c r="T148" s="1">
        <f>IFERROR(MATCH($U$6&amp;"|75",GELIR_GIDER!$AE$7:$AE$3006,0),0)</f>
        <v>0</v>
      </c>
      <c r="U148" s="1"/>
      <c r="V148" s="1">
        <f t="shared" si="43"/>
        <v>10000000000</v>
      </c>
      <c r="W148" s="1">
        <f t="shared" si="44"/>
        <v>2</v>
      </c>
    </row>
    <row r="149" spans="1:23" ht="19.5" customHeight="1" x14ac:dyDescent="0.3">
      <c r="A149" s="2"/>
      <c r="B149" s="65" t="str">
        <f t="shared" si="35"/>
        <v/>
      </c>
      <c r="C149" s="70" t="str">
        <f t="shared" si="36"/>
        <v/>
      </c>
      <c r="D149" s="171" t="str">
        <f t="shared" si="37"/>
        <v/>
      </c>
      <c r="E149" s="171"/>
      <c r="F149" s="65" t="str">
        <f t="shared" si="38"/>
        <v/>
      </c>
      <c r="G149" s="68" t="str">
        <f t="shared" si="39"/>
        <v/>
      </c>
      <c r="H149" s="68" t="str">
        <f t="shared" si="40"/>
        <v/>
      </c>
      <c r="I149" s="68" t="str">
        <f t="shared" si="41"/>
        <v/>
      </c>
      <c r="J149" s="2"/>
      <c r="K149" s="2"/>
      <c r="L149" s="1"/>
      <c r="M149" s="1">
        <v>112</v>
      </c>
      <c r="N149" s="1" t="str">
        <f>IF($T149=0,"",INDEX(GELIR_GIDER!$C$7:$C$3006,$T149))</f>
        <v/>
      </c>
      <c r="O149" s="1" t="str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1" t="str">
        <f t="shared" si="45"/>
        <v/>
      </c>
      <c r="Q149" s="1">
        <v>0</v>
      </c>
      <c r="R149" s="1">
        <f>IF($N149="",0,INDEX(GELIR_GIDER!$G$7:$G$3006,$T149))</f>
        <v>0</v>
      </c>
      <c r="S149" s="1">
        <f t="shared" si="42"/>
        <v>10000000000</v>
      </c>
      <c r="T149" s="1">
        <f>IFERROR(MATCH($U$6&amp;"|76",GELIR_GIDER!$AE$7:$AE$3006,0),0)</f>
        <v>0</v>
      </c>
      <c r="U149" s="1"/>
      <c r="V149" s="1">
        <f t="shared" si="43"/>
        <v>10000000000</v>
      </c>
      <c r="W149" s="1">
        <f t="shared" si="44"/>
        <v>2</v>
      </c>
    </row>
    <row r="150" spans="1:23" ht="19.5" customHeight="1" x14ac:dyDescent="0.3">
      <c r="A150" s="2"/>
      <c r="B150" s="65" t="str">
        <f t="shared" si="35"/>
        <v/>
      </c>
      <c r="C150" s="70" t="str">
        <f t="shared" si="36"/>
        <v/>
      </c>
      <c r="D150" s="171" t="str">
        <f t="shared" si="37"/>
        <v/>
      </c>
      <c r="E150" s="171"/>
      <c r="F150" s="65" t="str">
        <f t="shared" si="38"/>
        <v/>
      </c>
      <c r="G150" s="68" t="str">
        <f t="shared" si="39"/>
        <v/>
      </c>
      <c r="H150" s="68" t="str">
        <f t="shared" si="40"/>
        <v/>
      </c>
      <c r="I150" s="68" t="str">
        <f t="shared" si="41"/>
        <v/>
      </c>
      <c r="J150" s="2"/>
      <c r="K150" s="2"/>
      <c r="L150" s="1"/>
      <c r="M150" s="1">
        <v>113</v>
      </c>
      <c r="N150" s="1" t="str">
        <f>IF($T150=0,"",INDEX(GELIR_GIDER!$C$7:$C$3006,$T150))</f>
        <v/>
      </c>
      <c r="O150" s="1" t="str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1" t="str">
        <f t="shared" si="45"/>
        <v/>
      </c>
      <c r="Q150" s="1">
        <v>0</v>
      </c>
      <c r="R150" s="1">
        <f>IF($N150="",0,INDEX(GELIR_GIDER!$G$7:$G$3006,$T150))</f>
        <v>0</v>
      </c>
      <c r="S150" s="1">
        <f t="shared" si="42"/>
        <v>10000000000</v>
      </c>
      <c r="T150" s="1">
        <f>IFERROR(MATCH($U$6&amp;"|77",GELIR_GIDER!$AE$7:$AE$3006,0),0)</f>
        <v>0</v>
      </c>
      <c r="U150" s="1"/>
      <c r="V150" s="1">
        <f t="shared" si="43"/>
        <v>10000000000</v>
      </c>
      <c r="W150" s="1">
        <f t="shared" si="44"/>
        <v>2</v>
      </c>
    </row>
    <row r="151" spans="1:23" ht="19.5" customHeight="1" x14ac:dyDescent="0.3">
      <c r="A151" s="2"/>
      <c r="B151" s="65" t="str">
        <f t="shared" si="35"/>
        <v/>
      </c>
      <c r="C151" s="70" t="str">
        <f t="shared" si="36"/>
        <v/>
      </c>
      <c r="D151" s="171" t="str">
        <f t="shared" si="37"/>
        <v/>
      </c>
      <c r="E151" s="171"/>
      <c r="F151" s="65" t="str">
        <f t="shared" si="38"/>
        <v/>
      </c>
      <c r="G151" s="68" t="str">
        <f t="shared" si="39"/>
        <v/>
      </c>
      <c r="H151" s="68" t="str">
        <f t="shared" si="40"/>
        <v/>
      </c>
      <c r="I151" s="68" t="str">
        <f t="shared" si="41"/>
        <v/>
      </c>
      <c r="J151" s="2"/>
      <c r="K151" s="2"/>
      <c r="L151" s="1"/>
      <c r="M151" s="1">
        <v>114</v>
      </c>
      <c r="N151" s="1" t="str">
        <f>IF($T151=0,"",INDEX(GELIR_GIDER!$C$7:$C$3006,$T151))</f>
        <v/>
      </c>
      <c r="O151" s="1" t="str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1" t="str">
        <f t="shared" si="45"/>
        <v/>
      </c>
      <c r="Q151" s="1">
        <v>0</v>
      </c>
      <c r="R151" s="1">
        <f>IF($N151="",0,INDEX(GELIR_GIDER!$G$7:$G$3006,$T151))</f>
        <v>0</v>
      </c>
      <c r="S151" s="1">
        <f t="shared" si="42"/>
        <v>10000000000</v>
      </c>
      <c r="T151" s="1">
        <f>IFERROR(MATCH($U$6&amp;"|78",GELIR_GIDER!$AE$7:$AE$3006,0),0)</f>
        <v>0</v>
      </c>
      <c r="U151" s="1"/>
      <c r="V151" s="1">
        <f t="shared" si="43"/>
        <v>10000000000</v>
      </c>
      <c r="W151" s="1">
        <f t="shared" si="44"/>
        <v>2</v>
      </c>
    </row>
    <row r="152" spans="1:23" ht="19.5" customHeight="1" x14ac:dyDescent="0.3">
      <c r="A152" s="2"/>
      <c r="B152" s="65" t="str">
        <f t="shared" si="35"/>
        <v/>
      </c>
      <c r="C152" s="70" t="str">
        <f t="shared" si="36"/>
        <v/>
      </c>
      <c r="D152" s="171" t="str">
        <f t="shared" si="37"/>
        <v/>
      </c>
      <c r="E152" s="171"/>
      <c r="F152" s="65" t="str">
        <f t="shared" si="38"/>
        <v/>
      </c>
      <c r="G152" s="68" t="str">
        <f t="shared" si="39"/>
        <v/>
      </c>
      <c r="H152" s="68" t="str">
        <f t="shared" si="40"/>
        <v/>
      </c>
      <c r="I152" s="68" t="str">
        <f t="shared" si="41"/>
        <v/>
      </c>
      <c r="J152" s="2"/>
      <c r="K152" s="2"/>
      <c r="L152" s="1"/>
      <c r="M152" s="1">
        <v>115</v>
      </c>
      <c r="N152" s="1" t="str">
        <f>IF($T152=0,"",INDEX(GELIR_GIDER!$C$7:$C$3006,$T152))</f>
        <v/>
      </c>
      <c r="O152" s="1" t="str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1" t="str">
        <f t="shared" si="45"/>
        <v/>
      </c>
      <c r="Q152" s="1">
        <v>0</v>
      </c>
      <c r="R152" s="1">
        <f>IF($N152="",0,INDEX(GELIR_GIDER!$G$7:$G$3006,$T152))</f>
        <v>0</v>
      </c>
      <c r="S152" s="1">
        <f t="shared" si="42"/>
        <v>10000000000</v>
      </c>
      <c r="T152" s="1">
        <f>IFERROR(MATCH($U$6&amp;"|79",GELIR_GIDER!$AE$7:$AE$3006,0),0)</f>
        <v>0</v>
      </c>
      <c r="U152" s="1"/>
      <c r="V152" s="1">
        <f t="shared" si="43"/>
        <v>10000000000</v>
      </c>
      <c r="W152" s="1">
        <f t="shared" si="44"/>
        <v>2</v>
      </c>
    </row>
    <row r="153" spans="1:23" ht="19.5" customHeight="1" x14ac:dyDescent="0.3">
      <c r="A153" s="2"/>
      <c r="B153" s="65" t="str">
        <f t="shared" si="35"/>
        <v/>
      </c>
      <c r="C153" s="70" t="str">
        <f t="shared" si="36"/>
        <v/>
      </c>
      <c r="D153" s="171" t="str">
        <f t="shared" si="37"/>
        <v/>
      </c>
      <c r="E153" s="171"/>
      <c r="F153" s="65" t="str">
        <f t="shared" si="38"/>
        <v/>
      </c>
      <c r="G153" s="68" t="str">
        <f t="shared" si="39"/>
        <v/>
      </c>
      <c r="H153" s="68" t="str">
        <f t="shared" si="40"/>
        <v/>
      </c>
      <c r="I153" s="68" t="str">
        <f t="shared" si="41"/>
        <v/>
      </c>
      <c r="J153" s="2"/>
      <c r="K153" s="2"/>
      <c r="L153" s="1"/>
      <c r="M153" s="1">
        <v>116</v>
      </c>
      <c r="N153" s="1" t="str">
        <f>IF($T153=0,"",INDEX(GELIR_GIDER!$C$7:$C$3006,$T153))</f>
        <v/>
      </c>
      <c r="O153" s="1" t="str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1" t="str">
        <f t="shared" si="45"/>
        <v/>
      </c>
      <c r="Q153" s="1">
        <v>0</v>
      </c>
      <c r="R153" s="1">
        <f>IF($N153="",0,INDEX(GELIR_GIDER!$G$7:$G$3006,$T153))</f>
        <v>0</v>
      </c>
      <c r="S153" s="1">
        <f t="shared" si="42"/>
        <v>10000000000</v>
      </c>
      <c r="T153" s="1">
        <f>IFERROR(MATCH($U$6&amp;"|80",GELIR_GIDER!$AE$7:$AE$3006,0),0)</f>
        <v>0</v>
      </c>
      <c r="U153" s="1"/>
      <c r="V153" s="1">
        <f t="shared" si="43"/>
        <v>10000000000</v>
      </c>
      <c r="W153" s="1">
        <f t="shared" si="44"/>
        <v>2</v>
      </c>
    </row>
    <row r="154" spans="1:23" ht="19.5" customHeight="1" x14ac:dyDescent="0.3">
      <c r="A154" s="2"/>
      <c r="B154" s="65" t="str">
        <f t="shared" si="35"/>
        <v/>
      </c>
      <c r="C154" s="70" t="str">
        <f t="shared" si="36"/>
        <v/>
      </c>
      <c r="D154" s="171" t="str">
        <f t="shared" si="37"/>
        <v/>
      </c>
      <c r="E154" s="171"/>
      <c r="F154" s="65" t="str">
        <f t="shared" si="38"/>
        <v/>
      </c>
      <c r="G154" s="68" t="str">
        <f t="shared" si="39"/>
        <v/>
      </c>
      <c r="H154" s="68" t="str">
        <f t="shared" si="40"/>
        <v/>
      </c>
      <c r="I154" s="68" t="str">
        <f t="shared" si="41"/>
        <v/>
      </c>
      <c r="J154" s="2"/>
      <c r="K154" s="2"/>
      <c r="L154" s="1"/>
      <c r="M154" s="1">
        <v>117</v>
      </c>
      <c r="N154" s="1" t="str">
        <f>IF($T154=0,"",INDEX(GELIR_GIDER!$C$7:$C$3006,$T154))</f>
        <v/>
      </c>
      <c r="O154" s="1" t="str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1" t="str">
        <f t="shared" si="45"/>
        <v/>
      </c>
      <c r="Q154" s="1">
        <v>0</v>
      </c>
      <c r="R154" s="1">
        <f>IF($N154="",0,INDEX(GELIR_GIDER!$G$7:$G$3006,$T154))</f>
        <v>0</v>
      </c>
      <c r="S154" s="1">
        <f t="shared" si="42"/>
        <v>10000000000</v>
      </c>
      <c r="T154" s="1">
        <f>IFERROR(MATCH($U$6&amp;"|81",GELIR_GIDER!$AE$7:$AE$3006,0),0)</f>
        <v>0</v>
      </c>
      <c r="U154" s="1"/>
      <c r="V154" s="1">
        <f t="shared" si="43"/>
        <v>10000000000</v>
      </c>
      <c r="W154" s="1">
        <f t="shared" si="44"/>
        <v>2</v>
      </c>
    </row>
    <row r="155" spans="1:23" ht="19.5" customHeight="1" x14ac:dyDescent="0.3">
      <c r="A155" s="2"/>
      <c r="B155" s="65" t="str">
        <f t="shared" si="35"/>
        <v/>
      </c>
      <c r="C155" s="70" t="str">
        <f t="shared" si="36"/>
        <v/>
      </c>
      <c r="D155" s="171" t="str">
        <f t="shared" si="37"/>
        <v/>
      </c>
      <c r="E155" s="171"/>
      <c r="F155" s="65" t="str">
        <f t="shared" si="38"/>
        <v/>
      </c>
      <c r="G155" s="68" t="str">
        <f t="shared" si="39"/>
        <v/>
      </c>
      <c r="H155" s="68" t="str">
        <f t="shared" si="40"/>
        <v/>
      </c>
      <c r="I155" s="68" t="str">
        <f t="shared" si="41"/>
        <v/>
      </c>
      <c r="J155" s="2"/>
      <c r="K155" s="2"/>
      <c r="L155" s="1"/>
      <c r="M155" s="1">
        <v>118</v>
      </c>
      <c r="N155" s="1" t="str">
        <f>IF($T155=0,"",INDEX(GELIR_GIDER!$C$7:$C$3006,$T155))</f>
        <v/>
      </c>
      <c r="O155" s="1" t="str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1" t="str">
        <f t="shared" si="45"/>
        <v/>
      </c>
      <c r="Q155" s="1">
        <v>0</v>
      </c>
      <c r="R155" s="1">
        <f>IF($N155="",0,INDEX(GELIR_GIDER!$G$7:$G$3006,$T155))</f>
        <v>0</v>
      </c>
      <c r="S155" s="1">
        <f t="shared" si="42"/>
        <v>10000000000</v>
      </c>
      <c r="T155" s="1">
        <f>IFERROR(MATCH($U$6&amp;"|82",GELIR_GIDER!$AE$7:$AE$3006,0),0)</f>
        <v>0</v>
      </c>
      <c r="U155" s="1"/>
      <c r="V155" s="1">
        <f t="shared" si="43"/>
        <v>10000000000</v>
      </c>
      <c r="W155" s="1">
        <f t="shared" si="44"/>
        <v>2</v>
      </c>
    </row>
    <row r="156" spans="1:23" ht="19.5" customHeight="1" x14ac:dyDescent="0.3">
      <c r="A156" s="2"/>
      <c r="B156" s="65" t="str">
        <f t="shared" si="35"/>
        <v/>
      </c>
      <c r="C156" s="70" t="str">
        <f t="shared" si="36"/>
        <v/>
      </c>
      <c r="D156" s="171" t="str">
        <f t="shared" si="37"/>
        <v/>
      </c>
      <c r="E156" s="171"/>
      <c r="F156" s="65" t="str">
        <f t="shared" si="38"/>
        <v/>
      </c>
      <c r="G156" s="68" t="str">
        <f t="shared" si="39"/>
        <v/>
      </c>
      <c r="H156" s="68" t="str">
        <f t="shared" si="40"/>
        <v/>
      </c>
      <c r="I156" s="68" t="str">
        <f t="shared" si="41"/>
        <v/>
      </c>
      <c r="J156" s="2"/>
      <c r="K156" s="2"/>
      <c r="L156" s="1"/>
      <c r="M156" s="1">
        <v>119</v>
      </c>
      <c r="N156" s="1" t="str">
        <f>IF($T156=0,"",INDEX(GELIR_GIDER!$C$7:$C$3006,$T156))</f>
        <v/>
      </c>
      <c r="O156" s="1" t="str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1" t="str">
        <f t="shared" si="45"/>
        <v/>
      </c>
      <c r="Q156" s="1">
        <v>0</v>
      </c>
      <c r="R156" s="1">
        <f>IF($N156="",0,INDEX(GELIR_GIDER!$G$7:$G$3006,$T156))</f>
        <v>0</v>
      </c>
      <c r="S156" s="1">
        <f t="shared" si="42"/>
        <v>10000000000</v>
      </c>
      <c r="T156" s="1">
        <f>IFERROR(MATCH($U$6&amp;"|83",GELIR_GIDER!$AE$7:$AE$3006,0),0)</f>
        <v>0</v>
      </c>
      <c r="U156" s="1"/>
      <c r="V156" s="1">
        <f t="shared" si="43"/>
        <v>10000000000</v>
      </c>
      <c r="W156" s="1">
        <f t="shared" si="44"/>
        <v>2</v>
      </c>
    </row>
    <row r="157" spans="1:23" ht="19.5" customHeight="1" x14ac:dyDescent="0.3">
      <c r="A157" s="2"/>
      <c r="B157" s="65" t="str">
        <f t="shared" si="35"/>
        <v/>
      </c>
      <c r="C157" s="70" t="str">
        <f t="shared" si="36"/>
        <v/>
      </c>
      <c r="D157" s="171" t="str">
        <f t="shared" si="37"/>
        <v/>
      </c>
      <c r="E157" s="171"/>
      <c r="F157" s="65" t="str">
        <f t="shared" si="38"/>
        <v/>
      </c>
      <c r="G157" s="68" t="str">
        <f t="shared" si="39"/>
        <v/>
      </c>
      <c r="H157" s="68" t="str">
        <f t="shared" si="40"/>
        <v/>
      </c>
      <c r="I157" s="68" t="str">
        <f t="shared" si="41"/>
        <v/>
      </c>
      <c r="J157" s="2"/>
      <c r="K157" s="2"/>
      <c r="L157" s="1"/>
      <c r="M157" s="1">
        <v>120</v>
      </c>
      <c r="N157" s="1" t="str">
        <f>IF($T157=0,"",INDEX(GELIR_GIDER!$C$7:$C$3006,$T157))</f>
        <v/>
      </c>
      <c r="O157" s="1" t="str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1" t="str">
        <f t="shared" si="45"/>
        <v/>
      </c>
      <c r="Q157" s="1">
        <v>0</v>
      </c>
      <c r="R157" s="1">
        <f>IF($N157="",0,INDEX(GELIR_GIDER!$G$7:$G$3006,$T157))</f>
        <v>0</v>
      </c>
      <c r="S157" s="1">
        <f t="shared" si="42"/>
        <v>10000000000</v>
      </c>
      <c r="T157" s="1">
        <f>IFERROR(MATCH($U$6&amp;"|84",GELIR_GIDER!$AE$7:$AE$3006,0),0)</f>
        <v>0</v>
      </c>
      <c r="U157" s="1"/>
      <c r="V157" s="1">
        <f t="shared" si="43"/>
        <v>10000000000</v>
      </c>
      <c r="W157" s="1">
        <f t="shared" si="44"/>
        <v>2</v>
      </c>
    </row>
    <row r="158" spans="1:23" ht="19.5" customHeight="1" x14ac:dyDescent="0.3">
      <c r="A158" s="2"/>
      <c r="B158" s="65" t="str">
        <f t="shared" si="35"/>
        <v/>
      </c>
      <c r="C158" s="70" t="str">
        <f t="shared" si="36"/>
        <v/>
      </c>
      <c r="D158" s="171" t="str">
        <f t="shared" si="37"/>
        <v/>
      </c>
      <c r="E158" s="171"/>
      <c r="F158" s="65" t="str">
        <f t="shared" si="38"/>
        <v/>
      </c>
      <c r="G158" s="68" t="str">
        <f t="shared" si="39"/>
        <v/>
      </c>
      <c r="H158" s="68" t="str">
        <f t="shared" si="40"/>
        <v/>
      </c>
      <c r="I158" s="68" t="str">
        <f t="shared" si="41"/>
        <v/>
      </c>
      <c r="J158" s="2"/>
      <c r="K158" s="2"/>
      <c r="L158" s="1"/>
      <c r="M158" s="1">
        <v>121</v>
      </c>
      <c r="N158" s="1" t="str">
        <f>IF($T158=0,"",INDEX(GELIR_GIDER!$C$7:$C$3006,$T158))</f>
        <v/>
      </c>
      <c r="O158" s="1" t="str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1" t="str">
        <f t="shared" si="45"/>
        <v/>
      </c>
      <c r="Q158" s="1">
        <v>0</v>
      </c>
      <c r="R158" s="1">
        <f>IF($N158="",0,INDEX(GELIR_GIDER!$G$7:$G$3006,$T158))</f>
        <v>0</v>
      </c>
      <c r="S158" s="1">
        <f t="shared" si="42"/>
        <v>10000000000</v>
      </c>
      <c r="T158" s="1">
        <f>IFERROR(MATCH($U$6&amp;"|85",GELIR_GIDER!$AE$7:$AE$3006,0),0)</f>
        <v>0</v>
      </c>
      <c r="U158" s="1"/>
      <c r="V158" s="1">
        <f t="shared" si="43"/>
        <v>10000000000</v>
      </c>
      <c r="W158" s="1">
        <f t="shared" si="44"/>
        <v>2</v>
      </c>
    </row>
    <row r="159" spans="1:23" ht="19.5" customHeight="1" x14ac:dyDescent="0.3">
      <c r="A159" s="2"/>
      <c r="B159" s="65" t="str">
        <f t="shared" si="35"/>
        <v/>
      </c>
      <c r="C159" s="70" t="str">
        <f t="shared" si="36"/>
        <v/>
      </c>
      <c r="D159" s="171" t="str">
        <f t="shared" si="37"/>
        <v/>
      </c>
      <c r="E159" s="171"/>
      <c r="F159" s="65" t="str">
        <f t="shared" si="38"/>
        <v/>
      </c>
      <c r="G159" s="68" t="str">
        <f t="shared" si="39"/>
        <v/>
      </c>
      <c r="H159" s="68" t="str">
        <f t="shared" si="40"/>
        <v/>
      </c>
      <c r="I159" s="68" t="str">
        <f t="shared" si="41"/>
        <v/>
      </c>
      <c r="J159" s="2"/>
      <c r="K159" s="2"/>
      <c r="L159" s="1"/>
      <c r="M159" s="1">
        <v>122</v>
      </c>
      <c r="N159" s="1" t="str">
        <f>IF($T159=0,"",INDEX(GELIR_GIDER!$C$7:$C$3006,$T159))</f>
        <v/>
      </c>
      <c r="O159" s="1" t="str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1" t="str">
        <f t="shared" si="45"/>
        <v/>
      </c>
      <c r="Q159" s="1">
        <v>0</v>
      </c>
      <c r="R159" s="1">
        <f>IF($N159="",0,INDEX(GELIR_GIDER!$G$7:$G$3006,$T159))</f>
        <v>0</v>
      </c>
      <c r="S159" s="1">
        <f t="shared" si="42"/>
        <v>10000000000</v>
      </c>
      <c r="T159" s="1">
        <f>IFERROR(MATCH($U$6&amp;"|86",GELIR_GIDER!$AE$7:$AE$3006,0),0)</f>
        <v>0</v>
      </c>
      <c r="U159" s="1"/>
      <c r="V159" s="1">
        <f t="shared" si="43"/>
        <v>10000000000</v>
      </c>
      <c r="W159" s="1">
        <f t="shared" si="44"/>
        <v>2</v>
      </c>
    </row>
    <row r="160" spans="1:23" ht="19.5" customHeight="1" x14ac:dyDescent="0.3">
      <c r="A160" s="2"/>
      <c r="B160" s="65" t="str">
        <f t="shared" si="35"/>
        <v/>
      </c>
      <c r="C160" s="70" t="str">
        <f t="shared" si="36"/>
        <v/>
      </c>
      <c r="D160" s="171" t="str">
        <f t="shared" si="37"/>
        <v/>
      </c>
      <c r="E160" s="171"/>
      <c r="F160" s="65" t="str">
        <f t="shared" si="38"/>
        <v/>
      </c>
      <c r="G160" s="68" t="str">
        <f t="shared" si="39"/>
        <v/>
      </c>
      <c r="H160" s="68" t="str">
        <f t="shared" si="40"/>
        <v/>
      </c>
      <c r="I160" s="68" t="str">
        <f t="shared" si="41"/>
        <v/>
      </c>
      <c r="J160" s="2"/>
      <c r="K160" s="2"/>
      <c r="L160" s="1"/>
      <c r="M160" s="1">
        <v>123</v>
      </c>
      <c r="N160" s="1" t="str">
        <f>IF($T160=0,"",INDEX(GELIR_GIDER!$C$7:$C$3006,$T160))</f>
        <v/>
      </c>
      <c r="O160" s="1" t="str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1" t="str">
        <f t="shared" si="45"/>
        <v/>
      </c>
      <c r="Q160" s="1">
        <v>0</v>
      </c>
      <c r="R160" s="1">
        <f>IF($N160="",0,INDEX(GELIR_GIDER!$G$7:$G$3006,$T160))</f>
        <v>0</v>
      </c>
      <c r="S160" s="1">
        <f t="shared" si="42"/>
        <v>10000000000</v>
      </c>
      <c r="T160" s="1">
        <f>IFERROR(MATCH($U$6&amp;"|87",GELIR_GIDER!$AE$7:$AE$3006,0),0)</f>
        <v>0</v>
      </c>
      <c r="U160" s="1"/>
      <c r="V160" s="1">
        <f t="shared" si="43"/>
        <v>10000000000</v>
      </c>
      <c r="W160" s="1">
        <f t="shared" si="44"/>
        <v>2</v>
      </c>
    </row>
    <row r="161" spans="1:23" ht="19.5" customHeight="1" x14ac:dyDescent="0.3">
      <c r="A161" s="2"/>
      <c r="B161" s="65" t="str">
        <f t="shared" si="35"/>
        <v/>
      </c>
      <c r="C161" s="70" t="str">
        <f t="shared" si="36"/>
        <v/>
      </c>
      <c r="D161" s="171" t="str">
        <f t="shared" si="37"/>
        <v/>
      </c>
      <c r="E161" s="171"/>
      <c r="F161" s="65" t="str">
        <f t="shared" si="38"/>
        <v/>
      </c>
      <c r="G161" s="68" t="str">
        <f t="shared" si="39"/>
        <v/>
      </c>
      <c r="H161" s="68" t="str">
        <f t="shared" si="40"/>
        <v/>
      </c>
      <c r="I161" s="68" t="str">
        <f t="shared" si="41"/>
        <v/>
      </c>
      <c r="J161" s="2"/>
      <c r="K161" s="2"/>
      <c r="L161" s="1"/>
      <c r="M161" s="1">
        <v>124</v>
      </c>
      <c r="N161" s="1" t="str">
        <f>IF($T161=0,"",INDEX(GELIR_GIDER!$C$7:$C$3006,$T161))</f>
        <v/>
      </c>
      <c r="O161" s="1" t="str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1" t="str">
        <f t="shared" si="45"/>
        <v/>
      </c>
      <c r="Q161" s="1">
        <v>0</v>
      </c>
      <c r="R161" s="1">
        <f>IF($N161="",0,INDEX(GELIR_GIDER!$G$7:$G$3006,$T161))</f>
        <v>0</v>
      </c>
      <c r="S161" s="1">
        <f t="shared" si="42"/>
        <v>10000000000</v>
      </c>
      <c r="T161" s="1">
        <f>IFERROR(MATCH($U$6&amp;"|88",GELIR_GIDER!$AE$7:$AE$3006,0),0)</f>
        <v>0</v>
      </c>
      <c r="U161" s="1"/>
      <c r="V161" s="1">
        <f t="shared" si="43"/>
        <v>10000000000</v>
      </c>
      <c r="W161" s="1">
        <f t="shared" si="44"/>
        <v>2</v>
      </c>
    </row>
    <row r="162" spans="1:23" ht="19.5" customHeight="1" x14ac:dyDescent="0.3">
      <c r="A162" s="2"/>
      <c r="B162" s="65" t="str">
        <f t="shared" si="35"/>
        <v/>
      </c>
      <c r="C162" s="70" t="str">
        <f t="shared" si="36"/>
        <v/>
      </c>
      <c r="D162" s="171" t="str">
        <f t="shared" si="37"/>
        <v/>
      </c>
      <c r="E162" s="171"/>
      <c r="F162" s="65" t="str">
        <f t="shared" si="38"/>
        <v/>
      </c>
      <c r="G162" s="68" t="str">
        <f t="shared" si="39"/>
        <v/>
      </c>
      <c r="H162" s="68" t="str">
        <f t="shared" si="40"/>
        <v/>
      </c>
      <c r="I162" s="68" t="str">
        <f t="shared" si="41"/>
        <v/>
      </c>
      <c r="J162" s="2"/>
      <c r="K162" s="2"/>
      <c r="L162" s="1"/>
      <c r="M162" s="1">
        <v>125</v>
      </c>
      <c r="N162" s="1" t="str">
        <f>IF($T162=0,"",INDEX(GELIR_GIDER!$C$7:$C$3006,$T162))</f>
        <v/>
      </c>
      <c r="O162" s="1" t="str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1" t="str">
        <f t="shared" si="45"/>
        <v/>
      </c>
      <c r="Q162" s="1">
        <v>0</v>
      </c>
      <c r="R162" s="1">
        <f>IF($N162="",0,INDEX(GELIR_GIDER!$G$7:$G$3006,$T162))</f>
        <v>0</v>
      </c>
      <c r="S162" s="1">
        <f t="shared" si="42"/>
        <v>10000000000</v>
      </c>
      <c r="T162" s="1">
        <f>IFERROR(MATCH($U$6&amp;"|89",GELIR_GIDER!$AE$7:$AE$3006,0),0)</f>
        <v>0</v>
      </c>
      <c r="U162" s="1"/>
      <c r="V162" s="1">
        <f t="shared" si="43"/>
        <v>10000000000</v>
      </c>
      <c r="W162" s="1">
        <f t="shared" si="44"/>
        <v>2</v>
      </c>
    </row>
    <row r="163" spans="1:23" ht="19.5" customHeight="1" x14ac:dyDescent="0.3">
      <c r="A163" s="2"/>
      <c r="B163" s="65" t="str">
        <f t="shared" si="35"/>
        <v/>
      </c>
      <c r="C163" s="70" t="str">
        <f t="shared" si="36"/>
        <v/>
      </c>
      <c r="D163" s="171" t="str">
        <f t="shared" si="37"/>
        <v/>
      </c>
      <c r="E163" s="171"/>
      <c r="F163" s="65" t="str">
        <f t="shared" si="38"/>
        <v/>
      </c>
      <c r="G163" s="68" t="str">
        <f t="shared" si="39"/>
        <v/>
      </c>
      <c r="H163" s="68" t="str">
        <f t="shared" si="40"/>
        <v/>
      </c>
      <c r="I163" s="68" t="str">
        <f t="shared" si="41"/>
        <v/>
      </c>
      <c r="J163" s="2"/>
      <c r="K163" s="2"/>
      <c r="L163" s="1"/>
      <c r="M163" s="1">
        <v>126</v>
      </c>
      <c r="N163" s="1" t="str">
        <f>IF($T163=0,"",INDEX(GELIR_GIDER!$C$7:$C$3006,$T163))</f>
        <v/>
      </c>
      <c r="O163" s="1" t="str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1" t="str">
        <f t="shared" si="45"/>
        <v/>
      </c>
      <c r="Q163" s="1">
        <v>0</v>
      </c>
      <c r="R163" s="1">
        <f>IF($N163="",0,INDEX(GELIR_GIDER!$G$7:$G$3006,$T163))</f>
        <v>0</v>
      </c>
      <c r="S163" s="1">
        <f t="shared" si="42"/>
        <v>10000000000</v>
      </c>
      <c r="T163" s="1">
        <f>IFERROR(MATCH($U$6&amp;"|90",GELIR_GIDER!$AE$7:$AE$3006,0),0)</f>
        <v>0</v>
      </c>
      <c r="U163" s="1"/>
      <c r="V163" s="1">
        <f t="shared" si="43"/>
        <v>10000000000</v>
      </c>
      <c r="W163" s="1">
        <f t="shared" si="44"/>
        <v>2</v>
      </c>
    </row>
    <row r="164" spans="1:23" ht="19.5" customHeight="1" x14ac:dyDescent="0.3">
      <c r="A164" s="2"/>
      <c r="B164" s="65" t="str">
        <f t="shared" si="35"/>
        <v/>
      </c>
      <c r="C164" s="70" t="str">
        <f t="shared" si="36"/>
        <v/>
      </c>
      <c r="D164" s="171" t="str">
        <f t="shared" si="37"/>
        <v/>
      </c>
      <c r="E164" s="171"/>
      <c r="F164" s="65" t="str">
        <f t="shared" si="38"/>
        <v/>
      </c>
      <c r="G164" s="68" t="str">
        <f t="shared" si="39"/>
        <v/>
      </c>
      <c r="H164" s="68" t="str">
        <f t="shared" si="40"/>
        <v/>
      </c>
      <c r="I164" s="68" t="str">
        <f t="shared" si="41"/>
        <v/>
      </c>
      <c r="J164" s="2"/>
      <c r="K164" s="2"/>
      <c r="L164" s="1"/>
      <c r="M164" s="1">
        <v>127</v>
      </c>
      <c r="N164" s="1" t="str">
        <f>IF($T164=0,"",INDEX(GELIR_GIDER!$C$7:$C$3006,$T164))</f>
        <v/>
      </c>
      <c r="O164" s="1" t="str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1" t="str">
        <f t="shared" si="45"/>
        <v/>
      </c>
      <c r="Q164" s="1">
        <v>0</v>
      </c>
      <c r="R164" s="1">
        <f>IF($N164="",0,INDEX(GELIR_GIDER!$G$7:$G$3006,$T164))</f>
        <v>0</v>
      </c>
      <c r="S164" s="1">
        <f t="shared" si="42"/>
        <v>10000000000</v>
      </c>
      <c r="T164" s="1">
        <f>IFERROR(MATCH($U$6&amp;"|91",GELIR_GIDER!$AE$7:$AE$3006,0),0)</f>
        <v>0</v>
      </c>
      <c r="U164" s="1"/>
      <c r="V164" s="1">
        <f t="shared" si="43"/>
        <v>10000000000</v>
      </c>
      <c r="W164" s="1">
        <f t="shared" si="44"/>
        <v>2</v>
      </c>
    </row>
    <row r="165" spans="1:23" ht="19.5" customHeight="1" x14ac:dyDescent="0.3">
      <c r="A165" s="2"/>
      <c r="B165" s="65" t="str">
        <f t="shared" si="35"/>
        <v/>
      </c>
      <c r="C165" s="70" t="str">
        <f t="shared" si="36"/>
        <v/>
      </c>
      <c r="D165" s="171" t="str">
        <f t="shared" si="37"/>
        <v/>
      </c>
      <c r="E165" s="171"/>
      <c r="F165" s="65" t="str">
        <f t="shared" si="38"/>
        <v/>
      </c>
      <c r="G165" s="68" t="str">
        <f t="shared" si="39"/>
        <v/>
      </c>
      <c r="H165" s="68" t="str">
        <f t="shared" si="40"/>
        <v/>
      </c>
      <c r="I165" s="68" t="str">
        <f t="shared" si="41"/>
        <v/>
      </c>
      <c r="J165" s="2"/>
      <c r="K165" s="2"/>
      <c r="L165" s="1"/>
      <c r="M165" s="1">
        <v>128</v>
      </c>
      <c r="N165" s="1" t="str">
        <f>IF($T165=0,"",INDEX(GELIR_GIDER!$C$7:$C$3006,$T165))</f>
        <v/>
      </c>
      <c r="O165" s="1" t="str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1" t="str">
        <f t="shared" si="45"/>
        <v/>
      </c>
      <c r="Q165" s="1">
        <v>0</v>
      </c>
      <c r="R165" s="1">
        <f>IF($N165="",0,INDEX(GELIR_GIDER!$G$7:$G$3006,$T165))</f>
        <v>0</v>
      </c>
      <c r="S165" s="1">
        <f t="shared" si="42"/>
        <v>10000000000</v>
      </c>
      <c r="T165" s="1">
        <f>IFERROR(MATCH($U$6&amp;"|92",GELIR_GIDER!$AE$7:$AE$3006,0),0)</f>
        <v>0</v>
      </c>
      <c r="U165" s="1"/>
      <c r="V165" s="1">
        <f t="shared" si="43"/>
        <v>10000000000</v>
      </c>
      <c r="W165" s="1">
        <f t="shared" si="44"/>
        <v>2</v>
      </c>
    </row>
    <row r="166" spans="1:23" ht="19.5" customHeight="1" x14ac:dyDescent="0.3">
      <c r="A166" s="2"/>
      <c r="B166" s="65" t="str">
        <f t="shared" ref="B166:B187" si="46">IF($C166="","",ROW()-37)</f>
        <v/>
      </c>
      <c r="C166" s="70" t="str">
        <f t="shared" ref="C166:C187" si="47">IF($W166="","",IF(INDEX($N$38:$N$193,$W166)="","",INDEX($N$38:$N$193,$W166)))</f>
        <v/>
      </c>
      <c r="D166" s="171" t="str">
        <f t="shared" ref="D166:D187" si="48">IF($C166="","",INDEX($O$38:$O$193,$W166))</f>
        <v/>
      </c>
      <c r="E166" s="171"/>
      <c r="F166" s="65" t="str">
        <f t="shared" ref="F166:F187" si="49">IF($C166="","",INDEX($P$38:$P$193,$W166))</f>
        <v/>
      </c>
      <c r="G166" s="68" t="str">
        <f t="shared" ref="G166:G187" si="50">IF($C166="","",INDEX($Q$38:$Q$193,$W166))</f>
        <v/>
      </c>
      <c r="H166" s="68" t="str">
        <f t="shared" ref="H166:H187" si="51">IF($C166="","",INDEX($R$38:$R$193,$W166))</f>
        <v/>
      </c>
      <c r="I166" s="68" t="str">
        <f t="shared" ref="I166:I187" si="52">IF($C166="","",N($I165)+$G166-$H166)</f>
        <v/>
      </c>
      <c r="J166" s="2"/>
      <c r="K166" s="2"/>
      <c r="L166" s="1"/>
      <c r="M166" s="1">
        <v>129</v>
      </c>
      <c r="N166" s="1" t="str">
        <f>IF($T166=0,"",INDEX(GELIR_GIDER!$C$7:$C$3006,$T166))</f>
        <v/>
      </c>
      <c r="O166" s="1" t="str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1" t="str">
        <f t="shared" si="45"/>
        <v/>
      </c>
      <c r="Q166" s="1">
        <v>0</v>
      </c>
      <c r="R166" s="1">
        <f>IF($N166="",0,INDEX(GELIR_GIDER!$G$7:$G$3006,$T166))</f>
        <v>0</v>
      </c>
      <c r="S166" s="1">
        <f t="shared" ref="S166:S193" si="53">IF($N166="",10000000000,$N166*100000+$M166)</f>
        <v>10000000000</v>
      </c>
      <c r="T166" s="1">
        <f>IFERROR(MATCH($U$6&amp;"|93",GELIR_GIDER!$AE$7:$AE$3006,0),0)</f>
        <v>0</v>
      </c>
      <c r="U166" s="1"/>
      <c r="V166" s="1">
        <f t="shared" ref="V166:V187" si="54">IFERROR(SMALL($S$38:$S$193,ROW()-37),"")</f>
        <v>10000000000</v>
      </c>
      <c r="W166" s="1">
        <f t="shared" ref="W166:W187" si="55">IFERROR(MATCH($V166,$S$38:$S$193,0),"")</f>
        <v>2</v>
      </c>
    </row>
    <row r="167" spans="1:23" ht="19.5" customHeight="1" x14ac:dyDescent="0.3">
      <c r="A167" s="2"/>
      <c r="B167" s="65" t="str">
        <f t="shared" si="46"/>
        <v/>
      </c>
      <c r="C167" s="70" t="str">
        <f t="shared" si="47"/>
        <v/>
      </c>
      <c r="D167" s="171" t="str">
        <f t="shared" si="48"/>
        <v/>
      </c>
      <c r="E167" s="171"/>
      <c r="F167" s="65" t="str">
        <f t="shared" si="49"/>
        <v/>
      </c>
      <c r="G167" s="68" t="str">
        <f t="shared" si="50"/>
        <v/>
      </c>
      <c r="H167" s="68" t="str">
        <f t="shared" si="51"/>
        <v/>
      </c>
      <c r="I167" s="68" t="str">
        <f t="shared" si="52"/>
        <v/>
      </c>
      <c r="J167" s="2"/>
      <c r="K167" s="2"/>
      <c r="L167" s="1"/>
      <c r="M167" s="1">
        <v>130</v>
      </c>
      <c r="N167" s="1" t="str">
        <f>IF($T167=0,"",INDEX(GELIR_GIDER!$C$7:$C$3006,$T167))</f>
        <v/>
      </c>
      <c r="O167" s="1" t="str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1" t="str">
        <f t="shared" si="45"/>
        <v/>
      </c>
      <c r="Q167" s="1">
        <v>0</v>
      </c>
      <c r="R167" s="1">
        <f>IF($N167="",0,INDEX(GELIR_GIDER!$G$7:$G$3006,$T167))</f>
        <v>0</v>
      </c>
      <c r="S167" s="1">
        <f t="shared" si="53"/>
        <v>10000000000</v>
      </c>
      <c r="T167" s="1">
        <f>IFERROR(MATCH($U$6&amp;"|94",GELIR_GIDER!$AE$7:$AE$3006,0),0)</f>
        <v>0</v>
      </c>
      <c r="U167" s="1"/>
      <c r="V167" s="1">
        <f t="shared" si="54"/>
        <v>10000000000</v>
      </c>
      <c r="W167" s="1">
        <f t="shared" si="55"/>
        <v>2</v>
      </c>
    </row>
    <row r="168" spans="1:23" ht="19.5" customHeight="1" x14ac:dyDescent="0.3">
      <c r="A168" s="2"/>
      <c r="B168" s="65" t="str">
        <f t="shared" si="46"/>
        <v/>
      </c>
      <c r="C168" s="70" t="str">
        <f t="shared" si="47"/>
        <v/>
      </c>
      <c r="D168" s="171" t="str">
        <f t="shared" si="48"/>
        <v/>
      </c>
      <c r="E168" s="171"/>
      <c r="F168" s="65" t="str">
        <f t="shared" si="49"/>
        <v/>
      </c>
      <c r="G168" s="68" t="str">
        <f t="shared" si="50"/>
        <v/>
      </c>
      <c r="H168" s="68" t="str">
        <f t="shared" si="51"/>
        <v/>
      </c>
      <c r="I168" s="68" t="str">
        <f t="shared" si="52"/>
        <v/>
      </c>
      <c r="J168" s="2"/>
      <c r="K168" s="2"/>
      <c r="L168" s="1"/>
      <c r="M168" s="1">
        <v>131</v>
      </c>
      <c r="N168" s="1" t="str">
        <f>IF($T168=0,"",INDEX(GELIR_GIDER!$C$7:$C$3006,$T168))</f>
        <v/>
      </c>
      <c r="O168" s="1" t="str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1" t="str">
        <f t="shared" si="45"/>
        <v/>
      </c>
      <c r="Q168" s="1">
        <v>0</v>
      </c>
      <c r="R168" s="1">
        <f>IF($N168="",0,INDEX(GELIR_GIDER!$G$7:$G$3006,$T168))</f>
        <v>0</v>
      </c>
      <c r="S168" s="1">
        <f t="shared" si="53"/>
        <v>10000000000</v>
      </c>
      <c r="T168" s="1">
        <f>IFERROR(MATCH($U$6&amp;"|95",GELIR_GIDER!$AE$7:$AE$3006,0),0)</f>
        <v>0</v>
      </c>
      <c r="U168" s="1"/>
      <c r="V168" s="1">
        <f t="shared" si="54"/>
        <v>10000000000</v>
      </c>
      <c r="W168" s="1">
        <f t="shared" si="55"/>
        <v>2</v>
      </c>
    </row>
    <row r="169" spans="1:23" ht="19.5" customHeight="1" x14ac:dyDescent="0.3">
      <c r="A169" s="2"/>
      <c r="B169" s="65" t="str">
        <f t="shared" si="46"/>
        <v/>
      </c>
      <c r="C169" s="70" t="str">
        <f t="shared" si="47"/>
        <v/>
      </c>
      <c r="D169" s="171" t="str">
        <f t="shared" si="48"/>
        <v/>
      </c>
      <c r="E169" s="171"/>
      <c r="F169" s="65" t="str">
        <f t="shared" si="49"/>
        <v/>
      </c>
      <c r="G169" s="68" t="str">
        <f t="shared" si="50"/>
        <v/>
      </c>
      <c r="H169" s="68" t="str">
        <f t="shared" si="51"/>
        <v/>
      </c>
      <c r="I169" s="68" t="str">
        <f t="shared" si="52"/>
        <v/>
      </c>
      <c r="J169" s="2"/>
      <c r="K169" s="2"/>
      <c r="L169" s="1"/>
      <c r="M169" s="1">
        <v>132</v>
      </c>
      <c r="N169" s="1" t="str">
        <f>IF($T169=0,"",INDEX(GELIR_GIDER!$C$7:$C$3006,$T169))</f>
        <v/>
      </c>
      <c r="O169" s="1" t="str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1" t="str">
        <f t="shared" si="45"/>
        <v/>
      </c>
      <c r="Q169" s="1">
        <v>0</v>
      </c>
      <c r="R169" s="1">
        <f>IF($N169="",0,INDEX(GELIR_GIDER!$G$7:$G$3006,$T169))</f>
        <v>0</v>
      </c>
      <c r="S169" s="1">
        <f t="shared" si="53"/>
        <v>10000000000</v>
      </c>
      <c r="T169" s="1">
        <f>IFERROR(MATCH($U$6&amp;"|96",GELIR_GIDER!$AE$7:$AE$3006,0),0)</f>
        <v>0</v>
      </c>
      <c r="U169" s="1"/>
      <c r="V169" s="1">
        <f t="shared" si="54"/>
        <v>10000000000</v>
      </c>
      <c r="W169" s="1">
        <f t="shared" si="55"/>
        <v>2</v>
      </c>
    </row>
    <row r="170" spans="1:23" ht="19.5" customHeight="1" x14ac:dyDescent="0.3">
      <c r="A170" s="2"/>
      <c r="B170" s="65" t="str">
        <f t="shared" si="46"/>
        <v/>
      </c>
      <c r="C170" s="70" t="str">
        <f t="shared" si="47"/>
        <v/>
      </c>
      <c r="D170" s="171" t="str">
        <f t="shared" si="48"/>
        <v/>
      </c>
      <c r="E170" s="171"/>
      <c r="F170" s="65" t="str">
        <f t="shared" si="49"/>
        <v/>
      </c>
      <c r="G170" s="68" t="str">
        <f t="shared" si="50"/>
        <v/>
      </c>
      <c r="H170" s="68" t="str">
        <f t="shared" si="51"/>
        <v/>
      </c>
      <c r="I170" s="68" t="str">
        <f t="shared" si="52"/>
        <v/>
      </c>
      <c r="J170" s="2"/>
      <c r="K170" s="2"/>
      <c r="L170" s="1"/>
      <c r="M170" s="1">
        <v>133</v>
      </c>
      <c r="N170" s="1" t="str">
        <f>IF($T170=0,"",INDEX(GELIR_GIDER!$C$7:$C$3006,$T170))</f>
        <v/>
      </c>
      <c r="O170" s="1" t="str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1" t="str">
        <f t="shared" ref="P170:P193" si="56">IF($N170="","","ÖDEME")</f>
        <v/>
      </c>
      <c r="Q170" s="1">
        <v>0</v>
      </c>
      <c r="R170" s="1">
        <f>IF($N170="",0,INDEX(GELIR_GIDER!$G$7:$G$3006,$T170))</f>
        <v>0</v>
      </c>
      <c r="S170" s="1">
        <f t="shared" si="53"/>
        <v>10000000000</v>
      </c>
      <c r="T170" s="1">
        <f>IFERROR(MATCH($U$6&amp;"|97",GELIR_GIDER!$AE$7:$AE$3006,0),0)</f>
        <v>0</v>
      </c>
      <c r="U170" s="1"/>
      <c r="V170" s="1">
        <f t="shared" si="54"/>
        <v>10000000000</v>
      </c>
      <c r="W170" s="1">
        <f t="shared" si="55"/>
        <v>2</v>
      </c>
    </row>
    <row r="171" spans="1:23" ht="19.5" customHeight="1" x14ac:dyDescent="0.3">
      <c r="A171" s="2"/>
      <c r="B171" s="65" t="str">
        <f t="shared" si="46"/>
        <v/>
      </c>
      <c r="C171" s="70" t="str">
        <f t="shared" si="47"/>
        <v/>
      </c>
      <c r="D171" s="171" t="str">
        <f t="shared" si="48"/>
        <v/>
      </c>
      <c r="E171" s="171"/>
      <c r="F171" s="65" t="str">
        <f t="shared" si="49"/>
        <v/>
      </c>
      <c r="G171" s="68" t="str">
        <f t="shared" si="50"/>
        <v/>
      </c>
      <c r="H171" s="68" t="str">
        <f t="shared" si="51"/>
        <v/>
      </c>
      <c r="I171" s="68" t="str">
        <f t="shared" si="52"/>
        <v/>
      </c>
      <c r="J171" s="2"/>
      <c r="K171" s="2"/>
      <c r="L171" s="1"/>
      <c r="M171" s="1">
        <v>134</v>
      </c>
      <c r="N171" s="1" t="str">
        <f>IF($T171=0,"",INDEX(GELIR_GIDER!$C$7:$C$3006,$T171))</f>
        <v/>
      </c>
      <c r="O171" s="1" t="str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1" t="str">
        <f t="shared" si="56"/>
        <v/>
      </c>
      <c r="Q171" s="1">
        <v>0</v>
      </c>
      <c r="R171" s="1">
        <f>IF($N171="",0,INDEX(GELIR_GIDER!$G$7:$G$3006,$T171))</f>
        <v>0</v>
      </c>
      <c r="S171" s="1">
        <f t="shared" si="53"/>
        <v>10000000000</v>
      </c>
      <c r="T171" s="1">
        <f>IFERROR(MATCH($U$6&amp;"|98",GELIR_GIDER!$AE$7:$AE$3006,0),0)</f>
        <v>0</v>
      </c>
      <c r="U171" s="1"/>
      <c r="V171" s="1">
        <f t="shared" si="54"/>
        <v>10000000000</v>
      </c>
      <c r="W171" s="1">
        <f t="shared" si="55"/>
        <v>2</v>
      </c>
    </row>
    <row r="172" spans="1:23" ht="19.5" customHeight="1" x14ac:dyDescent="0.3">
      <c r="A172" s="2"/>
      <c r="B172" s="65" t="str">
        <f t="shared" si="46"/>
        <v/>
      </c>
      <c r="C172" s="70" t="str">
        <f t="shared" si="47"/>
        <v/>
      </c>
      <c r="D172" s="171" t="str">
        <f t="shared" si="48"/>
        <v/>
      </c>
      <c r="E172" s="171"/>
      <c r="F172" s="65" t="str">
        <f t="shared" si="49"/>
        <v/>
      </c>
      <c r="G172" s="68" t="str">
        <f t="shared" si="50"/>
        <v/>
      </c>
      <c r="H172" s="68" t="str">
        <f t="shared" si="51"/>
        <v/>
      </c>
      <c r="I172" s="68" t="str">
        <f t="shared" si="52"/>
        <v/>
      </c>
      <c r="J172" s="2"/>
      <c r="K172" s="2"/>
      <c r="L172" s="1"/>
      <c r="M172" s="1">
        <v>135</v>
      </c>
      <c r="N172" s="1" t="str">
        <f>IF($T172=0,"",INDEX(GELIR_GIDER!$C$7:$C$3006,$T172))</f>
        <v/>
      </c>
      <c r="O172" s="1" t="str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1" t="str">
        <f t="shared" si="56"/>
        <v/>
      </c>
      <c r="Q172" s="1">
        <v>0</v>
      </c>
      <c r="R172" s="1">
        <f>IF($N172="",0,INDEX(GELIR_GIDER!$G$7:$G$3006,$T172))</f>
        <v>0</v>
      </c>
      <c r="S172" s="1">
        <f t="shared" si="53"/>
        <v>10000000000</v>
      </c>
      <c r="T172" s="1">
        <f>IFERROR(MATCH($U$6&amp;"|99",GELIR_GIDER!$AE$7:$AE$3006,0),0)</f>
        <v>0</v>
      </c>
      <c r="U172" s="1"/>
      <c r="V172" s="1">
        <f t="shared" si="54"/>
        <v>10000000000</v>
      </c>
      <c r="W172" s="1">
        <f t="shared" si="55"/>
        <v>2</v>
      </c>
    </row>
    <row r="173" spans="1:23" ht="19.5" customHeight="1" x14ac:dyDescent="0.3">
      <c r="A173" s="2"/>
      <c r="B173" s="65" t="str">
        <f t="shared" si="46"/>
        <v/>
      </c>
      <c r="C173" s="70" t="str">
        <f t="shared" si="47"/>
        <v/>
      </c>
      <c r="D173" s="171" t="str">
        <f t="shared" si="48"/>
        <v/>
      </c>
      <c r="E173" s="171"/>
      <c r="F173" s="65" t="str">
        <f t="shared" si="49"/>
        <v/>
      </c>
      <c r="G173" s="68" t="str">
        <f t="shared" si="50"/>
        <v/>
      </c>
      <c r="H173" s="68" t="str">
        <f t="shared" si="51"/>
        <v/>
      </c>
      <c r="I173" s="68" t="str">
        <f t="shared" si="52"/>
        <v/>
      </c>
      <c r="J173" s="2"/>
      <c r="K173" s="2"/>
      <c r="L173" s="1"/>
      <c r="M173" s="1">
        <v>136</v>
      </c>
      <c r="N173" s="1" t="str">
        <f>IF($T173=0,"",INDEX(GELIR_GIDER!$C$7:$C$3006,$T173))</f>
        <v/>
      </c>
      <c r="O173" s="1" t="str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1" t="str">
        <f t="shared" si="56"/>
        <v/>
      </c>
      <c r="Q173" s="1">
        <v>0</v>
      </c>
      <c r="R173" s="1">
        <f>IF($N173="",0,INDEX(GELIR_GIDER!$G$7:$G$3006,$T173))</f>
        <v>0</v>
      </c>
      <c r="S173" s="1">
        <f t="shared" si="53"/>
        <v>10000000000</v>
      </c>
      <c r="T173" s="1">
        <f>IFERROR(MATCH($U$6&amp;"|100",GELIR_GIDER!$AE$7:$AE$3006,0),0)</f>
        <v>0</v>
      </c>
      <c r="U173" s="1"/>
      <c r="V173" s="1">
        <f t="shared" si="54"/>
        <v>10000000000</v>
      </c>
      <c r="W173" s="1">
        <f t="shared" si="55"/>
        <v>2</v>
      </c>
    </row>
    <row r="174" spans="1:23" ht="19.5" customHeight="1" x14ac:dyDescent="0.3">
      <c r="A174" s="2"/>
      <c r="B174" s="65" t="str">
        <f t="shared" si="46"/>
        <v/>
      </c>
      <c r="C174" s="70" t="str">
        <f t="shared" si="47"/>
        <v/>
      </c>
      <c r="D174" s="171" t="str">
        <f t="shared" si="48"/>
        <v/>
      </c>
      <c r="E174" s="171"/>
      <c r="F174" s="65" t="str">
        <f t="shared" si="49"/>
        <v/>
      </c>
      <c r="G174" s="68" t="str">
        <f t="shared" si="50"/>
        <v/>
      </c>
      <c r="H174" s="68" t="str">
        <f t="shared" si="51"/>
        <v/>
      </c>
      <c r="I174" s="68" t="str">
        <f t="shared" si="52"/>
        <v/>
      </c>
      <c r="J174" s="2"/>
      <c r="K174" s="2"/>
      <c r="L174" s="1"/>
      <c r="M174" s="1">
        <v>137</v>
      </c>
      <c r="N174" s="1" t="str">
        <f>IF($T174=0,"",INDEX(GELIR_GIDER!$C$7:$C$3006,$T174))</f>
        <v/>
      </c>
      <c r="O174" s="1" t="str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1" t="str">
        <f t="shared" si="56"/>
        <v/>
      </c>
      <c r="Q174" s="1">
        <v>0</v>
      </c>
      <c r="R174" s="1">
        <f>IF($N174="",0,INDEX(GELIR_GIDER!$G$7:$G$3006,$T174))</f>
        <v>0</v>
      </c>
      <c r="S174" s="1">
        <f t="shared" si="53"/>
        <v>10000000000</v>
      </c>
      <c r="T174" s="1">
        <f>IFERROR(MATCH($U$6&amp;"|101",GELIR_GIDER!$AE$7:$AE$3006,0),0)</f>
        <v>0</v>
      </c>
      <c r="U174" s="1"/>
      <c r="V174" s="1">
        <f t="shared" si="54"/>
        <v>10000000000</v>
      </c>
      <c r="W174" s="1">
        <f t="shared" si="55"/>
        <v>2</v>
      </c>
    </row>
    <row r="175" spans="1:23" ht="19.5" customHeight="1" x14ac:dyDescent="0.3">
      <c r="A175" s="2"/>
      <c r="B175" s="65" t="str">
        <f t="shared" si="46"/>
        <v/>
      </c>
      <c r="C175" s="70" t="str">
        <f t="shared" si="47"/>
        <v/>
      </c>
      <c r="D175" s="171" t="str">
        <f t="shared" si="48"/>
        <v/>
      </c>
      <c r="E175" s="171"/>
      <c r="F175" s="65" t="str">
        <f t="shared" si="49"/>
        <v/>
      </c>
      <c r="G175" s="68" t="str">
        <f t="shared" si="50"/>
        <v/>
      </c>
      <c r="H175" s="68" t="str">
        <f t="shared" si="51"/>
        <v/>
      </c>
      <c r="I175" s="68" t="str">
        <f t="shared" si="52"/>
        <v/>
      </c>
      <c r="J175" s="2"/>
      <c r="K175" s="2"/>
      <c r="L175" s="1"/>
      <c r="M175" s="1">
        <v>138</v>
      </c>
      <c r="N175" s="1" t="str">
        <f>IF($T175=0,"",INDEX(GELIR_GIDER!$C$7:$C$3006,$T175))</f>
        <v/>
      </c>
      <c r="O175" s="1" t="str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1" t="str">
        <f t="shared" si="56"/>
        <v/>
      </c>
      <c r="Q175" s="1">
        <v>0</v>
      </c>
      <c r="R175" s="1">
        <f>IF($N175="",0,INDEX(GELIR_GIDER!$G$7:$G$3006,$T175))</f>
        <v>0</v>
      </c>
      <c r="S175" s="1">
        <f t="shared" si="53"/>
        <v>10000000000</v>
      </c>
      <c r="T175" s="1">
        <f>IFERROR(MATCH($U$6&amp;"|102",GELIR_GIDER!$AE$7:$AE$3006,0),0)</f>
        <v>0</v>
      </c>
      <c r="U175" s="1"/>
      <c r="V175" s="1">
        <f t="shared" si="54"/>
        <v>10000000000</v>
      </c>
      <c r="W175" s="1">
        <f t="shared" si="55"/>
        <v>2</v>
      </c>
    </row>
    <row r="176" spans="1:23" ht="19.5" customHeight="1" x14ac:dyDescent="0.3">
      <c r="A176" s="2"/>
      <c r="B176" s="65" t="str">
        <f t="shared" si="46"/>
        <v/>
      </c>
      <c r="C176" s="70" t="str">
        <f t="shared" si="47"/>
        <v/>
      </c>
      <c r="D176" s="171" t="str">
        <f t="shared" si="48"/>
        <v/>
      </c>
      <c r="E176" s="171"/>
      <c r="F176" s="65" t="str">
        <f t="shared" si="49"/>
        <v/>
      </c>
      <c r="G176" s="68" t="str">
        <f t="shared" si="50"/>
        <v/>
      </c>
      <c r="H176" s="68" t="str">
        <f t="shared" si="51"/>
        <v/>
      </c>
      <c r="I176" s="68" t="str">
        <f t="shared" si="52"/>
        <v/>
      </c>
      <c r="J176" s="2"/>
      <c r="K176" s="2"/>
      <c r="L176" s="1"/>
      <c r="M176" s="1">
        <v>139</v>
      </c>
      <c r="N176" s="1" t="str">
        <f>IF($T176=0,"",INDEX(GELIR_GIDER!$C$7:$C$3006,$T176))</f>
        <v/>
      </c>
      <c r="O176" s="1" t="str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1" t="str">
        <f t="shared" si="56"/>
        <v/>
      </c>
      <c r="Q176" s="1">
        <v>0</v>
      </c>
      <c r="R176" s="1">
        <f>IF($N176="",0,INDEX(GELIR_GIDER!$G$7:$G$3006,$T176))</f>
        <v>0</v>
      </c>
      <c r="S176" s="1">
        <f t="shared" si="53"/>
        <v>10000000000</v>
      </c>
      <c r="T176" s="1">
        <f>IFERROR(MATCH($U$6&amp;"|103",GELIR_GIDER!$AE$7:$AE$3006,0),0)</f>
        <v>0</v>
      </c>
      <c r="U176" s="1"/>
      <c r="V176" s="1">
        <f t="shared" si="54"/>
        <v>10000000000</v>
      </c>
      <c r="W176" s="1">
        <f t="shared" si="55"/>
        <v>2</v>
      </c>
    </row>
    <row r="177" spans="1:23" ht="19.5" customHeight="1" x14ac:dyDescent="0.3">
      <c r="A177" s="2"/>
      <c r="B177" s="65" t="str">
        <f t="shared" si="46"/>
        <v/>
      </c>
      <c r="C177" s="70" t="str">
        <f t="shared" si="47"/>
        <v/>
      </c>
      <c r="D177" s="171" t="str">
        <f t="shared" si="48"/>
        <v/>
      </c>
      <c r="E177" s="171"/>
      <c r="F177" s="65" t="str">
        <f t="shared" si="49"/>
        <v/>
      </c>
      <c r="G177" s="68" t="str">
        <f t="shared" si="50"/>
        <v/>
      </c>
      <c r="H177" s="68" t="str">
        <f t="shared" si="51"/>
        <v/>
      </c>
      <c r="I177" s="68" t="str">
        <f t="shared" si="52"/>
        <v/>
      </c>
      <c r="J177" s="2"/>
      <c r="K177" s="2"/>
      <c r="L177" s="1"/>
      <c r="M177" s="1">
        <v>140</v>
      </c>
      <c r="N177" s="1" t="str">
        <f>IF($T177=0,"",INDEX(GELIR_GIDER!$C$7:$C$3006,$T177))</f>
        <v/>
      </c>
      <c r="O177" s="1" t="str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1" t="str">
        <f t="shared" si="56"/>
        <v/>
      </c>
      <c r="Q177" s="1">
        <v>0</v>
      </c>
      <c r="R177" s="1">
        <f>IF($N177="",0,INDEX(GELIR_GIDER!$G$7:$G$3006,$T177))</f>
        <v>0</v>
      </c>
      <c r="S177" s="1">
        <f t="shared" si="53"/>
        <v>10000000000</v>
      </c>
      <c r="T177" s="1">
        <f>IFERROR(MATCH($U$6&amp;"|104",GELIR_GIDER!$AE$7:$AE$3006,0),0)</f>
        <v>0</v>
      </c>
      <c r="U177" s="1"/>
      <c r="V177" s="1">
        <f t="shared" si="54"/>
        <v>10000000000</v>
      </c>
      <c r="W177" s="1">
        <f t="shared" si="55"/>
        <v>2</v>
      </c>
    </row>
    <row r="178" spans="1:23" ht="19.5" customHeight="1" x14ac:dyDescent="0.3">
      <c r="A178" s="2"/>
      <c r="B178" s="65" t="str">
        <f t="shared" si="46"/>
        <v/>
      </c>
      <c r="C178" s="70" t="str">
        <f t="shared" si="47"/>
        <v/>
      </c>
      <c r="D178" s="171" t="str">
        <f t="shared" si="48"/>
        <v/>
      </c>
      <c r="E178" s="171"/>
      <c r="F178" s="65" t="str">
        <f t="shared" si="49"/>
        <v/>
      </c>
      <c r="G178" s="68" t="str">
        <f t="shared" si="50"/>
        <v/>
      </c>
      <c r="H178" s="68" t="str">
        <f t="shared" si="51"/>
        <v/>
      </c>
      <c r="I178" s="68" t="str">
        <f t="shared" si="52"/>
        <v/>
      </c>
      <c r="J178" s="2"/>
      <c r="K178" s="2"/>
      <c r="L178" s="1"/>
      <c r="M178" s="1">
        <v>141</v>
      </c>
      <c r="N178" s="1" t="str">
        <f>IF($T178=0,"",INDEX(GELIR_GIDER!$C$7:$C$3006,$T178))</f>
        <v/>
      </c>
      <c r="O178" s="1" t="str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1" t="str">
        <f t="shared" si="56"/>
        <v/>
      </c>
      <c r="Q178" s="1">
        <v>0</v>
      </c>
      <c r="R178" s="1">
        <f>IF($N178="",0,INDEX(GELIR_GIDER!$G$7:$G$3006,$T178))</f>
        <v>0</v>
      </c>
      <c r="S178" s="1">
        <f t="shared" si="53"/>
        <v>10000000000</v>
      </c>
      <c r="T178" s="1">
        <f>IFERROR(MATCH($U$6&amp;"|105",GELIR_GIDER!$AE$7:$AE$3006,0),0)</f>
        <v>0</v>
      </c>
      <c r="U178" s="1"/>
      <c r="V178" s="1">
        <f t="shared" si="54"/>
        <v>10000000000</v>
      </c>
      <c r="W178" s="1">
        <f t="shared" si="55"/>
        <v>2</v>
      </c>
    </row>
    <row r="179" spans="1:23" ht="19.5" customHeight="1" x14ac:dyDescent="0.3">
      <c r="A179" s="2"/>
      <c r="B179" s="65" t="str">
        <f t="shared" si="46"/>
        <v/>
      </c>
      <c r="C179" s="70" t="str">
        <f t="shared" si="47"/>
        <v/>
      </c>
      <c r="D179" s="171" t="str">
        <f t="shared" si="48"/>
        <v/>
      </c>
      <c r="E179" s="171"/>
      <c r="F179" s="65" t="str">
        <f t="shared" si="49"/>
        <v/>
      </c>
      <c r="G179" s="68" t="str">
        <f t="shared" si="50"/>
        <v/>
      </c>
      <c r="H179" s="68" t="str">
        <f t="shared" si="51"/>
        <v/>
      </c>
      <c r="I179" s="68" t="str">
        <f t="shared" si="52"/>
        <v/>
      </c>
      <c r="J179" s="2"/>
      <c r="K179" s="2"/>
      <c r="L179" s="1"/>
      <c r="M179" s="1">
        <v>142</v>
      </c>
      <c r="N179" s="1" t="str">
        <f>IF($T179=0,"",INDEX(GELIR_GIDER!$C$7:$C$3006,$T179))</f>
        <v/>
      </c>
      <c r="O179" s="1" t="str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1" t="str">
        <f t="shared" si="56"/>
        <v/>
      </c>
      <c r="Q179" s="1">
        <v>0</v>
      </c>
      <c r="R179" s="1">
        <f>IF($N179="",0,INDEX(GELIR_GIDER!$G$7:$G$3006,$T179))</f>
        <v>0</v>
      </c>
      <c r="S179" s="1">
        <f t="shared" si="53"/>
        <v>10000000000</v>
      </c>
      <c r="T179" s="1">
        <f>IFERROR(MATCH($U$6&amp;"|106",GELIR_GIDER!$AE$7:$AE$3006,0),0)</f>
        <v>0</v>
      </c>
      <c r="U179" s="1"/>
      <c r="V179" s="1">
        <f t="shared" si="54"/>
        <v>10000000000</v>
      </c>
      <c r="W179" s="1">
        <f t="shared" si="55"/>
        <v>2</v>
      </c>
    </row>
    <row r="180" spans="1:23" ht="19.5" customHeight="1" x14ac:dyDescent="0.3">
      <c r="A180" s="2"/>
      <c r="B180" s="65" t="str">
        <f t="shared" si="46"/>
        <v/>
      </c>
      <c r="C180" s="70" t="str">
        <f t="shared" si="47"/>
        <v/>
      </c>
      <c r="D180" s="171" t="str">
        <f t="shared" si="48"/>
        <v/>
      </c>
      <c r="E180" s="171"/>
      <c r="F180" s="65" t="str">
        <f t="shared" si="49"/>
        <v/>
      </c>
      <c r="G180" s="68" t="str">
        <f t="shared" si="50"/>
        <v/>
      </c>
      <c r="H180" s="68" t="str">
        <f t="shared" si="51"/>
        <v/>
      </c>
      <c r="I180" s="68" t="str">
        <f t="shared" si="52"/>
        <v/>
      </c>
      <c r="J180" s="2"/>
      <c r="K180" s="2"/>
      <c r="L180" s="1"/>
      <c r="M180" s="1">
        <v>143</v>
      </c>
      <c r="N180" s="1" t="str">
        <f>IF($T180=0,"",INDEX(GELIR_GIDER!$C$7:$C$3006,$T180))</f>
        <v/>
      </c>
      <c r="O180" s="1" t="str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1" t="str">
        <f t="shared" si="56"/>
        <v/>
      </c>
      <c r="Q180" s="1">
        <v>0</v>
      </c>
      <c r="R180" s="1">
        <f>IF($N180="",0,INDEX(GELIR_GIDER!$G$7:$G$3006,$T180))</f>
        <v>0</v>
      </c>
      <c r="S180" s="1">
        <f t="shared" si="53"/>
        <v>10000000000</v>
      </c>
      <c r="T180" s="1">
        <f>IFERROR(MATCH($U$6&amp;"|107",GELIR_GIDER!$AE$7:$AE$3006,0),0)</f>
        <v>0</v>
      </c>
      <c r="U180" s="1"/>
      <c r="V180" s="1">
        <f t="shared" si="54"/>
        <v>10000000000</v>
      </c>
      <c r="W180" s="1">
        <f t="shared" si="55"/>
        <v>2</v>
      </c>
    </row>
    <row r="181" spans="1:23" ht="19.5" customHeight="1" x14ac:dyDescent="0.3">
      <c r="A181" s="2"/>
      <c r="B181" s="65" t="str">
        <f t="shared" si="46"/>
        <v/>
      </c>
      <c r="C181" s="70" t="str">
        <f t="shared" si="47"/>
        <v/>
      </c>
      <c r="D181" s="171" t="str">
        <f t="shared" si="48"/>
        <v/>
      </c>
      <c r="E181" s="171"/>
      <c r="F181" s="65" t="str">
        <f t="shared" si="49"/>
        <v/>
      </c>
      <c r="G181" s="68" t="str">
        <f t="shared" si="50"/>
        <v/>
      </c>
      <c r="H181" s="68" t="str">
        <f t="shared" si="51"/>
        <v/>
      </c>
      <c r="I181" s="68" t="str">
        <f t="shared" si="52"/>
        <v/>
      </c>
      <c r="J181" s="2"/>
      <c r="K181" s="2"/>
      <c r="L181" s="1"/>
      <c r="M181" s="1">
        <v>144</v>
      </c>
      <c r="N181" s="1" t="str">
        <f>IF($T181=0,"",INDEX(GELIR_GIDER!$C$7:$C$3006,$T181))</f>
        <v/>
      </c>
      <c r="O181" s="1" t="str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1" t="str">
        <f t="shared" si="56"/>
        <v/>
      </c>
      <c r="Q181" s="1">
        <v>0</v>
      </c>
      <c r="R181" s="1">
        <f>IF($N181="",0,INDEX(GELIR_GIDER!$G$7:$G$3006,$T181))</f>
        <v>0</v>
      </c>
      <c r="S181" s="1">
        <f t="shared" si="53"/>
        <v>10000000000</v>
      </c>
      <c r="T181" s="1">
        <f>IFERROR(MATCH($U$6&amp;"|108",GELIR_GIDER!$AE$7:$AE$3006,0),0)</f>
        <v>0</v>
      </c>
      <c r="U181" s="1"/>
      <c r="V181" s="1">
        <f t="shared" si="54"/>
        <v>10000000000</v>
      </c>
      <c r="W181" s="1">
        <f t="shared" si="55"/>
        <v>2</v>
      </c>
    </row>
    <row r="182" spans="1:23" ht="19.5" customHeight="1" x14ac:dyDescent="0.3">
      <c r="A182" s="2"/>
      <c r="B182" s="65" t="str">
        <f t="shared" si="46"/>
        <v/>
      </c>
      <c r="C182" s="70" t="str">
        <f t="shared" si="47"/>
        <v/>
      </c>
      <c r="D182" s="171" t="str">
        <f t="shared" si="48"/>
        <v/>
      </c>
      <c r="E182" s="171"/>
      <c r="F182" s="65" t="str">
        <f t="shared" si="49"/>
        <v/>
      </c>
      <c r="G182" s="68" t="str">
        <f t="shared" si="50"/>
        <v/>
      </c>
      <c r="H182" s="68" t="str">
        <f t="shared" si="51"/>
        <v/>
      </c>
      <c r="I182" s="68" t="str">
        <f t="shared" si="52"/>
        <v/>
      </c>
      <c r="J182" s="2"/>
      <c r="K182" s="2"/>
      <c r="L182" s="1"/>
      <c r="M182" s="1">
        <v>145</v>
      </c>
      <c r="N182" s="1" t="str">
        <f>IF($T182=0,"",INDEX(GELIR_GIDER!$C$7:$C$3006,$T182))</f>
        <v/>
      </c>
      <c r="O182" s="1" t="str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1" t="str">
        <f t="shared" si="56"/>
        <v/>
      </c>
      <c r="Q182" s="1">
        <v>0</v>
      </c>
      <c r="R182" s="1">
        <f>IF($N182="",0,INDEX(GELIR_GIDER!$G$7:$G$3006,$T182))</f>
        <v>0</v>
      </c>
      <c r="S182" s="1">
        <f t="shared" si="53"/>
        <v>10000000000</v>
      </c>
      <c r="T182" s="1">
        <f>IFERROR(MATCH($U$6&amp;"|109",GELIR_GIDER!$AE$7:$AE$3006,0),0)</f>
        <v>0</v>
      </c>
      <c r="U182" s="1"/>
      <c r="V182" s="1">
        <f t="shared" si="54"/>
        <v>10000000000</v>
      </c>
      <c r="W182" s="1">
        <f t="shared" si="55"/>
        <v>2</v>
      </c>
    </row>
    <row r="183" spans="1:23" ht="19.5" customHeight="1" x14ac:dyDescent="0.3">
      <c r="A183" s="2"/>
      <c r="B183" s="65" t="str">
        <f t="shared" si="46"/>
        <v/>
      </c>
      <c r="C183" s="70" t="str">
        <f t="shared" si="47"/>
        <v/>
      </c>
      <c r="D183" s="171" t="str">
        <f t="shared" si="48"/>
        <v/>
      </c>
      <c r="E183" s="171"/>
      <c r="F183" s="65" t="str">
        <f t="shared" si="49"/>
        <v/>
      </c>
      <c r="G183" s="68" t="str">
        <f t="shared" si="50"/>
        <v/>
      </c>
      <c r="H183" s="68" t="str">
        <f t="shared" si="51"/>
        <v/>
      </c>
      <c r="I183" s="68" t="str">
        <f t="shared" si="52"/>
        <v/>
      </c>
      <c r="J183" s="2"/>
      <c r="K183" s="2"/>
      <c r="L183" s="1"/>
      <c r="M183" s="1">
        <v>146</v>
      </c>
      <c r="N183" s="1" t="str">
        <f>IF($T183=0,"",INDEX(GELIR_GIDER!$C$7:$C$3006,$T183))</f>
        <v/>
      </c>
      <c r="O183" s="1" t="str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1" t="str">
        <f t="shared" si="56"/>
        <v/>
      </c>
      <c r="Q183" s="1">
        <v>0</v>
      </c>
      <c r="R183" s="1">
        <f>IF($N183="",0,INDEX(GELIR_GIDER!$G$7:$G$3006,$T183))</f>
        <v>0</v>
      </c>
      <c r="S183" s="1">
        <f t="shared" si="53"/>
        <v>10000000000</v>
      </c>
      <c r="T183" s="1">
        <f>IFERROR(MATCH($U$6&amp;"|110",GELIR_GIDER!$AE$7:$AE$3006,0),0)</f>
        <v>0</v>
      </c>
      <c r="U183" s="1"/>
      <c r="V183" s="1">
        <f t="shared" si="54"/>
        <v>10000000000</v>
      </c>
      <c r="W183" s="1">
        <f t="shared" si="55"/>
        <v>2</v>
      </c>
    </row>
    <row r="184" spans="1:23" ht="19.5" customHeight="1" x14ac:dyDescent="0.3">
      <c r="A184" s="2"/>
      <c r="B184" s="65" t="str">
        <f t="shared" si="46"/>
        <v/>
      </c>
      <c r="C184" s="70" t="str">
        <f t="shared" si="47"/>
        <v/>
      </c>
      <c r="D184" s="171" t="str">
        <f t="shared" si="48"/>
        <v/>
      </c>
      <c r="E184" s="171"/>
      <c r="F184" s="65" t="str">
        <f t="shared" si="49"/>
        <v/>
      </c>
      <c r="G184" s="68" t="str">
        <f t="shared" si="50"/>
        <v/>
      </c>
      <c r="H184" s="68" t="str">
        <f t="shared" si="51"/>
        <v/>
      </c>
      <c r="I184" s="68" t="str">
        <f t="shared" si="52"/>
        <v/>
      </c>
      <c r="J184" s="2"/>
      <c r="K184" s="2"/>
      <c r="L184" s="1"/>
      <c r="M184" s="1">
        <v>147</v>
      </c>
      <c r="N184" s="1" t="str">
        <f>IF($T184=0,"",INDEX(GELIR_GIDER!$C$7:$C$3006,$T184))</f>
        <v/>
      </c>
      <c r="O184" s="1" t="str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1" t="str">
        <f t="shared" si="56"/>
        <v/>
      </c>
      <c r="Q184" s="1">
        <v>0</v>
      </c>
      <c r="R184" s="1">
        <f>IF($N184="",0,INDEX(GELIR_GIDER!$G$7:$G$3006,$T184))</f>
        <v>0</v>
      </c>
      <c r="S184" s="1">
        <f t="shared" si="53"/>
        <v>10000000000</v>
      </c>
      <c r="T184" s="1">
        <f>IFERROR(MATCH($U$6&amp;"|111",GELIR_GIDER!$AE$7:$AE$3006,0),0)</f>
        <v>0</v>
      </c>
      <c r="U184" s="1"/>
      <c r="V184" s="1">
        <f t="shared" si="54"/>
        <v>10000000000</v>
      </c>
      <c r="W184" s="1">
        <f t="shared" si="55"/>
        <v>2</v>
      </c>
    </row>
    <row r="185" spans="1:23" ht="19.5" customHeight="1" x14ac:dyDescent="0.3">
      <c r="A185" s="2"/>
      <c r="B185" s="65" t="str">
        <f t="shared" si="46"/>
        <v/>
      </c>
      <c r="C185" s="70" t="str">
        <f t="shared" si="47"/>
        <v/>
      </c>
      <c r="D185" s="171" t="str">
        <f t="shared" si="48"/>
        <v/>
      </c>
      <c r="E185" s="171"/>
      <c r="F185" s="65" t="str">
        <f t="shared" si="49"/>
        <v/>
      </c>
      <c r="G185" s="68" t="str">
        <f t="shared" si="50"/>
        <v/>
      </c>
      <c r="H185" s="68" t="str">
        <f t="shared" si="51"/>
        <v/>
      </c>
      <c r="I185" s="68" t="str">
        <f t="shared" si="52"/>
        <v/>
      </c>
      <c r="J185" s="2"/>
      <c r="K185" s="2"/>
      <c r="L185" s="1"/>
      <c r="M185" s="1">
        <v>148</v>
      </c>
      <c r="N185" s="1" t="str">
        <f>IF($T185=0,"",INDEX(GELIR_GIDER!$C$7:$C$3006,$T185))</f>
        <v/>
      </c>
      <c r="O185" s="1" t="str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1" t="str">
        <f t="shared" si="56"/>
        <v/>
      </c>
      <c r="Q185" s="1">
        <v>0</v>
      </c>
      <c r="R185" s="1">
        <f>IF($N185="",0,INDEX(GELIR_GIDER!$G$7:$G$3006,$T185))</f>
        <v>0</v>
      </c>
      <c r="S185" s="1">
        <f t="shared" si="53"/>
        <v>10000000000</v>
      </c>
      <c r="T185" s="1">
        <f>IFERROR(MATCH($U$6&amp;"|112",GELIR_GIDER!$AE$7:$AE$3006,0),0)</f>
        <v>0</v>
      </c>
      <c r="U185" s="1"/>
      <c r="V185" s="1">
        <f t="shared" si="54"/>
        <v>10000000000</v>
      </c>
      <c r="W185" s="1">
        <f t="shared" si="55"/>
        <v>2</v>
      </c>
    </row>
    <row r="186" spans="1:23" ht="19.5" customHeight="1" x14ac:dyDescent="0.3">
      <c r="A186" s="2"/>
      <c r="B186" s="65" t="str">
        <f t="shared" si="46"/>
        <v/>
      </c>
      <c r="C186" s="70" t="str">
        <f t="shared" si="47"/>
        <v/>
      </c>
      <c r="D186" s="171" t="str">
        <f t="shared" si="48"/>
        <v/>
      </c>
      <c r="E186" s="171"/>
      <c r="F186" s="65" t="str">
        <f t="shared" si="49"/>
        <v/>
      </c>
      <c r="G186" s="68" t="str">
        <f t="shared" si="50"/>
        <v/>
      </c>
      <c r="H186" s="68" t="str">
        <f t="shared" si="51"/>
        <v/>
      </c>
      <c r="I186" s="68" t="str">
        <f t="shared" si="52"/>
        <v/>
      </c>
      <c r="J186" s="2"/>
      <c r="K186" s="2"/>
      <c r="L186" s="1"/>
      <c r="M186" s="1">
        <v>149</v>
      </c>
      <c r="N186" s="1" t="str">
        <f>IF($T186=0,"",INDEX(GELIR_GIDER!$C$7:$C$3006,$T186))</f>
        <v/>
      </c>
      <c r="O186" s="1" t="str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1" t="str">
        <f t="shared" si="56"/>
        <v/>
      </c>
      <c r="Q186" s="1">
        <v>0</v>
      </c>
      <c r="R186" s="1">
        <f>IF($N186="",0,INDEX(GELIR_GIDER!$G$7:$G$3006,$T186))</f>
        <v>0</v>
      </c>
      <c r="S186" s="1">
        <f t="shared" si="53"/>
        <v>10000000000</v>
      </c>
      <c r="T186" s="1">
        <f>IFERROR(MATCH($U$6&amp;"|113",GELIR_GIDER!$AE$7:$AE$3006,0),0)</f>
        <v>0</v>
      </c>
      <c r="U186" s="1"/>
      <c r="V186" s="1">
        <f t="shared" si="54"/>
        <v>10000000000</v>
      </c>
      <c r="W186" s="1">
        <f t="shared" si="55"/>
        <v>2</v>
      </c>
    </row>
    <row r="187" spans="1:23" ht="19.5" customHeight="1" x14ac:dyDescent="0.3">
      <c r="A187" s="2"/>
      <c r="B187" s="65" t="str">
        <f t="shared" si="46"/>
        <v/>
      </c>
      <c r="C187" s="70" t="str">
        <f t="shared" si="47"/>
        <v/>
      </c>
      <c r="D187" s="171" t="str">
        <f t="shared" si="48"/>
        <v/>
      </c>
      <c r="E187" s="171"/>
      <c r="F187" s="65" t="str">
        <f t="shared" si="49"/>
        <v/>
      </c>
      <c r="G187" s="68" t="str">
        <f t="shared" si="50"/>
        <v/>
      </c>
      <c r="H187" s="68" t="str">
        <f t="shared" si="51"/>
        <v/>
      </c>
      <c r="I187" s="68" t="str">
        <f t="shared" si="52"/>
        <v/>
      </c>
      <c r="J187" s="2"/>
      <c r="K187" s="2"/>
      <c r="L187" s="1"/>
      <c r="M187" s="1">
        <v>150</v>
      </c>
      <c r="N187" s="1" t="str">
        <f>IF($T187=0,"",INDEX(GELIR_GIDER!$C$7:$C$3006,$T187))</f>
        <v/>
      </c>
      <c r="O187" s="1" t="str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1" t="str">
        <f t="shared" si="56"/>
        <v/>
      </c>
      <c r="Q187" s="1">
        <v>0</v>
      </c>
      <c r="R187" s="1">
        <f>IF($N187="",0,INDEX(GELIR_GIDER!$G$7:$G$3006,$T187))</f>
        <v>0</v>
      </c>
      <c r="S187" s="1">
        <f t="shared" si="53"/>
        <v>10000000000</v>
      </c>
      <c r="T187" s="1">
        <f>IFERROR(MATCH($U$6&amp;"|114",GELIR_GIDER!$AE$7:$AE$3006,0),0)</f>
        <v>0</v>
      </c>
      <c r="U187" s="1"/>
      <c r="V187" s="1">
        <f t="shared" si="54"/>
        <v>10000000000</v>
      </c>
      <c r="W187" s="1">
        <f t="shared" si="55"/>
        <v>2</v>
      </c>
    </row>
    <row r="188" spans="1:23" ht="19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>
        <v>151</v>
      </c>
      <c r="N188" s="1" t="str">
        <f>IF($T188=0,"",INDEX(GELIR_GIDER!$C$7:$C$3006,$T188))</f>
        <v/>
      </c>
      <c r="O188" s="1" t="str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1" t="str">
        <f t="shared" si="56"/>
        <v/>
      </c>
      <c r="Q188" s="1">
        <v>0</v>
      </c>
      <c r="R188" s="1">
        <f>IF($N188="",0,INDEX(GELIR_GIDER!$G$7:$G$3006,$T188))</f>
        <v>0</v>
      </c>
      <c r="S188" s="1">
        <f t="shared" si="53"/>
        <v>10000000000</v>
      </c>
      <c r="T188" s="1">
        <f>IFERROR(MATCH($U$6&amp;"|115",GELIR_GIDER!$AE$7:$AE$3006,0),0)</f>
        <v>0</v>
      </c>
      <c r="U188" s="1"/>
      <c r="V188" s="1"/>
      <c r="W188" s="1"/>
    </row>
    <row r="189" spans="1:23" ht="19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>
        <v>152</v>
      </c>
      <c r="N189" s="1" t="str">
        <f>IF($T189=0,"",INDEX(GELIR_GIDER!$C$7:$C$3006,$T189))</f>
        <v/>
      </c>
      <c r="O189" s="1" t="str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1" t="str">
        <f t="shared" si="56"/>
        <v/>
      </c>
      <c r="Q189" s="1">
        <v>0</v>
      </c>
      <c r="R189" s="1">
        <f>IF($N189="",0,INDEX(GELIR_GIDER!$G$7:$G$3006,$T189))</f>
        <v>0</v>
      </c>
      <c r="S189" s="1">
        <f t="shared" si="53"/>
        <v>10000000000</v>
      </c>
      <c r="T189" s="1">
        <f>IFERROR(MATCH($U$6&amp;"|116",GELIR_GIDER!$AE$7:$AE$3006,0),0)</f>
        <v>0</v>
      </c>
      <c r="U189" s="1"/>
      <c r="V189" s="1"/>
      <c r="W189" s="1"/>
    </row>
    <row r="190" spans="1:23" ht="19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>
        <v>153</v>
      </c>
      <c r="N190" s="1" t="str">
        <f>IF($T190=0,"",INDEX(GELIR_GIDER!$C$7:$C$3006,$T190))</f>
        <v/>
      </c>
      <c r="O190" s="1" t="str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1" t="str">
        <f t="shared" si="56"/>
        <v/>
      </c>
      <c r="Q190" s="1">
        <v>0</v>
      </c>
      <c r="R190" s="1">
        <f>IF($N190="",0,INDEX(GELIR_GIDER!$G$7:$G$3006,$T190))</f>
        <v>0</v>
      </c>
      <c r="S190" s="1">
        <f t="shared" si="53"/>
        <v>10000000000</v>
      </c>
      <c r="T190" s="1">
        <f>IFERROR(MATCH($U$6&amp;"|117",GELIR_GIDER!$AE$7:$AE$3006,0),0)</f>
        <v>0</v>
      </c>
      <c r="U190" s="1"/>
      <c r="V190" s="1"/>
      <c r="W190" s="1"/>
    </row>
    <row r="191" spans="1:23" ht="19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>
        <v>154</v>
      </c>
      <c r="N191" s="1" t="str">
        <f>IF($T191=0,"",INDEX(GELIR_GIDER!$C$7:$C$3006,$T191))</f>
        <v/>
      </c>
      <c r="O191" s="1" t="str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1" t="str">
        <f t="shared" si="56"/>
        <v/>
      </c>
      <c r="Q191" s="1">
        <v>0</v>
      </c>
      <c r="R191" s="1">
        <f>IF($N191="",0,INDEX(GELIR_GIDER!$G$7:$G$3006,$T191))</f>
        <v>0</v>
      </c>
      <c r="S191" s="1">
        <f t="shared" si="53"/>
        <v>10000000000</v>
      </c>
      <c r="T191" s="1">
        <f>IFERROR(MATCH($U$6&amp;"|118",GELIR_GIDER!$AE$7:$AE$3006,0),0)</f>
        <v>0</v>
      </c>
      <c r="U191" s="1"/>
      <c r="V191" s="1"/>
      <c r="W191" s="1"/>
    </row>
    <row r="192" spans="1:23" ht="19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>
        <v>155</v>
      </c>
      <c r="N192" s="1" t="str">
        <f>IF($T192=0,"",INDEX(GELIR_GIDER!$C$7:$C$3006,$T192))</f>
        <v/>
      </c>
      <c r="O192" s="1" t="str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1" t="str">
        <f t="shared" si="56"/>
        <v/>
      </c>
      <c r="Q192" s="1">
        <v>0</v>
      </c>
      <c r="R192" s="1">
        <f>IF($N192="",0,INDEX(GELIR_GIDER!$G$7:$G$3006,$T192))</f>
        <v>0</v>
      </c>
      <c r="S192" s="1">
        <f t="shared" si="53"/>
        <v>10000000000</v>
      </c>
      <c r="T192" s="1">
        <f>IFERROR(MATCH($U$6&amp;"|119",GELIR_GIDER!$AE$7:$AE$3006,0),0)</f>
        <v>0</v>
      </c>
      <c r="U192" s="1"/>
      <c r="V192" s="1"/>
      <c r="W192" s="1"/>
    </row>
    <row r="193" spans="1:23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>
        <v>156</v>
      </c>
      <c r="N193" s="1" t="str">
        <f>IF($T193=0,"",INDEX(GELIR_GIDER!$C$7:$C$3006,$T193))</f>
        <v/>
      </c>
      <c r="O193" s="1" t="str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1" t="str">
        <f t="shared" si="56"/>
        <v/>
      </c>
      <c r="Q193" s="1">
        <v>0</v>
      </c>
      <c r="R193" s="1">
        <f>IF($N193="",0,INDEX(GELIR_GIDER!$G$7:$G$3006,$T193))</f>
        <v>0</v>
      </c>
      <c r="S193" s="1">
        <f t="shared" si="53"/>
        <v>10000000000</v>
      </c>
      <c r="T193" s="1">
        <f>IFERROR(MATCH($U$6&amp;"|120",GELIR_GIDER!$AE$7:$AE$3006,0),0)</f>
        <v>0</v>
      </c>
      <c r="U193" s="1"/>
      <c r="V193" s="1"/>
      <c r="W193" s="1"/>
    </row>
  </sheetData>
  <sheetProtection password="CC3D" sheet="1" formatCells="0" formatColumns="0" formatRows="0" sort="0" autoFilter="0"/>
  <mergeCells count="161">
    <mergeCell ref="A1:E1"/>
    <mergeCell ref="F1:I1"/>
    <mergeCell ref="A2:I2"/>
    <mergeCell ref="B5:I5"/>
    <mergeCell ref="B11:I11"/>
    <mergeCell ref="B12:I12"/>
    <mergeCell ref="B34:I34"/>
    <mergeCell ref="B35:I35"/>
    <mergeCell ref="C36:E36"/>
    <mergeCell ref="F36:I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81:E181"/>
    <mergeCell ref="D182:E182"/>
    <mergeCell ref="D183:E183"/>
    <mergeCell ref="D184:E184"/>
    <mergeCell ref="D185:E185"/>
    <mergeCell ref="D186:E186"/>
    <mergeCell ref="D187:E187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1B1B"/>
    <pageSetUpPr fitToPage="1"/>
  </sheetPr>
  <dimension ref="A1:O72"/>
  <sheetViews>
    <sheetView showGridLines="0" zoomScaleNormal="100" workbookViewId="0">
      <pane ySplit="6" topLeftCell="A15" activePane="bottomLeft" state="frozen"/>
      <selection pane="bottomLeft" activeCell="H17" sqref="H17"/>
    </sheetView>
  </sheetViews>
  <sheetFormatPr defaultColWidth="8.5703125" defaultRowHeight="14.25" x14ac:dyDescent="0.25"/>
  <cols>
    <col min="1" max="1" width="2.42578125" customWidth="1"/>
    <col min="2" max="2" width="30" customWidth="1"/>
    <col min="3" max="3" width="24.140625" customWidth="1"/>
    <col min="4" max="5" width="15" customWidth="1"/>
    <col min="6" max="6" width="13" customWidth="1"/>
    <col min="7" max="7" width="40" customWidth="1"/>
    <col min="8" max="8" width="16" customWidth="1"/>
    <col min="9" max="9" width="46" customWidth="1"/>
    <col min="11" max="11" width="34" customWidth="1"/>
    <col min="12" max="12" width="12" customWidth="1"/>
    <col min="13" max="13" width="4" customWidth="1"/>
    <col min="14" max="15" width="2.42578125" customWidth="1"/>
  </cols>
  <sheetData>
    <row r="1" spans="1:15" ht="37.5" customHeight="1" x14ac:dyDescent="0.3">
      <c r="A1" s="169" t="s">
        <v>951</v>
      </c>
      <c r="B1" s="169"/>
      <c r="C1" s="169"/>
      <c r="D1" s="169"/>
      <c r="E1" s="169"/>
      <c r="F1" s="151" t="s">
        <v>994</v>
      </c>
      <c r="G1" s="151"/>
      <c r="H1" s="151"/>
      <c r="I1" s="151"/>
      <c r="J1" s="151"/>
      <c r="K1" s="151"/>
      <c r="L1" s="151"/>
      <c r="M1" s="1"/>
      <c r="N1" s="13"/>
      <c r="O1" s="13"/>
    </row>
    <row r="2" spans="1:15" ht="21.75" customHeight="1" x14ac:dyDescent="0.3">
      <c r="A2" s="170" t="s">
        <v>995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"/>
      <c r="N2" s="14"/>
      <c r="O2" s="14"/>
    </row>
    <row r="3" spans="1:15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</row>
    <row r="4" spans="1:15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  <c r="L4" s="2"/>
      <c r="M4" s="1"/>
      <c r="N4" s="2"/>
      <c r="O4" s="2"/>
    </row>
    <row r="5" spans="1:15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ht="24" customHeight="1" x14ac:dyDescent="0.3">
      <c r="A6" s="2"/>
      <c r="B6" s="153" t="s">
        <v>996</v>
      </c>
      <c r="C6" s="153"/>
      <c r="D6" s="153"/>
      <c r="E6" s="153"/>
      <c r="F6" s="153"/>
      <c r="G6" s="1"/>
      <c r="H6" s="1"/>
      <c r="I6" s="1"/>
      <c r="J6" s="1"/>
      <c r="K6" s="1"/>
      <c r="L6" s="1"/>
      <c r="M6" s="1"/>
      <c r="N6" s="2"/>
      <c r="O6" s="2"/>
    </row>
    <row r="7" spans="1:15" ht="24" customHeight="1" x14ac:dyDescent="0.3">
      <c r="A7" s="2"/>
      <c r="B7" s="74" t="s">
        <v>997</v>
      </c>
      <c r="C7" s="60" t="s">
        <v>998</v>
      </c>
      <c r="D7" s="74" t="s">
        <v>999</v>
      </c>
      <c r="E7" s="74" t="s">
        <v>1000</v>
      </c>
      <c r="F7" s="1"/>
      <c r="G7" s="1"/>
      <c r="H7" s="1"/>
      <c r="I7" s="1"/>
      <c r="J7" s="1"/>
      <c r="K7" s="153" t="s">
        <v>1001</v>
      </c>
      <c r="L7" s="153"/>
      <c r="M7" s="153"/>
      <c r="N7" s="2"/>
      <c r="O7" s="2"/>
    </row>
    <row r="8" spans="1:15" ht="24" customHeight="1" x14ac:dyDescent="0.3">
      <c r="A8" s="2"/>
      <c r="B8" s="74" t="s">
        <v>1002</v>
      </c>
      <c r="C8" s="60" t="s">
        <v>1003</v>
      </c>
      <c r="D8" s="74" t="s">
        <v>1004</v>
      </c>
      <c r="E8" s="74" t="s">
        <v>1005</v>
      </c>
      <c r="F8" s="97">
        <f>IFERROR(MATCH($C$8,{"Pazartesi";"Salı";"Çarşamba";"Perşembe";"Cuma";"Cumartesi";"Pazar"},0),6)</f>
        <v>6</v>
      </c>
      <c r="G8" s="1"/>
      <c r="H8" s="1"/>
      <c r="I8" s="1"/>
      <c r="J8" s="1"/>
      <c r="K8" s="61" t="s">
        <v>788</v>
      </c>
      <c r="L8" s="60" t="s">
        <v>567</v>
      </c>
      <c r="M8" s="75"/>
      <c r="N8" s="2"/>
      <c r="O8" s="2"/>
    </row>
    <row r="9" spans="1:15" ht="24" customHeight="1" x14ac:dyDescent="0.3">
      <c r="A9" s="2"/>
      <c r="B9" s="74" t="s">
        <v>1006</v>
      </c>
      <c r="C9" s="60" t="s">
        <v>946</v>
      </c>
      <c r="D9" s="74" t="s">
        <v>1007</v>
      </c>
      <c r="E9" s="74" t="s">
        <v>1000</v>
      </c>
      <c r="F9" s="1"/>
      <c r="G9" s="1"/>
      <c r="H9" s="1"/>
      <c r="I9" s="1"/>
      <c r="J9" s="1"/>
      <c r="K9" s="61" t="s">
        <v>781</v>
      </c>
      <c r="L9" s="60" t="s">
        <v>567</v>
      </c>
      <c r="M9" s="1"/>
      <c r="N9" s="2"/>
      <c r="O9" s="2"/>
    </row>
    <row r="10" spans="1:15" ht="24" customHeight="1" x14ac:dyDescent="0.3">
      <c r="A10" s="2"/>
      <c r="B10" s="74" t="s">
        <v>1008</v>
      </c>
      <c r="C10" s="60" t="s">
        <v>715</v>
      </c>
      <c r="D10" s="74" t="s">
        <v>1009</v>
      </c>
      <c r="E10" s="74" t="s">
        <v>1000</v>
      </c>
      <c r="F10" s="1"/>
      <c r="G10" s="1"/>
      <c r="H10" s="1"/>
      <c r="I10" s="1"/>
      <c r="J10" s="1"/>
      <c r="K10" s="61" t="s">
        <v>770</v>
      </c>
      <c r="L10" s="60" t="s">
        <v>567</v>
      </c>
      <c r="M10" s="1"/>
      <c r="N10" s="2"/>
      <c r="O10" s="2"/>
    </row>
    <row r="11" spans="1:15" ht="24" customHeight="1" x14ac:dyDescent="0.3">
      <c r="A11" s="2"/>
      <c r="B11" s="74" t="s">
        <v>965</v>
      </c>
      <c r="C11" s="95">
        <v>0.5</v>
      </c>
      <c r="D11" s="74" t="s">
        <v>1010</v>
      </c>
      <c r="E11" s="74" t="s">
        <v>1011</v>
      </c>
      <c r="F11" s="1"/>
      <c r="G11" s="1"/>
      <c r="H11" s="1"/>
      <c r="I11" s="1"/>
      <c r="J11" s="1"/>
      <c r="K11" s="61" t="s">
        <v>767</v>
      </c>
      <c r="L11" s="60" t="s">
        <v>567</v>
      </c>
      <c r="M11" s="1"/>
      <c r="N11" s="2"/>
      <c r="O11" s="2"/>
    </row>
    <row r="12" spans="1:15" ht="24" customHeight="1" x14ac:dyDescent="0.3">
      <c r="A12" s="2"/>
      <c r="B12" s="74" t="s">
        <v>966</v>
      </c>
      <c r="C12" s="95">
        <v>0.5</v>
      </c>
      <c r="D12" s="74" t="s">
        <v>1010</v>
      </c>
      <c r="E12" s="74" t="s">
        <v>1011</v>
      </c>
      <c r="F12" s="1"/>
      <c r="G12" s="1"/>
      <c r="H12" s="1"/>
      <c r="I12" s="1"/>
      <c r="J12" s="1"/>
      <c r="K12" s="61" t="s">
        <v>765</v>
      </c>
      <c r="L12" s="60" t="s">
        <v>567</v>
      </c>
      <c r="M12" s="1"/>
      <c r="N12" s="2"/>
      <c r="O12" s="2"/>
    </row>
    <row r="13" spans="1:15" ht="24" customHeight="1" x14ac:dyDescent="0.3">
      <c r="A13" s="2"/>
      <c r="B13" s="74" t="s">
        <v>963</v>
      </c>
      <c r="C13" s="63">
        <v>0</v>
      </c>
      <c r="D13" s="74" t="s">
        <v>1012</v>
      </c>
      <c r="E13" s="74" t="s">
        <v>1013</v>
      </c>
      <c r="F13" s="1"/>
      <c r="G13" s="1"/>
      <c r="H13" s="1"/>
      <c r="I13" s="1"/>
      <c r="J13" s="1"/>
      <c r="K13" s="61" t="s">
        <v>784</v>
      </c>
      <c r="L13" s="60" t="s">
        <v>567</v>
      </c>
      <c r="M13" s="1"/>
      <c r="N13" s="2"/>
      <c r="O13" s="2"/>
    </row>
    <row r="14" spans="1:15" ht="24" customHeight="1" x14ac:dyDescent="0.3">
      <c r="A14" s="2"/>
      <c r="B14" s="74" t="s">
        <v>1014</v>
      </c>
      <c r="C14" s="60" t="s">
        <v>568</v>
      </c>
      <c r="D14" s="74" t="s">
        <v>1015</v>
      </c>
      <c r="E14" s="74" t="s">
        <v>1016</v>
      </c>
      <c r="F14" s="1"/>
      <c r="G14" s="1"/>
      <c r="H14" s="1"/>
      <c r="I14" s="1"/>
      <c r="J14" s="1"/>
      <c r="K14" s="61" t="s">
        <v>826</v>
      </c>
      <c r="L14" s="60" t="s">
        <v>567</v>
      </c>
      <c r="M14" s="1"/>
      <c r="N14" s="2"/>
      <c r="O14" s="2"/>
    </row>
    <row r="15" spans="1:15" ht="24" customHeight="1" x14ac:dyDescent="0.3">
      <c r="A15" s="2"/>
      <c r="B15" s="74" t="s">
        <v>1017</v>
      </c>
      <c r="C15" s="60" t="s">
        <v>1018</v>
      </c>
      <c r="D15" s="74" t="s">
        <v>1019</v>
      </c>
      <c r="E15" s="74" t="s">
        <v>1020</v>
      </c>
      <c r="F15" s="1"/>
      <c r="G15" s="1"/>
      <c r="H15" s="1"/>
      <c r="I15" s="1"/>
      <c r="J15" s="1"/>
      <c r="K15" s="61" t="s">
        <v>774</v>
      </c>
      <c r="L15" s="60" t="s">
        <v>567</v>
      </c>
      <c r="M15" s="1"/>
      <c r="N15" s="2"/>
      <c r="O15" s="2"/>
    </row>
    <row r="16" spans="1:15" ht="24" customHeight="1" x14ac:dyDescent="0.3">
      <c r="A16" s="2"/>
      <c r="B16" s="74" t="s">
        <v>1021</v>
      </c>
      <c r="C16" s="60" t="s">
        <v>1013</v>
      </c>
      <c r="D16" s="74" t="s">
        <v>1022</v>
      </c>
      <c r="E16" s="74" t="s">
        <v>1016</v>
      </c>
      <c r="F16" s="1"/>
      <c r="G16" s="1"/>
      <c r="H16" s="1"/>
      <c r="I16" s="1"/>
      <c r="J16" s="1"/>
      <c r="K16" s="61" t="s">
        <v>776</v>
      </c>
      <c r="L16" s="60" t="s">
        <v>567</v>
      </c>
      <c r="M16" s="1"/>
      <c r="N16" s="2"/>
      <c r="O16" s="2"/>
    </row>
    <row r="17" spans="1:15" ht="24" customHeight="1" x14ac:dyDescent="0.3">
      <c r="A17" s="2"/>
      <c r="B17" s="74" t="s">
        <v>1023</v>
      </c>
      <c r="C17" s="98">
        <f ca="1">TODAY()</f>
        <v>46258</v>
      </c>
      <c r="D17" s="74" t="s">
        <v>1024</v>
      </c>
      <c r="E17" s="74" t="s">
        <v>1020</v>
      </c>
      <c r="F17" s="1"/>
      <c r="G17" s="1"/>
      <c r="H17" s="1"/>
      <c r="I17" s="1"/>
      <c r="J17" s="1"/>
      <c r="K17" s="61" t="s">
        <v>816</v>
      </c>
      <c r="L17" s="60" t="s">
        <v>567</v>
      </c>
      <c r="M17" s="1"/>
      <c r="N17" s="2"/>
      <c r="O17" s="2"/>
    </row>
    <row r="18" spans="1:15" ht="18" customHeight="1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61" t="s">
        <v>760</v>
      </c>
      <c r="L18" s="60" t="s">
        <v>567</v>
      </c>
      <c r="M18" s="1"/>
      <c r="N18" s="2"/>
      <c r="O18" s="2"/>
    </row>
    <row r="19" spans="1:15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61" t="s">
        <v>779</v>
      </c>
      <c r="L19" s="60" t="s">
        <v>567</v>
      </c>
      <c r="M19" s="1"/>
      <c r="N19" s="2"/>
      <c r="O19" s="2"/>
    </row>
    <row r="20" spans="1:15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61" t="s">
        <v>982</v>
      </c>
      <c r="L20" s="60" t="s">
        <v>567</v>
      </c>
      <c r="M20" s="1"/>
      <c r="N20" s="2"/>
      <c r="O20" s="2"/>
    </row>
    <row r="21" spans="1:15" ht="24" customHeight="1" x14ac:dyDescent="0.3">
      <c r="A21" s="2"/>
      <c r="B21" s="153" t="s">
        <v>1025</v>
      </c>
      <c r="C21" s="153"/>
      <c r="D21" s="153"/>
      <c r="E21" s="153"/>
      <c r="F21" s="153"/>
      <c r="G21" s="153"/>
      <c r="H21" s="153"/>
      <c r="I21" s="153"/>
      <c r="J21" s="153"/>
      <c r="K21" s="61" t="s">
        <v>983</v>
      </c>
      <c r="L21" s="60" t="s">
        <v>567</v>
      </c>
      <c r="M21" s="1"/>
      <c r="N21" s="2"/>
      <c r="O21" s="2"/>
    </row>
    <row r="22" spans="1:15" ht="27.75" customHeight="1" x14ac:dyDescent="0.3">
      <c r="A22" s="2"/>
      <c r="B22" s="75" t="s">
        <v>162</v>
      </c>
      <c r="C22" s="75" t="s">
        <v>1026</v>
      </c>
      <c r="D22" s="75" t="s">
        <v>1027</v>
      </c>
      <c r="E22" s="75" t="s">
        <v>1028</v>
      </c>
      <c r="F22" s="75" t="s">
        <v>1029</v>
      </c>
      <c r="G22" s="75" t="s">
        <v>54</v>
      </c>
      <c r="H22" s="75" t="s">
        <v>1030</v>
      </c>
      <c r="I22" s="75" t="s">
        <v>1031</v>
      </c>
      <c r="J22" s="1"/>
      <c r="K22" s="61"/>
      <c r="L22" s="60"/>
      <c r="M22" s="1"/>
      <c r="N22" s="2"/>
      <c r="O22" s="2"/>
    </row>
    <row r="23" spans="1:15" ht="22.5" customHeight="1" x14ac:dyDescent="0.3">
      <c r="A23" s="2"/>
      <c r="B23" s="74" t="s">
        <v>1032</v>
      </c>
      <c r="C23" s="65" t="s">
        <v>1033</v>
      </c>
      <c r="D23" s="65" t="s">
        <v>1034</v>
      </c>
      <c r="E23" s="86">
        <f>SISTEM!$C$11+SISTEM!$C$12</f>
        <v>1</v>
      </c>
      <c r="F23" s="65" t="str">
        <f>IF(ABS($E23-1)&lt;0.000001,"GEÇTİ","KALDI")</f>
        <v>GEÇTİ</v>
      </c>
      <c r="G23" s="74" t="s">
        <v>1035</v>
      </c>
      <c r="H23" s="99" t="str">
        <f>HYPERLINK("#SISTEM!A1","SISTEM")</f>
        <v>SISTEM</v>
      </c>
      <c r="I23" s="74"/>
      <c r="J23" s="1"/>
      <c r="K23" s="61"/>
      <c r="L23" s="60"/>
      <c r="M23" s="1"/>
      <c r="N23" s="2"/>
      <c r="O23" s="2"/>
    </row>
    <row r="24" spans="1:15" ht="22.5" customHeight="1" x14ac:dyDescent="0.3">
      <c r="A24" s="2"/>
      <c r="B24" s="74" t="s">
        <v>1036</v>
      </c>
      <c r="C24" s="65" t="s">
        <v>1033</v>
      </c>
      <c r="D24" s="65" t="s">
        <v>1037</v>
      </c>
      <c r="E24" s="76">
        <f>COUNTIFS(UCRETLER!$H$7:$H$606,"Aktif",UCRETLER!$N$7:$N$606,"&lt;&gt;UYGUN")</f>
        <v>1</v>
      </c>
      <c r="F24" s="65" t="str">
        <f t="shared" ref="F24:F38" si="0">IF($E24=0,"GEÇTİ","KALDI")</f>
        <v>KALDI</v>
      </c>
      <c r="G24" s="74" t="s">
        <v>1038</v>
      </c>
      <c r="H24" s="99" t="str">
        <f>HYPERLINK("#UCRETLER!A1","UCRETLER")</f>
        <v>UCRETLER</v>
      </c>
      <c r="I24" s="74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satır 40  –  MS TOPTAN LTD.ŞTİ.  –  EKSİK</v>
      </c>
      <c r="J24" s="1"/>
      <c r="K24" s="61"/>
      <c r="L24" s="60"/>
      <c r="M24" s="1"/>
      <c r="N24" s="2"/>
      <c r="O24" s="2"/>
    </row>
    <row r="25" spans="1:15" ht="22.5" customHeight="1" x14ac:dyDescent="0.3">
      <c r="A25" s="2"/>
      <c r="B25" s="74" t="s">
        <v>1039</v>
      </c>
      <c r="C25" s="65" t="s">
        <v>1033</v>
      </c>
      <c r="D25" s="65" t="s">
        <v>1037</v>
      </c>
      <c r="E25" s="76">
        <f>COUNTIFS(MUSTERILER!$D$7:$D$156,"Aktif",MUSTERILER!$O$7:$O$156,"HAYIR")</f>
        <v>2</v>
      </c>
      <c r="F25" s="65" t="str">
        <f t="shared" si="0"/>
        <v>KALDI</v>
      </c>
      <c r="G25" s="74" t="s">
        <v>1040</v>
      </c>
      <c r="H25" s="99" t="str">
        <f>HYPERLINK("#MUSTERILER!A1","MUSTERILER")</f>
        <v>MUSTERILER</v>
      </c>
      <c r="I25" s="74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satır 51  –  SEMRA GÜMÜŞ</v>
      </c>
      <c r="J25" s="1"/>
      <c r="K25" s="61"/>
      <c r="L25" s="60"/>
      <c r="M25" s="1"/>
      <c r="N25" s="2"/>
      <c r="O25" s="2"/>
    </row>
    <row r="26" spans="1:15" ht="22.5" customHeight="1" x14ac:dyDescent="0.3">
      <c r="A26" s="2"/>
      <c r="B26" s="74" t="s">
        <v>1041</v>
      </c>
      <c r="C26" s="65" t="s">
        <v>1033</v>
      </c>
      <c r="D26" s="65" t="s">
        <v>1037</v>
      </c>
      <c r="E26" s="76">
        <f>SUMPRODUCT((MUSTERILER!$B$7:$B$156&lt;&gt;"")*(COUNTIF(MUSTERILER!$B$7:$B$156,MUSTERILER!$B$7:$B$156&amp;"")&gt;1))</f>
        <v>0</v>
      </c>
      <c r="F26" s="65" t="str">
        <f t="shared" si="0"/>
        <v>GEÇTİ</v>
      </c>
      <c r="G26" s="74" t="s">
        <v>1042</v>
      </c>
      <c r="H26" s="99" t="str">
        <f>HYPERLINK("#MUSTERILER!A1","MUSTERILER")</f>
        <v>MUSTERILER</v>
      </c>
      <c r="I26" s="74"/>
      <c r="J26" s="1"/>
      <c r="K26" s="61"/>
      <c r="L26" s="60"/>
      <c r="M26" s="1"/>
      <c r="N26" s="2"/>
      <c r="O26" s="2"/>
    </row>
    <row r="27" spans="1:15" ht="22.5" customHeight="1" x14ac:dyDescent="0.3">
      <c r="A27" s="2"/>
      <c r="B27" s="74" t="s">
        <v>1043</v>
      </c>
      <c r="C27" s="65" t="s">
        <v>1044</v>
      </c>
      <c r="D27" s="65" t="s">
        <v>1037</v>
      </c>
      <c r="E27" s="76">
        <f>SUMPRODUCT((MUSTERILER!$C$7:$C$156&lt;&gt;"")*(COUNTIF(MUSTERILER!$C$7:$C$156,MUSTERILER!$C$7:$C$156&amp;"")&gt;1))</f>
        <v>0</v>
      </c>
      <c r="F27" s="65" t="str">
        <f t="shared" si="0"/>
        <v>GEÇTİ</v>
      </c>
      <c r="G27" s="74" t="s">
        <v>1045</v>
      </c>
      <c r="H27" s="99" t="str">
        <f>HYPERLINK("#MUSTERILER!A1","MUSTERILER")</f>
        <v>MUSTERILER</v>
      </c>
      <c r="I27" s="74"/>
      <c r="J27" s="1"/>
      <c r="K27" s="61"/>
      <c r="L27" s="60"/>
      <c r="M27" s="1"/>
      <c r="N27" s="2"/>
      <c r="O27" s="2"/>
    </row>
    <row r="28" spans="1:15" ht="22.5" customHeight="1" x14ac:dyDescent="0.3">
      <c r="A28" s="2"/>
      <c r="B28" s="74" t="s">
        <v>1046</v>
      </c>
      <c r="C28" s="65" t="s">
        <v>1044</v>
      </c>
      <c r="D28" s="65" t="s">
        <v>1037</v>
      </c>
      <c r="E28" s="76">
        <f>COUNTIFS(MUSTERILER!$J$7:$J$156,"&gt;0",MUSTERILER!$K$7:$K$156,"")</f>
        <v>0</v>
      </c>
      <c r="F28" s="65" t="str">
        <f t="shared" si="0"/>
        <v>GEÇTİ</v>
      </c>
      <c r="G28" s="74" t="s">
        <v>1047</v>
      </c>
      <c r="H28" s="99" t="str">
        <f>HYPERLINK("#MUSTERILER!A1","MUSTERILER")</f>
        <v>MUSTERILER</v>
      </c>
      <c r="I28" s="74"/>
      <c r="J28" s="1"/>
      <c r="K28" s="61"/>
      <c r="L28" s="60"/>
      <c r="M28" s="1"/>
      <c r="N28" s="2"/>
      <c r="O28" s="2"/>
    </row>
    <row r="29" spans="1:15" ht="22.5" customHeight="1" x14ac:dyDescent="0.3">
      <c r="A29" s="2"/>
      <c r="B29" s="74" t="s">
        <v>1048</v>
      </c>
      <c r="C29" s="65" t="s">
        <v>1049</v>
      </c>
      <c r="D29" s="65" t="s">
        <v>1037</v>
      </c>
      <c r="E29" s="76">
        <f>SUMPRODUCT((MUSTERILER!$P$7:$P$156&lt;&gt;"")*(MUSTERILER!$P$7:$P$156&lt;&gt;"UYGUN"))</f>
        <v>0</v>
      </c>
      <c r="F29" s="65" t="str">
        <f t="shared" si="0"/>
        <v>GEÇTİ</v>
      </c>
      <c r="G29" s="74" t="s">
        <v>1050</v>
      </c>
      <c r="H29" s="99" t="str">
        <f>HYPERLINK("#MUSTERILER!A1","MUSTERILER")</f>
        <v>MUSTERILER</v>
      </c>
      <c r="I29" s="74"/>
      <c r="J29" s="1"/>
      <c r="K29" s="61"/>
      <c r="L29" s="60"/>
      <c r="M29" s="1"/>
      <c r="N29" s="2"/>
      <c r="O29" s="2"/>
    </row>
    <row r="30" spans="1:15" ht="22.5" customHeight="1" x14ac:dyDescent="0.3">
      <c r="A30" s="2"/>
      <c r="B30" s="74" t="s">
        <v>32</v>
      </c>
      <c r="C30" s="65" t="s">
        <v>1044</v>
      </c>
      <c r="D30" s="65" t="s">
        <v>1037</v>
      </c>
      <c r="E30" s="76">
        <f ca="1">COUNTIF(TAHSILAT!$M$7:$M$2506,"EKSİK")</f>
        <v>0</v>
      </c>
      <c r="F30" s="65" t="str">
        <f t="shared" ca="1" si="0"/>
        <v>GEÇTİ</v>
      </c>
      <c r="G30" s="74" t="s">
        <v>1051</v>
      </c>
      <c r="H30" s="99" t="str">
        <f>HYPERLINK("#TAHSILAT!A1","TAHSILAT")</f>
        <v>TAHSILAT</v>
      </c>
      <c r="I30" s="74" t="str">
        <f ca="1">IFERROR("satır "&amp;(MATCH("EKSİK",TAHSILAT!$M$7:$M$2506,0)+7-1)&amp;"  –  "&amp;INDEX(TAHSILAT!$D$7:$D$2506,MATCH("EKSİK",TAHSILAT!$M$7:$M$2506,0)),"—")</f>
        <v>—</v>
      </c>
      <c r="J30" s="1"/>
      <c r="K30" s="61"/>
      <c r="L30" s="60"/>
      <c r="M30" s="1"/>
      <c r="N30" s="2"/>
      <c r="O30" s="2"/>
    </row>
    <row r="31" spans="1:15" ht="22.5" customHeight="1" x14ac:dyDescent="0.3">
      <c r="A31" s="2"/>
      <c r="B31" s="74" t="s">
        <v>1052</v>
      </c>
      <c r="C31" s="65" t="s">
        <v>1033</v>
      </c>
      <c r="D31" s="65" t="s">
        <v>1037</v>
      </c>
      <c r="E31" s="76">
        <f ca="1">COUNTIF(TAHSILAT!$M$7:$M$2506,"HATA")</f>
        <v>0</v>
      </c>
      <c r="F31" s="65" t="str">
        <f t="shared" ca="1" si="0"/>
        <v>GEÇTİ</v>
      </c>
      <c r="G31" s="74" t="s">
        <v>1053</v>
      </c>
      <c r="H31" s="99" t="str">
        <f>HYPERLINK("#TAHSILAT!A1","TAHSILAT")</f>
        <v>TAHSILAT</v>
      </c>
      <c r="I31" s="74" t="str">
        <f ca="1">IFERROR("satır "&amp;(MATCH("HATA",TAHSILAT!$M$7:$M$2506,0)+7-1)&amp;"  –  "&amp;INDEX(TAHSILAT!$D$7:$D$2506,MATCH("HATA",TAHSILAT!$M$7:$M$2506,0)),"—")</f>
        <v>—</v>
      </c>
      <c r="J31" s="1"/>
      <c r="K31" s="61"/>
      <c r="L31" s="60"/>
      <c r="M31" s="1"/>
      <c r="N31" s="2"/>
      <c r="O31" s="2"/>
    </row>
    <row r="32" spans="1:15" ht="22.5" customHeight="1" x14ac:dyDescent="0.3">
      <c r="A32" s="2"/>
      <c r="B32" s="74" t="s">
        <v>1054</v>
      </c>
      <c r="C32" s="65" t="s">
        <v>1044</v>
      </c>
      <c r="D32" s="65" t="s">
        <v>1037</v>
      </c>
      <c r="E32" s="76">
        <f ca="1">COUNTIF(TAHSILAT!$M$7:$M$2506,"İLERİ TARİH")</f>
        <v>0</v>
      </c>
      <c r="F32" s="65" t="str">
        <f t="shared" ca="1" si="0"/>
        <v>GEÇTİ</v>
      </c>
      <c r="G32" s="74" t="s">
        <v>1055</v>
      </c>
      <c r="H32" s="99" t="str">
        <f>HYPERLINK("#TAHSILAT!A1","TAHSILAT")</f>
        <v>TAHSILAT</v>
      </c>
      <c r="I32" s="74"/>
      <c r="J32" s="1"/>
      <c r="K32" s="61"/>
      <c r="L32" s="60"/>
      <c r="M32" s="1"/>
      <c r="N32" s="2"/>
      <c r="O32" s="2"/>
    </row>
    <row r="33" spans="1:15" ht="22.5" customHeight="1" x14ac:dyDescent="0.3">
      <c r="A33" s="2"/>
      <c r="B33" s="74" t="s">
        <v>1056</v>
      </c>
      <c r="C33" s="65" t="s">
        <v>1033</v>
      </c>
      <c r="D33" s="65" t="s">
        <v>1037</v>
      </c>
      <c r="E33" s="76">
        <f>COUNTIFS(TAHSILAT!$D$7:$D$2506,"&lt;&gt;",TAHSILAT!$F$7:$F$2506,"&lt;=0")</f>
        <v>0</v>
      </c>
      <c r="F33" s="65" t="str">
        <f t="shared" si="0"/>
        <v>GEÇTİ</v>
      </c>
      <c r="G33" s="74" t="s">
        <v>1057</v>
      </c>
      <c r="H33" s="99" t="str">
        <f>HYPERLINK("#TAHSILAT!A1","TAHSILAT")</f>
        <v>TAHSILAT</v>
      </c>
      <c r="I33" s="74"/>
      <c r="J33" s="1"/>
      <c r="K33" s="1"/>
      <c r="L33" s="1"/>
      <c r="M33" s="1"/>
      <c r="N33" s="2"/>
      <c r="O33" s="2"/>
    </row>
    <row r="34" spans="1:15" ht="22.5" customHeight="1" x14ac:dyDescent="0.3">
      <c r="A34" s="2"/>
      <c r="B34" s="74" t="s">
        <v>1058</v>
      </c>
      <c r="C34" s="65" t="s">
        <v>1033</v>
      </c>
      <c r="D34" s="65" t="s">
        <v>1037</v>
      </c>
      <c r="E34" s="76">
        <f>SUMPRODUCT((TAHSILAT!$G$7:$G$2506&lt;&gt;"")*(COUNTIF(HESAPLAR!$B$7:$B$16,TAHSILAT!$G$7:$G$2506&amp;"")=0))</f>
        <v>0</v>
      </c>
      <c r="F34" s="65" t="str">
        <f t="shared" si="0"/>
        <v>GEÇTİ</v>
      </c>
      <c r="G34" s="74" t="s">
        <v>1059</v>
      </c>
      <c r="H34" s="99" t="str">
        <f>HYPERLINK("#HESAPLAR!A1","HESAPLAR")</f>
        <v>HESAPLAR</v>
      </c>
      <c r="I34" s="74"/>
      <c r="J34" s="1"/>
      <c r="K34" s="1"/>
      <c r="L34" s="1"/>
      <c r="M34" s="1"/>
      <c r="N34" s="2"/>
      <c r="O34" s="2"/>
    </row>
    <row r="35" spans="1:15" ht="24" customHeight="1" x14ac:dyDescent="0.3">
      <c r="A35" s="2"/>
      <c r="B35" s="74" t="s">
        <v>34</v>
      </c>
      <c r="C35" s="65" t="s">
        <v>1044</v>
      </c>
      <c r="D35" s="65" t="s">
        <v>1037</v>
      </c>
      <c r="E35" s="76">
        <f ca="1">COUNTIF(GELIR_GIDER!$P$7:$P$3006,"EKSİK")</f>
        <v>0</v>
      </c>
      <c r="F35" s="65" t="str">
        <f t="shared" ca="1" si="0"/>
        <v>GEÇTİ</v>
      </c>
      <c r="G35" s="74" t="s">
        <v>1060</v>
      </c>
      <c r="H35" s="99" t="str">
        <f>HYPERLINK("#GELIR_GIDER!A1","GELIR_GIDER")</f>
        <v>GELIR_GIDER</v>
      </c>
      <c r="I35" s="74" t="str">
        <f ca="1">IFERROR("satır "&amp;(MATCH("EKSİK",GELIR_GIDER!$P$7:$P$3006,0)+7-1)&amp;"  –  "&amp;INDEX(GELIR_GIDER!$E$7:$E$3006,MATCH("EKSİK",GELIR_GIDER!$P$7:$P$3006,0)),"—")</f>
        <v>—</v>
      </c>
      <c r="J35" s="1"/>
      <c r="K35" s="153" t="s">
        <v>1061</v>
      </c>
      <c r="L35" s="153"/>
      <c r="M35" s="153"/>
      <c r="N35" s="2"/>
      <c r="O35" s="2"/>
    </row>
    <row r="36" spans="1:15" ht="22.5" customHeight="1" x14ac:dyDescent="0.3">
      <c r="A36" s="2"/>
      <c r="B36" s="74" t="s">
        <v>1062</v>
      </c>
      <c r="C36" s="65" t="s">
        <v>1044</v>
      </c>
      <c r="D36" s="65" t="s">
        <v>1037</v>
      </c>
      <c r="E36" s="76">
        <f>COUNTIFS(GELIR_GIDER!$D$7:$D$3006,"&lt;&gt;",GELIR_GIDER!$G$7:$G$3006,"&lt;=0")</f>
        <v>0</v>
      </c>
      <c r="F36" s="65" t="str">
        <f t="shared" si="0"/>
        <v>GEÇTİ</v>
      </c>
      <c r="G36" s="74" t="s">
        <v>1063</v>
      </c>
      <c r="H36" s="99" t="str">
        <f>HYPERLINK("#GELIR_GIDER!A1","GELIR_GIDER")</f>
        <v>GELIR_GIDER</v>
      </c>
      <c r="I36" s="74"/>
      <c r="J36" s="1"/>
      <c r="K36" s="61" t="s">
        <v>1064</v>
      </c>
      <c r="L36" s="60" t="s">
        <v>567</v>
      </c>
      <c r="M36" s="75"/>
      <c r="N36" s="2"/>
      <c r="O36" s="2"/>
    </row>
    <row r="37" spans="1:15" ht="22.5" customHeight="1" x14ac:dyDescent="0.3">
      <c r="A37" s="2"/>
      <c r="B37" s="74" t="s">
        <v>1065</v>
      </c>
      <c r="C37" s="65" t="s">
        <v>1033</v>
      </c>
      <c r="D37" s="65" t="s">
        <v>1037</v>
      </c>
      <c r="E37" s="76">
        <f>COUNTIF(VIRMAN!$J$7:$J$406,"HATA")</f>
        <v>0</v>
      </c>
      <c r="F37" s="65" t="str">
        <f t="shared" si="0"/>
        <v>GEÇTİ</v>
      </c>
      <c r="G37" s="74" t="s">
        <v>1066</v>
      </c>
      <c r="H37" s="99" t="str">
        <f>HYPERLINK("#VIRMAN!A1","VIRMAN")</f>
        <v>VIRMAN</v>
      </c>
      <c r="I37" s="74" t="str">
        <f>IFERROR("satır "&amp;(MATCH("HATA",VIRMAN!$J$7:$J$406,0)+7-1),"—")</f>
        <v>—</v>
      </c>
      <c r="J37" s="1"/>
      <c r="K37" s="61" t="s">
        <v>1067</v>
      </c>
      <c r="L37" s="60" t="s">
        <v>567</v>
      </c>
      <c r="M37" s="1"/>
      <c r="N37" s="2"/>
      <c r="O37" s="2"/>
    </row>
    <row r="38" spans="1:15" ht="22.5" customHeight="1" x14ac:dyDescent="0.3">
      <c r="A38" s="2"/>
      <c r="B38" s="74" t="s">
        <v>1068</v>
      </c>
      <c r="C38" s="65" t="s">
        <v>1033</v>
      </c>
      <c r="D38" s="65" t="s">
        <v>1037</v>
      </c>
      <c r="E38" s="76">
        <f ca="1">COUNTIF(MUSTERI_360!$W$7:$W$156,"İNCELE")</f>
        <v>0</v>
      </c>
      <c r="F38" s="65" t="str">
        <f t="shared" ca="1" si="0"/>
        <v>GEÇTİ</v>
      </c>
      <c r="G38" s="74" t="s">
        <v>1069</v>
      </c>
      <c r="H38" s="99" t="str">
        <f>HYPERLINK("#MUSTERI_360!A1","MUSTERI_360")</f>
        <v>MUSTERI_360</v>
      </c>
      <c r="I38" s="74" t="str">
        <f ca="1">IFERROR("satır "&amp;(MATCH("İNCELE",MUSTERI_360!$W$7:$W$156,0)+7-1)&amp;"  –  "&amp;INDEX(MUSTERI_360!$C$7:$C$156,MATCH("İNCELE",MUSTERI_360!$W$7:$W$156,0)),"—")</f>
        <v>—</v>
      </c>
      <c r="J38" s="1"/>
      <c r="K38" s="61" t="s">
        <v>1070</v>
      </c>
      <c r="L38" s="60" t="s">
        <v>567</v>
      </c>
      <c r="M38" s="1"/>
      <c r="N38" s="2"/>
      <c r="O38" s="2"/>
    </row>
    <row r="39" spans="1:15" ht="22.5" customHeight="1" x14ac:dyDescent="0.3">
      <c r="A39" s="2"/>
      <c r="B39" s="74" t="s">
        <v>1071</v>
      </c>
      <c r="C39" s="65" t="s">
        <v>1033</v>
      </c>
      <c r="D39" s="65" t="s">
        <v>1072</v>
      </c>
      <c r="E39" s="100">
        <f>ABS(SUM(TAHSILAT!$F$7:$F$2506)-SUM(MUSTERI_360!$I$7:$I$156))</f>
        <v>0</v>
      </c>
      <c r="F39" s="65" t="str">
        <f>IF($E39&lt;0.01,"GEÇTİ","KALDI")</f>
        <v>GEÇTİ</v>
      </c>
      <c r="G39" s="74" t="s">
        <v>1073</v>
      </c>
      <c r="H39" s="99" t="str">
        <f>HYPERLINK("#TAHSILAT!A1","TAHSILAT")</f>
        <v>TAHSILAT</v>
      </c>
      <c r="I39" s="74"/>
      <c r="J39" s="1"/>
      <c r="K39" s="61" t="s">
        <v>1074</v>
      </c>
      <c r="L39" s="60" t="s">
        <v>567</v>
      </c>
      <c r="M39" s="1"/>
      <c r="N39" s="2"/>
      <c r="O39" s="2"/>
    </row>
    <row r="40" spans="1:15" ht="22.5" customHeight="1" x14ac:dyDescent="0.3">
      <c r="A40" s="2"/>
      <c r="B40" s="74" t="s">
        <v>1075</v>
      </c>
      <c r="C40" s="65" t="s">
        <v>1033</v>
      </c>
      <c r="D40" s="65" t="s">
        <v>1072</v>
      </c>
      <c r="E40" s="100">
        <f ca="1">ABS(SUM(MUSTERI_360!$J$7:$J$156)-SUM(MUSTERI_360!$K$7:$K$156)-SUM(MUSTERI_360!$L$7:$L$156)-SUM(MUSTERI_360!$M$7:$M$156)-SUM(MUSTERI_360!$N$7:$N$156))</f>
        <v>0</v>
      </c>
      <c r="F40" s="65" t="str">
        <f ca="1">IF($E40&lt;0.01,"GEÇTİ","KALDI")</f>
        <v>GEÇTİ</v>
      </c>
      <c r="G40" s="74" t="s">
        <v>1076</v>
      </c>
      <c r="H40" s="99" t="str">
        <f>HYPERLINK("#MUSTERI_360!A1","MUSTERI_360")</f>
        <v>MUSTERI_360</v>
      </c>
      <c r="I40" s="74"/>
      <c r="J40" s="1"/>
      <c r="K40" s="61" t="s">
        <v>1077</v>
      </c>
      <c r="L40" s="60" t="s">
        <v>567</v>
      </c>
      <c r="M40" s="1"/>
      <c r="N40" s="2"/>
      <c r="O40" s="2"/>
    </row>
    <row r="41" spans="1:15" ht="22.5" customHeight="1" x14ac:dyDescent="0.3">
      <c r="A41" s="2"/>
      <c r="B41" s="74" t="s">
        <v>1078</v>
      </c>
      <c r="C41" s="65" t="s">
        <v>1033</v>
      </c>
      <c r="D41" s="65" t="s">
        <v>1072</v>
      </c>
      <c r="E41" s="100">
        <f>ABS(SUM(HESAPLAR!$K$7:$K$16)-HESAPLAR!$K$18)</f>
        <v>0</v>
      </c>
      <c r="F41" s="65" t="str">
        <f>IF($E41&lt;0.01,"GEÇTİ","KALDI")</f>
        <v>GEÇTİ</v>
      </c>
      <c r="G41" s="74" t="s">
        <v>1079</v>
      </c>
      <c r="H41" s="99" t="str">
        <f>HYPERLINK("#HESAPLAR!A1","HESAPLAR")</f>
        <v>HESAPLAR</v>
      </c>
      <c r="I41" s="74"/>
      <c r="J41" s="1"/>
      <c r="K41" s="61" t="s">
        <v>1080</v>
      </c>
      <c r="L41" s="60" t="s">
        <v>567</v>
      </c>
      <c r="M41" s="1"/>
      <c r="N41" s="2"/>
      <c r="O41" s="2"/>
    </row>
    <row r="42" spans="1:15" ht="22.5" customHeight="1" x14ac:dyDescent="0.3">
      <c r="A42" s="2"/>
      <c r="B42" s="74" t="s">
        <v>1081</v>
      </c>
      <c r="C42" s="65" t="s">
        <v>1082</v>
      </c>
      <c r="D42" s="65" t="s">
        <v>1083</v>
      </c>
      <c r="E42" s="76">
        <f>COUNTIF(HESAPLAR!$K$7:$K$16,"&lt;0")</f>
        <v>0</v>
      </c>
      <c r="F42" s="65" t="str">
        <f>"BİLGİ"</f>
        <v>BİLGİ</v>
      </c>
      <c r="G42" s="74" t="s">
        <v>1084</v>
      </c>
      <c r="H42" s="99" t="str">
        <f>HYPERLINK("#HESAPLAR!A1","HESAPLAR")</f>
        <v>HESAPLAR</v>
      </c>
      <c r="I42" s="74"/>
      <c r="J42" s="1"/>
      <c r="K42" s="61" t="s">
        <v>1085</v>
      </c>
      <c r="L42" s="60" t="s">
        <v>567</v>
      </c>
      <c r="M42" s="1"/>
      <c r="N42" s="2"/>
      <c r="O42" s="2"/>
    </row>
    <row r="43" spans="1:15" ht="22.5" customHeight="1" x14ac:dyDescent="0.3">
      <c r="A43" s="2"/>
      <c r="B43" s="74" t="s">
        <v>1086</v>
      </c>
      <c r="C43" s="65" t="s">
        <v>1033</v>
      </c>
      <c r="D43" s="65" t="s">
        <v>1037</v>
      </c>
      <c r="E43" s="76">
        <f>COUNTIF(AY_SONU!$T$7:$T$42,"PAY HATASI")</f>
        <v>0</v>
      </c>
      <c r="F43" s="65" t="str">
        <f>IF($E43=0,"GEÇTİ","KALDI")</f>
        <v>GEÇTİ</v>
      </c>
      <c r="G43" s="74" t="s">
        <v>1087</v>
      </c>
      <c r="H43" s="99" t="str">
        <f>HYPERLINK("#AY_SONU!A1","AY_SONU")</f>
        <v>AY_SONU</v>
      </c>
      <c r="I43" s="74"/>
      <c r="J43" s="1"/>
      <c r="K43" s="61" t="s">
        <v>1088</v>
      </c>
      <c r="L43" s="60" t="s">
        <v>567</v>
      </c>
      <c r="M43" s="1"/>
      <c r="N43" s="2"/>
      <c r="O43" s="2"/>
    </row>
    <row r="44" spans="1:15" ht="22.5" customHeight="1" x14ac:dyDescent="0.3">
      <c r="A44" s="2"/>
      <c r="B44" s="74" t="s">
        <v>1089</v>
      </c>
      <c r="C44" s="65" t="s">
        <v>1033</v>
      </c>
      <c r="D44" s="65" t="s">
        <v>1037</v>
      </c>
      <c r="E44" s="76">
        <f ca="1">COUNTIF(AKTIVITE!$Q$7:$Q$1006,"HATA")</f>
        <v>0</v>
      </c>
      <c r="F44" s="65" t="str">
        <f ca="1">IF($E44=0,"GEÇTİ","KALDI")</f>
        <v>GEÇTİ</v>
      </c>
      <c r="G44" s="74" t="s">
        <v>1090</v>
      </c>
      <c r="H44" s="99" t="str">
        <f>HYPERLINK("#AKTIVITE!A1","AKTIVITE")</f>
        <v>AKTIVITE</v>
      </c>
      <c r="I44" s="74"/>
      <c r="J44" s="1"/>
      <c r="K44" s="61" t="s">
        <v>1091</v>
      </c>
      <c r="L44" s="60" t="s">
        <v>567</v>
      </c>
      <c r="M44" s="1"/>
      <c r="N44" s="2"/>
      <c r="O44" s="2"/>
    </row>
    <row r="45" spans="1:15" ht="22.5" customHeight="1" x14ac:dyDescent="0.3">
      <c r="A45" s="2"/>
      <c r="B45" s="74" t="s">
        <v>1092</v>
      </c>
      <c r="C45" s="65" t="s">
        <v>1044</v>
      </c>
      <c r="D45" s="65" t="s">
        <v>1037</v>
      </c>
      <c r="E45" s="76">
        <f ca="1">COUNTIF(AKTIVITE!$Q$7:$Q$1006,"TARİH EKSİK")</f>
        <v>0</v>
      </c>
      <c r="F45" s="65" t="str">
        <f ca="1">IF($E45=0,"GEÇTİ","KALDI")</f>
        <v>GEÇTİ</v>
      </c>
      <c r="G45" s="74" t="s">
        <v>1093</v>
      </c>
      <c r="H45" s="99" t="str">
        <f>HYPERLINK("#AKTIVITE!A1","AKTIVITE")</f>
        <v>AKTIVITE</v>
      </c>
      <c r="I45" s="74"/>
      <c r="J45" s="1"/>
      <c r="K45" s="61" t="s">
        <v>1094</v>
      </c>
      <c r="L45" s="60" t="s">
        <v>567</v>
      </c>
      <c r="M45" s="1"/>
      <c r="N45" s="2"/>
      <c r="O45" s="2"/>
    </row>
    <row r="46" spans="1:15" ht="22.5" customHeight="1" x14ac:dyDescent="0.3">
      <c r="A46" s="2"/>
      <c r="B46" s="74" t="s">
        <v>1095</v>
      </c>
      <c r="C46" s="65" t="s">
        <v>1044</v>
      </c>
      <c r="D46" s="65" t="s">
        <v>1037</v>
      </c>
      <c r="E46" s="76">
        <f ca="1">COUNTIF(AKTIVITE!$Q$7:$Q$1006,"SONRAKİ İŞLEM EKSİK")</f>
        <v>0</v>
      </c>
      <c r="F46" s="65" t="str">
        <f ca="1">IF($E46=0,"GEÇTİ","KALDI")</f>
        <v>GEÇTİ</v>
      </c>
      <c r="G46" s="74" t="s">
        <v>1096</v>
      </c>
      <c r="H46" s="99" t="str">
        <f>HYPERLINK("#AKTIVITE!A1","AKTIVITE")</f>
        <v>AKTIVITE</v>
      </c>
      <c r="I46" s="74"/>
      <c r="J46" s="1"/>
      <c r="K46" s="61" t="s">
        <v>1097</v>
      </c>
      <c r="L46" s="60" t="s">
        <v>567</v>
      </c>
      <c r="M46" s="1"/>
      <c r="N46" s="2"/>
      <c r="O46" s="2"/>
    </row>
    <row r="47" spans="1:15" ht="22.5" customHeight="1" x14ac:dyDescent="0.3">
      <c r="A47" s="2"/>
      <c r="B47" s="74" t="s">
        <v>18</v>
      </c>
      <c r="C47" s="65" t="s">
        <v>1082</v>
      </c>
      <c r="D47" s="65" t="s">
        <v>1083</v>
      </c>
      <c r="E47" s="76">
        <f ca="1">COUNTIF(AKTIVITE!$Q$7:$Q$1006,"GECİKMİŞ")</f>
        <v>0</v>
      </c>
      <c r="F47" s="65" t="str">
        <f>"BİLGİ"</f>
        <v>BİLGİ</v>
      </c>
      <c r="G47" s="74" t="s">
        <v>1098</v>
      </c>
      <c r="H47" s="99" t="str">
        <f>HYPERLINK("#AKTIVITE!A1","AKTIVITE")</f>
        <v>AKTIVITE</v>
      </c>
      <c r="I47" s="74"/>
      <c r="J47" s="1"/>
      <c r="K47" s="61" t="s">
        <v>1099</v>
      </c>
      <c r="L47" s="60" t="s">
        <v>567</v>
      </c>
      <c r="M47" s="1"/>
      <c r="N47" s="2"/>
      <c r="O47" s="2"/>
    </row>
    <row r="48" spans="1:15" ht="22.5" customHeight="1" x14ac:dyDescent="0.3">
      <c r="A48" s="2"/>
      <c r="B48" s="74" t="s">
        <v>1100</v>
      </c>
      <c r="C48" s="65" t="s">
        <v>1082</v>
      </c>
      <c r="D48" s="65" t="s">
        <v>1083</v>
      </c>
      <c r="E48" s="76">
        <f ca="1">COUNTIF(AKTIVITE!$Q$7:$Q$1006,"BUGÜN")</f>
        <v>0</v>
      </c>
      <c r="F48" s="65" t="str">
        <f>"BİLGİ"</f>
        <v>BİLGİ</v>
      </c>
      <c r="G48" s="74" t="s">
        <v>1101</v>
      </c>
      <c r="H48" s="99" t="str">
        <f>HYPERLINK("#AKTIVITE!A1","AKTIVITE")</f>
        <v>AKTIVITE</v>
      </c>
      <c r="I48" s="74"/>
      <c r="J48" s="1"/>
      <c r="K48" s="61" t="s">
        <v>1102</v>
      </c>
      <c r="L48" s="60" t="s">
        <v>567</v>
      </c>
      <c r="M48" s="1"/>
      <c r="N48" s="2"/>
      <c r="O48" s="2"/>
    </row>
    <row r="49" spans="1:15" ht="22.5" customHeight="1" x14ac:dyDescent="0.3">
      <c r="A49" s="2"/>
      <c r="B49" s="74" t="s">
        <v>1103</v>
      </c>
      <c r="C49" s="65" t="s">
        <v>1082</v>
      </c>
      <c r="D49" s="65" t="s">
        <v>1083</v>
      </c>
      <c r="E49" s="76">
        <f ca="1">COUNTIF(MUSTERI_360!$Q$7:$Q$156,"KRİTİK")</f>
        <v>32</v>
      </c>
      <c r="F49" s="65" t="str">
        <f>"BİLGİ"</f>
        <v>BİLGİ</v>
      </c>
      <c r="G49" s="74" t="s">
        <v>1104</v>
      </c>
      <c r="H49" s="99" t="str">
        <f>HYPERLINK("#MUSTERI_360!A1","MUSTERI_360")</f>
        <v>MUSTERI_360</v>
      </c>
      <c r="I49" s="74"/>
      <c r="J49" s="1"/>
      <c r="K49" s="61" t="s">
        <v>940</v>
      </c>
      <c r="L49" s="60" t="s">
        <v>567</v>
      </c>
      <c r="M49" s="1"/>
      <c r="N49" s="2"/>
      <c r="O49" s="2"/>
    </row>
    <row r="50" spans="1:15" ht="22.5" customHeight="1" x14ac:dyDescent="0.3">
      <c r="A50" s="2"/>
      <c r="B50" s="74" t="s">
        <v>1105</v>
      </c>
      <c r="C50" s="65" t="s">
        <v>1033</v>
      </c>
      <c r="D50" s="65" t="s">
        <v>1072</v>
      </c>
      <c r="E50" s="100">
        <f ca="1">IFERROR(ABS(CARI_EKSTRE!$F$9-(INDEX(MUSTERI_360!$J$7:$J$106,MATCH(CARI_EKSTRE!$AC$4,MUSTERI_360!$B$7:$B$106,0))-INDEX(MUSTERI_360!$V$7:$V$106,MATCH(CARI_EKSTRE!$AC$4,MUSTERI_360!$B$7:$B$106,0)))),0)</f>
        <v>0</v>
      </c>
      <c r="F50" s="65" t="str">
        <f ca="1">IF($E50&lt;0.01,"GEÇTİ","KALDI")</f>
        <v>GEÇTİ</v>
      </c>
      <c r="G50" s="74" t="s">
        <v>1106</v>
      </c>
      <c r="H50" s="99" t="str">
        <f>HYPERLINK("#CARI_EKSTRE!A1","CARI_EKSTRE")</f>
        <v>CARI_EKSTRE</v>
      </c>
      <c r="I50" s="74"/>
      <c r="J50" s="1"/>
      <c r="K50" s="61"/>
      <c r="L50" s="60"/>
      <c r="M50" s="1"/>
      <c r="N50" s="2"/>
      <c r="O50" s="2"/>
    </row>
    <row r="51" spans="1:15" ht="22.5" customHeight="1" x14ac:dyDescent="0.3">
      <c r="A51" s="2"/>
      <c r="B51" s="74" t="s">
        <v>1107</v>
      </c>
      <c r="C51" s="65" t="s">
        <v>1049</v>
      </c>
      <c r="D51" s="65" t="s">
        <v>1037</v>
      </c>
      <c r="E51" s="76">
        <f ca="1">COUNTIF(TAHSILAT!$M$7:$M$2506,"MÜKERRER?")</f>
        <v>6</v>
      </c>
      <c r="F51" s="65" t="str">
        <f ca="1">IF($E51=0,"GEÇTİ","KALDI")</f>
        <v>KALDI</v>
      </c>
      <c r="G51" s="74" t="s">
        <v>1108</v>
      </c>
      <c r="H51" s="99" t="str">
        <f>HYPERLINK("#TAHSILAT!A1","TAHSILAT")</f>
        <v>TAHSILAT</v>
      </c>
      <c r="I51" s="74" t="str">
        <f ca="1">IFERROR("satır "&amp;(MATCH("MÜKERRER?",TAHSILAT!$M$7:$M$2506,0)+7-1)&amp;"  –  "&amp;INDEX(TAHSILAT!$D$7:$D$2506,MATCH("MÜKERRER?",TAHSILAT!$M$7:$M$2506,0)),"—")</f>
        <v>satır 160  –  SEMRA GÜMÜŞ</v>
      </c>
      <c r="J51" s="1"/>
      <c r="K51" s="61"/>
      <c r="L51" s="60"/>
      <c r="M51" s="1"/>
      <c r="N51" s="2"/>
      <c r="O51" s="2"/>
    </row>
    <row r="52" spans="1:15" ht="22.5" customHeight="1" x14ac:dyDescent="0.3">
      <c r="A52" s="2"/>
      <c r="B52" s="74" t="s">
        <v>1109</v>
      </c>
      <c r="C52" s="65" t="s">
        <v>1049</v>
      </c>
      <c r="D52" s="65" t="s">
        <v>1037</v>
      </c>
      <c r="E52" s="76">
        <f ca="1">COUNTIF(GELIR_GIDER!$P$7:$P$3006,"MÜKERRER?")</f>
        <v>16</v>
      </c>
      <c r="F52" s="65" t="str">
        <f ca="1">IF($E52=0,"GEÇTİ","KALDI")</f>
        <v>KALDI</v>
      </c>
      <c r="G52" s="74" t="s">
        <v>1110</v>
      </c>
      <c r="H52" s="99" t="str">
        <f>HYPERLINK("#GELIR_GIDER!A1","GELIR_GIDER")</f>
        <v>GELIR_GIDER</v>
      </c>
      <c r="I52" s="74" t="str">
        <f ca="1">IFERROR("satır "&amp;(MATCH("MÜKERRER?",GELIR_GIDER!$P$7:$P$3006,0)+7-1)&amp;"  –  "&amp;INDEX(GELIR_GIDER!$E$7:$E$3006,MATCH("MÜKERRER?",GELIR_GIDER!$P$7:$P$3006,0)),"—")</f>
        <v>satır 27  –  Ofis Kirası</v>
      </c>
      <c r="J52" s="1"/>
      <c r="K52" s="61"/>
      <c r="L52" s="60"/>
      <c r="M52" s="1"/>
      <c r="N52" s="2"/>
      <c r="O52" s="2"/>
    </row>
    <row r="53" spans="1:15" ht="22.5" customHeight="1" x14ac:dyDescent="0.3">
      <c r="A53" s="1"/>
      <c r="B53" s="74" t="s">
        <v>1111</v>
      </c>
      <c r="C53" s="65" t="s">
        <v>1044</v>
      </c>
      <c r="D53" s="65" t="s">
        <v>1037</v>
      </c>
      <c r="E53" s="76">
        <f ca="1">COUNTIF(TAHSILAT!$M$7:$M$2506,"KAPALI DÖNEM")+COUNTIF(GELIR_GIDER!$P$7:$P$3006,"KAPALI DÖNEM")</f>
        <v>0</v>
      </c>
      <c r="F53" s="65" t="str">
        <f ca="1">IF($E53=0,"GEÇTİ","KALDI")</f>
        <v>GEÇTİ</v>
      </c>
      <c r="G53" s="74" t="s">
        <v>1112</v>
      </c>
      <c r="H53" s="99" t="str">
        <f>HYPERLINK("#AY_SONU!A1","AY_SONU")</f>
        <v>AY_SONU</v>
      </c>
      <c r="I53" s="74"/>
      <c r="J53" s="1"/>
      <c r="K53" s="61"/>
      <c r="L53" s="60"/>
      <c r="M53" s="1"/>
      <c r="N53" s="1"/>
      <c r="O53" s="1"/>
    </row>
    <row r="54" spans="1:15" ht="22.5" customHeight="1" x14ac:dyDescent="0.3">
      <c r="A54" s="1"/>
      <c r="B54" s="74" t="s">
        <v>1113</v>
      </c>
      <c r="C54" s="65" t="s">
        <v>1082</v>
      </c>
      <c r="D54" s="65" t="s">
        <v>1083</v>
      </c>
      <c r="E54" s="76">
        <f ca="1">SUM(MUSTERI_360!$V$7:$V$156)</f>
        <v>104000</v>
      </c>
      <c r="F54" s="65" t="str">
        <f>"BİLGİ"</f>
        <v>BİLGİ</v>
      </c>
      <c r="G54" s="74" t="s">
        <v>1114</v>
      </c>
      <c r="H54" s="99" t="str">
        <f>HYPERLINK("#MUSTERI_360!A1","MUSTERI_360")</f>
        <v>MUSTERI_360</v>
      </c>
      <c r="I54" s="74"/>
      <c r="J54" s="1"/>
      <c r="K54" s="61"/>
      <c r="L54" s="60"/>
      <c r="M54" s="1"/>
      <c r="N54" s="1"/>
      <c r="O54" s="1"/>
    </row>
    <row r="55" spans="1:15" ht="22.5" customHeight="1" x14ac:dyDescent="0.3">
      <c r="A55" s="1"/>
      <c r="B55" s="74" t="s">
        <v>1115</v>
      </c>
      <c r="C55" s="65" t="s">
        <v>1082</v>
      </c>
      <c r="D55" s="65" t="s">
        <v>1083</v>
      </c>
      <c r="E55" s="76">
        <f>SUMIFS(GELIR_GIDER!$G$7:$G$3006,GELIR_GIDER!$D$7:$D$3006,"Gider",GELIR_GIDER!$I$7:$I$3006,"Hayır")</f>
        <v>0</v>
      </c>
      <c r="F55" s="65" t="str">
        <f>"BİLGİ"</f>
        <v>BİLGİ</v>
      </c>
      <c r="G55" s="74" t="s">
        <v>1116</v>
      </c>
      <c r="H55" s="99" t="str">
        <f>HYPERLINK("#GELIR_GIDER!A1","GELIR_GIDER")</f>
        <v>GELIR_GIDER</v>
      </c>
      <c r="I55" s="74"/>
      <c r="J55" s="1"/>
      <c r="K55" s="61"/>
      <c r="L55" s="60"/>
      <c r="M55" s="1"/>
      <c r="N55" s="1"/>
      <c r="O55" s="1"/>
    </row>
    <row r="56" spans="1:15" ht="22.5" customHeight="1" x14ac:dyDescent="0.3">
      <c r="A56" s="1"/>
      <c r="B56" s="74" t="s">
        <v>1117</v>
      </c>
      <c r="C56" s="65" t="s">
        <v>1082</v>
      </c>
      <c r="D56" s="65" t="s">
        <v>1083</v>
      </c>
      <c r="E56" s="76">
        <f>SUMIFS(TAHSILAT!$F$7:$F$2506,TAHSILAT!$H$7:$H$2506,"Mahsup")</f>
        <v>0</v>
      </c>
      <c r="F56" s="65" t="str">
        <f>"BİLGİ"</f>
        <v>BİLGİ</v>
      </c>
      <c r="G56" s="74" t="s">
        <v>1118</v>
      </c>
      <c r="H56" s="99" t="str">
        <f>HYPERLINK("#TAHSILAT!A1","TAHSILAT")</f>
        <v>TAHSILAT</v>
      </c>
      <c r="I56" s="74"/>
      <c r="J56" s="1"/>
      <c r="K56" s="61"/>
      <c r="L56" s="60"/>
      <c r="M56" s="1"/>
      <c r="N56" s="1"/>
      <c r="O56" s="1"/>
    </row>
    <row r="57" spans="1:15" ht="22.5" customHeight="1" x14ac:dyDescent="0.3">
      <c r="A57" s="1"/>
      <c r="B57" s="74" t="s">
        <v>1119</v>
      </c>
      <c r="C57" s="65" t="s">
        <v>1082</v>
      </c>
      <c r="D57" s="65" t="s">
        <v>1083</v>
      </c>
      <c r="E57" s="76">
        <f>MAX(0,SUM(AY_SONU!$I$7:$I$42)-SISTEM!$C$13-SUM(AY_SONU!$P$7:$P$42)-SUM(AY_SONU!$Q$7:$Q$42))</f>
        <v>1020612.0199999999</v>
      </c>
      <c r="F57" s="65" t="str">
        <f>"BİLGİ"</f>
        <v>BİLGİ</v>
      </c>
      <c r="G57" s="74" t="s">
        <v>1120</v>
      </c>
      <c r="H57" s="99" t="str">
        <f>HYPERLINK("#AY_SONU!A1","AY_SONU")</f>
        <v>AY_SONU</v>
      </c>
      <c r="I57" s="74"/>
      <c r="J57" s="1"/>
      <c r="K57" s="61"/>
      <c r="L57" s="60"/>
      <c r="M57" s="1"/>
      <c r="N57" s="1"/>
      <c r="O57" s="1"/>
    </row>
    <row r="58" spans="1:15" ht="22.5" customHeight="1" x14ac:dyDescent="0.3">
      <c r="A58" s="1"/>
      <c r="B58" s="74" t="s">
        <v>1121</v>
      </c>
      <c r="C58" s="65" t="s">
        <v>1033</v>
      </c>
      <c r="D58" s="65" t="s">
        <v>1122</v>
      </c>
      <c r="E58" s="76">
        <f>SUMPRODUCT((AY_SONU!$Z$7:$Z$42+AY_SONU!$AA$7:$AA$42&lt;&gt;1)*1)</f>
        <v>0</v>
      </c>
      <c r="F58" s="65" t="str">
        <f>IF($E58=0,"GEÇTİ","KALDI")</f>
        <v>GEÇTİ</v>
      </c>
      <c r="G58" s="74" t="s">
        <v>1123</v>
      </c>
      <c r="H58" s="99" t="str">
        <f>HYPERLINK("#ORTAKLAR!A1","ORTAKLAR")</f>
        <v>ORTAKLAR</v>
      </c>
      <c r="I58" s="74" t="str">
        <f>IFERROR("ay: "&amp;TEXT(INDEX(AY_SONU!$B$7:$B$42,MATCH(1,INDEX((AY_SONU!$Z$7:$Z$42+AY_SONU!$AA$7:$AA$42&lt;&gt;1)*1,0),0)),"0"),"—")</f>
        <v>—</v>
      </c>
      <c r="J58" s="1"/>
      <c r="K58" s="61"/>
      <c r="L58" s="60"/>
      <c r="M58" s="1"/>
      <c r="N58" s="1"/>
      <c r="O58" s="1"/>
    </row>
    <row r="59" spans="1:15" ht="22.5" customHeight="1" x14ac:dyDescent="0.3">
      <c r="A59" s="1"/>
      <c r="B59" s="74" t="s">
        <v>1124</v>
      </c>
      <c r="C59" s="65" t="s">
        <v>1033</v>
      </c>
      <c r="D59" s="65" t="s">
        <v>1037</v>
      </c>
      <c r="E59" s="76">
        <f>COUNTIFS(ORTAKLAR!$B$7:$B$10,"&lt;&gt;",ORTAKLAR!$L$7:$L$10,"&lt;&gt;UYGUN")</f>
        <v>0</v>
      </c>
      <c r="F59" s="65" t="str">
        <f>IF($E59=0,"GEÇTİ","KALDI")</f>
        <v>GEÇTİ</v>
      </c>
      <c r="G59" s="74" t="s">
        <v>1125</v>
      </c>
      <c r="H59" s="99" t="str">
        <f>HYPERLINK("#ORTAKLAR!A1","ORTAKLAR")</f>
        <v>ORTAKLAR</v>
      </c>
      <c r="I59" s="74" t="str">
        <f>IFERROR("satır "&amp;(MATCH(1,INDEX((ORTAKLAR!$B$7:$B$10&lt;&gt;"")*(ORTAKLAR!$L$7:$L$10&lt;&gt;"UYGUN"),0),0)+6)&amp;"  –  "&amp;INDEX(ORTAKLAR!$B$7:$B$10,MATCH(1,INDEX((ORTAKLAR!$B$7:$B$10&lt;&gt;"")*(ORTAKLAR!$L$7:$L$10&lt;&gt;"UYGUN"),0),0)),"—")</f>
        <v>—</v>
      </c>
      <c r="J59" s="1"/>
      <c r="K59" s="61"/>
      <c r="L59" s="60"/>
      <c r="M59" s="1"/>
      <c r="N59" s="1"/>
      <c r="O59" s="1"/>
    </row>
    <row r="60" spans="1:15" ht="22.5" customHeight="1" x14ac:dyDescent="0.3">
      <c r="A60" s="1"/>
      <c r="B60" s="74" t="s">
        <v>1126</v>
      </c>
      <c r="C60" s="65" t="s">
        <v>1033</v>
      </c>
      <c r="D60" s="65" t="s">
        <v>1037</v>
      </c>
      <c r="E60" s="76">
        <f>COUNTIFS(ORTAKLAR!$B$14:$B$33,"&lt;&gt;",ORTAKLAR!$I$14:$I$33,"&lt;&gt;UYGUN")</f>
        <v>0</v>
      </c>
      <c r="F60" s="65" t="str">
        <f>IF($E60=0,"GEÇTİ","KALDI")</f>
        <v>GEÇTİ</v>
      </c>
      <c r="G60" s="74" t="s">
        <v>1127</v>
      </c>
      <c r="H60" s="99" t="str">
        <f>HYPERLINK("#ORTAKLAR!A1","ORTAKLAR")</f>
        <v>ORTAKLAR</v>
      </c>
      <c r="I60" s="74"/>
      <c r="J60" s="1"/>
      <c r="K60" s="61"/>
      <c r="L60" s="60"/>
      <c r="M60" s="1"/>
      <c r="N60" s="1"/>
      <c r="O60" s="1"/>
    </row>
    <row r="61" spans="1:15" ht="22.5" customHeight="1" x14ac:dyDescent="0.3">
      <c r="A61" s="1"/>
      <c r="B61" s="74" t="s">
        <v>1128</v>
      </c>
      <c r="C61" s="65" t="s">
        <v>1082</v>
      </c>
      <c r="D61" s="65" t="s">
        <v>1083</v>
      </c>
      <c r="E61" s="76">
        <f>SUM(ORTAKLAR!$I$7:$I$10)</f>
        <v>1020612.0199999999</v>
      </c>
      <c r="F61" s="65" t="str">
        <f>"BİLGİ"</f>
        <v>BİLGİ</v>
      </c>
      <c r="G61" s="74" t="s">
        <v>1129</v>
      </c>
      <c r="H61" s="99" t="str">
        <f>HYPERLINK("#ORTAKLAR!A1","ORTAKLAR")</f>
        <v>ORTAKLAR</v>
      </c>
      <c r="I61" s="74"/>
      <c r="J61" s="1"/>
      <c r="K61" s="1"/>
      <c r="L61" s="1"/>
      <c r="M61" s="1"/>
      <c r="N61" s="1"/>
      <c r="O61" s="1"/>
    </row>
    <row r="62" spans="1:15" ht="22.5" customHeight="1" x14ac:dyDescent="0.3">
      <c r="A62" s="1"/>
      <c r="B62" s="74" t="s">
        <v>1130</v>
      </c>
      <c r="C62" s="65" t="s">
        <v>1044</v>
      </c>
      <c r="D62" s="65" t="s">
        <v>1037</v>
      </c>
      <c r="E62" s="76">
        <f>COUNTIF(ORTAKLAR!$I$7:$I$10,"&lt;-0.01")</f>
        <v>2</v>
      </c>
      <c r="F62" s="65" t="str">
        <f>IF($E62=0,"GEÇTİ","KALDI")</f>
        <v>KALDI</v>
      </c>
      <c r="G62" s="74" t="s">
        <v>1131</v>
      </c>
      <c r="H62" s="99" t="str">
        <f>HYPERLINK("#ORTAKLAR!A1","ORTAKLAR")</f>
        <v>ORTAKLAR</v>
      </c>
      <c r="I62" s="74"/>
      <c r="J62" s="1"/>
      <c r="K62" s="1"/>
      <c r="L62" s="1"/>
      <c r="M62" s="1"/>
      <c r="N62" s="1"/>
      <c r="O62" s="1"/>
    </row>
    <row r="63" spans="1:15" ht="22.5" customHeight="1" x14ac:dyDescent="0.3">
      <c r="A63" s="1"/>
      <c r="B63" s="74" t="s">
        <v>1132</v>
      </c>
      <c r="C63" s="65" t="s">
        <v>1033</v>
      </c>
      <c r="D63" s="65" t="s">
        <v>1072</v>
      </c>
      <c r="E63" s="100">
        <f>ABS(SUM(AY_SONU!$C$7:$C$42)-AY_SONU!$X$42)</f>
        <v>0</v>
      </c>
      <c r="F63" s="65" t="str">
        <f>IF($E63&lt;0.01,"GEÇTİ","KALDI")</f>
        <v>GEÇTİ</v>
      </c>
      <c r="G63" s="74" t="s">
        <v>1133</v>
      </c>
      <c r="H63" s="99" t="str">
        <f>HYPERLINK("#AY_SONU!A1","AY_SONU")</f>
        <v>AY_SONU</v>
      </c>
      <c r="I63" s="74"/>
      <c r="J63" s="1"/>
      <c r="K63" s="1"/>
      <c r="L63" s="1"/>
      <c r="M63" s="1"/>
      <c r="N63" s="1"/>
      <c r="O63" s="1"/>
    </row>
    <row r="64" spans="1:15" ht="22.5" customHeight="1" x14ac:dyDescent="0.3">
      <c r="A64" s="1"/>
      <c r="B64" s="74" t="s">
        <v>1134</v>
      </c>
      <c r="C64" s="65" t="s">
        <v>1033</v>
      </c>
      <c r="D64" s="65" t="s">
        <v>1037</v>
      </c>
      <c r="E64" s="76">
        <f>SUMPRODUCT((AY_SONU!$C$8:$C$41=0)*(AY_SONU!$C$7:$C$40&gt;0)*(AY_SONU!$C$9:$C$42&gt;0))</f>
        <v>0</v>
      </c>
      <c r="F64" s="65" t="str">
        <f>IF($E64=0,"GEÇTİ","KALDI")</f>
        <v>GEÇTİ</v>
      </c>
      <c r="G64" s="74" t="s">
        <v>1135</v>
      </c>
      <c r="H64" s="99" t="str">
        <f>HYPERLINK("#AY_SONU!A1","AY_SONU")</f>
        <v>AY_SONU</v>
      </c>
      <c r="I64" s="74" t="str">
        <f>IFERROR("ay: "&amp;TEXT(INDEX(AY_SONU!$B$8:$B$41,MATCH(1,INDEX((AY_SONU!$C$8:$C$41=0)*(AY_SONU!$C$7:$C$40&gt;0)*(AY_SONU!$C$9:$C$42&gt;0),0),0)),"0"),"—")</f>
        <v>—</v>
      </c>
      <c r="J64" s="1"/>
      <c r="K64" s="1"/>
      <c r="L64" s="1"/>
      <c r="M64" s="1"/>
      <c r="N64" s="1"/>
      <c r="O64" s="1"/>
    </row>
    <row r="65" spans="1:15" ht="22.5" customHeight="1" x14ac:dyDescent="0.3">
      <c r="A65" s="1"/>
      <c r="B65" s="74" t="s">
        <v>1136</v>
      </c>
      <c r="C65" s="65" t="s">
        <v>1044</v>
      </c>
      <c r="D65" s="65" t="s">
        <v>1037</v>
      </c>
      <c r="E65" s="76">
        <f>SUMPRODUCT((AY_SONU!$X$7:$X$42&lt;N(AY_SONU!$X$7:$X$42))*1)</f>
        <v>0</v>
      </c>
      <c r="F65" s="65" t="str">
        <f>IF($E65=0,"GEÇTİ","KALDI")</f>
        <v>GEÇTİ</v>
      </c>
      <c r="G65" s="74" t="s">
        <v>1137</v>
      </c>
      <c r="H65" s="99" t="str">
        <f>HYPERLINK("#AY_SONU!A1","AY_SONU")</f>
        <v>AY_SONU</v>
      </c>
      <c r="I65" s="74"/>
      <c r="J65" s="1"/>
      <c r="K65" s="1"/>
      <c r="L65" s="1"/>
      <c r="M65" s="1"/>
      <c r="N65" s="1"/>
      <c r="O65" s="1"/>
    </row>
    <row r="66" spans="1:15" ht="22.5" customHeight="1" x14ac:dyDescent="0.3">
      <c r="A66" s="1"/>
      <c r="B66" s="74" t="s">
        <v>1138</v>
      </c>
      <c r="C66" s="65" t="s">
        <v>1033</v>
      </c>
      <c r="D66" s="65" t="s">
        <v>1037</v>
      </c>
      <c r="E66" s="76">
        <f>COUNTIF(UCRETLER!$N$7:$N$606,"MODEL SEÇİN")</f>
        <v>0</v>
      </c>
      <c r="F66" s="65" t="str">
        <f>IF($E66=0,"GEÇTİ","KALDI")</f>
        <v>GEÇTİ</v>
      </c>
      <c r="G66" s="74" t="s">
        <v>1139</v>
      </c>
      <c r="H66" s="99" t="str">
        <f>HYPERLINK("#UCRETLER!A1","UCRETLER")</f>
        <v>UCRETLER</v>
      </c>
      <c r="I66" s="74"/>
      <c r="J66" s="1"/>
      <c r="K66" s="1"/>
      <c r="L66" s="1"/>
      <c r="M66" s="1"/>
      <c r="N66" s="1"/>
      <c r="O66" s="1"/>
    </row>
    <row r="67" spans="1:15" ht="22.5" customHeight="1" x14ac:dyDescent="0.3">
      <c r="A67" s="1"/>
      <c r="B67" s="74" t="s">
        <v>1140</v>
      </c>
      <c r="C67" s="65" t="s">
        <v>1033</v>
      </c>
      <c r="D67" s="65" t="s">
        <v>1037</v>
      </c>
      <c r="E67" s="76">
        <f>SUMPRODUCT((MUSTERI_360!$B$7:$B$156&lt;&gt;"")*((COUNTIFS(UCRETLER!$B$7:$B$606,MUSTERI_360!$B$7:$B$156,UCRETLER!$H$7:$H$606,"Aktif"))&gt;1))</f>
        <v>0</v>
      </c>
      <c r="F67" s="65" t="str">
        <f>IF($E67=0,"GEÇTİ","KALDI")</f>
        <v>GEÇTİ</v>
      </c>
      <c r="G67" s="74" t="s">
        <v>1141</v>
      </c>
      <c r="H67" s="99" t="str">
        <f>HYPERLINK("#UCRETLER!A1","UCRETLER")</f>
        <v>UCRETLER</v>
      </c>
      <c r="I67" s="74"/>
      <c r="J67" s="1"/>
      <c r="K67" s="1"/>
      <c r="L67" s="1"/>
      <c r="M67" s="1"/>
      <c r="N67" s="1"/>
      <c r="O67" s="1"/>
    </row>
    <row r="68" spans="1:15" ht="22.5" customHeight="1" x14ac:dyDescent="0.3">
      <c r="A68" s="1"/>
      <c r="B68" s="74" t="s">
        <v>1142</v>
      </c>
      <c r="C68" s="65" t="s">
        <v>1082</v>
      </c>
      <c r="D68" s="65" t="s">
        <v>1083</v>
      </c>
      <c r="E68" s="76">
        <f>COUNTIF(MUSTERI_360!$E$7:$E$156,"&gt;0")</f>
        <v>28</v>
      </c>
      <c r="F68" s="65" t="str">
        <f>"BİLGİ"</f>
        <v>BİLGİ</v>
      </c>
      <c r="G68" s="74" t="s">
        <v>1143</v>
      </c>
      <c r="H68" s="99" t="str">
        <f>HYPERLINK("#MUSTERI_360!A1","MUSTERI_360")</f>
        <v>MUSTERI_360</v>
      </c>
      <c r="I68" s="74"/>
      <c r="J68" s="1"/>
      <c r="K68" s="1"/>
      <c r="L68" s="1"/>
      <c r="M68" s="1"/>
      <c r="N68" s="1"/>
      <c r="O68" s="1"/>
    </row>
    <row r="69" spans="1:15" ht="22.5" customHeight="1" x14ac:dyDescent="0.3">
      <c r="A69" s="1"/>
      <c r="B69" s="74" t="s">
        <v>1144</v>
      </c>
      <c r="C69" s="65" t="s">
        <v>1082</v>
      </c>
      <c r="D69" s="65" t="s">
        <v>1083</v>
      </c>
      <c r="E69" s="76">
        <f ca="1">COUNTIF(GELIR_GIDER!$P$7:$P$3006,"TAHAKKUK")</f>
        <v>33</v>
      </c>
      <c r="F69" s="65" t="str">
        <f>"BİLGİ"</f>
        <v>BİLGİ</v>
      </c>
      <c r="G69" s="74" t="s">
        <v>1145</v>
      </c>
      <c r="H69" s="99" t="str">
        <f>HYPERLINK("#GELIR_GIDER!A1","GELIR_GIDER")</f>
        <v>GELIR_GIDER</v>
      </c>
      <c r="I69" s="74"/>
      <c r="J69" s="1"/>
      <c r="K69" s="1"/>
      <c r="L69" s="1"/>
      <c r="M69" s="1"/>
      <c r="N69" s="1"/>
      <c r="O69" s="1"/>
    </row>
    <row r="70" spans="1:15" ht="22.5" customHeight="1" x14ac:dyDescent="0.3">
      <c r="A70" s="1"/>
      <c r="B70" s="74" t="s">
        <v>1146</v>
      </c>
      <c r="C70" s="65" t="s">
        <v>1033</v>
      </c>
      <c r="D70" s="65" t="s">
        <v>1037</v>
      </c>
      <c r="E70" s="76">
        <f ca="1">COUNTIF(GELIR_GIDER!$P$7:$P$3006,"TAHAKKUK NAKİT OLAMAZ")</f>
        <v>0</v>
      </c>
      <c r="F70" s="65" t="str">
        <f ca="1">IF($E70=0,"GEÇTİ","KALDI")</f>
        <v>GEÇTİ</v>
      </c>
      <c r="G70" s="74" t="s">
        <v>1147</v>
      </c>
      <c r="H70" s="99" t="str">
        <f>HYPERLINK("#GELIR_GIDER!A1","GELIR_GIDER")</f>
        <v>GELIR_GIDER</v>
      </c>
      <c r="I70" s="74" t="str">
        <f ca="1">IFERROR("satır "&amp;(MATCH("TAHAKKUK NAKİT OLAMAZ",GELIR_GIDER!$P$7:$P$3006,0)+7-1)&amp;"  –  "&amp;INDEX(GELIR_GIDER!$E$7:$E$3006,MATCH("TAHAKKUK NAKİT OLAMAZ",GELIR_GIDER!$P$7:$P$3006,0)),"—")</f>
        <v>—</v>
      </c>
      <c r="J70" s="1"/>
      <c r="K70" s="1"/>
      <c r="L70" s="1"/>
      <c r="M70" s="1"/>
      <c r="N70" s="1"/>
      <c r="O70" s="1"/>
    </row>
    <row r="71" spans="1:15" ht="22.5" customHeight="1" x14ac:dyDescent="0.3">
      <c r="A71" s="1"/>
      <c r="B71" s="74" t="s">
        <v>1148</v>
      </c>
      <c r="C71" s="65" t="s">
        <v>1033</v>
      </c>
      <c r="D71" s="65" t="s">
        <v>1037</v>
      </c>
      <c r="E71" s="76">
        <f ca="1">COUNTIF(GELIR_GIDER!$P$7:$P$3006,"TANIMSIZ BORÇLU")</f>
        <v>1</v>
      </c>
      <c r="F71" s="65" t="str">
        <f ca="1">IF($E71=0,"GEÇTİ","KALDI")</f>
        <v>KALDI</v>
      </c>
      <c r="G71" s="74" t="s">
        <v>1149</v>
      </c>
      <c r="H71" s="99" t="str">
        <f>HYPERLINK("#GELIR_GIDER!A1","GELIR_GIDER")</f>
        <v>GELIR_GIDER</v>
      </c>
      <c r="I71" s="74" t="str">
        <f ca="1">IFERROR("satır "&amp;(MATCH("TANIMSIZ BORÇLU",GELIR_GIDER!$P$7:$P$3006,0)+7-1)&amp;"  –  "&amp;INDEX(GELIR_GIDER!$E$7:$E$3006,MATCH("TANIMSIZ BORÇLU",GELIR_GIDER!$P$7:$P$3006,0)),"—")</f>
        <v>satır 161  –  Kurumlar Vergisi Damga</v>
      </c>
      <c r="J71" s="1"/>
      <c r="K71" s="1"/>
      <c r="L71" s="1"/>
      <c r="M71" s="1"/>
      <c r="N71" s="1"/>
      <c r="O71" s="1"/>
    </row>
    <row r="72" spans="1:15" ht="22.5" customHeight="1" x14ac:dyDescent="0.3">
      <c r="A72" s="1"/>
      <c r="B72" s="74" t="s">
        <v>1150</v>
      </c>
      <c r="C72" s="65" t="s">
        <v>1082</v>
      </c>
      <c r="D72" s="65" t="s">
        <v>1083</v>
      </c>
      <c r="E72" s="76">
        <f>SUM(MUSTERILER!$J$7:$J$156)</f>
        <v>0</v>
      </c>
      <c r="F72" s="65" t="str">
        <f>"BİLGİ"</f>
        <v>BİLGİ</v>
      </c>
      <c r="G72" s="74" t="s">
        <v>1151</v>
      </c>
      <c r="H72" s="99" t="str">
        <f>HYPERLINK("#MUSTERILER!A1","MUSTERILER")</f>
        <v>MUSTERILER</v>
      </c>
      <c r="I72" s="74"/>
      <c r="J72" s="1"/>
      <c r="K72" s="1"/>
      <c r="L72" s="1"/>
      <c r="M72" s="1"/>
      <c r="N72" s="1"/>
      <c r="O72" s="1"/>
    </row>
  </sheetData>
  <sheetProtection password="CC3D" sheet="1" formatCells="0" formatColumns="0" formatRows="0" sort="0" autoFilter="0"/>
  <mergeCells count="7">
    <mergeCell ref="B21:J21"/>
    <mergeCell ref="K35:M35"/>
    <mergeCell ref="A1:E1"/>
    <mergeCell ref="F1:L1"/>
    <mergeCell ref="A2:L2"/>
    <mergeCell ref="B6:F6"/>
    <mergeCell ref="K7:M7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14</vt:i4>
      </vt:variant>
      <vt:variant>
        <vt:lpstr>Adlandırılmış Aralıklar</vt:lpstr>
      </vt:variant>
      <vt:variant>
        <vt:i4>37</vt:i4>
      </vt:variant>
    </vt:vector>
  </HeadingPairs>
  <TitlesOfParts>
    <vt:vector size="51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AKTIVITE</vt:lpstr>
      <vt:lpstr>CARI_EKSTRE</vt:lpstr>
      <vt:lpstr>MUSTERI_360</vt:lpstr>
      <vt:lpstr>HESAPLAR</vt:lpstr>
      <vt:lpstr>AY_SONU</vt:lpstr>
      <vt:lpstr>ORTAKLAR</vt:lpstr>
      <vt:lpstr>SISTEM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AKTIVITE!Yazdırma_Alanı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MUSTERI_360!Yazdırma_Alanı</vt:lpstr>
      <vt:lpstr>MUSTERILER!Yazdırma_Alanı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AKTIVITE!Yazdırma_Başlıkları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MUSTERI_360!Yazdırma_Başlıkları</vt:lpstr>
      <vt:lpstr>MUSTERILER!Yazdırma_Başlıkları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KILIÇ MUHASEBE – Ofis Yönetim Sistemi</dc:title>
  <dc:subject/>
  <dc:creator>KILIÇ MUHASEBE</dc:creator>
  <dc:description>Haftalık ücretle çalışan muhasebe ofisi için müşteri, tahakkuk, tahsilat, cari, kasa, aktivite, aylık kapanış ve ortak payı yönetim sistemi.</dc:description>
  <cp:lastModifiedBy>Ali KILIÇ</cp:lastModifiedBy>
  <cp:revision>2</cp:revision>
  <dcterms:created xsi:type="dcterms:W3CDTF">2026-08-23T08:19:59Z</dcterms:created>
  <dcterms:modified xsi:type="dcterms:W3CDTF">2026-08-24T18:44:08Z</dcterms:modified>
  <dc:language>en-US</dc:language>
</cp:coreProperties>
</file>